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ables/table1.xml" ContentType="application/vnd.openxmlformats-officedocument.spreadsheetml.table+xml"/>
  <Override PartName="/xl/worksheets/sheet18.xml" ContentType="application/vnd.openxmlformats-officedocument.spreadsheetml.worksheet+xml"/>
  <Override PartName="/xl/tables/table2.xml" ContentType="application/vnd.openxmlformats-officedocument.spreadsheetml.table+xml"/>
  <Override PartName="/xl/worksheets/sheet19.xml" ContentType="application/vnd.openxmlformats-officedocument.spreadsheetml.worksheet+xml"/>
  <Override PartName="/xl/tables/table3.xml" ContentType="application/vnd.openxmlformats-officedocument.spreadsheetml.table+xml"/>
  <Override PartName="/xl/worksheets/sheet20.xml" ContentType="application/vnd.openxmlformats-officedocument.spreadsheetml.worksheet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worksheets/sheet21.xml" ContentType="application/vnd.openxmlformats-officedocument.spreadsheetml.worksheet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drawings/drawing1.xml" ContentType="application/vnd.openxmlformats-officedocument.drawing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drawings/drawing2.xml" ContentType="application/vnd.openxmlformats-officedocument.drawing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drawings/drawing3.xml" ContentType="application/vnd.openxmlformats-officedocument.drawing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drawings/drawing4.xml" ContentType="application/vnd.openxmlformats-officedocument.drawing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drawings/drawing5.xml" ContentType="application/vnd.openxmlformats-officedocument.drawing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drawings/drawing6.xml" ContentType="application/vnd.openxmlformats-officedocument.drawing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drawings/drawing7.xml" ContentType="application/vnd.openxmlformats-officedocument.drawing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drawings/drawing8.xml" ContentType="application/vnd.openxmlformats-officedocument.drawing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drawings/drawing9.xml" ContentType="application/vnd.openxmlformats-officedocument.drawing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drawings/drawing10.xml" ContentType="application/vnd.openxmlformats-officedocument.drawing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drawings/drawing11.xml" ContentType="application/vnd.openxmlformats-officedocument.drawing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drawings/drawing12.xml" ContentType="application/vnd.openxmlformats-officedocument.drawing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drawings/drawing13.xml" ContentType="application/vnd.openxmlformats-officedocument.drawing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drawings/drawing14.xml" ContentType="application/vnd.openxmlformats-officedocument.drawing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drawings/drawing15.xml" ContentType="application/vnd.openxmlformats-officedocument.drawing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drawings/drawing16.xml" ContentType="application/vnd.openxmlformats-officedocument.drawing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drawings/drawing17.xml" ContentType="application/vnd.openxmlformats-officedocument.drawing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drawings/drawing18.xml" ContentType="application/vnd.openxmlformats-officedocument.drawing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drawings/drawing19.xml" ContentType="application/vnd.openxmlformats-officedocument.drawing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drawings/drawing20.xml" ContentType="application/vnd.openxmlformats-officedocument.drawing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drawings/drawing21.xml" ContentType="application/vnd.openxmlformats-officedocument.drawing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drawings/drawing22.xml" ContentType="application/vnd.openxmlformats-officedocument.drawing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drawings/drawing23.xml" ContentType="application/vnd.openxmlformats-officedocument.drawing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drawings/drawing24.xml" ContentType="application/vnd.openxmlformats-officedocument.drawing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drawings/drawing25.xml" ContentType="application/vnd.openxmlformats-officedocument.drawing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drawings/drawing26.xml" ContentType="application/vnd.openxmlformats-officedocument.drawing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drawings/drawing27.xml" ContentType="application/vnd.openxmlformats-officedocument.drawing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drawings/drawing28.xml" ContentType="application/vnd.openxmlformats-officedocument.drawing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drawings/drawing29.xml" ContentType="application/vnd.openxmlformats-officedocument.drawing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drawings/drawing30.xml" ContentType="application/vnd.openxmlformats-officedocument.drawing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drawings/drawing31.xml" ContentType="application/vnd.openxmlformats-officedocument.drawing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drawings/drawing32.xml" ContentType="application/vnd.openxmlformats-officedocument.drawing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drawings/drawing33.xml" ContentType="application/vnd.openxmlformats-officedocument.drawing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drawings/drawing34.xml" ContentType="application/vnd.openxmlformats-officedocument.drawing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drawings/drawing35.xml" ContentType="application/vnd.openxmlformats-officedocument.drawing+xml"/>
  <Override PartName="/xl/worksheets/sheet105.xml" ContentType="application/vnd.openxmlformats-officedocument.spreadsheetml.worksheet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worksheets/sheet106.xml" ContentType="application/vnd.openxmlformats-officedocument.spreadsheetml.worksheet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worksheets/sheet107.xml" ContentType="application/vnd.openxmlformats-officedocument.spreadsheetml.worksheet+xml"/>
  <Override PartName="/xl/drawings/drawing36.xml" ContentType="application/vnd.openxmlformats-officedocument.drawing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worksheets/sheet108.xml" ContentType="application/vnd.openxmlformats-officedocument.spreadsheetml.worksheet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worksheets/sheet109.xml" ContentType="application/vnd.openxmlformats-officedocument.spreadsheetml.worksheet+xml"/>
  <Override PartName="/xl/drawings/drawing37.xml" ContentType="application/vnd.openxmlformats-officedocument.drawing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720" tabRatio="759" firstSheet="20" activeTab="20" autoFilterDateGrouping="1"/>
  </bookViews>
  <sheets>
    <sheet xmlns:r="http://schemas.openxmlformats.org/officeDocument/2006/relationships" name="BAL N GLR5" sheetId="1" state="visible" r:id="rId1"/>
    <sheet xmlns:r="http://schemas.openxmlformats.org/officeDocument/2006/relationships" name="BAL N HTR8" sheetId="2" state="visible" r:id="rId2"/>
    <sheet xmlns:r="http://schemas.openxmlformats.org/officeDocument/2006/relationships" name="BAL N TIRR" sheetId="3" state="visible" r:id="rId3"/>
    <sheet xmlns:r="http://schemas.openxmlformats.org/officeDocument/2006/relationships" name="BAL N VR7" sheetId="4" state="visible" r:id="rId4"/>
    <sheet xmlns:r="http://schemas.openxmlformats.org/officeDocument/2006/relationships" name="BAL N TURVILLA" sheetId="5" state="visible" r:id="rId5"/>
    <sheet xmlns:r="http://schemas.openxmlformats.org/officeDocument/2006/relationships" name="BAL N HART" sheetId="6" state="visible" r:id="rId6"/>
    <sheet xmlns:r="http://schemas.openxmlformats.org/officeDocument/2006/relationships" name="BAL N VICTOIRE" sheetId="7" state="visible" r:id="rId7"/>
    <sheet xmlns:r="http://schemas.openxmlformats.org/officeDocument/2006/relationships" name="BAL N TH4" sheetId="8" state="visible" r:id="rId8"/>
    <sheet xmlns:r="http://schemas.openxmlformats.org/officeDocument/2006/relationships" name="BAL N DIVES" sheetId="9" state="visible" r:id="rId9"/>
    <sheet xmlns:r="http://schemas.openxmlformats.org/officeDocument/2006/relationships" name="BAL N R314" sheetId="10" state="visible" r:id="rId10"/>
    <sheet xmlns:r="http://schemas.openxmlformats.org/officeDocument/2006/relationships" name="BAL N LYSE" sheetId="11" state="visible" r:id="rId11"/>
    <sheet xmlns:r="http://schemas.openxmlformats.org/officeDocument/2006/relationships" name="BAL N ARTHUR" sheetId="12" state="visible" r:id="rId12"/>
    <sheet xmlns:r="http://schemas.openxmlformats.org/officeDocument/2006/relationships" name="BAL N HUGO" sheetId="13" state="visible" r:id="rId13"/>
    <sheet xmlns:r="http://schemas.openxmlformats.org/officeDocument/2006/relationships" name="BAL N JEANCLO" sheetId="14" state="visible" r:id="rId14"/>
    <sheet xmlns:r="http://schemas.openxmlformats.org/officeDocument/2006/relationships" name="BAL N THOMAS" sheetId="15" state="visible" r:id="rId15"/>
    <sheet xmlns:r="http://schemas.openxmlformats.org/officeDocument/2006/relationships" name="BAL N CATALINA" sheetId="16" state="visible" r:id="rId16"/>
    <sheet xmlns:r="http://schemas.openxmlformats.org/officeDocument/2006/relationships" name="TL" sheetId="17" state="visible" r:id="rId17"/>
    <sheet xmlns:r="http://schemas.openxmlformats.org/officeDocument/2006/relationships" name="DONNEES_MOIS 2024" sheetId="18" state="visible" r:id="rId18"/>
    <sheet xmlns:r="http://schemas.openxmlformats.org/officeDocument/2006/relationships" name="DONNEES_CUM 2024" sheetId="19" state="visible" r:id="rId19"/>
    <sheet xmlns:r="http://schemas.openxmlformats.org/officeDocument/2006/relationships" name="PARAMETRES" sheetId="20" state="visible" r:id="rId20"/>
    <sheet xmlns:r="http://schemas.openxmlformats.org/officeDocument/2006/relationships" name="DONNÉES" sheetId="21" state="visible" r:id="rId21"/>
    <sheet xmlns:r="http://schemas.openxmlformats.org/officeDocument/2006/relationships" name="pr info suivi écart" sheetId="22" state="visible" r:id="rId22"/>
    <sheet xmlns:r="http://schemas.openxmlformats.org/officeDocument/2006/relationships" name="SOMMAIRE" sheetId="23" state="visible" r:id="rId23"/>
    <sheet xmlns:r="http://schemas.openxmlformats.org/officeDocument/2006/relationships" name="FB1" sheetId="24" state="visible" r:id="rId24"/>
    <sheet xmlns:r="http://schemas.openxmlformats.org/officeDocument/2006/relationships" name="INTRODUCTION" sheetId="25" state="visible" r:id="rId25"/>
    <sheet xmlns:r="http://schemas.openxmlformats.org/officeDocument/2006/relationships" name="FB2" sheetId="26" state="visible" r:id="rId26"/>
    <sheet xmlns:r="http://schemas.openxmlformats.org/officeDocument/2006/relationships" name="IA" sheetId="27" state="visible" r:id="rId27"/>
    <sheet xmlns:r="http://schemas.openxmlformats.org/officeDocument/2006/relationships" name="GCA GLOBAL" sheetId="28" state="visible" r:id="rId28"/>
    <sheet xmlns:r="http://schemas.openxmlformats.org/officeDocument/2006/relationships" name="GLOBAL M" sheetId="29" state="visible" r:id="rId29"/>
    <sheet xmlns:r="http://schemas.openxmlformats.org/officeDocument/2006/relationships" name="GPL GLOBAL" sheetId="30" state="visible" r:id="rId30"/>
    <sheet xmlns:r="http://schemas.openxmlformats.org/officeDocument/2006/relationships" name="GLOBAL C" sheetId="31" state="visible" r:id="rId31"/>
    <sheet xmlns:r="http://schemas.openxmlformats.org/officeDocument/2006/relationships" name="CONTRIB M" sheetId="32" state="visible" r:id="rId32"/>
    <sheet xmlns:r="http://schemas.openxmlformats.org/officeDocument/2006/relationships" name="CONTRIB CUM " sheetId="33" state="visible" r:id="rId33"/>
    <sheet xmlns:r="http://schemas.openxmlformats.org/officeDocument/2006/relationships" name="FB3" sheetId="34" state="visible" r:id="rId34"/>
    <sheet xmlns:r="http://schemas.openxmlformats.org/officeDocument/2006/relationships" name="IB" sheetId="35" state="visible" r:id="rId35"/>
    <sheet xmlns:r="http://schemas.openxmlformats.org/officeDocument/2006/relationships" name="GCA GLR5" sheetId="36" state="visible" r:id="rId36"/>
    <sheet xmlns:r="http://schemas.openxmlformats.org/officeDocument/2006/relationships" name="GLR5 M" sheetId="37" state="visible" r:id="rId37"/>
    <sheet xmlns:r="http://schemas.openxmlformats.org/officeDocument/2006/relationships" name="GCA HTR8" sheetId="38" state="visible" r:id="rId38"/>
    <sheet xmlns:r="http://schemas.openxmlformats.org/officeDocument/2006/relationships" name="HTR8 M" sheetId="39" state="visible" r:id="rId39"/>
    <sheet xmlns:r="http://schemas.openxmlformats.org/officeDocument/2006/relationships" name="GCA TIRR" sheetId="40" state="visible" r:id="rId40"/>
    <sheet xmlns:r="http://schemas.openxmlformats.org/officeDocument/2006/relationships" name="TIRR M" sheetId="41" state="visible" r:id="rId41"/>
    <sheet xmlns:r="http://schemas.openxmlformats.org/officeDocument/2006/relationships" name="GCA VR7" sheetId="42" state="visible" r:id="rId42"/>
    <sheet xmlns:r="http://schemas.openxmlformats.org/officeDocument/2006/relationships" name="VR7 M " sheetId="43" state="visible" r:id="rId43"/>
    <sheet xmlns:r="http://schemas.openxmlformats.org/officeDocument/2006/relationships" name="GCA TURVILLA" sheetId="44" state="visible" r:id="rId44"/>
    <sheet xmlns:r="http://schemas.openxmlformats.org/officeDocument/2006/relationships" name="TURVILLA M" sheetId="45" state="visible" r:id="rId45"/>
    <sheet xmlns:r="http://schemas.openxmlformats.org/officeDocument/2006/relationships" name="GCA HART" sheetId="46" state="visible" r:id="rId46"/>
    <sheet xmlns:r="http://schemas.openxmlformats.org/officeDocument/2006/relationships" name="HART M" sheetId="47" state="visible" r:id="rId47"/>
    <sheet xmlns:r="http://schemas.openxmlformats.org/officeDocument/2006/relationships" name="GCA VICTOIRE" sheetId="48" state="visible" r:id="rId48"/>
    <sheet xmlns:r="http://schemas.openxmlformats.org/officeDocument/2006/relationships" name="VICTOIRE M" sheetId="49" state="visible" r:id="rId49"/>
    <sheet xmlns:r="http://schemas.openxmlformats.org/officeDocument/2006/relationships" name="GCA TH4" sheetId="50" state="visible" r:id="rId50"/>
    <sheet xmlns:r="http://schemas.openxmlformats.org/officeDocument/2006/relationships" name="TH4 M " sheetId="51" state="visible" r:id="rId51"/>
    <sheet xmlns:r="http://schemas.openxmlformats.org/officeDocument/2006/relationships" name="GCA DIVES" sheetId="52" state="visible" r:id="rId52"/>
    <sheet xmlns:r="http://schemas.openxmlformats.org/officeDocument/2006/relationships" name="DIVES M" sheetId="53" state="visible" r:id="rId53"/>
    <sheet xmlns:r="http://schemas.openxmlformats.org/officeDocument/2006/relationships" name="GCA R314" sheetId="54" state="visible" r:id="rId54"/>
    <sheet xmlns:r="http://schemas.openxmlformats.org/officeDocument/2006/relationships" name="R314 M " sheetId="55" state="visible" r:id="rId55"/>
    <sheet xmlns:r="http://schemas.openxmlformats.org/officeDocument/2006/relationships" name="GCA LYSE" sheetId="56" state="visible" r:id="rId56"/>
    <sheet xmlns:r="http://schemas.openxmlformats.org/officeDocument/2006/relationships" name="LYSE M " sheetId="57" state="visible" r:id="rId57"/>
    <sheet xmlns:r="http://schemas.openxmlformats.org/officeDocument/2006/relationships" name="GCA ARTHUR" sheetId="58" state="visible" r:id="rId58"/>
    <sheet xmlns:r="http://schemas.openxmlformats.org/officeDocument/2006/relationships" name="ARTHUR M " sheetId="59" state="visible" r:id="rId59"/>
    <sheet xmlns:r="http://schemas.openxmlformats.org/officeDocument/2006/relationships" name="GCA HUGO" sheetId="60" state="visible" r:id="rId60"/>
    <sheet xmlns:r="http://schemas.openxmlformats.org/officeDocument/2006/relationships" name="HUGO M " sheetId="61" state="visible" r:id="rId61"/>
    <sheet xmlns:r="http://schemas.openxmlformats.org/officeDocument/2006/relationships" name="GCA JEANCLO" sheetId="62" state="visible" r:id="rId62"/>
    <sheet xmlns:r="http://schemas.openxmlformats.org/officeDocument/2006/relationships" name="JEANCLO M " sheetId="63" state="visible" r:id="rId63"/>
    <sheet xmlns:r="http://schemas.openxmlformats.org/officeDocument/2006/relationships" name="GCA THOMAS" sheetId="64" state="visible" r:id="rId64"/>
    <sheet xmlns:r="http://schemas.openxmlformats.org/officeDocument/2006/relationships" name="THOMAS M" sheetId="65" state="visible" r:id="rId65"/>
    <sheet xmlns:r="http://schemas.openxmlformats.org/officeDocument/2006/relationships" name="GCA CATALINA" sheetId="66" state="visible" r:id="rId66"/>
    <sheet xmlns:r="http://schemas.openxmlformats.org/officeDocument/2006/relationships" name="CATALINA M" sheetId="67" state="visible" r:id="rId67"/>
    <sheet xmlns:r="http://schemas.openxmlformats.org/officeDocument/2006/relationships" name="FB4" sheetId="68" state="visible" r:id="rId68"/>
    <sheet xmlns:r="http://schemas.openxmlformats.org/officeDocument/2006/relationships" name="IC" sheetId="69" state="visible" r:id="rId69"/>
    <sheet xmlns:r="http://schemas.openxmlformats.org/officeDocument/2006/relationships" name="GPL GLR5" sheetId="70" state="visible" r:id="rId70"/>
    <sheet xmlns:r="http://schemas.openxmlformats.org/officeDocument/2006/relationships" name="GLR5 A" sheetId="71" state="visible" r:id="rId71"/>
    <sheet xmlns:r="http://schemas.openxmlformats.org/officeDocument/2006/relationships" name="GPL HTR8" sheetId="72" state="visible" r:id="rId72"/>
    <sheet xmlns:r="http://schemas.openxmlformats.org/officeDocument/2006/relationships" name="HTR8 A" sheetId="73" state="visible" r:id="rId73"/>
    <sheet xmlns:r="http://schemas.openxmlformats.org/officeDocument/2006/relationships" name="GPL TIRR" sheetId="74" state="visible" r:id="rId74"/>
    <sheet xmlns:r="http://schemas.openxmlformats.org/officeDocument/2006/relationships" name="TIRR A" sheetId="75" state="visible" r:id="rId75"/>
    <sheet xmlns:r="http://schemas.openxmlformats.org/officeDocument/2006/relationships" name="GPL VR7" sheetId="76" state="visible" r:id="rId76"/>
    <sheet xmlns:r="http://schemas.openxmlformats.org/officeDocument/2006/relationships" name="VR7 A" sheetId="77" state="visible" r:id="rId77"/>
    <sheet xmlns:r="http://schemas.openxmlformats.org/officeDocument/2006/relationships" name="GPL TURVILLA" sheetId="78" state="visible" r:id="rId78"/>
    <sheet xmlns:r="http://schemas.openxmlformats.org/officeDocument/2006/relationships" name="TURVILLA A" sheetId="79" state="visible" r:id="rId79"/>
    <sheet xmlns:r="http://schemas.openxmlformats.org/officeDocument/2006/relationships" name="GPL HART" sheetId="80" state="visible" r:id="rId80"/>
    <sheet xmlns:r="http://schemas.openxmlformats.org/officeDocument/2006/relationships" name="HART A" sheetId="81" state="visible" r:id="rId81"/>
    <sheet xmlns:r="http://schemas.openxmlformats.org/officeDocument/2006/relationships" name="GPL VICTOIRE" sheetId="82" state="visible" r:id="rId82"/>
    <sheet xmlns:r="http://schemas.openxmlformats.org/officeDocument/2006/relationships" name="VICTOIRE A" sheetId="83" state="visible" r:id="rId83"/>
    <sheet xmlns:r="http://schemas.openxmlformats.org/officeDocument/2006/relationships" name="GPL TH4" sheetId="84" state="visible" r:id="rId84"/>
    <sheet xmlns:r="http://schemas.openxmlformats.org/officeDocument/2006/relationships" name="TH4 A" sheetId="85" state="visible" r:id="rId85"/>
    <sheet xmlns:r="http://schemas.openxmlformats.org/officeDocument/2006/relationships" name="GPL DIVES" sheetId="86" state="visible" r:id="rId86"/>
    <sheet xmlns:r="http://schemas.openxmlformats.org/officeDocument/2006/relationships" name="DIVES A" sheetId="87" state="visible" r:id="rId87"/>
    <sheet xmlns:r="http://schemas.openxmlformats.org/officeDocument/2006/relationships" name="GPL R314" sheetId="88" state="visible" r:id="rId88"/>
    <sheet xmlns:r="http://schemas.openxmlformats.org/officeDocument/2006/relationships" name="R314 A" sheetId="89" state="visible" r:id="rId89"/>
    <sheet xmlns:r="http://schemas.openxmlformats.org/officeDocument/2006/relationships" name="GPL LYSE" sheetId="90" state="visible" r:id="rId90"/>
    <sheet xmlns:r="http://schemas.openxmlformats.org/officeDocument/2006/relationships" name="LYSE A" sheetId="91" state="visible" r:id="rId91"/>
    <sheet xmlns:r="http://schemas.openxmlformats.org/officeDocument/2006/relationships" name="GPL ARTHUR" sheetId="92" state="visible" r:id="rId92"/>
    <sheet xmlns:r="http://schemas.openxmlformats.org/officeDocument/2006/relationships" name="ARTHUR A" sheetId="93" state="visible" r:id="rId93"/>
    <sheet xmlns:r="http://schemas.openxmlformats.org/officeDocument/2006/relationships" name="GPL HUGO" sheetId="94" state="visible" r:id="rId94"/>
    <sheet xmlns:r="http://schemas.openxmlformats.org/officeDocument/2006/relationships" name="HUGO A" sheetId="95" state="visible" r:id="rId95"/>
    <sheet xmlns:r="http://schemas.openxmlformats.org/officeDocument/2006/relationships" name="GPL JEANCLO" sheetId="96" state="visible" r:id="rId96"/>
    <sheet xmlns:r="http://schemas.openxmlformats.org/officeDocument/2006/relationships" name="JEANCLO A" sheetId="97" state="visible" r:id="rId97"/>
    <sheet xmlns:r="http://schemas.openxmlformats.org/officeDocument/2006/relationships" name="GPL THOMAS" sheetId="98" state="visible" r:id="rId98"/>
    <sheet xmlns:r="http://schemas.openxmlformats.org/officeDocument/2006/relationships" name="THOMAS A" sheetId="99" state="visible" r:id="rId99"/>
    <sheet xmlns:r="http://schemas.openxmlformats.org/officeDocument/2006/relationships" name="GPL CATALINA" sheetId="100" state="visible" r:id="rId100"/>
    <sheet xmlns:r="http://schemas.openxmlformats.org/officeDocument/2006/relationships" name="CATALINA A" sheetId="101" state="visible" r:id="rId101"/>
    <sheet xmlns:r="http://schemas.openxmlformats.org/officeDocument/2006/relationships" name="FB20" sheetId="102" state="visible" r:id="rId102"/>
    <sheet xmlns:r="http://schemas.openxmlformats.org/officeDocument/2006/relationships" name="IF" sheetId="103" state="visible" r:id="rId103"/>
    <sheet xmlns:r="http://schemas.openxmlformats.org/officeDocument/2006/relationships" name="GRAPH TRESO" sheetId="104" state="visible" r:id="rId104"/>
    <sheet xmlns:r="http://schemas.openxmlformats.org/officeDocument/2006/relationships" name="TRESO" sheetId="105" state="visible" r:id="rId105"/>
    <sheet xmlns:r="http://schemas.openxmlformats.org/officeDocument/2006/relationships" name="TRANSACTIONS DETAIL" sheetId="106" state="visible" r:id="rId106"/>
    <sheet xmlns:r="http://schemas.openxmlformats.org/officeDocument/2006/relationships" name="TRANSACTIONS RECAP" sheetId="107" state="visible" r:id="rId107"/>
    <sheet xmlns:r="http://schemas.openxmlformats.org/officeDocument/2006/relationships" name="PANIERS DETAIL" sheetId="108" state="visible" r:id="rId108"/>
    <sheet xmlns:r="http://schemas.openxmlformats.org/officeDocument/2006/relationships" name="PANIERS RECAP" sheetId="109" state="visible" r:id="rId109"/>
  </sheets>
  <externalReferences>
    <externalReference xmlns:r="http://schemas.openxmlformats.org/officeDocument/2006/relationships" r:id="rId110"/>
    <externalReference xmlns:r="http://schemas.openxmlformats.org/officeDocument/2006/relationships" r:id="rId111"/>
  </externalReferences>
  <definedNames>
    <definedName name="_BGR6" hidden="1">{#N/A,#N/A,FALSE,"RESUL CUMUL";#N/A,#N/A,FALSE,"CA CUMUL";#N/A,#N/A,FALSE,"resultat bignalet";#N/A,#N/A,FALSE,"CA BIGNALET";#N/A,#N/A,FALSE,"Resultat Drivernon";#N/A,#N/A,FALSE,"CA DRIVERNON"}</definedName>
    <definedName name="_VR7" hidden="1">{#N/A,#N/A,FALSE,"RESUL CUMUL";#N/A,#N/A,FALSE,"CA CUMUL";#N/A,#N/A,FALSE,"resultat bignalet";#N/A,#N/A,FALSE,"CA BIGNALET";#N/A,#N/A,FALSE,"Resultat Drivernon";#N/A,#N/A,FALSE,"CA DRIVERNON"}</definedName>
    <definedName name="TRT_R314">TRDTR314[]</definedName>
    <definedName name="wrn.GRAPHES._.MCDO." hidden="1">{#N/A,#N/A,FALSE,"RESUL CUMUL";#N/A,#N/A,FALSE,"CA CUMUL";#N/A,#N/A,FALSE,"resultat bignalet";#N/A,#N/A,FALSE,"CA BIGNALET";#N/A,#N/A,FALSE,"Resultat Drivernon";#N/A,#N/A,FALSE,"CA DRIVERNON"}</definedName>
    <definedName name="wrn.macdo._.HP4L." hidden="1">{#N/A,#N/A,FALSE,"PAGE DE GARDE";#N/A,#N/A,FALSE,"SOMMAIRE";#N/A,#N/A,FALSE,"P&amp;LGLOBAL(n)";#N/A,#N/A,FALSE,"P&amp;LGLOBAL(n-1) "}</definedName>
    <definedName name="wrn.MCDO._.Couleurs." hidden="1">{#N/A,#N/A,FALSE,"pl compares 2";#N/A,#N/A,FALSE,"P&amp;L EVREUX";#N/A,#N/A,FALSE,"P&amp;L VERNON";#N/A,#N/A,FALSE,"Réel-prévisionnel Evreux";#N/A,#N/A,FALSE,"Réel-prévisionnel Vernon"}</definedName>
    <definedName name="_xlnm._FilterDatabase" localSheetId="0" hidden="1">'BAL N GLR5'!$A$1:$L$211</definedName>
    <definedName name="_xlnm._FilterDatabase" localSheetId="1" hidden="1">'BAL N HTR8'!$A$1:$L$196</definedName>
    <definedName name="_xlnm._FilterDatabase" localSheetId="2" hidden="1">'BAL N TIRR'!$A$1:$L$281</definedName>
    <definedName name="_xlnm._FilterDatabase" localSheetId="3" hidden="1">'BAL N VR7'!$A$1:$L$291</definedName>
    <definedName name="_xlnm._FilterDatabase" localSheetId="4" hidden="1">'BAL N TURVILLA'!$A$1:$L$203</definedName>
    <definedName name="_xlnm._FilterDatabase" localSheetId="5" hidden="1">'BAL N HART'!$A$1:$L$249</definedName>
    <definedName name="_xlnm._FilterDatabase" localSheetId="6" hidden="1">'BAL N VICTOIRE'!$A$1:$L$252</definedName>
    <definedName name="_xlnm._FilterDatabase" localSheetId="7" hidden="1">'BAL N TH4'!$A$1:$L$274</definedName>
    <definedName name="_xlnm._FilterDatabase" localSheetId="8" hidden="1">'BAL N DIVES'!$A$1:$L$265</definedName>
    <definedName name="_xlnm._FilterDatabase" localSheetId="9" hidden="1">'BAL N R314'!$A$1:$L$215</definedName>
    <definedName name="_xlnm._FilterDatabase" localSheetId="10" hidden="1">'BAL N LYSE'!$A$1:$L$229</definedName>
    <definedName name="TRT_R314" localSheetId="15">TRDTR314[]</definedName>
    <definedName name="_BGR6" localSheetId="19" hidden="1">{#N/A,#N/A,FALSE,"RESUL CUMUL";#N/A,#N/A,FALSE,"CA CUMUL";#N/A,#N/A,FALSE,"resultat bignalet";#N/A,#N/A,FALSE,"CA BIGNALET";#N/A,#N/A,FALSE,"Resultat Drivernon";#N/A,#N/A,FALSE,"CA DRIVERNON"}</definedName>
    <definedName name="_VR7" localSheetId="19" hidden="1">{#N/A,#N/A,FALSE,"RESUL CUMUL";#N/A,#N/A,FALSE,"CA CUMUL";#N/A,#N/A,FALSE,"resultat bignalet";#N/A,#N/A,FALSE,"CA BIGNALET";#N/A,#N/A,FALSE,"Resultat Drivernon";#N/A,#N/A,FALSE,"CA DRIVERNON"}</definedName>
    <definedName name="Lancer_la_requête_à_partir_de_Report_MacDo" localSheetId="19" hidden="1">PARAMETRES!#REF!</definedName>
    <definedName name="wrn.GRAPHES._.MCDO." localSheetId="19" hidden="1">{#N/A,#N/A,FALSE,"RESUL CUMUL";#N/A,#N/A,FALSE,"CA CUMUL";#N/A,#N/A,FALSE,"resultat bignalet";#N/A,#N/A,FALSE,"CA BIGNALET";#N/A,#N/A,FALSE,"Resultat Drivernon";#N/A,#N/A,FALSE,"CA DRIVERNON"}</definedName>
    <definedName name="wrn.macdo._.HP4L." localSheetId="19" hidden="1">{#N/A,#N/A,FALSE,"PAGE DE GARDE";#N/A,#N/A,FALSE,"SOMMAIRE";#N/A,#N/A,FALSE,"P&amp;LGLOBAL(n)";#N/A,#N/A,FALSE,"P&amp;LGLOBAL(n-1) "}</definedName>
    <definedName name="wrn.MCDO._.Couleurs." localSheetId="19" hidden="1">{#N/A,#N/A,FALSE,"pl compares 2";#N/A,#N/A,FALSE,"P&amp;L EVREUX";#N/A,#N/A,FALSE,"P&amp;L VERNON";#N/A,#N/A,FALSE,"Réel-prévisionnel Evreux";#N/A,#N/A,FALSE,"Réel-prévisionnel Vernon"}</definedName>
    <definedName name="_BGR6" localSheetId="21" hidden="1">{#N/A,#N/A,FALSE,"RESUL CUMUL";#N/A,#N/A,FALSE,"CA CUMUL";#N/A,#N/A,FALSE,"resultat bignalet";#N/A,#N/A,FALSE,"CA BIGNALET";#N/A,#N/A,FALSE,"Resultat Drivernon";#N/A,#N/A,FALSE,"CA DRIVERNON"}</definedName>
    <definedName name="_VR7" localSheetId="21" hidden="1">{#N/A,#N/A,FALSE,"RESUL CUMUL";#N/A,#N/A,FALSE,"CA CUMUL";#N/A,#N/A,FALSE,"resultat bignalet";#N/A,#N/A,FALSE,"CA BIGNALET";#N/A,#N/A,FALSE,"Resultat Drivernon";#N/A,#N/A,FALSE,"CA DRIVERNON"}</definedName>
    <definedName name="wrn.GRAPHES._.MCDO." localSheetId="21" hidden="1">{#N/A,#N/A,FALSE,"RESUL CUMUL";#N/A,#N/A,FALSE,"CA CUMUL";#N/A,#N/A,FALSE,"resultat bignalet";#N/A,#N/A,FALSE,"CA BIGNALET";#N/A,#N/A,FALSE,"Resultat Drivernon";#N/A,#N/A,FALSE,"CA DRIVERNON"}</definedName>
    <definedName name="wrn.macdo._.HP4L." localSheetId="21" hidden="1">{#N/A,#N/A,FALSE,"PAGE DE GARDE";#N/A,#N/A,FALSE,"SOMMAIRE";#N/A,#N/A,FALSE,"P&amp;LGLOBAL(n)";#N/A,#N/A,FALSE,"P&amp;LGLOBAL(n-1) "}</definedName>
    <definedName name="wrn.MCDO._.Couleurs." localSheetId="21" hidden="1">{#N/A,#N/A,FALSE,"pl compares 2";#N/A,#N/A,FALSE,"P&amp;L EVREUX";#N/A,#N/A,FALSE,"P&amp;L VERNON";#N/A,#N/A,FALSE,"Réel-prévisionnel Evreux";#N/A,#N/A,FALSE,"Réel-prévisionnel Vernon"}</definedName>
    <definedName name="TRT_R314" localSheetId="23">TRDTR314[]</definedName>
    <definedName name="TRT_R314" localSheetId="25">TRDTR314[]</definedName>
    <definedName name="_xlnm.Print_Titles" localSheetId="31">'CONTRIB M'!$1:$4,'CONTRIB M'!$B:$B</definedName>
    <definedName name="_xlnm.Print_Area" localSheetId="32">'CONTRIB CUM '!$A$1:$AJ$81</definedName>
    <definedName name="TRT_R314" localSheetId="33">TRDTR314[]</definedName>
    <definedName name="_BGR6" localSheetId="34" hidden="1">{#N/A,#N/A,FALSE,"RESUL CUMUL";#N/A,#N/A,FALSE,"CA CUMUL";#N/A,#N/A,FALSE,"resultat bignalet";#N/A,#N/A,FALSE,"CA BIGNALET";#N/A,#N/A,FALSE,"Resultat Drivernon";#N/A,#N/A,FALSE,"CA DRIVERNON"}</definedName>
    <definedName name="_VR7" localSheetId="34" hidden="1">{#N/A,#N/A,FALSE,"RESUL CUMUL";#N/A,#N/A,FALSE,"CA CUMUL";#N/A,#N/A,FALSE,"resultat bignalet";#N/A,#N/A,FALSE,"CA BIGNALET";#N/A,#N/A,FALSE,"Resultat Drivernon";#N/A,#N/A,FALSE,"CA DRIVERNON"}</definedName>
    <definedName name="TRT_R314" localSheetId="34">[1]!TRDTR314[#Data]</definedName>
    <definedName name="wrn.GRAPHES._.MCDO." localSheetId="34" hidden="1">{#N/A,#N/A,FALSE,"RESUL CUMUL";#N/A,#N/A,FALSE,"CA CUMUL";#N/A,#N/A,FALSE,"resultat bignalet";#N/A,#N/A,FALSE,"CA BIGNALET";#N/A,#N/A,FALSE,"Resultat Drivernon";#N/A,#N/A,FALSE,"CA DRIVERNON"}</definedName>
    <definedName name="wrn.macdo._.HP4L." localSheetId="34" hidden="1">{#N/A,#N/A,FALSE,"PAGE DE GARDE";#N/A,#N/A,FALSE,"SOMMAIRE";#N/A,#N/A,FALSE,"P&amp;LGLOBAL(n)";#N/A,#N/A,FALSE,"P&amp;LGLOBAL(n-1) "}</definedName>
    <definedName name="wrn.MCDO._.Couleurs." localSheetId="34" hidden="1">{#N/A,#N/A,FALSE,"pl compares 2";#N/A,#N/A,FALSE,"P&amp;L EVREUX";#N/A,#N/A,FALSE,"P&amp;L VERNON";#N/A,#N/A,FALSE,"Réel-prévisionnel Evreux";#N/A,#N/A,FALSE,"Réel-prévisionnel Vernon"}</definedName>
    <definedName name="TRT_R314" localSheetId="35">TRDTR314[]</definedName>
    <definedName name="TRT_R314" localSheetId="37">TRDTR314[]</definedName>
    <definedName name="TRT_R314" localSheetId="39">TRDTR314[]</definedName>
    <definedName name="TRT_R314" localSheetId="41">TRDTR314[]</definedName>
    <definedName name="TRT_R314" localSheetId="43">TRDTR314[]</definedName>
    <definedName name="TRT_R314" localSheetId="45">TRDTR314[]</definedName>
    <definedName name="TRT_R314" localSheetId="47">TRDTR314[]</definedName>
    <definedName name="TRT_R314" localSheetId="57">TRDTR314[]</definedName>
    <definedName name="TRT_R314" localSheetId="58">TRDTR314[]</definedName>
    <definedName name="TRT_R314" localSheetId="59">TRDTR314[]</definedName>
    <definedName name="TRT_R314" localSheetId="60">TRDTR314[]</definedName>
    <definedName name="TRT_R314" localSheetId="61">TRDTR314[]</definedName>
    <definedName name="TRT_R314" localSheetId="62">TRDTR314[]</definedName>
    <definedName name="TRT_R314" localSheetId="63">TRDTR314[]</definedName>
    <definedName name="TRT_R314" localSheetId="64">TRDTR314[]</definedName>
    <definedName name="_xlnm.Print_Area" localSheetId="64">'THOMAS M'!$A$1:$H$81</definedName>
    <definedName name="TRT_R314" localSheetId="65">TRDTR314[]</definedName>
    <definedName name="TRT_R314" localSheetId="66">TRDTR314[]</definedName>
    <definedName name="_xlnm.Print_Area" localSheetId="66">'CATALINA M'!$A$1:$H$81</definedName>
    <definedName name="TRT_R314" localSheetId="67">TRDTR314[]</definedName>
    <definedName name="_BGR6" localSheetId="68" hidden="1">{#N/A,#N/A,FALSE,"RESUL CUMUL";#N/A,#N/A,FALSE,"CA CUMUL";#N/A,#N/A,FALSE,"resultat bignalet";#N/A,#N/A,FALSE,"CA BIGNALET";#N/A,#N/A,FALSE,"Resultat Drivernon";#N/A,#N/A,FALSE,"CA DRIVERNON"}</definedName>
    <definedName name="_VR7" localSheetId="68" hidden="1">{#N/A,#N/A,FALSE,"RESUL CUMUL";#N/A,#N/A,FALSE,"CA CUMUL";#N/A,#N/A,FALSE,"resultat bignalet";#N/A,#N/A,FALSE,"CA BIGNALET";#N/A,#N/A,FALSE,"Resultat Drivernon";#N/A,#N/A,FALSE,"CA DRIVERNON"}</definedName>
    <definedName name="TRT_R314" localSheetId="68">[1]!TRDTR314[#Data]</definedName>
    <definedName name="wrn.GRAPHES._.MCDO." localSheetId="68" hidden="1">{#N/A,#N/A,FALSE,"RESUL CUMUL";#N/A,#N/A,FALSE,"CA CUMUL";#N/A,#N/A,FALSE,"resultat bignalet";#N/A,#N/A,FALSE,"CA BIGNALET";#N/A,#N/A,FALSE,"Resultat Drivernon";#N/A,#N/A,FALSE,"CA DRIVERNON"}</definedName>
    <definedName name="wrn.macdo._.HP4L." localSheetId="68" hidden="1">{#N/A,#N/A,FALSE,"PAGE DE GARDE";#N/A,#N/A,FALSE,"SOMMAIRE";#N/A,#N/A,FALSE,"P&amp;LGLOBAL(n)";#N/A,#N/A,FALSE,"P&amp;LGLOBAL(n-1) "}</definedName>
    <definedName name="wrn.MCDO._.Couleurs." localSheetId="68" hidden="1">{#N/A,#N/A,FALSE,"pl compares 2";#N/A,#N/A,FALSE,"P&amp;L EVREUX";#N/A,#N/A,FALSE,"P&amp;L VERNON";#N/A,#N/A,FALSE,"Réel-prévisionnel Evreux";#N/A,#N/A,FALSE,"Réel-prévisionnel Vernon"}</definedName>
    <definedName name="TRT_R314" localSheetId="69">TRDTR314[]</definedName>
    <definedName name="TRT_R314" localSheetId="71">TRDTR314[]</definedName>
    <definedName name="TRT_R314" localSheetId="73">TRDTR314[]</definedName>
    <definedName name="TRT_R314" localSheetId="75">TRDTR314[]</definedName>
    <definedName name="TRT_R314" localSheetId="77">TRDTR314[]</definedName>
    <definedName name="TRT_R314" localSheetId="79">TRDTR314[]</definedName>
    <definedName name="TRT_R314" localSheetId="83">TRDTR314[]</definedName>
    <definedName name="TRT_R314" localSheetId="91">TRDTR314[]</definedName>
    <definedName name="TRT_R314" localSheetId="92">TRDTR314[]</definedName>
    <definedName name="TRT_R314" localSheetId="93">TRDTR314[]</definedName>
    <definedName name="TRT_R314" localSheetId="94">TRDTR314[]</definedName>
    <definedName name="TRT_R314" localSheetId="95">TRDTR314[]</definedName>
    <definedName name="TRT_R314" localSheetId="96">TRDTR314[]</definedName>
    <definedName name="TRT_R314" localSheetId="97">TRDTR314[]</definedName>
    <definedName name="TRT_R314" localSheetId="98">TRDTR314[]</definedName>
    <definedName name="TRT_R314" localSheetId="99">TRDTR314[]</definedName>
    <definedName name="TRT_R314" localSheetId="100">TRDTR314[]</definedName>
    <definedName name="_xlnm.Print_Titles" localSheetId="105">'TRANSACTIONS DETAIL'!$1:$3</definedName>
    <definedName name="_xlnm.Print_Area" localSheetId="105">'TRANSACTIONS DETAIL'!$A$1:$V$246</definedName>
    <definedName name="_xlnm.Print_Titles" localSheetId="106">'TRANSACTIONS RECAP'!$1:$3</definedName>
    <definedName name="_xlnm.Print_Titles" localSheetId="107">'PANIERS DETAIL'!$1:$3</definedName>
    <definedName name="_xlnm.Print_Titles" localSheetId="108">'PANIERS RECAP'!$1:$3</definedName>
  </definedNames>
  <calcPr calcId="191029" fullCalcOnLoad="1" iterate="1" iterateDelta="1" calcOnSave="0"/>
</workbook>
</file>

<file path=xl/styles.xml><?xml version="1.0" encoding="utf-8"?>
<styleSheet xmlns="http://schemas.openxmlformats.org/spreadsheetml/2006/main">
  <numFmts count="8">
    <numFmt numFmtId="164" formatCode="_ [$€]\ * #,##0.00_ ;_ [$€]\ * \-#,##0.00_ ;_ [$€]\ * &quot;-&quot;??_ ;_ @_ "/>
    <numFmt numFmtId="165" formatCode="_-* #,##0\ &quot;F&quot;_-;\-* #,##0\ &quot;F&quot;_-;_-* &quot;-&quot;\ &quot;F&quot;_-;_-@_-"/>
    <numFmt numFmtId="166" formatCode="#,##0.00_ ;\-#,##0.00\ "/>
    <numFmt numFmtId="167" formatCode="#,##0_ ;\-#,##0\ "/>
    <numFmt numFmtId="168" formatCode="[$-40C]mmm\-yy;@"/>
    <numFmt numFmtId="169" formatCode="[$-40C]mmmm\-yy;@"/>
    <numFmt numFmtId="170" formatCode="_ * #,##0.00_ ;_ * \-#,##0.00_ ;_ * &quot;-&quot;??_ ;_ @_ "/>
    <numFmt numFmtId="171" formatCode="_-* #,##0.00\ _€_-;\-* #,##0.00\ _€_-;_-* &quot;-&quot;??\ _€_-;_-@_-"/>
  </numFmts>
  <fonts count="97">
    <font>
      <name val="Helv"/>
      <sz val="10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Helv"/>
      <sz val="10"/>
    </font>
    <font>
      <name val="Arial"/>
      <family val="2"/>
      <sz val="10"/>
    </font>
    <font>
      <name val="Times New Roman"/>
      <family val="1"/>
      <b val="1"/>
      <sz val="10"/>
    </font>
    <font>
      <name val="Times New Roman"/>
      <family val="1"/>
      <sz val="10"/>
    </font>
    <font>
      <name val="Arial"/>
      <family val="2"/>
      <sz val="10"/>
    </font>
    <font>
      <name val="Times New Roman"/>
      <family val="1"/>
      <sz val="10"/>
    </font>
    <font>
      <name val="Times New Roman"/>
      <family val="1"/>
      <b val="1"/>
      <sz val="13.5"/>
    </font>
    <font>
      <name val="Times New Roman"/>
      <family val="1"/>
      <b val="1"/>
      <color indexed="48"/>
      <sz val="20"/>
    </font>
    <font>
      <name val="Times New Roman"/>
      <family val="1"/>
      <b val="1"/>
      <sz val="20"/>
    </font>
    <font>
      <name val="Times New Roman"/>
      <family val="1"/>
      <b val="1"/>
      <color indexed="48"/>
      <sz val="13.5"/>
    </font>
    <font>
      <name val="Times New Roman"/>
      <family val="1"/>
      <b val="1"/>
      <sz val="13.5"/>
      <u val="single"/>
    </font>
    <font>
      <name val="Calibri"/>
      <family val="2"/>
      <color indexed="8"/>
      <sz val="11"/>
    </font>
    <font>
      <name val="Calibri"/>
      <family val="2"/>
      <color indexed="9"/>
      <sz val="11"/>
    </font>
    <font>
      <name val="Calibri"/>
      <family val="2"/>
      <color indexed="10"/>
      <sz val="11"/>
    </font>
    <font>
      <name val="Calibri"/>
      <family val="2"/>
      <color indexed="62"/>
      <sz val="11"/>
    </font>
    <font>
      <name val="Calibri"/>
      <family val="2"/>
      <color indexed="20"/>
      <sz val="11"/>
    </font>
    <font>
      <name val="Calibri"/>
      <family val="2"/>
      <color indexed="17"/>
      <sz val="11"/>
    </font>
    <font>
      <name val="Calibri"/>
      <family val="2"/>
      <b val="1"/>
      <color indexed="63"/>
      <sz val="11"/>
    </font>
    <font>
      <name val="Calibri"/>
      <family val="2"/>
      <i val="1"/>
      <color indexed="23"/>
      <sz val="11"/>
    </font>
    <font>
      <name val="Calibri"/>
      <family val="2"/>
      <b val="1"/>
      <color indexed="8"/>
      <sz val="11"/>
    </font>
    <font>
      <name val="Calibri"/>
      <family val="2"/>
      <b val="1"/>
      <color indexed="9"/>
      <sz val="11"/>
    </font>
    <font>
      <name val="Calibri"/>
      <family val="2"/>
      <b val="1"/>
      <color indexed="52"/>
      <sz val="11"/>
    </font>
    <font>
      <name val="Calibri"/>
      <family val="2"/>
      <color indexed="52"/>
      <sz val="11"/>
    </font>
    <font>
      <name val="Calibri"/>
      <family val="2"/>
      <color indexed="60"/>
      <sz val="11"/>
    </font>
    <font>
      <name val="Cambria"/>
      <family val="2"/>
      <b val="1"/>
      <color indexed="56"/>
      <sz val="18"/>
    </font>
    <font>
      <name val="Calibri"/>
      <family val="2"/>
      <b val="1"/>
      <color indexed="56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56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2"/>
      <scheme val="minor"/>
    </font>
    <font>
      <name val="Times New Roman"/>
      <family val="1"/>
      <b val="1"/>
      <color theme="0"/>
      <sz val="10"/>
    </font>
    <font>
      <name val="Calibri"/>
      <family val="2"/>
      <b val="1"/>
      <sz val="12"/>
      <u val="single"/>
      <scheme val="minor"/>
    </font>
    <font>
      <name val="Calibri"/>
      <family val="2"/>
      <sz val="10"/>
      <scheme val="minor"/>
    </font>
    <font>
      <name val="Times New Roman"/>
      <family val="1"/>
      <b val="1"/>
      <i val="1"/>
      <sz val="10"/>
    </font>
    <font>
      <name val="Times New Roman"/>
      <family val="1"/>
      <b val="1"/>
      <i val="1"/>
      <sz val="10"/>
      <u val="single"/>
    </font>
    <font>
      <name val="Calibri"/>
      <family val="2"/>
      <b val="1"/>
      <sz val="10"/>
      <u val="single"/>
      <scheme val="minor"/>
    </font>
    <font>
      <name val="Calibri"/>
      <family val="2"/>
      <b val="1"/>
      <sz val="10"/>
      <scheme val="minor"/>
    </font>
    <font>
      <name val="Calibri"/>
      <family val="2"/>
      <b val="1"/>
      <sz val="12"/>
      <scheme val="minor"/>
    </font>
    <font>
      <name val="Times New Roman"/>
      <family val="1"/>
      <b val="1"/>
      <color theme="0"/>
      <sz val="10"/>
      <u val="singleAccounting"/>
    </font>
    <font>
      <name val="Calibri"/>
      <family val="2"/>
      <sz val="11"/>
      <scheme val="minor"/>
    </font>
    <font>
      <name val="Calibri"/>
      <family val="2"/>
      <b val="1"/>
      <sz val="14"/>
      <scheme val="minor"/>
    </font>
    <font>
      <name val="Calibri"/>
      <family val="2"/>
      <b val="1"/>
      <color indexed="12"/>
      <sz val="10"/>
      <scheme val="minor"/>
    </font>
    <font>
      <name val="Calibri"/>
      <family val="2"/>
      <b val="1"/>
      <color indexed="12"/>
      <sz val="10"/>
      <u val="single"/>
      <scheme val="minor"/>
    </font>
    <font>
      <name val="Calibri"/>
      <family val="2"/>
      <b val="1"/>
      <color indexed="48"/>
      <sz val="10"/>
      <scheme val="minor"/>
    </font>
    <font>
      <name val="Calibri"/>
      <family val="2"/>
      <b val="1"/>
      <color indexed="12"/>
      <sz val="11"/>
      <scheme val="minor"/>
    </font>
    <font>
      <name val="Calibri"/>
      <family val="2"/>
      <b val="1"/>
      <color theme="0"/>
      <sz val="12"/>
      <scheme val="minor"/>
    </font>
    <font>
      <name val="Calibri"/>
      <family val="2"/>
      <b val="1"/>
      <color indexed="12"/>
      <sz val="12"/>
      <scheme val="minor"/>
    </font>
    <font>
      <name val="Calibri"/>
      <family val="2"/>
      <b val="1"/>
      <sz val="16"/>
      <u val="single"/>
      <scheme val="minor"/>
    </font>
    <font>
      <name val="Calibri"/>
      <family val="2"/>
      <color indexed="12"/>
      <sz val="11"/>
      <scheme val="minor"/>
    </font>
    <font>
      <name val="Calibri"/>
      <family val="2"/>
      <color indexed="12"/>
      <sz val="10"/>
      <scheme val="minor"/>
    </font>
    <font>
      <name val="Kalinga"/>
      <family val="2"/>
      <color theme="1"/>
      <sz val="8"/>
    </font>
    <font>
      <name val="Calibri"/>
      <family val="2"/>
      <b val="1"/>
      <color theme="0"/>
      <sz val="10"/>
      <scheme val="minor"/>
    </font>
    <font>
      <name val="Calibri"/>
      <family val="2"/>
      <sz val="10"/>
    </font>
    <font>
      <name val="Calibri"/>
      <family val="2"/>
      <sz val="11"/>
    </font>
    <font>
      <name val="Calibri"/>
      <family val="2"/>
      <b val="1"/>
      <i val="1"/>
      <sz val="12"/>
      <scheme val="minor"/>
    </font>
    <font>
      <name val="Helv"/>
      <sz val="8"/>
    </font>
    <font>
      <name val="Calibri"/>
      <family val="2"/>
      <b val="1"/>
      <sz val="10"/>
      <u val="singleAccounting"/>
      <scheme val="minor"/>
    </font>
    <font>
      <name val="Helv"/>
      <color theme="0"/>
      <sz val="10"/>
    </font>
    <font>
      <name val="Calibri"/>
      <family val="2"/>
      <sz val="11"/>
    </font>
    <font>
      <name val="Cambria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68">
    <fill>
      <patternFill/>
    </fill>
    <fill>
      <patternFill patternType="gray125"/>
    </fill>
    <fill>
      <patternFill patternType="solid">
        <fgColor indexed="44"/>
      </patternFill>
    </fill>
    <fill>
      <patternFill patternType="solid">
        <fgColor indexed="31"/>
      </patternFill>
    </fill>
    <fill>
      <patternFill patternType="solid">
        <fgColor indexed="29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7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theme="0"/>
        <bgColor indexed="9"/>
      </patternFill>
    </fill>
    <fill>
      <patternFill patternType="solid">
        <fgColor theme="8" tint="0.79998168889431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 tint="0.049989318521683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8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double">
        <color theme="0"/>
      </bottom>
      <diagonal/>
    </border>
    <border>
      <left style="medium">
        <color indexed="64"/>
      </left>
      <right style="thin">
        <color indexed="64"/>
      </right>
      <top/>
      <bottom style="double">
        <color theme="0"/>
      </bottom>
      <diagonal/>
    </border>
    <border>
      <left/>
      <right style="medium">
        <color indexed="64"/>
      </right>
      <top/>
      <bottom style="double">
        <color theme="0"/>
      </bottom>
      <diagonal/>
    </border>
    <border>
      <left/>
      <right style="thin">
        <color indexed="64"/>
      </right>
      <top/>
      <bottom style="double">
        <color theme="0"/>
      </bottom>
      <diagonal/>
    </border>
    <border>
      <left style="medium">
        <color indexed="64"/>
      </left>
      <right style="thin">
        <color indexed="64"/>
      </right>
      <top/>
      <bottom style="medium">
        <color theme="0"/>
      </bottom>
      <diagonal/>
    </border>
    <border>
      <left/>
      <right style="medium">
        <color indexed="64"/>
      </right>
      <top/>
      <bottom style="medium">
        <color theme="0"/>
      </bottom>
      <diagonal/>
    </border>
    <border>
      <left/>
      <right style="thin">
        <color indexed="64"/>
      </right>
      <top/>
      <bottom style="medium">
        <color theme="0"/>
      </bottom>
      <diagonal/>
    </border>
    <border>
      <left style="medium">
        <color indexed="64"/>
      </left>
      <right/>
      <top style="double">
        <color theme="0"/>
      </top>
      <bottom style="thin">
        <color indexed="64"/>
      </bottom>
      <diagonal/>
    </border>
    <border>
      <left/>
      <right style="medium">
        <color indexed="64"/>
      </right>
      <top style="double">
        <color theme="0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theme="0"/>
      </bottom>
      <diagonal/>
    </border>
    <border>
      <left style="medium">
        <color indexed="64"/>
      </left>
      <right/>
      <top/>
      <bottom style="medium">
        <color theme="0"/>
      </bottom>
      <diagonal/>
    </border>
    <border>
      <left style="medium">
        <color indexed="64"/>
      </left>
      <right/>
      <top style="thin">
        <color indexed="64"/>
      </top>
      <bottom style="double">
        <color theme="0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/>
      <right/>
      <top/>
      <bottom style="thin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0"/>
      </top>
      <bottom/>
      <diagonal/>
    </border>
    <border>
      <left/>
      <right style="double">
        <color theme="0"/>
      </right>
      <top/>
      <bottom/>
      <diagonal/>
    </border>
    <border>
      <left/>
      <right style="double">
        <color theme="0"/>
      </right>
      <top/>
      <bottom style="thin">
        <color theme="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theme="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theme="0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double">
        <color theme="0"/>
      </top>
      <bottom style="thin">
        <color indexed="64"/>
      </bottom>
      <diagonal/>
    </border>
    <border>
      <left/>
      <right/>
      <top style="double">
        <color theme="0"/>
      </top>
      <bottom/>
      <diagonal/>
    </border>
    <border>
      <left/>
      <right style="medium">
        <color indexed="64"/>
      </right>
      <top style="double">
        <color theme="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72">
    <xf numFmtId="164" fontId="22" fillId="0" borderId="0"/>
    <xf numFmtId="164" fontId="33" fillId="3" borderId="0"/>
    <xf numFmtId="164" fontId="33" fillId="5" borderId="0"/>
    <xf numFmtId="164" fontId="33" fillId="7" borderId="0"/>
    <xf numFmtId="164" fontId="33" fillId="9" borderId="0"/>
    <xf numFmtId="164" fontId="33" fillId="10" borderId="0"/>
    <xf numFmtId="164" fontId="33" fillId="8" borderId="0"/>
    <xf numFmtId="164" fontId="33" fillId="2" borderId="0"/>
    <xf numFmtId="164" fontId="33" fillId="4" borderId="0"/>
    <xf numFmtId="164" fontId="33" fillId="12" borderId="0"/>
    <xf numFmtId="164" fontId="33" fillId="9" borderId="0"/>
    <xf numFmtId="164" fontId="33" fillId="2" borderId="0"/>
    <xf numFmtId="164" fontId="33" fillId="13" borderId="0"/>
    <xf numFmtId="164" fontId="34" fillId="14" borderId="0"/>
    <xf numFmtId="164" fontId="34" fillId="4" borderId="0"/>
    <xf numFmtId="164" fontId="34" fillId="12" borderId="0"/>
    <xf numFmtId="164" fontId="34" fillId="16" borderId="0"/>
    <xf numFmtId="164" fontId="34" fillId="17" borderId="0"/>
    <xf numFmtId="164" fontId="34" fillId="18" borderId="0"/>
    <xf numFmtId="164" fontId="34" fillId="19" borderId="0"/>
    <xf numFmtId="164" fontId="34" fillId="20" borderId="0"/>
    <xf numFmtId="164" fontId="34" fillId="21" borderId="0"/>
    <xf numFmtId="164" fontId="34" fillId="16" borderId="0"/>
    <xf numFmtId="164" fontId="34" fillId="17" borderId="0"/>
    <xf numFmtId="164" fontId="34" fillId="15" borderId="0"/>
    <xf numFmtId="164" fontId="35" fillId="0" borderId="0"/>
    <xf numFmtId="164" fontId="43" fillId="22" borderId="1"/>
    <xf numFmtId="164" fontId="44" fillId="0" borderId="2"/>
    <xf numFmtId="164" fontId="22" fillId="6" borderId="3"/>
    <xf numFmtId="164" fontId="36" fillId="8" borderId="1"/>
    <xf numFmtId="164" fontId="26" fillId="0" borderId="0"/>
    <xf numFmtId="164" fontId="37" fillId="5" borderId="0"/>
    <xf numFmtId="4" fontId="22" fillId="0" borderId="0"/>
    <xf numFmtId="170" fontId="26" fillId="0" borderId="0"/>
    <xf numFmtId="164" fontId="45" fillId="11" borderId="0"/>
    <xf numFmtId="164" fontId="27" fillId="0" borderId="0"/>
    <xf numFmtId="164" fontId="50" fillId="0" borderId="0"/>
    <xf numFmtId="164" fontId="51" fillId="0" borderId="0"/>
    <xf numFmtId="164" fontId="50" fillId="0" borderId="0"/>
    <xf numFmtId="164" fontId="26" fillId="0" borderId="0"/>
    <xf numFmtId="164" fontId="26" fillId="0" borderId="0"/>
    <xf numFmtId="164" fontId="27" fillId="0" borderId="0"/>
    <xf numFmtId="164" fontId="27" fillId="0" borderId="0"/>
    <xf numFmtId="164" fontId="26" fillId="0" borderId="0"/>
    <xf numFmtId="164" fontId="26" fillId="0" borderId="0"/>
    <xf numFmtId="9" fontId="22" fillId="0" borderId="0"/>
    <xf numFmtId="9" fontId="50" fillId="0" borderId="0"/>
    <xf numFmtId="9" fontId="51" fillId="0" borderId="0"/>
    <xf numFmtId="9" fontId="51" fillId="0" borderId="0"/>
    <xf numFmtId="164" fontId="38" fillId="7" borderId="0"/>
    <xf numFmtId="164" fontId="39" fillId="22" borderId="4"/>
    <xf numFmtId="164" fontId="40" fillId="0" borderId="0"/>
    <xf numFmtId="164" fontId="46" fillId="0" borderId="0"/>
    <xf numFmtId="164" fontId="47" fillId="0" borderId="5"/>
    <xf numFmtId="164" fontId="48" fillId="0" borderId="6"/>
    <xf numFmtId="164" fontId="49" fillId="0" borderId="7"/>
    <xf numFmtId="164" fontId="49" fillId="0" borderId="0"/>
    <xf numFmtId="164" fontId="41" fillId="0" borderId="8"/>
    <xf numFmtId="164" fontId="42" fillId="23" borderId="9"/>
    <xf numFmtId="0" fontId="22" fillId="0" borderId="0"/>
    <xf numFmtId="0" fontId="5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50" fillId="0" borderId="0"/>
    <xf numFmtId="43" fontId="50" fillId="0" borderId="0"/>
    <xf numFmtId="9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9" fontId="26" fillId="0" borderId="0"/>
    <xf numFmtId="0" fontId="26" fillId="0" borderId="0"/>
    <xf numFmtId="0" fontId="26" fillId="0" borderId="0"/>
    <xf numFmtId="0" fontId="26" fillId="0" borderId="0"/>
    <xf numFmtId="171" fontId="26" fillId="0" borderId="0"/>
    <xf numFmtId="0" fontId="80" fillId="0" borderId="0"/>
    <xf numFmtId="0" fontId="80" fillId="0" borderId="0"/>
    <xf numFmtId="0" fontId="50" fillId="0" borderId="0"/>
    <xf numFmtId="43" fontId="50" fillId="0" borderId="0"/>
    <xf numFmtId="9" fontId="50" fillId="0" borderId="0"/>
    <xf numFmtId="0" fontId="50" fillId="0" borderId="0"/>
    <xf numFmtId="0" fontId="80" fillId="0" borderId="0"/>
    <xf numFmtId="43" fontId="50" fillId="0" borderId="0"/>
    <xf numFmtId="9" fontId="50" fillId="0" borderId="0"/>
    <xf numFmtId="0" fontId="50" fillId="0" borderId="0"/>
    <xf numFmtId="0" fontId="80" fillId="0" borderId="0"/>
    <xf numFmtId="43" fontId="50" fillId="0" borderId="0"/>
    <xf numFmtId="9" fontId="50" fillId="0" borderId="0"/>
    <xf numFmtId="0" fontId="50" fillId="0" borderId="0"/>
    <xf numFmtId="43" fontId="50" fillId="0" borderId="0"/>
    <xf numFmtId="9" fontId="50" fillId="0" borderId="0"/>
    <xf numFmtId="0" fontId="81" fillId="0" borderId="0"/>
    <xf numFmtId="0" fontId="82" fillId="0" borderId="72"/>
    <xf numFmtId="0" fontId="83" fillId="0" borderId="73"/>
    <xf numFmtId="0" fontId="84" fillId="0" borderId="74"/>
    <xf numFmtId="0" fontId="84" fillId="0" borderId="0"/>
    <xf numFmtId="0" fontId="85" fillId="37" borderId="0"/>
    <xf numFmtId="0" fontId="86" fillId="38" borderId="0"/>
    <xf numFmtId="0" fontId="87" fillId="40" borderId="75"/>
    <xf numFmtId="0" fontId="88" fillId="41" borderId="76"/>
    <xf numFmtId="0" fontId="89" fillId="41" borderId="75"/>
    <xf numFmtId="0" fontId="90" fillId="0" borderId="77"/>
    <xf numFmtId="0" fontId="91" fillId="42" borderId="78"/>
    <xf numFmtId="0" fontId="92" fillId="0" borderId="0"/>
    <xf numFmtId="0" fontId="93" fillId="0" borderId="0"/>
    <xf numFmtId="0" fontId="94" fillId="0" borderId="80"/>
    <xf numFmtId="0" fontId="95" fillId="44" borderId="0"/>
    <xf numFmtId="0" fontId="50" fillId="45" borderId="0"/>
    <xf numFmtId="0" fontId="50" fillId="46" borderId="0"/>
    <xf numFmtId="0" fontId="95" fillId="48" borderId="0"/>
    <xf numFmtId="0" fontId="50" fillId="49" borderId="0"/>
    <xf numFmtId="0" fontId="50" fillId="50" borderId="0"/>
    <xf numFmtId="0" fontId="95" fillId="52" borderId="0"/>
    <xf numFmtId="0" fontId="50" fillId="53" borderId="0"/>
    <xf numFmtId="0" fontId="50" fillId="54" borderId="0"/>
    <xf numFmtId="0" fontId="95" fillId="56" borderId="0"/>
    <xf numFmtId="0" fontId="50" fillId="57" borderId="0"/>
    <xf numFmtId="0" fontId="50" fillId="58" borderId="0"/>
    <xf numFmtId="0" fontId="95" fillId="60" borderId="0"/>
    <xf numFmtId="0" fontId="50" fillId="61" borderId="0"/>
    <xf numFmtId="0" fontId="50" fillId="62" borderId="0"/>
    <xf numFmtId="0" fontId="95" fillId="64" borderId="0"/>
    <xf numFmtId="0" fontId="50" fillId="65" borderId="0"/>
    <xf numFmtId="0" fontId="50" fillId="66" borderId="0"/>
    <xf numFmtId="0" fontId="50" fillId="0" borderId="0"/>
    <xf numFmtId="43" fontId="50" fillId="0" borderId="0"/>
    <xf numFmtId="9" fontId="50" fillId="0" borderId="0"/>
    <xf numFmtId="0" fontId="96" fillId="39" borderId="0"/>
    <xf numFmtId="0" fontId="50" fillId="43" borderId="79"/>
    <xf numFmtId="0" fontId="95" fillId="47" borderId="0"/>
    <xf numFmtId="0" fontId="95" fillId="51" borderId="0"/>
    <xf numFmtId="0" fontId="95" fillId="55" borderId="0"/>
    <xf numFmtId="0" fontId="95" fillId="59" borderId="0"/>
    <xf numFmtId="0" fontId="95" fillId="63" borderId="0"/>
    <xf numFmtId="0" fontId="95" fillId="67" borderId="0"/>
    <xf numFmtId="171" fontId="50" fillId="0" borderId="0"/>
    <xf numFmtId="0" fontId="80" fillId="0" borderId="0"/>
    <xf numFmtId="164" fontId="50" fillId="0" borderId="0"/>
    <xf numFmtId="164" fontId="50" fillId="0" borderId="0"/>
    <xf numFmtId="9" fontId="50" fillId="0" borderId="0"/>
    <xf numFmtId="0" fontId="50" fillId="0" borderId="0"/>
    <xf numFmtId="43" fontId="50" fillId="0" borderId="0"/>
    <xf numFmtId="9" fontId="50" fillId="0" borderId="0"/>
    <xf numFmtId="0" fontId="50" fillId="0" borderId="0"/>
    <xf numFmtId="0" fontId="50" fillId="0" borderId="0"/>
    <xf numFmtId="0" fontId="50" fillId="0" borderId="0"/>
    <xf numFmtId="0" fontId="50" fillId="0" borderId="0"/>
  </cellStyleXfs>
  <cellXfs count="545">
    <xf numFmtId="164" fontId="0" fillId="0" borderId="0" pivotButton="0" quotePrefix="0" xfId="0"/>
    <xf numFmtId="164" fontId="24" fillId="0" borderId="0" applyAlignment="1" pivotButton="0" quotePrefix="0" xfId="0">
      <alignment horizontal="center" vertical="center"/>
    </xf>
    <xf numFmtId="164" fontId="24" fillId="0" borderId="11" applyAlignment="1" pivotButton="0" quotePrefix="0" xfId="0">
      <alignment vertical="center"/>
    </xf>
    <xf numFmtId="164" fontId="24" fillId="0" borderId="15" applyAlignment="1" pivotButton="0" quotePrefix="0" xfId="0">
      <alignment vertical="center"/>
    </xf>
    <xf numFmtId="3" fontId="24" fillId="0" borderId="14" applyAlignment="1" pivotButton="0" quotePrefix="0" xfId="0">
      <alignment vertical="center"/>
    </xf>
    <xf numFmtId="2" fontId="24" fillId="0" borderId="15" applyAlignment="1" pivotButton="0" quotePrefix="0" xfId="0">
      <alignment vertical="center"/>
    </xf>
    <xf numFmtId="164" fontId="24" fillId="0" borderId="0" applyAlignment="1" pivotButton="0" quotePrefix="0" xfId="0">
      <alignment vertical="center"/>
    </xf>
    <xf numFmtId="49" fontId="24" fillId="0" borderId="21" applyAlignment="1" pivotButton="0" quotePrefix="0" xfId="0">
      <alignment horizontal="center" vertical="center"/>
    </xf>
    <xf numFmtId="164" fontId="24" fillId="0" borderId="21" applyAlignment="1" pivotButton="0" quotePrefix="0" xfId="0">
      <alignment horizontal="center" vertical="center"/>
    </xf>
    <xf numFmtId="3" fontId="24" fillId="0" borderId="13" applyAlignment="1" pivotButton="0" quotePrefix="0" xfId="0">
      <alignment vertical="center"/>
    </xf>
    <xf numFmtId="2" fontId="24" fillId="0" borderId="10" applyAlignment="1" pivotButton="0" quotePrefix="0" xfId="0">
      <alignment vertical="center"/>
    </xf>
    <xf numFmtId="164" fontId="24" fillId="0" borderId="21" applyAlignment="1" pivotButton="0" quotePrefix="0" xfId="0">
      <alignment vertical="center"/>
    </xf>
    <xf numFmtId="3" fontId="24" fillId="0" borderId="12" applyAlignment="1" pivotButton="0" quotePrefix="0" xfId="0">
      <alignment vertical="center"/>
    </xf>
    <xf numFmtId="49" fontId="25" fillId="0" borderId="21" applyAlignment="1" pivotButton="0" quotePrefix="0" xfId="0">
      <alignment horizontal="center" vertical="center"/>
    </xf>
    <xf numFmtId="164" fontId="25" fillId="0" borderId="21" applyAlignment="1" pivotButton="0" quotePrefix="0" xfId="0">
      <alignment vertical="center"/>
    </xf>
    <xf numFmtId="3" fontId="25" fillId="0" borderId="12" applyAlignment="1" pivotButton="0" quotePrefix="0" xfId="0">
      <alignment vertical="center"/>
    </xf>
    <xf numFmtId="3" fontId="25" fillId="0" borderId="13" applyAlignment="1" pivotButton="0" quotePrefix="0" xfId="0">
      <alignment vertical="center"/>
    </xf>
    <xf numFmtId="2" fontId="25" fillId="0" borderId="10" applyAlignment="1" pivotButton="0" quotePrefix="0" xfId="0">
      <alignment vertical="center"/>
    </xf>
    <xf numFmtId="164" fontId="25" fillId="0" borderId="0" applyAlignment="1" pivotButton="0" quotePrefix="0" xfId="0">
      <alignment vertical="center"/>
    </xf>
    <xf numFmtId="164" fontId="24" fillId="0" borderId="12" applyAlignment="1" pivotButton="0" quotePrefix="0" xfId="0">
      <alignment vertical="center"/>
    </xf>
    <xf numFmtId="3" fontId="24" fillId="0" borderId="0" applyAlignment="1" pivotButton="0" quotePrefix="0" xfId="0">
      <alignment vertical="center"/>
    </xf>
    <xf numFmtId="2" fontId="24" fillId="0" borderId="0" applyAlignment="1" pivotButton="0" quotePrefix="0" xfId="0">
      <alignment vertical="center"/>
    </xf>
    <xf numFmtId="3" fontId="24" fillId="0" borderId="12" applyAlignment="1" pivotButton="0" quotePrefix="0" xfId="0">
      <alignment horizontal="right" vertical="center"/>
    </xf>
    <xf numFmtId="3" fontId="25" fillId="0" borderId="12" applyAlignment="1" pivotButton="0" quotePrefix="0" xfId="0">
      <alignment horizontal="right" vertical="center"/>
    </xf>
    <xf numFmtId="3" fontId="25" fillId="0" borderId="26" applyAlignment="1" pivotButton="0" quotePrefix="0" xfId="0">
      <alignment vertical="center"/>
    </xf>
    <xf numFmtId="3" fontId="24" fillId="24" borderId="32" applyAlignment="1" applyProtection="1" pivotButton="0" quotePrefix="0" xfId="0">
      <alignment horizontal="center" vertical="center"/>
      <protection locked="0" hidden="0"/>
    </xf>
    <xf numFmtId="3" fontId="24" fillId="24" borderId="10" applyAlignment="1" applyProtection="1" pivotButton="0" quotePrefix="0" xfId="0">
      <alignment horizontal="center" vertical="center"/>
      <protection locked="0" hidden="0"/>
    </xf>
    <xf numFmtId="3" fontId="24" fillId="24" borderId="21" applyAlignment="1" applyProtection="1" pivotButton="0" quotePrefix="0" xfId="0">
      <alignment horizontal="center" vertical="center"/>
      <protection locked="0" hidden="0"/>
    </xf>
    <xf numFmtId="3" fontId="24" fillId="24" borderId="33" applyAlignment="1" applyProtection="1" pivotButton="0" quotePrefix="0" xfId="0">
      <alignment horizontal="center" vertical="center"/>
      <protection locked="0" hidden="0"/>
    </xf>
    <xf numFmtId="3" fontId="24" fillId="0" borderId="30" applyAlignment="1" applyProtection="1" pivotButton="0" quotePrefix="0" xfId="0">
      <alignment vertical="center"/>
      <protection locked="0" hidden="0"/>
    </xf>
    <xf numFmtId="2" fontId="24" fillId="0" borderId="18" applyAlignment="1" pivotButton="0" quotePrefix="0" xfId="0">
      <alignment vertical="center"/>
    </xf>
    <xf numFmtId="164" fontId="28" fillId="0" borderId="0" pivotButton="0" quotePrefix="0" xfId="44"/>
    <xf numFmtId="164" fontId="29" fillId="0" borderId="0" applyAlignment="1" pivotButton="0" quotePrefix="0" xfId="44">
      <alignment horizontal="centerContinuous"/>
    </xf>
    <xf numFmtId="164" fontId="30" fillId="0" borderId="0" applyAlignment="1" pivotButton="0" quotePrefix="0" xfId="44">
      <alignment horizontal="centerContinuous"/>
    </xf>
    <xf numFmtId="164" fontId="30" fillId="0" borderId="0" pivotButton="0" quotePrefix="0" xfId="44"/>
    <xf numFmtId="164" fontId="31" fillId="0" borderId="0" applyAlignment="1" pivotButton="0" quotePrefix="0" xfId="44">
      <alignment horizontal="centerContinuous"/>
    </xf>
    <xf numFmtId="164" fontId="28" fillId="0" borderId="0" applyAlignment="1" pivotButton="0" quotePrefix="0" xfId="44">
      <alignment horizontal="centerContinuous"/>
    </xf>
    <xf numFmtId="164" fontId="24" fillId="0" borderId="0" applyAlignment="1" pivotButton="0" quotePrefix="0" xfId="44">
      <alignment horizontal="centerContinuous"/>
    </xf>
    <xf numFmtId="164" fontId="32" fillId="0" borderId="0" applyAlignment="1" pivotButton="0" quotePrefix="0" xfId="44">
      <alignment horizontal="centerContinuous"/>
    </xf>
    <xf numFmtId="14" fontId="31" fillId="0" borderId="0" applyAlignment="1" pivotButton="0" quotePrefix="0" xfId="44">
      <alignment horizontal="center"/>
    </xf>
    <xf numFmtId="14" fontId="30" fillId="0" borderId="0" applyAlignment="1" pivotButton="0" quotePrefix="0" xfId="44">
      <alignment horizontal="centerContinuous"/>
    </xf>
    <xf numFmtId="14" fontId="28" fillId="0" borderId="0" pivotButton="0" quotePrefix="0" xfId="44"/>
    <xf numFmtId="164" fontId="24" fillId="0" borderId="12" applyAlignment="1" pivotButton="0" quotePrefix="0" xfId="0">
      <alignment horizontal="center" vertical="center"/>
    </xf>
    <xf numFmtId="164" fontId="24" fillId="0" borderId="19" applyAlignment="1" pivotButton="0" quotePrefix="0" xfId="0">
      <alignment horizontal="center" vertical="center"/>
    </xf>
    <xf numFmtId="164" fontId="54" fillId="0" borderId="0" pivotButton="0" quotePrefix="0" xfId="0"/>
    <xf numFmtId="164" fontId="53" fillId="0" borderId="0" applyAlignment="1" pivotButton="0" quotePrefix="0" xfId="0">
      <alignment vertical="center"/>
    </xf>
    <xf numFmtId="164" fontId="54" fillId="0" borderId="0" applyAlignment="1" pivotButton="0" quotePrefix="0" xfId="0">
      <alignment vertical="center"/>
    </xf>
    <xf numFmtId="49" fontId="54" fillId="26" borderId="0" applyAlignment="1" pivotButton="0" quotePrefix="0" xfId="0">
      <alignment horizontal="center" vertical="center"/>
    </xf>
    <xf numFmtId="3" fontId="54" fillId="0" borderId="0" applyAlignment="1" pivotButton="0" quotePrefix="0" xfId="32">
      <alignment vertical="center"/>
    </xf>
    <xf numFmtId="3" fontId="24" fillId="25" borderId="24" applyAlignment="1" pivotButton="0" quotePrefix="0" xfId="0">
      <alignment horizontal="right" vertical="center"/>
    </xf>
    <xf numFmtId="2" fontId="24" fillId="25" borderId="23" applyAlignment="1" pivotButton="0" quotePrefix="0" xfId="0">
      <alignment vertical="center"/>
    </xf>
    <xf numFmtId="3" fontId="24" fillId="25" borderId="22" applyAlignment="1" pivotButton="0" quotePrefix="0" xfId="0">
      <alignment vertical="center"/>
    </xf>
    <xf numFmtId="164" fontId="24" fillId="0" borderId="38" applyAlignment="1" pivotButton="0" quotePrefix="0" xfId="0">
      <alignment vertical="center"/>
    </xf>
    <xf numFmtId="3" fontId="24" fillId="0" borderId="40" applyAlignment="1" pivotButton="0" quotePrefix="0" xfId="0">
      <alignment vertical="center"/>
    </xf>
    <xf numFmtId="2" fontId="24" fillId="0" borderId="39" applyAlignment="1" pivotButton="0" quotePrefix="0" xfId="0">
      <alignment vertical="center"/>
    </xf>
    <xf numFmtId="3" fontId="55" fillId="0" borderId="20" applyAlignment="1" pivotButton="0" quotePrefix="0" xfId="0">
      <alignment horizontal="right" vertical="center"/>
    </xf>
    <xf numFmtId="2" fontId="55" fillId="0" borderId="17" applyAlignment="1" pivotButton="0" quotePrefix="0" xfId="0">
      <alignment vertical="center"/>
    </xf>
    <xf numFmtId="3" fontId="55" fillId="0" borderId="13" applyAlignment="1" pivotButton="0" quotePrefix="0" xfId="0">
      <alignment vertical="center"/>
    </xf>
    <xf numFmtId="3" fontId="55" fillId="0" borderId="16" applyAlignment="1" pivotButton="0" quotePrefix="0" xfId="0">
      <alignment vertical="center"/>
    </xf>
    <xf numFmtId="164" fontId="55" fillId="0" borderId="0" applyAlignment="1" pivotButton="0" quotePrefix="0" xfId="0">
      <alignment vertical="center"/>
    </xf>
    <xf numFmtId="49" fontId="55" fillId="0" borderId="21" applyAlignment="1" pivotButton="0" quotePrefix="0" xfId="0">
      <alignment horizontal="center" vertical="center"/>
    </xf>
    <xf numFmtId="164" fontId="24" fillId="0" borderId="19" applyAlignment="1" pivotButton="0" quotePrefix="0" xfId="0">
      <alignment vertical="center"/>
    </xf>
    <xf numFmtId="164" fontId="56" fillId="0" borderId="21" applyAlignment="1" pivotButton="0" quotePrefix="0" xfId="0">
      <alignment horizontal="right" vertical="center"/>
    </xf>
    <xf numFmtId="164" fontId="24" fillId="25" borderId="31" applyAlignment="1" pivotButton="0" quotePrefix="0" xfId="0">
      <alignment horizontal="right" vertical="center"/>
    </xf>
    <xf numFmtId="164" fontId="24" fillId="0" borderId="44" applyAlignment="1" pivotButton="0" quotePrefix="0" xfId="0">
      <alignment vertical="center"/>
    </xf>
    <xf numFmtId="165" fontId="24" fillId="24" borderId="21" applyAlignment="1" pivotButton="0" quotePrefix="0" xfId="0">
      <alignment horizontal="center" vertical="center"/>
    </xf>
    <xf numFmtId="165" fontId="24" fillId="0" borderId="30" applyAlignment="1" pivotButton="0" quotePrefix="0" xfId="0">
      <alignment vertical="center"/>
    </xf>
    <xf numFmtId="3" fontId="55" fillId="0" borderId="20" applyAlignment="1" pivotButton="0" quotePrefix="0" xfId="0">
      <alignment vertical="center"/>
    </xf>
    <xf numFmtId="164" fontId="25" fillId="0" borderId="46" applyAlignment="1" pivotButton="0" quotePrefix="0" xfId="0">
      <alignment horizontal="left" vertical="center"/>
    </xf>
    <xf numFmtId="164" fontId="52" fillId="27" borderId="43" applyAlignment="1" pivotButton="0" quotePrefix="0" xfId="0">
      <alignment horizontal="center" vertical="center"/>
    </xf>
    <xf numFmtId="3" fontId="52" fillId="27" borderId="35" applyAlignment="1" pivotButton="0" quotePrefix="0" xfId="0">
      <alignment horizontal="right" vertical="center"/>
    </xf>
    <xf numFmtId="2" fontId="52" fillId="27" borderId="36" applyAlignment="1" pivotButton="0" quotePrefix="0" xfId="0">
      <alignment vertical="center"/>
    </xf>
    <xf numFmtId="3" fontId="52" fillId="27" borderId="37" applyAlignment="1" pivotButton="0" quotePrefix="0" xfId="0">
      <alignment vertical="center"/>
    </xf>
    <xf numFmtId="164" fontId="52" fillId="29" borderId="43" applyAlignment="1" pivotButton="0" quotePrefix="0" xfId="0">
      <alignment horizontal="center" vertical="center"/>
    </xf>
    <xf numFmtId="164" fontId="57" fillId="0" borderId="0" pivotButton="0" quotePrefix="0" xfId="0"/>
    <xf numFmtId="164" fontId="58" fillId="0" borderId="0" applyAlignment="1" pivotButton="0" quotePrefix="0" xfId="0">
      <alignment horizontal="right"/>
    </xf>
    <xf numFmtId="3" fontId="54" fillId="0" borderId="0" applyAlignment="1" pivotButton="0" quotePrefix="0" xfId="0">
      <alignment vertical="center"/>
    </xf>
    <xf numFmtId="164" fontId="52" fillId="28" borderId="28" applyAlignment="1" pivotButton="0" quotePrefix="0" xfId="0">
      <alignment horizontal="center" vertical="center"/>
    </xf>
    <xf numFmtId="164" fontId="52" fillId="28" borderId="27" applyAlignment="1" pivotButton="0" quotePrefix="0" xfId="0">
      <alignment horizontal="center" vertical="center"/>
    </xf>
    <xf numFmtId="164" fontId="54" fillId="0" borderId="0" applyAlignment="1" pivotButton="0" quotePrefix="0" xfId="41">
      <alignment vertical="center"/>
    </xf>
    <xf numFmtId="1" fontId="54" fillId="0" borderId="0" applyAlignment="1" pivotButton="0" quotePrefix="0" xfId="41">
      <alignment horizontal="center" vertical="center"/>
    </xf>
    <xf numFmtId="164" fontId="54" fillId="0" borderId="0" applyAlignment="1" applyProtection="1" pivotButton="0" quotePrefix="0" xfId="41">
      <alignment vertical="center"/>
      <protection locked="0" hidden="1"/>
    </xf>
    <xf numFmtId="164" fontId="54" fillId="0" borderId="0" applyAlignment="1" pivotButton="0" quotePrefix="0" xfId="41">
      <alignment horizontal="center" vertical="center"/>
    </xf>
    <xf numFmtId="3" fontId="54" fillId="0" borderId="0" applyAlignment="1" pivotButton="0" quotePrefix="0" xfId="41">
      <alignment horizontal="center" vertical="center"/>
    </xf>
    <xf numFmtId="3" fontId="54" fillId="0" borderId="0" applyAlignment="1" pivotButton="0" quotePrefix="0" xfId="0">
      <alignment horizontal="center" vertical="center"/>
    </xf>
    <xf numFmtId="3" fontId="54" fillId="0" borderId="0" applyAlignment="1" applyProtection="1" pivotButton="0" quotePrefix="0" xfId="32">
      <alignment horizontal="right" vertical="center"/>
      <protection locked="0" hidden="1"/>
    </xf>
    <xf numFmtId="3" fontId="54" fillId="0" borderId="0" applyAlignment="1" pivotButton="0" quotePrefix="0" xfId="32">
      <alignment horizontal="right" vertical="center"/>
    </xf>
    <xf numFmtId="3" fontId="54" fillId="0" borderId="0" applyAlignment="1" applyProtection="1" pivotButton="0" quotePrefix="0" xfId="32">
      <alignment vertical="center"/>
      <protection locked="0" hidden="1"/>
    </xf>
    <xf numFmtId="3" fontId="54" fillId="0" borderId="0" applyAlignment="1" applyProtection="1" pivotButton="0" quotePrefix="0" xfId="0">
      <alignment vertical="center"/>
      <protection locked="0" hidden="1"/>
    </xf>
    <xf numFmtId="49" fontId="54" fillId="26" borderId="0" applyAlignment="1" pivotButton="0" quotePrefix="1" xfId="0">
      <alignment horizontal="center" vertical="center"/>
    </xf>
    <xf numFmtId="166" fontId="54" fillId="0" borderId="0" applyAlignment="1" pivotButton="0" quotePrefix="0" xfId="0">
      <alignment vertical="center"/>
    </xf>
    <xf numFmtId="166" fontId="54" fillId="0" borderId="0" applyAlignment="1" pivotButton="0" quotePrefix="0" xfId="32">
      <alignment vertical="center"/>
    </xf>
    <xf numFmtId="3" fontId="54" fillId="0" borderId="0" applyAlignment="1" pivotButton="0" quotePrefix="0" xfId="0">
      <alignment horizontal="right" vertical="center"/>
    </xf>
    <xf numFmtId="3" fontId="54" fillId="0" borderId="0" applyAlignment="1" applyProtection="1" pivotButton="0" quotePrefix="0" xfId="0">
      <alignment horizontal="right" vertical="center"/>
      <protection locked="0" hidden="1"/>
    </xf>
    <xf numFmtId="1" fontId="54" fillId="0" borderId="0" applyAlignment="1" pivotButton="0" quotePrefix="1" xfId="41">
      <alignment horizontal="center" vertical="center" wrapText="1"/>
    </xf>
    <xf numFmtId="1" fontId="54" fillId="0" borderId="0" applyAlignment="1" pivotButton="0" quotePrefix="0" xfId="41">
      <alignment horizontal="center" vertical="center" wrapText="1"/>
    </xf>
    <xf numFmtId="10" fontId="58" fillId="0" borderId="0" applyAlignment="1" applyProtection="1" pivotButton="0" quotePrefix="0" xfId="45">
      <alignment horizontal="right" vertical="center"/>
      <protection locked="0" hidden="1"/>
    </xf>
    <xf numFmtId="10" fontId="58" fillId="0" borderId="0" applyAlignment="1" pivotButton="0" quotePrefix="0" xfId="45">
      <alignment horizontal="right" vertical="center"/>
    </xf>
    <xf numFmtId="10" fontId="58" fillId="0" borderId="0" pivotButton="0" quotePrefix="0" xfId="45"/>
    <xf numFmtId="10" fontId="24" fillId="0" borderId="0" applyAlignment="1" pivotButton="0" quotePrefix="0" xfId="45">
      <alignment vertical="center"/>
    </xf>
    <xf numFmtId="10" fontId="58" fillId="0" borderId="0" applyAlignment="1" pivotButton="0" quotePrefix="0" xfId="45">
      <alignment horizontal="center" vertical="center" wrapText="1"/>
    </xf>
    <xf numFmtId="10" fontId="58" fillId="0" borderId="0" applyAlignment="1" pivotButton="0" quotePrefix="0" xfId="45">
      <alignment horizontal="center" vertical="center"/>
    </xf>
    <xf numFmtId="10" fontId="58" fillId="0" borderId="0" applyAlignment="1" applyProtection="1" pivotButton="0" quotePrefix="0" xfId="45">
      <alignment vertical="center"/>
      <protection locked="0" hidden="1"/>
    </xf>
    <xf numFmtId="10" fontId="58" fillId="0" borderId="0" applyAlignment="1" pivotButton="0" quotePrefix="0" xfId="45">
      <alignment vertical="center"/>
    </xf>
    <xf numFmtId="10" fontId="58" fillId="0" borderId="0" applyAlignment="1" pivotButton="0" quotePrefix="0" xfId="45">
      <alignment horizontal="right"/>
    </xf>
    <xf numFmtId="10" fontId="58" fillId="0" borderId="0" applyAlignment="1" pivotButton="0" quotePrefix="0" xfId="0">
      <alignment vertical="center"/>
    </xf>
    <xf numFmtId="166" fontId="54" fillId="0" borderId="0" pivotButton="0" quotePrefix="0" xfId="0"/>
    <xf numFmtId="166" fontId="24" fillId="0" borderId="0" applyAlignment="1" pivotButton="0" quotePrefix="0" xfId="0">
      <alignment vertical="center"/>
    </xf>
    <xf numFmtId="166" fontId="54" fillId="0" borderId="0" applyAlignment="1" pivotButton="0" quotePrefix="1" xfId="41">
      <alignment horizontal="center" vertical="center" wrapText="1"/>
    </xf>
    <xf numFmtId="166" fontId="54" fillId="0" borderId="0" applyAlignment="1" applyProtection="1" pivotButton="0" quotePrefix="0" xfId="32">
      <alignment horizontal="right" vertical="center"/>
      <protection locked="0" hidden="1"/>
    </xf>
    <xf numFmtId="166" fontId="54" fillId="0" borderId="0" applyAlignment="1" pivotButton="0" quotePrefix="0" xfId="32">
      <alignment horizontal="right" vertical="center"/>
    </xf>
    <xf numFmtId="166" fontId="54" fillId="0" borderId="0" applyAlignment="1" pivotButton="0" quotePrefix="0" xfId="0">
      <alignment horizontal="right" vertical="center"/>
    </xf>
    <xf numFmtId="166" fontId="54" fillId="0" borderId="0" applyAlignment="1" pivotButton="0" quotePrefix="0" xfId="41">
      <alignment horizontal="center" vertical="center"/>
    </xf>
    <xf numFmtId="166" fontId="54" fillId="0" borderId="0" applyAlignment="1" applyProtection="1" pivotButton="0" quotePrefix="0" xfId="32">
      <alignment vertical="center"/>
      <protection locked="0" hidden="1"/>
    </xf>
    <xf numFmtId="166" fontId="54" fillId="0" borderId="0" pivotButton="0" quotePrefix="0" xfId="45"/>
    <xf numFmtId="166" fontId="25" fillId="0" borderId="0" applyAlignment="1" pivotButton="0" quotePrefix="0" xfId="45">
      <alignment vertical="center"/>
    </xf>
    <xf numFmtId="166" fontId="54" fillId="0" borderId="0" applyAlignment="1" pivotButton="0" quotePrefix="0" xfId="45">
      <alignment horizontal="right" vertical="center"/>
    </xf>
    <xf numFmtId="166" fontId="54" fillId="0" borderId="0" applyAlignment="1" applyProtection="1" pivotButton="0" quotePrefix="0" xfId="0">
      <alignment horizontal="right" vertical="center"/>
      <protection locked="0" hidden="1"/>
    </xf>
    <xf numFmtId="166" fontId="54" fillId="0" borderId="0" applyAlignment="1" pivotButton="0" quotePrefix="0" xfId="45">
      <alignment horizontal="center" vertical="center"/>
    </xf>
    <xf numFmtId="166" fontId="54" fillId="0" borderId="0" applyAlignment="1" applyProtection="1" pivotButton="0" quotePrefix="0" xfId="0">
      <alignment vertical="center"/>
      <protection locked="0" hidden="1"/>
    </xf>
    <xf numFmtId="166" fontId="54" fillId="0" borderId="0" applyAlignment="1" pivotButton="0" quotePrefix="0" xfId="45">
      <alignment vertical="center"/>
    </xf>
    <xf numFmtId="166" fontId="54" fillId="0" borderId="0" applyAlignment="1" pivotButton="0" quotePrefix="0" xfId="41">
      <alignment vertical="center"/>
    </xf>
    <xf numFmtId="166" fontId="58" fillId="0" borderId="0" applyAlignment="1" pivotButton="0" quotePrefix="0" xfId="0">
      <alignment horizontal="right"/>
    </xf>
    <xf numFmtId="166" fontId="54" fillId="0" borderId="0" applyAlignment="1" pivotButton="0" quotePrefix="0" xfId="0">
      <alignment horizontal="center" vertical="center"/>
    </xf>
    <xf numFmtId="166" fontId="54" fillId="0" borderId="0" applyAlignment="1" pivotButton="0" quotePrefix="1" xfId="45">
      <alignment horizontal="center" vertical="center" wrapText="1"/>
    </xf>
    <xf numFmtId="10" fontId="58" fillId="0" borderId="0" applyAlignment="1" pivotButton="0" quotePrefix="0" xfId="0">
      <alignment horizontal="right" vertical="center"/>
    </xf>
    <xf numFmtId="167" fontId="54" fillId="0" borderId="0" applyAlignment="1" pivotButton="0" quotePrefix="0" xfId="0">
      <alignment vertical="center"/>
    </xf>
    <xf numFmtId="167" fontId="54" fillId="0" borderId="0" applyAlignment="1" pivotButton="0" quotePrefix="0" xfId="32">
      <alignment vertical="center"/>
    </xf>
    <xf numFmtId="167" fontId="54" fillId="0" borderId="0" applyAlignment="1" applyProtection="1" pivotButton="0" quotePrefix="0" xfId="32">
      <alignment horizontal="right" vertical="center"/>
      <protection locked="0" hidden="1"/>
    </xf>
    <xf numFmtId="167" fontId="54" fillId="0" borderId="0" applyAlignment="1" applyProtection="1" pivotButton="0" quotePrefix="0" xfId="32">
      <alignment vertical="center"/>
      <protection locked="0" hidden="1"/>
    </xf>
    <xf numFmtId="167" fontId="54" fillId="0" borderId="0" applyAlignment="1" pivotButton="0" quotePrefix="0" xfId="32">
      <alignment horizontal="right" vertical="center"/>
    </xf>
    <xf numFmtId="3" fontId="54" fillId="26" borderId="0" applyAlignment="1" pivotButton="0" quotePrefix="0" xfId="32">
      <alignment vertical="center"/>
    </xf>
    <xf numFmtId="166" fontId="54" fillId="26" borderId="0" applyAlignment="1" pivotButton="0" quotePrefix="0" xfId="32">
      <alignment vertical="center"/>
    </xf>
    <xf numFmtId="167" fontId="54" fillId="26" borderId="0" applyAlignment="1" pivotButton="0" quotePrefix="0" xfId="32">
      <alignment vertical="center"/>
    </xf>
    <xf numFmtId="164" fontId="54" fillId="0" borderId="0" applyAlignment="1" pivotButton="0" quotePrefix="1" xfId="0">
      <alignment vertical="center"/>
    </xf>
    <xf numFmtId="164" fontId="57" fillId="0" borderId="0" applyAlignment="1" pivotButton="0" quotePrefix="0" xfId="44">
      <alignment vertical="center"/>
    </xf>
    <xf numFmtId="164" fontId="63" fillId="0" borderId="0" applyAlignment="1" pivotButton="0" quotePrefix="0" xfId="44">
      <alignment vertical="center"/>
    </xf>
    <xf numFmtId="164" fontId="58" fillId="0" borderId="0" applyAlignment="1" pivotButton="0" quotePrefix="0" xfId="44">
      <alignment vertical="center"/>
    </xf>
    <xf numFmtId="164" fontId="64" fillId="0" borderId="0" applyAlignment="1" pivotButton="0" quotePrefix="0" xfId="44">
      <alignment vertical="center"/>
    </xf>
    <xf numFmtId="164" fontId="65" fillId="0" borderId="0" applyAlignment="1" pivotButton="0" quotePrefix="0" xfId="44">
      <alignment vertical="center" wrapText="1"/>
    </xf>
    <xf numFmtId="164" fontId="66" fillId="0" borderId="0" applyAlignment="1" pivotButton="0" quotePrefix="0" xfId="44">
      <alignment vertical="center"/>
    </xf>
    <xf numFmtId="164" fontId="68" fillId="0" borderId="0" applyAlignment="1" pivotButton="0" quotePrefix="0" xfId="44">
      <alignment vertical="center"/>
    </xf>
    <xf numFmtId="49" fontId="61" fillId="0" borderId="0" applyAlignment="1" pivotButton="0" quotePrefix="0" xfId="44">
      <alignment horizontal="center" vertical="center"/>
    </xf>
    <xf numFmtId="164" fontId="61" fillId="0" borderId="0" applyAlignment="1" pivotButton="0" quotePrefix="0" xfId="44">
      <alignment horizontal="center" vertical="center"/>
    </xf>
    <xf numFmtId="164" fontId="61" fillId="0" borderId="0" applyAlignment="1" pivotButton="0" quotePrefix="0" xfId="44">
      <alignment horizontal="center" vertical="center" wrapText="1"/>
    </xf>
    <xf numFmtId="164" fontId="61" fillId="0" borderId="0" applyAlignment="1" pivotButton="0" quotePrefix="0" xfId="44">
      <alignment vertical="center"/>
    </xf>
    <xf numFmtId="164" fontId="61" fillId="0" borderId="0" applyAlignment="1" applyProtection="1" pivotButton="0" quotePrefix="0" xfId="44">
      <alignment vertical="center"/>
      <protection locked="0" hidden="0"/>
    </xf>
    <xf numFmtId="164" fontId="54" fillId="0" borderId="0" applyAlignment="1" pivotButton="0" quotePrefix="0" xfId="44">
      <alignment vertical="center"/>
    </xf>
    <xf numFmtId="164" fontId="54" fillId="0" borderId="0" applyAlignment="1" pivotButton="0" quotePrefix="0" xfId="44">
      <alignment horizontal="center" vertical="center"/>
    </xf>
    <xf numFmtId="164" fontId="70" fillId="0" borderId="0" applyAlignment="1" pivotButton="0" quotePrefix="0" xfId="44">
      <alignment vertical="center"/>
    </xf>
    <xf numFmtId="164" fontId="71" fillId="0" borderId="0" applyAlignment="1" pivotButton="0" quotePrefix="0" xfId="44">
      <alignment vertical="center"/>
    </xf>
    <xf numFmtId="164" fontId="71" fillId="0" borderId="0" applyAlignment="1" pivotButton="0" quotePrefix="0" xfId="44">
      <alignment horizontal="center" vertical="center"/>
    </xf>
    <xf numFmtId="164" fontId="67" fillId="28" borderId="0" applyAlignment="1" pivotButton="0" quotePrefix="0" xfId="44">
      <alignment horizontal="center" vertical="center"/>
    </xf>
    <xf numFmtId="164" fontId="67" fillId="28" borderId="0" applyAlignment="1" pivotButton="0" quotePrefix="0" xfId="44">
      <alignment vertical="center"/>
    </xf>
    <xf numFmtId="49" fontId="67" fillId="28" borderId="0" applyAlignment="1" pivotButton="0" quotePrefix="0" xfId="44">
      <alignment horizontal="center" vertical="center"/>
    </xf>
    <xf numFmtId="0" fontId="72" fillId="0" borderId="0" pivotButton="0" quotePrefix="0" xfId="84"/>
    <xf numFmtId="49" fontId="72" fillId="26" borderId="0" pivotButton="0" quotePrefix="0" xfId="84"/>
    <xf numFmtId="49" fontId="72" fillId="0" borderId="0" pivotButton="0" quotePrefix="0" xfId="84"/>
    <xf numFmtId="14" fontId="72" fillId="0" borderId="0" pivotButton="0" quotePrefix="0" xfId="84"/>
    <xf numFmtId="168" fontId="72" fillId="0" borderId="0" pivotButton="0" quotePrefix="0" xfId="84"/>
    <xf numFmtId="0" fontId="72" fillId="0" borderId="0" applyAlignment="1" pivotButton="0" quotePrefix="0" xfId="84">
      <alignment horizontal="left"/>
    </xf>
    <xf numFmtId="0" fontId="0" fillId="0" borderId="0" pivotButton="0" quotePrefix="0" xfId="0"/>
    <xf numFmtId="166" fontId="58" fillId="0" borderId="0" applyAlignment="1" pivotButton="0" quotePrefix="0" xfId="45">
      <alignment horizontal="right"/>
    </xf>
    <xf numFmtId="166" fontId="54" fillId="0" borderId="48" applyAlignment="1" applyProtection="1" pivotButton="0" quotePrefix="0" xfId="32">
      <alignment horizontal="right" vertical="center"/>
      <protection locked="0" hidden="1"/>
    </xf>
    <xf numFmtId="166" fontId="54" fillId="0" borderId="48" applyAlignment="1" applyProtection="1" pivotButton="0" quotePrefix="0" xfId="0">
      <alignment horizontal="right" vertical="center"/>
      <protection locked="0" hidden="1"/>
    </xf>
    <xf numFmtId="166" fontId="54" fillId="0" borderId="48" applyAlignment="1" pivotButton="0" quotePrefix="0" xfId="32">
      <alignment horizontal="right" vertical="center"/>
    </xf>
    <xf numFmtId="166" fontId="54" fillId="0" borderId="49" applyAlignment="1" pivotButton="0" quotePrefix="1" xfId="41">
      <alignment horizontal="center" vertical="center" wrapText="1"/>
    </xf>
    <xf numFmtId="166" fontId="54" fillId="0" borderId="48" applyAlignment="1" pivotButton="0" quotePrefix="0" xfId="0">
      <alignment horizontal="right" vertical="center"/>
    </xf>
    <xf numFmtId="164" fontId="24" fillId="30" borderId="50" applyAlignment="1" pivotButton="0" quotePrefix="0" xfId="0">
      <alignment vertical="center"/>
    </xf>
    <xf numFmtId="164" fontId="54" fillId="0" borderId="50" applyAlignment="1" pivotButton="0" quotePrefix="0" xfId="41">
      <alignment vertical="center"/>
    </xf>
    <xf numFmtId="164" fontId="54" fillId="0" borderId="50" applyAlignment="1" applyProtection="1" pivotButton="0" quotePrefix="0" xfId="41">
      <alignment vertical="center"/>
      <protection locked="0" hidden="1"/>
    </xf>
    <xf numFmtId="164" fontId="54" fillId="0" borderId="50" applyAlignment="1" pivotButton="0" quotePrefix="0" xfId="0">
      <alignment vertical="center"/>
    </xf>
    <xf numFmtId="166" fontId="54" fillId="0" borderId="50" applyAlignment="1" pivotButton="0" quotePrefix="1" xfId="41">
      <alignment horizontal="center" vertical="center" wrapText="1"/>
    </xf>
    <xf numFmtId="166" fontId="54" fillId="0" borderId="50" applyAlignment="1" applyProtection="1" pivotButton="0" quotePrefix="0" xfId="32">
      <alignment horizontal="right" vertical="center"/>
      <protection locked="0" hidden="1"/>
    </xf>
    <xf numFmtId="166" fontId="54" fillId="0" borderId="50" applyAlignment="1" pivotButton="0" quotePrefix="0" xfId="32">
      <alignment horizontal="right" vertical="center"/>
    </xf>
    <xf numFmtId="166" fontId="54" fillId="0" borderId="50" applyAlignment="1" applyProtection="1" pivotButton="0" quotePrefix="0" xfId="0">
      <alignment horizontal="right" vertical="center"/>
      <protection locked="0" hidden="1"/>
    </xf>
    <xf numFmtId="164" fontId="24" fillId="31" borderId="50" applyAlignment="1" pivotButton="0" quotePrefix="0" xfId="0">
      <alignment vertical="center"/>
    </xf>
    <xf numFmtId="167" fontId="54" fillId="0" borderId="48" applyAlignment="1" applyProtection="1" pivotButton="0" quotePrefix="0" xfId="32">
      <alignment horizontal="right" vertical="center"/>
      <protection locked="0" hidden="1"/>
    </xf>
    <xf numFmtId="167" fontId="54" fillId="0" borderId="50" applyAlignment="1" applyProtection="1" pivotButton="0" quotePrefix="0" xfId="32">
      <alignment horizontal="right" vertical="center"/>
      <protection locked="0" hidden="1"/>
    </xf>
    <xf numFmtId="167" fontId="74" fillId="0" borderId="0" applyAlignment="1" applyProtection="1" pivotButton="0" quotePrefix="0" xfId="32">
      <alignment horizontal="right" vertical="center"/>
      <protection locked="0" hidden="1"/>
    </xf>
    <xf numFmtId="167" fontId="54" fillId="0" borderId="0" applyAlignment="1" applyProtection="1" pivotButton="0" quotePrefix="0" xfId="41">
      <alignment vertical="center"/>
      <protection locked="0" hidden="1"/>
    </xf>
    <xf numFmtId="167" fontId="54" fillId="0" borderId="0" applyAlignment="1" pivotButton="0" quotePrefix="0" xfId="41">
      <alignment vertical="center"/>
    </xf>
    <xf numFmtId="167" fontId="54" fillId="0" borderId="48" applyAlignment="1" pivotButton="0" quotePrefix="0" xfId="32">
      <alignment horizontal="right" vertical="center"/>
    </xf>
    <xf numFmtId="167" fontId="54" fillId="0" borderId="50" applyAlignment="1" pivotButton="0" quotePrefix="0" xfId="32">
      <alignment horizontal="right" vertical="center"/>
    </xf>
    <xf numFmtId="167" fontId="74" fillId="0" borderId="0" applyAlignment="1" pivotButton="0" quotePrefix="0" xfId="32">
      <alignment horizontal="right" vertical="center"/>
    </xf>
    <xf numFmtId="167" fontId="54" fillId="0" borderId="0" applyAlignment="1" pivotButton="0" quotePrefix="0" xfId="41">
      <alignment horizontal="center" vertical="center"/>
    </xf>
    <xf numFmtId="0" fontId="54" fillId="0" borderId="0" applyAlignment="1" pivotButton="0" quotePrefix="0" xfId="0">
      <alignment horizontal="center" vertical="center"/>
    </xf>
    <xf numFmtId="0" fontId="54" fillId="0" borderId="0" applyAlignment="1" pivotButton="0" quotePrefix="1" xfId="0">
      <alignment horizontal="center" vertical="center"/>
    </xf>
    <xf numFmtId="0" fontId="54" fillId="0" borderId="0" applyAlignment="1" pivotButton="0" quotePrefix="0" xfId="0">
      <alignment vertical="center"/>
    </xf>
    <xf numFmtId="164" fontId="24" fillId="0" borderId="0" applyAlignment="1" pivotButton="0" quotePrefix="0" xfId="0">
      <alignment horizontal="center" vertical="center" wrapText="1"/>
    </xf>
    <xf numFmtId="164" fontId="52" fillId="28" borderId="52" applyAlignment="1" pivotButton="0" quotePrefix="0" xfId="0">
      <alignment horizontal="center" vertical="center" wrapText="1"/>
    </xf>
    <xf numFmtId="164" fontId="52" fillId="28" borderId="53" applyAlignment="1" pivotButton="0" quotePrefix="0" xfId="0">
      <alignment horizontal="center" vertical="center" wrapText="1"/>
    </xf>
    <xf numFmtId="164" fontId="52" fillId="28" borderId="54" applyAlignment="1" pivotButton="0" quotePrefix="0" xfId="0">
      <alignment horizontal="center" vertical="center" wrapText="1"/>
    </xf>
    <xf numFmtId="164" fontId="52" fillId="28" borderId="55" applyAlignment="1" pivotButton="0" quotePrefix="0" xfId="0">
      <alignment horizontal="center" vertical="center" wrapText="1"/>
    </xf>
    <xf numFmtId="164" fontId="24" fillId="0" borderId="29" applyAlignment="1" pivotButton="0" quotePrefix="0" xfId="0">
      <alignment vertical="center"/>
    </xf>
    <xf numFmtId="2" fontId="24" fillId="0" borderId="56" applyAlignment="1" pivotButton="0" quotePrefix="0" xfId="0">
      <alignment vertical="center"/>
    </xf>
    <xf numFmtId="2" fontId="24" fillId="0" borderId="12" applyAlignment="1" pivotButton="0" quotePrefix="0" xfId="0">
      <alignment vertical="center"/>
    </xf>
    <xf numFmtId="2" fontId="24" fillId="0" borderId="29" applyAlignment="1" pivotButton="0" quotePrefix="0" xfId="0">
      <alignment vertical="center"/>
    </xf>
    <xf numFmtId="169" fontId="25" fillId="0" borderId="57" applyAlignment="1" pivotButton="0" quotePrefix="0" xfId="0">
      <alignment vertical="center"/>
    </xf>
    <xf numFmtId="3" fontId="25" fillId="0" borderId="58" applyAlignment="1" pivotButton="0" quotePrefix="0" xfId="0">
      <alignment horizontal="right" vertical="center"/>
    </xf>
    <xf numFmtId="3" fontId="25" fillId="0" borderId="59" applyAlignment="1" pivotButton="0" quotePrefix="0" xfId="0">
      <alignment horizontal="right" vertical="center"/>
    </xf>
    <xf numFmtId="3" fontId="25" fillId="0" borderId="60" applyAlignment="1" pivotButton="0" quotePrefix="0" xfId="0">
      <alignment horizontal="right" vertical="center"/>
    </xf>
    <xf numFmtId="3" fontId="25" fillId="0" borderId="61" applyAlignment="1" pivotButton="0" quotePrefix="0" xfId="0">
      <alignment vertical="center" wrapText="1"/>
    </xf>
    <xf numFmtId="2" fontId="25" fillId="0" borderId="60" applyAlignment="1" pivotButton="0" quotePrefix="0" xfId="0">
      <alignment vertical="center"/>
    </xf>
    <xf numFmtId="3" fontId="25" fillId="0" borderId="61" applyAlignment="1" pivotButton="0" quotePrefix="0" xfId="0">
      <alignment vertical="center"/>
    </xf>
    <xf numFmtId="164" fontId="52" fillId="27" borderId="62" applyAlignment="1" pivotButton="0" quotePrefix="0" xfId="0">
      <alignment horizontal="center" vertical="center"/>
    </xf>
    <xf numFmtId="3" fontId="52" fillId="27" borderId="52" applyAlignment="1" pivotButton="0" quotePrefix="0" xfId="0">
      <alignment horizontal="right" vertical="center"/>
    </xf>
    <xf numFmtId="3" fontId="52" fillId="27" borderId="53" applyAlignment="1" pivotButton="0" quotePrefix="0" xfId="0">
      <alignment horizontal="right" vertical="center"/>
    </xf>
    <xf numFmtId="3" fontId="52" fillId="27" borderId="54" applyAlignment="1" pivotButton="0" quotePrefix="0" xfId="0">
      <alignment horizontal="right" vertical="center"/>
    </xf>
    <xf numFmtId="3" fontId="52" fillId="27" borderId="55" applyAlignment="1" pivotButton="0" quotePrefix="0" xfId="0">
      <alignment vertical="center"/>
    </xf>
    <xf numFmtId="2" fontId="52" fillId="27" borderId="54" applyAlignment="1" pivotButton="0" quotePrefix="0" xfId="0">
      <alignment vertical="center"/>
    </xf>
    <xf numFmtId="49" fontId="54" fillId="0" borderId="0" applyAlignment="1" pivotButton="0" quotePrefix="1" xfId="41">
      <alignment horizontal="center" vertical="center" wrapText="1"/>
    </xf>
    <xf numFmtId="4" fontId="0" fillId="0" borderId="0" pivotButton="0" quotePrefix="0" xfId="32"/>
    <xf numFmtId="49" fontId="54" fillId="0" borderId="0" pivotButton="0" quotePrefix="0" xfId="0"/>
    <xf numFmtId="49" fontId="0" fillId="0" borderId="0" applyAlignment="1" pivotButton="0" quotePrefix="0" xfId="0">
      <alignment horizontal="center"/>
    </xf>
    <xf numFmtId="164" fontId="54" fillId="26" borderId="0" pivotButton="0" quotePrefix="0" xfId="0"/>
    <xf numFmtId="4" fontId="54" fillId="26" borderId="0" pivotButton="0" quotePrefix="0" xfId="32"/>
    <xf numFmtId="4" fontId="54" fillId="25" borderId="0" applyAlignment="1" pivotButton="0" quotePrefix="0" xfId="32">
      <alignment wrapText="1"/>
    </xf>
    <xf numFmtId="0" fontId="54" fillId="25" borderId="0" applyAlignment="1" pivotButton="0" quotePrefix="0" xfId="0">
      <alignment wrapText="1"/>
    </xf>
    <xf numFmtId="164" fontId="54" fillId="25" borderId="0" applyAlignment="1" pivotButton="0" quotePrefix="0" xfId="0">
      <alignment wrapText="1"/>
    </xf>
    <xf numFmtId="4" fontId="54" fillId="25" borderId="0" pivotButton="0" quotePrefix="0" xfId="32"/>
    <xf numFmtId="0" fontId="54" fillId="25" borderId="0" pivotButton="0" quotePrefix="0" xfId="0"/>
    <xf numFmtId="164" fontId="54" fillId="25" borderId="0" pivotButton="0" quotePrefix="0" xfId="0"/>
    <xf numFmtId="4" fontId="54" fillId="0" borderId="0" pivotButton="0" quotePrefix="0" xfId="32"/>
    <xf numFmtId="0" fontId="54" fillId="0" borderId="0" pivotButton="0" quotePrefix="0" xfId="0"/>
    <xf numFmtId="49" fontId="54" fillId="26" borderId="0" pivotButton="0" quotePrefix="0" xfId="0"/>
    <xf numFmtId="0" fontId="18" fillId="0" borderId="0" applyAlignment="1" pivotButton="0" quotePrefix="0" xfId="90">
      <alignment horizontal="center" vertical="center"/>
    </xf>
    <xf numFmtId="0" fontId="18" fillId="0" borderId="0" pivotButton="0" quotePrefix="0" xfId="90"/>
    <xf numFmtId="49" fontId="0" fillId="0" borderId="0" pivotButton="0" quotePrefix="0" xfId="0"/>
    <xf numFmtId="49" fontId="0" fillId="0" borderId="0" pivotButton="0" quotePrefix="1" xfId="0"/>
    <xf numFmtId="0" fontId="16" fillId="0" borderId="0" pivotButton="0" quotePrefix="0" xfId="90"/>
    <xf numFmtId="0" fontId="15" fillId="0" borderId="0" pivotButton="0" quotePrefix="0" xfId="90"/>
    <xf numFmtId="0" fontId="14" fillId="0" borderId="0" pivotButton="0" quotePrefix="0" xfId="90"/>
    <xf numFmtId="49" fontId="18" fillId="0" borderId="0" pivotButton="0" quotePrefix="0" xfId="90"/>
    <xf numFmtId="49" fontId="16" fillId="0" borderId="0" pivotButton="0" quotePrefix="1" xfId="90"/>
    <xf numFmtId="49" fontId="15" fillId="0" borderId="0" pivotButton="0" quotePrefix="1" xfId="90"/>
    <xf numFmtId="49" fontId="14" fillId="0" borderId="0" pivotButton="0" quotePrefix="1" xfId="90"/>
    <xf numFmtId="0" fontId="13" fillId="0" borderId="0" pivotButton="0" quotePrefix="0" xfId="90"/>
    <xf numFmtId="49" fontId="18" fillId="0" borderId="0" applyAlignment="1" pivotButton="0" quotePrefix="0" xfId="90">
      <alignment horizontal="center" vertical="center"/>
    </xf>
    <xf numFmtId="49" fontId="17" fillId="0" borderId="0" pivotButton="0" quotePrefix="1" xfId="90"/>
    <xf numFmtId="49" fontId="18" fillId="0" borderId="0" pivotButton="0" quotePrefix="1" xfId="90"/>
    <xf numFmtId="49" fontId="15" fillId="0" borderId="0" pivotButton="0" quotePrefix="0" xfId="90"/>
    <xf numFmtId="0" fontId="13" fillId="0" borderId="0" pivotButton="0" quotePrefix="1" xfId="90"/>
    <xf numFmtId="49" fontId="13" fillId="0" borderId="0" pivotButton="0" quotePrefix="1" xfId="90"/>
    <xf numFmtId="0" fontId="12" fillId="0" borderId="0" pivotButton="0" quotePrefix="1" xfId="90"/>
    <xf numFmtId="0" fontId="12" fillId="0" borderId="0" pivotButton="0" quotePrefix="0" xfId="90"/>
    <xf numFmtId="0" fontId="11" fillId="0" borderId="0" pivotButton="0" quotePrefix="0" xfId="90"/>
    <xf numFmtId="0" fontId="11" fillId="0" borderId="0" pivotButton="0" quotePrefix="1" xfId="90"/>
    <xf numFmtId="0" fontId="10" fillId="0" borderId="0" pivotButton="0" quotePrefix="1" xfId="90"/>
    <xf numFmtId="0" fontId="10" fillId="0" borderId="0" pivotButton="0" quotePrefix="0" xfId="90"/>
    <xf numFmtId="0" fontId="9" fillId="0" borderId="0" pivotButton="0" quotePrefix="1" xfId="90"/>
    <xf numFmtId="0" fontId="9" fillId="0" borderId="0" pivotButton="0" quotePrefix="0" xfId="90"/>
    <xf numFmtId="167" fontId="54" fillId="0" borderId="0" applyAlignment="1" pivotButton="0" quotePrefix="0" xfId="32">
      <alignment horizontal="right" vertical="center"/>
    </xf>
    <xf numFmtId="164" fontId="24" fillId="32" borderId="50" applyAlignment="1" pivotButton="0" quotePrefix="0" xfId="0">
      <alignment vertical="center"/>
    </xf>
    <xf numFmtId="164" fontId="24" fillId="33" borderId="50" applyAlignment="1" pivotButton="0" quotePrefix="0" xfId="0">
      <alignment vertical="center"/>
    </xf>
    <xf numFmtId="164" fontId="24" fillId="34" borderId="50" applyAlignment="1" pivotButton="0" quotePrefix="0" xfId="0">
      <alignment vertical="center"/>
    </xf>
    <xf numFmtId="164" fontId="24" fillId="35" borderId="50" applyAlignment="1" pivotButton="0" quotePrefix="0" xfId="0">
      <alignment vertical="center"/>
    </xf>
    <xf numFmtId="166" fontId="54" fillId="0" borderId="0" applyAlignment="1" pivotButton="0" quotePrefix="1" xfId="41">
      <alignment horizontal="left" vertical="center" wrapText="1"/>
    </xf>
    <xf numFmtId="3" fontId="54" fillId="0" borderId="0" applyAlignment="1" pivotButton="0" quotePrefix="0" xfId="32">
      <alignment vertical="center"/>
    </xf>
    <xf numFmtId="166" fontId="54" fillId="0" borderId="0" applyAlignment="1" pivotButton="0" quotePrefix="0" xfId="32">
      <alignment vertical="center"/>
    </xf>
    <xf numFmtId="167" fontId="54" fillId="0" borderId="0" applyAlignment="1" pivotButton="0" quotePrefix="0" xfId="32">
      <alignment vertical="center"/>
    </xf>
    <xf numFmtId="0" fontId="8" fillId="0" borderId="0" pivotButton="0" quotePrefix="0" xfId="90"/>
    <xf numFmtId="0" fontId="8" fillId="0" borderId="0" pivotButton="0" quotePrefix="1" xfId="90"/>
    <xf numFmtId="164" fontId="59" fillId="0" borderId="0" applyAlignment="1" pivotButton="0" quotePrefix="0" xfId="0">
      <alignment horizontal="center"/>
    </xf>
    <xf numFmtId="164" fontId="24" fillId="0" borderId="66" applyAlignment="1" pivotButton="0" quotePrefix="0" xfId="0">
      <alignment vertical="center"/>
    </xf>
    <xf numFmtId="164" fontId="52" fillId="27" borderId="68" applyAlignment="1" pivotButton="0" quotePrefix="0" xfId="0">
      <alignment horizontal="center" vertical="center"/>
    </xf>
    <xf numFmtId="164" fontId="24" fillId="0" borderId="69" applyAlignment="1" pivotButton="0" quotePrefix="0" xfId="0">
      <alignment horizontal="center" vertical="center"/>
    </xf>
    <xf numFmtId="164" fontId="25" fillId="0" borderId="69" applyAlignment="1" pivotButton="0" quotePrefix="0" xfId="0">
      <alignment vertical="center"/>
    </xf>
    <xf numFmtId="164" fontId="56" fillId="0" borderId="69" applyAlignment="1" pivotButton="0" quotePrefix="0" xfId="0">
      <alignment horizontal="right" vertical="center"/>
    </xf>
    <xf numFmtId="164" fontId="24" fillId="25" borderId="70" applyAlignment="1" pivotButton="0" quotePrefix="0" xfId="0">
      <alignment horizontal="right" vertical="center"/>
    </xf>
    <xf numFmtId="164" fontId="24" fillId="0" borderId="71" applyAlignment="1" pivotButton="0" quotePrefix="0" xfId="0">
      <alignment vertical="center"/>
    </xf>
    <xf numFmtId="164" fontId="24" fillId="0" borderId="69" applyAlignment="1" pivotButton="0" quotePrefix="0" xfId="0">
      <alignment vertical="center"/>
    </xf>
    <xf numFmtId="164" fontId="0" fillId="26" borderId="0" pivotButton="0" quotePrefix="0" xfId="0"/>
    <xf numFmtId="3" fontId="54" fillId="26" borderId="0" applyAlignment="1" pivotButton="0" quotePrefix="0" xfId="0">
      <alignment vertical="center"/>
    </xf>
    <xf numFmtId="164" fontId="24" fillId="0" borderId="50" applyAlignment="1" pivotButton="0" quotePrefix="0" xfId="0">
      <alignment vertical="center"/>
    </xf>
    <xf numFmtId="166" fontId="73" fillId="0" borderId="0" applyAlignment="1" pivotButton="0" quotePrefix="0" xfId="0">
      <alignment horizontal="center" vertical="center"/>
    </xf>
    <xf numFmtId="166" fontId="73" fillId="0" borderId="50" applyAlignment="1" pivotButton="0" quotePrefix="0" xfId="0">
      <alignment horizontal="center" vertical="center"/>
    </xf>
    <xf numFmtId="3" fontId="24" fillId="24" borderId="21" applyAlignment="1" applyProtection="1" pivotButton="0" quotePrefix="0" xfId="32">
      <alignment horizontal="center" vertical="center"/>
      <protection locked="0" hidden="0"/>
    </xf>
    <xf numFmtId="3" fontId="24" fillId="24" borderId="33" applyAlignment="1" applyProtection="1" pivotButton="0" quotePrefix="0" xfId="32">
      <alignment horizontal="center" vertical="center"/>
      <protection locked="0" hidden="0"/>
    </xf>
    <xf numFmtId="164" fontId="54" fillId="36" borderId="0" applyAlignment="1" pivotButton="0" quotePrefix="0" xfId="0">
      <alignment vertical="center"/>
    </xf>
    <xf numFmtId="14" fontId="0" fillId="0" borderId="0" pivotButton="0" quotePrefix="0" xfId="0"/>
    <xf numFmtId="164" fontId="78" fillId="0" borderId="0" pivotButton="0" quotePrefix="0" xfId="0"/>
    <xf numFmtId="164" fontId="79" fillId="0" borderId="0" pivotButton="0" quotePrefix="0" xfId="0"/>
    <xf numFmtId="167" fontId="54" fillId="26" borderId="0" applyAlignment="1" applyProtection="1" pivotButton="0" quotePrefix="0" xfId="0">
      <alignment vertical="center"/>
      <protection locked="0" hidden="1"/>
    </xf>
    <xf numFmtId="3" fontId="54" fillId="0" borderId="0" applyAlignment="1" applyProtection="1" pivotButton="0" quotePrefix="0" xfId="32">
      <alignment horizontal="right" vertical="center"/>
      <protection locked="0" hidden="1"/>
    </xf>
    <xf numFmtId="164" fontId="73" fillId="29" borderId="0" applyAlignment="1" pivotButton="0" quotePrefix="0" xfId="0">
      <alignment vertical="center"/>
    </xf>
    <xf numFmtId="3" fontId="73" fillId="29" borderId="0" applyAlignment="1" pivotButton="0" quotePrefix="0" xfId="0">
      <alignment horizontal="right" vertical="center"/>
    </xf>
    <xf numFmtId="166" fontId="24" fillId="35" borderId="0" applyAlignment="1" pivotButton="0" quotePrefix="0" xfId="0">
      <alignment vertical="center"/>
    </xf>
    <xf numFmtId="166" fontId="54" fillId="26" borderId="0" applyAlignment="1" pivotButton="0" quotePrefix="0" xfId="0">
      <alignment vertical="center"/>
    </xf>
    <xf numFmtId="0" fontId="3" fillId="0" borderId="0" pivotButton="0" quotePrefix="0" xfId="109"/>
    <xf numFmtId="0" fontId="1" fillId="0" borderId="0" pivotButton="0" quotePrefix="0" xfId="149"/>
    <xf numFmtId="0" fontId="0" fillId="0" borderId="0" pivotButton="0" quotePrefix="1" xfId="0"/>
    <xf numFmtId="164" fontId="62" fillId="0" borderId="0" applyAlignment="1" pivotButton="0" quotePrefix="0" xfId="0">
      <alignment horizontal="center" vertical="center" wrapText="1"/>
    </xf>
    <xf numFmtId="164" fontId="52" fillId="28" borderId="19" applyAlignment="1" pivotButton="0" quotePrefix="0" xfId="0">
      <alignment horizontal="center" vertical="center"/>
    </xf>
    <xf numFmtId="164" fontId="52" fillId="28" borderId="21" applyAlignment="1" pivotButton="0" quotePrefix="0" xfId="0">
      <alignment horizontal="center" vertical="center"/>
    </xf>
    <xf numFmtId="164" fontId="52" fillId="28" borderId="30" applyAlignment="1" pivotButton="0" quotePrefix="0" xfId="0">
      <alignment horizontal="center" vertical="center"/>
    </xf>
    <xf numFmtId="164" fontId="52" fillId="28" borderId="25" applyAlignment="1" pivotButton="0" quotePrefix="0" xfId="0">
      <alignment horizontal="center" vertical="center"/>
    </xf>
    <xf numFmtId="164" fontId="52" fillId="28" borderId="15" applyAlignment="1" pivotButton="0" quotePrefix="0" xfId="0">
      <alignment horizontal="center" vertical="center"/>
    </xf>
    <xf numFmtId="164" fontId="52" fillId="28" borderId="0" applyAlignment="1" pivotButton="0" quotePrefix="0" xfId="0">
      <alignment horizontal="center" vertical="center"/>
    </xf>
    <xf numFmtId="164" fontId="52" fillId="28" borderId="10" applyAlignment="1" pivotButton="0" quotePrefix="0" xfId="0">
      <alignment horizontal="center" vertical="center"/>
    </xf>
    <xf numFmtId="164" fontId="59" fillId="0" borderId="0" applyAlignment="1" pivotButton="0" quotePrefix="0" xfId="0">
      <alignment horizontal="center" wrapText="1"/>
    </xf>
    <xf numFmtId="164" fontId="59" fillId="0" borderId="0" applyAlignment="1" pivotButton="0" quotePrefix="0" xfId="0">
      <alignment horizontal="center"/>
    </xf>
    <xf numFmtId="164" fontId="69" fillId="0" borderId="0" applyAlignment="1" pivotButton="0" quotePrefix="0" xfId="44">
      <alignment horizontal="center" vertical="center"/>
    </xf>
    <xf numFmtId="164" fontId="54" fillId="0" borderId="0" applyAlignment="1" pivotButton="0" quotePrefix="0" xfId="0">
      <alignment horizontal="left" vertical="center" wrapText="1"/>
    </xf>
    <xf numFmtId="164" fontId="61" fillId="0" borderId="0" applyAlignment="1" pivotButton="0" quotePrefix="0" xfId="44">
      <alignment horizontal="left" vertical="center" wrapText="1"/>
    </xf>
    <xf numFmtId="164" fontId="61" fillId="0" borderId="0" applyAlignment="1" pivotButton="0" quotePrefix="0" xfId="44">
      <alignment horizontal="justify" vertical="center" wrapText="1"/>
    </xf>
    <xf numFmtId="164" fontId="28" fillId="0" borderId="0" applyAlignment="1" pivotButton="0" quotePrefix="0" xfId="44">
      <alignment horizontal="center"/>
    </xf>
    <xf numFmtId="14" fontId="31" fillId="0" borderId="0" applyAlignment="1" pivotButton="0" quotePrefix="0" xfId="44">
      <alignment horizontal="center"/>
    </xf>
    <xf numFmtId="164" fontId="24" fillId="0" borderId="19" applyAlignment="1" pivotButton="0" quotePrefix="0" xfId="0">
      <alignment horizontal="center" vertical="center"/>
    </xf>
    <xf numFmtId="164" fontId="24" fillId="0" borderId="30" applyAlignment="1" pivotButton="0" quotePrefix="0" xfId="0">
      <alignment horizontal="center" vertical="center"/>
    </xf>
    <xf numFmtId="164" fontId="52" fillId="28" borderId="63" applyAlignment="1" pivotButton="0" quotePrefix="0" xfId="0">
      <alignment horizontal="center" vertical="center"/>
    </xf>
    <xf numFmtId="164" fontId="52" fillId="28" borderId="64" applyAlignment="1" pivotButton="0" quotePrefix="0" xfId="0">
      <alignment horizontal="center" vertical="center"/>
    </xf>
    <xf numFmtId="164" fontId="52" fillId="28" borderId="65" applyAlignment="1" pivotButton="0" quotePrefix="0" xfId="0">
      <alignment horizontal="center" vertical="center"/>
    </xf>
    <xf numFmtId="164" fontId="52" fillId="28" borderId="28" applyAlignment="1" pivotButton="0" quotePrefix="0" xfId="0">
      <alignment horizontal="center" vertical="center"/>
    </xf>
    <xf numFmtId="164" fontId="52" fillId="28" borderId="27" applyAlignment="1" pivotButton="0" quotePrefix="0" xfId="0">
      <alignment horizontal="center" vertical="center"/>
    </xf>
    <xf numFmtId="4" fontId="52" fillId="29" borderId="45" applyAlignment="1" pivotButton="0" quotePrefix="0" xfId="0">
      <alignment horizontal="center" vertical="center"/>
    </xf>
    <xf numFmtId="4" fontId="52" fillId="29" borderId="34" applyAlignment="1" pivotButton="0" quotePrefix="0" xfId="0">
      <alignment horizontal="center" vertical="center"/>
    </xf>
    <xf numFmtId="10" fontId="52" fillId="29" borderId="45" applyAlignment="1" pivotButton="0" quotePrefix="0" xfId="45">
      <alignment horizontal="center" vertical="center"/>
    </xf>
    <xf numFmtId="10" fontId="52" fillId="29" borderId="34" applyAlignment="1" pivotButton="0" quotePrefix="0" xfId="45">
      <alignment horizontal="center" vertical="center"/>
    </xf>
    <xf numFmtId="164" fontId="24" fillId="0" borderId="41" applyAlignment="1" pivotButton="0" quotePrefix="0" xfId="0">
      <alignment horizontal="center" vertical="center"/>
    </xf>
    <xf numFmtId="164" fontId="24" fillId="0" borderId="42" applyAlignment="1" pivotButton="0" quotePrefix="0" xfId="0">
      <alignment horizontal="center" vertical="center"/>
    </xf>
    <xf numFmtId="3" fontId="24" fillId="0" borderId="41" applyAlignment="1" pivotButton="0" quotePrefix="0" xfId="0">
      <alignment horizontal="center" vertical="center"/>
    </xf>
    <xf numFmtId="3" fontId="24" fillId="0" borderId="42" applyAlignment="1" pivotButton="0" quotePrefix="0" xfId="0">
      <alignment horizontal="center" vertical="center"/>
    </xf>
    <xf numFmtId="3" fontId="52" fillId="29" borderId="45" applyAlignment="1" pivotButton="0" quotePrefix="0" xfId="0">
      <alignment horizontal="center" vertical="center"/>
    </xf>
    <xf numFmtId="3" fontId="52" fillId="29" borderId="34" applyAlignment="1" pivotButton="0" quotePrefix="0" xfId="0">
      <alignment horizontal="center" vertical="center"/>
    </xf>
    <xf numFmtId="3" fontId="52" fillId="29" borderId="45" applyAlignment="1" pivotButton="0" quotePrefix="0" xfId="32">
      <alignment horizontal="center" vertical="center"/>
    </xf>
    <xf numFmtId="3" fontId="52" fillId="29" borderId="34" applyAlignment="1" pivotButton="0" quotePrefix="0" xfId="32">
      <alignment horizontal="center" vertical="center"/>
    </xf>
    <xf numFmtId="164" fontId="52" fillId="28" borderId="66" applyAlignment="1" pivotButton="0" quotePrefix="0" xfId="0">
      <alignment horizontal="center" vertical="center"/>
    </xf>
    <xf numFmtId="164" fontId="52" fillId="28" borderId="67" applyAlignment="1" pivotButton="0" quotePrefix="0" xfId="0">
      <alignment horizontal="center" vertical="center"/>
    </xf>
    <xf numFmtId="164" fontId="76" fillId="0" borderId="0" applyAlignment="1" pivotButton="0" quotePrefix="0" xfId="0">
      <alignment horizontal="center" wrapText="1"/>
    </xf>
    <xf numFmtId="4" fontId="52" fillId="29" borderId="45" applyAlignment="1" pivotButton="0" quotePrefix="0" xfId="32">
      <alignment horizontal="center" vertical="center"/>
    </xf>
    <xf numFmtId="4" fontId="52" fillId="29" borderId="34" applyAlignment="1" pivotButton="0" quotePrefix="0" xfId="32">
      <alignment horizontal="center" vertical="center"/>
    </xf>
    <xf numFmtId="164" fontId="59" fillId="0" borderId="0" applyAlignment="1" pivotButton="0" quotePrefix="0" xfId="0">
      <alignment wrapText="1"/>
    </xf>
    <xf numFmtId="164" fontId="59" fillId="0" borderId="0" pivotButton="0" quotePrefix="0" xfId="0"/>
    <xf numFmtId="166" fontId="73" fillId="33" borderId="47" applyAlignment="1" pivotButton="0" quotePrefix="0" xfId="0">
      <alignment horizontal="center" vertical="center"/>
    </xf>
    <xf numFmtId="166" fontId="73" fillId="33" borderId="51" applyAlignment="1" pivotButton="0" quotePrefix="0" xfId="0">
      <alignment horizontal="center" vertical="center"/>
    </xf>
    <xf numFmtId="166" fontId="73" fillId="35" borderId="47" applyAlignment="1" pivotButton="0" quotePrefix="0" xfId="0">
      <alignment horizontal="center" vertical="center"/>
    </xf>
    <xf numFmtId="166" fontId="73" fillId="34" borderId="47" applyAlignment="1" pivotButton="0" quotePrefix="0" xfId="0">
      <alignment horizontal="center" vertical="center"/>
    </xf>
    <xf numFmtId="166" fontId="73" fillId="34" borderId="51" applyAlignment="1" pivotButton="0" quotePrefix="0" xfId="0">
      <alignment horizontal="center" vertical="center"/>
    </xf>
    <xf numFmtId="166" fontId="73" fillId="35" borderId="51" applyAlignment="1" pivotButton="0" quotePrefix="0" xfId="0">
      <alignment horizontal="center" vertical="center"/>
    </xf>
    <xf numFmtId="166" fontId="73" fillId="32" borderId="47" applyAlignment="1" pivotButton="0" quotePrefix="0" xfId="0">
      <alignment horizontal="center" vertical="center"/>
    </xf>
    <xf numFmtId="166" fontId="73" fillId="32" borderId="51" applyAlignment="1" pivotButton="0" quotePrefix="0" xfId="0">
      <alignment horizontal="center" vertical="center"/>
    </xf>
    <xf numFmtId="166" fontId="73" fillId="32" borderId="0" applyAlignment="1" pivotButton="0" quotePrefix="0" xfId="0">
      <alignment horizontal="center" vertical="center"/>
    </xf>
    <xf numFmtId="166" fontId="73" fillId="31" borderId="47" applyAlignment="1" pivotButton="0" quotePrefix="0" xfId="0">
      <alignment horizontal="center" vertical="center"/>
    </xf>
    <xf numFmtId="166" fontId="73" fillId="31" borderId="51" applyAlignment="1" pivotButton="0" quotePrefix="0" xfId="0">
      <alignment horizontal="center" vertical="center"/>
    </xf>
    <xf numFmtId="166" fontId="73" fillId="30" borderId="47" applyAlignment="1" pivotButton="0" quotePrefix="0" xfId="0">
      <alignment horizontal="center" vertical="center"/>
    </xf>
    <xf numFmtId="166" fontId="73" fillId="30" borderId="51" applyAlignment="1" pivotButton="0" quotePrefix="0" xfId="0">
      <alignment horizontal="center" vertical="center"/>
    </xf>
    <xf numFmtId="164" fontId="54" fillId="0" borderId="0" pivotButton="0" quotePrefix="0" xfId="0"/>
    <xf numFmtId="164" fontId="0" fillId="0" borderId="0" pivotButton="0" quotePrefix="0" xfId="0"/>
    <xf numFmtId="164" fontId="54" fillId="25" borderId="0" applyAlignment="1" pivotButton="0" quotePrefix="0" xfId="0">
      <alignment wrapText="1"/>
    </xf>
    <xf numFmtId="164" fontId="54" fillId="25" borderId="0" pivotButton="0" quotePrefix="0" xfId="0"/>
    <xf numFmtId="164" fontId="54" fillId="26" borderId="0" pivotButton="0" quotePrefix="0" xfId="0"/>
    <xf numFmtId="164" fontId="0" fillId="26" borderId="0" pivotButton="0" quotePrefix="0" xfId="0"/>
    <xf numFmtId="168" fontId="72" fillId="0" borderId="0" pivotButton="0" quotePrefix="0" xfId="84"/>
    <xf numFmtId="164" fontId="54" fillId="0" borderId="0" applyAlignment="1" pivotButton="0" quotePrefix="0" xfId="0">
      <alignment vertical="center"/>
    </xf>
    <xf numFmtId="164" fontId="53" fillId="0" borderId="0" applyAlignment="1" pivotButton="0" quotePrefix="0" xfId="0">
      <alignment vertical="center"/>
    </xf>
    <xf numFmtId="164" fontId="62" fillId="0" borderId="0" applyAlignment="1" pivotButton="0" quotePrefix="0" xfId="0">
      <alignment horizontal="center" vertical="center" wrapText="1"/>
    </xf>
    <xf numFmtId="164" fontId="54" fillId="0" borderId="0" applyAlignment="1" pivotButton="0" quotePrefix="1" xfId="0">
      <alignment vertical="center"/>
    </xf>
    <xf numFmtId="164" fontId="54" fillId="36" borderId="0" applyAlignment="1" pivotButton="0" quotePrefix="0" xfId="0">
      <alignment vertical="center"/>
    </xf>
    <xf numFmtId="166" fontId="54" fillId="0" borderId="0" applyAlignment="1" pivotButton="0" quotePrefix="0" xfId="0">
      <alignment vertical="center"/>
    </xf>
    <xf numFmtId="166" fontId="54" fillId="26" borderId="0" applyAlignment="1" pivotButton="0" quotePrefix="0" xfId="32">
      <alignment vertical="center"/>
    </xf>
    <xf numFmtId="166" fontId="54" fillId="0" borderId="0" applyAlignment="1" pivotButton="0" quotePrefix="0" xfId="32">
      <alignment vertical="center"/>
    </xf>
    <xf numFmtId="166" fontId="54" fillId="26" borderId="0" applyAlignment="1" pivotButton="0" quotePrefix="0" xfId="0">
      <alignment vertical="center"/>
    </xf>
    <xf numFmtId="167" fontId="54" fillId="0" borderId="0" applyAlignment="1" pivotButton="0" quotePrefix="0" xfId="0">
      <alignment vertical="center"/>
    </xf>
    <xf numFmtId="167" fontId="54" fillId="26" borderId="0" applyAlignment="1" pivotButton="0" quotePrefix="0" xfId="32">
      <alignment vertical="center"/>
    </xf>
    <xf numFmtId="167" fontId="54" fillId="0" borderId="0" applyAlignment="1" pivotButton="0" quotePrefix="0" xfId="32">
      <alignment vertical="center"/>
    </xf>
    <xf numFmtId="167" fontId="54" fillId="0" borderId="0" applyAlignment="1" applyProtection="1" pivotButton="0" quotePrefix="0" xfId="32">
      <alignment horizontal="right" vertical="center"/>
      <protection locked="0" hidden="1"/>
    </xf>
    <xf numFmtId="167" fontId="54" fillId="0" borderId="0" applyAlignment="1" applyProtection="1" pivotButton="0" quotePrefix="0" xfId="32">
      <alignment vertical="center"/>
      <protection locked="0" hidden="1"/>
    </xf>
    <xf numFmtId="167" fontId="54" fillId="26" borderId="0" applyAlignment="1" applyProtection="1" pivotButton="0" quotePrefix="0" xfId="0">
      <alignment vertical="center"/>
      <protection locked="0" hidden="1"/>
    </xf>
    <xf numFmtId="167" fontId="54" fillId="0" borderId="0" applyAlignment="1" pivotButton="0" quotePrefix="0" xfId="32">
      <alignment horizontal="right" vertical="center"/>
    </xf>
    <xf numFmtId="164" fontId="24" fillId="0" borderId="0" applyAlignment="1" pivotButton="0" quotePrefix="0" xfId="0">
      <alignment vertical="center"/>
    </xf>
    <xf numFmtId="164" fontId="24" fillId="0" borderId="0" applyAlignment="1" pivotButton="0" quotePrefix="0" xfId="0">
      <alignment horizontal="center" vertical="center"/>
    </xf>
    <xf numFmtId="164" fontId="57" fillId="0" borderId="0" pivotButton="0" quotePrefix="0" xfId="0"/>
    <xf numFmtId="164" fontId="58" fillId="0" borderId="0" applyAlignment="1" pivotButton="0" quotePrefix="0" xfId="0">
      <alignment horizontal="right"/>
    </xf>
    <xf numFmtId="164" fontId="59" fillId="0" borderId="0" applyAlignment="1" pivotButton="0" quotePrefix="0" xfId="0">
      <alignment horizontal="center" wrapText="1"/>
    </xf>
    <xf numFmtId="164" fontId="52" fillId="28" borderId="62" applyAlignment="1" pivotButton="0" quotePrefix="0" xfId="0">
      <alignment horizontal="center" vertical="center"/>
    </xf>
    <xf numFmtId="164" fontId="52" fillId="28" borderId="66" applyAlignment="1" pivotButton="0" quotePrefix="0" xfId="0">
      <alignment horizontal="center" vertical="center"/>
    </xf>
    <xf numFmtId="0" fontId="0" fillId="0" borderId="25" pivotButton="0" quotePrefix="0" xfId="0"/>
    <xf numFmtId="0" fontId="0" fillId="0" borderId="15" pivotButton="0" quotePrefix="0" xfId="0"/>
    <xf numFmtId="0" fontId="0" fillId="0" borderId="21" pivotButton="0" quotePrefix="0" xfId="0"/>
    <xf numFmtId="0" fontId="0" fillId="0" borderId="10" pivotButton="0" quotePrefix="0" xfId="0"/>
    <xf numFmtId="164" fontId="24" fillId="0" borderId="0" applyAlignment="1" pivotButton="0" quotePrefix="0" xfId="0">
      <alignment horizontal="center" vertical="center" wrapText="1"/>
    </xf>
    <xf numFmtId="0" fontId="0" fillId="0" borderId="30" pivotButton="0" quotePrefix="0" xfId="0"/>
    <xf numFmtId="164" fontId="52" fillId="28" borderId="52" applyAlignment="1" pivotButton="0" quotePrefix="0" xfId="0">
      <alignment horizontal="center" vertical="center" wrapText="1"/>
    </xf>
    <xf numFmtId="164" fontId="52" fillId="28" borderId="53" applyAlignment="1" pivotButton="0" quotePrefix="0" xfId="0">
      <alignment horizontal="center" vertical="center" wrapText="1"/>
    </xf>
    <xf numFmtId="164" fontId="52" fillId="28" borderId="54" applyAlignment="1" pivotButton="0" quotePrefix="0" xfId="0">
      <alignment horizontal="center" vertical="center" wrapText="1"/>
    </xf>
    <xf numFmtId="164" fontId="52" fillId="28" borderId="55" applyAlignment="1" pivotButton="0" quotePrefix="0" xfId="0">
      <alignment horizontal="center" vertical="center" wrapText="1"/>
    </xf>
    <xf numFmtId="164" fontId="24" fillId="0" borderId="19" applyAlignment="1" pivotButton="0" quotePrefix="0" xfId="0">
      <alignment vertical="center"/>
    </xf>
    <xf numFmtId="164" fontId="24" fillId="0" borderId="12" applyAlignment="1" pivotButton="0" quotePrefix="0" xfId="0">
      <alignment vertical="center"/>
    </xf>
    <xf numFmtId="164" fontId="24" fillId="0" borderId="29" applyAlignment="1" pivotButton="0" quotePrefix="0" xfId="0">
      <alignment vertical="center"/>
    </xf>
    <xf numFmtId="164" fontId="25" fillId="0" borderId="0" applyAlignment="1" pivotButton="0" quotePrefix="0" xfId="0">
      <alignment vertical="center"/>
    </xf>
    <xf numFmtId="169" fontId="25" fillId="0" borderId="57" applyAlignment="1" pivotButton="0" quotePrefix="0" xfId="0">
      <alignment vertical="center"/>
    </xf>
    <xf numFmtId="164" fontId="52" fillId="27" borderId="62" applyAlignment="1" pivotButton="0" quotePrefix="0" xfId="0">
      <alignment horizontal="center" vertical="center"/>
    </xf>
    <xf numFmtId="164" fontId="63" fillId="0" borderId="0" applyAlignment="1" pivotButton="0" quotePrefix="0" xfId="44">
      <alignment vertical="center"/>
    </xf>
    <xf numFmtId="164" fontId="71" fillId="0" borderId="0" applyAlignment="1" pivotButton="0" quotePrefix="0" xfId="44">
      <alignment horizontal="center" vertical="center"/>
    </xf>
    <xf numFmtId="164" fontId="69" fillId="0" borderId="0" applyAlignment="1" pivotButton="0" quotePrefix="0" xfId="44">
      <alignment horizontal="center" vertical="center"/>
    </xf>
    <xf numFmtId="164" fontId="57" fillId="0" borderId="0" applyAlignment="1" pivotButton="0" quotePrefix="0" xfId="44">
      <alignment vertical="center"/>
    </xf>
    <xf numFmtId="164" fontId="68" fillId="0" borderId="0" applyAlignment="1" pivotButton="0" quotePrefix="0" xfId="44">
      <alignment vertical="center"/>
    </xf>
    <xf numFmtId="164" fontId="67" fillId="28" borderId="0" applyAlignment="1" pivotButton="0" quotePrefix="0" xfId="44">
      <alignment horizontal="center" vertical="center"/>
    </xf>
    <xf numFmtId="164" fontId="67" fillId="28" borderId="0" applyAlignment="1" pivotButton="0" quotePrefix="0" xfId="44">
      <alignment vertical="center"/>
    </xf>
    <xf numFmtId="164" fontId="66" fillId="0" borderId="0" applyAlignment="1" pivotButton="0" quotePrefix="0" xfId="44">
      <alignment vertical="center"/>
    </xf>
    <xf numFmtId="164" fontId="61" fillId="0" borderId="0" applyAlignment="1" pivotButton="0" quotePrefix="0" xfId="44">
      <alignment vertical="center"/>
    </xf>
    <xf numFmtId="164" fontId="61" fillId="0" borderId="0" applyAlignment="1" applyProtection="1" pivotButton="0" quotePrefix="0" xfId="44">
      <alignment vertical="center"/>
      <protection locked="0" hidden="0"/>
    </xf>
    <xf numFmtId="164" fontId="54" fillId="0" borderId="0" applyAlignment="1" pivotButton="0" quotePrefix="0" xfId="44">
      <alignment vertical="center"/>
    </xf>
    <xf numFmtId="164" fontId="54" fillId="0" borderId="0" applyAlignment="1" pivotButton="0" quotePrefix="0" xfId="44">
      <alignment horizontal="center" vertical="center"/>
    </xf>
    <xf numFmtId="164" fontId="64" fillId="0" borderId="0" applyAlignment="1" pivotButton="0" quotePrefix="0" xfId="44">
      <alignment vertical="center"/>
    </xf>
    <xf numFmtId="164" fontId="61" fillId="0" borderId="0" applyAlignment="1" pivotButton="0" quotePrefix="0" xfId="44">
      <alignment horizontal="center" vertical="center"/>
    </xf>
    <xf numFmtId="164" fontId="61" fillId="0" borderId="0" applyAlignment="1" pivotButton="0" quotePrefix="0" xfId="44">
      <alignment horizontal="center" vertical="center" wrapText="1"/>
    </xf>
    <xf numFmtId="164" fontId="71" fillId="0" borderId="0" applyAlignment="1" pivotButton="0" quotePrefix="0" xfId="44">
      <alignment vertical="center"/>
    </xf>
    <xf numFmtId="164" fontId="65" fillId="0" borderId="0" applyAlignment="1" pivotButton="0" quotePrefix="0" xfId="44">
      <alignment vertical="center" wrapText="1"/>
    </xf>
    <xf numFmtId="164" fontId="70" fillId="0" borderId="0" applyAlignment="1" pivotButton="0" quotePrefix="0" xfId="44">
      <alignment vertical="center"/>
    </xf>
    <xf numFmtId="164" fontId="58" fillId="0" borderId="0" applyAlignment="1" pivotButton="0" quotePrefix="0" xfId="44">
      <alignment vertical="center"/>
    </xf>
    <xf numFmtId="164" fontId="78" fillId="0" borderId="0" pivotButton="0" quotePrefix="0" xfId="0"/>
    <xf numFmtId="164" fontId="54" fillId="0" borderId="0" applyAlignment="1" pivotButton="0" quotePrefix="0" xfId="0">
      <alignment horizontal="left" vertical="center" wrapText="1"/>
    </xf>
    <xf numFmtId="164" fontId="61" fillId="0" borderId="0" applyAlignment="1" pivotButton="0" quotePrefix="0" xfId="44">
      <alignment horizontal="left" vertical="center" wrapText="1"/>
    </xf>
    <xf numFmtId="164" fontId="61" fillId="0" borderId="0" applyAlignment="1" pivotButton="0" quotePrefix="0" xfId="44">
      <alignment horizontal="justify" vertical="center" wrapText="1"/>
    </xf>
    <xf numFmtId="164" fontId="28" fillId="0" borderId="0" pivotButton="0" quotePrefix="0" xfId="44"/>
    <xf numFmtId="164" fontId="30" fillId="0" borderId="0" pivotButton="0" quotePrefix="0" xfId="44"/>
    <xf numFmtId="164" fontId="29" fillId="0" borderId="0" applyAlignment="1" pivotButton="0" quotePrefix="0" xfId="44">
      <alignment horizontal="centerContinuous"/>
    </xf>
    <xf numFmtId="164" fontId="30" fillId="0" borderId="0" applyAlignment="1" pivotButton="0" quotePrefix="0" xfId="44">
      <alignment horizontal="centerContinuous"/>
    </xf>
    <xf numFmtId="164" fontId="31" fillId="0" borderId="0" applyAlignment="1" pivotButton="0" quotePrefix="0" xfId="44">
      <alignment horizontal="centerContinuous"/>
    </xf>
    <xf numFmtId="164" fontId="28" fillId="0" borderId="0" applyAlignment="1" pivotButton="0" quotePrefix="0" xfId="44">
      <alignment horizontal="centerContinuous"/>
    </xf>
    <xf numFmtId="164" fontId="24" fillId="0" borderId="0" applyAlignment="1" pivotButton="0" quotePrefix="0" xfId="44">
      <alignment horizontal="centerContinuous"/>
    </xf>
    <xf numFmtId="164" fontId="32" fillId="0" borderId="0" applyAlignment="1" pivotButton="0" quotePrefix="0" xfId="44">
      <alignment horizontal="centerContinuous"/>
    </xf>
    <xf numFmtId="164" fontId="28" fillId="0" borderId="0" applyAlignment="1" pivotButton="0" quotePrefix="0" xfId="44">
      <alignment horizontal="center"/>
    </xf>
    <xf numFmtId="164" fontId="24" fillId="0" borderId="62" applyAlignment="1" pivotButton="0" quotePrefix="0" xfId="0">
      <alignment horizontal="center" vertical="center"/>
    </xf>
    <xf numFmtId="164" fontId="52" fillId="28" borderId="86" applyAlignment="1" pivotButton="0" quotePrefix="0" xfId="0">
      <alignment horizontal="center" vertical="center"/>
    </xf>
    <xf numFmtId="0" fontId="0" fillId="0" borderId="64" pivotButton="0" quotePrefix="0" xfId="0"/>
    <xf numFmtId="0" fontId="0" fillId="0" borderId="65" pivotButton="0" quotePrefix="0" xfId="0"/>
    <xf numFmtId="164" fontId="52" fillId="28" borderId="87" applyAlignment="1" pivotButton="0" quotePrefix="0" xfId="0">
      <alignment horizontal="center" vertical="center"/>
    </xf>
    <xf numFmtId="0" fontId="0" fillId="0" borderId="27" pivotButton="0" quotePrefix="0" xfId="0"/>
    <xf numFmtId="164" fontId="24" fillId="0" borderId="19" applyAlignment="1" pivotButton="0" quotePrefix="0" xfId="0">
      <alignment horizontal="center" vertical="center"/>
    </xf>
    <xf numFmtId="164" fontId="24" fillId="0" borderId="11" applyAlignment="1" pivotButton="0" quotePrefix="0" xfId="0">
      <alignment vertical="center"/>
    </xf>
    <xf numFmtId="164" fontId="24" fillId="0" borderId="15" applyAlignment="1" pivotButton="0" quotePrefix="0" xfId="0">
      <alignment vertical="center"/>
    </xf>
    <xf numFmtId="164" fontId="52" fillId="27" borderId="43" applyAlignment="1" pivotButton="0" quotePrefix="0" xfId="0">
      <alignment horizontal="center" vertical="center"/>
    </xf>
    <xf numFmtId="164" fontId="24" fillId="0" borderId="21" applyAlignment="1" pivotButton="0" quotePrefix="0" xfId="0">
      <alignment horizontal="center" vertical="center"/>
    </xf>
    <xf numFmtId="164" fontId="24" fillId="0" borderId="12" applyAlignment="1" pivotButton="0" quotePrefix="0" xfId="0">
      <alignment horizontal="center" vertical="center"/>
    </xf>
    <xf numFmtId="164" fontId="25" fillId="0" borderId="21" applyAlignment="1" pivotButton="0" quotePrefix="0" xfId="0">
      <alignment vertical="center"/>
    </xf>
    <xf numFmtId="164" fontId="55" fillId="0" borderId="0" applyAlignment="1" pivotButton="0" quotePrefix="0" xfId="0">
      <alignment vertical="center"/>
    </xf>
    <xf numFmtId="164" fontId="56" fillId="0" borderId="21" applyAlignment="1" pivotButton="0" quotePrefix="0" xfId="0">
      <alignment horizontal="right" vertical="center"/>
    </xf>
    <xf numFmtId="164" fontId="24" fillId="25" borderId="31" applyAlignment="1" pivotButton="0" quotePrefix="0" xfId="0">
      <alignment horizontal="right" vertical="center"/>
    </xf>
    <xf numFmtId="164" fontId="24" fillId="0" borderId="44" applyAlignment="1" pivotButton="0" quotePrefix="0" xfId="0">
      <alignment vertical="center"/>
    </xf>
    <xf numFmtId="164" fontId="24" fillId="0" borderId="38" applyAlignment="1" pivotButton="0" quotePrefix="0" xfId="0">
      <alignment vertical="center"/>
    </xf>
    <xf numFmtId="164" fontId="24" fillId="0" borderId="21" applyAlignment="1" pivotButton="0" quotePrefix="0" xfId="0">
      <alignment vertical="center"/>
    </xf>
    <xf numFmtId="164" fontId="25" fillId="0" borderId="46" applyAlignment="1" pivotButton="0" quotePrefix="0" xfId="0">
      <alignment horizontal="left" vertical="center"/>
    </xf>
    <xf numFmtId="164" fontId="24" fillId="0" borderId="83" applyAlignment="1" pivotButton="0" quotePrefix="0" xfId="0">
      <alignment horizontal="center" vertical="center"/>
    </xf>
    <xf numFmtId="0" fontId="0" fillId="0" borderId="42" pivotButton="0" quotePrefix="0" xfId="0"/>
    <xf numFmtId="3" fontId="24" fillId="0" borderId="83" applyAlignment="1" pivotButton="0" quotePrefix="0" xfId="0">
      <alignment horizontal="center" vertical="center"/>
    </xf>
    <xf numFmtId="164" fontId="52" fillId="29" borderId="43" applyAlignment="1" pivotButton="0" quotePrefix="0" xfId="0">
      <alignment horizontal="center" vertical="center"/>
    </xf>
    <xf numFmtId="3" fontId="52" fillId="29" borderId="81" applyAlignment="1" pivotButton="0" quotePrefix="0" xfId="0">
      <alignment horizontal="center" vertical="center"/>
    </xf>
    <xf numFmtId="0" fontId="0" fillId="0" borderId="34" pivotButton="0" quotePrefix="0" xfId="0"/>
    <xf numFmtId="3" fontId="52" fillId="29" borderId="81" applyAlignment="1" pivotButton="0" quotePrefix="0" xfId="32">
      <alignment horizontal="center" vertical="center"/>
    </xf>
    <xf numFmtId="165" fontId="24" fillId="24" borderId="21" applyAlignment="1" pivotButton="0" quotePrefix="0" xfId="0">
      <alignment horizontal="center" vertical="center"/>
    </xf>
    <xf numFmtId="4" fontId="52" fillId="29" borderId="81" applyAlignment="1" pivotButton="0" quotePrefix="0" xfId="0">
      <alignment horizontal="center" vertical="center"/>
    </xf>
    <xf numFmtId="10" fontId="52" fillId="29" borderId="81" applyAlignment="1" pivotButton="0" quotePrefix="0" xfId="45">
      <alignment horizontal="center" vertical="center"/>
    </xf>
    <xf numFmtId="165" fontId="24" fillId="0" borderId="30" applyAlignment="1" pivotButton="0" quotePrefix="0" xfId="0">
      <alignment vertical="center"/>
    </xf>
    <xf numFmtId="164" fontId="76" fillId="0" borderId="0" applyAlignment="1" pivotButton="0" quotePrefix="0" xfId="0">
      <alignment horizontal="center" wrapText="1"/>
    </xf>
    <xf numFmtId="164" fontId="59" fillId="0" borderId="0" applyAlignment="1" pivotButton="0" quotePrefix="0" xfId="0">
      <alignment horizontal="center"/>
    </xf>
    <xf numFmtId="164" fontId="52" fillId="28" borderId="88" applyAlignment="1" pivotButton="0" quotePrefix="0" xfId="0">
      <alignment horizontal="center" vertical="center"/>
    </xf>
    <xf numFmtId="0" fontId="0" fillId="0" borderId="67" pivotButton="0" quotePrefix="0" xfId="0"/>
    <xf numFmtId="164" fontId="24" fillId="0" borderId="66" applyAlignment="1" pivotButton="0" quotePrefix="0" xfId="0">
      <alignment vertical="center"/>
    </xf>
    <xf numFmtId="164" fontId="52" fillId="27" borderId="68" applyAlignment="1" pivotButton="0" quotePrefix="0" xfId="0">
      <alignment horizontal="center" vertical="center"/>
    </xf>
    <xf numFmtId="164" fontId="24" fillId="0" borderId="69" applyAlignment="1" pivotButton="0" quotePrefix="0" xfId="0">
      <alignment horizontal="center" vertical="center"/>
    </xf>
    <xf numFmtId="164" fontId="25" fillId="0" borderId="69" applyAlignment="1" pivotButton="0" quotePrefix="0" xfId="0">
      <alignment vertical="center"/>
    </xf>
    <xf numFmtId="164" fontId="56" fillId="0" borderId="69" applyAlignment="1" pivotButton="0" quotePrefix="0" xfId="0">
      <alignment horizontal="right" vertical="center"/>
    </xf>
    <xf numFmtId="164" fontId="24" fillId="25" borderId="70" applyAlignment="1" pivotButton="0" quotePrefix="0" xfId="0">
      <alignment horizontal="right" vertical="center"/>
    </xf>
    <xf numFmtId="164" fontId="24" fillId="0" borderId="71" applyAlignment="1" pivotButton="0" quotePrefix="0" xfId="0">
      <alignment vertical="center"/>
    </xf>
    <xf numFmtId="164" fontId="24" fillId="0" borderId="69" applyAlignment="1" pivotButton="0" quotePrefix="0" xfId="0">
      <alignment vertical="center"/>
    </xf>
    <xf numFmtId="164" fontId="52" fillId="28" borderId="63" applyAlignment="1" pivotButton="0" quotePrefix="0" xfId="0">
      <alignment horizontal="center" vertical="center"/>
    </xf>
    <xf numFmtId="164" fontId="52" fillId="28" borderId="28" applyAlignment="1" pivotButton="0" quotePrefix="0" xfId="0">
      <alignment horizontal="center" vertical="center"/>
    </xf>
    <xf numFmtId="164" fontId="52" fillId="28" borderId="27" applyAlignment="1" pivotButton="0" quotePrefix="0" xfId="0">
      <alignment horizontal="center" vertical="center"/>
    </xf>
    <xf numFmtId="4" fontId="52" fillId="29" borderId="81" applyAlignment="1" pivotButton="0" quotePrefix="0" xfId="32">
      <alignment horizontal="center" vertical="center"/>
    </xf>
    <xf numFmtId="164" fontId="59" fillId="0" borderId="0" applyAlignment="1" pivotButton="0" quotePrefix="0" xfId="0">
      <alignment wrapText="1"/>
    </xf>
    <xf numFmtId="164" fontId="79" fillId="0" borderId="0" pivotButton="0" quotePrefix="0" xfId="0"/>
    <xf numFmtId="164" fontId="54" fillId="0" borderId="0" applyAlignment="1" pivotButton="0" quotePrefix="0" xfId="41">
      <alignment vertical="center"/>
    </xf>
    <xf numFmtId="164" fontId="54" fillId="0" borderId="0" applyAlignment="1" pivotButton="0" quotePrefix="0" xfId="41">
      <alignment horizontal="center" vertical="center"/>
    </xf>
    <xf numFmtId="164" fontId="54" fillId="0" borderId="0" applyAlignment="1" applyProtection="1" pivotButton="0" quotePrefix="0" xfId="41">
      <alignment vertical="center"/>
      <protection locked="0" hidden="1"/>
    </xf>
    <xf numFmtId="164" fontId="73" fillId="29" borderId="0" applyAlignment="1" pivotButton="0" quotePrefix="0" xfId="0">
      <alignment vertical="center"/>
    </xf>
    <xf numFmtId="166" fontId="54" fillId="0" borderId="0" applyAlignment="1" pivotButton="0" quotePrefix="0" xfId="41">
      <alignment horizontal="center" vertical="center"/>
    </xf>
    <xf numFmtId="166" fontId="54" fillId="0" borderId="0" applyAlignment="1" pivotButton="0" quotePrefix="0" xfId="45">
      <alignment horizontal="center" vertical="center"/>
    </xf>
    <xf numFmtId="166" fontId="54" fillId="0" borderId="0" pivotButton="0" quotePrefix="0" xfId="0"/>
    <xf numFmtId="166" fontId="54" fillId="0" borderId="0" pivotButton="0" quotePrefix="0" xfId="45"/>
    <xf numFmtId="166" fontId="54" fillId="0" borderId="0" applyAlignment="1" pivotButton="0" quotePrefix="0" xfId="41">
      <alignment vertical="center"/>
    </xf>
    <xf numFmtId="166" fontId="58" fillId="0" borderId="0" applyAlignment="1" pivotButton="0" quotePrefix="0" xfId="45">
      <alignment horizontal="right"/>
    </xf>
    <xf numFmtId="166" fontId="58" fillId="0" borderId="0" applyAlignment="1" pivotButton="0" quotePrefix="0" xfId="0">
      <alignment horizontal="right"/>
    </xf>
    <xf numFmtId="164" fontId="24" fillId="32" borderId="50" applyAlignment="1" pivotButton="0" quotePrefix="0" xfId="0">
      <alignment vertical="center"/>
    </xf>
    <xf numFmtId="166" fontId="73" fillId="32" borderId="51" applyAlignment="1" pivotButton="0" quotePrefix="0" xfId="0">
      <alignment horizontal="center" vertical="center"/>
    </xf>
    <xf numFmtId="0" fontId="0" fillId="0" borderId="47" pivotButton="0" quotePrefix="0" xfId="0"/>
    <xf numFmtId="0" fontId="0" fillId="0" borderId="51" pivotButton="0" quotePrefix="0" xfId="0"/>
    <xf numFmtId="166" fontId="73" fillId="32" borderId="47" applyAlignment="1" pivotButton="0" quotePrefix="0" xfId="0">
      <alignment horizontal="center" vertical="center"/>
    </xf>
    <xf numFmtId="164" fontId="54" fillId="0" borderId="50" applyAlignment="1" pivotButton="0" quotePrefix="0" xfId="41">
      <alignment vertical="center"/>
    </xf>
    <xf numFmtId="166" fontId="54" fillId="0" borderId="0" applyAlignment="1" pivotButton="0" quotePrefix="1" xfId="41">
      <alignment horizontal="center" vertical="center" wrapText="1"/>
    </xf>
    <xf numFmtId="166" fontId="54" fillId="0" borderId="49" applyAlignment="1" pivotButton="0" quotePrefix="1" xfId="41">
      <alignment horizontal="center" vertical="center" wrapText="1"/>
    </xf>
    <xf numFmtId="166" fontId="54" fillId="0" borderId="50" applyAlignment="1" pivotButton="0" quotePrefix="1" xfId="41">
      <alignment horizontal="center" vertical="center" wrapText="1"/>
    </xf>
    <xf numFmtId="164" fontId="54" fillId="0" borderId="50" applyAlignment="1" applyProtection="1" pivotButton="0" quotePrefix="0" xfId="41">
      <alignment vertical="center"/>
      <protection locked="0" hidden="1"/>
    </xf>
    <xf numFmtId="167" fontId="54" fillId="0" borderId="48" applyAlignment="1" applyProtection="1" pivotButton="0" quotePrefix="0" xfId="32">
      <alignment horizontal="right" vertical="center"/>
      <protection locked="0" hidden="1"/>
    </xf>
    <xf numFmtId="167" fontId="54" fillId="0" borderId="50" applyAlignment="1" applyProtection="1" pivotButton="0" quotePrefix="0" xfId="32">
      <alignment horizontal="right" vertical="center"/>
      <protection locked="0" hidden="1"/>
    </xf>
    <xf numFmtId="167" fontId="74" fillId="0" borderId="0" applyAlignment="1" applyProtection="1" pivotButton="0" quotePrefix="0" xfId="32">
      <alignment horizontal="right" vertical="center"/>
      <protection locked="0" hidden="1"/>
    </xf>
    <xf numFmtId="167" fontId="54" fillId="0" borderId="0" applyAlignment="1" applyProtection="1" pivotButton="0" quotePrefix="0" xfId="41">
      <alignment vertical="center"/>
      <protection locked="0" hidden="1"/>
    </xf>
    <xf numFmtId="167" fontId="54" fillId="0" borderId="0" applyAlignment="1" pivotButton="0" quotePrefix="0" xfId="41">
      <alignment vertical="center"/>
    </xf>
    <xf numFmtId="167" fontId="54" fillId="0" borderId="50" applyAlignment="1" pivotButton="0" quotePrefix="0" xfId="32">
      <alignment horizontal="right" vertical="center"/>
    </xf>
    <xf numFmtId="167" fontId="54" fillId="0" borderId="48" applyAlignment="1" pivotButton="0" quotePrefix="0" xfId="32">
      <alignment horizontal="right" vertical="center"/>
    </xf>
    <xf numFmtId="167" fontId="74" fillId="0" borderId="0" applyAlignment="1" pivotButton="0" quotePrefix="0" xfId="32">
      <alignment horizontal="right" vertical="center"/>
    </xf>
    <xf numFmtId="167" fontId="54" fillId="0" borderId="0" applyAlignment="1" pivotButton="0" quotePrefix="0" xfId="41">
      <alignment horizontal="center" vertical="center"/>
    </xf>
    <xf numFmtId="166" fontId="73" fillId="32" borderId="0" applyAlignment="1" pivotButton="0" quotePrefix="0" xfId="0">
      <alignment horizontal="center" vertical="center"/>
    </xf>
    <xf numFmtId="164" fontId="24" fillId="31" borderId="50" applyAlignment="1" pivotButton="0" quotePrefix="0" xfId="0">
      <alignment vertical="center"/>
    </xf>
    <xf numFmtId="166" fontId="73" fillId="31" borderId="51" applyAlignment="1" pivotButton="0" quotePrefix="0" xfId="0">
      <alignment horizontal="center" vertical="center"/>
    </xf>
    <xf numFmtId="166" fontId="73" fillId="31" borderId="47" applyAlignment="1" pivotButton="0" quotePrefix="0" xfId="0">
      <alignment horizontal="center" vertical="center"/>
    </xf>
    <xf numFmtId="166" fontId="24" fillId="0" borderId="0" applyAlignment="1" pivotButton="0" quotePrefix="0" xfId="0">
      <alignment vertical="center"/>
    </xf>
    <xf numFmtId="166" fontId="25" fillId="0" borderId="0" applyAlignment="1" pivotButton="0" quotePrefix="0" xfId="45">
      <alignment vertical="center"/>
    </xf>
    <xf numFmtId="164" fontId="24" fillId="30" borderId="50" applyAlignment="1" pivotButton="0" quotePrefix="0" xfId="0">
      <alignment vertical="center"/>
    </xf>
    <xf numFmtId="166" fontId="73" fillId="30" borderId="51" applyAlignment="1" pivotButton="0" quotePrefix="0" xfId="0">
      <alignment horizontal="center" vertical="center"/>
    </xf>
    <xf numFmtId="166" fontId="73" fillId="30" borderId="47" applyAlignment="1" pivotButton="0" quotePrefix="0" xfId="0">
      <alignment horizontal="center" vertical="center"/>
    </xf>
    <xf numFmtId="164" fontId="24" fillId="33" borderId="50" applyAlignment="1" pivotButton="0" quotePrefix="0" xfId="0">
      <alignment vertical="center"/>
    </xf>
    <xf numFmtId="166" fontId="73" fillId="33" borderId="51" applyAlignment="1" pivotButton="0" quotePrefix="0" xfId="0">
      <alignment horizontal="center" vertical="center"/>
    </xf>
    <xf numFmtId="166" fontId="73" fillId="33" borderId="47" applyAlignment="1" pivotButton="0" quotePrefix="0" xfId="0">
      <alignment horizontal="center" vertical="center"/>
    </xf>
    <xf numFmtId="164" fontId="24" fillId="34" borderId="50" applyAlignment="1" pivotButton="0" quotePrefix="0" xfId="0">
      <alignment vertical="center"/>
    </xf>
    <xf numFmtId="166" fontId="73" fillId="34" borderId="51" applyAlignment="1" pivotButton="0" quotePrefix="0" xfId="0">
      <alignment horizontal="center" vertical="center"/>
    </xf>
    <xf numFmtId="166" fontId="73" fillId="34" borderId="47" applyAlignment="1" pivotButton="0" quotePrefix="0" xfId="0">
      <alignment horizontal="center" vertical="center"/>
    </xf>
    <xf numFmtId="164" fontId="24" fillId="0" borderId="50" applyAlignment="1" pivotButton="0" quotePrefix="0" xfId="0">
      <alignment vertical="center"/>
    </xf>
    <xf numFmtId="166" fontId="73" fillId="0" borderId="0" applyAlignment="1" pivotButton="0" quotePrefix="0" xfId="0">
      <alignment horizontal="center" vertical="center"/>
    </xf>
    <xf numFmtId="166" fontId="73" fillId="0" borderId="50" applyAlignment="1" pivotButton="0" quotePrefix="0" xfId="0">
      <alignment horizontal="center" vertical="center"/>
    </xf>
    <xf numFmtId="164" fontId="24" fillId="35" borderId="50" applyAlignment="1" pivotButton="0" quotePrefix="0" xfId="0">
      <alignment vertical="center"/>
    </xf>
    <xf numFmtId="166" fontId="73" fillId="35" borderId="51" applyAlignment="1" pivotButton="0" quotePrefix="0" xfId="0">
      <alignment horizontal="center" vertical="center"/>
    </xf>
    <xf numFmtId="166" fontId="73" fillId="35" borderId="47" applyAlignment="1" pivotButton="0" quotePrefix="0" xfId="0">
      <alignment horizontal="center" vertical="center"/>
    </xf>
    <xf numFmtId="166" fontId="54" fillId="0" borderId="0" applyAlignment="1" pivotButton="0" quotePrefix="1" xfId="45">
      <alignment horizontal="center" vertical="center" wrapText="1"/>
    </xf>
    <xf numFmtId="166" fontId="54" fillId="0" borderId="0" applyAlignment="1" applyProtection="1" pivotButton="0" quotePrefix="0" xfId="32">
      <alignment horizontal="right" vertical="center"/>
      <protection locked="0" hidden="1"/>
    </xf>
    <xf numFmtId="166" fontId="54" fillId="0" borderId="48" applyAlignment="1" applyProtection="1" pivotButton="0" quotePrefix="0" xfId="32">
      <alignment horizontal="right" vertical="center"/>
      <protection locked="0" hidden="1"/>
    </xf>
    <xf numFmtId="166" fontId="54" fillId="0" borderId="50" applyAlignment="1" applyProtection="1" pivotButton="0" quotePrefix="0" xfId="32">
      <alignment horizontal="right" vertical="center"/>
      <protection locked="0" hidden="1"/>
    </xf>
    <xf numFmtId="166" fontId="54" fillId="0" borderId="0" applyAlignment="1" pivotButton="0" quotePrefix="0" xfId="32">
      <alignment horizontal="right" vertical="center"/>
    </xf>
    <xf numFmtId="166" fontId="54" fillId="0" borderId="48" applyAlignment="1" pivotButton="0" quotePrefix="0" xfId="32">
      <alignment horizontal="right" vertical="center"/>
    </xf>
    <xf numFmtId="166" fontId="54" fillId="0" borderId="50" applyAlignment="1" pivotButton="0" quotePrefix="0" xfId="32">
      <alignment horizontal="right" vertical="center"/>
    </xf>
    <xf numFmtId="164" fontId="54" fillId="0" borderId="50" applyAlignment="1" pivotButton="0" quotePrefix="0" xfId="0">
      <alignment vertical="center"/>
    </xf>
    <xf numFmtId="166" fontId="54" fillId="0" borderId="0" applyAlignment="1" pivotButton="0" quotePrefix="0" xfId="0">
      <alignment horizontal="right" vertical="center"/>
    </xf>
    <xf numFmtId="166" fontId="54" fillId="0" borderId="48" applyAlignment="1" pivotButton="0" quotePrefix="0" xfId="0">
      <alignment horizontal="right" vertical="center"/>
    </xf>
    <xf numFmtId="166" fontId="54" fillId="0" borderId="50" applyAlignment="1" applyProtection="1" pivotButton="0" quotePrefix="0" xfId="0">
      <alignment horizontal="right" vertical="center"/>
      <protection locked="0" hidden="1"/>
    </xf>
    <xf numFmtId="166" fontId="54" fillId="0" borderId="0" applyAlignment="1" applyProtection="1" pivotButton="0" quotePrefix="0" xfId="0">
      <alignment horizontal="right" vertical="center"/>
      <protection locked="0" hidden="1"/>
    </xf>
    <xf numFmtId="166" fontId="54" fillId="0" borderId="48" applyAlignment="1" applyProtection="1" pivotButton="0" quotePrefix="0" xfId="0">
      <alignment horizontal="right" vertical="center"/>
      <protection locked="0" hidden="1"/>
    </xf>
    <xf numFmtId="166" fontId="54" fillId="0" borderId="0" applyAlignment="1" pivotButton="0" quotePrefix="1" xfId="41">
      <alignment horizontal="left" vertical="center" wrapText="1"/>
    </xf>
    <xf numFmtId="166" fontId="24" fillId="35" borderId="0" applyAlignment="1" pivotButton="0" quotePrefix="0" xfId="0">
      <alignment vertical="center"/>
    </xf>
    <xf numFmtId="166" fontId="54" fillId="0" borderId="0" applyAlignment="1" pivotButton="0" quotePrefix="0" xfId="45">
      <alignment horizontal="right" vertical="center"/>
    </xf>
    <xf numFmtId="166" fontId="54" fillId="0" borderId="0" applyAlignment="1" applyProtection="1" pivotButton="0" quotePrefix="0" xfId="0">
      <alignment vertical="center"/>
      <protection locked="0" hidden="1"/>
    </xf>
    <xf numFmtId="166" fontId="54" fillId="0" borderId="0" applyAlignment="1" pivotButton="0" quotePrefix="0" xfId="0">
      <alignment horizontal="center" vertical="center"/>
    </xf>
    <xf numFmtId="166" fontId="54" fillId="0" borderId="0" applyAlignment="1" applyProtection="1" pivotButton="0" quotePrefix="0" xfId="32">
      <alignment vertical="center"/>
      <protection locked="0" hidden="1"/>
    </xf>
    <xf numFmtId="166" fontId="54" fillId="0" borderId="0" applyAlignment="1" pivotButton="0" quotePrefix="0" xfId="45">
      <alignment vertical="center"/>
    </xf>
  </cellXfs>
  <cellStyles count="172">
    <cellStyle name="Normal" xfId="0" builtinId="0"/>
    <cellStyle name="20 % - Accent1 2" xfId="1"/>
    <cellStyle name="20 % - Accent2 2" xfId="2"/>
    <cellStyle name="20 % - Accent3 2" xfId="3"/>
    <cellStyle name="20 % - Accent4 2" xfId="4"/>
    <cellStyle name="20 % - Accent5 2" xfId="5"/>
    <cellStyle name="20 % - Accent6 2" xfId="6"/>
    <cellStyle name="40 % - Accent1 2" xfId="7"/>
    <cellStyle name="40 % - Accent2 2" xfId="8"/>
    <cellStyle name="40 % - Accent3 2" xfId="9"/>
    <cellStyle name="40 % - Accent4 2" xfId="10"/>
    <cellStyle name="40 % - Accent5 2" xfId="11"/>
    <cellStyle name="40 % - Accent6 2" xfId="12"/>
    <cellStyle name="60 % - Accent1 2" xfId="13"/>
    <cellStyle name="60 % - Accent2 2" xfId="14"/>
    <cellStyle name="60 % - Accent3 2" xfId="15"/>
    <cellStyle name="60 % - Accent4 2" xfId="16"/>
    <cellStyle name="60 % - Accent5 2" xfId="17"/>
    <cellStyle name="60 % - Accent6 2" xfId="18"/>
    <cellStyle name="Accent1 2" xfId="19"/>
    <cellStyle name="Accent2 2" xfId="20"/>
    <cellStyle name="Accent3 2" xfId="21"/>
    <cellStyle name="Accent4 2" xfId="22"/>
    <cellStyle name="Accent5 2" xfId="23"/>
    <cellStyle name="Accent6 2" xfId="24"/>
    <cellStyle name="Avertissement 2" xfId="25"/>
    <cellStyle name="Calcul 2" xfId="26"/>
    <cellStyle name="Cellule liée 2" xfId="27"/>
    <cellStyle name="Commentaire 2" xfId="28"/>
    <cellStyle name="Entrée 2" xfId="29"/>
    <cellStyle name="Euro" xfId="30"/>
    <cellStyle name="Insatisfaisant 2" xfId="31"/>
    <cellStyle name="Milliers" xfId="32" builtinId="3"/>
    <cellStyle name="Milliers 2" xfId="33"/>
    <cellStyle name="Neutre 2" xfId="34"/>
    <cellStyle name="Normal 2" xfId="35"/>
    <cellStyle name="Normal 2 2" xfId="36"/>
    <cellStyle name="Normal 2 3" xfId="37"/>
    <cellStyle name="Normal 3" xfId="38"/>
    <cellStyle name="Normal 4" xfId="39"/>
    <cellStyle name="Normal 4 2" xfId="40"/>
    <cellStyle name="Normal 5" xfId="41"/>
    <cellStyle name="Normal 5 2" xfId="42"/>
    <cellStyle name="Normal 6" xfId="43"/>
    <cellStyle name="Normal_Feuil1" xfId="44"/>
    <cellStyle name="Pourcentage" xfId="45" builtinId="5"/>
    <cellStyle name="Pourcentage 2" xfId="46"/>
    <cellStyle name="Pourcentage 2 2" xfId="47"/>
    <cellStyle name="Pourcentage 3" xfId="48"/>
    <cellStyle name="Satisfaisant 2" xfId="49"/>
    <cellStyle name="Sortie 2" xfId="50"/>
    <cellStyle name="Texte explicatif 2" xfId="51"/>
    <cellStyle name="Titre 2" xfId="52"/>
    <cellStyle name="Titre 1 2" xfId="53"/>
    <cellStyle name="Titre 2 2" xfId="54"/>
    <cellStyle name="Titre 3 2" xfId="55"/>
    <cellStyle name="Titre 4 2" xfId="56"/>
    <cellStyle name="Total 2" xfId="57"/>
    <cellStyle name="Vérification 2" xfId="58"/>
    <cellStyle name="Normal 7" xfId="59"/>
    <cellStyle name="Normal 2 4" xfId="60"/>
    <cellStyle name="Normal 8" xfId="61"/>
    <cellStyle name="Normal 9" xfId="62"/>
    <cellStyle name="Normal 10" xfId="63"/>
    <cellStyle name="Normal 11" xfId="64"/>
    <cellStyle name="Normal 12" xfId="65"/>
    <cellStyle name="Normal 13" xfId="66"/>
    <cellStyle name="Normal 14" xfId="67"/>
    <cellStyle name="Normal 15" xfId="68"/>
    <cellStyle name="Normal 16" xfId="69"/>
    <cellStyle name="Normal 17" xfId="70"/>
    <cellStyle name="Normal 18" xfId="71"/>
    <cellStyle name="Normal 19" xfId="72"/>
    <cellStyle name="Normal 20" xfId="73"/>
    <cellStyle name="Normal 21" xfId="74"/>
    <cellStyle name="Normal 22" xfId="75"/>
    <cellStyle name="Normal 23" xfId="76"/>
    <cellStyle name="Normal 24" xfId="77"/>
    <cellStyle name="Normal 25" xfId="78"/>
    <cellStyle name="Normal 26" xfId="79"/>
    <cellStyle name="Normal 27" xfId="80"/>
    <cellStyle name="Normal 28" xfId="81"/>
    <cellStyle name="Normal 29" xfId="82"/>
    <cellStyle name="Normal 30" xfId="83"/>
    <cellStyle name="Normal 31" xfId="84"/>
    <cellStyle name="Milliers 3" xfId="85"/>
    <cellStyle name="Pourcentage 4" xfId="86"/>
    <cellStyle name="Normal 3 2" xfId="87"/>
    <cellStyle name="Normal 3 3" xfId="88"/>
    <cellStyle name="Normal 31 2" xfId="89"/>
    <cellStyle name="Normal 32" xfId="90"/>
    <cellStyle name="Normal 33" xfId="91"/>
    <cellStyle name="Normal 32 2" xfId="92"/>
    <cellStyle name="Normal 31 3" xfId="93"/>
    <cellStyle name="Normal 34" xfId="94"/>
    <cellStyle name="Pourcentage 5" xfId="95"/>
    <cellStyle name="Normal 3 4" xfId="96"/>
    <cellStyle name="Normal 3 2 2" xfId="97"/>
    <cellStyle name="Normal 2 5" xfId="98"/>
    <cellStyle name="Milliers 2 2" xfId="99"/>
    <cellStyle name="Normal 4 3" xfId="100"/>
    <cellStyle name="Normal 5 3" xfId="101"/>
    <cellStyle name="Normal 35" xfId="102"/>
    <cellStyle name="Milliers 4" xfId="103"/>
    <cellStyle name="Pourcentage 6" xfId="104"/>
    <cellStyle name="Normal 36" xfId="105"/>
    <cellStyle name="Normal 6 2" xfId="106"/>
    <cellStyle name="Milliers 5" xfId="107"/>
    <cellStyle name="Pourcentage 7" xfId="108"/>
    <cellStyle name="Normal 37" xfId="109"/>
    <cellStyle name="Normal 6 3" xfId="110"/>
    <cellStyle name="Milliers 6" xfId="111"/>
    <cellStyle name="Pourcentage 8" xfId="112"/>
    <cellStyle name="Normal 38" xfId="113"/>
    <cellStyle name="Milliers 7" xfId="114"/>
    <cellStyle name="Pourcentage 9" xfId="115"/>
    <cellStyle name="Titre" xfId="116" builtinId="15"/>
    <cellStyle name="Titre 1" xfId="117" builtinId="16"/>
    <cellStyle name="Titre 2" xfId="118" builtinId="17"/>
    <cellStyle name="Titre 3" xfId="119" builtinId="18"/>
    <cellStyle name="Titre 4" xfId="120" builtinId="19"/>
    <cellStyle name="Satisfaisant" xfId="121" builtinId="26"/>
    <cellStyle name="Insatisfaisant" xfId="122" builtinId="27"/>
    <cellStyle name="Entrée" xfId="123" builtinId="20"/>
    <cellStyle name="Sortie" xfId="124" builtinId="21"/>
    <cellStyle name="Calcul" xfId="125" builtinId="22"/>
    <cellStyle name="Cellule liée" xfId="126" builtinId="24"/>
    <cellStyle name="Vérification" xfId="127" builtinId="23"/>
    <cellStyle name="Avertissement" xfId="128" builtinId="11"/>
    <cellStyle name="Texte explicatif" xfId="129" builtinId="53"/>
    <cellStyle name="Total" xfId="130" builtinId="25"/>
    <cellStyle name="Accent1" xfId="131" builtinId="29"/>
    <cellStyle name="20 % - Accent1" xfId="132" builtinId="30"/>
    <cellStyle name="40 % - Accent1" xfId="133" builtinId="31"/>
    <cellStyle name="Accent2" xfId="134" builtinId="33"/>
    <cellStyle name="20 % - Accent2" xfId="135" builtinId="34"/>
    <cellStyle name="40 % - Accent2" xfId="136" builtinId="35"/>
    <cellStyle name="Accent3" xfId="137" builtinId="37"/>
    <cellStyle name="20 % - Accent3" xfId="138" builtinId="38"/>
    <cellStyle name="40 % - Accent3" xfId="139" builtinId="39"/>
    <cellStyle name="Accent4" xfId="140" builtinId="41"/>
    <cellStyle name="20 % - Accent4" xfId="141" builtinId="42"/>
    <cellStyle name="40 % - Accent4" xfId="142" builtinId="43"/>
    <cellStyle name="Accent5" xfId="143" builtinId="45"/>
    <cellStyle name="20 % - Accent5" xfId="144" builtinId="46"/>
    <cellStyle name="40 % - Accent5" xfId="145" builtinId="47"/>
    <cellStyle name="Accent6" xfId="146" builtinId="49"/>
    <cellStyle name="20 % - Accent6" xfId="147" builtinId="50"/>
    <cellStyle name="40 % - Accent6" xfId="148" builtinId="51"/>
    <cellStyle name="Normal 39" xfId="149"/>
    <cellStyle name="Milliers 8" xfId="150"/>
    <cellStyle name="Pourcentage 10" xfId="151"/>
    <cellStyle name="Neutre 3" xfId="152"/>
    <cellStyle name="Note 2" xfId="153"/>
    <cellStyle name="60 % - Accent1 3" xfId="154"/>
    <cellStyle name="60 % - Accent2 3" xfId="155"/>
    <cellStyle name="60 % - Accent3 3" xfId="156"/>
    <cellStyle name="60 % - Accent4 3" xfId="157"/>
    <cellStyle name="60 % - Accent5 3" xfId="158"/>
    <cellStyle name="60 % - Accent6 3" xfId="159"/>
    <cellStyle name="Milliers 2 3" xfId="160"/>
    <cellStyle name="Normal 3 5" xfId="161"/>
    <cellStyle name="Normal 2 2 2" xfId="162"/>
    <cellStyle name="Normal 3 6" xfId="163"/>
    <cellStyle name="Pourcentage 2 3" xfId="164"/>
    <cellStyle name="Normal 31 4" xfId="165"/>
    <cellStyle name="Milliers 3 2" xfId="166"/>
    <cellStyle name="Pourcentage 4 2" xfId="167"/>
    <cellStyle name="Normal 3 2 3" xfId="168"/>
    <cellStyle name="Normal 3 3 2" xfId="169"/>
    <cellStyle name="Normal 31 2 2" xfId="170"/>
    <cellStyle name="Normal 32 3" xfId="171"/>
  </cellStyles>
  <dxfs count="4910">
    <dxf>
      <font>
        <name val="Helv"/>
        <strike val="0"/>
        <outline val="0"/>
        <shadow val="0"/>
        <condense val="0"/>
        <color auto="1"/>
        <extend val="0"/>
        <sz val="10"/>
        <vertAlign val="baseline"/>
      </font>
    </dxf>
    <dxf>
      <font>
        <name val="Helv"/>
        <strike val="0"/>
        <outline val="0"/>
        <shadow val="0"/>
        <condense val="0"/>
        <color auto="1"/>
        <extend val="0"/>
        <sz val="10"/>
        <vertAlign val="baseline"/>
      </font>
    </dxf>
    <dxf>
      <numFmt numFmtId="30" formatCode="@"/>
    </dxf>
    <dxf>
      <numFmt numFmtId="0" formatCode="General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border outline="0">
        <top style="thin">
          <color theme="0"/>
        </top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horizontal="general"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numFmt numFmtId="0" formatCode="General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numFmt numFmtId="0" formatCode="General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numFmt numFmtId="0" formatCode="General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numFmt numFmtId="0" formatCode="General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numFmt numFmtId="0" formatCode="General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numFmt numFmtId="0" formatCode="General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numFmt numFmtId="0" formatCode="General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numFmt numFmtId="0" formatCode="General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numFmt numFmtId="0" formatCode="General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horizontal="general"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border outline="0">
        <top style="thin">
          <color theme="0"/>
        </top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horizontal="general"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border outline="0">
        <top style="thin">
          <color theme="0"/>
        </top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horizontal="general"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30" formatCode="@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30" formatCode="@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lor auto="1"/>
        <sz val="11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1"/>
        <vertAlign val="baseline"/>
        <scheme val="minor"/>
      </font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30" formatCode="@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30" formatCode="@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lor auto="1"/>
        <sz val="11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1"/>
        <vertAlign val="baseline"/>
        <scheme val="minor"/>
      </font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theme="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0" formatCode="@"/>
    </dxf>
    <dxf>
      <numFmt numFmtId="30" formatCode="@"/>
      <alignment horizontal="center" vertical="bottom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0" formatCode="@"/>
    </dxf>
    <dxf>
      <font>
        <name val="Kalinga"/>
        <family val="2"/>
        <strike val="0"/>
        <outline val="0"/>
        <shadow val="0"/>
        <condense val="0"/>
        <color theme="1"/>
        <extend val="0"/>
        <sz val="8"/>
        <vertAlign val="baseline"/>
      </font>
      <numFmt numFmtId="30" formatCode="@"/>
    </dxf>
    <dxf>
      <font>
        <name val="Kalinga"/>
        <family val="2"/>
        <strike val="0"/>
        <outline val="0"/>
        <shadow val="0"/>
        <condense val="0"/>
        <color theme="1"/>
        <extend val="0"/>
        <sz val="8"/>
        <vertAlign val="baseline"/>
      </font>
      <numFmt numFmtId="30" formatCode="@"/>
    </dxf>
    <dxf>
      <font>
        <name val="Kalinga"/>
        <family val="2"/>
        <strike val="0"/>
        <outline val="0"/>
        <shadow val="0"/>
        <condense val="0"/>
        <color theme="1"/>
        <extend val="0"/>
        <sz val="8"/>
        <vertAlign val="baseline"/>
      </font>
    </dxf>
    <dxf>
      <font>
        <name val="Kalinga"/>
        <family val="2"/>
        <strike val="0"/>
        <outline val="0"/>
        <shadow val="0"/>
        <condense val="0"/>
        <color theme="1"/>
        <extend val="0"/>
        <sz val="8"/>
        <vertAlign val="baseline"/>
      </font>
    </dxf>
    <dxf>
      <font>
        <name val="Helv"/>
        <strike val="0"/>
        <outline val="0"/>
        <shadow val="0"/>
        <condense val="0"/>
        <color auto="1"/>
        <extend val="0"/>
        <sz val="10"/>
        <vertAlign val="baseline"/>
      </font>
    </dxf>
    <dxf>
      <font>
        <name val="Helv"/>
        <strike val="0"/>
        <outline val="0"/>
        <shadow val="0"/>
        <condense val="0"/>
        <color auto="1"/>
        <extend val="0"/>
        <sz val="10"/>
        <vertAlign val="baseline"/>
      </font>
    </dxf>
    <dxf>
      <numFmt numFmtId="30" formatCode="@"/>
    </dxf>
    <dxf>
      <numFmt numFmtId="0" formatCode="General"/>
    </dxf>
    <dxf>
      <font>
        <name val="Calibri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alignment horizontal="general" vertical="bottom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alignment horizontal="general" vertical="bottom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alignment horizontal="general" vertical="bottom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alignment horizontal="general" vertical="bottom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alignment horizontal="general" vertical="bottom"/>
      <border outline="0">
        <left/>
        <right/>
        <top/>
        <bottom/>
      </border>
      <protection locked="1" hidden="0"/>
    </dxf>
    <dxf>
      <numFmt numFmtId="0" formatCode="General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</dxf>
    <dxf>
      <numFmt numFmtId="0" formatCode="General"/>
    </dxf>
    <dxf>
      <alignment horizontal="center" vertical="center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externalLink" Target="/xl/externalLinks/externalLink1.xml" Id="rId110"/><Relationship Type="http://schemas.openxmlformats.org/officeDocument/2006/relationships/externalLink" Target="/xl/externalLinks/externalLink2.xml" Id="rId111"/><Relationship Type="http://schemas.openxmlformats.org/officeDocument/2006/relationships/styles" Target="styles.xml" Id="rId112"/><Relationship Type="http://schemas.openxmlformats.org/officeDocument/2006/relationships/theme" Target="theme/theme1.xml" Id="rId113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GLOBAL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1510348420187935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1072516989777256"/>
          <y val="0.08917302798982189"/>
          <w val="0.8703359130842141"/>
          <h val="0.8152529502514476"/>
        </manualLayout>
      </layout>
      <lineChart>
        <grouping val="standard"/>
        <varyColors val="0"/>
        <ser>
          <idx val="0"/>
          <order val="0"/>
          <tx>
            <strRef>
              <f>DONNÉES!$C$11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DONNÉES!$B$12:$B$23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DONNÉES!$C$12:$C$23</f>
              <numCache>
                <formatCode>#,##0</formatCode>
                <ptCount val="12"/>
                <pt idx="0">
                  <v>4419273.85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1"/>
        </ser>
        <ser>
          <idx val="1"/>
          <order val="1"/>
          <tx>
            <strRef>
              <f>DONNÉES!$D$11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DONNÉES!$B$12:$B$23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DONNÉES!$D$12:$D$23</f>
              <numCache>
                <formatCode>#,##0</formatCode>
                <ptCount val="12"/>
                <pt idx="0">
                  <v>3384491.03</v>
                </pt>
                <pt idx="1">
                  <v>3304328.73</v>
                </pt>
                <pt idx="2">
                  <v>3717579.810000001</v>
                </pt>
                <pt idx="3">
                  <v>3800504.69</v>
                </pt>
                <pt idx="4">
                  <v>3916103.36</v>
                </pt>
                <pt idx="5">
                  <v>3808054.51</v>
                </pt>
                <pt idx="6">
                  <v>4240473.350000001</v>
                </pt>
                <pt idx="7">
                  <v>4726125.539999999</v>
                </pt>
                <pt idx="8">
                  <v>3378244.66</v>
                </pt>
                <pt idx="9">
                  <v>3566580.16</v>
                </pt>
                <pt idx="10">
                  <v>3722290.67</v>
                </pt>
                <pt idx="11">
                  <v>3685957.54</v>
                </pt>
              </numCache>
            </numRef>
          </val>
          <smooth val="1"/>
        </ser>
        <ser>
          <idx val="2"/>
          <order val="2"/>
          <tx>
            <strRef>
              <f>DONNÉES!$E$11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DONNÉES!$B$12:$B$23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DONNÉES!$E$12:$E$23</f>
              <numCache>
                <formatCode>#,##0</formatCode>
                <ptCount val="12"/>
                <pt idx="0">
                  <v>3819906.95</v>
                </pt>
                <pt idx="1">
                  <v>3788362.52</v>
                </pt>
                <pt idx="2">
                  <v>3826062.700000001</v>
                </pt>
                <pt idx="3">
                  <v>4266701.220000001</v>
                </pt>
                <pt idx="4">
                  <v>4361231.029999999</v>
                </pt>
                <pt idx="5">
                  <v>4039384.5</v>
                </pt>
                <pt idx="6">
                  <v>4904175.069999999</v>
                </pt>
                <pt idx="7">
                  <v>5045833.289999999</v>
                </pt>
                <pt idx="8">
                  <v>3932985.82</v>
                </pt>
                <pt idx="9">
                  <v>4003494.259999999</v>
                </pt>
                <pt idx="10">
                  <v>3828467.46</v>
                </pt>
                <pt idx="11">
                  <v>3775290.86</v>
                </pt>
              </numCache>
            </numRef>
          </val>
          <smooth val="1"/>
        </ser>
        <ser>
          <idx val="3"/>
          <order val="3"/>
          <tx>
            <strRef>
              <f>DONNÉES!$F$11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DONNÉES!$B$12:$B$23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DONNÉES!$F$12:$F$23</f>
              <numCache>
                <formatCode>#,##0</formatCode>
                <ptCount val="12"/>
                <pt idx="0">
                  <v>3307048.25</v>
                </pt>
                <pt idx="1">
                  <v>3340095.03</v>
                </pt>
                <pt idx="2">
                  <v>3387927.99</v>
                </pt>
                <pt idx="3">
                  <v>3608854.75</v>
                </pt>
                <pt idx="4">
                  <v>3820596.51</v>
                </pt>
                <pt idx="5">
                  <v>3745685.452000001</v>
                </pt>
                <pt idx="6">
                  <v>4312590.31</v>
                </pt>
                <pt idx="7">
                  <v>4370846.45</v>
                </pt>
                <pt idx="8">
                  <v>3361910.799999999</v>
                </pt>
                <pt idx="9">
                  <v>3777735.15</v>
                </pt>
                <pt idx="10">
                  <v>3534726.48</v>
                </pt>
                <pt idx="11">
                  <v>3791922.35</v>
                </pt>
              </numCache>
            </numRef>
          </val>
          <smooth val="1"/>
        </ser>
        <ser>
          <idx val="4"/>
          <order val="4"/>
          <tx>
            <strRef>
              <f>DONNÉES!$G$11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DONNÉES!$B$12:$B$23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DONNÉES!$G$12:$G$23</f>
              <numCache>
                <formatCode>#,##0</formatCode>
                <ptCount val="12"/>
                <pt idx="0">
                  <v>2062219.36</v>
                </pt>
                <pt idx="1">
                  <v>1940064.75</v>
                </pt>
                <pt idx="2">
                  <v>2019870.32</v>
                </pt>
                <pt idx="3">
                  <v>2140760.78</v>
                </pt>
                <pt idx="4">
                  <v>2934702.62</v>
                </pt>
                <pt idx="5">
                  <v>3100648.85</v>
                </pt>
                <pt idx="6">
                  <v>3798943.06</v>
                </pt>
                <pt idx="7">
                  <v>4381054.17</v>
                </pt>
                <pt idx="8">
                  <v>3256341.354</v>
                </pt>
                <pt idx="9">
                  <v>3615288.6</v>
                </pt>
                <pt idx="10">
                  <v>3367788.59</v>
                </pt>
                <pt idx="11">
                  <v>3509601</v>
                </pt>
              </numCache>
            </numRef>
          </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7500000"/>
          <min val="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10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span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GLOBAL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52816012502254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1072516989777256"/>
          <y val="0.1317590723592932"/>
          <w val="0.7734021822939787"/>
          <h val="0.6735138018923011"/>
        </manualLayout>
      </layout>
      <lineChart>
        <grouping val="standard"/>
        <varyColors val="0"/>
        <ser>
          <idx val="0"/>
          <order val="0"/>
          <tx>
            <strRef>
              <f>DONNÉES!$D$27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/>
              </a:solidFill>
              <a:ln xmlns:a="http://schemas.openxmlformats.org/drawingml/2006/main" w="9525" cap="flat" cmpd="sng" algn="ctr">
                <a:solidFill>
                  <a:schemeClr val="accent6"/>
                </a:solidFill>
                <a:prstDash val="solid"/>
                <a:round/>
              </a:ln>
            </spPr>
          </marker>
          <cat>
            <strRef>
              <f>DONNÉES!$B$28:$B$39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DONNÉES!$D$28:$D$39</f>
              <numCache>
                <formatCode>#,##0</formatCode>
                <ptCount val="12"/>
                <pt idx="0">
                  <v>-54690</v>
                </pt>
                <pt idx="1">
                  <v>-102242.8</v>
                </pt>
                <pt idx="2">
                  <v>80357.45000000001</v>
                </pt>
                <pt idx="3">
                  <v>111712</v>
                </pt>
                <pt idx="4">
                  <v>174632</v>
                </pt>
                <pt idx="5">
                  <v>343747</v>
                </pt>
                <pt idx="6">
                  <v>580874.26</v>
                </pt>
                <pt idx="7">
                  <v>1114415.5</v>
                </pt>
                <pt idx="8">
                  <v>1162653.87</v>
                </pt>
                <pt idx="9">
                  <v>1249028.14</v>
                </pt>
                <pt idx="10">
                  <v>1326777.32</v>
                </pt>
                <pt idx="11">
                  <v>1612145.59</v>
                </pt>
              </numCache>
            </numRef>
          </val>
          <smooth val="0"/>
        </ser>
        <ser>
          <idx val="1"/>
          <order val="1"/>
          <tx>
            <strRef>
              <f>DONNÉES!$E$27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DONNÉES!$B$28:$B$39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DONNÉES!$E$28:$E$39</f>
              <numCache>
                <formatCode>#,##0</formatCode>
                <ptCount val="12"/>
                <pt idx="0">
                  <v>112015</v>
                </pt>
                <pt idx="1">
                  <v>280215</v>
                </pt>
                <pt idx="2">
                  <v>481424</v>
                </pt>
                <pt idx="3">
                  <v>903054</v>
                </pt>
                <pt idx="4">
                  <v>1099335</v>
                </pt>
                <pt idx="5">
                  <v>1276428</v>
                </pt>
                <pt idx="6">
                  <v>1743073.57</v>
                </pt>
                <pt idx="7">
                  <v>2306290.609999999</v>
                </pt>
                <pt idx="8">
                  <v>2573038.86</v>
                </pt>
                <pt idx="9">
                  <v>2693434.37</v>
                </pt>
                <pt idx="10">
                  <v>2745498.85</v>
                </pt>
                <pt idx="11">
                  <v>2686535.42</v>
                </pt>
              </numCache>
            </numRef>
          </val>
          <smooth val="0"/>
        </ser>
        <ser>
          <idx val="2"/>
          <order val="2"/>
          <tx>
            <strRef>
              <f>DONNÉES!$F$27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DONNÉES!$B$28:$B$39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DONNÉES!$F$28:$F$39</f>
              <numCache>
                <formatCode>#,##0</formatCode>
                <ptCount val="12"/>
                <pt idx="0">
                  <v>296158</v>
                </pt>
                <pt idx="1">
                  <v>591702</v>
                </pt>
                <pt idx="2">
                  <v>830581</v>
                </pt>
                <pt idx="3">
                  <v>1138827</v>
                </pt>
                <pt idx="4">
                  <v>1403796</v>
                </pt>
                <pt idx="5">
                  <v>1688043</v>
                </pt>
                <pt idx="6">
                  <v>2135121</v>
                </pt>
                <pt idx="7">
                  <v>2631334</v>
                </pt>
                <pt idx="8">
                  <v>2756103</v>
                </pt>
                <pt idx="9">
                  <v>2962800.929999996</v>
                </pt>
                <pt idx="10">
                  <v>2771644</v>
                </pt>
                <pt idx="11">
                  <v>2655801</v>
                </pt>
              </numCache>
            </numRef>
          </val>
          <smooth val="0"/>
        </ser>
        <ser>
          <idx val="3"/>
          <order val="3"/>
          <tx>
            <strRef>
              <f>DONNÉES!$G$27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DONNÉES!$B$28:$B$39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DONNÉES!$G$28:$G$39</f>
              <numCache>
                <formatCode>#,##0</formatCode>
                <ptCount val="12"/>
                <pt idx="0">
                  <v>14582</v>
                </pt>
                <pt idx="1">
                  <v>5939</v>
                </pt>
                <pt idx="2">
                  <v>53773</v>
                </pt>
                <pt idx="3">
                  <v>133375</v>
                </pt>
                <pt idx="4">
                  <v>440276</v>
                </pt>
                <pt idx="5">
                  <v>644385</v>
                </pt>
                <pt idx="6">
                  <v>1180753</v>
                </pt>
                <pt idx="7">
                  <v>1756841</v>
                </pt>
                <pt idx="8">
                  <v>2051947</v>
                </pt>
                <pt idx="9">
                  <v>2208395</v>
                </pt>
                <pt idx="10">
                  <v>2208756</v>
                </pt>
                <pt idx="11">
                  <v>3001536</v>
                </pt>
              </numCache>
            </numRef>
          </val>
          <smooth val="0"/>
        </ser>
        <ser>
          <idx val="4"/>
          <order val="4"/>
          <tx>
            <strRef>
              <f>DONNÉES!$H$27</f>
              <strCache>
                <ptCount val="1"/>
                <pt idx="0">
                  <v>2019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DONNÉES!$B$28:$B$39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DONNÉES!$H$28:$H$39</f>
              <numCache>
                <formatCode>#,##0</formatCode>
                <ptCount val="12"/>
                <pt idx="0">
                  <v>197411</v>
                </pt>
                <pt idx="1">
                  <v>437342</v>
                </pt>
                <pt idx="2">
                  <v>70630</v>
                </pt>
                <pt idx="3">
                  <v>-328602</v>
                </pt>
                <pt idx="4">
                  <v>-837561</v>
                </pt>
                <pt idx="5">
                  <v>-796416.5699999999</v>
                </pt>
                <pt idx="6">
                  <v>-588116</v>
                </pt>
                <pt idx="7">
                  <v>-114639</v>
                </pt>
                <pt idx="8">
                  <v>-13939</v>
                </pt>
                <pt idx="9">
                  <v>124277</v>
                </pt>
                <pt idx="10">
                  <v>1431</v>
                </pt>
                <pt idx="11">
                  <v>16666</v>
                </pt>
              </numCache>
            </numRef>
          </val>
          <smooth val="0"/>
        </ser>
        <ser>
          <idx val="5"/>
          <order val="5"/>
          <tx>
            <strRef>
              <f>DONNÉES!$C$27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DONNÉES!$B$28:$B$39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DONNÉES!$C$28:$C$39</f>
              <numCache>
                <formatCode>#,##0</formatCode>
                <ptCount val="12"/>
                <pt idx="0">
                  <v>64543.60999999999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in val="-100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GLR5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52816012502254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47835159103"/>
          <y val="0.09701635364160352"/>
          <w val="0.8825505842943226"/>
          <h val="0.8101638917272747"/>
        </manualLayout>
      </layout>
      <lineChart>
        <grouping val="standard"/>
        <varyColors val="0"/>
        <ser>
          <idx val="0"/>
          <order val="0"/>
          <tx>
            <strRef>
              <f>DONNÉES!$K$11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DONNÉES!$J$12:$J$23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DONNÉES!$K$12:$K$23</f>
              <numCache>
                <formatCode>#,##0</formatCode>
                <ptCount val="12"/>
                <pt idx="0">
                  <v>415855.11</v>
                </pt>
              </numCache>
            </numRef>
          </val>
          <smooth val="1"/>
        </ser>
        <ser>
          <idx val="1"/>
          <order val="1"/>
          <tx>
            <strRef>
              <f>DONNÉES!$L$11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DONNÉES!$J$12:$J$23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DONNÉES!$L$12:$L$23</f>
              <numCache>
                <formatCode>#,##0</formatCode>
                <ptCount val="12"/>
                <pt idx="0">
                  <v>370437.56</v>
                </pt>
                <pt idx="1">
                  <v>352966.75</v>
                </pt>
                <pt idx="2">
                  <v>404083.86</v>
                </pt>
                <pt idx="3">
                  <v>393768.79</v>
                </pt>
                <pt idx="4">
                  <v>419059.36</v>
                </pt>
                <pt idx="5">
                  <v>391291.72</v>
                </pt>
                <pt idx="6">
                  <v>422167.57</v>
                </pt>
                <pt idx="7">
                  <v>441139.82</v>
                </pt>
                <pt idx="8">
                  <v>362094.56</v>
                </pt>
                <pt idx="9">
                  <v>409953.63</v>
                </pt>
                <pt idx="10">
                  <v>443820</v>
                </pt>
                <pt idx="11">
                  <v>443820</v>
                </pt>
              </numCache>
            </numRef>
          </val>
          <smooth val="1"/>
        </ser>
        <ser>
          <idx val="2"/>
          <order val="2"/>
          <tx>
            <strRef>
              <f>DONNÉES!$M$11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DONNÉES!$J$12:$J$23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DONNÉES!$M$12:$M$23</f>
              <numCache>
                <formatCode>#,##0</formatCode>
                <ptCount val="12"/>
                <pt idx="0">
                  <v>452783.59</v>
                </pt>
                <pt idx="1">
                  <v>440390.28</v>
                </pt>
                <pt idx="2">
                  <v>443461.83</v>
                </pt>
                <pt idx="3">
                  <v>480497.47</v>
                </pt>
                <pt idx="4">
                  <v>470982.74</v>
                </pt>
                <pt idx="5">
                  <v>454072.41</v>
                </pt>
                <pt idx="6">
                  <v>497177.23</v>
                </pt>
                <pt idx="7">
                  <v>486604.01</v>
                </pt>
                <pt idx="8">
                  <v>429554.42</v>
                </pt>
                <pt idx="9">
                  <v>426493.96</v>
                </pt>
                <pt idx="10">
                  <v>406697.2</v>
                </pt>
                <pt idx="11">
                  <v>409440.12</v>
                </pt>
              </numCache>
            </numRef>
          </val>
          <smooth val="1"/>
        </ser>
        <ser>
          <idx val="3"/>
          <order val="3"/>
          <tx>
            <strRef>
              <f>DONNÉES!$N$11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DONNÉES!$J$12:$J$23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DONNÉES!$N$12:$N$23</f>
              <numCache>
                <formatCode>#,##0</formatCode>
                <ptCount val="12"/>
                <pt idx="0">
                  <v>410040.22</v>
                </pt>
                <pt idx="1">
                  <v>424042.65</v>
                </pt>
                <pt idx="2">
                  <v>433865</v>
                </pt>
                <pt idx="3">
                  <v>437342.26</v>
                </pt>
                <pt idx="4">
                  <v>457986.5</v>
                </pt>
                <pt idx="5">
                  <v>441503.85</v>
                </pt>
                <pt idx="6">
                  <v>472619.17</v>
                </pt>
                <pt idx="7">
                  <v>442290.74</v>
                </pt>
                <pt idx="8">
                  <v>395893.26</v>
                </pt>
                <pt idx="9">
                  <v>472423.18</v>
                </pt>
                <pt idx="10">
                  <v>449029.83</v>
                </pt>
                <pt idx="11">
                  <v>489142</v>
                </pt>
              </numCache>
            </numRef>
          </val>
          <smooth val="1"/>
        </ser>
        <ser>
          <idx val="4"/>
          <order val="4"/>
          <tx>
            <strRef>
              <f>DONNÉES!$O$11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DONNÉES!$J$12:$J$23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DONNÉES!$O$12:$O$23</f>
              <numCache>
                <formatCode>#,##0</formatCode>
                <ptCount val="12"/>
                <pt idx="0">
                  <v>274038</v>
                </pt>
                <pt idx="1">
                  <v>248204</v>
                </pt>
                <pt idx="2">
                  <v>275166.79</v>
                </pt>
                <pt idx="3">
                  <v>291766.95</v>
                </pt>
                <pt idx="4">
                  <v>377173</v>
                </pt>
                <pt idx="5">
                  <v>437698.81</v>
                </pt>
                <pt idx="6">
                  <v>486519.67</v>
                </pt>
                <pt idx="7">
                  <v>460975.61</v>
                </pt>
                <pt idx="8">
                  <v>397263.84</v>
                </pt>
                <pt idx="9">
                  <v>451574.93</v>
                </pt>
                <pt idx="10">
                  <v>422145.68</v>
                </pt>
                <pt idx="11">
                  <v>455443</v>
                </pt>
              </numCache>
            </numRef>
          </val>
          <smooth val="1"/>
        </ser>
        <ser>
          <idx val="5"/>
          <order val="5"/>
          <tx>
            <strRef>
              <f>DONNÉES!$P$11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DONNÉES!$J$12:$J$23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DONNÉES!$P$12:$P$23</f>
              <numCache>
                <formatCode>#,##0</formatCode>
                <ptCount val="12"/>
                <pt idx="0">
                  <v>441117</v>
                </pt>
                <pt idx="1">
                  <v>452243</v>
                </pt>
                <pt idx="2">
                  <v>232764</v>
                </pt>
                <pt idx="3">
                  <v>0</v>
                </pt>
                <pt idx="4">
                  <v>221036</v>
                </pt>
                <pt idx="5">
                  <v>371908</v>
                </pt>
                <pt idx="6">
                  <v>417037</v>
                </pt>
                <pt idx="7">
                  <v>460653</v>
                </pt>
                <pt idx="8">
                  <v>396890</v>
                </pt>
                <pt idx="9">
                  <v>417907</v>
                </pt>
                <pt idx="10">
                  <v>284775.23</v>
                </pt>
                <pt idx="11">
                  <v>319096.81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600000"/>
          <min val="-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HTR8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52816012502254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9426208651399492"/>
          <w val="0.8825505842943226"/>
          <h val="0.8101638917272747"/>
        </manualLayout>
      </layout>
      <lineChart>
        <grouping val="standard"/>
        <varyColors val="0"/>
        <ser>
          <idx val="0"/>
          <order val="0"/>
          <tx>
            <strRef>
              <f>DONNÉES!$S$11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DONNÉES!$R$12:$R$23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DONNÉES!$S$12:$S$23</f>
              <numCache>
                <formatCode>#,##0</formatCode>
                <ptCount val="12"/>
                <pt idx="0">
                  <v>206795.07</v>
                </pt>
              </numCache>
            </numRef>
          </val>
          <smooth val="1"/>
        </ser>
        <ser>
          <idx val="1"/>
          <order val="1"/>
          <tx>
            <strRef>
              <f>DONNÉES!$T$11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DONNÉES!$R$12:$R$23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DONNÉES!$T$12:$T$23</f>
              <numCache>
                <formatCode>#,##0</formatCode>
                <ptCount val="12"/>
                <pt idx="0">
                  <v>191414.29</v>
                </pt>
                <pt idx="1">
                  <v>190901.19</v>
                </pt>
                <pt idx="2">
                  <v>218924.43</v>
                </pt>
                <pt idx="3">
                  <v>226915.83</v>
                </pt>
                <pt idx="4">
                  <v>228856.24</v>
                </pt>
                <pt idx="5">
                  <v>223791.21</v>
                </pt>
                <pt idx="6">
                  <v>231525.12</v>
                </pt>
                <pt idx="7">
                  <v>248759.48</v>
                </pt>
                <pt idx="8">
                  <v>201669.11</v>
                </pt>
                <pt idx="9">
                  <v>212253.47</v>
                </pt>
                <pt idx="10">
                  <v>216567.38</v>
                </pt>
                <pt idx="11">
                  <v>218617.11</v>
                </pt>
              </numCache>
            </numRef>
          </val>
          <smooth val="1"/>
        </ser>
        <ser>
          <idx val="2"/>
          <order val="2"/>
          <tx>
            <strRef>
              <f>DONNÉES!$U$11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DONNÉES!$R$12:$R$23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DONNÉES!$U$12:$U$23</f>
              <numCache>
                <formatCode>#,##0</formatCode>
                <ptCount val="12"/>
                <pt idx="0">
                  <v>234537.84</v>
                </pt>
                <pt idx="1">
                  <v>226582.81</v>
                </pt>
                <pt idx="2">
                  <v>235261.89</v>
                </pt>
                <pt idx="3">
                  <v>248382.63</v>
                </pt>
                <pt idx="4">
                  <v>248561.07</v>
                </pt>
                <pt idx="5">
                  <v>242231.5</v>
                </pt>
                <pt idx="6">
                  <v>251760.07</v>
                </pt>
                <pt idx="7">
                  <v>259714.27</v>
                </pt>
                <pt idx="8">
                  <v>220244.67</v>
                </pt>
                <pt idx="9">
                  <v>221740</v>
                </pt>
                <pt idx="10">
                  <v>217084</v>
                </pt>
                <pt idx="11">
                  <v>224028.26</v>
                </pt>
              </numCache>
            </numRef>
          </val>
          <smooth val="1"/>
        </ser>
        <ser>
          <idx val="3"/>
          <order val="3"/>
          <tx>
            <strRef>
              <f>DONNÉES!$V$11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DONNÉES!$R$12:$R$23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DONNÉES!$V$12:$V$23</f>
              <numCache>
                <formatCode>#,##0</formatCode>
                <ptCount val="12"/>
                <pt idx="0">
                  <v>232985</v>
                </pt>
                <pt idx="1">
                  <v>235577</v>
                </pt>
                <pt idx="2">
                  <v>233861</v>
                </pt>
                <pt idx="3">
                  <v>243092</v>
                </pt>
                <pt idx="4">
                  <v>241024.58</v>
                </pt>
                <pt idx="5">
                  <v>238062.96</v>
                </pt>
                <pt idx="6">
                  <v>238188.17</v>
                </pt>
                <pt idx="7">
                  <v>236700.22</v>
                </pt>
                <pt idx="8">
                  <v>217815.81</v>
                </pt>
                <pt idx="9">
                  <v>245042.74</v>
                </pt>
                <pt idx="10">
                  <v>228969.9</v>
                </pt>
                <pt idx="11">
                  <v>245340.13</v>
                </pt>
              </numCache>
            </numRef>
          </val>
          <smooth val="1"/>
        </ser>
        <ser>
          <idx val="4"/>
          <order val="4"/>
          <tx>
            <strRef>
              <f>DONNÉES!$W$11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DONNÉES!$R$12:$R$23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DONNÉES!$W$12:$W$23</f>
              <numCache>
                <formatCode>#,##0</formatCode>
                <ptCount val="12"/>
                <pt idx="0">
                  <v>167692</v>
                </pt>
                <pt idx="1">
                  <v>155321.98</v>
                </pt>
                <pt idx="2">
                  <v>159400.46</v>
                </pt>
                <pt idx="3">
                  <v>168862</v>
                </pt>
                <pt idx="4">
                  <v>221124.46</v>
                </pt>
                <pt idx="5">
                  <v>257568.41</v>
                </pt>
                <pt idx="6">
                  <v>296139.77</v>
                </pt>
                <pt idx="7">
                  <v>290922.91</v>
                </pt>
                <pt idx="8">
                  <v>237442</v>
                </pt>
                <pt idx="9">
                  <v>260816.74</v>
                </pt>
                <pt idx="10">
                  <v>240528.43</v>
                </pt>
                <pt idx="11">
                  <v>251559</v>
                </pt>
              </numCache>
            </numRef>
          </val>
          <smooth val="1"/>
        </ser>
        <ser>
          <idx val="5"/>
          <order val="5"/>
          <tx>
            <strRef>
              <f>DONNÉES!$X$11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DONNÉES!$R$12:$R$23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DONNÉES!$X$12:$X$23</f>
              <numCache>
                <formatCode>#,##0</formatCode>
                <ptCount val="12"/>
                <pt idx="0">
                  <v>236528</v>
                </pt>
                <pt idx="1">
                  <v>233169</v>
                </pt>
                <pt idx="2">
                  <v>117506</v>
                </pt>
                <pt idx="3">
                  <v>0</v>
                </pt>
                <pt idx="4">
                  <v>70984</v>
                </pt>
                <pt idx="5">
                  <v>199477</v>
                </pt>
                <pt idx="6">
                  <v>250675</v>
                </pt>
                <pt idx="7">
                  <v>275840</v>
                </pt>
                <pt idx="8">
                  <v>222596</v>
                </pt>
                <pt idx="9">
                  <v>247128</v>
                </pt>
                <pt idx="10">
                  <v>171412.53</v>
                </pt>
                <pt idx="11">
                  <v>208347.54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400000"/>
          <min val="-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TIRR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52816012502254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9426208651399492"/>
          <w val="0.8825505842943226"/>
          <h val="0.8101638917272747"/>
        </manualLayout>
      </layout>
      <lineChart>
        <grouping val="standard"/>
        <varyColors val="0"/>
        <ser>
          <idx val="0"/>
          <order val="0"/>
          <tx>
            <strRef>
              <f>DONNÉES!$AA$11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DONNÉES!$Z$12:$Z$23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DONNÉES!$AA$12:$AA$23</f>
              <numCache>
                <formatCode>#,##0</formatCode>
                <ptCount val="12"/>
                <pt idx="0">
                  <v>261126.99</v>
                </pt>
              </numCache>
            </numRef>
          </val>
          <smooth val="1"/>
        </ser>
        <ser>
          <idx val="1"/>
          <order val="1"/>
          <tx>
            <strRef>
              <f>DONNÉES!$AB$11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DONNÉES!$Z$12:$Z$23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DONNÉES!$AB$12:$AB$23</f>
              <numCache>
                <formatCode>#,##0</formatCode>
                <ptCount val="12"/>
                <pt idx="0">
                  <v>258424.23</v>
                </pt>
                <pt idx="1">
                  <v>270167.67</v>
                </pt>
                <pt idx="2">
                  <v>312242.59</v>
                </pt>
                <pt idx="3">
                  <v>303447.08</v>
                </pt>
                <pt idx="4">
                  <v>244167.43</v>
                </pt>
                <pt idx="5">
                  <v>262496.02</v>
                </pt>
                <pt idx="6">
                  <v>245877.6</v>
                </pt>
                <pt idx="7">
                  <v>252910.94</v>
                </pt>
                <pt idx="8">
                  <v>242694.63</v>
                </pt>
                <pt idx="9">
                  <v>253082.85</v>
                </pt>
                <pt idx="10">
                  <v>292067.53</v>
                </pt>
                <pt idx="11">
                  <v>260696.55</v>
                </pt>
              </numCache>
            </numRef>
          </val>
          <smooth val="1"/>
        </ser>
        <ser>
          <idx val="2"/>
          <order val="2"/>
          <tx>
            <strRef>
              <f>DONNÉES!$AC$11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DONNÉES!$Z$12:$Z$23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DONNÉES!$AC$12:$AC$23</f>
              <numCache>
                <formatCode>#,##0</formatCode>
                <ptCount val="12"/>
                <pt idx="0">
                  <v>307323.75</v>
                </pt>
                <pt idx="1">
                  <v>304617.43</v>
                </pt>
                <pt idx="2">
                  <v>322490.85</v>
                </pt>
                <pt idx="3">
                  <v>323832.49</v>
                </pt>
                <pt idx="4">
                  <v>295537.26</v>
                </pt>
                <pt idx="5">
                  <v>294485.09</v>
                </pt>
                <pt idx="6">
                  <v>279305.72</v>
                </pt>
                <pt idx="7">
                  <v>270321.84</v>
                </pt>
                <pt idx="8">
                  <v>300462.24</v>
                </pt>
                <pt idx="9">
                  <v>281516.36</v>
                </pt>
                <pt idx="10">
                  <v>316999.32</v>
                </pt>
                <pt idx="11">
                  <v>271097.28</v>
                </pt>
              </numCache>
            </numRef>
          </val>
          <smooth val="1"/>
        </ser>
        <ser>
          <idx val="3"/>
          <order val="3"/>
          <tx>
            <strRef>
              <f>DONNÉES!$AD$11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DONNÉES!$Z$12:$Z$23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DONNÉES!$AD$12:$AD$23</f>
              <numCache>
                <formatCode>#,##0</formatCode>
                <ptCount val="12"/>
                <pt idx="0">
                  <v>275698.55</v>
                </pt>
                <pt idx="1">
                  <v>275729</v>
                </pt>
                <pt idx="2">
                  <v>307652</v>
                </pt>
                <pt idx="3">
                  <v>291578.68</v>
                </pt>
                <pt idx="4">
                  <v>315538.22</v>
                </pt>
                <pt idx="5">
                  <v>289258.37</v>
                </pt>
                <pt idx="6">
                  <v>282566.19</v>
                </pt>
                <pt idx="7">
                  <v>273527.27</v>
                </pt>
                <pt idx="8">
                  <v>288645.61</v>
                </pt>
                <pt idx="9">
                  <v>342671.77</v>
                </pt>
                <pt idx="10">
                  <v>323435.07</v>
                </pt>
                <pt idx="11">
                  <v>307019.48</v>
                </pt>
              </numCache>
            </numRef>
          </val>
          <smooth val="1"/>
        </ser>
        <ser>
          <idx val="4"/>
          <order val="4"/>
          <tx>
            <strRef>
              <f>DONNÉES!$AE$11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DONNÉES!$Z$12:$Z$23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DONNÉES!$AE$12:$AE$23</f>
              <numCache>
                <formatCode>#,##0</formatCode>
                <ptCount val="12"/>
                <pt idx="0">
                  <v>204744</v>
                </pt>
                <pt idx="1">
                  <v>184027.43</v>
                </pt>
                <pt idx="2">
                  <v>192914.13</v>
                </pt>
                <pt idx="3">
                  <v>209794.25</v>
                </pt>
                <pt idx="4">
                  <v>251941.37</v>
                </pt>
                <pt idx="5">
                  <v>268995.66</v>
                </pt>
                <pt idx="6">
                  <v>274134</v>
                </pt>
                <pt idx="7">
                  <v>265344.2</v>
                </pt>
                <pt idx="8">
                  <v>275452.994</v>
                </pt>
                <pt idx="9">
                  <v>308591.15</v>
                </pt>
                <pt idx="10">
                  <v>286984.23</v>
                </pt>
                <pt idx="11">
                  <v>278713</v>
                </pt>
              </numCache>
            </numRef>
          </val>
          <smooth val="1"/>
        </ser>
        <ser>
          <idx val="5"/>
          <order val="5"/>
          <tx>
            <strRef>
              <f>DONNÉES!$AF$11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DONNÉES!$Z$12:$Z$23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DONNÉES!$AF$12:$AF$23</f>
              <numCache>
                <formatCode>#,##0</formatCode>
                <ptCount val="12"/>
                <pt idx="0">
                  <v>277579</v>
                </pt>
                <pt idx="1">
                  <v>286952</v>
                </pt>
                <pt idx="2">
                  <v>155313</v>
                </pt>
                <pt idx="3">
                  <v>0</v>
                </pt>
                <pt idx="4">
                  <v>133029</v>
                </pt>
                <pt idx="5">
                  <v>220726</v>
                </pt>
                <pt idx="6">
                  <v>233080</v>
                </pt>
                <pt idx="7">
                  <v>252044</v>
                </pt>
                <pt idx="8">
                  <v>267879</v>
                </pt>
                <pt idx="9">
                  <v>272845</v>
                </pt>
                <pt idx="10">
                  <v>199041.74</v>
                </pt>
                <pt idx="11">
                  <v>217126.45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400000"/>
          <min val="-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VR7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52816012502254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9426208651399492"/>
          <w val="0.8825505842943226"/>
          <h val="0.8101638917272747"/>
        </manualLayout>
      </layout>
      <lineChart>
        <grouping val="standard"/>
        <varyColors val="0"/>
        <ser>
          <idx val="0"/>
          <order val="0"/>
          <tx>
            <strRef>
              <f>DONNÉES!$AI$11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DONNÉES!$AH$12:$AH$23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DONNÉES!$AI$12:$AI$23</f>
              <numCache>
                <formatCode>#,##0</formatCode>
                <ptCount val="12"/>
              </numCache>
            </numRef>
          </val>
          <smooth val="1"/>
        </ser>
        <ser>
          <idx val="1"/>
          <order val="1"/>
          <tx>
            <strRef>
              <f>DONNÉES!$AJ$11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DONNÉES!$AH$12:$AH$23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DONNÉES!$AJ$12:$AJ$23</f>
              <numCache>
                <formatCode>#,##0</formatCode>
                <ptCount val="12"/>
                <pt idx="0">
                  <v>382463.66</v>
                </pt>
                <pt idx="1">
                  <v>364703.69</v>
                </pt>
                <pt idx="2">
                  <v>399026.52</v>
                </pt>
                <pt idx="3">
                  <v>418729.47</v>
                </pt>
                <pt idx="4">
                  <v>421584.58</v>
                </pt>
                <pt idx="5">
                  <v>432064.89</v>
                </pt>
                <pt idx="6">
                  <v>430978.41</v>
                </pt>
                <pt idx="7">
                  <v>439960.98</v>
                </pt>
                <pt idx="8">
                  <v>375481.66</v>
                </pt>
                <pt idx="9">
                  <v>389992.15</v>
                </pt>
                <pt idx="10">
                  <v>417235.16</v>
                </pt>
                <pt idx="11">
                  <v>412209.79</v>
                </pt>
              </numCache>
            </numRef>
          </val>
          <smooth val="1"/>
        </ser>
        <ser>
          <idx val="2"/>
          <order val="2"/>
          <tx>
            <strRef>
              <f>DONNÉES!$AK$11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DONNÉES!$AH$12:$AH$23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DONNÉES!$AK$12:$AK$23</f>
              <numCache>
                <formatCode>#,##0</formatCode>
                <ptCount val="12"/>
                <pt idx="0">
                  <v>408884.14</v>
                </pt>
                <pt idx="1">
                  <v>384687.46</v>
                </pt>
                <pt idx="2">
                  <v>405708.46</v>
                </pt>
                <pt idx="3">
                  <v>439098.5</v>
                </pt>
                <pt idx="4">
                  <v>446715.62</v>
                </pt>
                <pt idx="5">
                  <v>418586.74</v>
                </pt>
                <pt idx="6">
                  <v>471583.68</v>
                </pt>
                <pt idx="7">
                  <v>454922.5</v>
                </pt>
                <pt idx="8">
                  <v>414735.37</v>
                </pt>
                <pt idx="9">
                  <v>430896.9</v>
                </pt>
                <pt idx="10">
                  <v>409780.84</v>
                </pt>
                <pt idx="11">
                  <v>414223.49</v>
                </pt>
              </numCache>
            </numRef>
          </val>
          <smooth val="1"/>
        </ser>
        <ser>
          <idx val="3"/>
          <order val="3"/>
          <tx>
            <strRef>
              <f>DONNÉES!$AL$11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DONNÉES!$AH$12:$AH$23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DONNÉES!$AL$12:$AL$23</f>
              <numCache>
                <formatCode>#,##0</formatCode>
                <ptCount val="12"/>
                <pt idx="0">
                  <v>364025</v>
                </pt>
                <pt idx="1">
                  <v>363782</v>
                </pt>
                <pt idx="2">
                  <v>371731</v>
                </pt>
                <pt idx="3">
                  <v>384230.19</v>
                </pt>
                <pt idx="4">
                  <v>403500.91</v>
                </pt>
                <pt idx="5">
                  <v>398124.38</v>
                </pt>
                <pt idx="6">
                  <v>427848.2</v>
                </pt>
                <pt idx="7">
                  <v>411623.24</v>
                </pt>
                <pt idx="8">
                  <v>366637.97</v>
                </pt>
                <pt idx="9">
                  <v>426127.35</v>
                </pt>
                <pt idx="10">
                  <v>393046.78</v>
                </pt>
                <pt idx="11">
                  <v>415082.37</v>
                </pt>
              </numCache>
            </numRef>
          </val>
          <smooth val="1"/>
        </ser>
        <ser>
          <idx val="4"/>
          <order val="4"/>
          <tx>
            <strRef>
              <f>DONNÉES!$AM$11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DONNÉES!$AH$12:$AH$23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DONNÉES!$AM$12:$AM$23</f>
              <numCache>
                <formatCode>#,##0</formatCode>
                <ptCount val="12"/>
                <pt idx="0">
                  <v>242951</v>
                </pt>
                <pt idx="1">
                  <v>223431</v>
                </pt>
                <pt idx="2">
                  <v>232739</v>
                </pt>
                <pt idx="3">
                  <v>260127.79</v>
                </pt>
                <pt idx="4">
                  <v>345615.56</v>
                </pt>
                <pt idx="5">
                  <v>402445.89</v>
                </pt>
                <pt idx="6">
                  <v>419185</v>
                </pt>
                <pt idx="7">
                  <v>418605.35</v>
                </pt>
                <pt idx="8">
                  <v>340526</v>
                </pt>
                <pt idx="9">
                  <v>382463.73</v>
                </pt>
                <pt idx="10">
                  <v>366814.86</v>
                </pt>
                <pt idx="11">
                  <v>380431</v>
                </pt>
              </numCache>
            </numRef>
          </val>
          <smooth val="1"/>
        </ser>
        <ser>
          <idx val="5"/>
          <order val="5"/>
          <tx>
            <strRef>
              <f>DONNÉES!$AN$11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DONNÉES!$AH$12:$AH$23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DONNÉES!$AN$12:$AN$23</f>
              <numCache>
                <formatCode>#,##0</formatCode>
                <ptCount val="12"/>
                <pt idx="0">
                  <v>342294</v>
                </pt>
                <pt idx="1">
                  <v>327298</v>
                </pt>
                <pt idx="2">
                  <v>58433</v>
                </pt>
                <pt idx="3">
                  <v>0</v>
                </pt>
                <pt idx="4">
                  <v>217701</v>
                </pt>
                <pt idx="5">
                  <v>353005</v>
                </pt>
                <pt idx="6">
                  <v>377241</v>
                </pt>
                <pt idx="7">
                  <v>403765</v>
                </pt>
                <pt idx="8">
                  <v>363051</v>
                </pt>
                <pt idx="9">
                  <v>392550</v>
                </pt>
                <pt idx="10">
                  <v>255747.06</v>
                </pt>
                <pt idx="11">
                  <v>294685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600000"/>
          <min val="-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TURVILLA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52816012502254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9426208651399492"/>
          <w val="0.8825505842943226"/>
          <h val="0.8101638917272747"/>
        </manualLayout>
      </layout>
      <lineChart>
        <grouping val="standard"/>
        <varyColors val="0"/>
        <ser>
          <idx val="0"/>
          <order val="0"/>
          <tx>
            <strRef>
              <f>DONNÉES!$AQ$11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DONNÉES!$AP$12:$AP$23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DONNÉES!$AQ$12:$AQ$23</f>
              <numCache>
                <formatCode>#,##0</formatCode>
                <ptCount val="12"/>
                <pt idx="0">
                  <v>457867.94</v>
                </pt>
              </numCache>
            </numRef>
          </val>
          <smooth val="1"/>
        </ser>
        <ser>
          <idx val="1"/>
          <order val="1"/>
          <tx>
            <strRef>
              <f>DONNÉES!$AR$11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DONNÉES!$AP$12:$AP$23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DONNÉES!$AR$12:$AR$23</f>
              <numCache>
                <formatCode>#,##0</formatCode>
                <ptCount val="12"/>
                <pt idx="0">
                  <v>448803.22</v>
                </pt>
                <pt idx="1">
                  <v>427576.14</v>
                </pt>
                <pt idx="2">
                  <v>475532.13</v>
                </pt>
                <pt idx="3">
                  <v>473348.8</v>
                </pt>
                <pt idx="4">
                  <v>475377.76</v>
                </pt>
                <pt idx="5">
                  <v>466814.43</v>
                </pt>
                <pt idx="6">
                  <v>513816.15</v>
                </pt>
                <pt idx="7">
                  <v>561903.96</v>
                </pt>
                <pt idx="8">
                  <v>426073.38</v>
                </pt>
                <pt idx="9">
                  <v>468469.78</v>
                </pt>
                <pt idx="10">
                  <v>490419.88</v>
                </pt>
                <pt idx="11">
                  <v>520127.03</v>
                </pt>
              </numCache>
            </numRef>
          </val>
          <smooth val="1"/>
        </ser>
        <ser>
          <idx val="2"/>
          <order val="2"/>
          <tx>
            <strRef>
              <f>DONNÉES!$AS$11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DONNÉES!$AP$12:$AP$23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DONNÉES!$AS$12:$AS$23</f>
              <numCache>
                <formatCode>#,##0</formatCode>
                <ptCount val="12"/>
                <pt idx="0">
                  <v>466855.85</v>
                </pt>
                <pt idx="1">
                  <v>463905.03</v>
                </pt>
                <pt idx="2">
                  <v>462896.02</v>
                </pt>
                <pt idx="3">
                  <v>521208.14</v>
                </pt>
                <pt idx="4">
                  <v>519965.71</v>
                </pt>
                <pt idx="5">
                  <v>484283.2</v>
                </pt>
                <pt idx="6">
                  <v>571802.79</v>
                </pt>
                <pt idx="7">
                  <v>578195.7</v>
                </pt>
                <pt idx="8">
                  <v>471211.77</v>
                </pt>
                <pt idx="9">
                  <v>490957.46</v>
                </pt>
                <pt idx="10">
                  <v>468036.26</v>
                </pt>
                <pt idx="11">
                  <v>527985.5</v>
                </pt>
              </numCache>
            </numRef>
          </val>
          <smooth val="1"/>
        </ser>
        <ser>
          <idx val="3"/>
          <order val="3"/>
          <tx>
            <strRef>
              <f>DONNÉES!$AT$11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DONNÉES!$AP$12:$AP$23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DONNÉES!$AT$12:$AT$23</f>
              <numCache>
                <formatCode>#,##0</formatCode>
                <ptCount val="12"/>
                <pt idx="0">
                  <v>406427.07</v>
                </pt>
                <pt idx="1">
                  <v>422363.19</v>
                </pt>
                <pt idx="2">
                  <v>407198.99</v>
                </pt>
                <pt idx="3">
                  <v>447841.34</v>
                </pt>
                <pt idx="4">
                  <v>469972.49</v>
                </pt>
                <pt idx="5">
                  <v>480520.1</v>
                </pt>
                <pt idx="6">
                  <v>526686.78</v>
                </pt>
                <pt idx="7">
                  <v>558518.88</v>
                </pt>
                <pt idx="8">
                  <v>444261.49</v>
                </pt>
                <pt idx="9">
                  <v>511359.87</v>
                </pt>
                <pt idx="10">
                  <v>468099.46</v>
                </pt>
                <pt idx="11">
                  <v>551392.09</v>
                </pt>
              </numCache>
            </numRef>
          </val>
          <smooth val="1"/>
        </ser>
        <ser>
          <idx val="4"/>
          <order val="4"/>
          <tx>
            <strRef>
              <f>DONNÉES!$AU$11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DONNÉES!$AP$12:$AP$23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DONNÉES!$AU$12:$AU$23</f>
              <numCache>
                <formatCode>#,##0</formatCode>
                <ptCount val="12"/>
                <pt idx="0">
                  <v>309760.57</v>
                </pt>
                <pt idx="1">
                  <v>271184</v>
                </pt>
                <pt idx="2">
                  <v>271701.97</v>
                </pt>
                <pt idx="3">
                  <v>278202.63</v>
                </pt>
                <pt idx="4">
                  <v>390784.89</v>
                </pt>
                <pt idx="5">
                  <v>201157.54</v>
                </pt>
                <pt idx="6">
                  <v>331179.76</v>
                </pt>
                <pt idx="7">
                  <v>496490.73</v>
                </pt>
                <pt idx="8">
                  <v>384902.66</v>
                </pt>
                <pt idx="9">
                  <v>438126.3</v>
                </pt>
                <pt idx="10">
                  <v>427191</v>
                </pt>
                <pt idx="11">
                  <v>467625</v>
                </pt>
              </numCache>
            </numRef>
          </val>
          <smooth val="1"/>
        </ser>
        <ser>
          <idx val="5"/>
          <order val="5"/>
          <tx>
            <strRef>
              <f>DONNÉES!$AV$11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DONNÉES!$AP$12:$AP$23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DONNÉES!$AV$12:$AV$23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740000"/>
          <min val="-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HART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52816012502254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9426208651399492"/>
          <w val="0.8825505842943226"/>
          <h val="0.8101638917272747"/>
        </manualLayout>
      </layout>
      <lineChart>
        <grouping val="standard"/>
        <varyColors val="0"/>
        <ser>
          <idx val="0"/>
          <order val="0"/>
          <tx>
            <strRef>
              <f>DONNÉES!$AY$11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DONNÉES!$AX$12:$AX$23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DONNÉES!$AY$12:$AY$23</f>
              <numCache>
                <formatCode>#,##0</formatCode>
                <ptCount val="12"/>
              </numCache>
            </numRef>
          </val>
          <smooth val="1"/>
        </ser>
        <ser>
          <idx val="1"/>
          <order val="1"/>
          <tx>
            <strRef>
              <f>DONNÉES!$AZ$11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DONNÉES!$AX$12:$AX$23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DONNÉES!$AZ$12:$AZ$23</f>
              <numCache>
                <formatCode>#,##0</formatCode>
                <ptCount val="12"/>
                <pt idx="0">
                  <v>242390</v>
                </pt>
                <pt idx="1">
                  <v>230968.84</v>
                </pt>
                <pt idx="2">
                  <v>264015.46</v>
                </pt>
                <pt idx="3">
                  <v>269252.91</v>
                </pt>
                <pt idx="4">
                  <v>283152.21</v>
                </pt>
                <pt idx="5">
                  <v>278368.93</v>
                </pt>
                <pt idx="6">
                  <v>293849.39</v>
                </pt>
                <pt idx="7">
                  <v>319102.62</v>
                </pt>
                <pt idx="8">
                  <v>230549.28</v>
                </pt>
                <pt idx="9">
                  <v>236583.24</v>
                </pt>
                <pt idx="10">
                  <v>246915.81</v>
                </pt>
                <pt idx="11">
                  <v>254335.87</v>
                </pt>
              </numCache>
            </numRef>
          </val>
          <smooth val="1"/>
        </ser>
        <ser>
          <idx val="2"/>
          <order val="2"/>
          <tx>
            <strRef>
              <f>DONNÉES!$BA$11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DONNÉES!$AX$12:$AX$23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DONNÉES!$BA$12:$BA$23</f>
              <numCache>
                <formatCode>#,##0</formatCode>
                <ptCount val="12"/>
                <pt idx="0">
                  <v>250297.29</v>
                </pt>
                <pt idx="1">
                  <v>244019.37</v>
                </pt>
                <pt idx="2">
                  <v>260076.98</v>
                </pt>
                <pt idx="3">
                  <v>294425.04</v>
                </pt>
                <pt idx="4">
                  <v>301706.03</v>
                </pt>
                <pt idx="5">
                  <v>281207.93</v>
                </pt>
                <pt idx="6">
                  <v>332226.3</v>
                </pt>
                <pt idx="7">
                  <v>330457.29</v>
                </pt>
                <pt idx="8">
                  <v>253289.32</v>
                </pt>
                <pt idx="9">
                  <v>266917</v>
                </pt>
                <pt idx="10">
                  <v>253103.95</v>
                </pt>
                <pt idx="11">
                  <v>268757.44</v>
                </pt>
              </numCache>
            </numRef>
          </val>
          <smooth val="1"/>
        </ser>
        <ser>
          <idx val="3"/>
          <order val="3"/>
          <tx>
            <strRef>
              <f>DONNÉES!$BB$11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DONNÉES!$AX$12:$AX$23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DONNÉES!$BB$12:$BB$23</f>
              <numCache>
                <formatCode>#,##0</formatCode>
                <ptCount val="12"/>
                <pt idx="0">
                  <v>228199.74</v>
                </pt>
                <pt idx="1">
                  <v>223106.15</v>
                </pt>
                <pt idx="2">
                  <v>224987</v>
                </pt>
                <pt idx="3">
                  <v>247988.7</v>
                </pt>
                <pt idx="4">
                  <v>267337.09</v>
                </pt>
                <pt idx="5">
                  <v>271514.77</v>
                </pt>
                <pt idx="6">
                  <v>298337.01</v>
                </pt>
                <pt idx="7">
                  <v>304868.12</v>
                </pt>
                <pt idx="8">
                  <v>238896.91</v>
                </pt>
                <pt idx="9">
                  <v>272494.67</v>
                </pt>
                <pt idx="10">
                  <v>251327.03</v>
                </pt>
                <pt idx="11">
                  <v>272820.48</v>
                </pt>
              </numCache>
            </numRef>
          </val>
          <smooth val="1"/>
        </ser>
        <ser>
          <idx val="4"/>
          <order val="4"/>
          <tx>
            <strRef>
              <f>DONNÉES!$BC$11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DONNÉES!$AX$12:$AX$23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DONNÉES!$BC$12:$BC$23</f>
              <numCache>
                <formatCode>#,##0</formatCode>
                <ptCount val="12"/>
                <pt idx="6">
                  <v>73011.95</v>
                </pt>
                <pt idx="7">
                  <v>329480</v>
                </pt>
                <pt idx="8">
                  <v>230997.59</v>
                </pt>
                <pt idx="9">
                  <v>257744.22</v>
                </pt>
                <pt idx="10">
                  <v>228976</v>
                </pt>
                <pt idx="11">
                  <v>234220</v>
                </pt>
              </numCache>
            </numRef>
          </val>
          <smooth val="1"/>
        </ser>
        <ser>
          <idx val="5"/>
          <order val="5"/>
          <tx>
            <strRef>
              <f>DONNÉES!$BD$11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DONNÉES!$AX$12:$AX$23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DONNÉES!$BD$12:$BD$23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450000"/>
          <min val="-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VICTOIRE'S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52816012502254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9426208651399492"/>
          <w val="0.8825505842943226"/>
          <h val="0.8101638917272747"/>
        </manualLayout>
      </layout>
      <lineChart>
        <grouping val="standard"/>
        <varyColors val="0"/>
        <ser>
          <idx val="0"/>
          <order val="0"/>
          <tx>
            <strRef>
              <f>DONNÉES!$BG$11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DONNÉES!$BF$12:$BF$23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DONNÉES!$BG$12:$BG$23</f>
              <numCache>
                <formatCode>#,##0</formatCode>
                <ptCount val="12"/>
                <pt idx="0">
                  <v>225059.06</v>
                </pt>
              </numCache>
            </numRef>
          </val>
          <smooth val="1"/>
        </ser>
        <ser>
          <idx val="1"/>
          <order val="1"/>
          <tx>
            <strRef>
              <f>DONNÉES!$BH$11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DONNÉES!$BF$12:$BF$23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DONNÉES!$BH$12:$BH$23</f>
              <numCache>
                <formatCode>#,##0</formatCode>
                <ptCount val="12"/>
                <pt idx="0">
                  <v>246524.07</v>
                </pt>
                <pt idx="1">
                  <v>234695.68</v>
                </pt>
                <pt idx="2">
                  <v>252817.8</v>
                </pt>
                <pt idx="3">
                  <v>275154.17</v>
                </pt>
                <pt idx="4">
                  <v>293051.34</v>
                </pt>
                <pt idx="5">
                  <v>271215.49</v>
                </pt>
                <pt idx="6">
                  <v>339621.57</v>
                </pt>
                <pt idx="7">
                  <v>399272.88</v>
                </pt>
                <pt idx="8">
                  <v>226476.08</v>
                </pt>
                <pt idx="9">
                  <v>240747.81</v>
                </pt>
                <pt idx="10">
                  <v>237763.28</v>
                </pt>
                <pt idx="11">
                  <v>233188.1</v>
                </pt>
              </numCache>
            </numRef>
          </val>
          <smooth val="1"/>
        </ser>
        <ser>
          <idx val="2"/>
          <order val="2"/>
          <tx>
            <strRef>
              <f>DONNÉES!$BI$11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DONNÉES!$BF$12:$BF$23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DONNÉES!$BI$12:$BI$23</f>
              <numCache>
                <formatCode>#,##0</formatCode>
                <ptCount val="12"/>
                <pt idx="0">
                  <v>243468.88</v>
                </pt>
                <pt idx="1">
                  <v>251885.69</v>
                </pt>
                <pt idx="2">
                  <v>230633.48</v>
                </pt>
                <pt idx="3">
                  <v>310340.92</v>
                </pt>
                <pt idx="4">
                  <v>311153.21</v>
                </pt>
                <pt idx="5">
                  <v>282644.63</v>
                </pt>
                <pt idx="6">
                  <v>396805.84</v>
                </pt>
                <pt idx="7">
                  <v>410522.6</v>
                </pt>
                <pt idx="8">
                  <v>263430.88</v>
                </pt>
                <pt idx="9">
                  <v>272202.07</v>
                </pt>
                <pt idx="10">
                  <v>251570.57</v>
                </pt>
                <pt idx="11">
                  <v>253816.58</v>
                </pt>
              </numCache>
            </numRef>
          </val>
          <smooth val="1"/>
        </ser>
        <ser>
          <idx val="3"/>
          <order val="3"/>
          <tx>
            <strRef>
              <f>DONNÉES!$BJ$11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DONNÉES!$BF$12:$BF$23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DONNÉES!$BJ$12:$BJ$23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DONNÉES!$BK$11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DONNÉES!$BF$12:$BF$23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DONNÉES!$BK$12:$BK$23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DONNÉES!$BL$11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DONNÉES!$BF$12:$BF$23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DONNÉES!$BL$12:$BL$23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500000"/>
          <min val="-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TH4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</a:t>
            </a:r>
            <a:r>
              <a:rPr lang="fr-FR" baseline="0"/>
              <a:t> </a:t>
            </a:r>
            <a:r>
              <a:rPr lang="fr-FR"/>
              <a:t>du chiffre d'affaires</a:t>
            </a:r>
          </a:p>
        </rich>
      </tx>
      <layout>
        <manualLayout>
          <xMode val="edge"/>
          <yMode val="edge"/>
          <wMode val="factor"/>
          <hMode val="factor"/>
          <x val="0.2690346469527495"/>
          <y val="0.02655386588126866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508607198748044"/>
          <y val="0.1021054303762536"/>
          <w val="0.8825505842943226"/>
          <h val="0.8050748332031016"/>
        </manualLayout>
      </layout>
      <lineChart>
        <grouping val="standard"/>
        <varyColors val="0"/>
        <ser>
          <idx val="0"/>
          <order val="0"/>
          <tx>
            <strRef>
              <f>DONNÉES!$BO$11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DONNÉES!$BN$12:$BN$23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DONNÉES!$BO$12:$BO$23</f>
              <numCache>
                <formatCode>#,##0</formatCode>
                <ptCount val="12"/>
                <pt idx="0">
                  <v>352127.46</v>
                </pt>
              </numCache>
            </numRef>
          </val>
          <smooth val="1"/>
        </ser>
        <ser>
          <idx val="1"/>
          <order val="1"/>
          <tx>
            <strRef>
              <f>DONNÉES!$BP$11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DONNÉES!$BN$12:$BN$23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DONNÉES!$BP$12:$BP$23</f>
              <numCache>
                <formatCode>#,##0</formatCode>
                <ptCount val="12"/>
                <pt idx="0">
                  <v>335149</v>
                </pt>
                <pt idx="1">
                  <v>325760.51</v>
                </pt>
                <pt idx="2">
                  <v>360559.25</v>
                </pt>
                <pt idx="3">
                  <v>354160.18</v>
                </pt>
                <pt idx="4">
                  <v>377846.04</v>
                </pt>
                <pt idx="5">
                  <v>367846</v>
                </pt>
                <pt idx="6">
                  <v>369532.54</v>
                </pt>
                <pt idx="7">
                  <v>389592.4</v>
                </pt>
                <pt idx="8">
                  <v>339075.62</v>
                </pt>
                <pt idx="9">
                  <v>346372.13</v>
                </pt>
                <pt idx="10">
                  <v>358423.24</v>
                </pt>
                <pt idx="11">
                  <v>357979.69</v>
                </pt>
              </numCache>
            </numRef>
          </val>
          <smooth val="1"/>
        </ser>
        <ser>
          <idx val="2"/>
          <order val="2"/>
          <tx>
            <strRef>
              <f>DONNÉES!$BQ$11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DONNÉES!$BN$12:$BN$23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DONNÉES!$BQ$12:$BQ$23</f>
              <numCache>
                <formatCode>#,##0</formatCode>
                <ptCount val="12"/>
                <pt idx="0">
                  <v>355277.53</v>
                </pt>
                <pt idx="1">
                  <v>348867.11</v>
                </pt>
                <pt idx="2">
                  <v>353309.04</v>
                </pt>
                <pt idx="3">
                  <v>374796.47</v>
                </pt>
                <pt idx="4">
                  <v>384943.9</v>
                </pt>
                <pt idx="5">
                  <v>352256.87</v>
                </pt>
                <pt idx="6">
                  <v>400614.96</v>
                </pt>
                <pt idx="7">
                  <v>388179.47</v>
                </pt>
                <pt idx="8">
                  <v>353171.93</v>
                </pt>
                <pt idx="9">
                  <v>365066.34</v>
                </pt>
                <pt idx="10">
                  <v>356548.18</v>
                </pt>
                <pt idx="11">
                  <v>360728.07</v>
                </pt>
              </numCache>
            </numRef>
          </val>
          <smooth val="1"/>
        </ser>
        <ser>
          <idx val="3"/>
          <order val="3"/>
          <tx>
            <strRef>
              <f>DONNÉES!$BR$11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DONNÉES!$BN$12:$BN$23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DONNÉES!$BR$12:$BR$23</f>
              <numCache>
                <formatCode>#,##0</formatCode>
                <ptCount val="12"/>
                <pt idx="0">
                  <v>342395.67</v>
                </pt>
                <pt idx="1">
                  <v>326017</v>
                </pt>
                <pt idx="2">
                  <v>340232</v>
                </pt>
                <pt idx="3">
                  <v>362492.81</v>
                </pt>
                <pt idx="4">
                  <v>385855.2</v>
                </pt>
                <pt idx="5">
                  <v>373287.34</v>
                </pt>
                <pt idx="6">
                  <v>394240.68</v>
                </pt>
                <pt idx="7">
                  <v>363405.22</v>
                </pt>
                <pt idx="8">
                  <v>329560.94</v>
                </pt>
                <pt idx="9">
                  <v>375415.31</v>
                </pt>
                <pt idx="10">
                  <v>330720</v>
                </pt>
                <pt idx="11">
                  <v>365033</v>
                </pt>
              </numCache>
            </numRef>
          </val>
          <smooth val="1"/>
        </ser>
        <ser>
          <idx val="4"/>
          <order val="4"/>
          <tx>
            <strRef>
              <f>DONNÉES!$BS$11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DONNÉES!$BN$12:$BN$23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DONNÉES!$BS$12:$BS$23</f>
              <numCache>
                <formatCode>#,##0</formatCode>
                <ptCount val="12"/>
                <pt idx="0">
                  <v>221755.58</v>
                </pt>
                <pt idx="1">
                  <v>206170.72</v>
                </pt>
                <pt idx="2">
                  <v>210332.3</v>
                </pt>
                <pt idx="3">
                  <v>233733.04</v>
                </pt>
                <pt idx="4">
                  <v>311091.26</v>
                </pt>
                <pt idx="5">
                  <v>359746.1</v>
                </pt>
                <pt idx="6">
                  <v>407563.91</v>
                </pt>
                <pt idx="7">
                  <v>390834.7</v>
                </pt>
                <pt idx="8">
                  <v>333191.46</v>
                </pt>
                <pt idx="9">
                  <v>365738.81</v>
                </pt>
                <pt idx="10">
                  <v>341138.91</v>
                </pt>
                <pt idx="11">
                  <v>358938</v>
                </pt>
              </numCache>
            </numRef>
          </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440000"/>
          <min val="-1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TL DIVES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31096265778514"/>
          <y val="0.03164292440544168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1031679389312977"/>
          <w val="0.8845880741068736"/>
          <h val="0.8012580393099717"/>
        </manualLayout>
      </layout>
      <lineChart>
        <grouping val="standard"/>
        <varyColors val="0"/>
        <ser>
          <idx val="0"/>
          <order val="0"/>
          <tx>
            <strRef>
              <f>DONNÉES!$BW$11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DONNÉES!$BV$12:$BV$24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DONNÉES!$BW$12:$BW$24</f>
              <numCache>
                <formatCode>#,##0</formatCode>
                <ptCount val="13"/>
                <pt idx="0">
                  <v>241429.07</v>
                </pt>
              </numCache>
            </numRef>
          </val>
          <smooth val="1"/>
        </ser>
        <ser>
          <idx val="1"/>
          <order val="1"/>
          <tx>
            <strRef>
              <f>DONNÉES!$BX$11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DONNÉES!$BV$12:$BV$24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DONNÉES!$BX$12:$BX$24</f>
              <numCache>
                <formatCode>#,##0</formatCode>
                <ptCount val="13"/>
                <pt idx="0">
                  <v>232055</v>
                </pt>
                <pt idx="1">
                  <v>231274.57</v>
                </pt>
                <pt idx="2">
                  <v>265363.7</v>
                </pt>
                <pt idx="3">
                  <v>291579.54</v>
                </pt>
                <pt idx="4">
                  <v>313676.96</v>
                </pt>
                <pt idx="5">
                  <v>285854.48</v>
                </pt>
                <pt idx="6">
                  <v>416526.42</v>
                </pt>
                <pt idx="7">
                  <v>484264.72</v>
                </pt>
                <pt idx="8">
                  <v>258347.23</v>
                </pt>
                <pt idx="9">
                  <v>267026.53</v>
                </pt>
                <pt idx="10">
                  <v>254625.96</v>
                </pt>
                <pt idx="11">
                  <v>251066.69</v>
                </pt>
              </numCache>
            </numRef>
          </val>
          <smooth val="1"/>
        </ser>
        <ser>
          <idx val="2"/>
          <order val="2"/>
          <tx>
            <strRef>
              <f>DONNÉES!$BY$11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DONNÉES!$BV$12:$BV$24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DONNÉES!$BY$12:$BY$24</f>
              <numCache>
                <formatCode>#,##0</formatCode>
                <ptCount val="13"/>
                <pt idx="0">
                  <v>256141.46</v>
                </pt>
                <pt idx="1">
                  <v>270825.33</v>
                </pt>
                <pt idx="2">
                  <v>263470.62</v>
                </pt>
                <pt idx="3">
                  <v>311465.29</v>
                </pt>
                <pt idx="4">
                  <v>343374.77</v>
                </pt>
                <pt idx="5">
                  <v>293779.56</v>
                </pt>
                <pt idx="6">
                  <v>452823.05</v>
                </pt>
                <pt idx="7">
                  <v>483673.89</v>
                </pt>
                <pt idx="8">
                  <v>285336.66</v>
                </pt>
                <pt idx="9">
                  <v>288958.32</v>
                </pt>
                <pt idx="10">
                  <v>249157.58</v>
                </pt>
                <pt idx="11">
                  <v>243980.94</v>
                </pt>
              </numCache>
            </numRef>
          </val>
          <smooth val="1"/>
        </ser>
        <ser>
          <idx val="3"/>
          <order val="3"/>
          <tx>
            <strRef>
              <f>DONNÉES!$BZ$11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DONNÉES!$BV$12:$BV$24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DONNÉES!$BZ$12:$BZ$24</f>
              <numCache>
                <formatCode>#,##0</formatCode>
                <ptCount val="13"/>
                <pt idx="0">
                  <v>239038</v>
                </pt>
                <pt idx="1">
                  <v>257799</v>
                </pt>
                <pt idx="2">
                  <v>254313</v>
                </pt>
                <pt idx="3">
                  <v>306176</v>
                </pt>
                <pt idx="4">
                  <v>324403.66</v>
                </pt>
                <pt idx="5">
                  <v>315348.532</v>
                </pt>
                <pt idx="6">
                  <v>467132.05</v>
                </pt>
                <pt idx="7">
                  <v>508187.38</v>
                </pt>
                <pt idx="8">
                  <v>276169.11</v>
                </pt>
                <pt idx="9">
                  <v>304084.81</v>
                </pt>
                <pt idx="10">
                  <v>261491</v>
                </pt>
                <pt idx="11">
                  <v>260629</v>
                </pt>
              </numCache>
            </numRef>
          </val>
          <smooth val="1"/>
        </ser>
        <ser>
          <idx val="4"/>
          <order val="4"/>
          <tx>
            <strRef>
              <f>DONNÉES!$CA$11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DONNÉES!$BV$12:$BV$24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DONNÉES!$CA$12:$CA$24</f>
              <numCache>
                <formatCode>#,##0</formatCode>
                <ptCount val="13"/>
                <pt idx="0">
                  <v>174923.3</v>
                </pt>
                <pt idx="1">
                  <v>172881.16</v>
                </pt>
                <pt idx="2">
                  <v>167429.35</v>
                </pt>
                <pt idx="3">
                  <v>174507.68</v>
                </pt>
                <pt idx="4">
                  <v>267280.5</v>
                </pt>
                <pt idx="5">
                  <v>291266.1</v>
                </pt>
                <pt idx="6">
                  <v>406516.01</v>
                </pt>
                <pt idx="7">
                  <v>474650.8</v>
                </pt>
                <pt idx="8">
                  <v>255164.33</v>
                </pt>
                <pt idx="9">
                  <v>284275.99</v>
                </pt>
                <pt idx="10">
                  <v>254545.07</v>
                </pt>
                <pt idx="11">
                  <v>249600</v>
                </pt>
              </numCache>
            </numRef>
          </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560000"/>
          <min val="-5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R3 14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52816012502254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9426208651399492"/>
          <w val="0.8825505842943226"/>
          <h val="0.8101638917272747"/>
        </manualLayout>
      </layout>
      <lineChart>
        <grouping val="standard"/>
        <varyColors val="0"/>
        <ser>
          <idx val="0"/>
          <order val="0"/>
          <tx>
            <strRef>
              <f>DONNÉES!$CE$11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DONNÉES!$CD$12:$CD$23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DONNÉES!$CE$12:$CE$23</f>
              <numCache>
                <formatCode>#,##0</formatCode>
                <ptCount val="12"/>
                <pt idx="0">
                  <v>318555.94</v>
                </pt>
              </numCache>
            </numRef>
          </val>
          <smooth val="1"/>
        </ser>
        <ser>
          <idx val="1"/>
          <order val="1"/>
          <tx>
            <strRef>
              <f>DONNÉES!$CF$11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DONNÉES!$CD$12:$CD$23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DONNÉES!$CF$12:$CF$23</f>
              <numCache>
                <formatCode>#,##0</formatCode>
                <ptCount val="12"/>
                <pt idx="0">
                  <v>360434</v>
                </pt>
                <pt idx="1">
                  <v>355408.48</v>
                </pt>
                <pt idx="2">
                  <v>373324.43</v>
                </pt>
                <pt idx="3">
                  <v>412202.6</v>
                </pt>
                <pt idx="4">
                  <v>459838.44</v>
                </pt>
                <pt idx="5">
                  <v>439362.87</v>
                </pt>
                <pt idx="6">
                  <v>549867.3</v>
                </pt>
                <pt idx="7">
                  <v>701345.89</v>
                </pt>
                <pt idx="8">
                  <v>342533.05</v>
                </pt>
                <pt idx="9">
                  <v>361489.56</v>
                </pt>
                <pt idx="10">
                  <v>356179.32</v>
                </pt>
                <pt idx="11">
                  <v>326511.15</v>
                </pt>
              </numCache>
            </numRef>
          </val>
          <smooth val="1"/>
        </ser>
        <ser>
          <idx val="2"/>
          <order val="2"/>
          <tx>
            <strRef>
              <f>DONNÉES!$CG$11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DONNÉES!$CD$12:$CD$23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DONNÉES!$CG$12:$CG$23</f>
              <numCache>
                <formatCode>#,##0</formatCode>
                <ptCount val="12"/>
                <pt idx="0">
                  <v>342840.96</v>
                </pt>
                <pt idx="1">
                  <v>363375.48</v>
                </pt>
                <pt idx="2">
                  <v>353293.89</v>
                </pt>
                <pt idx="3">
                  <v>415771.41</v>
                </pt>
                <pt idx="4">
                  <v>482261.8</v>
                </pt>
                <pt idx="5">
                  <v>427925.78</v>
                </pt>
                <pt idx="6">
                  <v>616702.64</v>
                </pt>
                <pt idx="7">
                  <v>710481.58</v>
                </pt>
                <pt idx="8">
                  <v>425112.89</v>
                </pt>
                <pt idx="9">
                  <v>421378.63</v>
                </pt>
                <pt idx="10">
                  <v>376295.43</v>
                </pt>
                <pt idx="11">
                  <v>372614.95</v>
                </pt>
              </numCache>
            </numRef>
          </val>
          <smooth val="1"/>
        </ser>
        <ser>
          <idx val="3"/>
          <order val="3"/>
          <tx>
            <strRef>
              <f>DONNÉES!$CH$11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DONNÉES!$CD$12:$CD$23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DONNÉES!$CH$12:$CH$23</f>
              <numCache>
                <formatCode>#,##0</formatCode>
                <ptCount val="12"/>
                <pt idx="0">
                  <v>352434</v>
                </pt>
                <pt idx="1">
                  <v>360532.04</v>
                </pt>
                <pt idx="2">
                  <v>360379</v>
                </pt>
                <pt idx="3">
                  <v>385597.19</v>
                </pt>
                <pt idx="4">
                  <v>439141.06</v>
                </pt>
                <pt idx="5">
                  <v>418175.74</v>
                </pt>
                <pt idx="6">
                  <v>611656.36</v>
                </pt>
                <pt idx="7">
                  <v>631349.46</v>
                </pt>
                <pt idx="8">
                  <v>340185.88</v>
                </pt>
                <pt idx="9">
                  <v>377968.49</v>
                </pt>
                <pt idx="10">
                  <v>352453.18</v>
                </pt>
                <pt idx="11">
                  <v>349347.8</v>
                </pt>
              </numCache>
            </numRef>
          </val>
          <smooth val="1"/>
        </ser>
        <ser>
          <idx val="4"/>
          <order val="4"/>
          <tx>
            <strRef>
              <f>DONNÉES!$CI$11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DONNÉES!$CD$12:$CD$23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DONNÉES!$CI$12:$CI$23</f>
              <numCache>
                <formatCode>#,##0</formatCode>
                <ptCount val="12"/>
                <pt idx="0">
                  <v>180222.61</v>
                </pt>
                <pt idx="1">
                  <v>225127.07</v>
                </pt>
                <pt idx="2">
                  <v>225944.73</v>
                </pt>
                <pt idx="3">
                  <v>231696.36</v>
                </pt>
                <pt idx="4">
                  <v>366579</v>
                </pt>
                <pt idx="5">
                  <v>422304.03</v>
                </pt>
                <pt idx="6">
                  <v>566572.09</v>
                </pt>
                <pt idx="7">
                  <v>665218.61</v>
                </pt>
                <pt idx="8">
                  <v>363747</v>
                </pt>
                <pt idx="9">
                  <v>383589.73</v>
                </pt>
                <pt idx="10">
                  <v>343022.96</v>
                </pt>
                <pt idx="11">
                  <v>349186</v>
                </pt>
              </numCache>
            </numRef>
          </val>
          <smooth val="1"/>
        </ser>
        <ser>
          <idx val="5"/>
          <order val="5"/>
          <tx>
            <strRef>
              <f>DONNÉES!$CJ$11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DONNÉES!$CD$12:$CD$23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DONNÉES!$CJ$12:$CJ$23</f>
              <numCache>
                <formatCode>#,##0</formatCode>
                <ptCount val="12"/>
                <pt idx="0">
                  <v>310830</v>
                </pt>
                <pt idx="1">
                  <v>337530</v>
                </pt>
                <pt idx="2">
                  <v>153876</v>
                </pt>
                <pt idx="3">
                  <v>0</v>
                </pt>
                <pt idx="4">
                  <v>245284</v>
                </pt>
                <pt idx="5">
                  <v>409125</v>
                </pt>
                <pt idx="6">
                  <v>588949</v>
                </pt>
                <pt idx="7">
                  <v>692944</v>
                </pt>
                <pt idx="8">
                  <v>366872</v>
                </pt>
                <pt idx="9">
                  <v>352527</v>
                </pt>
                <pt idx="10">
                  <v>208803.79</v>
                </pt>
                <pt idx="11">
                  <v>262939.93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740000"/>
          <min val="-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LYSE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782613051231192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537020560923997"/>
          <w val="0.8825505842943226"/>
          <h val="0.819055844625495"/>
        </manualLayout>
      </layout>
      <lineChart>
        <grouping val="standard"/>
        <varyColors val="0"/>
        <ser>
          <idx val="0"/>
          <order val="0"/>
          <tx>
            <strRef>
              <f>DONNÉES!$CM$11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DONNÉES!$CL$12:$CL$23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DONNÉES!$CM$12:$CM$23</f>
              <numCache>
                <formatCode>#,##0</formatCode>
                <ptCount val="12"/>
                <pt idx="0">
                  <v>379222.46</v>
                </pt>
              </numCache>
            </numRef>
          </val>
          <smooth val="1"/>
        </ser>
        <ser>
          <idx val="1"/>
          <order val="1"/>
          <tx>
            <strRef>
              <f>DONNÉES!$CN$11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DONNÉES!$CL$12:$CL$23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DONNÉES!$CN$12:$CN$23</f>
              <numCache>
                <formatCode>#,##0</formatCode>
                <ptCount val="12"/>
                <pt idx="0">
                  <v>316396</v>
                </pt>
                <pt idx="1">
                  <v>319905.21</v>
                </pt>
                <pt idx="2">
                  <v>391689.64</v>
                </pt>
                <pt idx="3">
                  <v>381945.32</v>
                </pt>
                <pt idx="4">
                  <v>399493</v>
                </pt>
                <pt idx="5">
                  <v>388948.47</v>
                </pt>
                <pt idx="6">
                  <v>426711.28</v>
                </pt>
                <pt idx="7">
                  <v>487871.85</v>
                </pt>
                <pt idx="8">
                  <v>373250.06</v>
                </pt>
                <pt idx="9">
                  <v>380609.01</v>
                </pt>
                <pt idx="10">
                  <v>408273.11</v>
                </pt>
                <pt idx="11">
                  <v>407405.56</v>
                </pt>
              </numCache>
            </numRef>
          </val>
          <smooth val="1"/>
        </ser>
        <ser>
          <idx val="2"/>
          <order val="2"/>
          <tx>
            <strRef>
              <f>DONNÉES!$CO$11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DONNÉES!$CL$12:$CL$23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DONNÉES!$CO$12:$CO$23</f>
              <numCache>
                <formatCode>#,##0</formatCode>
                <ptCount val="12"/>
                <pt idx="0">
                  <v>501495.66</v>
                </pt>
                <pt idx="1">
                  <v>489206.53</v>
                </pt>
                <pt idx="2">
                  <v>495459.64</v>
                </pt>
                <pt idx="3">
                  <v>546882.86</v>
                </pt>
                <pt idx="4">
                  <v>556028.92</v>
                </pt>
                <pt idx="5">
                  <v>507910.79</v>
                </pt>
                <pt idx="6">
                  <v>633372.79</v>
                </pt>
                <pt idx="7">
                  <v>672760.14</v>
                </pt>
                <pt idx="8">
                  <v>516435.67</v>
                </pt>
                <pt idx="9">
                  <v>537367.22</v>
                </pt>
                <pt idx="10">
                  <v>523194.13</v>
                </pt>
                <pt idx="11">
                  <v>428618.23</v>
                </pt>
              </numCache>
            </numRef>
          </val>
          <smooth val="1"/>
        </ser>
        <ser>
          <idx val="3"/>
          <order val="3"/>
          <tx>
            <strRef>
              <f>DONNÉES!$CP$11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DONNÉES!$CL$12:$CL$23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DONNÉES!$CP$12:$CP$23</f>
              <numCache>
                <formatCode>#,##0</formatCode>
                <ptCount val="12"/>
                <pt idx="0">
                  <v>455805</v>
                </pt>
                <pt idx="1">
                  <v>451147</v>
                </pt>
                <pt idx="2">
                  <v>453709</v>
                </pt>
                <pt idx="3">
                  <v>502515.58</v>
                </pt>
                <pt idx="4">
                  <v>515836.8</v>
                </pt>
                <pt idx="5">
                  <v>519889.41</v>
                </pt>
                <pt idx="6">
                  <v>593315.7</v>
                </pt>
                <pt idx="7">
                  <v>640375.92</v>
                </pt>
                <pt idx="8">
                  <v>463843.82</v>
                </pt>
                <pt idx="9">
                  <v>450146.96</v>
                </pt>
                <pt idx="10">
                  <v>476154.23</v>
                </pt>
                <pt idx="11">
                  <v>536116</v>
                </pt>
              </numCache>
            </numRef>
          </val>
          <smooth val="1"/>
        </ser>
        <ser>
          <idx val="4"/>
          <order val="4"/>
          <tx>
            <strRef>
              <f>DONNÉES!$CQ$11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DONNÉES!$CL$12:$CL$23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DONNÉES!$CQ$12:$CQ$23</f>
              <numCache>
                <formatCode>#,##0</formatCode>
                <ptCount val="12"/>
                <pt idx="0">
                  <v>286132.3</v>
                </pt>
                <pt idx="1">
                  <v>253717.39</v>
                </pt>
                <pt idx="2">
                  <v>284241.59</v>
                </pt>
                <pt idx="3">
                  <v>292070.08</v>
                </pt>
                <pt idx="4">
                  <v>403112.58</v>
                </pt>
                <pt idx="5">
                  <v>459466.31</v>
                </pt>
                <pt idx="6">
                  <v>538120.9</v>
                </pt>
                <pt idx="7">
                  <v>588531.26</v>
                </pt>
                <pt idx="8">
                  <v>437653.48</v>
                </pt>
                <pt idx="9">
                  <v>482367</v>
                </pt>
                <pt idx="10">
                  <v>456441.45</v>
                </pt>
                <pt idx="11">
                  <v>483886</v>
                </pt>
              </numCache>
            </numRef>
          </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74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ARTHUR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782613051231192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537020560923997"/>
          <w val="0.8825505842943226"/>
          <h val="0.819055844625495"/>
        </manualLayout>
      </layout>
      <lineChart>
        <grouping val="standard"/>
        <varyColors val="0"/>
        <ser>
          <idx val="0"/>
          <order val="0"/>
          <tx>
            <strRef>
              <f>DONNÉES!$CU$11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DONNÉES!$CT$12:$CT$23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DONNÉES!$CU$12:$CU$23</f>
              <numCache>
                <formatCode>#,##0</formatCode>
                <ptCount val="12"/>
                <pt idx="0">
                  <v>456276.63</v>
                </pt>
              </numCache>
            </numRef>
          </val>
          <smooth val="1"/>
        </ser>
        <ser>
          <idx val="1"/>
          <order val="1"/>
          <tx>
            <strRef>
              <f>DONNÉES!$CV$11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DONNÉES!$CT$12:$CT$23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DONNÉES!$CV$12:$CV$23</f>
              <numCache>
                <formatCode>#,##0</formatCode>
                <ptCount val="12"/>
                <pt idx="0">
                  <v>414258</v>
                </pt>
                <pt idx="1">
                  <v>392445.19</v>
                </pt>
                <pt idx="2">
                  <v>444754.05</v>
                </pt>
                <pt idx="3">
                  <v>421523.02</v>
                </pt>
                <pt idx="4">
                  <v>440171.64</v>
                </pt>
                <pt idx="5">
                  <v>427001.1</v>
                </pt>
                <pt idx="6">
                  <v>436785.56</v>
                </pt>
                <pt idx="7">
                  <v>518058.24</v>
                </pt>
                <pt idx="8">
                  <v>438586.59</v>
                </pt>
                <pt idx="9">
                  <v>448749.97</v>
                </pt>
                <pt idx="10">
                  <v>478557.31</v>
                </pt>
                <pt idx="11">
                  <v>445203.67</v>
                </pt>
              </numCache>
            </numRef>
          </val>
          <smooth val="1"/>
        </ser>
        <ser>
          <idx val="2"/>
          <order val="2"/>
          <tx>
            <strRef>
              <f>DONNÉES!$CW$11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DONNÉES!$CT$12:$CT$23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DONNÉES!$CW$12:$CW$23</f>
              <numCache>
                <formatCode>#,##0</formatCode>
                <ptCount val="12"/>
              </numCache>
            </numRef>
          </val>
          <smooth val="1"/>
        </ser>
        <ser>
          <idx val="3"/>
          <order val="3"/>
          <tx>
            <strRef>
              <f>DONNÉES!$CX$11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DONNÉES!$CT$12:$CT$23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DONNÉES!$CX$12:$CX$23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DONNÉES!$CY$11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DONNÉES!$CT$12:$CT$23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DONNÉES!$CY$12:$CY$23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DONNÉES!$CZ$11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DONNÉES!$CT$12:$CT$23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DONNÉES!$CZ$12:$CZ$23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65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HUGO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782613051231192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537020560923997"/>
          <w val="0.8825505842943226"/>
          <h val="0.819055844625495"/>
        </manualLayout>
      </layout>
      <lineChart>
        <grouping val="standard"/>
        <varyColors val="0"/>
        <ser>
          <idx val="0"/>
          <order val="0"/>
          <tx>
            <strRef>
              <f>DONNÉES!$DC$11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DONNÉES!$DB$12:$DB$23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DONNÉES!$DC$12:$DC$23</f>
              <numCache>
                <formatCode>#,##0</formatCode>
                <ptCount val="12"/>
                <pt idx="0">
                  <v>539432.96</v>
                </pt>
              </numCache>
            </numRef>
          </val>
          <smooth val="1"/>
        </ser>
        <ser>
          <idx val="1"/>
          <order val="1"/>
          <tx>
            <strRef>
              <f>DONNÉES!$DD$11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DONNÉES!$DB$12:$DB$23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DONNÉES!$DD$12:$DD$23</f>
              <numCache>
                <formatCode>#,##0</formatCode>
                <ptCount val="12"/>
                <pt idx="0">
                  <v>507935</v>
                </pt>
                <pt idx="1">
                  <v>459930.54</v>
                </pt>
                <pt idx="2">
                  <v>542913.28</v>
                </pt>
                <pt idx="3">
                  <v>514695.74</v>
                </pt>
                <pt idx="4">
                  <v>533534.9300000001</v>
                </pt>
                <pt idx="5">
                  <v>541731.74</v>
                </pt>
                <pt idx="6">
                  <v>539322.49</v>
                </pt>
                <pt idx="7">
                  <v>586019.36</v>
                </pt>
                <pt idx="8">
                  <v>494249.15</v>
                </pt>
                <pt idx="9">
                  <v>507610.36</v>
                </pt>
                <pt idx="10">
                  <v>555479.61</v>
                </pt>
                <pt idx="11">
                  <v>577281.33</v>
                </pt>
              </numCache>
            </numRef>
          </val>
          <smooth val="1"/>
        </ser>
        <ser>
          <idx val="2"/>
          <order val="2"/>
          <tx>
            <strRef>
              <f>DONNÉES!$DE$11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DONNÉES!$DB$12:$DB$23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DONNÉES!$DE$12:$DE$23</f>
              <numCache>
                <formatCode>#,##0</formatCode>
                <ptCount val="12"/>
              </numCache>
            </numRef>
          </val>
          <smooth val="1"/>
        </ser>
        <ser>
          <idx val="3"/>
          <order val="3"/>
          <tx>
            <strRef>
              <f>DONNÉES!$DF$11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DONNÉES!$DB$12:$DB$23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DONNÉES!$DF$12:$DF$23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DONNÉES!$DG$11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DONNÉES!$DB$12:$DB$23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DONNÉES!$DG$12:$DG$23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DONNÉES!$DH$11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DONNÉES!$DB$12:$DB$23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DONNÉES!$DH$12:$DH$23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65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JEANCLO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782613051231192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537020560923997"/>
          <w val="0.8825505842943226"/>
          <h val="0.819055844625495"/>
        </manualLayout>
      </layout>
      <lineChart>
        <grouping val="standard"/>
        <varyColors val="0"/>
        <ser>
          <idx val="0"/>
          <order val="0"/>
          <tx>
            <strRef>
              <f>DONNÉES!$DK$11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DONNÉES!$DJ$12:$DJ$23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DONNÉES!$DK$12:$DK$23</f>
              <numCache>
                <formatCode>#,##0</formatCode>
                <ptCount val="12"/>
                <pt idx="0">
                  <v>217804.69</v>
                </pt>
              </numCache>
            </numRef>
          </val>
          <smooth val="1"/>
        </ser>
        <ser>
          <idx val="1"/>
          <order val="1"/>
          <tx>
            <strRef>
              <f>DONNÉES!$DL$11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DONNÉES!$DJ$12:$DJ$23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DONNÉES!$DL$12:$DL$23</f>
              <numCache>
                <formatCode>#,##0</formatCode>
                <ptCount val="12"/>
                <pt idx="0">
                  <v>210624</v>
                </pt>
                <pt idx="1">
                  <v>197914.73</v>
                </pt>
                <pt idx="2">
                  <v>202057.96</v>
                </pt>
                <pt idx="3">
                  <v>198183.77</v>
                </pt>
                <pt idx="4">
                  <v>203122.39</v>
                </pt>
                <pt idx="5">
                  <v>208265.96</v>
                </pt>
                <pt idx="6">
                  <v>212001.81</v>
                </pt>
                <pt idx="7">
                  <v>228519.63</v>
                </pt>
                <pt idx="8">
                  <v>213400.27</v>
                </pt>
                <pt idx="9">
                  <v>214907.75</v>
                </pt>
                <pt idx="10">
                  <v>226433.92</v>
                </pt>
                <pt idx="11">
                  <v>240551.02</v>
                </pt>
              </numCache>
            </numRef>
          </val>
          <smooth val="1"/>
        </ser>
        <ser>
          <idx val="2"/>
          <order val="2"/>
          <tx>
            <strRef>
              <f>DONNÉES!$DM$11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DONNÉES!$DJ$12:$DJ$23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DONNÉES!$DM$12:$DM$23</f>
              <numCache>
                <formatCode>#,##0</formatCode>
                <ptCount val="12"/>
              </numCache>
            </numRef>
          </val>
          <smooth val="1"/>
        </ser>
        <ser>
          <idx val="3"/>
          <order val="3"/>
          <tx>
            <strRef>
              <f>DONNÉES!$DN$11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DONNÉES!$DJ$12:$DJ$23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DONNÉES!$DN$12:$DN$23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DONNÉES!$DO$11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DONNÉES!$DJ$12:$DJ$23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DONNÉES!$DO$12:$DO$23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DONNÉES!$DP$11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DONNÉES!$DJ$12:$DJ$23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DONNÉES!$DP$12:$DP$23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65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THOMAS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782613051231192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537020560923997"/>
          <w val="0.8825505842943226"/>
          <h val="0.819055844625495"/>
        </manualLayout>
      </layout>
      <lineChart>
        <grouping val="standard"/>
        <varyColors val="0"/>
        <ser>
          <idx val="0"/>
          <order val="0"/>
          <tx>
            <strRef>
              <f>DONNÉES!$DS$11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DONNÉES!$DR$12:$DR$23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DONNÉES!$DS$12:$DS$23</f>
              <numCache>
                <formatCode>#,##0</formatCode>
                <ptCount val="12"/>
                <pt idx="0">
                  <v>347720.47</v>
                </pt>
              </numCache>
            </numRef>
          </val>
          <smooth val="1"/>
        </ser>
        <ser>
          <idx val="1"/>
          <order val="1"/>
          <tx>
            <strRef>
              <f>DONNÉES!$DT$11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DONNÉES!$DR$12:$DR$23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DONNÉES!$DT$12:$DT$23</f>
              <numCache>
                <formatCode>#,##0</formatCode>
                <ptCount val="12"/>
                <pt idx="0">
                  <v>349402</v>
                </pt>
                <pt idx="1">
                  <v>329585.52</v>
                </pt>
                <pt idx="2">
                  <v>365921.67</v>
                </pt>
                <pt idx="3">
                  <v>342732.24</v>
                </pt>
                <pt idx="4">
                  <v>358236.54</v>
                </pt>
                <pt idx="5">
                  <v>351896.92</v>
                </pt>
                <pt idx="6">
                  <v>338195.18</v>
                </pt>
                <pt idx="7">
                  <v>359290.12</v>
                </pt>
                <pt idx="8">
                  <v>333942.53</v>
                </pt>
                <pt idx="9">
                  <v>345694.94</v>
                </pt>
                <pt idx="10">
                  <v>361725.11</v>
                </pt>
                <pt idx="11">
                  <v>363858.04</v>
                </pt>
              </numCache>
            </numRef>
          </val>
          <smooth val="1"/>
        </ser>
        <ser>
          <idx val="2"/>
          <order val="2"/>
          <tx>
            <strRef>
              <f>DONNÉES!$DU$11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DONNÉES!$DR$12:$DR$23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DONNÉES!$DU$12:$DU$23</f>
              <numCache>
                <formatCode>#,##0</formatCode>
                <ptCount val="12"/>
              </numCache>
            </numRef>
          </val>
          <smooth val="1"/>
        </ser>
        <ser>
          <idx val="3"/>
          <order val="3"/>
          <tx>
            <strRef>
              <f>DONNÉES!$DV$11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DONNÉES!$DR$12:$DR$23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DONNÉES!$DV$12:$DV$23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DONNÉES!$DW$11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DONNÉES!$DR$12:$DR$23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DONNÉES!$DW$12:$DW$23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DONNÉES!$DX$11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DONNÉES!$DR$12:$DR$23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DONNÉES!$DX$12:$DX$23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65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CATALINA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782613051231192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537020560923997"/>
          <w val="0.8825505842943226"/>
          <h val="0.819055844625495"/>
        </manualLayout>
      </layout>
      <lineChart>
        <grouping val="standard"/>
        <varyColors val="0"/>
        <ser>
          <idx val="0"/>
          <order val="0"/>
          <tx>
            <strRef>
              <f>DONNÉES!$EA$11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DONNÉES!$DZ$12:$DZ$23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DONNÉES!$EA$12:$EA$23</f>
              <numCache>
                <formatCode>#,##0</formatCode>
                <ptCount val="12"/>
                <pt idx="0">
                  <v>207907.62</v>
                </pt>
              </numCache>
            </numRef>
          </val>
          <smooth val="1"/>
        </ser>
        <ser>
          <idx val="1"/>
          <order val="1"/>
          <tx>
            <strRef>
              <f>DONNÉES!$EB$11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DONNÉES!$DZ$12:$DZ$23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DONNÉES!$EB$12:$EB$23</f>
              <numCache>
                <formatCode>#,##0</formatCode>
                <ptCount val="12"/>
                <pt idx="7">
                  <v>365211.91</v>
                </pt>
                <pt idx="8">
                  <v>218756.84</v>
                </pt>
                <pt idx="9">
                  <v>227098.28</v>
                </pt>
                <pt idx="10">
                  <v>228986.35</v>
                </pt>
                <pt idx="11">
                  <v>221506.53</v>
                </pt>
              </numCache>
            </numRef>
          </val>
          <smooth val="1"/>
        </ser>
        <ser>
          <idx val="2"/>
          <order val="2"/>
          <tx>
            <strRef>
              <f>DONNÉES!$EC$11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DONNÉES!$DZ$12:$DZ$23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DONNÉES!$EC$12:$EC$23</f>
              <numCache>
                <formatCode>#,##0</formatCode>
                <ptCount val="12"/>
              </numCache>
            </numRef>
          </val>
          <smooth val="1"/>
        </ser>
        <ser>
          <idx val="3"/>
          <order val="3"/>
          <tx>
            <strRef>
              <f>DONNÉES!$ED$11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DONNÉES!$DZ$12:$DZ$23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DONNÉES!$ED$12:$ED$23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DONNÉES!$EE$11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DONNÉES!$DZ$12:$DZ$23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DONNÉES!$EE$12:$EE$23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DONNÉES!$EF$11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DONNÉES!$DZ$12:$DZ$23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DONNÉES!$EF$12:$EF$23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65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GLR5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DONNÉES!$K$27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DONNÉES!$J$28:$J$39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DONNÉES!$K$28:$K$39</f>
              <numCache>
                <formatCode>#,##0</formatCode>
                <ptCount val="12"/>
                <pt idx="0">
                  <v>-1132</v>
                </pt>
              </numCache>
            </numRef>
          </val>
          <smooth val="1"/>
        </ser>
        <ser>
          <idx val="1"/>
          <order val="1"/>
          <tx>
            <strRef>
              <f>DONNÉES!$L$27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/>
              </a:solidFill>
              <a:ln xmlns:a="http://schemas.openxmlformats.org/drawingml/2006/main" w="9525" cap="flat" cmpd="sng" algn="ctr">
                <a:solidFill>
                  <a:schemeClr val="accent6"/>
                </a:solidFill>
                <a:prstDash val="solid"/>
                <a:round/>
              </a:ln>
            </spPr>
          </marker>
          <cat>
            <strRef>
              <f>DONNÉES!$J$28:$J$39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DONNÉES!$L$28:$L$39</f>
              <numCache>
                <formatCode>#,##0</formatCode>
                <ptCount val="12"/>
                <pt idx="0">
                  <v>-712</v>
                </pt>
                <pt idx="1">
                  <v>-6231.87</v>
                </pt>
                <pt idx="2">
                  <v>13716.79</v>
                </pt>
                <pt idx="3">
                  <v>8637</v>
                </pt>
                <pt idx="4">
                  <v>14614</v>
                </pt>
                <pt idx="5">
                  <v>21065</v>
                </pt>
                <pt idx="6">
                  <v>21177</v>
                </pt>
                <pt idx="7">
                  <v>55945</v>
                </pt>
                <pt idx="8">
                  <v>67352</v>
                </pt>
                <pt idx="9">
                  <v>86520</v>
                </pt>
                <pt idx="10">
                  <v>102169</v>
                </pt>
                <pt idx="11">
                  <v>155210</v>
                </pt>
              </numCache>
            </numRef>
          </val>
          <smooth val="0"/>
        </ser>
        <ser>
          <idx val="2"/>
          <order val="2"/>
          <tx>
            <strRef>
              <f>DONNÉES!$M$27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5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5"/>
              </a:solidFill>
              <a:ln xmlns:a="http://schemas.openxmlformats.org/drawingml/2006/main" w="9525" cap="flat" cmpd="sng" algn="ctr">
                <a:solidFill>
                  <a:schemeClr val="accent5"/>
                </a:solidFill>
                <a:prstDash val="solid"/>
                <a:round/>
              </a:ln>
            </spPr>
          </marker>
          <cat>
            <strRef>
              <f>DONNÉES!$J$28:$J$39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DONNÉES!$M$28:$M$39</f>
              <numCache>
                <formatCode>#,##0</formatCode>
                <ptCount val="12"/>
                <pt idx="0">
                  <v>23975</v>
                </pt>
                <pt idx="1">
                  <v>67887</v>
                </pt>
                <pt idx="2">
                  <v>103869</v>
                </pt>
                <pt idx="3">
                  <v>154285</v>
                </pt>
                <pt idx="4">
                  <v>178575</v>
                </pt>
                <pt idx="5">
                  <v>197815</v>
                </pt>
                <pt idx="6">
                  <v>229921.37</v>
                </pt>
                <pt idx="7">
                  <v>265341.8</v>
                </pt>
                <pt idx="8">
                  <v>302920.39</v>
                </pt>
                <pt idx="9">
                  <v>327207.72</v>
                </pt>
                <pt idx="10">
                  <v>325258.88</v>
                </pt>
                <pt idx="11">
                  <v>328459.15</v>
                </pt>
              </numCache>
            </numRef>
          </val>
          <smooth val="0"/>
        </ser>
        <ser>
          <idx val="3"/>
          <order val="3"/>
          <tx>
            <strRef>
              <f>DONNÉES!$N$27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/>
              </a:solidFill>
              <a:ln xmlns:a="http://schemas.openxmlformats.org/drawingml/2006/main" w="9525" cap="flat" cmpd="sng" algn="ctr">
                <a:solidFill>
                  <a:schemeClr val="accent4"/>
                </a:solidFill>
                <a:prstDash val="solid"/>
                <a:round/>
              </a:ln>
            </spPr>
          </marker>
          <cat>
            <strRef>
              <f>DONNÉES!$J$28:$J$39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DONNÉES!$N$28:$N$39</f>
              <numCache>
                <formatCode>#,##0</formatCode>
                <ptCount val="12"/>
                <pt idx="0">
                  <v>46024</v>
                </pt>
                <pt idx="1">
                  <v>101039</v>
                </pt>
                <pt idx="2">
                  <v>158060</v>
                </pt>
                <pt idx="3">
                  <v>207667</v>
                </pt>
                <pt idx="4">
                  <v>256777</v>
                </pt>
                <pt idx="5">
                  <v>303767</v>
                </pt>
                <pt idx="6">
                  <v>350147</v>
                </pt>
                <pt idx="7">
                  <v>391254</v>
                </pt>
                <pt idx="8">
                  <v>415063</v>
                </pt>
                <pt idx="9">
                  <v>450355</v>
                </pt>
                <pt idx="10">
                  <v>452900</v>
                </pt>
                <pt idx="11">
                  <v>489914</v>
                </pt>
              </numCache>
            </numRef>
          </val>
          <smooth val="0"/>
        </ser>
        <ser>
          <idx val="4"/>
          <order val="4"/>
          <tx>
            <strRef>
              <f>DONNÉES!$O$27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DONNÉES!$J$28:$J$39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DONNÉES!$O$28:$O$39</f>
              <numCache>
                <formatCode>#,##0</formatCode>
                <ptCount val="12"/>
                <pt idx="0">
                  <v>16913</v>
                </pt>
                <pt idx="1">
                  <v>11814</v>
                </pt>
                <pt idx="2">
                  <v>30502</v>
                </pt>
                <pt idx="3">
                  <v>56722</v>
                </pt>
                <pt idx="4">
                  <v>95026</v>
                </pt>
                <pt idx="5">
                  <v>131146</v>
                </pt>
                <pt idx="6">
                  <v>236946</v>
                </pt>
                <pt idx="7">
                  <v>320453</v>
                </pt>
                <pt idx="8">
                  <v>367378</v>
                </pt>
                <pt idx="9">
                  <v>423366</v>
                </pt>
                <pt idx="10">
                  <v>464433</v>
                </pt>
                <pt idx="11">
                  <v>533956</v>
                </pt>
              </numCache>
            </numRef>
          </val>
          <smooth val="0"/>
        </ser>
        <ser>
          <idx val="5"/>
          <order val="5"/>
          <tx>
            <strRef>
              <f>DONNÉES!$P$27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DONNÉES!$J$28:$J$39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DONNÉES!$P$28:$P$39</f>
              <numCache>
                <formatCode>#,##0</formatCode>
                <ptCount val="12"/>
                <pt idx="0">
                  <v>44760</v>
                </pt>
                <pt idx="1">
                  <v>100201</v>
                </pt>
                <pt idx="2">
                  <v>61145</v>
                </pt>
                <pt idx="3">
                  <v>-28183</v>
                </pt>
                <pt idx="4">
                  <v>-52525</v>
                </pt>
                <pt idx="5">
                  <v>-47186</v>
                </pt>
                <pt idx="6">
                  <v>-27069</v>
                </pt>
                <pt idx="7">
                  <v>16054</v>
                </pt>
                <pt idx="8">
                  <v>29225</v>
                </pt>
                <pt idx="9">
                  <v>53754</v>
                </pt>
                <pt idx="10">
                  <v>46587</v>
                </pt>
                <pt idx="11">
                  <v>61720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750000"/>
          <min val="-2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HTR8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DONNÉES!$S$27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DONNÉES!$R$28:$R$39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DONNÉES!$S$28:$S$39</f>
              <numCache>
                <formatCode>#,##0</formatCode>
                <ptCount val="12"/>
                <pt idx="0">
                  <v>-7163</v>
                </pt>
              </numCache>
            </numRef>
          </val>
          <smooth val="1"/>
        </ser>
        <ser>
          <idx val="1"/>
          <order val="1"/>
          <tx>
            <strRef>
              <f>DONNÉES!$T$27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/>
              </a:solidFill>
              <a:ln xmlns:a="http://schemas.openxmlformats.org/drawingml/2006/main" w="9525" cap="flat" cmpd="sng" algn="ctr">
                <a:solidFill>
                  <a:schemeClr val="accent6"/>
                </a:solidFill>
                <a:prstDash val="solid"/>
                <a:round/>
              </a:ln>
            </spPr>
          </marker>
          <cat>
            <strRef>
              <f>DONNÉES!$R$28:$R$39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DONNÉES!$T$28:$T$39</f>
              <numCache>
                <formatCode>#,##0</formatCode>
                <ptCount val="12"/>
                <pt idx="0">
                  <v>-19109</v>
                </pt>
                <pt idx="1">
                  <v>-35060.57</v>
                </pt>
                <pt idx="2">
                  <v>-35766.99</v>
                </pt>
                <pt idx="3">
                  <v>-47885</v>
                </pt>
                <pt idx="4">
                  <v>-56218</v>
                </pt>
                <pt idx="5">
                  <v>-64527</v>
                </pt>
                <pt idx="6">
                  <v>-70248</v>
                </pt>
                <pt idx="7">
                  <v>-60408</v>
                </pt>
                <pt idx="8">
                  <v>-71719</v>
                </pt>
                <pt idx="9">
                  <v>-84785</v>
                </pt>
                <pt idx="10">
                  <v>-96060</v>
                </pt>
                <pt idx="11">
                  <v>-83667</v>
                </pt>
              </numCache>
            </numRef>
          </val>
          <smooth val="0"/>
        </ser>
        <ser>
          <idx val="2"/>
          <order val="2"/>
          <tx>
            <strRef>
              <f>DONNÉES!$U$27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5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5"/>
              </a:solidFill>
              <a:ln xmlns:a="http://schemas.openxmlformats.org/drawingml/2006/main" w="9525" cap="flat" cmpd="sng" algn="ctr">
                <a:solidFill>
                  <a:schemeClr val="accent5"/>
                </a:solidFill>
                <a:prstDash val="solid"/>
                <a:round/>
              </a:ln>
            </spPr>
          </marker>
          <cat>
            <strRef>
              <f>DONNÉES!$R$28:$R$39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DONNÉES!$U$28:$U$39</f>
              <numCache>
                <formatCode>#,##0</formatCode>
                <ptCount val="12"/>
                <pt idx="0">
                  <v>-3666</v>
                </pt>
                <pt idx="1">
                  <v>-4234</v>
                </pt>
                <pt idx="2">
                  <v>-16687</v>
                </pt>
                <pt idx="3">
                  <v>-6454</v>
                </pt>
                <pt idx="4">
                  <v>-17112</v>
                </pt>
                <pt idx="5">
                  <v>-17290</v>
                </pt>
                <pt idx="6">
                  <v>-13553</v>
                </pt>
                <pt idx="7">
                  <v>-14958.75</v>
                </pt>
                <pt idx="8">
                  <v>-26521.24</v>
                </pt>
                <pt idx="9">
                  <v>-36958.07</v>
                </pt>
                <pt idx="10">
                  <v>-42732.96</v>
                </pt>
                <pt idx="11">
                  <v>-54711.48</v>
                </pt>
              </numCache>
            </numRef>
          </val>
          <smooth val="0"/>
        </ser>
        <ser>
          <idx val="3"/>
          <order val="3"/>
          <tx>
            <strRef>
              <f>DONNÉES!$V$27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/>
              </a:solidFill>
              <a:ln xmlns:a="http://schemas.openxmlformats.org/drawingml/2006/main" w="9525" cap="flat" cmpd="sng" algn="ctr">
                <a:solidFill>
                  <a:schemeClr val="accent4"/>
                </a:solidFill>
                <a:prstDash val="solid"/>
                <a:round/>
              </a:ln>
            </spPr>
          </marker>
          <cat>
            <strRef>
              <f>DONNÉES!$R$28:$R$39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DONNÉES!$V$28:$V$39</f>
              <numCache>
                <formatCode>#,##0</formatCode>
                <ptCount val="12"/>
                <pt idx="0">
                  <v>8248</v>
                </pt>
                <pt idx="1">
                  <v>4850</v>
                </pt>
                <pt idx="2">
                  <v>-2482</v>
                </pt>
                <pt idx="3">
                  <v>9351</v>
                </pt>
                <pt idx="4">
                  <v>5518</v>
                </pt>
                <pt idx="5">
                  <v>-3641</v>
                </pt>
                <pt idx="6">
                  <v>-11341</v>
                </pt>
                <pt idx="7">
                  <v>-11755</v>
                </pt>
                <pt idx="8">
                  <v>-34339</v>
                </pt>
                <pt idx="9">
                  <v>-39782</v>
                </pt>
                <pt idx="10">
                  <v>-49491</v>
                </pt>
                <pt idx="11">
                  <v>-44177</v>
                </pt>
              </numCache>
            </numRef>
          </val>
          <smooth val="0"/>
        </ser>
        <ser>
          <idx val="4"/>
          <order val="4"/>
          <tx>
            <strRef>
              <f>DONNÉES!$W$27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DONNÉES!$R$28:$R$39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DONNÉES!$W$28:$W$39</f>
              <numCache>
                <formatCode>#,##0</formatCode>
                <ptCount val="12"/>
                <pt idx="0">
                  <v>3667</v>
                </pt>
                <pt idx="1">
                  <v>-6285</v>
                </pt>
                <pt idx="2">
                  <v>-2962</v>
                </pt>
                <pt idx="3">
                  <v>-5834</v>
                </pt>
                <pt idx="4">
                  <v>920</v>
                </pt>
                <pt idx="5">
                  <v>12648</v>
                </pt>
                <pt idx="6">
                  <v>47346</v>
                </pt>
                <pt idx="7">
                  <v>87343</v>
                </pt>
                <pt idx="8">
                  <v>87343</v>
                </pt>
                <pt idx="9">
                  <v>91702</v>
                </pt>
                <pt idx="10">
                  <v>86730</v>
                </pt>
                <pt idx="11">
                  <v>90817</v>
                </pt>
              </numCache>
            </numRef>
          </val>
          <smooth val="0"/>
        </ser>
        <ser>
          <idx val="5"/>
          <order val="5"/>
          <tx>
            <strRef>
              <f>DONNÉES!$X$27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DONNÉES!$R$28:$R$39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DONNÉES!$X$28:$X$39</f>
              <numCache>
                <formatCode>#,##0</formatCode>
                <ptCount val="12"/>
                <pt idx="0">
                  <v>849</v>
                </pt>
                <pt idx="1">
                  <v>3758</v>
                </pt>
                <pt idx="2">
                  <v>-33161</v>
                </pt>
                <pt idx="3">
                  <v>-102687</v>
                </pt>
                <pt idx="4">
                  <v>-166200</v>
                </pt>
                <pt idx="5">
                  <v>-175944</v>
                </pt>
                <pt idx="6">
                  <v>-169657</v>
                </pt>
                <pt idx="7">
                  <v>-162584</v>
                </pt>
                <pt idx="8">
                  <v>-173425</v>
                </pt>
                <pt idx="9">
                  <v>-159991</v>
                </pt>
                <pt idx="10">
                  <v>-161284</v>
                </pt>
                <pt idx="11">
                  <v>-119067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560000"/>
          <min val="-2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TIRR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DONNÉES!$AA$27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DONNÉES!$Z$28:$Z$39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DONNÉES!$AA$28:$AA$39</f>
              <numCache>
                <formatCode>#,##0</formatCode>
                <ptCount val="12"/>
                <pt idx="0">
                  <v>-1610</v>
                </pt>
              </numCache>
            </numRef>
          </val>
          <smooth val="1"/>
        </ser>
        <ser>
          <idx val="1"/>
          <order val="1"/>
          <tx>
            <strRef>
              <f>DONNÉES!$AB$27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/>
              </a:solidFill>
              <a:ln xmlns:a="http://schemas.openxmlformats.org/drawingml/2006/main" w="9525" cap="flat" cmpd="sng" algn="ctr">
                <a:solidFill>
                  <a:schemeClr val="accent6"/>
                </a:solidFill>
                <a:prstDash val="solid"/>
                <a:round/>
              </a:ln>
            </spPr>
          </marker>
          <cat>
            <strRef>
              <f>DONNÉES!$Z$28:$Z$39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DONNÉES!$AB$28:$AB$39</f>
              <numCache>
                <formatCode>#,##0</formatCode>
                <ptCount val="12"/>
                <pt idx="0">
                  <v>-15265</v>
                </pt>
                <pt idx="1">
                  <v>-4249.6</v>
                </pt>
                <pt idx="2">
                  <v>20812.85</v>
                </pt>
                <pt idx="3">
                  <v>28222</v>
                </pt>
                <pt idx="4">
                  <v>16936</v>
                </pt>
                <pt idx="5">
                  <v>23815</v>
                </pt>
                <pt idx="6">
                  <v>22244</v>
                </pt>
                <pt idx="7">
                  <v>32615</v>
                </pt>
                <pt idx="8">
                  <v>40019</v>
                </pt>
                <pt idx="9">
                  <v>33695</v>
                </pt>
                <pt idx="10">
                  <v>49586</v>
                </pt>
                <pt idx="11">
                  <v>76861</v>
                </pt>
              </numCache>
            </numRef>
          </val>
          <smooth val="0"/>
        </ser>
        <ser>
          <idx val="2"/>
          <order val="2"/>
          <tx>
            <strRef>
              <f>DONNÉES!$AC$27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5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5"/>
              </a:solidFill>
              <a:ln xmlns:a="http://schemas.openxmlformats.org/drawingml/2006/main" w="9525" cap="flat" cmpd="sng" algn="ctr">
                <a:solidFill>
                  <a:schemeClr val="accent5"/>
                </a:solidFill>
                <a:prstDash val="solid"/>
                <a:round/>
              </a:ln>
            </spPr>
          </marker>
          <cat>
            <strRef>
              <f>DONNÉES!$Z$28:$Z$39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DONNÉES!$AC$28:$AC$39</f>
              <numCache>
                <formatCode>#,##0</formatCode>
                <ptCount val="12"/>
                <pt idx="0">
                  <v>9115</v>
                </pt>
                <pt idx="1">
                  <v>12253</v>
                </pt>
                <pt idx="2">
                  <v>35556</v>
                </pt>
                <pt idx="3">
                  <v>52488</v>
                </pt>
                <pt idx="4">
                  <v>35900</v>
                </pt>
                <pt idx="5">
                  <v>35945</v>
                </pt>
                <pt idx="6">
                  <v>43674</v>
                </pt>
                <pt idx="7">
                  <v>49900.91</v>
                </pt>
                <pt idx="8">
                  <v>66379.35000000001</v>
                </pt>
                <pt idx="9">
                  <v>62970.45</v>
                </pt>
                <pt idx="10">
                  <v>69179.35000000001</v>
                </pt>
                <pt idx="11">
                  <v>58519.77</v>
                </pt>
              </numCache>
            </numRef>
          </val>
          <smooth val="0"/>
        </ser>
        <ser>
          <idx val="3"/>
          <order val="3"/>
          <tx>
            <strRef>
              <f>DONNÉES!$AD$27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/>
              </a:solidFill>
              <a:ln xmlns:a="http://schemas.openxmlformats.org/drawingml/2006/main" w="9525" cap="flat" cmpd="sng" algn="ctr">
                <a:solidFill>
                  <a:schemeClr val="accent4"/>
                </a:solidFill>
                <a:prstDash val="solid"/>
                <a:round/>
              </a:ln>
            </spPr>
          </marker>
          <cat>
            <strRef>
              <f>DONNÉES!$Z$28:$Z$39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DONNÉES!$AD$28:$AD$39</f>
              <numCache>
                <formatCode>#,##0</formatCode>
                <ptCount val="12"/>
                <pt idx="0">
                  <v>23186</v>
                </pt>
                <pt idx="1">
                  <v>43992</v>
                </pt>
                <pt idx="2">
                  <v>70076</v>
                </pt>
                <pt idx="3">
                  <v>87295</v>
                </pt>
                <pt idx="4">
                  <v>109368</v>
                </pt>
                <pt idx="5">
                  <v>116191</v>
                </pt>
                <pt idx="6">
                  <v>147660</v>
                </pt>
                <pt idx="7">
                  <v>150512</v>
                </pt>
                <pt idx="8">
                  <v>161765</v>
                </pt>
                <pt idx="9">
                  <v>113890</v>
                </pt>
                <pt idx="10">
                  <v>136156</v>
                </pt>
                <pt idx="11">
                  <v>140108</v>
                </pt>
              </numCache>
            </numRef>
          </val>
          <smooth val="0"/>
        </ser>
        <ser>
          <idx val="4"/>
          <order val="4"/>
          <tx>
            <strRef>
              <f>DONNÉES!$AE$27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DONNÉES!$Z$28:$Z$39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DONNÉES!$AE$28:$AE$39</f>
              <numCache>
                <formatCode>#,##0</formatCode>
                <ptCount val="12"/>
                <pt idx="0">
                  <v>13549</v>
                </pt>
                <pt idx="1">
                  <v>6924</v>
                </pt>
                <pt idx="2">
                  <v>1160</v>
                </pt>
                <pt idx="3">
                  <v>15532</v>
                </pt>
                <pt idx="4">
                  <v>30881</v>
                </pt>
                <pt idx="5">
                  <v>47117</v>
                </pt>
                <pt idx="6">
                  <v>69791</v>
                </pt>
                <pt idx="7">
                  <v>96059</v>
                </pt>
                <pt idx="8">
                  <v>106981</v>
                </pt>
                <pt idx="9">
                  <v>136967</v>
                </pt>
                <pt idx="10">
                  <v>147636</v>
                </pt>
                <pt idx="11">
                  <v>138503</v>
                </pt>
              </numCache>
            </numRef>
          </val>
          <smooth val="0"/>
        </ser>
        <ser>
          <idx val="5"/>
          <order val="5"/>
          <tx>
            <strRef>
              <f>DONNÉES!$AF$27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DONNÉES!$Z$28:$Z$39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DONNÉES!$AF$28:$AF$39</f>
              <numCache>
                <formatCode>#,##0</formatCode>
                <ptCount val="12"/>
                <pt idx="0">
                  <v>26453</v>
                </pt>
                <pt idx="1">
                  <v>62650</v>
                </pt>
                <pt idx="2">
                  <v>30194</v>
                </pt>
                <pt idx="3">
                  <v>-31797</v>
                </pt>
                <pt idx="4">
                  <v>-56845</v>
                </pt>
                <pt idx="5">
                  <v>-78246</v>
                </pt>
                <pt idx="6">
                  <v>-79979</v>
                </pt>
                <pt idx="7">
                  <v>-78859</v>
                </pt>
                <pt idx="8">
                  <v>-70404</v>
                </pt>
                <pt idx="9">
                  <v>-73162</v>
                </pt>
                <pt idx="10">
                  <v>-81723</v>
                </pt>
                <pt idx="11">
                  <v>-83690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560000"/>
          <min val="-2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VR7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DONNÉES!$AI$27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DONNÉES!$AH$28:$AH$39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DONNÉES!$AI$28:$AI$39</f>
              <numCache>
                <formatCode>#,##0</formatCode>
                <ptCount val="12"/>
              </numCache>
            </numRef>
          </val>
          <smooth val="1"/>
        </ser>
        <ser>
          <idx val="1"/>
          <order val="1"/>
          <tx>
            <strRef>
              <f>DONNÉES!$AJ$27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/>
              </a:solidFill>
              <a:ln xmlns:a="http://schemas.openxmlformats.org/drawingml/2006/main" w="9525" cap="flat" cmpd="sng" algn="ctr">
                <a:solidFill>
                  <a:schemeClr val="accent6"/>
                </a:solidFill>
                <a:prstDash val="solid"/>
                <a:round/>
              </a:ln>
            </spPr>
          </marker>
          <cat>
            <strRef>
              <f>DONNÉES!$AH$28:$AH$39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DONNÉES!$AJ$28:$AJ$39</f>
              <numCache>
                <formatCode>#,##0</formatCode>
                <ptCount val="12"/>
                <pt idx="0">
                  <v>-38</v>
                </pt>
                <pt idx="1">
                  <v>-20851.76</v>
                </pt>
                <pt idx="2">
                  <v>-11859.55</v>
                </pt>
                <pt idx="3">
                  <v>-9521</v>
                </pt>
                <pt idx="4">
                  <v>-6918</v>
                </pt>
                <pt idx="5">
                  <v>56673</v>
                </pt>
                <pt idx="6">
                  <v>70649</v>
                </pt>
                <pt idx="7">
                  <v>92487</v>
                </pt>
                <pt idx="8">
                  <v>97528</v>
                </pt>
                <pt idx="9">
                  <v>106837</v>
                </pt>
                <pt idx="10">
                  <v>120606</v>
                </pt>
                <pt idx="11">
                  <v>169359</v>
                </pt>
              </numCache>
            </numRef>
          </val>
          <smooth val="0"/>
        </ser>
        <ser>
          <idx val="2"/>
          <order val="2"/>
          <tx>
            <strRef>
              <f>DONNÉES!$AK$27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5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5"/>
              </a:solidFill>
              <a:ln xmlns:a="http://schemas.openxmlformats.org/drawingml/2006/main" w="9525" cap="flat" cmpd="sng" algn="ctr">
                <a:solidFill>
                  <a:schemeClr val="accent5"/>
                </a:solidFill>
                <a:prstDash val="solid"/>
                <a:round/>
              </a:ln>
            </spPr>
          </marker>
          <cat>
            <strRef>
              <f>DONNÉES!$AH$28:$AH$39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DONNÉES!$AK$28:$AK$39</f>
              <numCache>
                <formatCode>#,##0</formatCode>
                <ptCount val="12"/>
                <pt idx="0">
                  <v>13490</v>
                </pt>
                <pt idx="1">
                  <v>24592</v>
                </pt>
                <pt idx="2">
                  <v>36263</v>
                </pt>
                <pt idx="3">
                  <v>56392</v>
                </pt>
                <pt idx="4">
                  <v>67329</v>
                </pt>
                <pt idx="5">
                  <v>74431</v>
                </pt>
                <pt idx="6">
                  <v>106958.67</v>
                </pt>
                <pt idx="7">
                  <v>139687.71</v>
                </pt>
                <pt idx="8">
                  <v>163434.69</v>
                </pt>
                <pt idx="9">
                  <v>174856.14</v>
                </pt>
                <pt idx="10">
                  <v>172964.85</v>
                </pt>
                <pt idx="11">
                  <v>166313.05</v>
                </pt>
              </numCache>
            </numRef>
          </val>
          <smooth val="0"/>
        </ser>
        <ser>
          <idx val="3"/>
          <order val="3"/>
          <tx>
            <strRef>
              <f>DONNÉES!$AL$27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/>
              </a:solidFill>
              <a:ln xmlns:a="http://schemas.openxmlformats.org/drawingml/2006/main" w="9525" cap="flat" cmpd="sng" algn="ctr">
                <a:solidFill>
                  <a:schemeClr val="accent4"/>
                </a:solidFill>
                <a:prstDash val="solid"/>
                <a:round/>
              </a:ln>
            </spPr>
          </marker>
          <cat>
            <strRef>
              <f>DONNÉES!$AH$28:$AH$39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DONNÉES!$AL$28:$AL$39</f>
              <numCache>
                <formatCode>#,##0</formatCode>
                <ptCount val="12"/>
                <pt idx="0">
                  <v>56972</v>
                </pt>
                <pt idx="1">
                  <v>93277</v>
                </pt>
                <pt idx="2">
                  <v>131225</v>
                </pt>
                <pt idx="3">
                  <v>162884</v>
                </pt>
                <pt idx="4">
                  <v>185975</v>
                </pt>
                <pt idx="5">
                  <v>212402</v>
                </pt>
                <pt idx="6">
                  <v>247636</v>
                </pt>
                <pt idx="7">
                  <v>270711</v>
                </pt>
                <pt idx="8">
                  <v>278725</v>
                </pt>
                <pt idx="9">
                  <v>284881.429999996</v>
                </pt>
                <pt idx="10">
                  <v>248612</v>
                </pt>
                <pt idx="11">
                  <v>201767</v>
                </pt>
              </numCache>
            </numRef>
          </val>
          <smooth val="0"/>
        </ser>
        <ser>
          <idx val="4"/>
          <order val="4"/>
          <tx>
            <strRef>
              <f>DONNÉES!$AM$27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DONNÉES!$AH$28:$AH$39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DONNÉES!$AM$28:$AM$39</f>
              <numCache>
                <formatCode>#,##0</formatCode>
                <ptCount val="12"/>
                <pt idx="0">
                  <v>10196</v>
                </pt>
                <pt idx="1">
                  <v>6006</v>
                </pt>
                <pt idx="2">
                  <v>15001</v>
                </pt>
                <pt idx="3">
                  <v>35292</v>
                </pt>
                <pt idx="4">
                  <v>74682</v>
                </pt>
                <pt idx="5">
                  <v>104874</v>
                </pt>
                <pt idx="6">
                  <v>158833</v>
                </pt>
                <pt idx="7">
                  <v>223012</v>
                </pt>
                <pt idx="8">
                  <v>252016</v>
                </pt>
                <pt idx="9">
                  <v>290293</v>
                </pt>
                <pt idx="10">
                  <v>304359</v>
                </pt>
                <pt idx="11">
                  <v>307909</v>
                </pt>
              </numCache>
            </numRef>
          </val>
          <smooth val="0"/>
        </ser>
        <ser>
          <idx val="5"/>
          <order val="5"/>
          <tx>
            <strRef>
              <f>DONNÉES!$AN$27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DONNÉES!$AH$28:$AH$39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DONNÉES!$AN$28:$AN$39</f>
              <numCache>
                <formatCode>#,##0</formatCode>
                <ptCount val="12"/>
                <pt idx="0">
                  <v>15987</v>
                </pt>
                <pt idx="1">
                  <v>52183</v>
                </pt>
                <pt idx="2">
                  <v>-50052</v>
                </pt>
                <pt idx="3">
                  <v>-150415</v>
                </pt>
                <pt idx="4">
                  <v>-201052</v>
                </pt>
                <pt idx="5">
                  <v>-195938</v>
                </pt>
                <pt idx="6">
                  <v>-188252</v>
                </pt>
                <pt idx="7">
                  <v>-173959</v>
                </pt>
                <pt idx="8">
                  <v>-171806</v>
                </pt>
                <pt idx="9">
                  <v>-140004</v>
                </pt>
                <pt idx="10">
                  <v>-153994</v>
                </pt>
                <pt idx="11">
                  <v>-136822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560000"/>
          <min val="-2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TURVILLA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DONNÉES!$AQ$27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DONNÉES!$AP$28:$AP$39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DONNÉES!$AQ$28:$AQ$39</f>
              <numCache>
                <formatCode>#,##0</formatCode>
                <ptCount val="12"/>
                <pt idx="0">
                  <v>13000</v>
                </pt>
              </numCache>
            </numRef>
          </val>
          <smooth val="1"/>
        </ser>
        <ser>
          <idx val="1"/>
          <order val="1"/>
          <tx>
            <strRef>
              <f>DONNÉES!$AR$27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/>
              </a:solidFill>
              <a:ln xmlns:a="http://schemas.openxmlformats.org/drawingml/2006/main" w="9525" cap="flat" cmpd="sng" algn="ctr">
                <a:solidFill>
                  <a:schemeClr val="accent6"/>
                </a:solidFill>
                <a:prstDash val="solid"/>
                <a:round/>
              </a:ln>
            </spPr>
          </marker>
          <cat>
            <strRef>
              <f>DONNÉES!$AP$28:$AP$39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DONNÉES!$AR$28:$AR$39</f>
              <numCache>
                <formatCode>#,##0</formatCode>
                <ptCount val="12"/>
                <pt idx="0">
                  <v>7484</v>
                </pt>
                <pt idx="1">
                  <v>24141.98</v>
                </pt>
                <pt idx="2">
                  <v>64414.53</v>
                </pt>
                <pt idx="3">
                  <v>75757</v>
                </pt>
                <pt idx="4">
                  <v>83162</v>
                </pt>
                <pt idx="5">
                  <v>102040</v>
                </pt>
                <pt idx="6">
                  <v>143952</v>
                </pt>
                <pt idx="7">
                  <v>203285</v>
                </pt>
                <pt idx="8">
                  <v>212536</v>
                </pt>
                <pt idx="9">
                  <v>232076</v>
                </pt>
                <pt idx="10">
                  <v>249621</v>
                </pt>
                <pt idx="11">
                  <v>310783</v>
                </pt>
              </numCache>
            </numRef>
          </val>
          <smooth val="0"/>
        </ser>
        <ser>
          <idx val="2"/>
          <order val="2"/>
          <tx>
            <strRef>
              <f>DONNÉES!$AS$27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5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5"/>
              </a:solidFill>
              <a:ln xmlns:a="http://schemas.openxmlformats.org/drawingml/2006/main" w="9525" cap="flat" cmpd="sng" algn="ctr">
                <a:solidFill>
                  <a:schemeClr val="accent5"/>
                </a:solidFill>
                <a:prstDash val="solid"/>
                <a:round/>
              </a:ln>
            </spPr>
          </marker>
          <cat>
            <strRef>
              <f>DONNÉES!$AP$28:$AP$39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DONNÉES!$AS$28:$AS$39</f>
              <numCache>
                <formatCode>#,##0</formatCode>
                <ptCount val="12"/>
                <pt idx="0">
                  <v>31439</v>
                </pt>
                <pt idx="1">
                  <v>57917</v>
                </pt>
                <pt idx="2">
                  <v>81129</v>
                </pt>
                <pt idx="3">
                  <v>148258</v>
                </pt>
                <pt idx="4">
                  <v>162621</v>
                </pt>
                <pt idx="5">
                  <v>194534</v>
                </pt>
                <pt idx="6">
                  <v>267104.42</v>
                </pt>
                <pt idx="7">
                  <v>334431.28</v>
                </pt>
                <pt idx="8">
                  <v>367406.17</v>
                </pt>
                <pt idx="9">
                  <v>366624.33</v>
                </pt>
                <pt idx="10">
                  <v>378461.64</v>
                </pt>
                <pt idx="11">
                  <v>401155.28</v>
                </pt>
              </numCache>
            </numRef>
          </val>
          <smooth val="0"/>
        </ser>
        <ser>
          <idx val="3"/>
          <order val="3"/>
          <tx>
            <strRef>
              <f>DONNÉES!$AT$27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/>
              </a:solidFill>
              <a:ln xmlns:a="http://schemas.openxmlformats.org/drawingml/2006/main" w="9525" cap="flat" cmpd="sng" algn="ctr">
                <a:solidFill>
                  <a:schemeClr val="accent4"/>
                </a:solidFill>
                <a:prstDash val="solid"/>
                <a:round/>
              </a:ln>
            </spPr>
          </marker>
          <cat>
            <strRef>
              <f>DONNÉES!$AP$28:$AP$39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DONNÉES!$AT$28:$AT$39</f>
              <numCache>
                <formatCode>#,##0</formatCode>
                <ptCount val="12"/>
                <pt idx="0">
                  <v>33738</v>
                </pt>
                <pt idx="1">
                  <v>67773</v>
                </pt>
                <pt idx="2">
                  <v>90907</v>
                </pt>
                <pt idx="3">
                  <v>121039</v>
                </pt>
                <pt idx="4">
                  <v>132293</v>
                </pt>
                <pt idx="5">
                  <v>166465</v>
                </pt>
                <pt idx="6">
                  <v>203760</v>
                </pt>
                <pt idx="7">
                  <v>263393</v>
                </pt>
                <pt idx="8">
                  <v>269112</v>
                </pt>
                <pt idx="9">
                  <v>320699</v>
                </pt>
                <pt idx="10">
                  <v>338381</v>
                </pt>
                <pt idx="11">
                  <v>372357</v>
                </pt>
              </numCache>
            </numRef>
          </val>
          <smooth val="0"/>
        </ser>
        <ser>
          <idx val="4"/>
          <order val="4"/>
          <tx>
            <strRef>
              <f>DONNÉES!$AU$27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DONNÉES!$AP$28:$AP$39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DONNÉES!$AU$28:$AU$39</f>
              <numCache>
                <formatCode>#,##0</formatCode>
                <ptCount val="12"/>
                <pt idx="0">
                  <v>-32996</v>
                </pt>
                <pt idx="1">
                  <v>-33064</v>
                </pt>
                <pt idx="2">
                  <v>-54313</v>
                </pt>
                <pt idx="3">
                  <v>-82734</v>
                </pt>
                <pt idx="4">
                  <v>-32940</v>
                </pt>
                <pt idx="5">
                  <v>-78512</v>
                </pt>
                <pt idx="6">
                  <v>-73340</v>
                </pt>
                <pt idx="7">
                  <v>-58625</v>
                </pt>
                <pt idx="8">
                  <v>43385</v>
                </pt>
                <pt idx="9">
                  <v>43288</v>
                </pt>
                <pt idx="10">
                  <v>-16030</v>
                </pt>
                <pt idx="11">
                  <v>506334</v>
                </pt>
              </numCache>
            </numRef>
          </val>
          <smooth val="0"/>
        </ser>
        <ser>
          <idx val="5"/>
          <order val="5"/>
          <tx>
            <strRef>
              <f>DONNÉES!$AV$27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DONNÉES!$AP$28:$AP$39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DONNÉES!$AV$28:$AV$39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560000"/>
          <min val="-2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HART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DONNÉES!$AY$27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DONNÉES!$AX$28:$AX$39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DONNÉES!$AY$28:$AY$39</f>
              <numCache>
                <formatCode>#,##0</formatCode>
                <ptCount val="12"/>
              </numCache>
            </numRef>
          </val>
          <smooth val="1"/>
        </ser>
        <ser>
          <idx val="1"/>
          <order val="1"/>
          <tx>
            <strRef>
              <f>DONNÉES!$AZ$27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DONNÉES!$AX$28:$AX$39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DONNÉES!$AZ$28:$AZ$39</f>
              <numCache>
                <formatCode>#,##0</formatCode>
                <ptCount val="12"/>
                <pt idx="0">
                  <v>-2717</v>
                </pt>
                <pt idx="1">
                  <v>-12637.72</v>
                </pt>
                <pt idx="2">
                  <v>-854.21</v>
                </pt>
                <pt idx="3">
                  <v>-2766</v>
                </pt>
                <pt idx="4">
                  <v>-490</v>
                </pt>
                <pt idx="5">
                  <v>12351</v>
                </pt>
                <pt idx="6">
                  <v>25933</v>
                </pt>
                <pt idx="7">
                  <v>50052</v>
                </pt>
                <pt idx="8">
                  <v>43425</v>
                </pt>
                <pt idx="9">
                  <v>35240</v>
                </pt>
                <pt idx="10">
                  <v>25681</v>
                </pt>
                <pt idx="11">
                  <v>44361</v>
                </pt>
              </numCache>
            </numRef>
          </val>
          <smooth val="1"/>
        </ser>
        <ser>
          <idx val="2"/>
          <order val="2"/>
          <tx>
            <strRef>
              <f>DONNÉES!$BA$27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DONNÉES!$AX$28:$AX$39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DONNÉES!$BA$28:$BA$39</f>
              <numCache>
                <formatCode>#,##0</formatCode>
                <ptCount val="12"/>
                <pt idx="0">
                  <v>-1603</v>
                </pt>
                <pt idx="1">
                  <v>-872</v>
                </pt>
                <pt idx="2">
                  <v>11965</v>
                </pt>
                <pt idx="3">
                  <v>23600</v>
                </pt>
                <pt idx="4">
                  <v>18899</v>
                </pt>
                <pt idx="5">
                  <v>41506</v>
                </pt>
                <pt idx="6">
                  <v>64254.12</v>
                </pt>
                <pt idx="7">
                  <v>86537.33</v>
                </pt>
                <pt idx="8">
                  <v>97896.77</v>
                </pt>
                <pt idx="9">
                  <v>83129.73</v>
                </pt>
                <pt idx="10">
                  <v>78234.13</v>
                </pt>
                <pt idx="11">
                  <v>79669.22</v>
                </pt>
              </numCache>
            </numRef>
          </val>
          <smooth val="1"/>
        </ser>
        <ser>
          <idx val="3"/>
          <order val="3"/>
          <tx>
            <strRef>
              <f>DONNÉES!$BB$27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DONNÉES!$AX$28:$AX$39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DONNÉES!$BB$28:$BB$39</f>
              <numCache>
                <formatCode>#,##0</formatCode>
                <ptCount val="12"/>
                <pt idx="0">
                  <v>3547</v>
                </pt>
                <pt idx="1">
                  <v>-2880</v>
                </pt>
                <pt idx="2">
                  <v>-1880</v>
                </pt>
                <pt idx="3">
                  <v>23398</v>
                </pt>
                <pt idx="4">
                  <v>34500</v>
                </pt>
                <pt idx="5">
                  <v>75550</v>
                </pt>
                <pt idx="6">
                  <v>114881</v>
                </pt>
                <pt idx="7">
                  <v>149783</v>
                </pt>
                <pt idx="8">
                  <v>156666</v>
                </pt>
                <pt idx="9">
                  <v>284859</v>
                </pt>
                <pt idx="10">
                  <v>147524</v>
                </pt>
                <pt idx="11">
                  <v>134171</v>
                </pt>
              </numCache>
            </numRef>
          </val>
          <smooth val="1"/>
        </ser>
        <ser>
          <idx val="4"/>
          <order val="4"/>
          <tx>
            <strRef>
              <f>DONNÉES!$BC$27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DONNÉES!$AX$28:$AX$39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DONNÉES!$BC$28:$BC$39</f>
              <numCache>
                <formatCode>#,##0</formatCode>
                <ptCount val="12"/>
                <pt idx="7">
                  <v>20500</v>
                </pt>
                <pt idx="8">
                  <v>38433</v>
                </pt>
                <pt idx="9">
                  <v>-90056</v>
                </pt>
                <pt idx="10">
                  <v>-106330</v>
                </pt>
                <pt idx="11">
                  <v>10714</v>
                </pt>
              </numCache>
            </numRef>
          </val>
          <smooth val="1"/>
        </ser>
        <ser>
          <idx val="5"/>
          <order val="5"/>
          <tx>
            <strRef>
              <f>DONNÉES!$BD$27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DONNÉES!$AX$28:$AX$39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DONNÉES!$BD$28:$BD$39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560000"/>
          <min val="-2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VICTOIRE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DONNÉES!$BG$27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DONNÉES!$BF$28:$BF$39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DONNÉES!$BG$28:$BG$39</f>
              <numCache>
                <formatCode>#,##0</formatCode>
                <ptCount val="12"/>
                <pt idx="0">
                  <v>-1084.6</v>
                </pt>
              </numCache>
            </numRef>
          </val>
          <smooth val="1"/>
        </ser>
        <ser>
          <idx val="1"/>
          <order val="1"/>
          <tx>
            <strRef>
              <f>DONNÉES!$BH$27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DONNÉES!$BF$28:$BF$39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DONNÉES!$BH$28:$BH$39</f>
              <numCache>
                <formatCode>#,##0</formatCode>
                <ptCount val="12"/>
                <pt idx="0">
                  <v>5046</v>
                </pt>
                <pt idx="1">
                  <v>14336.28</v>
                </pt>
                <pt idx="2">
                  <v>35717.69</v>
                </pt>
                <pt idx="3">
                  <v>51051</v>
                </pt>
                <pt idx="4">
                  <v>64672</v>
                </pt>
                <pt idx="5">
                  <v>66253</v>
                </pt>
                <pt idx="6">
                  <v>105242.26</v>
                </pt>
                <pt idx="7">
                  <v>179305.5</v>
                </pt>
                <pt idx="8">
                  <v>176932.87</v>
                </pt>
                <pt idx="9">
                  <v>180720.14</v>
                </pt>
                <pt idx="10">
                  <v>178862.32</v>
                </pt>
                <pt idx="11">
                  <v>171758.59</v>
                </pt>
              </numCache>
            </numRef>
          </val>
          <smooth val="1"/>
        </ser>
        <ser>
          <idx val="2"/>
          <order val="2"/>
          <tx>
            <strRef>
              <f>DONNÉES!$BI$27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DONNÉES!$BF$28:$BF$39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DONNÉES!$BI$28:$BI$39</f>
              <numCache>
                <formatCode>#,##0</formatCode>
                <ptCount val="12"/>
                <pt idx="0">
                  <v>8987</v>
                </pt>
                <pt idx="1">
                  <v>20096</v>
                </pt>
                <pt idx="2">
                  <v>54069</v>
                </pt>
                <pt idx="3">
                  <v>115474</v>
                </pt>
                <pt idx="4">
                  <v>150923</v>
                </pt>
                <pt idx="5">
                  <v>169163</v>
                </pt>
                <pt idx="6">
                  <v>236310.78</v>
                </pt>
                <pt idx="7">
                  <v>294529.54</v>
                </pt>
                <pt idx="8">
                  <v>313464.53</v>
                </pt>
                <pt idx="9">
                  <v>338557.86</v>
                </pt>
                <pt idx="10">
                  <v>341640.67</v>
                </pt>
                <pt idx="11">
                  <v>339063.98</v>
                </pt>
              </numCache>
            </numRef>
          </val>
          <smooth val="1"/>
        </ser>
        <ser>
          <idx val="3"/>
          <order val="3"/>
          <tx>
            <strRef>
              <f>DONNÉES!$BJ$27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DONNÉES!$BF$28:$BF$39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DONNÉES!$BJ$28:$BJ$39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DONNÉES!$BK$27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DONNÉES!$BF$28:$BF$39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DONNÉES!$BK$28:$BK$39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DONNÉES!$BL$27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DONNÉES!$BF$28:$BF$39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DONNÉES!$BL$28:$BL$39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560000"/>
          <min val="-2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TH4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DONNÉES!$BO$27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DONNÉES!$BN$28:$BN$39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DONNÉES!$BO$28:$BO$39</f>
              <numCache>
                <formatCode>#,##0</formatCode>
                <ptCount val="12"/>
                <pt idx="0">
                  <v>9729</v>
                </pt>
              </numCache>
            </numRef>
          </val>
          <smooth val="1"/>
        </ser>
        <ser>
          <idx val="1"/>
          <order val="1"/>
          <tx>
            <strRef>
              <f>DONNÉES!$BP$27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DONNÉES!$BN$28:$BN$39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DONNÉES!$BP$28:$BP$39</f>
              <numCache>
                <formatCode>#,##0</formatCode>
                <ptCount val="12"/>
                <pt idx="0">
                  <v>15004</v>
                </pt>
                <pt idx="1">
                  <v>27892.93</v>
                </pt>
                <pt idx="2">
                  <v>56948.45</v>
                </pt>
                <pt idx="3">
                  <v>71783</v>
                </pt>
                <pt idx="4">
                  <v>89328</v>
                </pt>
                <pt idx="5">
                  <v>118466</v>
                </pt>
                <pt idx="6">
                  <v>156824</v>
                </pt>
                <pt idx="7">
                  <v>196184</v>
                </pt>
                <pt idx="8">
                  <v>209271</v>
                </pt>
                <pt idx="9">
                  <v>229681</v>
                </pt>
                <pt idx="10">
                  <v>243426</v>
                </pt>
                <pt idx="11">
                  <v>275037</v>
                </pt>
              </numCache>
            </numRef>
          </val>
          <smooth val="1"/>
        </ser>
        <ser>
          <idx val="2"/>
          <order val="2"/>
          <tx>
            <strRef>
              <f>DONNÉES!$BQ$27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DONNÉES!$BN$28:$BN$39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DONNÉES!$BQ$28:$BQ$39</f>
              <numCache>
                <formatCode>#,##0</formatCode>
                <ptCount val="12"/>
                <pt idx="0">
                  <v>3769</v>
                </pt>
                <pt idx="1">
                  <v>29239</v>
                </pt>
                <pt idx="2">
                  <v>51165</v>
                </pt>
                <pt idx="3">
                  <v>90675</v>
                </pt>
                <pt idx="4">
                  <v>92475</v>
                </pt>
                <pt idx="5">
                  <v>106011</v>
                </pt>
                <pt idx="6">
                  <v>123325.71</v>
                </pt>
                <pt idx="7">
                  <v>155080.99</v>
                </pt>
                <pt idx="8">
                  <v>182926.06</v>
                </pt>
                <pt idx="9">
                  <v>197930.9</v>
                </pt>
                <pt idx="10">
                  <v>215561.93</v>
                </pt>
                <pt idx="11">
                  <v>218380.07</v>
                </pt>
              </numCache>
            </numRef>
          </val>
          <smooth val="1"/>
        </ser>
        <ser>
          <idx val="3"/>
          <order val="3"/>
          <tx>
            <strRef>
              <f>DONNÉES!$BR$27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DONNÉES!$BN$28:$BN$39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DONNÉES!$BR$28:$BR$39</f>
              <numCache>
                <formatCode>#,##0</formatCode>
                <ptCount val="12"/>
                <pt idx="0">
                  <v>28006</v>
                </pt>
                <pt idx="1">
                  <v>67319</v>
                </pt>
                <pt idx="2">
                  <v>105342</v>
                </pt>
                <pt idx="3">
                  <v>127976</v>
                </pt>
                <pt idx="4">
                  <v>166692</v>
                </pt>
                <pt idx="5">
                  <v>194750</v>
                </pt>
                <pt idx="6">
                  <v>199124</v>
                </pt>
                <pt idx="7">
                  <v>215310</v>
                </pt>
                <pt idx="8">
                  <v>207760</v>
                </pt>
                <pt idx="9">
                  <v>210122</v>
                </pt>
                <pt idx="10">
                  <v>175028</v>
                </pt>
                <pt idx="11">
                  <v>188726</v>
                </pt>
              </numCache>
            </numRef>
          </val>
          <smooth val="1"/>
        </ser>
        <ser>
          <idx val="4"/>
          <order val="4"/>
          <tx>
            <strRef>
              <f>DONNÉES!$BS$27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DONNÉES!$BN$28:$BN$39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DONNÉES!$BS$28:$BS$39</f>
              <numCache>
                <formatCode>#,##0</formatCode>
                <ptCount val="12"/>
                <pt idx="0">
                  <v>5213</v>
                </pt>
                <pt idx="1">
                  <v>6030</v>
                </pt>
                <pt idx="2">
                  <v>14070</v>
                </pt>
                <pt idx="3">
                  <v>39419</v>
                </pt>
                <pt idx="4">
                  <v>76865</v>
                </pt>
                <pt idx="5">
                  <v>128627</v>
                </pt>
                <pt idx="6">
                  <v>191379</v>
                </pt>
                <pt idx="7">
                  <v>210771</v>
                </pt>
                <pt idx="8">
                  <v>249704</v>
                </pt>
                <pt idx="9">
                  <v>296128</v>
                </pt>
                <pt idx="10">
                  <v>314906</v>
                </pt>
                <pt idx="11">
                  <v>333949</v>
                </pt>
              </numCache>
            </numRef>
          </val>
          <smooth val="1"/>
        </ser>
        <ser>
          <idx val="5"/>
          <order val="5"/>
          <tx>
            <strRef>
              <f>DONNÉES!$BT$27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DONNÉES!$BN$28:$BN$39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DONNÉES!$BT$28:$BT$39</f>
              <numCache>
                <formatCode>#,##0</formatCode>
                <ptCount val="12"/>
                <pt idx="0">
                  <v>39095</v>
                </pt>
                <pt idx="1">
                  <v>76806</v>
                </pt>
                <pt idx="2">
                  <v>46393</v>
                </pt>
                <pt idx="3">
                  <v>76200</v>
                </pt>
                <pt idx="4">
                  <v>-44421</v>
                </pt>
                <pt idx="5">
                  <v>-18339</v>
                </pt>
                <pt idx="6">
                  <v>12687</v>
                </pt>
                <pt idx="7">
                  <v>79899</v>
                </pt>
                <pt idx="8">
                  <v>101566</v>
                </pt>
                <pt idx="9">
                  <v>129151</v>
                </pt>
                <pt idx="10">
                  <v>103372</v>
                </pt>
                <pt idx="11">
                  <v>101525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560000"/>
          <min val="-2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TL DIVES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DONNÉES!$BW$27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DONNÉES!$BV$28:$BV$39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DONNÉES!$BW$28:$BW$39</f>
              <numCache>
                <formatCode>#,##0</formatCode>
                <ptCount val="12"/>
                <pt idx="0">
                  <v>-4936</v>
                </pt>
              </numCache>
            </numRef>
          </val>
          <smooth val="1"/>
        </ser>
        <ser>
          <idx val="1"/>
          <order val="1"/>
          <tx>
            <strRef>
              <f>DONNÉES!$BX$27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DONNÉES!$BV$28:$BV$39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DONNÉES!$BX$28:$BX$39</f>
              <numCache>
                <formatCode>#,##0</formatCode>
                <ptCount val="12"/>
                <pt idx="0">
                  <v>-16140</v>
                </pt>
                <pt idx="1">
                  <v>-28326.61</v>
                </pt>
                <pt idx="2">
                  <v>-29161.93</v>
                </pt>
                <pt idx="3">
                  <v>-36236</v>
                </pt>
                <pt idx="4">
                  <v>-45197</v>
                </pt>
                <pt idx="5">
                  <v>-38040</v>
                </pt>
                <pt idx="6">
                  <v>-2911</v>
                </pt>
                <pt idx="7">
                  <v>81869</v>
                </pt>
                <pt idx="8">
                  <v>87926</v>
                </pt>
                <pt idx="9">
                  <v>93894</v>
                </pt>
                <pt idx="10">
                  <v>94831</v>
                </pt>
                <pt idx="11">
                  <v>108767</v>
                </pt>
              </numCache>
            </numRef>
          </val>
          <smooth val="1"/>
        </ser>
        <ser>
          <idx val="2"/>
          <order val="2"/>
          <tx>
            <strRef>
              <f>DONNÉES!$BY$27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DONNÉES!$BV$28:$BV$39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DONNÉES!$BY$28:$BY$39</f>
              <numCache>
                <formatCode>#,##0</formatCode>
                <ptCount val="12"/>
                <pt idx="0">
                  <v>-5675</v>
                </pt>
                <pt idx="1">
                  <v>-1194</v>
                </pt>
                <pt idx="2">
                  <v>380</v>
                </pt>
                <pt idx="3">
                  <v>9682</v>
                </pt>
                <pt idx="4">
                  <v>9766</v>
                </pt>
                <pt idx="5">
                  <v>1725</v>
                </pt>
                <pt idx="6">
                  <v>56698.61</v>
                </pt>
                <pt idx="7">
                  <v>132197.87</v>
                </pt>
                <pt idx="8">
                  <v>144509.94</v>
                </pt>
                <pt idx="9">
                  <v>154975.06</v>
                </pt>
                <pt idx="10">
                  <v>129198.61</v>
                </pt>
                <pt idx="11">
                  <v>100583.59</v>
                </pt>
              </numCache>
            </numRef>
          </val>
          <smooth val="1"/>
        </ser>
        <ser>
          <idx val="3"/>
          <order val="3"/>
          <tx>
            <strRef>
              <f>DONNÉES!$BZ$27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DONNÉES!$BV$28:$BV$39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DONNÉES!$BZ$28:$BZ$39</f>
              <numCache>
                <formatCode>#,##0</formatCode>
                <ptCount val="12"/>
                <pt idx="0">
                  <v>17435</v>
                </pt>
                <pt idx="1">
                  <v>60054</v>
                </pt>
                <pt idx="2">
                  <v>65954</v>
                </pt>
                <pt idx="3">
                  <v>102439</v>
                </pt>
                <pt idx="4">
                  <v>125878</v>
                </pt>
                <pt idx="5">
                  <v>138835</v>
                </pt>
                <pt idx="6">
                  <v>209730</v>
                </pt>
                <pt idx="7">
                  <v>300452</v>
                </pt>
                <pt idx="8">
                  <v>278362</v>
                </pt>
                <pt idx="9">
                  <v>321265</v>
                </pt>
                <pt idx="10">
                  <v>289854</v>
                </pt>
                <pt idx="11">
                  <v>281357</v>
                </pt>
              </numCache>
            </numRef>
          </val>
          <smooth val="1"/>
        </ser>
        <ser>
          <idx val="4"/>
          <order val="4"/>
          <tx>
            <strRef>
              <f>DONNÉES!$CA$27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DONNÉES!$BV$28:$BV$39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DONNÉES!$CA$28:$CA$39</f>
              <numCache>
                <formatCode>#,##0</formatCode>
                <ptCount val="12"/>
                <pt idx="0">
                  <v>4308</v>
                </pt>
                <pt idx="1">
                  <v>14380</v>
                </pt>
                <pt idx="2">
                  <v>16383</v>
                </pt>
                <pt idx="3">
                  <v>19311</v>
                </pt>
                <pt idx="4">
                  <v>54139</v>
                </pt>
                <pt idx="5">
                  <v>77928</v>
                </pt>
                <pt idx="6">
                  <v>138821</v>
                </pt>
                <pt idx="7">
                  <v>241247</v>
                </pt>
                <pt idx="8">
                  <v>239275</v>
                </pt>
                <pt idx="9">
                  <v>288550</v>
                </pt>
                <pt idx="10">
                  <v>280413</v>
                </pt>
                <pt idx="11">
                  <v>325111</v>
                </pt>
              </numCache>
            </numRef>
          </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360000"/>
          <min val="-1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R3 14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25505842943226"/>
          <h val="0.8193070715019352"/>
        </manualLayout>
      </layout>
      <lineChart>
        <grouping val="standard"/>
        <varyColors val="0"/>
        <ser>
          <idx val="0"/>
          <order val="0"/>
          <tx>
            <strRef>
              <f>DONNÉES!$CE$27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DONNÉES!$CD$28:$CD$39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DONNÉES!$CE$28:$CE$39</f>
              <numCache>
                <formatCode>#,##0</formatCode>
                <ptCount val="12"/>
                <pt idx="0">
                  <v>-16856</v>
                </pt>
              </numCache>
            </numRef>
          </val>
          <smooth val="1"/>
        </ser>
        <ser>
          <idx val="1"/>
          <order val="1"/>
          <tx>
            <strRef>
              <f>DONNÉES!$CF$27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DONNÉES!$CD$28:$CD$39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DONNÉES!$CF$28:$CF$39</f>
              <numCache>
                <formatCode>#,##0</formatCode>
                <ptCount val="12"/>
                <pt idx="0">
                  <v>-3688</v>
                </pt>
                <pt idx="1">
                  <v>-12920</v>
                </pt>
                <pt idx="2">
                  <v>-20431.96</v>
                </pt>
                <pt idx="3">
                  <v>-27719</v>
                </pt>
                <pt idx="4">
                  <v>2230</v>
                </pt>
                <pt idx="5">
                  <v>40868</v>
                </pt>
                <pt idx="6">
                  <v>79462</v>
                </pt>
                <pt idx="7">
                  <v>188098</v>
                </pt>
                <pt idx="8">
                  <v>182867</v>
                </pt>
                <pt idx="9">
                  <v>192847</v>
                </pt>
                <pt idx="10">
                  <v>188324</v>
                </pt>
                <pt idx="11">
                  <v>195828</v>
                </pt>
              </numCache>
            </numRef>
          </val>
          <smooth val="1"/>
        </ser>
        <ser>
          <idx val="2"/>
          <order val="2"/>
          <tx>
            <strRef>
              <f>DONNÉES!$CG$27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DONNÉES!$CD$28:$CD$39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DONNÉES!$CG$28:$CG$39</f>
              <numCache>
                <formatCode>#,##0</formatCode>
                <ptCount val="12"/>
                <pt idx="0">
                  <v>-10768</v>
                </pt>
                <pt idx="1">
                  <v>-5685</v>
                </pt>
                <pt idx="2">
                  <v>-6011</v>
                </pt>
                <pt idx="3">
                  <v>51016</v>
                </pt>
                <pt idx="4">
                  <v>138471</v>
                </pt>
                <pt idx="5">
                  <v>166170</v>
                </pt>
                <pt idx="6">
                  <v>227161.75</v>
                </pt>
                <pt idx="7">
                  <v>355279.44</v>
                </pt>
                <pt idx="8">
                  <v>386994.05</v>
                </pt>
                <pt idx="9">
                  <v>399712.07</v>
                </pt>
                <pt idx="10">
                  <v>403259.9</v>
                </pt>
                <pt idx="11">
                  <v>389819.71</v>
                </pt>
              </numCache>
            </numRef>
          </val>
          <smooth val="1"/>
        </ser>
        <ser>
          <idx val="3"/>
          <order val="3"/>
          <tx>
            <strRef>
              <f>DONNÉES!$CH$27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DONNÉES!$CD$28:$CD$39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DONNÉES!$CH$28:$CH$39</f>
              <numCache>
                <formatCode>#,##0</formatCode>
                <ptCount val="12"/>
                <pt idx="0">
                  <v>5114</v>
                </pt>
                <pt idx="1">
                  <v>18473</v>
                </pt>
                <pt idx="2">
                  <v>15900</v>
                </pt>
                <pt idx="3">
                  <v>20541</v>
                </pt>
                <pt idx="4">
                  <v>47833</v>
                </pt>
                <pt idx="5">
                  <v>77847</v>
                </pt>
                <pt idx="6">
                  <v>163947</v>
                </pt>
                <pt idx="7">
                  <v>295333</v>
                </pt>
                <pt idx="8">
                  <v>274025</v>
                </pt>
                <pt idx="9">
                  <v>282827</v>
                </pt>
                <pt idx="10">
                  <v>286127</v>
                </pt>
                <pt idx="11">
                  <v>236893</v>
                </pt>
              </numCache>
            </numRef>
          </val>
          <smooth val="1"/>
        </ser>
        <ser>
          <idx val="4"/>
          <order val="4"/>
          <tx>
            <strRef>
              <f>DONNÉES!$CI$27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DONNÉES!$CD$28:$CD$39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DONNÉES!$CI$28:$CI$39</f>
              <numCache>
                <formatCode>#,##0</formatCode>
                <ptCount val="12"/>
                <pt idx="0">
                  <v>-33182</v>
                </pt>
                <pt idx="1">
                  <v>-36557</v>
                </pt>
                <pt idx="2">
                  <v>-26973</v>
                </pt>
                <pt idx="3">
                  <v>-27941</v>
                </pt>
                <pt idx="4">
                  <v>15241</v>
                </pt>
                <pt idx="5">
                  <v>32939</v>
                </pt>
                <pt idx="6">
                  <v>80654</v>
                </pt>
                <pt idx="7">
                  <v>194951</v>
                </pt>
                <pt idx="8">
                  <v>184247</v>
                </pt>
                <pt idx="9">
                  <v>177273</v>
                </pt>
                <pt idx="10">
                  <v>129798</v>
                </pt>
                <pt idx="11">
                  <v>102377</v>
                </pt>
              </numCache>
            </numRef>
          </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in val="-16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LYSE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DONNÉES!$CM$27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DONNÉES!$CL$28:$CL$39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DONNÉES!$CM$28:$CM$39</f>
              <numCache>
                <formatCode>#,##0</formatCode>
                <ptCount val="12"/>
                <pt idx="0">
                  <v>8362</v>
                </pt>
              </numCache>
            </numRef>
          </val>
          <smooth val="1"/>
        </ser>
        <ser>
          <idx val="1"/>
          <order val="1"/>
          <tx>
            <strRef>
              <f>DONNÉES!$CN$27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DONNÉES!$CL$28:$CL$39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DONNÉES!$CN$28:$CN$39</f>
              <numCache>
                <formatCode>#,##0</formatCode>
                <ptCount val="12"/>
                <pt idx="0">
                  <v>-24555</v>
                </pt>
                <pt idx="1">
                  <v>-48335.86</v>
                </pt>
                <pt idx="2">
                  <v>-13178.22</v>
                </pt>
                <pt idx="3">
                  <v>389</v>
                </pt>
                <pt idx="4">
                  <v>12513</v>
                </pt>
                <pt idx="5">
                  <v>4783</v>
                </pt>
                <pt idx="6">
                  <v>28550</v>
                </pt>
                <pt idx="7">
                  <v>94983</v>
                </pt>
                <pt idx="8">
                  <v>116516</v>
                </pt>
                <pt idx="9">
                  <v>142303</v>
                </pt>
                <pt idx="10">
                  <v>169731</v>
                </pt>
                <pt idx="11">
                  <v>187848</v>
                </pt>
              </numCache>
            </numRef>
          </val>
          <smooth val="1"/>
        </ser>
        <ser>
          <idx val="2"/>
          <order val="2"/>
          <tx>
            <strRef>
              <f>DONNÉES!$CO$27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DONNÉES!$CL$28:$CL$39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DONNÉES!$CO$28:$CO$39</f>
              <numCache>
                <formatCode>#,##0</formatCode>
                <ptCount val="12"/>
                <pt idx="0">
                  <v>42952</v>
                </pt>
                <pt idx="1">
                  <v>80216</v>
                </pt>
                <pt idx="2">
                  <v>129726</v>
                </pt>
                <pt idx="3">
                  <v>207638</v>
                </pt>
                <pt idx="4">
                  <v>261488</v>
                </pt>
                <pt idx="5">
                  <v>306418</v>
                </pt>
                <pt idx="6">
                  <v>401217.14</v>
                </pt>
                <pt idx="7">
                  <v>508262.49</v>
                </pt>
                <pt idx="8">
                  <v>573628.15</v>
                </pt>
                <pt idx="9">
                  <v>624428.1800000001</v>
                </pt>
                <pt idx="10">
                  <v>674471.85</v>
                </pt>
                <pt idx="11">
                  <v>659283.08</v>
                </pt>
              </numCache>
            </numRef>
          </val>
          <smooth val="1"/>
        </ser>
        <ser>
          <idx val="3"/>
          <order val="3"/>
          <tx>
            <strRef>
              <f>DONNÉES!$CP$27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DONNÉES!$CL$28:$CL$39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DONNÉES!$CP$28:$CP$39</f>
              <numCache>
                <formatCode>#,##0</formatCode>
                <ptCount val="12"/>
                <pt idx="0">
                  <v>73888</v>
                </pt>
                <pt idx="1">
                  <v>137805</v>
                </pt>
                <pt idx="2">
                  <v>197479</v>
                </pt>
                <pt idx="3">
                  <v>276237</v>
                </pt>
                <pt idx="4">
                  <v>338962</v>
                </pt>
                <pt idx="5">
                  <v>405877</v>
                </pt>
                <pt idx="6">
                  <v>509577</v>
                </pt>
                <pt idx="7">
                  <v>606341</v>
                </pt>
                <pt idx="8">
                  <v>748964</v>
                </pt>
                <pt idx="9">
                  <v>733684.5</v>
                </pt>
                <pt idx="10">
                  <v>746553</v>
                </pt>
                <pt idx="11">
                  <v>654685</v>
                </pt>
              </numCache>
            </numRef>
          </val>
          <smooth val="1"/>
        </ser>
        <ser>
          <idx val="4"/>
          <order val="4"/>
          <tx>
            <strRef>
              <f>DONNÉES!$CQ$27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DONNÉES!$CL$28:$CL$39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DONNÉES!$CQ$28:$CQ$39</f>
              <numCache>
                <formatCode>#,##0</formatCode>
                <ptCount val="12"/>
                <pt idx="0">
                  <v>26914</v>
                </pt>
                <pt idx="1">
                  <v>36691</v>
                </pt>
                <pt idx="2">
                  <v>60905</v>
                </pt>
                <pt idx="3">
                  <v>83608</v>
                </pt>
                <pt idx="4">
                  <v>125462</v>
                </pt>
                <pt idx="5">
                  <v>187618</v>
                </pt>
                <pt idx="6">
                  <v>330323</v>
                </pt>
                <pt idx="7">
                  <v>421130</v>
                </pt>
                <pt idx="8">
                  <v>483185</v>
                </pt>
                <pt idx="9">
                  <v>550884</v>
                </pt>
                <pt idx="10">
                  <v>602841</v>
                </pt>
                <pt idx="11">
                  <v>651866</v>
                </pt>
              </numCache>
            </numRef>
          </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840000"/>
          <min val="-8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ARTHUR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DONNÉES!$CU$27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DONNÉES!$CT$28:$CT$39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DONNÉES!$CU$28:$CU$39</f>
              <numCache>
                <formatCode>#,##0</formatCode>
                <ptCount val="12"/>
                <pt idx="0">
                  <v>17703.31</v>
                </pt>
              </numCache>
            </numRef>
          </val>
          <smooth val="1"/>
        </ser>
        <ser>
          <idx val="1"/>
          <order val="1"/>
          <tx>
            <strRef>
              <f>DONNÉES!$CV$27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DONNÉES!$CT$28:$CT$39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DONNÉES!$CV$28:$CV$39</f>
              <numCache>
                <formatCode>#,##0</formatCode>
                <ptCount val="12"/>
                <pt idx="0">
                  <v>-2689</v>
                </pt>
                <pt idx="1">
                  <v>11894.4</v>
                </pt>
                <pt idx="2">
                  <v>28737.48</v>
                </pt>
                <pt idx="3">
                  <v>64889.31</v>
                </pt>
                <pt idx="4">
                  <v>80082.03999999999</v>
                </pt>
                <pt idx="5">
                  <v>94472.61</v>
                </pt>
                <pt idx="6">
                  <v>128809.27</v>
                </pt>
                <pt idx="7">
                  <v>179244.97</v>
                </pt>
                <pt idx="8">
                  <v>189081.89</v>
                </pt>
                <pt idx="9">
                  <v>216123.91</v>
                </pt>
                <pt idx="10">
                  <v>242875.69</v>
                </pt>
                <pt idx="11">
                  <v>255016.2100000001</v>
                </pt>
              </numCache>
            </numRef>
          </val>
          <smooth val="1"/>
        </ser>
        <ser>
          <idx val="2"/>
          <order val="2"/>
          <tx>
            <strRef>
              <f>DONNÉES!$CW$27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DONNÉES!$CT$28:$CT$39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DONNÉES!$CW$28:$CW$39</f>
              <numCache>
                <formatCode>#,##0</formatCode>
                <ptCount val="12"/>
              </numCache>
            </numRef>
          </val>
          <smooth val="1"/>
        </ser>
        <ser>
          <idx val="3"/>
          <order val="3"/>
          <tx>
            <strRef>
              <f>DONNÉES!$CX$27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DONNÉES!$CT$28:$CT$39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DONNÉES!$CX$28:$CX$39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DONNÉES!$CY$27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DONNÉES!$CT$28:$CT$39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DONNÉES!$CY$28:$CY$39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DONNÉES!$CZ$27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DONNÉES!$CT$28:$CT$39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DONNÉES!$CZ$28:$CZ$39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300000"/>
          <min val="-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HUGO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DONNÉES!$DC$27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DONNÉES!$DB$28:$DB$39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DONNÉES!$DC$28:$DC$39</f>
              <numCache>
                <formatCode>#,##0</formatCode>
                <ptCount val="12"/>
                <pt idx="0">
                  <v>45323.09</v>
                </pt>
              </numCache>
            </numRef>
          </val>
          <smooth val="1"/>
        </ser>
        <ser>
          <idx val="1"/>
          <order val="1"/>
          <tx>
            <strRef>
              <f>DONNÉES!$DD$27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DONNÉES!$DB$28:$DB$39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DONNÉES!$DD$28:$DD$39</f>
              <numCache>
                <formatCode>#,##0</formatCode>
                <ptCount val="12"/>
                <pt idx="0">
                  <v>22322</v>
                </pt>
                <pt idx="1">
                  <v>74127.78</v>
                </pt>
                <pt idx="2">
                  <v>131915.01</v>
                </pt>
                <pt idx="3">
                  <v>161950.73</v>
                </pt>
                <pt idx="4">
                  <v>207016.81</v>
                </pt>
                <pt idx="5">
                  <v>235412</v>
                </pt>
                <pt idx="6">
                  <v>269316.95</v>
                </pt>
                <pt idx="7">
                  <v>327711.23</v>
                </pt>
                <pt idx="8">
                  <v>351073.89</v>
                </pt>
                <pt idx="9">
                  <v>373138.56</v>
                </pt>
                <pt idx="10">
                  <v>415541.12</v>
                </pt>
                <pt idx="11">
                  <v>460720</v>
                </pt>
              </numCache>
            </numRef>
          </val>
          <smooth val="1"/>
        </ser>
        <ser>
          <idx val="2"/>
          <order val="2"/>
          <tx>
            <strRef>
              <f>DONNÉES!$DE$27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DONNÉES!$DB$28:$DB$39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DONNÉES!$DE$28:$DE$39</f>
              <numCache>
                <formatCode>#,##0</formatCode>
                <ptCount val="12"/>
              </numCache>
            </numRef>
          </val>
          <smooth val="1"/>
        </ser>
        <ser>
          <idx val="3"/>
          <order val="3"/>
          <tx>
            <strRef>
              <f>DONNÉES!$DF$27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DONNÉES!$DB$28:$DB$39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DONNÉES!$DF$28:$DF$39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DONNÉES!$DG$27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DONNÉES!$DB$28:$DB$39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DONNÉES!$DG$28:$DG$39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DONNÉES!$DH$27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DONNÉES!$DB$28:$DB$39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DONNÉES!$DH$28:$DH$39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560000"/>
          <min val="-2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JEANCLO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DONNÉES!$DK$27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DONNÉES!$DJ$28:$DJ$39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DONNÉES!$DK$28:$DK$39</f>
              <numCache>
                <formatCode>#,##0</formatCode>
                <ptCount val="12"/>
                <pt idx="0">
                  <v>-2380</v>
                </pt>
              </numCache>
            </numRef>
          </val>
          <smooth val="1"/>
        </ser>
        <ser>
          <idx val="1"/>
          <order val="1"/>
          <tx>
            <strRef>
              <f>DONNÉES!$DL$27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DONNÉES!$DJ$28:$DJ$39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DONNÉES!$DL$28:$DL$39</f>
              <numCache>
                <formatCode>#,##0</formatCode>
                <ptCount val="12"/>
                <pt idx="0">
                  <v>-26085</v>
                </pt>
                <pt idx="1">
                  <v>-10669.27</v>
                </pt>
                <pt idx="2">
                  <v>-10237.69</v>
                </pt>
                <pt idx="3">
                  <v>-21197.68</v>
                </pt>
                <pt idx="4">
                  <v>-20326.45</v>
                </pt>
                <pt idx="5">
                  <v>-27698</v>
                </pt>
                <pt idx="6">
                  <v>-22300.55</v>
                </pt>
                <pt idx="7">
                  <v>-12535.17</v>
                </pt>
                <pt idx="8">
                  <v>-22127.27</v>
                </pt>
                <pt idx="9">
                  <v>-28667.4</v>
                </pt>
                <pt idx="10">
                  <v>-26965.51</v>
                </pt>
                <pt idx="11">
                  <v>-30172.4699999998</v>
                </pt>
              </numCache>
            </numRef>
          </val>
          <smooth val="1"/>
        </ser>
        <ser>
          <idx val="2"/>
          <order val="2"/>
          <tx>
            <strRef>
              <f>DONNÉES!$DM$27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DONNÉES!$DJ$28:$DJ$39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DONNÉES!$DM$28:$DM$39</f>
              <numCache>
                <formatCode>#,##0</formatCode>
                <ptCount val="12"/>
              </numCache>
            </numRef>
          </val>
          <smooth val="1"/>
        </ser>
        <ser>
          <idx val="3"/>
          <order val="3"/>
          <tx>
            <strRef>
              <f>DONNÉES!$DN$27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DONNÉES!$DJ$28:$DJ$39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DONNÉES!$DN$28:$DN$39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DONNÉES!$DO$27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DONNÉES!$DJ$28:$DJ$39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DONNÉES!$DO$28:$DO$39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DONNÉES!$DP$27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DONNÉES!$DJ$28:$DJ$39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DONNÉES!$DP$28:$DP$39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840000"/>
          <min val="-8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THOMAS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DONNÉES!$DS$27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DONNÉES!$DR$28:$DR$39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DONNÉES!$DS$28:$DS$39</f>
              <numCache>
                <formatCode>#,##0</formatCode>
                <ptCount val="12"/>
                <pt idx="0">
                  <v>5587.81</v>
                </pt>
              </numCache>
            </numRef>
          </val>
          <smooth val="1"/>
        </ser>
        <ser>
          <idx val="1"/>
          <order val="1"/>
          <tx>
            <strRef>
              <f>DONNÉES!$DT$27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DONNÉES!$DR$28:$DR$39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DONNÉES!$DT$28:$DT$39</f>
              <numCache>
                <formatCode>#,##0</formatCode>
                <ptCount val="12"/>
                <pt idx="0">
                  <v>-14729</v>
                </pt>
                <pt idx="1">
                  <v>1313.96</v>
                </pt>
                <pt idx="2">
                  <v>18072.92</v>
                </pt>
                <pt idx="3">
                  <v>20067.64</v>
                </pt>
                <pt idx="4">
                  <v>27796</v>
                </pt>
                <pt idx="5">
                  <v>24534</v>
                </pt>
                <pt idx="6">
                  <v>27494.66</v>
                </pt>
                <pt idx="7">
                  <v>41401.04</v>
                </pt>
                <pt idx="8">
                  <v>36519.22</v>
                </pt>
                <pt idx="9">
                  <v>42758.42</v>
                </pt>
                <pt idx="10">
                  <v>43368.84</v>
                </pt>
                <pt idx="11">
                  <v>47271.03999999928</v>
                </pt>
              </numCache>
            </numRef>
          </val>
          <smooth val="1"/>
        </ser>
        <ser>
          <idx val="2"/>
          <order val="2"/>
          <tx>
            <strRef>
              <f>DONNÉES!$DU$27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DONNÉES!$DR$28:$DR$39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DONNÉES!$DU$28:$DU$39</f>
              <numCache>
                <formatCode>#,##0</formatCode>
                <ptCount val="12"/>
              </numCache>
            </numRef>
          </val>
          <smooth val="1"/>
        </ser>
        <ser>
          <idx val="3"/>
          <order val="3"/>
          <tx>
            <strRef>
              <f>DONNÉES!$DV$27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DONNÉES!$DR$28:$DR$39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DONNÉES!$DV$28:$DV$39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DONNÉES!$DW$27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DONNÉES!$DR$28:$DR$39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DONNÉES!$DW$28:$DW$39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DONNÉES!$DX$27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DONNÉES!$DR$28:$DR$39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DONNÉES!$DX$28:$DX$39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840000"/>
          <min val="-8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CATALINA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DONNÉES!$EA$27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DONNÉES!$DZ$28:$DZ$39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DONNÉES!$EA$28:$EA$39</f>
              <numCache>
                <formatCode>#,##0</formatCode>
                <ptCount val="12"/>
                <pt idx="0">
                  <v>-13966.86</v>
                </pt>
              </numCache>
            </numRef>
          </val>
          <smooth val="1"/>
        </ser>
        <ser>
          <idx val="1"/>
          <order val="1"/>
          <tx>
            <strRef>
              <f>DONNÉES!$EB$27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DONNÉES!$DZ$28:$DZ$39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DONNÉES!$EB$28:$EB$39</f>
              <numCache>
                <formatCode>#,##0</formatCode>
                <ptCount val="12"/>
                <pt idx="7">
                  <v>20349.51</v>
                </pt>
                <pt idx="8">
                  <v>18873.66</v>
                </pt>
                <pt idx="9">
                  <v>15482.9</v>
                </pt>
                <pt idx="10">
                  <v>12772.11</v>
                </pt>
                <pt idx="11">
                  <v>1869.359999999991</v>
                </pt>
              </numCache>
            </numRef>
          </val>
          <smooth val="1"/>
        </ser>
        <ser>
          <idx val="2"/>
          <order val="2"/>
          <tx>
            <strRef>
              <f>DONNÉES!$EC$27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DONNÉES!$DZ$28:$DZ$39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DONNÉES!$EC$28:$EC$39</f>
              <numCache>
                <formatCode>#,##0</formatCode>
                <ptCount val="12"/>
              </numCache>
            </numRef>
          </val>
          <smooth val="1"/>
        </ser>
        <ser>
          <idx val="3"/>
          <order val="3"/>
          <tx>
            <strRef>
              <f>DONNÉES!$ED$27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DONNÉES!$DZ$28:$DZ$39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DONNÉES!$ED$28:$ED$39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DONNÉES!$EE$27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DONNÉES!$DZ$28:$DZ$39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DONNÉES!$EE$28:$EE$39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DONNÉES!$EF$27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DONNÉES!$DZ$28:$DZ$39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DONNÉES!$EF$28:$EF$39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840000"/>
          <min val="-8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Évolution de la trésorerie par restaurant</a:t>
            </a:r>
          </a:p>
        </rich>
      </tx>
      <layout>
        <manualLayout>
          <xMode val="edge"/>
          <yMode val="edge"/>
          <wMode val="factor"/>
          <hMode val="factor"/>
          <x val="0.2609989757377889"/>
          <y val="0.03107317103469931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781336022021637"/>
          <y val="0.1719004310024475"/>
          <w val="0.842991165738429"/>
          <h val="0.6788568057927346"/>
        </manualLayout>
      </layout>
      <lineChart>
        <grouping val="standard"/>
        <varyColors val="0"/>
        <ser>
          <idx val="0"/>
          <order val="0"/>
          <tx>
            <strRef>
              <f>DONNÉES!$CD$297</f>
              <strCache>
                <ptCount val="1"/>
                <pt idx="0">
                  <v xml:space="preserve"> R3 14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  <a:lumOff val="4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TRESO!$B$5:$M$5</f>
              <strCache>
                <ptCount val="12"/>
                <pt idx="0">
                  <v>JANV.</v>
                </pt>
                <pt idx="1">
                  <v>FÉV.</v>
                </pt>
                <pt idx="2">
                  <v>MARS</v>
                </pt>
                <pt idx="3">
                  <v>AVRIL</v>
                </pt>
                <pt idx="4">
                  <v>MAI</v>
                </pt>
                <pt idx="5">
                  <v>JUIN</v>
                </pt>
                <pt idx="6">
                  <v>JUILL.</v>
                </pt>
                <pt idx="7">
                  <v>AOÛT</v>
                </pt>
                <pt idx="8">
                  <v>SEPT.</v>
                </pt>
                <pt idx="9">
                  <v>OCT.</v>
                </pt>
                <pt idx="10">
                  <v>NOV.</v>
                </pt>
                <pt idx="11">
                  <v>DÉC.</v>
                </pt>
              </strCache>
            </strRef>
          </cat>
          <val>
            <numRef>
              <f>DONNÉES!$CE$300:$CE$312</f>
              <numCache>
                <formatCode xml:space="preserve">#\ ##0_ ;\-#\ ##0\ </formatCode>
                <ptCount val="13"/>
                <pt idx="0">
                  <v>250.17426</v>
                </pt>
              </numCache>
            </numRef>
          </val>
          <smooth val="1"/>
        </ser>
        <ser>
          <idx val="1"/>
          <order val="1"/>
          <tx>
            <strRef>
              <f>DONNÉES!$CL$297</f>
              <strCache>
                <ptCount val="1"/>
                <pt idx="0">
                  <v xml:space="preserve"> LYSE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TRESO!$B$5:$M$5</f>
              <strCache>
                <ptCount val="12"/>
                <pt idx="0">
                  <v>JANV.</v>
                </pt>
                <pt idx="1">
                  <v>FÉV.</v>
                </pt>
                <pt idx="2">
                  <v>MARS</v>
                </pt>
                <pt idx="3">
                  <v>AVRIL</v>
                </pt>
                <pt idx="4">
                  <v>MAI</v>
                </pt>
                <pt idx="5">
                  <v>JUIN</v>
                </pt>
                <pt idx="6">
                  <v>JUILL.</v>
                </pt>
                <pt idx="7">
                  <v>AOÛT</v>
                </pt>
                <pt idx="8">
                  <v>SEPT.</v>
                </pt>
                <pt idx="9">
                  <v>OCT.</v>
                </pt>
                <pt idx="10">
                  <v>NOV.</v>
                </pt>
                <pt idx="11">
                  <v>DÉC.</v>
                </pt>
              </strCache>
            </strRef>
          </cat>
          <val>
            <numRef>
              <f>DONNÉES!$CM$300:$CM$311</f>
              <numCache>
                <formatCode xml:space="preserve">#\ ##0_ ;\-#\ ##0\ </formatCode>
                <ptCount val="12"/>
                <pt idx="0">
                  <v>563.80841</v>
                </pt>
              </numCache>
            </numRef>
          </val>
          <smooth val="1"/>
        </ser>
        <ser>
          <idx val="2"/>
          <order val="2"/>
          <tx>
            <strRef>
              <f>DONNÉES!$BV$297</f>
              <strCache>
                <ptCount val="1"/>
                <pt idx="0">
                  <v xml:space="preserve"> TL DIVES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TRESO!$B$5:$M$5</f>
              <strCache>
                <ptCount val="12"/>
                <pt idx="0">
                  <v>JANV.</v>
                </pt>
                <pt idx="1">
                  <v>FÉV.</v>
                </pt>
                <pt idx="2">
                  <v>MARS</v>
                </pt>
                <pt idx="3">
                  <v>AVRIL</v>
                </pt>
                <pt idx="4">
                  <v>MAI</v>
                </pt>
                <pt idx="5">
                  <v>JUIN</v>
                </pt>
                <pt idx="6">
                  <v>JUILL.</v>
                </pt>
                <pt idx="7">
                  <v>AOÛT</v>
                </pt>
                <pt idx="8">
                  <v>SEPT.</v>
                </pt>
                <pt idx="9">
                  <v>OCT.</v>
                </pt>
                <pt idx="10">
                  <v>NOV.</v>
                </pt>
                <pt idx="11">
                  <v>DÉC.</v>
                </pt>
              </strCache>
            </strRef>
          </cat>
          <val>
            <numRef>
              <f>DONNÉES!$BW$300:$BW$311</f>
              <numCache>
                <formatCode xml:space="preserve">#\ ##0_ ;\-#\ ##0\ </formatCode>
                <ptCount val="12"/>
                <pt idx="0">
                  <v>366.46968</v>
                </pt>
              </numCache>
            </numRef>
          </val>
          <smooth val="1"/>
        </ser>
        <ser>
          <idx val="3"/>
          <order val="3"/>
          <tx>
            <strRef>
              <f>DONNÉES!$BN$297</f>
              <strCache>
                <ptCount val="1"/>
                <pt idx="0">
                  <v xml:space="preserve"> TH4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TRESO!$B$5:$M$5</f>
              <strCache>
                <ptCount val="12"/>
                <pt idx="0">
                  <v>JANV.</v>
                </pt>
                <pt idx="1">
                  <v>FÉV.</v>
                </pt>
                <pt idx="2">
                  <v>MARS</v>
                </pt>
                <pt idx="3">
                  <v>AVRIL</v>
                </pt>
                <pt idx="4">
                  <v>MAI</v>
                </pt>
                <pt idx="5">
                  <v>JUIN</v>
                </pt>
                <pt idx="6">
                  <v>JUILL.</v>
                </pt>
                <pt idx="7">
                  <v>AOÛT</v>
                </pt>
                <pt idx="8">
                  <v>SEPT.</v>
                </pt>
                <pt idx="9">
                  <v>OCT.</v>
                </pt>
                <pt idx="10">
                  <v>NOV.</v>
                </pt>
                <pt idx="11">
                  <v>DÉC.</v>
                </pt>
              </strCache>
            </strRef>
          </cat>
          <val>
            <numRef>
              <f>DONNÉES!$BO$300:$BO$311</f>
              <numCache>
                <formatCode xml:space="preserve">#\ ##0_ ;\-#\ ##0\ </formatCode>
                <ptCount val="12"/>
                <pt idx="0">
                  <v>372.45663</v>
                </pt>
              </numCache>
            </numRef>
          </val>
          <smooth val="1"/>
        </ser>
        <ser>
          <idx val="4"/>
          <order val="4"/>
          <tx>
            <strRef>
              <f>TRESO!$A$6</f>
              <strCache>
                <ptCount val="1"/>
                <pt idx="0">
                  <v xml:space="preserve"> GLR5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</spPr>
          </marker>
          <val>
            <numRef>
              <f>TRESO!$B$6:$M$6</f>
              <numCache>
                <formatCode>#,##0</formatCode>
                <ptCount val="12"/>
                <pt idx="0">
                  <v>119.00608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5"/>
          <order val="5"/>
          <tx>
            <strRef>
              <f>TRESO!$A$7</f>
              <strCache>
                <ptCount val="1"/>
                <pt idx="0">
                  <v xml:space="preserve"> HTR8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5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5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5">
                    <a:lumMod val="60000"/>
                  </a:schemeClr>
                </a:solidFill>
                <a:prstDash val="solid"/>
                <a:round/>
              </a:ln>
            </spPr>
          </marker>
          <val>
            <numRef>
              <f>TRESO!$B$7:$M$7</f>
              <numCache>
                <formatCode>#,##0</formatCode>
                <ptCount val="12"/>
                <pt idx="0">
                  <v>64.1103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6"/>
          <order val="6"/>
          <tx>
            <strRef>
              <f>TRESO!$A$8</f>
              <strCache>
                <ptCount val="1"/>
                <pt idx="0">
                  <v xml:space="preserve"> TIRR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>
                  <a:lumMod val="80000"/>
                  <a:lumOff val="2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>
                  <a:lumMod val="80000"/>
                  <a:lumOff val="20000"/>
                </a:schemeClr>
              </a:solidFill>
              <a:ln xmlns:a="http://schemas.openxmlformats.org/drawingml/2006/main" w="9525" cap="flat" cmpd="sng" algn="ctr">
                <a:solidFill>
                  <a:schemeClr val="accent6">
                    <a:lumMod val="80000"/>
                    <a:lumOff val="20000"/>
                  </a:schemeClr>
                </a:solidFill>
                <a:prstDash val="solid"/>
                <a:round/>
              </a:ln>
            </spPr>
          </marker>
          <val>
            <numRef>
              <f>TRESO!$B$8:$M$8</f>
              <numCache>
                <formatCode>#,##0</formatCode>
                <ptCount val="12"/>
                <pt idx="0">
                  <v>319.16283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7"/>
          <order val="7"/>
          <tx>
            <strRef>
              <f>TRESO!$A$9</f>
              <strCache>
                <ptCount val="1"/>
                <pt idx="0">
                  <v xml:space="preserve"> VR7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5">
                  <a:lumMod val="80000"/>
                  <a:lumOff val="2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5">
                  <a:lumMod val="80000"/>
                  <a:lumOff val="20000"/>
                </a:schemeClr>
              </a:solidFill>
              <a:ln xmlns:a="http://schemas.openxmlformats.org/drawingml/2006/main" w="9525" cap="flat" cmpd="sng" algn="ctr">
                <a:solidFill>
                  <a:schemeClr val="accent5">
                    <a:lumMod val="80000"/>
                    <a:lumOff val="20000"/>
                  </a:schemeClr>
                </a:solidFill>
                <a:prstDash val="solid"/>
                <a:round/>
              </a:ln>
            </spPr>
          </marker>
          <val>
            <numRef>
              <f>TRESO!$B$9:$M$9</f>
              <numCache>
                <formatCode>#,##0</formatCode>
                <ptCount val="12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8"/>
          <order val="8"/>
          <tx>
            <strRef>
              <f>TRESO!$A$10</f>
              <strCache>
                <ptCount val="1"/>
                <pt idx="0">
                  <v xml:space="preserve"> TURVILLA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80000"/>
                  <a:lumOff val="2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80000"/>
                  <a:lumOff val="2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80000"/>
                    <a:lumOff val="20000"/>
                  </a:schemeClr>
                </a:solidFill>
                <a:prstDash val="solid"/>
                <a:round/>
              </a:ln>
            </spPr>
          </marker>
          <val>
            <numRef>
              <f>TRESO!$B$10:$M$10</f>
              <numCache>
                <formatCode>#,##0</formatCode>
                <ptCount val="12"/>
                <pt idx="0">
                  <v>382.70745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9"/>
          <order val="9"/>
          <tx>
            <strRef>
              <f>TRESO!$A$11</f>
              <strCache>
                <ptCount val="1"/>
                <pt idx="0">
                  <v xml:space="preserve"> HART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>
                  <a:lumMod val="8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>
                  <a:lumMod val="80000"/>
                </a:schemeClr>
              </a:solidFill>
              <a:ln xmlns:a="http://schemas.openxmlformats.org/drawingml/2006/main" w="9525" cap="flat" cmpd="sng" algn="ctr">
                <a:solidFill>
                  <a:schemeClr val="accent6">
                    <a:lumMod val="80000"/>
                  </a:schemeClr>
                </a:solidFill>
                <a:prstDash val="solid"/>
                <a:round/>
              </a:ln>
            </spPr>
          </marker>
          <val>
            <numRef>
              <f>TRESO!$B$11:$M$11</f>
              <numCache>
                <formatCode>#,##0</formatCode>
                <ptCount val="12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10"/>
          <order val="10"/>
          <tx>
            <strRef>
              <f>TRESO!$A$12</f>
              <strCache>
                <ptCount val="1"/>
                <pt idx="0">
                  <v xml:space="preserve"> VICTOIRE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5">
                  <a:lumMod val="8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5">
                  <a:lumMod val="80000"/>
                </a:schemeClr>
              </a:solidFill>
              <a:ln xmlns:a="http://schemas.openxmlformats.org/drawingml/2006/main" w="9525" cap="flat" cmpd="sng" algn="ctr">
                <a:solidFill>
                  <a:schemeClr val="accent5">
                    <a:lumMod val="80000"/>
                  </a:schemeClr>
                </a:solidFill>
                <a:prstDash val="solid"/>
                <a:round/>
              </a:ln>
            </spPr>
          </marker>
          <val>
            <numRef>
              <f>TRESO!$B$12:$M$12</f>
              <numCache>
                <formatCode>#,##0</formatCode>
                <ptCount val="12"/>
                <pt idx="0">
                  <v>257.816675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11"/>
          <order val="11"/>
          <tx>
            <strRef>
              <f>TRESO!$A$18</f>
              <strCache>
                <ptCount val="1"/>
                <pt idx="0">
                  <v xml:space="preserve"> ARTHUR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8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8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80000"/>
                  </a:schemeClr>
                </a:solidFill>
                <a:prstDash val="solid"/>
                <a:round/>
              </a:ln>
            </spPr>
          </marker>
          <val>
            <numRef>
              <f>TRESO!$B$18:$M$18</f>
              <numCache>
                <formatCode>#,##0</formatCode>
                <ptCount val="12"/>
                <pt idx="0">
                  <v>721.95752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12"/>
          <order val="12"/>
          <tx>
            <strRef>
              <f>TRESO!$A$19</f>
              <strCache>
                <ptCount val="1"/>
                <pt idx="0">
                  <v xml:space="preserve"> HUGO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>
                  <a:lumMod val="60000"/>
                  <a:lumOff val="40000"/>
                </a:schemeClr>
              </a:solidFill>
              <a:ln xmlns:a="http://schemas.openxmlformats.org/drawingml/2006/main" w="9525" cap="flat" cmpd="sng" algn="ctr">
                <a:solidFill>
                  <a:schemeClr val="accent6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val>
            <numRef>
              <f>TRESO!$B$19:$M$19</f>
              <numCache>
                <formatCode>#,##0</formatCode>
                <ptCount val="12"/>
                <pt idx="0">
                  <v>997.63301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13"/>
          <order val="13"/>
          <tx>
            <strRef>
              <f>TRESO!$A$20</f>
              <strCache>
                <ptCount val="1"/>
                <pt idx="0">
                  <v xml:space="preserve"> JEANCLO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5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5">
                  <a:lumMod val="60000"/>
                  <a:lumOff val="40000"/>
                </a:schemeClr>
              </a:solidFill>
              <a:ln xmlns:a="http://schemas.openxmlformats.org/drawingml/2006/main" w="9525" cap="flat" cmpd="sng" algn="ctr">
                <a:solidFill>
                  <a:schemeClr val="accent5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val>
            <numRef>
              <f>TRESO!$B$20:$M$20</f>
              <numCache>
                <formatCode>#,##0</formatCode>
                <ptCount val="12"/>
                <pt idx="0">
                  <v>314.2575399999999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14"/>
          <order val="14"/>
          <tx>
            <strRef>
              <f>TRESO!$A$21</f>
              <strCache>
                <ptCount val="1"/>
                <pt idx="0">
                  <v xml:space="preserve"> THOMAS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  <a:lumOff val="4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val>
            <numRef>
              <f>TRESO!$B$21:$M$21</f>
              <numCache>
                <formatCode>#,##0</formatCode>
                <ptCount val="12"/>
                <pt idx="0">
                  <v>349.43583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15"/>
          <order val="15"/>
          <tx>
            <strRef>
              <f>TRESO!$A$22</f>
              <strCache>
                <ptCount val="1"/>
                <pt idx="0">
                  <v xml:space="preserve"> CATALINA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>
                  <a:lumMod val="5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>
                  <a:lumMod val="50000"/>
                </a:schemeClr>
              </a:solidFill>
              <a:ln xmlns:a="http://schemas.openxmlformats.org/drawingml/2006/main" w="9525" cap="flat" cmpd="sng" algn="ctr">
                <a:solidFill>
                  <a:schemeClr val="accent6">
                    <a:lumMod val="50000"/>
                  </a:schemeClr>
                </a:solidFill>
                <a:prstDash val="solid"/>
                <a:round/>
              </a:ln>
            </spPr>
          </marker>
          <val>
            <numRef>
              <f>TRESO!$B$22:$M$22</f>
              <numCache>
                <formatCode>#,##0</formatCode>
                <ptCount val="12"/>
                <pt idx="0">
                  <v>70.84591999999999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\ ##0_ ;\-#\ ##0\ 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zero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Évolution de la trésorerie globale</a:t>
            </a:r>
          </a:p>
        </rich>
      </tx>
      <layout>
        <manualLayout>
          <xMode val="edge"/>
          <yMode val="edge"/>
          <wMode val="factor"/>
          <hMode val="factor"/>
          <x val="0.3661810222331944"/>
          <y val="0.03038175309693386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1103418973197428"/>
          <y val="0.1701587172964366"/>
          <w val="0.8305503497794958"/>
          <h val="0.6886312074817823"/>
        </manualLayout>
      </layout>
      <barChart>
        <barDir val="col"/>
        <grouping val="clustered"/>
        <varyColors val="0"/>
        <ser>
          <idx val="0"/>
          <order val="0"/>
          <tx>
            <strRef>
              <f>TRESO!$A$68</f>
              <strCache>
                <ptCount val="1"/>
                <pt idx="0">
                  <v xml:space="preserve">         GLOBAL 2021          </v>
                </pt>
              </strCache>
            </strRef>
          </tx>
          <spPr>
            <a:solidFill xmlns:a="http://schemas.openxmlformats.org/drawingml/2006/main">
              <a:schemeClr val="tx1">
                <a:lumMod val="65000"/>
                <a:lumOff val="35000"/>
              </a:schemeClr>
            </a:solidFill>
            <a:ln xmlns:a="http://schemas.openxmlformats.org/drawingml/2006/main" w="9525" cap="flat" cmpd="sng" algn="ctr">
              <a:solidFill>
                <a:schemeClr val="bg1"/>
              </a:solidFill>
              <a:prstDash val="solid"/>
              <a:round/>
            </a:ln>
          </spPr>
          <invertIfNegative val="0"/>
          <val>
            <numRef>
              <f>TRESO!$B$68:$M$68</f>
              <numCache>
                <formatCode>#,##0</formatCode>
                <ptCount val="12"/>
                <pt idx="0">
                  <v>7232</v>
                </pt>
                <pt idx="1">
                  <v>10664.327</v>
                </pt>
                <pt idx="2">
                  <v>10404</v>
                </pt>
                <pt idx="3">
                  <v>10732.39779</v>
                </pt>
                <pt idx="4">
                  <v>10453.56338</v>
                </pt>
                <pt idx="5">
                  <v>10355.72207</v>
                </pt>
                <pt idx="6">
                  <v>11051.01565</v>
                </pt>
                <pt idx="7">
                  <v>11219.01088</v>
                </pt>
                <pt idx="8">
                  <v>10280.93292</v>
                </pt>
                <pt idx="9">
                  <v>10440.36784</v>
                </pt>
                <pt idx="10">
                  <v>9853.743999999999</v>
                </pt>
                <pt idx="11">
                  <v>7636.773999999999</v>
                </pt>
              </numCache>
            </numRef>
          </val>
        </ser>
        <ser>
          <idx val="1"/>
          <order val="1"/>
          <tx>
            <strRef>
              <f>TRESO!$A$53</f>
              <strCache>
                <ptCount val="1"/>
                <pt idx="0">
                  <v xml:space="preserve">        GLOBAL 2022        </v>
                </pt>
              </strCache>
            </strRef>
          </tx>
          <spPr>
            <a:solidFill xmlns:a="http://schemas.openxmlformats.org/drawingml/2006/main">
              <a:schemeClr val="accent3"/>
            </a:solidFill>
            <a:ln xmlns:a="http://schemas.openxmlformats.org/drawingml/2006/main" w="9525" cap="flat" cmpd="sng" algn="ctr">
              <a:solidFill>
                <a:schemeClr val="bg1"/>
              </a:solidFill>
              <a:prstDash val="solid"/>
              <a:round/>
            </a:ln>
          </spPr>
          <invertIfNegative val="0"/>
          <val>
            <numRef>
              <f>TRESO!$B$53:$M$53</f>
              <numCache>
                <formatCode>#,##0</formatCode>
                <ptCount val="12"/>
                <pt idx="0">
                  <v>7037.7521</v>
                </pt>
                <pt idx="1">
                  <v>6924.633730000001</v>
                </pt>
                <pt idx="2">
                  <v>6919.71847</v>
                </pt>
                <pt idx="3">
                  <v>7182.523679999998</v>
                </pt>
                <pt idx="4">
                  <v>7812.33188</v>
                </pt>
                <pt idx="5">
                  <v>7382.961200000001</v>
                </pt>
                <pt idx="6">
                  <v>8276.835930000001</v>
                </pt>
                <pt idx="7">
                  <v>8969.592060000001</v>
                </pt>
                <pt idx="8">
                  <v>8504.639449999999</v>
                </pt>
                <pt idx="9">
                  <v>7187.46406</v>
                </pt>
                <pt idx="10">
                  <v>7277.884670000001</v>
                </pt>
                <pt idx="11">
                  <v>6916.23641</v>
                </pt>
              </numCache>
            </numRef>
          </val>
        </ser>
        <ser>
          <idx val="2"/>
          <order val="2"/>
          <tx>
            <strRef>
              <f>TRESO!$A$38</f>
              <strCache>
                <ptCount val="1"/>
                <pt idx="0">
                  <v xml:space="preserve">          GLOBAL 2023          </v>
                </pt>
              </strCache>
            </strRef>
          </tx>
          <spPr>
            <a:solidFill xmlns:a="http://schemas.openxmlformats.org/drawingml/2006/main">
              <a:schemeClr val="accent5"/>
            </a:solidFill>
            <a:ln xmlns:a="http://schemas.openxmlformats.org/drawingml/2006/main" w="9525" cap="flat" cmpd="sng" algn="ctr">
              <a:solidFill>
                <a:schemeClr val="bg1"/>
              </a:solidFill>
              <a:prstDash val="solid"/>
              <a:round/>
            </a:ln>
          </spPr>
          <invertIfNegative val="0"/>
          <val>
            <numRef>
              <f>TRESO!$B$38:$M$38</f>
              <numCache>
                <formatCode>#,##0</formatCode>
                <ptCount val="12"/>
                <pt idx="0">
                  <v>5641.02414</v>
                </pt>
                <pt idx="1">
                  <v>5038.58572</v>
                </pt>
                <pt idx="2">
                  <v>5484.26911</v>
                </pt>
                <pt idx="3">
                  <v>4883.37163</v>
                </pt>
                <pt idx="4">
                  <v>5275.445680000001</v>
                </pt>
                <pt idx="5">
                  <v>3268.9464</v>
                </pt>
                <pt idx="6">
                  <v>3618.246699999999</v>
                </pt>
                <pt idx="7">
                  <v>4297.15588</v>
                </pt>
                <pt idx="8">
                  <v>3518.09598</v>
                </pt>
                <pt idx="9">
                  <v>3734.403343</v>
                </pt>
                <pt idx="10">
                  <v>4002.72676</v>
                </pt>
                <pt idx="11">
                  <v>3558.31222</v>
                </pt>
              </numCache>
            </numRef>
          </val>
        </ser>
        <ser>
          <idx val="3"/>
          <order val="3"/>
          <tx>
            <strRef>
              <f>TRESO!$A$23</f>
              <strCache>
                <ptCount val="1"/>
                <pt idx="0">
                  <v xml:space="preserve">        GLOBAL 2024         </v>
                </pt>
              </strCache>
            </strRef>
          </tx>
          <spPr>
            <a:solidFill xmlns:a="http://schemas.openxmlformats.org/drawingml/2006/main">
              <a:schemeClr val="accent2"/>
            </a:solidFill>
            <a:ln xmlns:a="http://schemas.openxmlformats.org/drawingml/2006/main" w="9525" cap="flat" cmpd="sng" algn="ctr">
              <a:solidFill>
                <a:schemeClr val="bg1"/>
              </a:solidFill>
              <a:prstDash val="solid"/>
              <a:round/>
            </a:ln>
          </spPr>
          <invertIfNegative val="0"/>
          <cat>
            <strRef>
              <f>TRESO!$B$5:$M$5</f>
              <strCache>
                <ptCount val="12"/>
                <pt idx="0">
                  <v>JANV.</v>
                </pt>
                <pt idx="1">
                  <v>FÉV.</v>
                </pt>
                <pt idx="2">
                  <v>MARS</v>
                </pt>
                <pt idx="3">
                  <v>AVRIL</v>
                </pt>
                <pt idx="4">
                  <v>MAI</v>
                </pt>
                <pt idx="5">
                  <v>JUIN</v>
                </pt>
                <pt idx="6">
                  <v>JUILL.</v>
                </pt>
                <pt idx="7">
                  <v>AOÛT</v>
                </pt>
                <pt idx="8">
                  <v>SEPT.</v>
                </pt>
                <pt idx="9">
                  <v>OCT.</v>
                </pt>
                <pt idx="10">
                  <v>NOV.</v>
                </pt>
                <pt idx="11">
                  <v>DÉC.</v>
                </pt>
              </strCache>
            </strRef>
          </cat>
          <val>
            <numRef>
              <f>TRESO!$B$23:$M$23</f>
              <numCache>
                <formatCode>#,##0</formatCode>
                <ptCount val="12"/>
                <pt idx="0">
                  <v>5149.842135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630087720"/>
        <axId val="1"/>
      </bar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12000"/>
          <min val="-5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5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800" b="1" i="0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Évolution du nombre de transactions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800" b="1" i="0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view3D>
      <rotX val="15"/>
      <rotY val="20"/>
      <rAngAx val="1"/>
    </view3D>
    <floor>
      <thickness val="0"/>
      <spPr>
        <a:solidFill xmlns:a="http://schemas.openxmlformats.org/drawingml/2006/main">
          <a:schemeClr val="lt1">
            <a:lumMod val="95000"/>
          </a:schemeClr>
        </a:solidFill>
        <a:ln xmlns:a="http://schemas.openxmlformats.org/drawingml/2006/main">
          <a:noFill/>
          <a:prstDash val="solid"/>
        </a:ln>
        <a:sp3d xmlns:a="http://schemas.openxmlformats.org/drawingml/2006/main"/>
      </spPr>
    </floor>
    <sideWall>
      <thickness val="0"/>
      <spPr>
        <a:noFill xmlns:a="http://schemas.openxmlformats.org/drawingml/2006/main"/>
        <a:ln xmlns:a="http://schemas.openxmlformats.org/drawingml/2006/main">
          <a:noFill/>
          <a:prstDash val="solid"/>
        </a:ln>
        <a:sp3d xmlns:a="http://schemas.openxmlformats.org/drawingml/2006/main"/>
      </spPr>
    </sideWall>
    <backWall>
      <thickness val="0"/>
      <spPr>
        <a:noFill xmlns:a="http://schemas.openxmlformats.org/drawingml/2006/main"/>
        <a:ln xmlns:a="http://schemas.openxmlformats.org/drawingml/2006/main">
          <a:noFill/>
          <a:prstDash val="solid"/>
        </a:ln>
        <a:sp3d xmlns:a="http://schemas.openxmlformats.org/drawingml/2006/main"/>
      </spPr>
    </backWall>
    <plotArea>
      <layout/>
      <bar3DChart>
        <barDir val="col"/>
        <grouping val="clustered"/>
        <varyColors val="0"/>
        <ser>
          <idx val="0"/>
          <order val="0"/>
          <tx>
            <strRef>
              <f>'TRANSACTIONS RECAP'!$C$65</f>
              <strCache>
                <ptCount val="1"/>
                <pt idx="0">
                  <v>2023</v>
                </pt>
              </strCache>
            </strRef>
          </tx>
          <spPr>
            <a:solidFill xmlns:a="http://schemas.openxmlformats.org/drawingml/2006/main">
              <a:schemeClr val="accent2">
                <a:alpha val="85000"/>
              </a:schemeClr>
            </a:solidFill>
            <a:ln xmlns:a="http://schemas.openxmlformats.org/drawingml/2006/main" w="9525" cap="flat" cmpd="sng" algn="ctr">
              <a:solidFill>
                <a:schemeClr val="accent2">
                  <a:lumMod val="75000"/>
                </a:schemeClr>
              </a:solidFill>
              <a:prstDash val="solid"/>
              <a:round/>
            </a:ln>
            <a:sp3d xmlns:a="http://schemas.openxmlformats.org/drawingml/2006/main" contourW="9525">
              <contourClr rgb="00000000"/>
            </a:sp3d>
          </spPr>
          <invertIfNegative val="0"/>
          <cat>
            <strRef>
              <f>('TRANSACTIONS RECAP'!$A$65,'TRANSACTIONS RECAP'!$I$65,'TRANSACTIONS RECAP'!$A$80,'TRANSACTIONS RECAP'!$I$80)</f>
              <strCache>
                <ptCount val="4"/>
                <pt idx="0">
                  <v xml:space="preserve"> R3 14 </v>
                </pt>
                <pt idx="1">
                  <v xml:space="preserve"> LYSE </v>
                </pt>
                <pt idx="2">
                  <v xml:space="preserve"> TL DIVES </v>
                </pt>
                <pt idx="3">
                  <v xml:space="preserve"> TH4 </v>
                </pt>
              </strCache>
            </strRef>
          </cat>
          <val>
            <numRef>
              <f>('TRANSACTIONS RECAP'!$C$78,'TRANSACTIONS RECAP'!$K$78,'TRANSACTIONS RECAP'!$C$93,'TRANSACTIONS RECAP'!$K$93)</f>
              <numCache>
                <formatCode>#,##0</formatCode>
                <ptCount val="4"/>
                <pt idx="0">
                  <v>306604</v>
                </pt>
                <pt idx="1">
                  <v>269141</v>
                </pt>
                <pt idx="2">
                  <v>192085</v>
                </pt>
                <pt idx="3">
                  <v>252208</v>
                </pt>
              </numCache>
            </numRef>
          </val>
        </ser>
        <ser>
          <idx val="1"/>
          <order val="1"/>
          <tx>
            <strRef>
              <f>'TRANSACTIONS RECAP'!$B$65</f>
              <strCache>
                <ptCount val="1"/>
                <pt idx="0">
                  <v>2024</v>
                </pt>
              </strCache>
            </strRef>
          </tx>
          <spPr>
            <a:solidFill xmlns:a="http://schemas.openxmlformats.org/drawingml/2006/main">
              <a:schemeClr val="accent1">
                <a:alpha val="85000"/>
              </a:schemeClr>
            </a:solidFill>
            <a:ln xmlns:a="http://schemas.openxmlformats.org/drawingml/2006/main" w="9525" cap="flat" cmpd="sng" algn="ctr">
              <a:solidFill>
                <a:schemeClr val="accent1">
                  <a:lumMod val="75000"/>
                </a:schemeClr>
              </a:solidFill>
              <a:prstDash val="solid"/>
              <a:round/>
            </a:ln>
            <a:sp3d xmlns:a="http://schemas.openxmlformats.org/drawingml/2006/main" contourW="9525">
              <contourClr rgb="00000000"/>
            </a:sp3d>
          </spPr>
          <invertIfNegative val="0"/>
          <cat>
            <strRef>
              <f>('TRANSACTIONS RECAP'!$A$65,'TRANSACTIONS RECAP'!$I$65,'TRANSACTIONS RECAP'!$A$80,'TRANSACTIONS RECAP'!$I$80)</f>
              <strCache>
                <ptCount val="4"/>
                <pt idx="0">
                  <v xml:space="preserve"> R3 14 </v>
                </pt>
                <pt idx="1">
                  <v xml:space="preserve"> LYSE </v>
                </pt>
                <pt idx="2">
                  <v xml:space="preserve"> TL DIVES </v>
                </pt>
                <pt idx="3">
                  <v xml:space="preserve"> TH4 </v>
                </pt>
              </strCache>
            </strRef>
          </cat>
          <val>
            <numRef>
              <f>('TRANSACTIONS RECAP'!$B$78,'TRANSACTIONS RECAP'!$J$78,'TRANSACTIONS RECAP'!$B$93,'TRANSACTIONS RECAP'!$J$93)</f>
              <numCache>
                <formatCode>#,##0</formatCode>
                <ptCount val="4"/>
                <pt idx="0">
                  <v>20186</v>
                </pt>
                <pt idx="1">
                  <v>21593</v>
                </pt>
                <pt idx="2">
                  <v>13437</v>
                </pt>
                <pt idx="3">
                  <v>21816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65"/>
        <gapDepth val="150"/>
        <shape val="box"/>
        <axId val="676180240"/>
        <axId val="676197624"/>
        <axId val="1000"/>
      </bar3DChart>
      <catAx>
        <axId val="67618024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19050" cap="flat" cmpd="sng" algn="ctr">
            <a:solidFill>
              <a:schemeClr val="dk1">
                <a:lumMod val="75000"/>
                <a:lumOff val="2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76197624"/>
        <crosses val="autoZero"/>
        <auto val="1"/>
        <lblAlgn val="ctr"/>
        <lblOffset val="100"/>
        <noMultiLvlLbl val="0"/>
      </catAx>
      <valAx>
        <axId val="676197624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76180240"/>
        <crosses val="autoZero"/>
        <crossBetween val="between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plotVisOnly val="1"/>
    <dispBlanksAs val="gap"/>
  </chart>
  <spPr>
    <a:gradFill xmlns:a="http://schemas.openxmlformats.org/drawingml/2006/main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xmlns:a="http://schemas.openxmlformats.org/drawingml/2006/main" w="9525" cap="flat" cmpd="sng" algn="ctr">
      <a:solidFill>
        <a:schemeClr val="dk1">
          <a:lumMod val="25000"/>
          <a:lumOff val="75000"/>
        </a:schemeClr>
      </a:solidFill>
      <a:prstDash val="solid"/>
      <a:round/>
    </a:ln>
  </spPr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800" b="1" i="0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Évolution du panier moyen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800" b="1" i="0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view3D>
      <rotX val="15"/>
      <rotY val="20"/>
      <rAngAx val="1"/>
    </view3D>
    <floor>
      <thickness val="0"/>
      <spPr>
        <a:solidFill xmlns:a="http://schemas.openxmlformats.org/drawingml/2006/main">
          <a:schemeClr val="lt1">
            <a:lumMod val="95000"/>
          </a:schemeClr>
        </a:solidFill>
        <a:ln xmlns:a="http://schemas.openxmlformats.org/drawingml/2006/main">
          <a:noFill/>
          <a:prstDash val="solid"/>
        </a:ln>
        <a:sp3d xmlns:a="http://schemas.openxmlformats.org/drawingml/2006/main"/>
      </spPr>
    </floor>
    <sideWall>
      <thickness val="0"/>
      <spPr>
        <a:noFill xmlns:a="http://schemas.openxmlformats.org/drawingml/2006/main"/>
        <a:ln xmlns:a="http://schemas.openxmlformats.org/drawingml/2006/main">
          <a:noFill/>
          <a:prstDash val="solid"/>
        </a:ln>
        <a:sp3d xmlns:a="http://schemas.openxmlformats.org/drawingml/2006/main"/>
      </spPr>
    </sideWall>
    <backWall>
      <thickness val="0"/>
      <spPr>
        <a:noFill xmlns:a="http://schemas.openxmlformats.org/drawingml/2006/main"/>
        <a:ln xmlns:a="http://schemas.openxmlformats.org/drawingml/2006/main">
          <a:noFill/>
          <a:prstDash val="solid"/>
        </a:ln>
        <a:sp3d xmlns:a="http://schemas.openxmlformats.org/drawingml/2006/main"/>
      </spPr>
    </backWall>
    <plotArea>
      <layout/>
      <bar3DChart>
        <barDir val="col"/>
        <grouping val="clustered"/>
        <varyColors val="0"/>
        <ser>
          <idx val="0"/>
          <order val="0"/>
          <tx>
            <strRef>
              <f>'PANIERS RECAP'!$G$65</f>
              <strCache>
                <ptCount val="1"/>
                <pt idx="0">
                  <v>2020</v>
                </pt>
              </strCache>
            </strRef>
          </tx>
          <spPr>
            <a:solidFill xmlns:a="http://schemas.openxmlformats.org/drawingml/2006/main">
              <a:schemeClr val="accent5">
                <a:alpha val="85000"/>
              </a:schemeClr>
            </a:solidFill>
            <a:ln xmlns:a="http://schemas.openxmlformats.org/drawingml/2006/main" w="9525" cap="flat" cmpd="sng" algn="ctr">
              <a:solidFill>
                <a:schemeClr val="accent5">
                  <a:lumMod val="75000"/>
                </a:schemeClr>
              </a:solidFill>
              <a:prstDash val="solid"/>
              <a:round/>
            </a:ln>
            <a:sp3d xmlns:a="http://schemas.openxmlformats.org/drawingml/2006/main" contourW="9525">
              <contourClr rgb="00000000"/>
            </a:sp3d>
          </spPr>
          <invertIfNegative val="0"/>
          <cat>
            <strRef>
              <f>('PANIERS RECAP'!$A$65,'PANIERS RECAP'!$I$65,'PANIERS RECAP'!$A$80,'PANIERS RECAP'!$I$80)</f>
              <strCache>
                <ptCount val="4"/>
                <pt idx="0">
                  <v xml:space="preserve"> R3 14 </v>
                </pt>
                <pt idx="1">
                  <v xml:space="preserve"> LYSE </v>
                </pt>
                <pt idx="2">
                  <v xml:space="preserve"> TL DIVES </v>
                </pt>
                <pt idx="3">
                  <v xml:space="preserve"> TH4 </v>
                </pt>
              </strCache>
            </strRef>
          </cat>
          <val>
            <numRef>
              <f>('PANIERS RECAP'!$G$78,'PANIERS RECAP'!$O$78,'PANIERS RECAP'!$G$93,'PANIERS RECAP'!$O$93)</f>
              <numCache>
                <formatCode xml:space="preserve">#\ ##0.00_ ;\-#\ ##0.00\ </formatCode>
                <ptCount val="4"/>
                <pt idx="0">
                  <v>18.94</v>
                </pt>
                <pt idx="1">
                  <v>18.15</v>
                </pt>
                <pt idx="3">
                  <v>17.92</v>
                </pt>
              </numCache>
            </numRef>
          </val>
        </ser>
        <ser>
          <idx val="1"/>
          <order val="1"/>
          <tx>
            <strRef>
              <f>'PANIERS RECAP'!$F$65</f>
              <strCache>
                <ptCount val="1"/>
                <pt idx="0">
                  <v>2021</v>
                </pt>
              </strCache>
            </strRef>
          </tx>
          <spPr>
            <a:solidFill xmlns:a="http://schemas.openxmlformats.org/drawingml/2006/main">
              <a:schemeClr val="accent4">
                <a:alpha val="85000"/>
              </a:schemeClr>
            </a:solidFill>
            <a:ln xmlns:a="http://schemas.openxmlformats.org/drawingml/2006/main" w="9525" cap="flat" cmpd="sng" algn="ctr">
              <a:solidFill>
                <a:schemeClr val="accent4">
                  <a:lumMod val="75000"/>
                </a:schemeClr>
              </a:solidFill>
              <a:prstDash val="solid"/>
              <a:round/>
            </a:ln>
            <a:sp3d xmlns:a="http://schemas.openxmlformats.org/drawingml/2006/main" contourW="9525">
              <contourClr rgb="00000000"/>
            </a:sp3d>
          </spPr>
          <invertIfNegative val="0"/>
          <cat>
            <strRef>
              <f>('PANIERS RECAP'!$A$65,'PANIERS RECAP'!$I$65,'PANIERS RECAP'!$A$80,'PANIERS RECAP'!$I$80)</f>
              <strCache>
                <ptCount val="4"/>
                <pt idx="0">
                  <v xml:space="preserve"> R3 14 </v>
                </pt>
                <pt idx="1">
                  <v xml:space="preserve"> LYSE </v>
                </pt>
                <pt idx="2">
                  <v xml:space="preserve"> TL DIVES </v>
                </pt>
                <pt idx="3">
                  <v xml:space="preserve"> TH4 </v>
                </pt>
              </strCache>
            </strRef>
          </cat>
          <val>
            <numRef>
              <f>('PANIERS RECAP'!$F$78,'PANIERS RECAP'!$N$78,'PANIERS RECAP'!$F$93,'PANIERS RECAP'!$N$93)</f>
              <numCache>
                <formatCode xml:space="preserve">#\ ##0.00_ ;\-#\ ##0.00\ </formatCode>
                <ptCount val="4"/>
                <pt idx="0">
                  <v>16.18</v>
                </pt>
                <pt idx="1">
                  <v>17.83</v>
                </pt>
                <pt idx="2">
                  <v>17.99</v>
                </pt>
                <pt idx="3">
                  <v>15.82</v>
                </pt>
              </numCache>
            </numRef>
          </val>
        </ser>
        <ser>
          <idx val="2"/>
          <order val="2"/>
          <tx>
            <strRef>
              <f>'PANIERS RECAP'!$E$65</f>
              <strCache>
                <ptCount val="1"/>
                <pt idx="0">
                  <v>2022</v>
                </pt>
              </strCache>
            </strRef>
          </tx>
          <spPr>
            <a:solidFill xmlns:a="http://schemas.openxmlformats.org/drawingml/2006/main">
              <a:schemeClr val="accent3">
                <a:alpha val="85000"/>
              </a:schemeClr>
            </a:solidFill>
            <a:ln xmlns:a="http://schemas.openxmlformats.org/drawingml/2006/main" w="9525" cap="flat" cmpd="sng" algn="ctr">
              <a:solidFill>
                <a:schemeClr val="accent3">
                  <a:lumMod val="75000"/>
                </a:schemeClr>
              </a:solidFill>
              <a:prstDash val="solid"/>
              <a:round/>
            </a:ln>
            <a:sp3d xmlns:a="http://schemas.openxmlformats.org/drawingml/2006/main" contourW="9525">
              <contourClr rgb="00000000"/>
            </a:sp3d>
          </spPr>
          <invertIfNegative val="0"/>
          <cat>
            <strRef>
              <f>('PANIERS RECAP'!$A$65,'PANIERS RECAP'!$I$65,'PANIERS RECAP'!$A$80,'PANIERS RECAP'!$I$80)</f>
              <strCache>
                <ptCount val="4"/>
                <pt idx="0">
                  <v xml:space="preserve"> R3 14 </v>
                </pt>
                <pt idx="1">
                  <v xml:space="preserve"> LYSE </v>
                </pt>
                <pt idx="2">
                  <v xml:space="preserve"> TL DIVES </v>
                </pt>
                <pt idx="3">
                  <v xml:space="preserve"> TH4 </v>
                </pt>
              </strCache>
            </strRef>
          </cat>
          <val>
            <numRef>
              <f>('PANIERS RECAP'!$E$78,'PANIERS RECAP'!$M$78,'PANIERS RECAP'!$E$93,'PANIERS RECAP'!$M$93)</f>
              <numCache>
                <formatCode xml:space="preserve">#\ ##0.00_ ;\-#\ ##0.00\ </formatCode>
                <ptCount val="4"/>
                <pt idx="0">
                  <v>16.53</v>
                </pt>
                <pt idx="1">
                  <v>18.6</v>
                </pt>
                <pt idx="2">
                  <v>18.17</v>
                </pt>
                <pt idx="3">
                  <v>16.24</v>
                </pt>
              </numCache>
            </numRef>
          </val>
        </ser>
        <ser>
          <idx val="3"/>
          <order val="3"/>
          <tx>
            <strRef>
              <f>'PANIERS RECAP'!$C$65</f>
              <strCache>
                <ptCount val="1"/>
                <pt idx="0">
                  <v>2023</v>
                </pt>
              </strCache>
            </strRef>
          </tx>
          <spPr>
            <a:solidFill xmlns:a="http://schemas.openxmlformats.org/drawingml/2006/main">
              <a:schemeClr val="accent2">
                <a:alpha val="85000"/>
              </a:schemeClr>
            </a:solidFill>
            <a:ln xmlns:a="http://schemas.openxmlformats.org/drawingml/2006/main" w="9525" cap="flat" cmpd="sng" algn="ctr">
              <a:solidFill>
                <a:schemeClr val="accent2">
                  <a:lumMod val="75000"/>
                </a:schemeClr>
              </a:solidFill>
              <a:prstDash val="solid"/>
              <a:round/>
            </a:ln>
            <a:sp3d xmlns:a="http://schemas.openxmlformats.org/drawingml/2006/main" contourW="9525">
              <contourClr rgb="00000000"/>
            </a:sp3d>
          </spPr>
          <invertIfNegative val="0"/>
          <cat>
            <strRef>
              <f>('PANIERS RECAP'!$A$65,'PANIERS RECAP'!$I$65,'PANIERS RECAP'!$A$80,'PANIERS RECAP'!$I$80)</f>
              <strCache>
                <ptCount val="4"/>
                <pt idx="0">
                  <v xml:space="preserve"> R3 14 </v>
                </pt>
                <pt idx="1">
                  <v xml:space="preserve"> LYSE </v>
                </pt>
                <pt idx="2">
                  <v xml:space="preserve"> TL DIVES </v>
                </pt>
                <pt idx="3">
                  <v xml:space="preserve"> TH4 </v>
                </pt>
              </strCache>
            </strRef>
          </cat>
          <val>
            <numRef>
              <f>('PANIERS RECAP'!$C$78,'PANIERS RECAP'!$K$78,'PANIERS RECAP'!$C$93,'PANIERS RECAP'!$K$93)</f>
              <numCache>
                <formatCode xml:space="preserve">#\ ##0.00_ ;\-#\ ##0.00\ </formatCode>
                <ptCount val="4"/>
                <pt idx="0">
                  <v>17.95</v>
                </pt>
                <pt idx="1">
                  <v>17.13</v>
                </pt>
                <pt idx="2">
                  <v>18.32</v>
                </pt>
                <pt idx="3">
                  <v>16.74</v>
                </pt>
              </numCache>
            </numRef>
          </val>
        </ser>
        <ser>
          <idx val="4"/>
          <order val="4"/>
          <tx>
            <strRef>
              <f>'PANIERS RECAP'!$B$65</f>
              <strCache>
                <ptCount val="1"/>
                <pt idx="0">
                  <v>2024</v>
                </pt>
              </strCache>
            </strRef>
          </tx>
          <spPr>
            <a:solidFill xmlns:a="http://schemas.openxmlformats.org/drawingml/2006/main">
              <a:schemeClr val="accent1">
                <a:alpha val="85000"/>
              </a:schemeClr>
            </a:solidFill>
            <a:ln xmlns:a="http://schemas.openxmlformats.org/drawingml/2006/main" w="9525" cap="flat" cmpd="sng" algn="ctr">
              <a:solidFill>
                <a:schemeClr val="accent1">
                  <a:lumMod val="75000"/>
                </a:schemeClr>
              </a:solidFill>
              <a:prstDash val="solid"/>
              <a:round/>
            </a:ln>
            <a:sp3d xmlns:a="http://schemas.openxmlformats.org/drawingml/2006/main" contourW="9525">
              <contourClr rgb="00000000"/>
            </a:sp3d>
          </spPr>
          <invertIfNegative val="0"/>
          <cat>
            <strRef>
              <f>('PANIERS RECAP'!$A$65,'PANIERS RECAP'!$I$65,'PANIERS RECAP'!$A$80,'PANIERS RECAP'!$I$80)</f>
              <strCache>
                <ptCount val="4"/>
                <pt idx="0">
                  <v xml:space="preserve"> R3 14 </v>
                </pt>
                <pt idx="1">
                  <v xml:space="preserve"> LYSE </v>
                </pt>
                <pt idx="2">
                  <v xml:space="preserve"> TL DIVES </v>
                </pt>
                <pt idx="3">
                  <v xml:space="preserve"> TH4 </v>
                </pt>
              </strCache>
            </strRef>
          </cat>
          <val>
            <numRef>
              <f>('PANIERS RECAP'!$B$78,'PANIERS RECAP'!$J$78,'PANIERS RECAP'!$B$93,'PANIERS RECAP'!$J$93)</f>
              <numCache>
                <formatCode xml:space="preserve">#\ ##0.00_ ;\-#\ ##0.00\ </formatCode>
                <ptCount val="4"/>
                <pt idx="0">
                  <v>16.05</v>
                </pt>
                <pt idx="1">
                  <v>17.9</v>
                </pt>
                <pt idx="2">
                  <v>18.26</v>
                </pt>
                <pt idx="3">
                  <v>16.36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65"/>
        <gapDepth val="150"/>
        <shape val="box"/>
        <axId val="676180240"/>
        <axId val="676197624"/>
        <axId val="1000"/>
      </bar3DChart>
      <catAx>
        <axId val="67618024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19050" cap="flat" cmpd="sng" algn="ctr">
            <a:solidFill>
              <a:schemeClr val="dk1">
                <a:lumMod val="75000"/>
                <a:lumOff val="2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76197624"/>
        <crosses val="autoZero"/>
        <auto val="1"/>
        <lblAlgn val="ctr"/>
        <lblOffset val="100"/>
        <noMultiLvlLbl val="0"/>
      </catAx>
      <valAx>
        <axId val="676197624"/>
        <scaling>
          <orientation val="minMax"/>
          <min val="1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\ ##0.00_ ;\-#\ ##0.00\ 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76180240"/>
        <crosses val="autoZero"/>
        <crossBetween val="between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plotVisOnly val="1"/>
    <dispBlanksAs val="gap"/>
  </chart>
  <spPr>
    <a:gradFill xmlns:a="http://schemas.openxmlformats.org/drawingml/2006/main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xmlns:a="http://schemas.openxmlformats.org/drawingml/2006/main" w="9525" cap="flat" cmpd="sng" algn="ctr">
      <a:solidFill>
        <a:schemeClr val="dk1">
          <a:lumMod val="25000"/>
          <a:lumOff val="7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/><Relationship Type="http://schemas.openxmlformats.org/officeDocument/2006/relationships/chart" Target="/xl/charts/chart36.xml" Id="rId2"/></Relationships>
</file>

<file path=xl/drawings/_rels/drawing36.xml.rels><Relationships xmlns="http://schemas.openxmlformats.org/package/2006/relationships"><Relationship Type="http://schemas.openxmlformats.org/officeDocument/2006/relationships/chart" Target="/xl/charts/chart37.xml" Id="rId1"/></Relationships>
</file>

<file path=xl/drawings/_rels/drawing37.xml.rels><Relationships xmlns="http://schemas.openxmlformats.org/package/2006/relationships"><Relationship Type="http://schemas.openxmlformats.org/officeDocument/2006/relationships/chart" Target="/xl/charts/chart38.xml" Id="rId1"/></Relationships>
</file>

<file path=xl/drawings/drawing1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.xml><?xml version="1.0" encoding="utf-8"?>
<wsDr xmlns="http://schemas.openxmlformats.org/drawingml/2006/spreadsheetDrawing">
  <twoCellAnchor>
    <from>
      <col>0</col>
      <colOff>38100</colOff>
      <row>5</row>
      <rowOff>76200</rowOff>
    </from>
    <to>
      <col>7</col>
      <colOff>428625</colOff>
      <row>57</row>
      <rowOff>66675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4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5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6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7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8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9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0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1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2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3.xml><?xml version="1.0" encoding="utf-8"?>
<wsDr xmlns="http://schemas.openxmlformats.org/drawingml/2006/spreadsheetDrawing">
  <twoCellAnchor>
    <from>
      <col>0</col>
      <colOff>76200</colOff>
      <row>3</row>
      <rowOff>3810</rowOff>
    </from>
    <to>
      <col>7</col>
      <colOff>762000</colOff>
      <row>59</row>
      <rowOff>158115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4.xml><?xml version="1.0" encoding="utf-8"?>
<wsDr xmlns="http://schemas.openxmlformats.org/drawingml/2006/spreadsheetDrawing">
  <twoCellAnchor>
    <from>
      <col>0</col>
      <colOff>76200</colOff>
      <row>3</row>
      <rowOff>3810</rowOff>
    </from>
    <to>
      <col>7</col>
      <colOff>762000</colOff>
      <row>59</row>
      <rowOff>158115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5.xml><?xml version="1.0" encoding="utf-8"?>
<wsDr xmlns="http://schemas.openxmlformats.org/drawingml/2006/spreadsheetDrawing">
  <twoCellAnchor>
    <from>
      <col>0</col>
      <colOff>76200</colOff>
      <row>3</row>
      <rowOff>3810</rowOff>
    </from>
    <to>
      <col>7</col>
      <colOff>762000</colOff>
      <row>59</row>
      <rowOff>158115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6.xml><?xml version="1.0" encoding="utf-8"?>
<wsDr xmlns="http://schemas.openxmlformats.org/drawingml/2006/spreadsheetDrawing">
  <twoCellAnchor>
    <from>
      <col>0</col>
      <colOff>76200</colOff>
      <row>3</row>
      <rowOff>3810</rowOff>
    </from>
    <to>
      <col>7</col>
      <colOff>762000</colOff>
      <row>59</row>
      <rowOff>158115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7.xml><?xml version="1.0" encoding="utf-8"?>
<wsDr xmlns="http://schemas.openxmlformats.org/drawingml/2006/spreadsheetDrawing">
  <twoCellAnchor>
    <from>
      <col>0</col>
      <colOff>76200</colOff>
      <row>3</row>
      <rowOff>3810</rowOff>
    </from>
    <to>
      <col>7</col>
      <colOff>762000</colOff>
      <row>59</row>
      <rowOff>158115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8.xml><?xml version="1.0" encoding="utf-8"?>
<wsDr xmlns="http://schemas.openxmlformats.org/drawingml/2006/spreadsheetDrawing">
  <twoCellAnchor>
    <from>
      <col>0</col>
      <colOff>76200</colOff>
      <row>3</row>
      <rowOff>3810</rowOff>
    </from>
    <to>
      <col>7</col>
      <colOff>762000</colOff>
      <row>59</row>
      <rowOff>158115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9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0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1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2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3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4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5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6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7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8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133350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9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0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1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2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3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4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5.xml><?xml version="1.0" encoding="utf-8"?>
<wsDr xmlns="http://schemas.openxmlformats.org/drawingml/2006/spreadsheetDrawing">
  <twoCellAnchor>
    <from>
      <col>0</col>
      <colOff>141515</colOff>
      <row>3</row>
      <rowOff>44631</rowOff>
    </from>
    <to>
      <col>8</col>
      <colOff>76200</colOff>
      <row>30</row>
      <rowOff>10885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0</col>
      <colOff>141514</colOff>
      <row>30</row>
      <rowOff>152399</rowOff>
    </from>
    <to>
      <col>8</col>
      <colOff>87085</colOff>
      <row>59</row>
      <rowOff>87085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</wsDr>
</file>

<file path=xl/drawings/drawing36.xml><?xml version="1.0" encoding="utf-8"?>
<wsDr xmlns="http://schemas.openxmlformats.org/drawingml/2006/spreadsheetDrawing">
  <twoCellAnchor>
    <from>
      <col>8</col>
      <colOff>80681</colOff>
      <row>124</row>
      <rowOff>17930</rowOff>
    </from>
    <to>
      <col>14</col>
      <colOff>573742</colOff>
      <row>137</row>
      <rowOff>206189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7.xml><?xml version="1.0" encoding="utf-8"?>
<wsDr xmlns="http://schemas.openxmlformats.org/drawingml/2006/spreadsheetDrawing">
  <twoCellAnchor>
    <from>
      <col>8</col>
      <colOff>72888</colOff>
      <row>124</row>
      <rowOff>26504</rowOff>
    </from>
    <to>
      <col>14</col>
      <colOff>583096</colOff>
      <row>137</row>
      <rowOff>125895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P:\_Clients\G\_GROUPES\GROUPE%20REGIS%20REGO\_P&amp;L\2024\Fascicule%20P&amp;L%20R&#233;gis%20-%2001.2024%20v16h23.xlsx" TargetMode="External" Id="rId2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P:\_Clients\G\_GROUPES\GROUPE%20REGIS%20REGO\_P&amp;L\2025\Fascicule%20P&amp;L%20R&#233;gis%20-%2002.2025.xlsx" TargetMode="External" Id="rId2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ONNEES_MOIS 2023"/>
      <sheetName val="DONNEES_CUM 2023"/>
      <sheetName val="BAL N GLR5"/>
      <sheetName val="BAL N HTR8"/>
      <sheetName val="BAL N TIRR"/>
      <sheetName val="BAL N VR7"/>
      <sheetName val="BAL N TURVILLA"/>
      <sheetName val="BAL N HART"/>
      <sheetName val="BAL N VICTOIRE"/>
      <sheetName val="BAL N TH4"/>
      <sheetName val="BAL N DIVES"/>
      <sheetName val="BAL N R314"/>
      <sheetName val="BAL N LYSE"/>
      <sheetName val="BAL N ARTHUR"/>
      <sheetName val="BAL N HUGO"/>
      <sheetName val="BAL N JEANCLO"/>
      <sheetName val="BAL N THOMAS"/>
      <sheetName val="TL"/>
      <sheetName val="DONNÉES"/>
      <sheetName val="PARAMETRES"/>
      <sheetName val="GLR5 M Nouveau"/>
      <sheetName val="pr info suivi écart"/>
      <sheetName val="FB0"/>
      <sheetName val="SOMMAIRE"/>
      <sheetName val="FB0 (2)"/>
      <sheetName val="INTRODUCTION"/>
      <sheetName val="FB1"/>
      <sheetName val="IA"/>
      <sheetName val="GPL GLOBAL"/>
      <sheetName val="GLOBAL MENSUEL Nouveau"/>
      <sheetName val="GCA GLOBAL"/>
      <sheetName val="GRAPH CONTRIB"/>
      <sheetName val="CONTRIB M "/>
      <sheetName val="GRAPH CONTRIB N-1"/>
      <sheetName val="FB4"/>
      <sheetName val="IB"/>
      <sheetName val="HTR8 M"/>
      <sheetName val="TIRR M"/>
      <sheetName val="VR7 M "/>
      <sheetName val="TURVILLA M "/>
      <sheetName val="HART M Nouveau"/>
      <sheetName val="VICTOIRE M Nouveau"/>
      <sheetName val="TH4 M Nouveau"/>
      <sheetName val="DIVES M Nouveau"/>
      <sheetName val="R314 M Nouveau"/>
      <sheetName val="LYSE M Nouveau"/>
      <sheetName val="ARTHUR M Nouveau"/>
      <sheetName val="HUGO M Nouveau"/>
      <sheetName val="JEANCLO M Nouveau"/>
      <sheetName val="THOMAS M"/>
      <sheetName val="GLOBAL CUMULE Nouveau"/>
      <sheetName val="CONTRIB CUM Nouveau"/>
      <sheetName val="GCA R314"/>
      <sheetName val="GCA GLR5"/>
      <sheetName val="GLR5 CUM Nouveau"/>
      <sheetName val="HTR8 CUM Nouveau"/>
      <sheetName val="TIRR CUM Nouveau"/>
      <sheetName val="VR7 CUM Nouveau"/>
      <sheetName val="TURVILLA CUM Nouveau"/>
      <sheetName val="HART CUM Nouveau"/>
      <sheetName val="VICTOIRE CUM Nouveau"/>
      <sheetName val="TH4 A"/>
      <sheetName val="DIVES CUM Nouveau"/>
      <sheetName val="R314 CUM Nouveau"/>
      <sheetName val="LYSE CUM Nouveau"/>
      <sheetName val="ARTHUR CUM Nouveau"/>
      <sheetName val="HUGO CUM Nouveau"/>
      <sheetName val="JEANCLO CUM Nouveau"/>
      <sheetName val="THOMAS CUM Nouveau"/>
      <sheetName val="GCA LYSE"/>
      <sheetName val="GCA TL DIVES"/>
      <sheetName val="TL DIVES MENSUEL"/>
      <sheetName val="GCA TH4"/>
      <sheetName val="TH4 MENSUEL"/>
      <sheetName val="FB5"/>
      <sheetName val="IC"/>
      <sheetName val="GPL R314"/>
      <sheetName val="R314 CUMUL"/>
      <sheetName val="GPL LYSE"/>
      <sheetName val="LYSE CUMUL"/>
      <sheetName val="GPL TL DIVES"/>
      <sheetName val="TL DIVES CUMUL"/>
      <sheetName val="GPL TH4"/>
      <sheetName val="TH4 CUMUL"/>
      <sheetName val="FB6"/>
      <sheetName val="FB20"/>
      <sheetName val="IF"/>
      <sheetName val="GRAPH TRESO"/>
      <sheetName val="TRESO"/>
      <sheetName val="FB21"/>
      <sheetName val="TRANSACTIONS DETAIL"/>
      <sheetName val="FB22"/>
      <sheetName val="TRANSACTIONS RECAP"/>
      <sheetName val="PANIERS DETAIL"/>
      <sheetName val="PANIERS RECAP"/>
      <sheetName val="Fascicule P&amp;L Régis - 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BAL N GLR5"/>
      <sheetName val="BAL N HTR8"/>
      <sheetName val="BAL N TIRR"/>
      <sheetName val="BAL N VR7"/>
      <sheetName val="BAL N TURVILLA"/>
      <sheetName val="BAL N HART"/>
      <sheetName val="BAL N VICTOIRE"/>
      <sheetName val="BAL N TH4"/>
      <sheetName val="BAL N DIVES"/>
      <sheetName val="BAL N R314"/>
      <sheetName val="BAL N LYSE"/>
      <sheetName val="BAL N ARTHUR"/>
      <sheetName val="BAL N HUGO"/>
      <sheetName val="BAL N JEANCLO"/>
      <sheetName val="BAL N THOMAS"/>
      <sheetName val="BAL N CATALINA"/>
      <sheetName val="TL"/>
      <sheetName val="DONNEES_MOIS 2024"/>
      <sheetName val="DONNEES_CUM 2024"/>
      <sheetName val="PARAMETRES"/>
      <sheetName val="DONNÉES"/>
      <sheetName val="pr info suivi écart"/>
      <sheetName val="SOMMAIRE"/>
      <sheetName val="FB1"/>
      <sheetName val="INTRODUCTION"/>
      <sheetName val="FB2"/>
      <sheetName val="IA"/>
      <sheetName val="GCA GLOBAL"/>
      <sheetName val="GLOBAL M"/>
      <sheetName val="GPL GLOBAL"/>
      <sheetName val="GLOBAL C"/>
      <sheetName val="CONTRIB M"/>
      <sheetName val="CONTRIB CUM "/>
      <sheetName val="FB3"/>
      <sheetName val="IB"/>
      <sheetName val="GCA GLR5"/>
      <sheetName val="GLR5 M"/>
      <sheetName val="GCA HTR8"/>
      <sheetName val="HTR8 M"/>
      <sheetName val="GCA TIRR"/>
      <sheetName val="TIRR M"/>
      <sheetName val="GCA VR7"/>
      <sheetName val="VR7 M "/>
      <sheetName val="GCA TURVILLA"/>
      <sheetName val="TURVILLA M"/>
      <sheetName val="GCA HART"/>
      <sheetName val="HART M"/>
      <sheetName val="GCA VICTOIRE"/>
      <sheetName val="VICTOIRE M"/>
      <sheetName val="GCA TH4"/>
      <sheetName val="TH4 M "/>
      <sheetName val="GCA DIVES"/>
      <sheetName val="DIVES M"/>
      <sheetName val="GCA R314"/>
      <sheetName val="R314 M "/>
      <sheetName val="GCA LYSE"/>
      <sheetName val="LYSE M "/>
      <sheetName val="GCA ARTHUR"/>
      <sheetName val="ARTHUR M "/>
      <sheetName val="GCA HUGO"/>
      <sheetName val="HUGO M "/>
      <sheetName val="GCA JEANCLO"/>
      <sheetName val="JEANCLO M "/>
      <sheetName val="GCA THOMAS"/>
      <sheetName val="THOMAS M"/>
      <sheetName val="GCA CATALINA"/>
      <sheetName val="CATALINA M"/>
      <sheetName val="FB4"/>
      <sheetName val="IC"/>
      <sheetName val="GPL GLR5"/>
      <sheetName val="GLR5 A"/>
      <sheetName val="GPL HTR8"/>
      <sheetName val="HTR8 A"/>
      <sheetName val="GPL TIRR"/>
      <sheetName val="TIRR A"/>
      <sheetName val="GPL VR7"/>
      <sheetName val="VR7 A"/>
      <sheetName val="GPL TURVILLA"/>
      <sheetName val="TURVILLA A"/>
      <sheetName val="GPL HART"/>
      <sheetName val="HART A"/>
      <sheetName val="GPL VICTOIRE"/>
      <sheetName val="VICTOIRE A"/>
      <sheetName val="GPL TH4"/>
      <sheetName val="TH4 A"/>
      <sheetName val="GPL DIVES"/>
      <sheetName val="DIVES A"/>
      <sheetName val="GPL R314"/>
      <sheetName val="R314 A"/>
      <sheetName val="GPL LYSE"/>
      <sheetName val="LYSE A"/>
      <sheetName val="GPL ARTHUR"/>
      <sheetName val="ARTHUR A"/>
      <sheetName val="GPL HUGO"/>
      <sheetName val="HUGO A"/>
      <sheetName val="GPL JEANCLO"/>
      <sheetName val="JEANCLO A"/>
      <sheetName val="GPL THOMAS"/>
      <sheetName val="THOMAS A"/>
      <sheetName val="GPL CATALINA"/>
      <sheetName val="CATALINA A"/>
      <sheetName val="FB20"/>
      <sheetName val="IF"/>
      <sheetName val="GRAPH TRESO"/>
      <sheetName val="TRESO"/>
      <sheetName val="TRANSACTIONS DETAIL"/>
      <sheetName val="TRANSACTIONS RECAP"/>
      <sheetName val="PANIERS DETAIL"/>
      <sheetName val="PANIERS REC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tables/table1.xml><?xml version="1.0" encoding="utf-8"?>
<table xmlns="http://schemas.openxmlformats.org/spreadsheetml/2006/main" id="1" name="TL" displayName="TL" ref="A1:F6091" headerRowCount="1" totalsRowShown="0" headerRowDxfId="4909">
  <autoFilter ref="A1:F6091"/>
  <tableColumns count="6">
    <tableColumn id="8" name="Société - compte" dataDxfId="4908" totalsRowDxfId="4907">
      <calculatedColumnFormula>TL[[#This Row],[Société]]&amp;" - "&amp;TL[[#This Row],[Compte]]</calculatedColumnFormula>
    </tableColumn>
    <tableColumn id="2" name="Compte" dataDxfId="4906" totalsRowDxfId="4905"/>
    <tableColumn id="3" name="Intitulé" totalsRowDxfId="4904"/>
    <tableColumn id="4" name="Table Libre N° 1" totalsRowDxfId="4903"/>
    <tableColumn id="5" name="Table Libre N° 2" totalsRowDxfId="4902"/>
    <tableColumn id="6" name="Société" totalsRowDxfId="490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DONNEES_N1_NOUVEAU" displayName="DONNEES_N1_NOUVEAU" ref="A1:E4560" headerRowCount="1" totalsRowShown="0">
  <autoFilter ref="A1:E4560"/>
  <tableColumns count="5">
    <tableColumn id="1" name="SOCIETE"/>
    <tableColumn id="2" name="MOIS" dataDxfId="4900"/>
    <tableColumn id="3" name="TL2" dataDxfId="4899"/>
    <tableColumn id="4" name="MONTANT" dataDxfId="4898"/>
    <tableColumn id="5" name="TL2 CORRESPONDANCE" dataDxfId="489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DONNEESCUM_N1_NOUVEAU" displayName="DONNEESCUM_N1_NOUVEAU" ref="A1:E4485" headerRowCount="1" totalsRowShown="0">
  <autoFilter ref="A1:E4485"/>
  <tableColumns count="5">
    <tableColumn id="1" name="SOCIETE"/>
    <tableColumn id="2" name="MOIS" dataDxfId="3"/>
    <tableColumn id="3" name="TL2" dataDxfId="2"/>
    <tableColumn id="4" name="MONTANT" dataDxfId="1"/>
    <tableColumn id="5" name="TL2 CORRESPONDANCE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JOUR_FIN_MOIS" displayName="JOUR_FIN_MOIS" ref="A6:B18" headerRowCount="1" totalsRowShown="0" headerRowDxfId="4896" dataDxfId="4895">
  <autoFilter ref="A6:B18"/>
  <tableColumns count="2">
    <tableColumn id="1" name="Mois" dataDxfId="4894"/>
    <tableColumn id="2" name="Jour fin de mois" dataDxfId="4893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id="5" name="CORRESPONDANCE" displayName="CORRESPONDANCE" ref="A22:C74" headerRowCount="1" totalsRowShown="0">
  <tableColumns count="3">
    <tableColumn id="3" name="Table libre" dataDxfId="4892"/>
    <tableColumn id="6" name="Code" dataDxfId="4891"/>
    <tableColumn id="4" name="Ligne P&amp;L" dataDxfId="489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CAGLOBAL" displayName="CAGLOBAL" ref="B11:H23" headerRowCount="1" totalsRowShown="0" headerRowDxfId="4889" dataDxfId="4888">
  <tableColumns count="7">
    <tableColumn id="1" name="MOIS" dataDxfId="4887"/>
    <tableColumn id="7" name="2025" dataDxfId="4886">
      <calculatedColumnFormula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calculatedColumnFormula>
    </tableColumn>
    <tableColumn id="2" name="2024" dataDxfId="4885">
      <calculatedColumnFormula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calculatedColumnFormula>
    </tableColumn>
    <tableColumn id="3" name="2023" dataDxfId="4884">
      <calculatedColumnFormula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calculatedColumnFormula>
    </tableColumn>
    <tableColumn id="4" name="2022" dataDxfId="4883">
      <calculatedColumnFormula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calculatedColumnFormula>
    </tableColumn>
    <tableColumn id="5" name="2021" dataDxfId="4882">
      <calculatedColumnFormula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calculatedColumnFormula>
    </tableColumn>
    <tableColumn id="6" name="2020" dataDxfId="4881">
      <calculatedColumnFormula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calculatedColumnFormula>
    </tableColumn>
  </tableColumns>
  <tableStyleInfo name="TableStyleMedium12" showFirstColumn="0" showLastColumn="0" showRowStripes="1" showColumnStripes="0"/>
</table>
</file>

<file path=xl/tables/table7.xml><?xml version="1.0" encoding="utf-8"?>
<table xmlns="http://schemas.openxmlformats.org/spreadsheetml/2006/main" id="7" name="CACR314" displayName="CACR314" ref="CD11:CJ23" headerRowCount="1" totalsRowShown="0" headerRowDxfId="4880" dataDxfId="4879">
  <tableColumns count="7">
    <tableColumn id="1" name="MOIS" dataDxfId="4878"/>
    <tableColumn id="7" name="2025" dataDxfId="4877"/>
    <tableColumn id="2" name="2024" dataDxfId="4876" dataCellStyle="Milliers"/>
    <tableColumn id="3" name="2023" dataDxfId="4875"/>
    <tableColumn id="4" name="2022" dataDxfId="4874"/>
    <tableColumn id="5" name="2021" dataDxfId="4873"/>
    <tableColumn id="6" name="2020" dataDxfId="4872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id="8" name="CALYSE" displayName="CALYSE" ref="CL11:CR23" headerRowCount="1" totalsRowShown="0" headerRowDxfId="4871" dataDxfId="4870">
  <tableColumns count="7">
    <tableColumn id="1" name="MOIS" dataDxfId="4869"/>
    <tableColumn id="7" name="2025" dataDxfId="4868"/>
    <tableColumn id="2" name="2024" dataDxfId="4867" dataCellStyle="Milliers"/>
    <tableColumn id="3" name="2023" dataDxfId="4866"/>
    <tableColumn id="4" name="2022" dataDxfId="4865"/>
    <tableColumn id="5" name="2021" dataDxfId="4864"/>
    <tableColumn id="6" name="2020" dataDxfId="4863"/>
  </tableColumns>
  <tableStyleInfo name="TableStyleMedium8" showFirstColumn="0" showLastColumn="0" showRowStripes="1" showColumnStripes="0"/>
</table>
</file>

<file path=xl/tables/table9.xml><?xml version="1.0" encoding="utf-8"?>
<table xmlns="http://schemas.openxmlformats.org/spreadsheetml/2006/main" id="9" name="CADIVES" displayName="CADIVES" ref="BV11:CB23" headerRowCount="1" totalsRowShown="0" headerRowDxfId="4862" dataDxfId="4861">
  <tableColumns count="7">
    <tableColumn id="1" name="MOIS" dataDxfId="4860"/>
    <tableColumn id="7" name="2025" dataDxfId="4859"/>
    <tableColumn id="2" name="2024" dataDxfId="4858" dataCellStyle="Milliers"/>
    <tableColumn id="3" name="2023" dataDxfId="4857"/>
    <tableColumn id="4" name="2022" dataDxfId="4856"/>
    <tableColumn id="5" name="2021" dataDxfId="4855"/>
    <tableColumn id="6" name="2020" dataDxfId="4854"/>
  </tableColumns>
  <tableStyleInfo name="TableStyleMedium10" showFirstColumn="0" showLastColumn="0" showRowStripes="1" showColumnStripes="0"/>
</table>
</file>

<file path=xl/tables/table10.xml><?xml version="1.0" encoding="utf-8"?>
<table xmlns="http://schemas.openxmlformats.org/spreadsheetml/2006/main" id="10" name="CATH4" displayName="CATH4" ref="BN11:BT23" headerRowCount="1" totalsRowShown="0" headerRowDxfId="4853" dataDxfId="4852">
  <tableColumns count="7">
    <tableColumn id="1" name="MOIS" dataDxfId="4851"/>
    <tableColumn id="7" name="2025" dataDxfId="4850"/>
    <tableColumn id="2" name="2024" dataDxfId="4849" dataCellStyle="Milliers"/>
    <tableColumn id="3" name="2023" dataDxfId="4848"/>
    <tableColumn id="4" name="2022" dataDxfId="4847"/>
    <tableColumn id="5" name="2021" dataDxfId="4846"/>
    <tableColumn id="6" name="2020" dataDxfId="4845"/>
  </tableColumns>
  <tableStyleInfo name="TableStyleMedium11" showFirstColumn="0" showLastColumn="0" showRowStripes="1" showColumnStripes="0"/>
</table>
</file>

<file path=xl/tables/table11.xml><?xml version="1.0" encoding="utf-8"?>
<table xmlns="http://schemas.openxmlformats.org/spreadsheetml/2006/main" id="11" name="PLGLOBAL" displayName="PLGLOBAL" ref="B27:H39" headerRowCount="1" totalsRowShown="0" headerRowDxfId="4844" dataDxfId="4843">
  <tableColumns count="7">
    <tableColumn id="1" name="MOIS" dataDxfId="4842"/>
    <tableColumn id="7" name="2024" dataDxfId="4841">
      <calculatedColumnFormula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calculatedColumnFormula>
    </tableColumn>
    <tableColumn id="2" name="2023" dataDxfId="4840">
      <calculatedColumnFormula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calculatedColumnFormula>
    </tableColumn>
    <tableColumn id="3" name="2022" dataDxfId="4839">
      <calculatedColumnFormula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calculatedColumnFormula>
    </tableColumn>
    <tableColumn id="4" name="2021" dataDxfId="4838">
      <calculatedColumnFormula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calculatedColumnFormula>
    </tableColumn>
    <tableColumn id="5" name="2020" dataDxfId="4837">
      <calculatedColumnFormula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calculatedColumnFormula>
    </tableColumn>
    <tableColumn id="6" name="2019" dataDxfId="4836">
      <calculatedColumnFormula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calculatedColumnFormula>
    </tableColumn>
  </tableColumns>
  <tableStyleInfo name="TableStyleMedium12" showFirstColumn="0" showLastColumn="0" showRowStripes="1" showColumnStripes="0"/>
</table>
</file>

<file path=xl/tables/table12.xml><?xml version="1.0" encoding="utf-8"?>
<table xmlns="http://schemas.openxmlformats.org/spreadsheetml/2006/main" id="12" name="PLCR314" displayName="PLCR314" ref="CD27:CJ39" headerRowCount="1" totalsRowShown="0" headerRowDxfId="4835" dataDxfId="4834">
  <tableColumns count="7">
    <tableColumn id="1" name="MOIS" dataDxfId="4833"/>
    <tableColumn id="7" name="2025" dataDxfId="4832"/>
    <tableColumn id="2" name="2024" dataDxfId="4831" dataCellStyle="Milliers"/>
    <tableColumn id="3" name="2023" dataDxfId="4830"/>
    <tableColumn id="4" name="2022" dataDxfId="4829"/>
    <tableColumn id="5" name="2021" dataDxfId="4828"/>
    <tableColumn id="6" name="2020" dataDxfId="4827"/>
  </tableColumns>
  <tableStyleInfo name="TableStyleMedium14" showFirstColumn="0" showLastColumn="0" showRowStripes="1" showColumnStripes="0"/>
</table>
</file>

<file path=xl/tables/table13.xml><?xml version="1.0" encoding="utf-8"?>
<table xmlns="http://schemas.openxmlformats.org/spreadsheetml/2006/main" id="13" name="PLLYSE" displayName="PLLYSE" ref="CL27:CR39" headerRowCount="1" totalsRowShown="0" headerRowDxfId="4826" dataDxfId="4825">
  <tableColumns count="7">
    <tableColumn id="1" name="MOIS" dataDxfId="4824"/>
    <tableColumn id="7" name="2025" dataDxfId="4823"/>
    <tableColumn id="2" name="2024" dataDxfId="4822" dataCellStyle="Milliers"/>
    <tableColumn id="3" name="2023" dataDxfId="4821"/>
    <tableColumn id="4" name="2022" dataDxfId="4820"/>
    <tableColumn id="5" name="2021" dataDxfId="4819"/>
    <tableColumn id="6" name="2020" dataDxfId="4818"/>
  </tableColumns>
  <tableStyleInfo name="TableStyleMedium8" showFirstColumn="0" showLastColumn="0" showRowStripes="1" showColumnStripes="0"/>
</table>
</file>

<file path=xl/tables/table14.xml><?xml version="1.0" encoding="utf-8"?>
<table xmlns="http://schemas.openxmlformats.org/spreadsheetml/2006/main" id="14" name="PLDIVES" displayName="PLDIVES" ref="BV27:CB39" headerRowCount="1" totalsRowShown="0" headerRowDxfId="4817" dataDxfId="4816">
  <tableColumns count="7">
    <tableColumn id="1" name="MOIS" dataDxfId="4815"/>
    <tableColumn id="7" name="2025" dataDxfId="4814"/>
    <tableColumn id="2" name="2024" dataDxfId="4813" dataCellStyle="Milliers"/>
    <tableColumn id="3" name="2023" dataDxfId="4812"/>
    <tableColumn id="4" name="2022" dataDxfId="4811"/>
    <tableColumn id="5" name="2021" dataDxfId="4810"/>
    <tableColumn id="6" name="2020" dataDxfId="4809"/>
  </tableColumns>
  <tableStyleInfo name="TableStyleMedium10" showFirstColumn="0" showLastColumn="0" showRowStripes="1" showColumnStripes="0"/>
</table>
</file>

<file path=xl/tables/table15.xml><?xml version="1.0" encoding="utf-8"?>
<table xmlns="http://schemas.openxmlformats.org/spreadsheetml/2006/main" id="15" name="PLTH4" displayName="PLTH4" ref="BN27:BT39" headerRowCount="1" totalsRowShown="0" headerRowDxfId="4808" dataDxfId="4807">
  <tableColumns count="7">
    <tableColumn id="1" name="MOIS" dataDxfId="4806"/>
    <tableColumn id="7" name="2025" dataDxfId="4805"/>
    <tableColumn id="2" name="2024" dataDxfId="4804" dataCellStyle="Milliers"/>
    <tableColumn id="3" name="2023" dataDxfId="4803"/>
    <tableColumn id="4" name="2022" dataDxfId="4802"/>
    <tableColumn id="5" name="2021" dataDxfId="4801"/>
    <tableColumn id="6" name="2020" dataDxfId="4800"/>
  </tableColumns>
  <tableStyleInfo name="TableStyleMedium11" showFirstColumn="0" showLastColumn="0" showRowStripes="1" showColumnStripes="0"/>
</table>
</file>

<file path=xl/tables/table16.xml><?xml version="1.0" encoding="utf-8"?>
<table xmlns="http://schemas.openxmlformats.org/spreadsheetml/2006/main" id="16" name="TRANSGLOBAL" displayName="TRANSGLOBAL" ref="B107:H119" headerRowCount="1" totalsRowShown="0" headerRowDxfId="4799" dataDxfId="4798">
  <tableColumns count="7">
    <tableColumn id="1" name="MOIS" dataDxfId="4797"/>
    <tableColumn id="7" name="2024" dataDxfId="4796">
      <calculatedColumnFormula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calculatedColumnFormula>
    </tableColumn>
    <tableColumn id="2" name="2023" dataDxfId="4795">
      <calculatedColumnFormula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calculatedColumnFormula>
    </tableColumn>
    <tableColumn id="3" name="2022" dataDxfId="4794">
      <calculatedColumnFormula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calculatedColumnFormula>
    </tableColumn>
    <tableColumn id="4" name="2021" dataDxfId="4793">
      <calculatedColumnFormula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calculatedColumnFormula>
    </tableColumn>
    <tableColumn id="5" name="2020" dataDxfId="4792">
      <calculatedColumnFormula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calculatedColumnFormula>
    </tableColumn>
    <tableColumn id="6" name="2019" dataDxfId="4791">
      <calculatedColumnFormula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calculatedColumnFormula>
    </tableColumn>
  </tableColumns>
  <tableStyleInfo name="TableStyleMedium12" showFirstColumn="0" showLastColumn="0" showRowStripes="1" showColumnStripes="0"/>
</table>
</file>

<file path=xl/tables/table17.xml><?xml version="1.0" encoding="utf-8"?>
<table xmlns="http://schemas.openxmlformats.org/spreadsheetml/2006/main" id="17" name="TRANSR314" displayName="TRANSR314" ref="CD107:CJ119" headerRowCount="1" totalsRowShown="0" headerRowDxfId="4790" dataDxfId="4789">
  <tableColumns count="7">
    <tableColumn id="1" name="MOIS" dataDxfId="4788"/>
    <tableColumn id="7" name="2025" dataDxfId="4787">
      <calculatedColumnFormula>+CE92+CE76+CE60+CE44</calculatedColumnFormula>
    </tableColumn>
    <tableColumn id="2" name="2024" dataDxfId="4786" dataCellStyle="Milliers"/>
    <tableColumn id="3" name="2023" dataDxfId="4785"/>
    <tableColumn id="4" name="2022" dataDxfId="4784"/>
    <tableColumn id="5" name="2021" dataDxfId="4783"/>
    <tableColumn id="6" name="2020" dataDxfId="4782"/>
  </tableColumns>
  <tableStyleInfo name="TableStyleMedium14" showFirstColumn="0" showLastColumn="0" showRowStripes="1" showColumnStripes="0"/>
</table>
</file>

<file path=xl/tables/table18.xml><?xml version="1.0" encoding="utf-8"?>
<table xmlns="http://schemas.openxmlformats.org/spreadsheetml/2006/main" id="18" name="TRANSLYSE" displayName="TRANSLYSE" ref="CL107:CR119" headerRowCount="1" totalsRowShown="0" headerRowDxfId="4781" dataDxfId="4780">
  <tableColumns count="7">
    <tableColumn id="1" name="MOIS" dataDxfId="4779"/>
    <tableColumn id="7" name="2025" dataDxfId="4778">
      <calculatedColumnFormula>+CM92+CM76+CM60+CM44</calculatedColumnFormula>
    </tableColumn>
    <tableColumn id="2" name="2024" dataDxfId="4777" dataCellStyle="Milliers"/>
    <tableColumn id="3" name="2023" dataDxfId="4776"/>
    <tableColumn id="4" name="2022" dataDxfId="4775"/>
    <tableColumn id="5" name="2021" dataDxfId="4774"/>
    <tableColumn id="6" name="2020" dataDxfId="4773"/>
  </tableColumns>
  <tableStyleInfo name="TableStyleMedium8" showFirstColumn="0" showLastColumn="0" showRowStripes="1" showColumnStripes="0"/>
</table>
</file>

<file path=xl/tables/table19.xml><?xml version="1.0" encoding="utf-8"?>
<table xmlns="http://schemas.openxmlformats.org/spreadsheetml/2006/main" id="19" name="TRANSDIVES" displayName="TRANSDIVES" ref="BV107:CB119" headerRowCount="1" totalsRowShown="0" headerRowDxfId="4772" dataDxfId="4771">
  <tableColumns count="7">
    <tableColumn id="1" name="MOIS" dataDxfId="4770"/>
    <tableColumn id="7" name="2025" dataDxfId="4769">
      <calculatedColumnFormula>+BW92+BW76+BW60+BW44</calculatedColumnFormula>
    </tableColumn>
    <tableColumn id="2" name="2024" dataDxfId="4768" dataCellStyle="Milliers"/>
    <tableColumn id="3" name="2023" dataDxfId="4767"/>
    <tableColumn id="4" name="2022" dataDxfId="4766"/>
    <tableColumn id="5" name="2021" dataDxfId="4765"/>
    <tableColumn id="6" name="2020" dataDxfId="4764"/>
  </tableColumns>
  <tableStyleInfo name="TableStyleMedium10" showFirstColumn="0" showLastColumn="0" showRowStripes="1" showColumnStripes="0"/>
</table>
</file>

<file path=xl/tables/table20.xml><?xml version="1.0" encoding="utf-8"?>
<table xmlns="http://schemas.openxmlformats.org/spreadsheetml/2006/main" id="20" name="TRANSTH4" displayName="TRANSTH4" ref="BN107:BT119" headerRowCount="1" totalsRowShown="0" headerRowDxfId="4763" dataDxfId="4762">
  <tableColumns count="7">
    <tableColumn id="1" name="MOIS" dataDxfId="4761"/>
    <tableColumn id="7" name="2025" dataDxfId="4760">
      <calculatedColumnFormula>+BO92+BO76+BO60+BO44</calculatedColumnFormula>
    </tableColumn>
    <tableColumn id="2" name="2024" dataDxfId="4759" dataCellStyle="Milliers"/>
    <tableColumn id="3" name="2023" dataDxfId="4758"/>
    <tableColumn id="4" name="2022" dataDxfId="4757"/>
    <tableColumn id="5" name="2021" dataDxfId="4756"/>
    <tableColumn id="6" name="2020" dataDxfId="4755"/>
  </tableColumns>
  <tableStyleInfo name="TableStyleMedium11" showFirstColumn="0" showLastColumn="0" showRowStripes="1" showColumnStripes="0"/>
</table>
</file>

<file path=xl/tables/table21.xml><?xml version="1.0" encoding="utf-8"?>
<table xmlns="http://schemas.openxmlformats.org/spreadsheetml/2006/main" id="21" name="PMGLOBAL" displayName="PMGLOBAL" ref="B235:H247" headerRowCount="1" totalsRowShown="0" headerRowDxfId="4754" dataDxfId="4753">
  <tableColumns count="7">
    <tableColumn id="1" name="MOIS" dataDxfId="4752"/>
    <tableColumn id="7" name="2024" dataDxfId="4751">
      <calculatedColumnFormula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calculatedColumnFormula>
    </tableColumn>
    <tableColumn id="2" name="2023" dataDxfId="4750">
      <calculatedColumnFormula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calculatedColumnFormula>
    </tableColumn>
    <tableColumn id="3" name="2022" dataDxfId="4749">
      <calculatedColumnFormula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calculatedColumnFormula>
    </tableColumn>
    <tableColumn id="4" name="2021" dataDxfId="4748">
      <calculatedColumnFormula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calculatedColumnFormula>
    </tableColumn>
    <tableColumn id="5" name="2020" dataDxfId="4747">
      <calculatedColumnFormula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calculatedColumnFormula>
    </tableColumn>
    <tableColumn id="6" name="2019" dataDxfId="4746">
      <calculatedColumnFormula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calculatedColumnFormula>
    </tableColumn>
  </tableColumns>
  <tableStyleInfo name="TableStyleMedium12" showFirstColumn="0" showLastColumn="0" showRowStripes="1" showColumnStripes="0"/>
</table>
</file>

<file path=xl/tables/table22.xml><?xml version="1.0" encoding="utf-8"?>
<table xmlns="http://schemas.openxmlformats.org/spreadsheetml/2006/main" id="22" name="PMTR314" displayName="PMTR314" ref="CD235:CJ247" headerRowCount="1" totalsRowShown="0" headerRowDxfId="4745" dataDxfId="4744">
  <tableColumns count="7">
    <tableColumn id="1" name="MOIS" dataDxfId="4743"/>
    <tableColumn id="7" name="2025" dataDxfId="4742"/>
    <tableColumn id="2" name="2024" dataDxfId="4741" dataCellStyle="Milliers"/>
    <tableColumn id="3" name="2023" dataDxfId="4740"/>
    <tableColumn id="4" name="2022" dataDxfId="4739"/>
    <tableColumn id="5" name="2021" dataDxfId="4738"/>
    <tableColumn id="6" name="2020" dataDxfId="4737"/>
  </tableColumns>
  <tableStyleInfo name="TableStyleMedium14" showFirstColumn="0" showLastColumn="0" showRowStripes="1" showColumnStripes="0"/>
</table>
</file>

<file path=xl/tables/table23.xml><?xml version="1.0" encoding="utf-8"?>
<table xmlns="http://schemas.openxmlformats.org/spreadsheetml/2006/main" id="23" name="PMLYSE" displayName="PMLYSE" ref="CL235:CR247" headerRowCount="1" totalsRowShown="0" headerRowDxfId="4736" dataDxfId="4735">
  <tableColumns count="7">
    <tableColumn id="1" name="MOIS" dataDxfId="4734"/>
    <tableColumn id="7" name="2025" dataDxfId="4733"/>
    <tableColumn id="2" name="2024" dataDxfId="4732" dataCellStyle="Milliers"/>
    <tableColumn id="3" name="2023" dataDxfId="4731"/>
    <tableColumn id="4" name="2022" dataDxfId="4730"/>
    <tableColumn id="5" name="2021" dataDxfId="4729"/>
    <tableColumn id="6" name="2020" dataDxfId="4728"/>
  </tableColumns>
  <tableStyleInfo name="TableStyleMedium8" showFirstColumn="0" showLastColumn="0" showRowStripes="1" showColumnStripes="0"/>
</table>
</file>

<file path=xl/tables/table24.xml><?xml version="1.0" encoding="utf-8"?>
<table xmlns="http://schemas.openxmlformats.org/spreadsheetml/2006/main" id="24" name="PMDIVES" displayName="PMDIVES" ref="BV235:CB247" headerRowCount="1" totalsRowShown="0" headerRowDxfId="4727" dataDxfId="4726">
  <tableColumns count="7">
    <tableColumn id="1" name="MOIS" dataDxfId="4725"/>
    <tableColumn id="7" name="2025" dataDxfId="4724"/>
    <tableColumn id="2" name="2024" dataDxfId="4723" dataCellStyle="Milliers"/>
    <tableColumn id="3" name="2023" dataDxfId="4722"/>
    <tableColumn id="4" name="2022" dataDxfId="4721"/>
    <tableColumn id="5" name="2021" dataDxfId="4720"/>
    <tableColumn id="6" name="2020" dataDxfId="4719"/>
  </tableColumns>
  <tableStyleInfo name="TableStyleMedium10" showFirstColumn="0" showLastColumn="0" showRowStripes="1" showColumnStripes="0"/>
</table>
</file>

<file path=xl/tables/table25.xml><?xml version="1.0" encoding="utf-8"?>
<table xmlns="http://schemas.openxmlformats.org/spreadsheetml/2006/main" id="25" name="PMTH4" displayName="PMTH4" ref="BN235:BT247" headerRowCount="1" totalsRowShown="0" headerRowDxfId="4718" dataDxfId="4717">
  <tableColumns count="7">
    <tableColumn id="1" name="MOIS" dataDxfId="4716"/>
    <tableColumn id="7" name="2025" dataDxfId="4715"/>
    <tableColumn id="2" name="2024" dataDxfId="4714" dataCellStyle="Milliers"/>
    <tableColumn id="3" name="2023" dataDxfId="4713"/>
    <tableColumn id="4" name="2022" dataDxfId="4712"/>
    <tableColumn id="5" name="2021" dataDxfId="4711"/>
    <tableColumn id="6" name="2020" dataDxfId="4710"/>
  </tableColumns>
  <tableStyleInfo name="TableStyleMedium11" showFirstColumn="0" showLastColumn="0" showRowStripes="1" showColumnStripes="0"/>
</table>
</file>

<file path=xl/tables/table26.xml><?xml version="1.0" encoding="utf-8"?>
<table xmlns="http://schemas.openxmlformats.org/spreadsheetml/2006/main" id="26" name="TRESOGLOBAL" displayName="TRESOGLOBAL" ref="B299:H311" headerRowCount="1" totalsRowShown="0" headerRowDxfId="4709" dataDxfId="4708">
  <tableColumns count="7">
    <tableColumn id="1" name="MOIS" dataDxfId="4707"/>
    <tableColumn id="7" name="2024" dataDxfId="23">
      <calculatedColumnFormula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calculatedColumnFormula>
    </tableColumn>
    <tableColumn id="2" name="2023" dataDxfId="22">
      <calculatedColumnFormula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calculatedColumnFormula>
    </tableColumn>
    <tableColumn id="3" name="2022" dataDxfId="21">
      <calculatedColumnFormula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calculatedColumnFormula>
    </tableColumn>
    <tableColumn id="4" name="2021" dataDxfId="20">
      <calculatedColumnFormula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calculatedColumnFormula>
    </tableColumn>
    <tableColumn id="5" name="2020" dataDxfId="19">
      <calculatedColumnFormula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calculatedColumnFormula>
    </tableColumn>
    <tableColumn id="6" name="2019" dataDxfId="18">
      <calculatedColumnFormula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calculatedColumnFormula>
    </tableColumn>
  </tableColumns>
  <tableStyleInfo name="TableStyleMedium12" showFirstColumn="0" showLastColumn="0" showRowStripes="1" showColumnStripes="0"/>
</table>
</file>

<file path=xl/tables/table27.xml><?xml version="1.0" encoding="utf-8"?>
<table xmlns="http://schemas.openxmlformats.org/spreadsheetml/2006/main" id="27" name="TRESOR314" displayName="TRESOR314" ref="CD299:CJ311" headerRowCount="1" totalsRowShown="0" headerRowDxfId="4706" dataDxfId="4705">
  <tableColumns count="7">
    <tableColumn id="1" name="MOIS" dataDxfId="4704"/>
    <tableColumn id="7" name="2025" dataDxfId="17">
      <calculatedColumnFormula>258.62317-8.44891</calculatedColumnFormula>
    </tableColumn>
    <tableColumn id="2" name="2024" dataDxfId="4703" dataCellStyle="Milliers"/>
    <tableColumn id="3" name="2023" dataDxfId="4702"/>
    <tableColumn id="4" name="2022" dataDxfId="4701"/>
    <tableColumn id="5" name="2021" dataDxfId="4700"/>
    <tableColumn id="6" name="2020" dataDxfId="4699"/>
  </tableColumns>
  <tableStyleInfo name="TableStyleMedium14" showFirstColumn="0" showLastColumn="0" showRowStripes="1" showColumnStripes="0"/>
</table>
</file>

<file path=xl/tables/table28.xml><?xml version="1.0" encoding="utf-8"?>
<table xmlns="http://schemas.openxmlformats.org/spreadsheetml/2006/main" id="28" name="TRESOLYSE" displayName="TRESOLYSE" ref="CL299:CR311" headerRowCount="1" totalsRowShown="0" headerRowDxfId="4698" dataDxfId="4697">
  <tableColumns count="7">
    <tableColumn id="1" name="MOIS" dataDxfId="4696"/>
    <tableColumn id="7" name="2025" dataDxfId="16">
      <calculatedColumnFormula>567.38802-3.57961</calculatedColumnFormula>
    </tableColumn>
    <tableColumn id="2" name="2024" dataDxfId="4695" dataCellStyle="Milliers"/>
    <tableColumn id="3" name="2023" dataDxfId="4694"/>
    <tableColumn id="4" name="2022" dataDxfId="4693"/>
    <tableColumn id="5" name="2021" dataDxfId="4692"/>
    <tableColumn id="6" name="2020" dataDxfId="4691"/>
  </tableColumns>
  <tableStyleInfo name="TableStyleMedium8" showFirstColumn="0" showLastColumn="0" showRowStripes="1" showColumnStripes="0"/>
</table>
</file>

<file path=xl/tables/table29.xml><?xml version="1.0" encoding="utf-8"?>
<table xmlns="http://schemas.openxmlformats.org/spreadsheetml/2006/main" id="29" name="TRESODIVES" displayName="TRESODIVES" ref="BV299:CB311" headerRowCount="1" totalsRowShown="0" headerRowDxfId="4690" dataDxfId="4689">
  <tableColumns count="7">
    <tableColumn id="1" name="MOIS" dataDxfId="4688"/>
    <tableColumn id="7" name="2025" dataDxfId="15">
      <calculatedColumnFormula>371.37269-4.90301</calculatedColumnFormula>
    </tableColumn>
    <tableColumn id="2" name="2024" dataDxfId="4687" dataCellStyle="Milliers"/>
    <tableColumn id="3" name="2023" dataDxfId="4686"/>
    <tableColumn id="4" name="2022" dataDxfId="4685"/>
    <tableColumn id="5" name="2021" dataDxfId="4684"/>
    <tableColumn id="6" name="2020" dataDxfId="4683"/>
  </tableColumns>
  <tableStyleInfo name="TableStyleMedium10" showFirstColumn="0" showLastColumn="0" showRowStripes="1" showColumnStripes="0"/>
</table>
</file>

<file path=xl/tables/table30.xml><?xml version="1.0" encoding="utf-8"?>
<table xmlns="http://schemas.openxmlformats.org/spreadsheetml/2006/main" id="30" name="TRESOTH4" displayName="TRESOTH4" ref="BN299:BT311" headerRowCount="1" totalsRowShown="0" headerRowDxfId="4682" dataDxfId="4681">
  <tableColumns count="7">
    <tableColumn id="1" name="MOIS" dataDxfId="4680"/>
    <tableColumn id="7" name="2025" dataDxfId="14">
      <calculatedColumnFormula>377.24434-4.78771</calculatedColumnFormula>
    </tableColumn>
    <tableColumn id="2" name="2024" dataDxfId="4679" dataCellStyle="Milliers"/>
    <tableColumn id="3" name="2023" dataDxfId="4678"/>
    <tableColumn id="4" name="2022" dataDxfId="4677"/>
    <tableColumn id="5" name="2021" dataDxfId="4676"/>
    <tableColumn id="6" name="2020" dataDxfId="4675"/>
  </tableColumns>
  <tableStyleInfo name="TableStyleMedium11" showFirstColumn="0" showLastColumn="0" showRowStripes="1" showColumnStripes="0"/>
</table>
</file>

<file path=xl/tables/table31.xml><?xml version="1.0" encoding="utf-8"?>
<table xmlns="http://schemas.openxmlformats.org/spreadsheetml/2006/main" id="31" name="TRANSCGLOBAL" displayName="TRANSCGLOBAL" ref="B187:H199" headerRowCount="1" totalsRowShown="0" headerRowDxfId="4674" dataDxfId="4673">
  <tableColumns count="7">
    <tableColumn id="1" name="MOIS" dataDxfId="4672"/>
    <tableColumn id="7" name="2024" dataDxfId="4671">
      <calculatedColumnFormula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calculatedColumnFormula>
    </tableColumn>
    <tableColumn id="2" name="2023" dataDxfId="4670">
      <calculatedColumnFormula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calculatedColumnFormula>
    </tableColumn>
    <tableColumn id="3" name="2022" dataDxfId="4669">
      <calculatedColumnFormula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calculatedColumnFormula>
    </tableColumn>
    <tableColumn id="4" name="2021" dataDxfId="4668">
      <calculatedColumnFormula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calculatedColumnFormula>
    </tableColumn>
    <tableColumn id="5" name="2020" dataDxfId="4667">
      <calculatedColumnFormula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calculatedColumnFormula>
    </tableColumn>
    <tableColumn id="6" name="2019" dataDxfId="4666">
      <calculatedColumnFormula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calculatedColumnFormula>
    </tableColumn>
  </tableColumns>
  <tableStyleInfo name="TableStyleMedium12" showFirstColumn="0" showLastColumn="0" showRowStripes="1" showColumnStripes="0"/>
</table>
</file>

<file path=xl/tables/table32.xml><?xml version="1.0" encoding="utf-8"?>
<table xmlns="http://schemas.openxmlformats.org/spreadsheetml/2006/main" id="32" name="TRANSCR314" displayName="TRANSCR314" ref="CD187:CJ199" headerRowCount="1" totalsRowShown="0" headerRowDxfId="4665" dataDxfId="4664">
  <tableColumns count="7">
    <tableColumn id="1" name="MOIS" dataDxfId="4663"/>
    <tableColumn id="7" name="2025" dataDxfId="4662"/>
    <tableColumn id="2" name="2024" dataDxfId="4661" dataCellStyle="Milliers"/>
    <tableColumn id="3" name="2023" dataDxfId="4660"/>
    <tableColumn id="4" name="2022" dataDxfId="4659"/>
    <tableColumn id="5" name="2021" dataDxfId="4658"/>
    <tableColumn id="6" name="2020" dataDxfId="4657"/>
  </tableColumns>
  <tableStyleInfo name="TableStyleMedium14" showFirstColumn="0" showLastColumn="0" showRowStripes="1" showColumnStripes="0"/>
</table>
</file>

<file path=xl/tables/table33.xml><?xml version="1.0" encoding="utf-8"?>
<table xmlns="http://schemas.openxmlformats.org/spreadsheetml/2006/main" id="33" name="TRANSCLYSE" displayName="TRANSCLYSE" ref="CL187:CR199" headerRowCount="1" totalsRowShown="0" headerRowDxfId="4656" dataDxfId="4655">
  <tableColumns count="7">
    <tableColumn id="1" name="MOIS" dataDxfId="4654"/>
    <tableColumn id="7" name="2025" dataDxfId="4653"/>
    <tableColumn id="2" name="2024" dataDxfId="4652" dataCellStyle="Milliers"/>
    <tableColumn id="3" name="2023" dataDxfId="4651"/>
    <tableColumn id="4" name="2022" dataDxfId="4650"/>
    <tableColumn id="5" name="2021" dataDxfId="4649"/>
    <tableColumn id="6" name="2020" dataDxfId="4648"/>
  </tableColumns>
  <tableStyleInfo name="TableStyleMedium8" showFirstColumn="0" showLastColumn="0" showRowStripes="1" showColumnStripes="0"/>
</table>
</file>

<file path=xl/tables/table34.xml><?xml version="1.0" encoding="utf-8"?>
<table xmlns="http://schemas.openxmlformats.org/spreadsheetml/2006/main" id="34" name="TRANSCDIVES" displayName="TRANSCDIVES" ref="BV187:CB199" headerRowCount="1" totalsRowShown="0" headerRowDxfId="4647" dataDxfId="4646">
  <tableColumns count="7">
    <tableColumn id="1" name="MOIS" dataDxfId="4645"/>
    <tableColumn id="7" name="2025" dataDxfId="4644"/>
    <tableColumn id="2" name="2024" dataDxfId="4643" dataCellStyle="Milliers"/>
    <tableColumn id="3" name="2023" dataDxfId="4642"/>
    <tableColumn id="4" name="2022" dataDxfId="4641"/>
    <tableColumn id="5" name="2021" dataDxfId="4640"/>
    <tableColumn id="6" name="2020" dataDxfId="4639"/>
  </tableColumns>
  <tableStyleInfo name="TableStyleMedium10" showFirstColumn="0" showLastColumn="0" showRowStripes="1" showColumnStripes="0"/>
</table>
</file>

<file path=xl/tables/table35.xml><?xml version="1.0" encoding="utf-8"?>
<table xmlns="http://schemas.openxmlformats.org/spreadsheetml/2006/main" id="35" name="TRANSCTH4" displayName="TRANSCTH4" ref="BN187:BT199" headerRowCount="1" totalsRowShown="0" headerRowDxfId="4638" dataDxfId="4637">
  <tableColumns count="7">
    <tableColumn id="1" name="MOIS" dataDxfId="4636"/>
    <tableColumn id="7" name="2025" dataDxfId="4635"/>
    <tableColumn id="2" name="2024" dataDxfId="4634" dataCellStyle="Milliers"/>
    <tableColumn id="3" name="2023" dataDxfId="4633"/>
    <tableColumn id="4" name="2022" dataDxfId="4632"/>
    <tableColumn id="5" name="2021" dataDxfId="4631"/>
    <tableColumn id="6" name="2020" dataDxfId="4630"/>
  </tableColumns>
  <tableStyleInfo name="TableStyleMedium11" showFirstColumn="0" showLastColumn="0" showRowStripes="1" showColumnStripes="0"/>
</table>
</file>

<file path=xl/tables/table36.xml><?xml version="1.0" encoding="utf-8"?>
<table xmlns="http://schemas.openxmlformats.org/spreadsheetml/2006/main" id="36" name="PMCGLOBAL" displayName="PMCGLOBAL" ref="B283:H295" headerRowCount="1" totalsRowShown="0" headerRowDxfId="4629" dataDxfId="4628">
  <tableColumns count="7">
    <tableColumn id="1" name="MOIS" dataDxfId="4627"/>
    <tableColumn id="7" name="2024" dataDxfId="4626">
      <calculatedColumnFormula>AVERAGE(C$236:C236)</calculatedColumnFormula>
    </tableColumn>
    <tableColumn id="2" name="2023" dataDxfId="4625">
      <calculatedColumnFormula>AVERAGE(D$236:D236)</calculatedColumnFormula>
    </tableColumn>
    <tableColumn id="3" name="2022" dataDxfId="4624">
      <calculatedColumnFormula>AVERAGE(E$236:E236)</calculatedColumnFormula>
    </tableColumn>
    <tableColumn id="4" name="2021" dataDxfId="4623">
      <calculatedColumnFormula>AVERAGE(F$236:F236)</calculatedColumnFormula>
    </tableColumn>
    <tableColumn id="5" name="2020" dataDxfId="4622">
      <calculatedColumnFormula>AVERAGE(G$236:G236)</calculatedColumnFormula>
    </tableColumn>
    <tableColumn id="6" name="2019" dataDxfId="4621">
      <calculatedColumnFormula>AVERAGE(H$236:H236)</calculatedColumnFormula>
    </tableColumn>
  </tableColumns>
  <tableStyleInfo name="TableStyleMedium12" showFirstColumn="0" showLastColumn="0" showRowStripes="1" showColumnStripes="0"/>
</table>
</file>

<file path=xl/tables/table37.xml><?xml version="1.0" encoding="utf-8"?>
<table xmlns="http://schemas.openxmlformats.org/spreadsheetml/2006/main" id="37" name="PMCR314" displayName="PMCR314" ref="CD283:CJ295" headerRowCount="1" totalsRowShown="0" headerRowDxfId="4620" dataDxfId="4619">
  <tableColumns count="7">
    <tableColumn id="1" name="MOIS" dataDxfId="4618"/>
    <tableColumn id="7" name="2025" dataDxfId="4617">
      <calculatedColumnFormula>AVERAGE(CE$236:CE236)</calculatedColumnFormula>
    </tableColumn>
    <tableColumn id="2" name="2024" dataDxfId="4616" dataCellStyle="Milliers"/>
    <tableColumn id="3" name="2023" dataDxfId="4615"/>
    <tableColumn id="4" name="2022" dataDxfId="4614"/>
    <tableColumn id="5" name="2021" dataDxfId="4613"/>
    <tableColumn id="6" name="2020" dataDxfId="4612"/>
  </tableColumns>
  <tableStyleInfo name="TableStyleMedium14" showFirstColumn="0" showLastColumn="0" showRowStripes="1" showColumnStripes="0"/>
</table>
</file>

<file path=xl/tables/table38.xml><?xml version="1.0" encoding="utf-8"?>
<table xmlns="http://schemas.openxmlformats.org/spreadsheetml/2006/main" id="38" name="PMCLYSE" displayName="PMCLYSE" ref="CL283:CR295" headerRowCount="1" totalsRowShown="0" headerRowDxfId="4611" dataDxfId="4610">
  <tableColumns count="7">
    <tableColumn id="1" name="MOIS" dataDxfId="4609"/>
    <tableColumn id="7" name="2025" dataDxfId="4608">
      <calculatedColumnFormula>AVERAGE(CM$236:CM236)</calculatedColumnFormula>
    </tableColumn>
    <tableColumn id="2" name="2024" dataDxfId="4607" dataCellStyle="Milliers"/>
    <tableColumn id="3" name="2023" dataDxfId="4606"/>
    <tableColumn id="4" name="2022" dataDxfId="4605"/>
    <tableColumn id="5" name="2021" dataDxfId="4604"/>
    <tableColumn id="6" name="2020" dataDxfId="4603"/>
  </tableColumns>
  <tableStyleInfo name="TableStyleMedium8" showFirstColumn="0" showLastColumn="0" showRowStripes="1" showColumnStripes="0"/>
</table>
</file>

<file path=xl/tables/table39.xml><?xml version="1.0" encoding="utf-8"?>
<table xmlns="http://schemas.openxmlformats.org/spreadsheetml/2006/main" id="39" name="PMCDIVES" displayName="PMCDIVES" ref="BV283:CB295" headerRowCount="1" totalsRowShown="0" headerRowDxfId="4602" dataDxfId="4601">
  <tableColumns count="7">
    <tableColumn id="1" name="MOIS" dataDxfId="4600"/>
    <tableColumn id="7" name="2025" dataDxfId="4599">
      <calculatedColumnFormula>AVERAGE(BW$236:BW236)</calculatedColumnFormula>
    </tableColumn>
    <tableColumn id="2" name="2024" dataDxfId="4598" dataCellStyle="Milliers"/>
    <tableColumn id="3" name="2023" dataDxfId="4597"/>
    <tableColumn id="4" name="2022" dataDxfId="4596"/>
    <tableColumn id="5" name="2021" dataDxfId="4595"/>
    <tableColumn id="6" name="2020" dataDxfId="4594"/>
  </tableColumns>
  <tableStyleInfo name="TableStyleMedium10" showFirstColumn="0" showLastColumn="0" showRowStripes="1" showColumnStripes="0"/>
</table>
</file>

<file path=xl/tables/table40.xml><?xml version="1.0" encoding="utf-8"?>
<table xmlns="http://schemas.openxmlformats.org/spreadsheetml/2006/main" id="40" name="PMCTH4" displayName="PMCTH4" ref="BN283:BT295" headerRowCount="1" totalsRowShown="0" headerRowDxfId="4593" dataDxfId="4592">
  <tableColumns count="7">
    <tableColumn id="1" name="MOIS" dataDxfId="4591"/>
    <tableColumn id="7" name="2025" dataDxfId="4590">
      <calculatedColumnFormula>AVERAGE(BO$236:BO236)</calculatedColumnFormula>
    </tableColumn>
    <tableColumn id="2" name="2024" dataDxfId="4589" dataCellStyle="Milliers"/>
    <tableColumn id="3" name="2023" dataDxfId="4588"/>
    <tableColumn id="4" name="2022" dataDxfId="4587"/>
    <tableColumn id="5" name="2021" dataDxfId="4586"/>
    <tableColumn id="6" name="2020" dataDxfId="4585"/>
  </tableColumns>
  <tableStyleInfo name="TableStyleMedium11" showFirstColumn="0" showLastColumn="0" showRowStripes="1" showColumnStripes="0"/>
</table>
</file>

<file path=xl/tables/table41.xml><?xml version="1.0" encoding="utf-8"?>
<table xmlns="http://schemas.openxmlformats.org/spreadsheetml/2006/main" id="41" name="TRANSGLOBALK" displayName="TRANSGLOBALK" ref="B91:H103" headerRowCount="1" totalsRowShown="0" headerRowDxfId="4584" dataDxfId="4583">
  <tableColumns count="7">
    <tableColumn id="1" name="MOIS" dataDxfId="4582"/>
    <tableColumn id="7" name="2024" dataDxfId="4581">
      <calculatedColumnFormula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calculatedColumnFormula>
    </tableColumn>
    <tableColumn id="2" name="2023" dataDxfId="4580"/>
    <tableColumn id="3" name="2022" dataDxfId="4579"/>
    <tableColumn id="4" name="2021" dataDxfId="4578"/>
    <tableColumn id="5" name="2020" dataDxfId="4577"/>
    <tableColumn id="6" name="2019" dataDxfId="4576"/>
  </tableColumns>
  <tableStyleInfo name="TableStyleMedium12" showFirstColumn="0" showLastColumn="0" showRowStripes="1" showColumnStripes="0"/>
</table>
</file>

<file path=xl/tables/table42.xml><?xml version="1.0" encoding="utf-8"?>
<table xmlns="http://schemas.openxmlformats.org/spreadsheetml/2006/main" id="42" name="TRANSR314K" displayName="TRANSR314K" ref="CD91:CJ103" headerRowCount="1" totalsRowShown="0" headerRowDxfId="4575" dataDxfId="4574">
  <tableColumns count="7">
    <tableColumn id="1" name="MOIS" dataDxfId="4573"/>
    <tableColumn id="7" name="2025" dataDxfId="4572"/>
    <tableColumn id="2" name="2024" dataDxfId="4571" dataCellStyle="Milliers"/>
    <tableColumn id="3" name="2023" dataDxfId="4570"/>
    <tableColumn id="4" name="2022" dataDxfId="4569"/>
    <tableColumn id="5" name="2021" dataDxfId="4568"/>
    <tableColumn id="6" name="2020" dataDxfId="4567"/>
  </tableColumns>
  <tableStyleInfo name="TableStyleMedium14" showFirstColumn="0" showLastColumn="0" showRowStripes="1" showColumnStripes="0"/>
</table>
</file>

<file path=xl/tables/table43.xml><?xml version="1.0" encoding="utf-8"?>
<table xmlns="http://schemas.openxmlformats.org/spreadsheetml/2006/main" id="43" name="TRANSLYSEK" displayName="TRANSLYSEK" ref="CL91:CR103" headerRowCount="1" totalsRowShown="0" headerRowDxfId="4566" dataDxfId="4565">
  <tableColumns count="7">
    <tableColumn id="1" name="MOIS" dataDxfId="4564"/>
    <tableColumn id="7" name="2025" dataDxfId="4563"/>
    <tableColumn id="2" name="2024" dataDxfId="4562" dataCellStyle="Milliers"/>
    <tableColumn id="3" name="2023" dataDxfId="4561"/>
    <tableColumn id="4" name="2022" dataDxfId="4560"/>
    <tableColumn id="5" name="2021" dataDxfId="4559"/>
    <tableColumn id="6" name="2020" dataDxfId="4558"/>
  </tableColumns>
  <tableStyleInfo name="TableStyleMedium8" showFirstColumn="0" showLastColumn="0" showRowStripes="1" showColumnStripes="0"/>
</table>
</file>

<file path=xl/tables/table44.xml><?xml version="1.0" encoding="utf-8"?>
<table xmlns="http://schemas.openxmlformats.org/spreadsheetml/2006/main" id="44" name="TRANSDIVESK" displayName="TRANSDIVESK" ref="BV91:CB103" headerRowCount="1" totalsRowShown="0" headerRowDxfId="4557" dataDxfId="4556">
  <tableColumns count="7">
    <tableColumn id="1" name="MOIS" dataDxfId="4555"/>
    <tableColumn id="7" name="2025" dataDxfId="4554"/>
    <tableColumn id="2" name="2024" dataDxfId="4553" dataCellStyle="Milliers"/>
    <tableColumn id="3" name="2023" dataDxfId="4552"/>
    <tableColumn id="4" name="2022" dataDxfId="4551"/>
    <tableColumn id="5" name="2021" dataDxfId="4550"/>
    <tableColumn id="6" name="2020" dataDxfId="4549"/>
  </tableColumns>
  <tableStyleInfo name="TableStyleMedium10" showFirstColumn="0" showLastColumn="0" showRowStripes="1" showColumnStripes="0"/>
</table>
</file>

<file path=xl/tables/table45.xml><?xml version="1.0" encoding="utf-8"?>
<table xmlns="http://schemas.openxmlformats.org/spreadsheetml/2006/main" id="45" name="TRANSTH4K" displayName="TRANSTH4K" ref="BN91:BT103" headerRowCount="1" totalsRowShown="0" headerRowDxfId="4548" dataDxfId="4547">
  <tableColumns count="7">
    <tableColumn id="1" name="MOIS" dataDxfId="4546"/>
    <tableColumn id="7" name="2025" dataDxfId="4545"/>
    <tableColumn id="2" name="2024" dataDxfId="4544" dataCellStyle="Milliers"/>
    <tableColumn id="3" name="2023" dataDxfId="4543"/>
    <tableColumn id="4" name="2022" dataDxfId="4542"/>
    <tableColumn id="5" name="2021" dataDxfId="4541"/>
    <tableColumn id="6" name="2020" dataDxfId="4540"/>
  </tableColumns>
  <tableStyleInfo name="TableStyleMedium11" showFirstColumn="0" showLastColumn="0" showRowStripes="1" showColumnStripes="0"/>
</table>
</file>

<file path=xl/tables/table46.xml><?xml version="1.0" encoding="utf-8"?>
<table xmlns="http://schemas.openxmlformats.org/spreadsheetml/2006/main" id="46" name="TRANSGLOBALMC" displayName="TRANSGLOBALMC" ref="B75:H87" headerRowCount="1" totalsRowShown="0" headerRowDxfId="4539" dataDxfId="4538">
  <tableColumns count="7">
    <tableColumn id="1" name="MOIS" dataDxfId="4537"/>
    <tableColumn id="7" name="2024" dataDxfId="4536">
      <calculatedColumnFormula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calculatedColumnFormula>
    </tableColumn>
    <tableColumn id="2" name="2023" dataDxfId="4535">
      <calculatedColumnFormula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calculatedColumnFormula>
    </tableColumn>
    <tableColumn id="3" name="2022" dataDxfId="4534">
      <calculatedColumnFormula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calculatedColumnFormula>
    </tableColumn>
    <tableColumn id="4" name="2021" dataDxfId="4533">
      <calculatedColumnFormula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calculatedColumnFormula>
    </tableColumn>
    <tableColumn id="5" name="2020" dataDxfId="4532">
      <calculatedColumnFormula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calculatedColumnFormula>
    </tableColumn>
    <tableColumn id="6" name="2019" dataDxfId="4531">
      <calculatedColumnFormula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calculatedColumnFormula>
    </tableColumn>
  </tableColumns>
  <tableStyleInfo name="TableStyleMedium12" showFirstColumn="0" showLastColumn="0" showRowStripes="1" showColumnStripes="0"/>
</table>
</file>

<file path=xl/tables/table47.xml><?xml version="1.0" encoding="utf-8"?>
<table xmlns="http://schemas.openxmlformats.org/spreadsheetml/2006/main" id="47" name="TRANSR314MC" displayName="TRANSR314MC" ref="CD75:CJ87" headerRowCount="1" totalsRowShown="0" headerRowDxfId="4530" dataDxfId="4529">
  <tableColumns count="7">
    <tableColumn id="1" name="MOIS" dataDxfId="4528"/>
    <tableColumn id="7" name="2025" dataDxfId="4527"/>
    <tableColumn id="2" name="2024" dataDxfId="4526" dataCellStyle="Milliers"/>
    <tableColumn id="3" name="2023" dataDxfId="4525"/>
    <tableColumn id="4" name="2022" dataDxfId="4524"/>
    <tableColumn id="5" name="2021" dataDxfId="4523"/>
    <tableColumn id="6" name="2020" dataDxfId="4522"/>
  </tableColumns>
  <tableStyleInfo name="TableStyleMedium14" showFirstColumn="0" showLastColumn="0" showRowStripes="1" showColumnStripes="0"/>
</table>
</file>

<file path=xl/tables/table48.xml><?xml version="1.0" encoding="utf-8"?>
<table xmlns="http://schemas.openxmlformats.org/spreadsheetml/2006/main" id="48" name="TRANSLYSEMC" displayName="TRANSLYSEMC" ref="CL75:CR87" headerRowCount="1" totalsRowShown="0" headerRowDxfId="4521" dataDxfId="4520">
  <tableColumns count="7">
    <tableColumn id="1" name="MOIS" dataDxfId="4519"/>
    <tableColumn id="7" name="2025" dataDxfId="4518"/>
    <tableColumn id="2" name="2024" dataDxfId="4517" dataCellStyle="Milliers"/>
    <tableColumn id="3" name="2023" dataDxfId="4516"/>
    <tableColumn id="4" name="2022" dataDxfId="4515"/>
    <tableColumn id="5" name="2021" dataDxfId="4514"/>
    <tableColumn id="6" name="2020" dataDxfId="4513"/>
  </tableColumns>
  <tableStyleInfo name="TableStyleMedium8" showFirstColumn="0" showLastColumn="0" showRowStripes="1" showColumnStripes="0"/>
</table>
</file>

<file path=xl/tables/table49.xml><?xml version="1.0" encoding="utf-8"?>
<table xmlns="http://schemas.openxmlformats.org/spreadsheetml/2006/main" id="49" name="TRANSDIVESMC" displayName="TRANSDIVESMC" ref="BV75:CB87" headerRowCount="1" totalsRowShown="0" headerRowDxfId="4512" dataDxfId="4511">
  <tableColumns count="7">
    <tableColumn id="1" name="MOIS" dataDxfId="4510"/>
    <tableColumn id="7" name="2025" dataDxfId="4509"/>
    <tableColumn id="2" name="2024" dataDxfId="4508" dataCellStyle="Milliers"/>
    <tableColumn id="3" name="2023" dataDxfId="4507"/>
    <tableColumn id="4" name="2022" dataDxfId="4506"/>
    <tableColumn id="5" name="2021" dataDxfId="4505"/>
    <tableColumn id="6" name="2020" dataDxfId="4504"/>
  </tableColumns>
  <tableStyleInfo name="TableStyleMedium10" showFirstColumn="0" showLastColumn="0" showRowStripes="1" showColumnStripes="0"/>
</table>
</file>

<file path=xl/tables/table50.xml><?xml version="1.0" encoding="utf-8"?>
<table xmlns="http://schemas.openxmlformats.org/spreadsheetml/2006/main" id="50" name="TRANSTH4MC" displayName="TRANSTH4MC" ref="BN75:BT87" headerRowCount="1" totalsRowShown="0" headerRowDxfId="4503" dataDxfId="4502">
  <tableColumns count="7">
    <tableColumn id="1" name="MOIS" dataDxfId="4501"/>
    <tableColumn id="7" name="2025" dataDxfId="4500"/>
    <tableColumn id="2" name="2024" dataDxfId="4499" dataCellStyle="Milliers"/>
    <tableColumn id="3" name="2023" dataDxfId="4498"/>
    <tableColumn id="4" name="2022" dataDxfId="4497"/>
    <tableColumn id="5" name="2021" dataDxfId="4496"/>
    <tableColumn id="6" name="2020" dataDxfId="4495"/>
  </tableColumns>
  <tableStyleInfo name="TableStyleMedium11" showFirstColumn="0" showLastColumn="0" showRowStripes="1" showColumnStripes="0"/>
</table>
</file>

<file path=xl/tables/table51.xml><?xml version="1.0" encoding="utf-8"?>
<table xmlns="http://schemas.openxmlformats.org/spreadsheetml/2006/main" id="51" name="TRANSGLOBALAE" displayName="TRANSGLOBALAE" ref="B59:H71" headerRowCount="1" totalsRowShown="0" headerRowDxfId="4494" dataDxfId="4493">
  <tableColumns count="7">
    <tableColumn id="1" name="MOIS" dataDxfId="4492"/>
    <tableColumn id="7" name="2024" dataDxfId="4491">
      <calculatedColumnFormula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calculatedColumnFormula>
    </tableColumn>
    <tableColumn id="2" name="2023" dataDxfId="4490">
      <calculatedColumnFormula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calculatedColumnFormula>
    </tableColumn>
    <tableColumn id="3" name="2022" dataDxfId="4489">
      <calculatedColumnFormula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calculatedColumnFormula>
    </tableColumn>
    <tableColumn id="4" name="2021" dataDxfId="4488">
      <calculatedColumnFormula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calculatedColumnFormula>
    </tableColumn>
    <tableColumn id="5" name="2020" dataDxfId="4487">
      <calculatedColumnFormula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calculatedColumnFormula>
    </tableColumn>
    <tableColumn id="6" name="2019" dataDxfId="4486">
      <calculatedColumnFormula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calculatedColumnFormula>
    </tableColumn>
  </tableColumns>
  <tableStyleInfo name="TableStyleMedium12" showFirstColumn="0" showLastColumn="0" showRowStripes="1" showColumnStripes="0"/>
</table>
</file>

<file path=xl/tables/table52.xml><?xml version="1.0" encoding="utf-8"?>
<table xmlns="http://schemas.openxmlformats.org/spreadsheetml/2006/main" id="52" name="TRANSR314AE" displayName="TRANSR314AE" ref="CD59:CJ71" headerRowCount="1" totalsRowShown="0" headerRowDxfId="4485" dataDxfId="4484">
  <tableColumns count="7">
    <tableColumn id="1" name="MOIS" dataDxfId="4483"/>
    <tableColumn id="7" name="2025" dataDxfId="4482"/>
    <tableColumn id="2" name="2024" dataDxfId="4481" dataCellStyle="Milliers"/>
    <tableColumn id="3" name="2023" dataDxfId="4480"/>
    <tableColumn id="4" name="2022" dataDxfId="4479"/>
    <tableColumn id="5" name="2021" dataDxfId="4478"/>
    <tableColumn id="6" name="2020" dataDxfId="4477"/>
  </tableColumns>
  <tableStyleInfo name="TableStyleMedium14" showFirstColumn="0" showLastColumn="0" showRowStripes="1" showColumnStripes="0"/>
</table>
</file>

<file path=xl/tables/table53.xml><?xml version="1.0" encoding="utf-8"?>
<table xmlns="http://schemas.openxmlformats.org/spreadsheetml/2006/main" id="53" name="TRANSLYSEAE" displayName="TRANSLYSEAE" ref="CL59:CR71" headerRowCount="1" totalsRowShown="0" headerRowDxfId="4476" dataDxfId="4475">
  <tableColumns count="7">
    <tableColumn id="1" name="MOIS" dataDxfId="4474"/>
    <tableColumn id="7" name="2025" dataDxfId="4473"/>
    <tableColumn id="2" name="2024" dataDxfId="4472" dataCellStyle="Milliers"/>
    <tableColumn id="3" name="2023" dataDxfId="4471"/>
    <tableColumn id="4" name="2022" dataDxfId="4470"/>
    <tableColumn id="5" name="2021" dataDxfId="4469"/>
    <tableColumn id="6" name="2020" dataDxfId="4468"/>
  </tableColumns>
  <tableStyleInfo name="TableStyleMedium8" showFirstColumn="0" showLastColumn="0" showRowStripes="1" showColumnStripes="0"/>
</table>
</file>

<file path=xl/tables/table54.xml><?xml version="1.0" encoding="utf-8"?>
<table xmlns="http://schemas.openxmlformats.org/spreadsheetml/2006/main" id="54" name="TRANSDIVESAE" displayName="TRANSDIVESAE" ref="BV59:CB71" headerRowCount="1" totalsRowShown="0" headerRowDxfId="4467" dataDxfId="4466">
  <tableColumns count="7">
    <tableColumn id="1" name="MOIS" dataDxfId="4465"/>
    <tableColumn id="7" name="2025" dataDxfId="4464"/>
    <tableColumn id="2" name="2024" dataDxfId="4463" dataCellStyle="Milliers"/>
    <tableColumn id="3" name="2023" dataDxfId="4462"/>
    <tableColumn id="4" name="2022" dataDxfId="4461"/>
    <tableColumn id="5" name="2021" dataDxfId="4460"/>
    <tableColumn id="6" name="2020" dataDxfId="4459"/>
  </tableColumns>
  <tableStyleInfo name="TableStyleMedium10" showFirstColumn="0" showLastColumn="0" showRowStripes="1" showColumnStripes="0"/>
</table>
</file>

<file path=xl/tables/table55.xml><?xml version="1.0" encoding="utf-8"?>
<table xmlns="http://schemas.openxmlformats.org/spreadsheetml/2006/main" id="55" name="TRANSTH4AE" displayName="TRANSTH4AE" ref="BN59:BT71" headerRowCount="1" totalsRowShown="0" headerRowDxfId="4458" dataDxfId="4457">
  <tableColumns count="7">
    <tableColumn id="1" name="MOIS" dataDxfId="4456"/>
    <tableColumn id="7" name="2025" dataDxfId="4455"/>
    <tableColumn id="2" name="2024" dataDxfId="4454" dataCellStyle="Milliers"/>
    <tableColumn id="3" name="2023" dataDxfId="4453"/>
    <tableColumn id="4" name="2022" dataDxfId="4452"/>
    <tableColumn id="5" name="2021" dataDxfId="4451"/>
    <tableColumn id="6" name="2020" dataDxfId="4450"/>
  </tableColumns>
  <tableStyleInfo name="TableStyleMedium11" showFirstColumn="0" showLastColumn="0" showRowStripes="1" showColumnStripes="0"/>
</table>
</file>

<file path=xl/tables/table56.xml><?xml version="1.0" encoding="utf-8"?>
<table xmlns="http://schemas.openxmlformats.org/spreadsheetml/2006/main" id="56" name="TRANSGLOBALSP" displayName="TRANSGLOBALSP" ref="B43:H55" headerRowCount="1" totalsRowShown="0" headerRowDxfId="4449" dataDxfId="4448">
  <tableColumns count="7">
    <tableColumn id="1" name="MOIS" dataDxfId="4447"/>
    <tableColumn id="7" name="2024" dataDxfId="4446">
      <calculatedColumnFormula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calculatedColumnFormula>
    </tableColumn>
    <tableColumn id="2" name="2023" dataDxfId="4445">
      <calculatedColumnFormula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calculatedColumnFormula>
    </tableColumn>
    <tableColumn id="3" name="2022" dataDxfId="4444">
      <calculatedColumnFormula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calculatedColumnFormula>
    </tableColumn>
    <tableColumn id="4" name="2021" dataDxfId="4443">
      <calculatedColumnFormula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calculatedColumnFormula>
    </tableColumn>
    <tableColumn id="5" name="2020" dataDxfId="4442">
      <calculatedColumnFormula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calculatedColumnFormula>
    </tableColumn>
    <tableColumn id="6" name="2019" dataDxfId="4441">
      <calculatedColumnFormula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calculatedColumnFormula>
    </tableColumn>
  </tableColumns>
  <tableStyleInfo name="TableStyleMedium12" showFirstColumn="0" showLastColumn="0" showRowStripes="1" showColumnStripes="0"/>
</table>
</file>

<file path=xl/tables/table57.xml><?xml version="1.0" encoding="utf-8"?>
<table xmlns="http://schemas.openxmlformats.org/spreadsheetml/2006/main" id="57" name="TRANSR314SP" displayName="TRANSR314SP" ref="CD43:CJ55" headerRowCount="1" totalsRowShown="0" headerRowDxfId="4440" dataDxfId="4439">
  <tableColumns count="7">
    <tableColumn id="1" name="MOIS" dataDxfId="4438"/>
    <tableColumn id="7" name="2025" dataDxfId="4437"/>
    <tableColumn id="2" name="2024" dataDxfId="4436" dataCellStyle="Milliers"/>
    <tableColumn id="3" name="2023" dataDxfId="4435"/>
    <tableColumn id="4" name="2022" dataDxfId="4434"/>
    <tableColumn id="5" name="2021" dataDxfId="4433"/>
    <tableColumn id="6" name="2020" dataDxfId="4432"/>
  </tableColumns>
  <tableStyleInfo name="TableStyleMedium14" showFirstColumn="0" showLastColumn="0" showRowStripes="1" showColumnStripes="0"/>
</table>
</file>

<file path=xl/tables/table58.xml><?xml version="1.0" encoding="utf-8"?>
<table xmlns="http://schemas.openxmlformats.org/spreadsheetml/2006/main" id="58" name="TRANSLYSESP" displayName="TRANSLYSESP" ref="CL43:CR55" headerRowCount="1" totalsRowShown="0" headerRowDxfId="4431" dataDxfId="4430">
  <tableColumns count="7">
    <tableColumn id="1" name="MOIS" dataDxfId="4429"/>
    <tableColumn id="7" name="2025" dataDxfId="4428"/>
    <tableColumn id="2" name="2024" dataDxfId="4427" dataCellStyle="Milliers"/>
    <tableColumn id="3" name="2023" dataDxfId="4426"/>
    <tableColumn id="4" name="2022" dataDxfId="4425"/>
    <tableColumn id="5" name="2021" dataDxfId="4424"/>
    <tableColumn id="6" name="2020" dataDxfId="4423"/>
  </tableColumns>
  <tableStyleInfo name="TableStyleMedium8" showFirstColumn="0" showLastColumn="0" showRowStripes="1" showColumnStripes="0"/>
</table>
</file>

<file path=xl/tables/table59.xml><?xml version="1.0" encoding="utf-8"?>
<table xmlns="http://schemas.openxmlformats.org/spreadsheetml/2006/main" id="59" name="TRANSDIVESSP" displayName="TRANSDIVESSP" ref="BV43:CB55" headerRowCount="1" totalsRowShown="0" headerRowDxfId="4422" dataDxfId="4421">
  <tableColumns count="7">
    <tableColumn id="1" name="MOIS" dataDxfId="4420"/>
    <tableColumn id="7" name="2025" dataDxfId="4419"/>
    <tableColumn id="2" name="2024" dataDxfId="4418" dataCellStyle="Milliers"/>
    <tableColumn id="3" name="2023" dataDxfId="4417"/>
    <tableColumn id="4" name="2022" dataDxfId="4416"/>
    <tableColumn id="5" name="2021" dataDxfId="4415"/>
    <tableColumn id="6" name="2020" dataDxfId="4414"/>
  </tableColumns>
  <tableStyleInfo name="TableStyleMedium10" showFirstColumn="0" showLastColumn="0" showRowStripes="1" showColumnStripes="0"/>
</table>
</file>

<file path=xl/tables/table60.xml><?xml version="1.0" encoding="utf-8"?>
<table xmlns="http://schemas.openxmlformats.org/spreadsheetml/2006/main" id="60" name="TRANSTH4SP" displayName="TRANSTH4SP" ref="BN43:BT55" headerRowCount="1" totalsRowShown="0" headerRowDxfId="4413" dataDxfId="4412">
  <tableColumns count="7">
    <tableColumn id="1" name="MOIS" dataDxfId="4411"/>
    <tableColumn id="7" name="2025" dataDxfId="4410"/>
    <tableColumn id="2" name="2024" dataDxfId="4409" dataCellStyle="Milliers"/>
    <tableColumn id="3" name="2023" dataDxfId="4408"/>
    <tableColumn id="4" name="2022" dataDxfId="4407"/>
    <tableColumn id="5" name="2021" dataDxfId="4406"/>
    <tableColumn id="6" name="2020" dataDxfId="4405"/>
  </tableColumns>
  <tableStyleInfo name="TableStyleMedium11" showFirstColumn="0" showLastColumn="0" showRowStripes="1" showColumnStripes="0"/>
</table>
</file>

<file path=xl/tables/table61.xml><?xml version="1.0" encoding="utf-8"?>
<table xmlns="http://schemas.openxmlformats.org/spreadsheetml/2006/main" id="61" name="TRANSCGLOBAL105" displayName="TRANSCGLOBAL105" ref="B171:H183" headerRowCount="1" totalsRowShown="0" headerRowDxfId="4404" dataDxfId="4403">
  <tableColumns count="7">
    <tableColumn id="1" name="MOIS" dataDxfId="4402"/>
    <tableColumn id="7" name="2024" dataDxfId="4401">
      <calculatedColumnFormula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calculatedColumnFormula>
    </tableColumn>
    <tableColumn id="2" name="2023" dataDxfId="4400">
      <calculatedColumnFormula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calculatedColumnFormula>
    </tableColumn>
    <tableColumn id="3" name="2022" dataDxfId="4399">
      <calculatedColumnFormula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calculatedColumnFormula>
    </tableColumn>
    <tableColumn id="4" name="2021" dataDxfId="4398">
      <calculatedColumnFormula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calculatedColumnFormula>
    </tableColumn>
    <tableColumn id="5" name="2020" dataDxfId="4397">
      <calculatedColumnFormula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calculatedColumnFormula>
    </tableColumn>
    <tableColumn id="6" name="2019" dataDxfId="4396">
      <calculatedColumnFormula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calculatedColumnFormula>
    </tableColumn>
  </tableColumns>
  <tableStyleInfo name="TableStyleMedium12" showFirstColumn="0" showLastColumn="0" showRowStripes="1" showColumnStripes="0"/>
</table>
</file>

<file path=xl/tables/table62.xml><?xml version="1.0" encoding="utf-8"?>
<table xmlns="http://schemas.openxmlformats.org/spreadsheetml/2006/main" id="62" name="TRANSCR314K" displayName="TRANSCR314K" ref="CD171:CJ183" headerRowCount="1" totalsRowShown="0" headerRowDxfId="4395" dataDxfId="4394">
  <tableColumns count="7">
    <tableColumn id="1" name="MOIS" dataDxfId="4393"/>
    <tableColumn id="7" name="2025" dataDxfId="4392"/>
    <tableColumn id="2" name="2024" dataDxfId="4391" dataCellStyle="Milliers"/>
    <tableColumn id="3" name="2023" dataDxfId="4390"/>
    <tableColumn id="4" name="2022" dataDxfId="4389"/>
    <tableColumn id="5" name="2021" dataDxfId="4388"/>
    <tableColumn id="6" name="2020" dataDxfId="4387"/>
  </tableColumns>
  <tableStyleInfo name="TableStyleMedium14" showFirstColumn="0" showLastColumn="0" showRowStripes="1" showColumnStripes="0"/>
</table>
</file>

<file path=xl/tables/table63.xml><?xml version="1.0" encoding="utf-8"?>
<table xmlns="http://schemas.openxmlformats.org/spreadsheetml/2006/main" id="63" name="TRANSCLYSEK" displayName="TRANSCLYSEK" ref="CL171:CR183" headerRowCount="1" totalsRowShown="0" headerRowDxfId="4386" dataDxfId="4385">
  <tableColumns count="7">
    <tableColumn id="1" name="MOIS" dataDxfId="4384"/>
    <tableColumn id="7" name="2025" dataDxfId="4383"/>
    <tableColumn id="2" name="2024" dataDxfId="4382" dataCellStyle="Milliers"/>
    <tableColumn id="3" name="2023" dataDxfId="4381"/>
    <tableColumn id="4" name="2022" dataDxfId="4380"/>
    <tableColumn id="5" name="2021" dataDxfId="4379"/>
    <tableColumn id="6" name="2020" dataDxfId="4378"/>
  </tableColumns>
  <tableStyleInfo name="TableStyleMedium8" showFirstColumn="0" showLastColumn="0" showRowStripes="1" showColumnStripes="0"/>
</table>
</file>

<file path=xl/tables/table64.xml><?xml version="1.0" encoding="utf-8"?>
<table xmlns="http://schemas.openxmlformats.org/spreadsheetml/2006/main" id="64" name="TRANSCDIVESK" displayName="TRANSCDIVESK" ref="BV171:CB183" headerRowCount="1" totalsRowShown="0" headerRowDxfId="4377" dataDxfId="4376">
  <tableColumns count="7">
    <tableColumn id="1" name="MOIS" dataDxfId="4375"/>
    <tableColumn id="7" name="2025" dataDxfId="4374"/>
    <tableColumn id="2" name="2024" dataDxfId="4373" dataCellStyle="Milliers"/>
    <tableColumn id="3" name="2023" dataDxfId="4372"/>
    <tableColumn id="4" name="2022" dataDxfId="4371"/>
    <tableColumn id="5" name="2021" dataDxfId="4370"/>
    <tableColumn id="6" name="2020" dataDxfId="4369"/>
  </tableColumns>
  <tableStyleInfo name="TableStyleMedium10" showFirstColumn="0" showLastColumn="0" showRowStripes="1" showColumnStripes="0"/>
</table>
</file>

<file path=xl/tables/table65.xml><?xml version="1.0" encoding="utf-8"?>
<table xmlns="http://schemas.openxmlformats.org/spreadsheetml/2006/main" id="65" name="TRANSCTH4K" displayName="TRANSCTH4K" ref="BN171:BT183" headerRowCount="1" totalsRowShown="0" headerRowDxfId="4368" dataDxfId="4367">
  <tableColumns count="7">
    <tableColumn id="1" name="MOIS" dataDxfId="4366"/>
    <tableColumn id="7" name="2025" dataDxfId="4365"/>
    <tableColumn id="2" name="2024" dataDxfId="4364" dataCellStyle="Milliers"/>
    <tableColumn id="3" name="2023" dataDxfId="4363"/>
    <tableColumn id="4" name="2022" dataDxfId="4362"/>
    <tableColumn id="5" name="2021" dataDxfId="4361"/>
    <tableColumn id="6" name="2020" dataDxfId="4360"/>
  </tableColumns>
  <tableStyleInfo name="TableStyleMedium11" showFirstColumn="0" showLastColumn="0" showRowStripes="1" showColumnStripes="0"/>
</table>
</file>

<file path=xl/tables/table66.xml><?xml version="1.0" encoding="utf-8"?>
<table xmlns="http://schemas.openxmlformats.org/spreadsheetml/2006/main" id="66" name="TRANSCGLOBAL105112" displayName="TRANSCGLOBAL105112" ref="B155:H167" headerRowCount="1" totalsRowShown="0" headerRowDxfId="4359" dataDxfId="4358">
  <tableColumns count="7">
    <tableColumn id="1" name="MOIS" dataDxfId="4357"/>
    <tableColumn id="7" name="2024" dataDxfId="4356">
      <calculatedColumnFormula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calculatedColumnFormula>
    </tableColumn>
    <tableColumn id="2" name="2023" dataDxfId="4355">
      <calculatedColumnFormula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calculatedColumnFormula>
    </tableColumn>
    <tableColumn id="3" name="2022" dataDxfId="4354">
      <calculatedColumnFormula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calculatedColumnFormula>
    </tableColumn>
    <tableColumn id="4" name="2021" dataDxfId="4353">
      <calculatedColumnFormula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calculatedColumnFormula>
    </tableColumn>
    <tableColumn id="5" name="2020" dataDxfId="4352">
      <calculatedColumnFormula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calculatedColumnFormula>
    </tableColumn>
    <tableColumn id="6" name="2019" dataDxfId="4351">
      <calculatedColumnFormula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calculatedColumnFormula>
    </tableColumn>
  </tableColumns>
  <tableStyleInfo name="TableStyleMedium12" showFirstColumn="0" showLastColumn="0" showRowStripes="1" showColumnStripes="0"/>
</table>
</file>

<file path=xl/tables/table67.xml><?xml version="1.0" encoding="utf-8"?>
<table xmlns="http://schemas.openxmlformats.org/spreadsheetml/2006/main" id="67" name="TRANSCR314MC" displayName="TRANSCR314MC" ref="CD155:CJ167" headerRowCount="1" totalsRowShown="0" headerRowDxfId="4350" dataDxfId="4349">
  <tableColumns count="7">
    <tableColumn id="1" name="MOIS" dataDxfId="4348"/>
    <tableColumn id="7" name="2025" dataDxfId="4347"/>
    <tableColumn id="2" name="2024" dataDxfId="4346" dataCellStyle="Milliers"/>
    <tableColumn id="3" name="2023" dataDxfId="4345"/>
    <tableColumn id="4" name="2022" dataDxfId="4344"/>
    <tableColumn id="5" name="2021" dataDxfId="4343"/>
    <tableColumn id="6" name="2020" dataDxfId="4342"/>
  </tableColumns>
  <tableStyleInfo name="TableStyleMedium14" showFirstColumn="0" showLastColumn="0" showRowStripes="1" showColumnStripes="0"/>
</table>
</file>

<file path=xl/tables/table68.xml><?xml version="1.0" encoding="utf-8"?>
<table xmlns="http://schemas.openxmlformats.org/spreadsheetml/2006/main" id="68" name="TRANSCLYSEMC" displayName="TRANSCLYSEMC" ref="CL155:CR167" headerRowCount="1" totalsRowShown="0" headerRowDxfId="4341" dataDxfId="4340">
  <tableColumns count="7">
    <tableColumn id="1" name="MOIS" dataDxfId="4339"/>
    <tableColumn id="7" name="2025" dataDxfId="4338"/>
    <tableColumn id="2" name="2024" dataDxfId="4337" dataCellStyle="Milliers"/>
    <tableColumn id="3" name="2023" dataDxfId="4336"/>
    <tableColumn id="4" name="2022" dataDxfId="4335"/>
    <tableColumn id="5" name="2021" dataDxfId="4334"/>
    <tableColumn id="6" name="2020" dataDxfId="4333"/>
  </tableColumns>
  <tableStyleInfo name="TableStyleMedium8" showFirstColumn="0" showLastColumn="0" showRowStripes="1" showColumnStripes="0"/>
</table>
</file>

<file path=xl/tables/table69.xml><?xml version="1.0" encoding="utf-8"?>
<table xmlns="http://schemas.openxmlformats.org/spreadsheetml/2006/main" id="69" name="TRANSCDIVESMC" displayName="TRANSCDIVESMC" ref="BV155:CB167" headerRowCount="1" totalsRowShown="0" headerRowDxfId="4332" dataDxfId="4331">
  <tableColumns count="7">
    <tableColumn id="1" name="MOIS" dataDxfId="4330"/>
    <tableColumn id="7" name="2025" dataDxfId="4329"/>
    <tableColumn id="2" name="2024" dataDxfId="4328" dataCellStyle="Milliers"/>
    <tableColumn id="3" name="2023" dataDxfId="4327"/>
    <tableColumn id="4" name="2022" dataDxfId="4326"/>
    <tableColumn id="5" name="2021" dataDxfId="4325"/>
    <tableColumn id="6" name="2020" dataDxfId="4324"/>
  </tableColumns>
  <tableStyleInfo name="TableStyleMedium10" showFirstColumn="0" showLastColumn="0" showRowStripes="1" showColumnStripes="0"/>
</table>
</file>

<file path=xl/tables/table70.xml><?xml version="1.0" encoding="utf-8"?>
<table xmlns="http://schemas.openxmlformats.org/spreadsheetml/2006/main" id="70" name="TRANSCTH4MC" displayName="TRANSCTH4MC" ref="BN155:BT167" headerRowCount="1" totalsRowShown="0" headerRowDxfId="4323" dataDxfId="4322">
  <tableColumns count="7">
    <tableColumn id="1" name="MOIS" dataDxfId="4321"/>
    <tableColumn id="7" name="2025" dataDxfId="4320"/>
    <tableColumn id="2" name="2024" dataDxfId="4319" dataCellStyle="Milliers"/>
    <tableColumn id="3" name="2023" dataDxfId="4318"/>
    <tableColumn id="4" name="2022" dataDxfId="4317"/>
    <tableColumn id="5" name="2021" dataDxfId="4316"/>
    <tableColumn id="6" name="2020" dataDxfId="4315"/>
  </tableColumns>
  <tableStyleInfo name="TableStyleMedium11" showFirstColumn="0" showLastColumn="0" showRowStripes="1" showColumnStripes="0"/>
</table>
</file>

<file path=xl/tables/table71.xml><?xml version="1.0" encoding="utf-8"?>
<table xmlns="http://schemas.openxmlformats.org/spreadsheetml/2006/main" id="71" name="TRANSCGLOBAL105112119" displayName="TRANSCGLOBAL105112119" ref="B139:H151" headerRowCount="1" totalsRowShown="0" headerRowDxfId="4314" dataDxfId="4313">
  <tableColumns count="7">
    <tableColumn id="1" name="MOIS" dataDxfId="4312"/>
    <tableColumn id="7" name="2024" dataDxfId="4311">
      <calculatedColumnFormula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calculatedColumnFormula>
    </tableColumn>
    <tableColumn id="2" name="2023" dataDxfId="4310">
      <calculatedColumnFormula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calculatedColumnFormula>
    </tableColumn>
    <tableColumn id="3" name="2022" dataDxfId="4309">
      <calculatedColumnFormula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calculatedColumnFormula>
    </tableColumn>
    <tableColumn id="4" name="2021" dataDxfId="4308">
      <calculatedColumnFormula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calculatedColumnFormula>
    </tableColumn>
    <tableColumn id="5" name="2020" dataDxfId="4307">
      <calculatedColumnFormula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calculatedColumnFormula>
    </tableColumn>
    <tableColumn id="6" name="2019" dataDxfId="4306">
      <calculatedColumnFormula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calculatedColumnFormula>
    </tableColumn>
  </tableColumns>
  <tableStyleInfo name="TableStyleMedium12" showFirstColumn="0" showLastColumn="0" showRowStripes="1" showColumnStripes="0"/>
</table>
</file>

<file path=xl/tables/table72.xml><?xml version="1.0" encoding="utf-8"?>
<table xmlns="http://schemas.openxmlformats.org/spreadsheetml/2006/main" id="72" name="TRANSCR314AE" displayName="TRANSCR314AE" ref="CD139:CJ151" headerRowCount="1" totalsRowShown="0" headerRowDxfId="4305" dataDxfId="4304">
  <tableColumns count="7">
    <tableColumn id="1" name="MOIS" dataDxfId="4303"/>
    <tableColumn id="7" name="2025" dataDxfId="4302"/>
    <tableColumn id="2" name="2024" dataDxfId="4301" dataCellStyle="Milliers"/>
    <tableColumn id="3" name="2023" dataDxfId="4300"/>
    <tableColumn id="4" name="2022" dataDxfId="4299"/>
    <tableColumn id="5" name="2021" dataDxfId="4298"/>
    <tableColumn id="6" name="2020" dataDxfId="4297"/>
  </tableColumns>
  <tableStyleInfo name="TableStyleMedium14" showFirstColumn="0" showLastColumn="0" showRowStripes="1" showColumnStripes="0"/>
</table>
</file>

<file path=xl/tables/table73.xml><?xml version="1.0" encoding="utf-8"?>
<table xmlns="http://schemas.openxmlformats.org/spreadsheetml/2006/main" id="73" name="TRANSCLYSEAE" displayName="TRANSCLYSEAE" ref="CL139:CR151" headerRowCount="1" totalsRowShown="0" headerRowDxfId="4296" dataDxfId="4295">
  <tableColumns count="7">
    <tableColumn id="1" name="MOIS" dataDxfId="4294"/>
    <tableColumn id="7" name="2025" dataDxfId="4293"/>
    <tableColumn id="2" name="2024" dataDxfId="4292" dataCellStyle="Milliers"/>
    <tableColumn id="3" name="2023" dataDxfId="4291"/>
    <tableColumn id="4" name="2022" dataDxfId="4290"/>
    <tableColumn id="5" name="2021" dataDxfId="4289"/>
    <tableColumn id="6" name="2020" dataDxfId="4288"/>
  </tableColumns>
  <tableStyleInfo name="TableStyleMedium8" showFirstColumn="0" showLastColumn="0" showRowStripes="1" showColumnStripes="0"/>
</table>
</file>

<file path=xl/tables/table74.xml><?xml version="1.0" encoding="utf-8"?>
<table xmlns="http://schemas.openxmlformats.org/spreadsheetml/2006/main" id="74" name="TRANSCDIVESAE" displayName="TRANSCDIVESAE" ref="BV139:CB151" headerRowCount="1" totalsRowShown="0" headerRowDxfId="4287" dataDxfId="4286">
  <tableColumns count="7">
    <tableColumn id="1" name="MOIS" dataDxfId="4285"/>
    <tableColumn id="7" name="2025" dataDxfId="4284"/>
    <tableColumn id="2" name="2024" dataDxfId="4283" dataCellStyle="Milliers"/>
    <tableColumn id="3" name="2023" dataDxfId="4282"/>
    <tableColumn id="4" name="2022" dataDxfId="4281"/>
    <tableColumn id="5" name="2021" dataDxfId="4280"/>
    <tableColumn id="6" name="2020" dataDxfId="4279"/>
  </tableColumns>
  <tableStyleInfo name="TableStyleMedium10" showFirstColumn="0" showLastColumn="0" showRowStripes="1" showColumnStripes="0"/>
</table>
</file>

<file path=xl/tables/table75.xml><?xml version="1.0" encoding="utf-8"?>
<table xmlns="http://schemas.openxmlformats.org/spreadsheetml/2006/main" id="75" name="TRANSCTH4AE" displayName="TRANSCTH4AE" ref="BN139:BT151" headerRowCount="1" totalsRowShown="0" headerRowDxfId="4278" dataDxfId="4277">
  <tableColumns count="7">
    <tableColumn id="1" name="MOIS" dataDxfId="4276"/>
    <tableColumn id="7" name="2025" dataDxfId="4275"/>
    <tableColumn id="2" name="2024" dataDxfId="4274" dataCellStyle="Milliers"/>
    <tableColumn id="3" name="2023" dataDxfId="4273"/>
    <tableColumn id="4" name="2022" dataDxfId="4272"/>
    <tableColumn id="5" name="2021" dataDxfId="4271"/>
    <tableColumn id="6" name="2020" dataDxfId="4270"/>
  </tableColumns>
  <tableStyleInfo name="TableStyleMedium11" showFirstColumn="0" showLastColumn="0" showRowStripes="1" showColumnStripes="0"/>
</table>
</file>

<file path=xl/tables/table76.xml><?xml version="1.0" encoding="utf-8"?>
<table xmlns="http://schemas.openxmlformats.org/spreadsheetml/2006/main" id="76" name="TRANSCGLOBAL105112119126" displayName="TRANSCGLOBAL105112119126" ref="B123:H135" headerRowCount="1" totalsRowShown="0" headerRowDxfId="4269" dataDxfId="4268">
  <tableColumns count="7">
    <tableColumn id="1" name="MOIS" dataDxfId="4267"/>
    <tableColumn id="7" name="2024" dataDxfId="4266">
      <calculatedColumnFormula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calculatedColumnFormula>
    </tableColumn>
    <tableColumn id="2" name="2023" dataDxfId="4265">
      <calculatedColumnFormula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calculatedColumnFormula>
    </tableColumn>
    <tableColumn id="3" name="2022" dataDxfId="4264">
      <calculatedColumnFormula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calculatedColumnFormula>
    </tableColumn>
    <tableColumn id="4" name="2021" dataDxfId="4263">
      <calculatedColumnFormula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calculatedColumnFormula>
    </tableColumn>
    <tableColumn id="5" name="2020" dataDxfId="4262">
      <calculatedColumnFormula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calculatedColumnFormula>
    </tableColumn>
    <tableColumn id="6" name="2019" dataDxfId="4261">
      <calculatedColumnFormula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calculatedColumnFormula>
    </tableColumn>
  </tableColumns>
  <tableStyleInfo name="TableStyleMedium12" showFirstColumn="0" showLastColumn="0" showRowStripes="1" showColumnStripes="0"/>
</table>
</file>

<file path=xl/tables/table77.xml><?xml version="1.0" encoding="utf-8"?>
<table xmlns="http://schemas.openxmlformats.org/spreadsheetml/2006/main" id="77" name="TRANSCR314SP" displayName="TRANSCR314SP" ref="CD123:CJ135" headerRowCount="1" totalsRowShown="0" headerRowDxfId="4260" dataDxfId="4259">
  <tableColumns count="7">
    <tableColumn id="1" name="MOIS" dataDxfId="4258"/>
    <tableColumn id="7" name="2025" dataDxfId="4257"/>
    <tableColumn id="2" name="2024" dataDxfId="4256" dataCellStyle="Milliers"/>
    <tableColumn id="3" name="2023" dataDxfId="4255"/>
    <tableColumn id="4" name="2022" dataDxfId="4254"/>
    <tableColumn id="5" name="2021" dataDxfId="4253"/>
    <tableColumn id="6" name="2020" dataDxfId="4252"/>
  </tableColumns>
  <tableStyleInfo name="TableStyleMedium14" showFirstColumn="0" showLastColumn="0" showRowStripes="1" showColumnStripes="0"/>
</table>
</file>

<file path=xl/tables/table78.xml><?xml version="1.0" encoding="utf-8"?>
<table xmlns="http://schemas.openxmlformats.org/spreadsheetml/2006/main" id="78" name="TRANSCLYSESP" displayName="TRANSCLYSESP" ref="CL123:CR135" headerRowCount="1" totalsRowShown="0" headerRowDxfId="4251" dataDxfId="4250">
  <tableColumns count="7">
    <tableColumn id="1" name="MOIS" dataDxfId="4249"/>
    <tableColumn id="7" name="2025" dataDxfId="4248"/>
    <tableColumn id="2" name="2024" dataDxfId="4247" dataCellStyle="Milliers"/>
    <tableColumn id="3" name="2023" dataDxfId="4246"/>
    <tableColumn id="4" name="2022" dataDxfId="4245"/>
    <tableColumn id="5" name="2021" dataDxfId="4244"/>
    <tableColumn id="6" name="2020" dataDxfId="4243"/>
  </tableColumns>
  <tableStyleInfo name="TableStyleMedium8" showFirstColumn="0" showLastColumn="0" showRowStripes="1" showColumnStripes="0"/>
</table>
</file>

<file path=xl/tables/table79.xml><?xml version="1.0" encoding="utf-8"?>
<table xmlns="http://schemas.openxmlformats.org/spreadsheetml/2006/main" id="79" name="TRANSCDIVESSP" displayName="TRANSCDIVESSP" ref="BV123:CB135" headerRowCount="1" totalsRowShown="0" headerRowDxfId="4242" dataDxfId="4241">
  <tableColumns count="7">
    <tableColumn id="1" name="MOIS" dataDxfId="4240"/>
    <tableColumn id="7" name="2025" dataDxfId="4239"/>
    <tableColumn id="2" name="2024" dataDxfId="4238" dataCellStyle="Milliers"/>
    <tableColumn id="3" name="2023" dataDxfId="4237"/>
    <tableColumn id="4" name="2022" dataDxfId="4236"/>
    <tableColumn id="5" name="2021" dataDxfId="4235"/>
    <tableColumn id="6" name="2020" dataDxfId="4234"/>
  </tableColumns>
  <tableStyleInfo name="TableStyleMedium10" showFirstColumn="0" showLastColumn="0" showRowStripes="1" showColumnStripes="0"/>
</table>
</file>

<file path=xl/tables/table80.xml><?xml version="1.0" encoding="utf-8"?>
<table xmlns="http://schemas.openxmlformats.org/spreadsheetml/2006/main" id="80" name="TRANSCTH4SP" displayName="TRANSCTH4SP" ref="BN123:BT135" headerRowCount="1" totalsRowShown="0" headerRowDxfId="4233" dataDxfId="4232">
  <tableColumns count="7">
    <tableColumn id="1" name="MOIS" dataDxfId="4231"/>
    <tableColumn id="7" name="2025" dataDxfId="4230"/>
    <tableColumn id="2" name="2024" dataDxfId="4229" dataCellStyle="Milliers"/>
    <tableColumn id="3" name="2023" dataDxfId="4228"/>
    <tableColumn id="4" name="2022" dataDxfId="4227"/>
    <tableColumn id="5" name="2021" dataDxfId="4226"/>
    <tableColumn id="6" name="2020" dataDxfId="4225"/>
  </tableColumns>
  <tableStyleInfo name="TableStyleMedium11" showFirstColumn="0" showLastColumn="0" showRowStripes="1" showColumnStripes="0"/>
</table>
</file>

<file path=xl/tables/table81.xml><?xml version="1.0" encoding="utf-8"?>
<table xmlns="http://schemas.openxmlformats.org/spreadsheetml/2006/main" id="81" name="PMGLOBALAE" displayName="PMGLOBALAE" ref="B219:H231" headerRowCount="1" totalsRowShown="0" headerRowDxfId="4224" dataDxfId="4223">
  <tableColumns count="7">
    <tableColumn id="1" name="MOIS" dataDxfId="4222"/>
    <tableColumn id="7" name="2024" dataDxfId="4221">
      <calculatedColumnFormula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calculatedColumnFormula>
    </tableColumn>
    <tableColumn id="2" name="2023" dataDxfId="4220">
      <calculatedColumnFormula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calculatedColumnFormula>
    </tableColumn>
    <tableColumn id="3" name="2022" dataDxfId="4219">
      <calculatedColumnFormula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calculatedColumnFormula>
    </tableColumn>
    <tableColumn id="4" name="2021" dataDxfId="4218">
      <calculatedColumnFormula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calculatedColumnFormula>
    </tableColumn>
    <tableColumn id="5" name="2020" dataDxfId="4217"/>
    <tableColumn id="6" name="2019" dataDxfId="4216"/>
  </tableColumns>
  <tableStyleInfo name="TableStyleMedium12" showFirstColumn="0" showLastColumn="0" showRowStripes="1" showColumnStripes="0"/>
</table>
</file>

<file path=xl/tables/table82.xml><?xml version="1.0" encoding="utf-8"?>
<table xmlns="http://schemas.openxmlformats.org/spreadsheetml/2006/main" id="82" name="PMR314AE" displayName="PMR314AE" ref="CD219:CJ231" headerRowCount="1" totalsRowShown="0" headerRowDxfId="4215" dataDxfId="4214">
  <tableColumns count="7">
    <tableColumn id="1" name="MOIS" dataDxfId="4213"/>
    <tableColumn id="7" name="2025" dataDxfId="4212"/>
    <tableColumn id="2" name="2024" dataDxfId="4211" dataCellStyle="Milliers"/>
    <tableColumn id="3" name="2023" dataDxfId="4210"/>
    <tableColumn id="4" name="2022" dataDxfId="4209"/>
    <tableColumn id="5" name="2021" dataDxfId="4208"/>
    <tableColumn id="6" name="2020" dataDxfId="4207"/>
  </tableColumns>
  <tableStyleInfo name="TableStyleMedium14" showFirstColumn="0" showLastColumn="0" showRowStripes="1" showColumnStripes="0"/>
</table>
</file>

<file path=xl/tables/table83.xml><?xml version="1.0" encoding="utf-8"?>
<table xmlns="http://schemas.openxmlformats.org/spreadsheetml/2006/main" id="83" name="PMLYSEAE" displayName="PMLYSEAE" ref="CL219:CR231" headerRowCount="1" totalsRowShown="0" headerRowDxfId="4206" dataDxfId="4205">
  <tableColumns count="7">
    <tableColumn id="1" name="MOIS" dataDxfId="4204"/>
    <tableColumn id="7" name="2025" dataDxfId="4203"/>
    <tableColumn id="2" name="2024" dataDxfId="4202" dataCellStyle="Milliers"/>
    <tableColumn id="3" name="2023" dataDxfId="4201"/>
    <tableColumn id="4" name="2022" dataDxfId="4200"/>
    <tableColumn id="5" name="2021" dataDxfId="4199"/>
    <tableColumn id="6" name="2020" dataDxfId="4198"/>
  </tableColumns>
  <tableStyleInfo name="TableStyleMedium8" showFirstColumn="0" showLastColumn="0" showRowStripes="1" showColumnStripes="0"/>
</table>
</file>

<file path=xl/tables/table84.xml><?xml version="1.0" encoding="utf-8"?>
<table xmlns="http://schemas.openxmlformats.org/spreadsheetml/2006/main" id="84" name="PMDIVESAE" displayName="PMDIVESAE" ref="BV219:CB231" headerRowCount="1" totalsRowShown="0" headerRowDxfId="4197" dataDxfId="4196">
  <tableColumns count="7">
    <tableColumn id="1" name="MOIS" dataDxfId="4195"/>
    <tableColumn id="7" name="2025" dataDxfId="4194"/>
    <tableColumn id="2" name="2024" dataDxfId="4193" dataCellStyle="Milliers"/>
    <tableColumn id="3" name="2023" dataDxfId="4192"/>
    <tableColumn id="4" name="2022" dataDxfId="4191"/>
    <tableColumn id="5" name="2021" dataDxfId="4190"/>
    <tableColumn id="6" name="2020" dataDxfId="4189"/>
  </tableColumns>
  <tableStyleInfo name="TableStyleMedium10" showFirstColumn="0" showLastColumn="0" showRowStripes="1" showColumnStripes="0"/>
</table>
</file>

<file path=xl/tables/table85.xml><?xml version="1.0" encoding="utf-8"?>
<table xmlns="http://schemas.openxmlformats.org/spreadsheetml/2006/main" id="85" name="PMTH4AE" displayName="PMTH4AE" ref="BN219:BT231" headerRowCount="1" totalsRowShown="0" headerRowDxfId="4188" dataDxfId="4187">
  <tableColumns count="7">
    <tableColumn id="1" name="MOIS" dataDxfId="4186"/>
    <tableColumn id="7" name="2025" dataDxfId="4185"/>
    <tableColumn id="2" name="2024" dataDxfId="4184" dataCellStyle="Milliers"/>
    <tableColumn id="3" name="2023" dataDxfId="4183"/>
    <tableColumn id="4" name="2022" dataDxfId="4182"/>
    <tableColumn id="5" name="2021" dataDxfId="4181"/>
    <tableColumn id="6" name="2020" dataDxfId="4180"/>
  </tableColumns>
  <tableStyleInfo name="TableStyleMedium11" showFirstColumn="0" showLastColumn="0" showRowStripes="1" showColumnStripes="0"/>
</table>
</file>

<file path=xl/tables/table86.xml><?xml version="1.0" encoding="utf-8"?>
<table xmlns="http://schemas.openxmlformats.org/spreadsheetml/2006/main" id="86" name="PMGLOBALSP" displayName="PMGLOBALSP" ref="B203:H215" headerRowCount="1" totalsRowShown="0" headerRowDxfId="4179" dataDxfId="4178">
  <tableColumns count="7">
    <tableColumn id="1" name="MOIS" dataDxfId="4177"/>
    <tableColumn id="7" name="2024" dataDxfId="4176">
      <calculatedColumnFormula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calculatedColumnFormula>
    </tableColumn>
    <tableColumn id="2" name="2023" dataDxfId="4175">
      <calculatedColumnFormula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calculatedColumnFormula>
    </tableColumn>
    <tableColumn id="3" name="2022" dataDxfId="4174">
      <calculatedColumnFormula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calculatedColumnFormula>
    </tableColumn>
    <tableColumn id="4" name="2021" dataDxfId="4173">
      <calculatedColumnFormula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calculatedColumnFormula>
    </tableColumn>
    <tableColumn id="5" name="2020" dataDxfId="4172">
      <calculatedColumnFormula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calculatedColumnFormula>
    </tableColumn>
    <tableColumn id="6" name="2019" dataDxfId="4171">
      <calculatedColumnFormula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calculatedColumnFormula>
    </tableColumn>
  </tableColumns>
  <tableStyleInfo name="TableStyleMedium12" showFirstColumn="0" showLastColumn="0" showRowStripes="1" showColumnStripes="0"/>
</table>
</file>

<file path=xl/tables/table87.xml><?xml version="1.0" encoding="utf-8"?>
<table xmlns="http://schemas.openxmlformats.org/spreadsheetml/2006/main" id="87" name="PMR314SP" displayName="PMR314SP" ref="CD203:CJ215" headerRowCount="1" totalsRowShown="0" headerRowDxfId="4170" dataDxfId="4169">
  <tableColumns count="7">
    <tableColumn id="1" name="MOIS" dataDxfId="4168"/>
    <tableColumn id="7" name="2025" dataDxfId="4167"/>
    <tableColumn id="2" name="2024" dataDxfId="4166" dataCellStyle="Milliers"/>
    <tableColumn id="3" name="2023" dataDxfId="4165"/>
    <tableColumn id="4" name="2022" dataDxfId="4164"/>
    <tableColumn id="5" name="2021" dataDxfId="4163"/>
    <tableColumn id="6" name="2020" dataDxfId="4162"/>
  </tableColumns>
  <tableStyleInfo name="TableStyleMedium14" showFirstColumn="0" showLastColumn="0" showRowStripes="1" showColumnStripes="0"/>
</table>
</file>

<file path=xl/tables/table88.xml><?xml version="1.0" encoding="utf-8"?>
<table xmlns="http://schemas.openxmlformats.org/spreadsheetml/2006/main" id="88" name="PMLYSESP" displayName="PMLYSESP" ref="CL203:CR215" headerRowCount="1" totalsRowShown="0" headerRowDxfId="4161" dataDxfId="4160">
  <tableColumns count="7">
    <tableColumn id="1" name="MOIS" dataDxfId="4159"/>
    <tableColumn id="7" name="2025" dataDxfId="4158"/>
    <tableColumn id="2" name="2024" dataDxfId="4157" dataCellStyle="Milliers"/>
    <tableColumn id="3" name="2023" dataDxfId="4156"/>
    <tableColumn id="4" name="2022" dataDxfId="4155"/>
    <tableColumn id="5" name="2021" dataDxfId="4154"/>
    <tableColumn id="6" name="2020" dataDxfId="4153"/>
  </tableColumns>
  <tableStyleInfo name="TableStyleMedium8" showFirstColumn="0" showLastColumn="0" showRowStripes="1" showColumnStripes="0"/>
</table>
</file>

<file path=xl/tables/table89.xml><?xml version="1.0" encoding="utf-8"?>
<table xmlns="http://schemas.openxmlformats.org/spreadsheetml/2006/main" id="89" name="PMDIVESSP" displayName="PMDIVESSP" ref="BV203:CB215" headerRowCount="1" totalsRowShown="0" headerRowDxfId="4152" dataDxfId="4151">
  <tableColumns count="7">
    <tableColumn id="1" name="MOIS" dataDxfId="4150"/>
    <tableColumn id="7" name="2025" dataDxfId="4149"/>
    <tableColumn id="2" name="2024" dataDxfId="4148" dataCellStyle="Milliers"/>
    <tableColumn id="3" name="2023" dataDxfId="4147"/>
    <tableColumn id="4" name="2022" dataDxfId="4146"/>
    <tableColumn id="5" name="2021" dataDxfId="4145"/>
    <tableColumn id="6" name="2020" dataDxfId="4144"/>
  </tableColumns>
  <tableStyleInfo name="TableStyleMedium10" showFirstColumn="0" showLastColumn="0" showRowStripes="1" showColumnStripes="0"/>
</table>
</file>

<file path=xl/tables/table90.xml><?xml version="1.0" encoding="utf-8"?>
<table xmlns="http://schemas.openxmlformats.org/spreadsheetml/2006/main" id="90" name="PMTH4SP" displayName="PMTH4SP" ref="BN203:BT215" headerRowCount="1" totalsRowShown="0" headerRowDxfId="4143" dataDxfId="4142">
  <tableColumns count="7">
    <tableColumn id="1" name="MOIS" dataDxfId="4141"/>
    <tableColumn id="7" name="2025" dataDxfId="4140"/>
    <tableColumn id="2" name="2024" dataDxfId="4139" dataCellStyle="Milliers"/>
    <tableColumn id="3" name="2023" dataDxfId="4138"/>
    <tableColumn id="4" name="2022" dataDxfId="4137"/>
    <tableColumn id="5" name="2021" dataDxfId="4136"/>
    <tableColumn id="6" name="2020" dataDxfId="4135"/>
  </tableColumns>
  <tableStyleInfo name="TableStyleMedium11" showFirstColumn="0" showLastColumn="0" showRowStripes="1" showColumnStripes="0"/>
</table>
</file>

<file path=xl/tables/table91.xml><?xml version="1.0" encoding="utf-8"?>
<table xmlns="http://schemas.openxmlformats.org/spreadsheetml/2006/main" id="91" name="PMCGLOBALAE" displayName="PMCGLOBALAE" ref="B267:H279" headerRowCount="1" totalsRowShown="0" headerRowDxfId="4134" dataDxfId="4133">
  <tableColumns count="7">
    <tableColumn id="1" name="MOIS" dataDxfId="4132"/>
    <tableColumn id="7" name="2024" dataDxfId="4131">
      <calculatedColumnFormula>AVERAGE(C220:C$220)</calculatedColumnFormula>
    </tableColumn>
    <tableColumn id="2" name="2023" dataDxfId="4130"/>
    <tableColumn id="3" name="2022" dataDxfId="4129"/>
    <tableColumn id="4" name="2021" dataDxfId="4128"/>
    <tableColumn id="5" name="2020" dataDxfId="4127"/>
    <tableColumn id="6" name="2019" dataDxfId="4126"/>
  </tableColumns>
  <tableStyleInfo name="TableStyleMedium12" showFirstColumn="0" showLastColumn="0" showRowStripes="1" showColumnStripes="0"/>
</table>
</file>

<file path=xl/tables/table92.xml><?xml version="1.0" encoding="utf-8"?>
<table xmlns="http://schemas.openxmlformats.org/spreadsheetml/2006/main" id="92" name="PMCR314AE" displayName="PMCR314AE" ref="CD267:CJ279" headerRowCount="1" totalsRowShown="0" headerRowDxfId="4125" dataDxfId="4124">
  <tableColumns count="7">
    <tableColumn id="1" name="MOIS" dataDxfId="4123"/>
    <tableColumn id="7" name="2025" dataDxfId="4122">
      <calculatedColumnFormula>AVERAGE(CE220:CE$220)</calculatedColumnFormula>
    </tableColumn>
    <tableColumn id="2" name="2024" dataDxfId="4121" dataCellStyle="Milliers"/>
    <tableColumn id="3" name="2023" dataDxfId="4120"/>
    <tableColumn id="4" name="2022" dataDxfId="4119"/>
    <tableColumn id="5" name="2021" dataDxfId="4118"/>
    <tableColumn id="6" name="2020" dataDxfId="4117"/>
  </tableColumns>
  <tableStyleInfo name="TableStyleMedium14" showFirstColumn="0" showLastColumn="0" showRowStripes="1" showColumnStripes="0"/>
</table>
</file>

<file path=xl/tables/table93.xml><?xml version="1.0" encoding="utf-8"?>
<table xmlns="http://schemas.openxmlformats.org/spreadsheetml/2006/main" id="93" name="PMCLYSEAE" displayName="PMCLYSEAE" ref="CL267:CR279" headerRowCount="1" totalsRowShown="0" headerRowDxfId="4116" dataDxfId="4115">
  <tableColumns count="7">
    <tableColumn id="1" name="MOIS" dataDxfId="4114"/>
    <tableColumn id="7" name="2025" dataDxfId="4113">
      <calculatedColumnFormula>AVERAGE(CM220:CM$220)</calculatedColumnFormula>
    </tableColumn>
    <tableColumn id="2" name="2024" dataDxfId="4112" dataCellStyle="Milliers"/>
    <tableColumn id="3" name="2023" dataDxfId="4111"/>
    <tableColumn id="4" name="2022" dataDxfId="4110"/>
    <tableColumn id="5" name="2021" dataDxfId="4109"/>
    <tableColumn id="6" name="2020" dataDxfId="4108"/>
  </tableColumns>
  <tableStyleInfo name="TableStyleMedium8" showFirstColumn="0" showLastColumn="0" showRowStripes="1" showColumnStripes="0"/>
</table>
</file>

<file path=xl/tables/table94.xml><?xml version="1.0" encoding="utf-8"?>
<table xmlns="http://schemas.openxmlformats.org/spreadsheetml/2006/main" id="94" name="PMCDIVESAE" displayName="PMCDIVESAE" ref="BV267:CB279" headerRowCount="1" totalsRowShown="0" headerRowDxfId="4107" dataDxfId="4106">
  <tableColumns count="7">
    <tableColumn id="1" name="MOIS" dataDxfId="4105"/>
    <tableColumn id="7" name="2025" dataDxfId="4104">
      <calculatedColumnFormula>AVERAGE(BW220:BW$220)</calculatedColumnFormula>
    </tableColumn>
    <tableColumn id="2" name="2024" dataDxfId="4103" dataCellStyle="Milliers"/>
    <tableColumn id="3" name="2023" dataDxfId="4102"/>
    <tableColumn id="4" name="2022" dataDxfId="4101"/>
    <tableColumn id="5" name="2021" dataDxfId="4100"/>
    <tableColumn id="6" name="2020" dataDxfId="4099"/>
  </tableColumns>
  <tableStyleInfo name="TableStyleMedium10" showFirstColumn="0" showLastColumn="0" showRowStripes="1" showColumnStripes="0"/>
</table>
</file>

<file path=xl/tables/table95.xml><?xml version="1.0" encoding="utf-8"?>
<table xmlns="http://schemas.openxmlformats.org/spreadsheetml/2006/main" id="95" name="PMCTH4AE" displayName="PMCTH4AE" ref="BN267:BT279" headerRowCount="1" totalsRowShown="0" headerRowDxfId="4098" dataDxfId="4097">
  <tableColumns count="7">
    <tableColumn id="1" name="MOIS" dataDxfId="4096"/>
    <tableColumn id="7" name="2025" dataDxfId="4095">
      <calculatedColumnFormula>AVERAGE(BO220:BO$220)</calculatedColumnFormula>
    </tableColumn>
    <tableColumn id="2" name="2024" dataDxfId="4094" dataCellStyle="Milliers"/>
    <tableColumn id="3" name="2023" dataDxfId="4093"/>
    <tableColumn id="4" name="2022" dataDxfId="4092"/>
    <tableColumn id="5" name="2021" dataDxfId="4091"/>
    <tableColumn id="6" name="2020" dataDxfId="4090"/>
  </tableColumns>
  <tableStyleInfo name="TableStyleMedium11" showFirstColumn="0" showLastColumn="0" showRowStripes="1" showColumnStripes="0"/>
</table>
</file>

<file path=xl/tables/table96.xml><?xml version="1.0" encoding="utf-8"?>
<table xmlns="http://schemas.openxmlformats.org/spreadsheetml/2006/main" id="96" name="PMCGLOBALSP" displayName="PMCGLOBALSP" ref="B251:H263" headerRowCount="1" totalsRowShown="0" headerRowDxfId="4089" dataDxfId="4088">
  <tableColumns count="7">
    <tableColumn id="1" name="MOIS" dataDxfId="4087"/>
    <tableColumn id="7" name="2024" dataDxfId="4086">
      <calculatedColumnFormula>AVERAGE(C204:C$204)</calculatedColumnFormula>
    </tableColumn>
    <tableColumn id="2" name="2023" dataDxfId="4085"/>
    <tableColumn id="3" name="2022" dataDxfId="4084"/>
    <tableColumn id="4" name="2021" dataDxfId="4083"/>
    <tableColumn id="5" name="2020" dataDxfId="4082"/>
    <tableColumn id="6" name="2019" dataDxfId="4081"/>
  </tableColumns>
  <tableStyleInfo name="TableStyleMedium12" showFirstColumn="0" showLastColumn="0" showRowStripes="1" showColumnStripes="0"/>
</table>
</file>

<file path=xl/tables/table97.xml><?xml version="1.0" encoding="utf-8"?>
<table xmlns="http://schemas.openxmlformats.org/spreadsheetml/2006/main" id="97" name="PMCR314SP" displayName="PMCR314SP" ref="CD251:CJ263" headerRowCount="1" totalsRowShown="0" headerRowDxfId="4080" dataDxfId="4079">
  <tableColumns count="7">
    <tableColumn id="1" name="MOIS" dataDxfId="4078"/>
    <tableColumn id="7" name="2025" dataDxfId="4077">
      <calculatedColumnFormula>AVERAGE(CE204:CE$204)</calculatedColumnFormula>
    </tableColumn>
    <tableColumn id="2" name="2024" dataDxfId="4076" dataCellStyle="Milliers"/>
    <tableColumn id="3" name="2023" dataDxfId="4075"/>
    <tableColumn id="4" name="2022" dataDxfId="4074"/>
    <tableColumn id="5" name="2021" dataDxfId="4073"/>
    <tableColumn id="6" name="2020" dataDxfId="4072"/>
  </tableColumns>
  <tableStyleInfo name="TableStyleMedium14" showFirstColumn="0" showLastColumn="0" showRowStripes="1" showColumnStripes="0"/>
</table>
</file>

<file path=xl/tables/table98.xml><?xml version="1.0" encoding="utf-8"?>
<table xmlns="http://schemas.openxmlformats.org/spreadsheetml/2006/main" id="98" name="PMCLYSESP" displayName="PMCLYSESP" ref="CL251:CR263" headerRowCount="1" totalsRowShown="0" headerRowDxfId="4071" dataDxfId="4070">
  <tableColumns count="7">
    <tableColumn id="1" name="MOIS" dataDxfId="4069"/>
    <tableColumn id="7" name="2025" dataDxfId="4068">
      <calculatedColumnFormula>AVERAGE(CM204:CM$204)</calculatedColumnFormula>
    </tableColumn>
    <tableColumn id="2" name="2024" dataDxfId="4067" dataCellStyle="Milliers"/>
    <tableColumn id="3" name="2023" dataDxfId="4066"/>
    <tableColumn id="4" name="2022" dataDxfId="4065"/>
    <tableColumn id="5" name="2021" dataDxfId="4064"/>
    <tableColumn id="6" name="2020" dataDxfId="4063"/>
  </tableColumns>
  <tableStyleInfo name="TableStyleMedium8" showFirstColumn="0" showLastColumn="0" showRowStripes="1" showColumnStripes="0"/>
</table>
</file>

<file path=xl/tables/table99.xml><?xml version="1.0" encoding="utf-8"?>
<table xmlns="http://schemas.openxmlformats.org/spreadsheetml/2006/main" id="99" name="PMCDIVESSP" displayName="PMCDIVESSP" ref="BV251:CB263" headerRowCount="1" totalsRowShown="0" headerRowDxfId="4062" dataDxfId="4061">
  <tableColumns count="7">
    <tableColumn id="1" name="MOIS" dataDxfId="4060"/>
    <tableColumn id="7" name="2025" dataDxfId="4059">
      <calculatedColumnFormula>AVERAGE(BW204:BW$204)</calculatedColumnFormula>
    </tableColumn>
    <tableColumn id="2" name="2024" dataDxfId="4058" dataCellStyle="Milliers"/>
    <tableColumn id="3" name="2023" dataDxfId="4057"/>
    <tableColumn id="4" name="2022" dataDxfId="4056"/>
    <tableColumn id="5" name="2021" dataDxfId="4055"/>
    <tableColumn id="6" name="2020" dataDxfId="4054"/>
  </tableColumns>
  <tableStyleInfo name="TableStyleMedium10" showFirstColumn="0" showLastColumn="0" showRowStripes="1" showColumnStripes="0"/>
</table>
</file>

<file path=xl/tables/table100.xml><?xml version="1.0" encoding="utf-8"?>
<table xmlns="http://schemas.openxmlformats.org/spreadsheetml/2006/main" id="100" name="PMCTH4SP" displayName="PMCTH4SP" ref="BN251:BT263" headerRowCount="1" totalsRowShown="0" headerRowDxfId="4053" dataDxfId="4052">
  <tableColumns count="7">
    <tableColumn id="1" name="MOIS" dataDxfId="4051"/>
    <tableColumn id="7" name="2025" dataDxfId="4050">
      <calculatedColumnFormula>AVERAGE(BO204:BO$204)</calculatedColumnFormula>
    </tableColumn>
    <tableColumn id="2" name="2024" dataDxfId="4049" dataCellStyle="Milliers"/>
    <tableColumn id="3" name="2023" dataDxfId="4048"/>
    <tableColumn id="4" name="2022" dataDxfId="4047"/>
    <tableColumn id="5" name="2021" dataDxfId="4046"/>
    <tableColumn id="6" name="2020" dataDxfId="4045"/>
  </tableColumns>
  <tableStyleInfo name="TableStyleMedium11" showFirstColumn="0" showLastColumn="0" showRowStripes="1" showColumnStripes="0"/>
</table>
</file>

<file path=xl/tables/table101.xml><?xml version="1.0" encoding="utf-8"?>
<table xmlns="http://schemas.openxmlformats.org/spreadsheetml/2006/main" id="101" name="CAGLR5" displayName="CAGLR5" ref="J11:P23" headerRowCount="1" totalsRowShown="0" headerRowDxfId="4044" dataDxfId="4043">
  <tableColumns count="7">
    <tableColumn id="1" name="MOIS" dataDxfId="4042"/>
    <tableColumn id="7" name="2025" dataDxfId="4041"/>
    <tableColumn id="2" name="2024" dataDxfId="4040" dataCellStyle="Milliers"/>
    <tableColumn id="3" name="2023" dataDxfId="4039"/>
    <tableColumn id="4" name="2022" dataDxfId="4038"/>
    <tableColumn id="5" name="2021" dataDxfId="4037"/>
    <tableColumn id="6" name="2020" dataDxfId="4036"/>
  </tableColumns>
  <tableStyleInfo name="TableStyleMedium14" showFirstColumn="0" showLastColumn="0" showRowStripes="1" showColumnStripes="0"/>
</table>
</file>

<file path=xl/tables/table102.xml><?xml version="1.0" encoding="utf-8"?>
<table xmlns="http://schemas.openxmlformats.org/spreadsheetml/2006/main" id="102" name="CAVR7" displayName="CAVR7" ref="AH11:AN23" headerRowCount="1" totalsRowShown="0" headerRowDxfId="4035" dataDxfId="4034">
  <tableColumns count="7">
    <tableColumn id="1" name="MOIS" dataDxfId="4033"/>
    <tableColumn id="7" name="2025" dataDxfId="4032"/>
    <tableColumn id="2" name="2024" dataDxfId="4031"/>
    <tableColumn id="3" name="2023" dataDxfId="4030"/>
    <tableColumn id="4" name="2022" dataDxfId="4029"/>
    <tableColumn id="5" name="2021" dataDxfId="4028"/>
    <tableColumn id="6" name="2020" dataDxfId="4027"/>
  </tableColumns>
  <tableStyleInfo name="TableStyleMedium8" showFirstColumn="0" showLastColumn="0" showRowStripes="1" showColumnStripes="0"/>
</table>
</file>

<file path=xl/tables/table103.xml><?xml version="1.0" encoding="utf-8"?>
<table xmlns="http://schemas.openxmlformats.org/spreadsheetml/2006/main" id="103" name="CATIRR" displayName="CATIRR" ref="Z11:AF23" headerRowCount="1" totalsRowShown="0" headerRowDxfId="4026" dataDxfId="4025">
  <tableColumns count="7">
    <tableColumn id="1" name="MOIS" dataDxfId="4024"/>
    <tableColumn id="7" name="2025" dataDxfId="4023"/>
    <tableColumn id="2" name="2024" dataDxfId="4022" dataCellStyle="Milliers"/>
    <tableColumn id="3" name="2023" dataDxfId="4021"/>
    <tableColumn id="4" name="2022" dataDxfId="4020"/>
    <tableColumn id="5" name="2021" dataDxfId="4019"/>
    <tableColumn id="6" name="2020" dataDxfId="4018"/>
  </tableColumns>
  <tableStyleInfo name="TableStyleMedium10" showFirstColumn="0" showLastColumn="0" showRowStripes="1" showColumnStripes="0"/>
</table>
</file>

<file path=xl/tables/table104.xml><?xml version="1.0" encoding="utf-8"?>
<table xmlns="http://schemas.openxmlformats.org/spreadsheetml/2006/main" id="104" name="CAHTR8" displayName="CAHTR8" ref="R11:X23" headerRowCount="1" totalsRowShown="0" headerRowDxfId="4017" dataDxfId="4016">
  <tableColumns count="7">
    <tableColumn id="1" name="MOIS" dataDxfId="4015"/>
    <tableColumn id="7" name="2025" dataDxfId="4014"/>
    <tableColumn id="2" name="2024" dataDxfId="4013" dataCellStyle="Milliers"/>
    <tableColumn id="3" name="2023" dataDxfId="4012"/>
    <tableColumn id="4" name="2022" dataDxfId="4011"/>
    <tableColumn id="5" name="2021" dataDxfId="4010"/>
    <tableColumn id="6" name="2020" dataDxfId="4009"/>
  </tableColumns>
  <tableStyleInfo name="TableStyleMedium11" showFirstColumn="0" showLastColumn="0" showRowStripes="1" showColumnStripes="0"/>
</table>
</file>

<file path=xl/tables/table105.xml><?xml version="1.0" encoding="utf-8"?>
<table xmlns="http://schemas.openxmlformats.org/spreadsheetml/2006/main" id="105" name="PLGLR5" displayName="PLGLR5" ref="J27:P39" headerRowCount="1" totalsRowShown="0" headerRowDxfId="4008" dataDxfId="4007">
  <tableColumns count="7">
    <tableColumn id="1" name="MOIS" dataDxfId="4006"/>
    <tableColumn id="7" name="2025" dataDxfId="4005"/>
    <tableColumn id="2" name="2024" dataDxfId="4004"/>
    <tableColumn id="3" name="2023" dataDxfId="4003"/>
    <tableColumn id="4" name="2022" dataDxfId="4002"/>
    <tableColumn id="5" name="2021" dataDxfId="4001"/>
    <tableColumn id="6" name="2020" dataDxfId="4000"/>
  </tableColumns>
  <tableStyleInfo name="TableStyleMedium14" showFirstColumn="0" showLastColumn="0" showRowStripes="1" showColumnStripes="0"/>
</table>
</file>

<file path=xl/tables/table106.xml><?xml version="1.0" encoding="utf-8"?>
<table xmlns="http://schemas.openxmlformats.org/spreadsheetml/2006/main" id="106" name="PLVR7" displayName="PLVR7" ref="AH27:AN39" headerRowCount="1" totalsRowShown="0" headerRowDxfId="3999" dataDxfId="3998">
  <tableColumns count="7">
    <tableColumn id="1" name="MOIS" dataDxfId="3997"/>
    <tableColumn id="7" name="2025" dataDxfId="3996"/>
    <tableColumn id="2" name="2024" dataDxfId="3995"/>
    <tableColumn id="3" name="2023" dataDxfId="3994"/>
    <tableColumn id="4" name="2022" dataDxfId="3993"/>
    <tableColumn id="5" name="2021" dataDxfId="3992"/>
    <tableColumn id="6" name="2020" dataDxfId="3991"/>
  </tableColumns>
  <tableStyleInfo name="TableStyleMedium8" showFirstColumn="0" showLastColumn="0" showRowStripes="1" showColumnStripes="0"/>
</table>
</file>

<file path=xl/tables/table107.xml><?xml version="1.0" encoding="utf-8"?>
<table xmlns="http://schemas.openxmlformats.org/spreadsheetml/2006/main" id="107" name="PLTIRR" displayName="PLTIRR" ref="Z27:AF39" headerRowCount="1" totalsRowShown="0" headerRowDxfId="3990" dataDxfId="3989">
  <tableColumns count="7">
    <tableColumn id="1" name="MOIS" dataDxfId="3988"/>
    <tableColumn id="7" name="2025" dataDxfId="3987"/>
    <tableColumn id="2" name="2024" dataDxfId="3986"/>
    <tableColumn id="3" name="2023" dataDxfId="3985"/>
    <tableColumn id="4" name="2022" dataDxfId="3984"/>
    <tableColumn id="5" name="2021" dataDxfId="3983"/>
    <tableColumn id="6" name="2020" dataDxfId="3982"/>
  </tableColumns>
  <tableStyleInfo name="TableStyleMedium10" showFirstColumn="0" showLastColumn="0" showRowStripes="1" showColumnStripes="0"/>
</table>
</file>

<file path=xl/tables/table108.xml><?xml version="1.0" encoding="utf-8"?>
<table xmlns="http://schemas.openxmlformats.org/spreadsheetml/2006/main" id="108" name="PLHTR8" displayName="PLHTR8" ref="R27:X39" headerRowCount="1" totalsRowShown="0" headerRowDxfId="3981" dataDxfId="3980">
  <tableColumns count="7">
    <tableColumn id="1" name="MOIS" dataDxfId="3979"/>
    <tableColumn id="7" name="2025" dataDxfId="3978" dataCellStyle="Milliers"/>
    <tableColumn id="2" name="2024" dataDxfId="3977"/>
    <tableColumn id="3" name="2023" dataDxfId="3976"/>
    <tableColumn id="4" name="2022" dataDxfId="3975"/>
    <tableColumn id="5" name="2021" dataDxfId="3974"/>
    <tableColumn id="6" name="2020" dataDxfId="3973"/>
  </tableColumns>
  <tableStyleInfo name="TableStyleMedium11" showFirstColumn="0" showLastColumn="0" showRowStripes="1" showColumnStripes="0"/>
</table>
</file>

<file path=xl/tables/table109.xml><?xml version="1.0" encoding="utf-8"?>
<table xmlns="http://schemas.openxmlformats.org/spreadsheetml/2006/main" id="109" name="TRANSGLR5" displayName="TRANSGLR5" ref="J107:P119" headerRowCount="1" totalsRowShown="0" headerRowDxfId="3972" dataDxfId="3971">
  <tableColumns count="7">
    <tableColumn id="1" name="MOIS" dataDxfId="3970"/>
    <tableColumn id="7" name="2025" dataDxfId="3969">
      <calculatedColumnFormula>+K92+K76+K60+K44</calculatedColumnFormula>
    </tableColumn>
    <tableColumn id="2" name="2024" dataDxfId="3968"/>
    <tableColumn id="3" name="2023" dataDxfId="3967"/>
    <tableColumn id="4" name="2022" dataDxfId="3966"/>
    <tableColumn id="5" name="2021" dataDxfId="3965"/>
    <tableColumn id="6" name="2020" dataDxfId="3964"/>
  </tableColumns>
  <tableStyleInfo name="TableStyleMedium14" showFirstColumn="0" showLastColumn="0" showRowStripes="1" showColumnStripes="0"/>
</table>
</file>

<file path=xl/tables/table110.xml><?xml version="1.0" encoding="utf-8"?>
<table xmlns="http://schemas.openxmlformats.org/spreadsheetml/2006/main" id="110" name="TRANSVR7" displayName="TRANSVR7" ref="AH107:AN119" headerRowCount="1" totalsRowShown="0" headerRowDxfId="3963" dataDxfId="3962">
  <tableColumns count="7">
    <tableColumn id="1" name="MOIS" dataDxfId="3961"/>
    <tableColumn id="7" name="2025" dataDxfId="3960">
      <calculatedColumnFormula>+AI92+AI76+AI60+AI44</calculatedColumnFormula>
    </tableColumn>
    <tableColumn id="2" name="2024" dataDxfId="3959"/>
    <tableColumn id="3" name="2023" dataDxfId="3958"/>
    <tableColumn id="4" name="2022" dataDxfId="3957"/>
    <tableColumn id="5" name="2021" dataDxfId="3956"/>
    <tableColumn id="6" name="2020" dataDxfId="3955"/>
  </tableColumns>
  <tableStyleInfo name="TableStyleMedium8" showFirstColumn="0" showLastColumn="0" showRowStripes="1" showColumnStripes="0"/>
</table>
</file>

<file path=xl/tables/table111.xml><?xml version="1.0" encoding="utf-8"?>
<table xmlns="http://schemas.openxmlformats.org/spreadsheetml/2006/main" id="111" name="TRANSTIRR" displayName="TRANSTIRR" ref="Z107:AF119" headerRowCount="1" totalsRowShown="0" headerRowDxfId="3954" dataDxfId="3953">
  <tableColumns count="7">
    <tableColumn id="1" name="MOIS" dataDxfId="3952"/>
    <tableColumn id="7" name="2025" dataDxfId="3951">
      <calculatedColumnFormula>+AA92+AA76+AA60+AA44</calculatedColumnFormula>
    </tableColumn>
    <tableColumn id="2" name="2024" dataDxfId="3950"/>
    <tableColumn id="3" name="2023" dataDxfId="3949"/>
    <tableColumn id="4" name="2022" dataDxfId="3948"/>
    <tableColumn id="5" name="2021" dataDxfId="3947"/>
    <tableColumn id="6" name="2020" dataDxfId="3946"/>
  </tableColumns>
  <tableStyleInfo name="TableStyleMedium10" showFirstColumn="0" showLastColumn="0" showRowStripes="1" showColumnStripes="0"/>
</table>
</file>

<file path=xl/tables/table112.xml><?xml version="1.0" encoding="utf-8"?>
<table xmlns="http://schemas.openxmlformats.org/spreadsheetml/2006/main" id="112" name="TRANSHTR8" displayName="TRANSHTR8" ref="R107:X119" headerRowCount="1" totalsRowShown="0" headerRowDxfId="3945" dataDxfId="3944">
  <tableColumns count="7">
    <tableColumn id="1" name="MOIS" dataDxfId="3943"/>
    <tableColumn id="7" name="2025" dataDxfId="3942" dataCellStyle="Milliers">
      <calculatedColumnFormula>+S92+S76+S60+S44</calculatedColumnFormula>
    </tableColumn>
    <tableColumn id="2" name="2024" dataDxfId="3941"/>
    <tableColumn id="3" name="2023" dataDxfId="3940"/>
    <tableColumn id="4" name="2022" dataDxfId="3939"/>
    <tableColumn id="5" name="2021" dataDxfId="3938"/>
    <tableColumn id="6" name="2020" dataDxfId="3937"/>
  </tableColumns>
  <tableStyleInfo name="TableStyleMedium11" showFirstColumn="0" showLastColumn="0" showRowStripes="1" showColumnStripes="0"/>
</table>
</file>

<file path=xl/tables/table113.xml><?xml version="1.0" encoding="utf-8"?>
<table xmlns="http://schemas.openxmlformats.org/spreadsheetml/2006/main" id="113" name="PMGLR5" displayName="PMGLR5" ref="J235:P247" headerRowCount="1" totalsRowShown="0" headerRowDxfId="3936" dataDxfId="3935">
  <tableColumns count="7">
    <tableColumn id="1" name="MOIS" dataDxfId="3934"/>
    <tableColumn id="7" name="2025" dataDxfId="3933"/>
    <tableColumn id="2" name="2024" dataDxfId="3932" dataCellStyle="Milliers"/>
    <tableColumn id="3" name="2023" dataDxfId="3931"/>
    <tableColumn id="4" name="2022" dataDxfId="3930"/>
    <tableColumn id="5" name="2021" dataDxfId="3929"/>
    <tableColumn id="6" name="2020" dataDxfId="3928"/>
  </tableColumns>
  <tableStyleInfo name="TableStyleMedium14" showFirstColumn="0" showLastColumn="0" showRowStripes="1" showColumnStripes="0"/>
</table>
</file>

<file path=xl/tables/table114.xml><?xml version="1.0" encoding="utf-8"?>
<table xmlns="http://schemas.openxmlformats.org/spreadsheetml/2006/main" id="114" name="PMVR7" displayName="PMVR7" ref="AH235:AN247" headerRowCount="1" totalsRowShown="0" headerRowDxfId="3927" dataDxfId="3926">
  <tableColumns count="7">
    <tableColumn id="1" name="MOIS" dataDxfId="3925"/>
    <tableColumn id="7" name="2025" dataDxfId="3924"/>
    <tableColumn id="2" name="2024" dataDxfId="3923"/>
    <tableColumn id="3" name="2023" dataDxfId="3922"/>
    <tableColumn id="4" name="2022" dataDxfId="3921"/>
    <tableColumn id="5" name="2021" dataDxfId="3920"/>
    <tableColumn id="6" name="2020" dataDxfId="3919"/>
  </tableColumns>
  <tableStyleInfo name="TableStyleMedium8" showFirstColumn="0" showLastColumn="0" showRowStripes="1" showColumnStripes="0"/>
</table>
</file>

<file path=xl/tables/table115.xml><?xml version="1.0" encoding="utf-8"?>
<table xmlns="http://schemas.openxmlformats.org/spreadsheetml/2006/main" id="115" name="PMTIRR" displayName="PMTIRR" ref="Z235:AF247" headerRowCount="1" totalsRowShown="0" headerRowDxfId="3918" dataDxfId="3917">
  <tableColumns count="7">
    <tableColumn id="1" name="MOIS" dataDxfId="3916"/>
    <tableColumn id="7" name="2025" dataDxfId="3915"/>
    <tableColumn id="2" name="2024" dataDxfId="3914" dataCellStyle="Milliers"/>
    <tableColumn id="3" name="2023" dataDxfId="3913"/>
    <tableColumn id="4" name="2022" dataDxfId="3912"/>
    <tableColumn id="5" name="2021" dataDxfId="3911"/>
    <tableColumn id="6" name="2020" dataDxfId="3910"/>
  </tableColumns>
  <tableStyleInfo name="TableStyleMedium10" showFirstColumn="0" showLastColumn="0" showRowStripes="1" showColumnStripes="0"/>
</table>
</file>

<file path=xl/tables/table116.xml><?xml version="1.0" encoding="utf-8"?>
<table xmlns="http://schemas.openxmlformats.org/spreadsheetml/2006/main" id="116" name="PMHTR8" displayName="PMHTR8" ref="R235:X247" headerRowCount="1" totalsRowShown="0" headerRowDxfId="3909" dataDxfId="3908">
  <tableColumns count="7">
    <tableColumn id="1" name="MOIS" dataDxfId="3907"/>
    <tableColumn id="7" name="2025" dataDxfId="3906"/>
    <tableColumn id="2" name="2024" dataDxfId="3905" dataCellStyle="Milliers"/>
    <tableColumn id="3" name="2023" dataDxfId="3904"/>
    <tableColumn id="4" name="2022" dataDxfId="3903"/>
    <tableColumn id="5" name="2021" dataDxfId="3902"/>
    <tableColumn id="6" name="2020" dataDxfId="3901"/>
  </tableColumns>
  <tableStyleInfo name="TableStyleMedium11" showFirstColumn="0" showLastColumn="0" showRowStripes="1" showColumnStripes="0"/>
</table>
</file>

<file path=xl/tables/table117.xml><?xml version="1.0" encoding="utf-8"?>
<table xmlns="http://schemas.openxmlformats.org/spreadsheetml/2006/main" id="117" name="TRESOGLR5" displayName="TRESOGLR5" ref="J299:P311" headerRowCount="1" totalsRowShown="0" headerRowDxfId="3900" dataDxfId="3899">
  <tableColumns count="7">
    <tableColumn id="1" name="MOIS" dataDxfId="3898"/>
    <tableColumn id="7" name="2025" dataDxfId="13">
      <calculatedColumnFormula>167.89956-48.89348</calculatedColumnFormula>
    </tableColumn>
    <tableColumn id="2" name="2024" dataDxfId="3897"/>
    <tableColumn id="3" name="2023" dataDxfId="3896"/>
    <tableColumn id="4" name="2022" dataDxfId="3895"/>
    <tableColumn id="5" name="2021" dataDxfId="3894"/>
    <tableColumn id="6" name="2020" dataDxfId="3893"/>
  </tableColumns>
  <tableStyleInfo name="TableStyleMedium14" showFirstColumn="0" showLastColumn="0" showRowStripes="1" showColumnStripes="0"/>
</table>
</file>

<file path=xl/tables/table118.xml><?xml version="1.0" encoding="utf-8"?>
<table xmlns="http://schemas.openxmlformats.org/spreadsheetml/2006/main" id="118" name="TRESOVR7" displayName="TRESOVR7" ref="AH299:AN311" headerRowCount="1" totalsRowShown="0" headerRowDxfId="3892" dataDxfId="3891">
  <tableColumns count="7">
    <tableColumn id="1" name="MOIS" dataDxfId="3890"/>
    <tableColumn id="7" name="2025" dataDxfId="3889"/>
    <tableColumn id="2" name="2024" dataDxfId="3888"/>
    <tableColumn id="3" name="2023" dataDxfId="3887"/>
    <tableColumn id="4" name="2022" dataDxfId="3886"/>
    <tableColumn id="5" name="2021" dataDxfId="3885"/>
    <tableColumn id="6" name="2020" dataDxfId="3884"/>
  </tableColumns>
  <tableStyleInfo name="TableStyleMedium8" showFirstColumn="0" showLastColumn="0" showRowStripes="1" showColumnStripes="0"/>
</table>
</file>

<file path=xl/tables/table119.xml><?xml version="1.0" encoding="utf-8"?>
<table xmlns="http://schemas.openxmlformats.org/spreadsheetml/2006/main" id="119" name="TRESOTIRR" displayName="TRESOTIRR" ref="Z299:AF311" headerRowCount="1" totalsRowShown="0" headerRowDxfId="3883" dataDxfId="3882">
  <tableColumns count="7">
    <tableColumn id="1" name="MOIS" dataDxfId="3881"/>
    <tableColumn id="7" name="2025" dataDxfId="12">
      <calculatedColumnFormula>993.9164-674.75357</calculatedColumnFormula>
    </tableColumn>
    <tableColumn id="2" name="2024" dataDxfId="3880"/>
    <tableColumn id="3" name="2023" dataDxfId="3879"/>
    <tableColumn id="4" name="2022" dataDxfId="3878"/>
    <tableColumn id="5" name="2021" dataDxfId="3877"/>
    <tableColumn id="6" name="2020" dataDxfId="3876"/>
  </tableColumns>
  <tableStyleInfo name="TableStyleMedium10" showFirstColumn="0" showLastColumn="0" showRowStripes="1" showColumnStripes="0"/>
</table>
</file>

<file path=xl/tables/table120.xml><?xml version="1.0" encoding="utf-8"?>
<table xmlns="http://schemas.openxmlformats.org/spreadsheetml/2006/main" id="120" name="TRESOHTR8" displayName="TRESOHTR8" ref="R299:X311" headerRowCount="1" totalsRowShown="0" headerRowDxfId="3875" dataDxfId="3874">
  <tableColumns count="7">
    <tableColumn id="1" name="MOIS" dataDxfId="3873"/>
    <tableColumn id="7" name="2025" dataDxfId="11">
      <calculatedColumnFormula>67.00314-2.89284</calculatedColumnFormula>
    </tableColumn>
    <tableColumn id="2" name="2024" dataDxfId="3872"/>
    <tableColumn id="3" name="2023" dataDxfId="3871"/>
    <tableColumn id="4" name="2022" dataDxfId="3870"/>
    <tableColumn id="5" name="2021" dataDxfId="3869"/>
    <tableColumn id="6" name="2020" dataDxfId="3868"/>
  </tableColumns>
  <tableStyleInfo name="TableStyleMedium11" showFirstColumn="0" showLastColumn="0" showRowStripes="1" showColumnStripes="0"/>
</table>
</file>

<file path=xl/tables/table121.xml><?xml version="1.0" encoding="utf-8"?>
<table xmlns="http://schemas.openxmlformats.org/spreadsheetml/2006/main" id="121" name="TRANSCGLR5" displayName="TRANSCGLR5" ref="J187:P199" headerRowCount="1" totalsRowShown="0" headerRowDxfId="3867" dataDxfId="3866">
  <tableColumns count="7">
    <tableColumn id="1" name="MOIS" dataDxfId="3865"/>
    <tableColumn id="7" name="2025" dataDxfId="3864"/>
    <tableColumn id="2" name="2024" dataDxfId="3863"/>
    <tableColumn id="3" name="2023" dataDxfId="3862"/>
    <tableColumn id="4" name="2022" dataDxfId="3861"/>
    <tableColumn id="5" name="2021" dataDxfId="3860"/>
    <tableColumn id="6" name="2020" dataDxfId="3859"/>
  </tableColumns>
  <tableStyleInfo name="TableStyleMedium14" showFirstColumn="0" showLastColumn="0" showRowStripes="1" showColumnStripes="0"/>
</table>
</file>

<file path=xl/tables/table122.xml><?xml version="1.0" encoding="utf-8"?>
<table xmlns="http://schemas.openxmlformats.org/spreadsheetml/2006/main" id="122" name="TRANSCVR7" displayName="TRANSCVR7" ref="AH187:AN199" headerRowCount="1" totalsRowShown="0" headerRowDxfId="3858" dataDxfId="3857">
  <tableColumns count="7">
    <tableColumn id="1" name="MOIS" dataDxfId="3856"/>
    <tableColumn id="7" name="2025" dataDxfId="3855"/>
    <tableColumn id="2" name="2024" dataDxfId="3854"/>
    <tableColumn id="3" name="2023" dataDxfId="3853"/>
    <tableColumn id="4" name="2022" dataDxfId="3852"/>
    <tableColumn id="5" name="2021" dataDxfId="3851"/>
    <tableColumn id="6" name="2020" dataDxfId="3850"/>
  </tableColumns>
  <tableStyleInfo name="TableStyleMedium8" showFirstColumn="0" showLastColumn="0" showRowStripes="1" showColumnStripes="0"/>
</table>
</file>

<file path=xl/tables/table123.xml><?xml version="1.0" encoding="utf-8"?>
<table xmlns="http://schemas.openxmlformats.org/spreadsheetml/2006/main" id="123" name="TRANSCTIRR" displayName="TRANSCTIRR" ref="Z187:AF199" headerRowCount="1" totalsRowShown="0" headerRowDxfId="3849" dataDxfId="3848">
  <tableColumns count="7">
    <tableColumn id="1" name="MOIS" dataDxfId="3847"/>
    <tableColumn id="7" name="2025" dataDxfId="3846"/>
    <tableColumn id="2" name="2024" dataDxfId="3845"/>
    <tableColumn id="3" name="2023" dataDxfId="3844"/>
    <tableColumn id="4" name="2022" dataDxfId="3843"/>
    <tableColumn id="5" name="2021" dataDxfId="3842"/>
    <tableColumn id="6" name="2020" dataDxfId="3841"/>
  </tableColumns>
  <tableStyleInfo name="TableStyleMedium10" showFirstColumn="0" showLastColumn="0" showRowStripes="1" showColumnStripes="0"/>
</table>
</file>

<file path=xl/tables/table124.xml><?xml version="1.0" encoding="utf-8"?>
<table xmlns="http://schemas.openxmlformats.org/spreadsheetml/2006/main" id="124" name="TRANSCHTR8" displayName="TRANSCHTR8" ref="R187:X199" headerRowCount="1" totalsRowShown="0" headerRowDxfId="3840" dataDxfId="3839">
  <tableColumns count="7">
    <tableColumn id="1" name="MOIS" dataDxfId="3838"/>
    <tableColumn id="7" name="2025" dataDxfId="3837" dataCellStyle="Milliers"/>
    <tableColumn id="2" name="2024" dataDxfId="3836"/>
    <tableColumn id="3" name="2023" dataDxfId="3835"/>
    <tableColumn id="4" name="2022" dataDxfId="3834"/>
    <tableColumn id="5" name="2021" dataDxfId="3833"/>
    <tableColumn id="6" name="2020" dataDxfId="3832"/>
  </tableColumns>
  <tableStyleInfo name="TableStyleMedium11" showFirstColumn="0" showLastColumn="0" showRowStripes="1" showColumnStripes="0"/>
</table>
</file>

<file path=xl/tables/table125.xml><?xml version="1.0" encoding="utf-8"?>
<table xmlns="http://schemas.openxmlformats.org/spreadsheetml/2006/main" id="125" name="PMCGLR5" displayName="PMCGLR5" ref="J283:P295" headerRowCount="1" totalsRowShown="0" headerRowDxfId="3831" dataDxfId="3830">
  <tableColumns count="7">
    <tableColumn id="1" name="MOIS" dataDxfId="3829"/>
    <tableColumn id="7" name="2025" dataDxfId="3828">
      <calculatedColumnFormula>AVERAGE(K$236:K236)</calculatedColumnFormula>
    </tableColumn>
    <tableColumn id="2" name="2024" dataDxfId="3827"/>
    <tableColumn id="3" name="2023" dataDxfId="3826"/>
    <tableColumn id="4" name="2022" dataDxfId="3825"/>
    <tableColumn id="5" name="2021" dataDxfId="3824"/>
    <tableColumn id="6" name="2020" dataDxfId="3823"/>
  </tableColumns>
  <tableStyleInfo name="TableStyleMedium14" showFirstColumn="0" showLastColumn="0" showRowStripes="1" showColumnStripes="0"/>
</table>
</file>

<file path=xl/tables/table126.xml><?xml version="1.0" encoding="utf-8"?>
<table xmlns="http://schemas.openxmlformats.org/spreadsheetml/2006/main" id="126" name="PMCVR7" displayName="PMCVR7" ref="AH283:AN295" headerRowCount="1" totalsRowShown="0" headerRowDxfId="3822" dataDxfId="3821">
  <tableColumns count="7">
    <tableColumn id="1" name="MOIS" dataDxfId="3820"/>
    <tableColumn id="7" name="2025" dataDxfId="3819">
      <calculatedColumnFormula>AVERAGE(AI$236:AI236)</calculatedColumnFormula>
    </tableColumn>
    <tableColumn id="2" name="2024" dataDxfId="3818"/>
    <tableColumn id="3" name="2023" dataDxfId="3817"/>
    <tableColumn id="4" name="2022" dataDxfId="3816"/>
    <tableColumn id="5" name="2021" dataDxfId="3815"/>
    <tableColumn id="6" name="2020" dataDxfId="3814"/>
  </tableColumns>
  <tableStyleInfo name="TableStyleMedium8" showFirstColumn="0" showLastColumn="0" showRowStripes="1" showColumnStripes="0"/>
</table>
</file>

<file path=xl/tables/table127.xml><?xml version="1.0" encoding="utf-8"?>
<table xmlns="http://schemas.openxmlformats.org/spreadsheetml/2006/main" id="127" name="PMCTIRR" displayName="PMCTIRR" ref="Z283:AF295" headerRowCount="1" totalsRowShown="0" headerRowDxfId="3813" dataDxfId="3812">
  <tableColumns count="7">
    <tableColumn id="1" name="MOIS" dataDxfId="3811"/>
    <tableColumn id="7" name="2025" dataDxfId="3810">
      <calculatedColumnFormula>AVERAGE(AA$236:AA236)</calculatedColumnFormula>
    </tableColumn>
    <tableColumn id="2" name="2024" dataDxfId="3809"/>
    <tableColumn id="3" name="2023" dataDxfId="3808"/>
    <tableColumn id="4" name="2022" dataDxfId="3807"/>
    <tableColumn id="5" name="2021" dataDxfId="3806"/>
    <tableColumn id="6" name="2020" dataDxfId="3805"/>
  </tableColumns>
  <tableStyleInfo name="TableStyleMedium10" showFirstColumn="0" showLastColumn="0" showRowStripes="1" showColumnStripes="0"/>
</table>
</file>

<file path=xl/tables/table128.xml><?xml version="1.0" encoding="utf-8"?>
<table xmlns="http://schemas.openxmlformats.org/spreadsheetml/2006/main" id="128" name="PMCHTR8" displayName="PMCHTR8" ref="R283:X295" headerRowCount="1" totalsRowShown="0" headerRowDxfId="3804" dataDxfId="3803">
  <tableColumns count="7">
    <tableColumn id="1" name="MOIS" dataDxfId="3802"/>
    <tableColumn id="7" name="2025" dataDxfId="3801">
      <calculatedColumnFormula>AVERAGE(S$236:S236)</calculatedColumnFormula>
    </tableColumn>
    <tableColumn id="2" name="2024" dataDxfId="3800"/>
    <tableColumn id="3" name="2023" dataDxfId="3799"/>
    <tableColumn id="4" name="2022" dataDxfId="3798"/>
    <tableColumn id="5" name="2021" dataDxfId="3797"/>
    <tableColumn id="6" name="2020" dataDxfId="3796"/>
  </tableColumns>
  <tableStyleInfo name="TableStyleMedium11" showFirstColumn="0" showLastColumn="0" showRowStripes="1" showColumnStripes="0"/>
</table>
</file>

<file path=xl/tables/table129.xml><?xml version="1.0" encoding="utf-8"?>
<table xmlns="http://schemas.openxmlformats.org/spreadsheetml/2006/main" id="129" name="TRANSGLR5K" displayName="TRANSGLR5K" ref="J91:P103" headerRowCount="1" totalsRowShown="0" headerRowDxfId="3795" dataDxfId="3794">
  <tableColumns count="7">
    <tableColumn id="1" name="MOIS" dataDxfId="3793"/>
    <tableColumn id="7" name="2025" dataDxfId="3792"/>
    <tableColumn id="2" name="2024" dataDxfId="3791"/>
    <tableColumn id="3" name="2023" dataDxfId="3790"/>
    <tableColumn id="4" name="2022" dataDxfId="3789"/>
    <tableColumn id="5" name="2021" dataDxfId="3788"/>
    <tableColumn id="6" name="2020" dataDxfId="3787"/>
  </tableColumns>
  <tableStyleInfo name="TableStyleMedium14" showFirstColumn="0" showLastColumn="0" showRowStripes="1" showColumnStripes="0"/>
</table>
</file>

<file path=xl/tables/table130.xml><?xml version="1.0" encoding="utf-8"?>
<table xmlns="http://schemas.openxmlformats.org/spreadsheetml/2006/main" id="130" name="TRANSVR7K" displayName="TRANSVR7K" ref="AH91:AN103" headerRowCount="1" totalsRowShown="0" headerRowDxfId="3786" dataDxfId="3785">
  <tableColumns count="7">
    <tableColumn id="1" name="MOIS" dataDxfId="3784"/>
    <tableColumn id="7" name="2025" dataDxfId="3783"/>
    <tableColumn id="2" name="2024" dataDxfId="3782"/>
    <tableColumn id="3" name="2023" dataDxfId="3781"/>
    <tableColumn id="4" name="2022" dataDxfId="3780"/>
    <tableColumn id="5" name="2021" dataDxfId="3779"/>
    <tableColumn id="6" name="2020" dataDxfId="3778"/>
  </tableColumns>
  <tableStyleInfo name="TableStyleMedium8" showFirstColumn="0" showLastColumn="0" showRowStripes="1" showColumnStripes="0"/>
</table>
</file>

<file path=xl/tables/table131.xml><?xml version="1.0" encoding="utf-8"?>
<table xmlns="http://schemas.openxmlformats.org/spreadsheetml/2006/main" id="131" name="TRANSTIRRK" displayName="TRANSTIRRK" ref="Z91:AF103" headerRowCount="1" totalsRowShown="0" headerRowDxfId="3777" dataDxfId="3776">
  <tableColumns count="7">
    <tableColumn id="1" name="MOIS" dataDxfId="3775"/>
    <tableColumn id="7" name="2025" dataDxfId="3774"/>
    <tableColumn id="2" name="2024" dataDxfId="3773" dataCellStyle="Milliers"/>
    <tableColumn id="3" name="2023" dataDxfId="3772"/>
    <tableColumn id="4" name="2022" dataDxfId="3771"/>
    <tableColumn id="5" name="2021" dataDxfId="3770"/>
    <tableColumn id="6" name="2020" dataDxfId="3769"/>
  </tableColumns>
  <tableStyleInfo name="TableStyleMedium10" showFirstColumn="0" showLastColumn="0" showRowStripes="1" showColumnStripes="0"/>
</table>
</file>

<file path=xl/tables/table132.xml><?xml version="1.0" encoding="utf-8"?>
<table xmlns="http://schemas.openxmlformats.org/spreadsheetml/2006/main" id="132" name="TRANSHTR8K" displayName="TRANSHTR8K" ref="R91:X103" headerRowCount="1" totalsRowShown="0" headerRowDxfId="3768" dataDxfId="3767">
  <tableColumns count="7">
    <tableColumn id="1" name="MOIS" dataDxfId="3766"/>
    <tableColumn id="7" name="2025" dataDxfId="3765"/>
    <tableColumn id="2" name="2024" dataDxfId="3764" dataCellStyle="Milliers"/>
    <tableColumn id="3" name="2023" dataDxfId="3763"/>
    <tableColumn id="4" name="2022" dataDxfId="3762"/>
    <tableColumn id="5" name="2021" dataDxfId="3761"/>
    <tableColumn id="6" name="2020" dataDxfId="3760"/>
  </tableColumns>
  <tableStyleInfo name="TableStyleMedium11" showFirstColumn="0" showLastColumn="0" showRowStripes="1" showColumnStripes="0"/>
</table>
</file>

<file path=xl/tables/table133.xml><?xml version="1.0" encoding="utf-8"?>
<table xmlns="http://schemas.openxmlformats.org/spreadsheetml/2006/main" id="133" name="TRANSGLR5MC" displayName="TRANSGLR5MC" ref="J75:P87" headerRowCount="1" totalsRowShown="0" headerRowDxfId="3759" dataDxfId="3758">
  <tableColumns count="7">
    <tableColumn id="1" name="MOIS" dataDxfId="3757"/>
    <tableColumn id="7" name="2025" dataDxfId="3756">
      <calculatedColumnFormula>9713</calculatedColumnFormula>
    </tableColumn>
    <tableColumn id="2" name="2024" dataDxfId="3755"/>
    <tableColumn id="3" name="2023" dataDxfId="3754"/>
    <tableColumn id="4" name="2022" dataDxfId="3753"/>
    <tableColumn id="5" name="2021" dataDxfId="3752"/>
    <tableColumn id="6" name="2020" dataDxfId="3751"/>
  </tableColumns>
  <tableStyleInfo name="TableStyleMedium14" showFirstColumn="0" showLastColumn="0" showRowStripes="1" showColumnStripes="0"/>
</table>
</file>

<file path=xl/tables/table134.xml><?xml version="1.0" encoding="utf-8"?>
<table xmlns="http://schemas.openxmlformats.org/spreadsheetml/2006/main" id="134" name="TRANSVR7MC" displayName="TRANSVR7MC" ref="AH75:AN88" headerRowCount="1" totalsRowShown="0" headerRowDxfId="3750" dataDxfId="3749">
  <tableColumns count="7">
    <tableColumn id="1" name="MOIS" dataDxfId="3748"/>
    <tableColumn id="7" name="2025" dataDxfId="3747"/>
    <tableColumn id="2" name="2024" dataDxfId="3746"/>
    <tableColumn id="3" name="2023" dataDxfId="3745"/>
    <tableColumn id="4" name="2022" dataDxfId="3744"/>
    <tableColumn id="5" name="2021" dataDxfId="3743"/>
    <tableColumn id="6" name="2020" dataDxfId="3742"/>
  </tableColumns>
  <tableStyleInfo name="TableStyleMedium8" showFirstColumn="0" showLastColumn="0" showRowStripes="1" showColumnStripes="0"/>
</table>
</file>

<file path=xl/tables/table135.xml><?xml version="1.0" encoding="utf-8"?>
<table xmlns="http://schemas.openxmlformats.org/spreadsheetml/2006/main" id="135" name="TRANSTIRRMC" displayName="TRANSTIRRMC" ref="Z75:AF87" headerRowCount="1" totalsRowShown="0" headerRowDxfId="3741" dataDxfId="3740">
  <tableColumns count="7">
    <tableColumn id="1" name="MOIS" dataDxfId="3739"/>
    <tableColumn id="7" name="2025" dataDxfId="3738"/>
    <tableColumn id="2" name="2024" dataDxfId="3737" dataCellStyle="Milliers"/>
    <tableColumn id="3" name="2023" dataDxfId="3736"/>
    <tableColumn id="4" name="2022" dataDxfId="3735"/>
    <tableColumn id="5" name="2021" dataDxfId="3734"/>
    <tableColumn id="6" name="2020" dataDxfId="3733"/>
  </tableColumns>
  <tableStyleInfo name="TableStyleMedium10" showFirstColumn="0" showLastColumn="0" showRowStripes="1" showColumnStripes="0"/>
</table>
</file>

<file path=xl/tables/table136.xml><?xml version="1.0" encoding="utf-8"?>
<table xmlns="http://schemas.openxmlformats.org/spreadsheetml/2006/main" id="136" name="TRANSHTR8MC" displayName="TRANSHTR8MC" ref="R75:X87" headerRowCount="1" totalsRowShown="0" headerRowDxfId="3732" dataDxfId="3731">
  <tableColumns count="7">
    <tableColumn id="1" name="MOIS" dataDxfId="3730"/>
    <tableColumn id="7" name="2025" dataDxfId="3729"/>
    <tableColumn id="2" name="2024" dataDxfId="3728" dataCellStyle="Milliers"/>
    <tableColumn id="3" name="2023" dataDxfId="3727"/>
    <tableColumn id="4" name="2022" dataDxfId="3726"/>
    <tableColumn id="5" name="2021" dataDxfId="3725"/>
    <tableColumn id="6" name="2020" dataDxfId="3724"/>
  </tableColumns>
  <tableStyleInfo name="TableStyleMedium11" showFirstColumn="0" showLastColumn="0" showRowStripes="1" showColumnStripes="0"/>
</table>
</file>

<file path=xl/tables/table137.xml><?xml version="1.0" encoding="utf-8"?>
<table xmlns="http://schemas.openxmlformats.org/spreadsheetml/2006/main" id="137" name="TRANSGLR5AE" displayName="TRANSGLR5AE" ref="J59:P71" headerRowCount="1" totalsRowShown="0" headerRowDxfId="3723" dataDxfId="3722">
  <tableColumns count="7">
    <tableColumn id="1" name="MOIS" dataDxfId="3721"/>
    <tableColumn id="7" name="2025" dataDxfId="3720"/>
    <tableColumn id="2" name="2024" dataDxfId="3719"/>
    <tableColumn id="3" name="2023" dataDxfId="3718"/>
    <tableColumn id="4" name="2022" dataDxfId="3717"/>
    <tableColumn id="5" name="2021" dataDxfId="3716"/>
    <tableColumn id="6" name="2020" dataDxfId="3715"/>
  </tableColumns>
  <tableStyleInfo name="TableStyleMedium14" showFirstColumn="0" showLastColumn="0" showRowStripes="1" showColumnStripes="0"/>
</table>
</file>

<file path=xl/tables/table138.xml><?xml version="1.0" encoding="utf-8"?>
<table xmlns="http://schemas.openxmlformats.org/spreadsheetml/2006/main" id="138" name="TRANSVR7AE" displayName="TRANSVR7AE" ref="AH59:AN71" headerRowCount="1" totalsRowShown="0" headerRowDxfId="3714" dataDxfId="3713">
  <tableColumns count="7">
    <tableColumn id="1" name="MOIS" dataDxfId="3712"/>
    <tableColumn id="7" name="2025" dataDxfId="3711"/>
    <tableColumn id="2" name="2024" dataDxfId="3710"/>
    <tableColumn id="3" name="2023" dataDxfId="3709"/>
    <tableColumn id="4" name="2022" dataDxfId="3708"/>
    <tableColumn id="5" name="2021" dataDxfId="3707"/>
    <tableColumn id="6" name="2020" dataDxfId="3706"/>
  </tableColumns>
  <tableStyleInfo name="TableStyleMedium8" showFirstColumn="0" showLastColumn="0" showRowStripes="1" showColumnStripes="0"/>
</table>
</file>

<file path=xl/tables/table139.xml><?xml version="1.0" encoding="utf-8"?>
<table xmlns="http://schemas.openxmlformats.org/spreadsheetml/2006/main" id="139" name="TRANSTIRRAE" displayName="TRANSTIRRAE" ref="Z59:AF71" headerRowCount="1" totalsRowShown="0" headerRowDxfId="3705" dataDxfId="3704">
  <tableColumns count="7">
    <tableColumn id="1" name="MOIS" dataDxfId="3703"/>
    <tableColumn id="7" name="2025" dataDxfId="3702"/>
    <tableColumn id="2" name="2024" dataDxfId="3701" dataCellStyle="Milliers"/>
    <tableColumn id="3" name="2023" dataDxfId="3700"/>
    <tableColumn id="4" name="2022" dataDxfId="3699"/>
    <tableColumn id="5" name="2021" dataDxfId="3698"/>
    <tableColumn id="6" name="2020" dataDxfId="3697"/>
  </tableColumns>
  <tableStyleInfo name="TableStyleMedium10" showFirstColumn="0" showLastColumn="0" showRowStripes="1" showColumnStripes="0"/>
</table>
</file>

<file path=xl/tables/table140.xml><?xml version="1.0" encoding="utf-8"?>
<table xmlns="http://schemas.openxmlformats.org/spreadsheetml/2006/main" id="140" name="TRANSHTR8AE" displayName="TRANSHTR8AE" ref="R59:X71" headerRowCount="1" totalsRowShown="0" headerRowDxfId="3696" dataDxfId="3695">
  <tableColumns count="7">
    <tableColumn id="1" name="MOIS" dataDxfId="3694"/>
    <tableColumn id="7" name="2025" dataDxfId="3693"/>
    <tableColumn id="2" name="2024" dataDxfId="3692" dataCellStyle="Milliers"/>
    <tableColumn id="3" name="2023" dataDxfId="3691"/>
    <tableColumn id="4" name="2022" dataDxfId="3690"/>
    <tableColumn id="5" name="2021" dataDxfId="3689"/>
    <tableColumn id="6" name="2020" dataDxfId="3688"/>
  </tableColumns>
  <tableStyleInfo name="TableStyleMedium11" showFirstColumn="0" showLastColumn="0" showRowStripes="1" showColumnStripes="0"/>
</table>
</file>

<file path=xl/tables/table141.xml><?xml version="1.0" encoding="utf-8"?>
<table xmlns="http://schemas.openxmlformats.org/spreadsheetml/2006/main" id="141" name="TRANSGLR5SP" displayName="TRANSGLR5SP" ref="J43:P55" headerRowCount="1" totalsRowShown="0" headerRowDxfId="3687" dataDxfId="3686">
  <tableColumns count="7">
    <tableColumn id="1" name="MOIS" dataDxfId="3685"/>
    <tableColumn id="7" name="2025" dataDxfId="3684"/>
    <tableColumn id="2" name="2024" dataDxfId="3683"/>
    <tableColumn id="3" name="2023" dataDxfId="3682"/>
    <tableColumn id="4" name="2022" dataDxfId="3681"/>
    <tableColumn id="5" name="2021" dataDxfId="3680"/>
    <tableColumn id="6" name="2020" dataDxfId="3679"/>
  </tableColumns>
  <tableStyleInfo name="TableStyleMedium14" showFirstColumn="0" showLastColumn="0" showRowStripes="1" showColumnStripes="0"/>
</table>
</file>

<file path=xl/tables/table142.xml><?xml version="1.0" encoding="utf-8"?>
<table xmlns="http://schemas.openxmlformats.org/spreadsheetml/2006/main" id="142" name="TRANSVR7SP" displayName="TRANSVR7SP" ref="AH43:AN55" headerRowCount="1" totalsRowShown="0" headerRowDxfId="3678" dataDxfId="3677">
  <tableColumns count="7">
    <tableColumn id="1" name="MOIS" dataDxfId="3676"/>
    <tableColumn id="7" name="2025" dataDxfId="3675"/>
    <tableColumn id="2" name="2024" dataDxfId="3674"/>
    <tableColumn id="3" name="2023" dataDxfId="3673"/>
    <tableColumn id="4" name="2022" dataDxfId="3672"/>
    <tableColumn id="5" name="2021" dataDxfId="3671"/>
    <tableColumn id="6" name="2020" dataDxfId="3670"/>
  </tableColumns>
  <tableStyleInfo name="TableStyleMedium8" showFirstColumn="0" showLastColumn="0" showRowStripes="1" showColumnStripes="0"/>
</table>
</file>

<file path=xl/tables/table143.xml><?xml version="1.0" encoding="utf-8"?>
<table xmlns="http://schemas.openxmlformats.org/spreadsheetml/2006/main" id="143" name="TRANSHTR8SP" displayName="TRANSHTR8SP" ref="R43:X55" headerRowCount="1" totalsRowShown="0" headerRowDxfId="3669" dataDxfId="3668">
  <tableColumns count="7">
    <tableColumn id="1" name="MOIS" dataDxfId="3667"/>
    <tableColumn id="7" name="2025" dataDxfId="3666"/>
    <tableColumn id="2" name="2024" dataDxfId="3665" dataCellStyle="Milliers"/>
    <tableColumn id="3" name="2023" dataDxfId="3664"/>
    <tableColumn id="4" name="2022" dataDxfId="3663"/>
    <tableColumn id="5" name="2021" dataDxfId="3662"/>
    <tableColumn id="6" name="2020" dataDxfId="3661"/>
  </tableColumns>
  <tableStyleInfo name="TableStyleMedium11" showFirstColumn="0" showLastColumn="0" showRowStripes="1" showColumnStripes="0"/>
</table>
</file>

<file path=xl/tables/table144.xml><?xml version="1.0" encoding="utf-8"?>
<table xmlns="http://schemas.openxmlformats.org/spreadsheetml/2006/main" id="144" name="TRANSCGLR5K" displayName="TRANSCGLR5K" ref="J171:P183" headerRowCount="1" totalsRowShown="0" headerRowDxfId="3660" dataDxfId="3659">
  <tableColumns count="7">
    <tableColumn id="1" name="MOIS" dataDxfId="3658"/>
    <tableColumn id="7" name="2025" dataDxfId="3657"/>
    <tableColumn id="2" name="2024" dataDxfId="3656"/>
    <tableColumn id="3" name="2023" dataDxfId="3655"/>
    <tableColumn id="4" name="2022" dataDxfId="3654"/>
    <tableColumn id="5" name="2021" dataDxfId="3653"/>
    <tableColumn id="6" name="2020" dataDxfId="3652"/>
  </tableColumns>
  <tableStyleInfo name="TableStyleMedium14" showFirstColumn="0" showLastColumn="0" showRowStripes="1" showColumnStripes="0"/>
</table>
</file>

<file path=xl/tables/table145.xml><?xml version="1.0" encoding="utf-8"?>
<table xmlns="http://schemas.openxmlformats.org/spreadsheetml/2006/main" id="145" name="TRANSCVR7K" displayName="TRANSCVR7K" ref="AH171:AN183" headerRowCount="1" totalsRowShown="0" headerRowDxfId="3651" dataDxfId="3650">
  <tableColumns count="7">
    <tableColumn id="1" name="MOIS" dataDxfId="3649"/>
    <tableColumn id="7" name="2025" dataDxfId="3648"/>
    <tableColumn id="2" name="2024" dataDxfId="3647"/>
    <tableColumn id="3" name="2023" dataDxfId="3646"/>
    <tableColumn id="4" name="2022" dataDxfId="3645"/>
    <tableColumn id="5" name="2021" dataDxfId="3644"/>
    <tableColumn id="6" name="2020" dataDxfId="3643"/>
  </tableColumns>
  <tableStyleInfo name="TableStyleMedium8" showFirstColumn="0" showLastColumn="0" showRowStripes="1" showColumnStripes="0"/>
</table>
</file>

<file path=xl/tables/table146.xml><?xml version="1.0" encoding="utf-8"?>
<table xmlns="http://schemas.openxmlformats.org/spreadsheetml/2006/main" id="146" name="TRANSCTIRRK" displayName="TRANSCTIRRK" ref="Z171:AF183" headerRowCount="1" totalsRowShown="0" headerRowDxfId="3642" dataDxfId="3641">
  <tableColumns count="7">
    <tableColumn id="1" name="MOIS" dataDxfId="3640"/>
    <tableColumn id="7" name="2025" dataDxfId="3639"/>
    <tableColumn id="2" name="2024" dataDxfId="3638"/>
    <tableColumn id="3" name="2023" dataDxfId="3637"/>
    <tableColumn id="4" name="2022" dataDxfId="3636"/>
    <tableColumn id="5" name="2021" dataDxfId="3635"/>
    <tableColumn id="6" name="2020" dataDxfId="3634"/>
  </tableColumns>
  <tableStyleInfo name="TableStyleMedium10" showFirstColumn="0" showLastColumn="0" showRowStripes="1" showColumnStripes="0"/>
</table>
</file>

<file path=xl/tables/table147.xml><?xml version="1.0" encoding="utf-8"?>
<table xmlns="http://schemas.openxmlformats.org/spreadsheetml/2006/main" id="147" name="TRANSCHTR8K" displayName="TRANSCHTR8K" ref="R171:X183" headerRowCount="1" totalsRowShown="0" headerRowDxfId="3633" dataDxfId="3632">
  <tableColumns count="7">
    <tableColumn id="1" name="MOIS" dataDxfId="3631"/>
    <tableColumn id="7" name="2025" dataDxfId="3630" dataCellStyle="Milliers"/>
    <tableColumn id="2" name="2024" dataDxfId="3629"/>
    <tableColumn id="3" name="2023" dataDxfId="3628"/>
    <tableColumn id="4" name="2022" dataDxfId="3627"/>
    <tableColumn id="5" name="2021" dataDxfId="3626"/>
    <tableColumn id="6" name="2020" dataDxfId="3625"/>
  </tableColumns>
  <tableStyleInfo name="TableStyleMedium11" showFirstColumn="0" showLastColumn="0" showRowStripes="1" showColumnStripes="0"/>
</table>
</file>

<file path=xl/tables/table148.xml><?xml version="1.0" encoding="utf-8"?>
<table xmlns="http://schemas.openxmlformats.org/spreadsheetml/2006/main" id="148" name="TRANSCGLR5MC" displayName="TRANSCGLR5MC" ref="J155:P167" headerRowCount="1" totalsRowShown="0" headerRowDxfId="3624" dataDxfId="3623">
  <tableColumns count="7">
    <tableColumn id="1" name="MOIS" dataDxfId="3622"/>
    <tableColumn id="7" name="2025" dataDxfId="3621"/>
    <tableColumn id="2" name="2024" dataDxfId="3620"/>
    <tableColumn id="3" name="2023" dataDxfId="3619"/>
    <tableColumn id="4" name="2022" dataDxfId="3618"/>
    <tableColumn id="5" name="2021" dataDxfId="3617"/>
    <tableColumn id="6" name="2020" dataDxfId="3616"/>
  </tableColumns>
  <tableStyleInfo name="TableStyleMedium14" showFirstColumn="0" showLastColumn="0" showRowStripes="1" showColumnStripes="0"/>
</table>
</file>

<file path=xl/tables/table149.xml><?xml version="1.0" encoding="utf-8"?>
<table xmlns="http://schemas.openxmlformats.org/spreadsheetml/2006/main" id="149" name="TRANSCVR7MC" displayName="TRANSCVR7MC" ref="AH155:AN167" headerRowCount="1" totalsRowShown="0" headerRowDxfId="3615" dataDxfId="3614">
  <tableColumns count="7">
    <tableColumn id="1" name="MOIS" dataDxfId="3613"/>
    <tableColumn id="7" name="2025" dataDxfId="3612"/>
    <tableColumn id="2" name="2024" dataDxfId="3611"/>
    <tableColumn id="3" name="2023" dataDxfId="3610"/>
    <tableColumn id="4" name="2022" dataDxfId="3609"/>
    <tableColumn id="5" name="2021" dataDxfId="3608"/>
    <tableColumn id="6" name="2020" dataDxfId="3607"/>
  </tableColumns>
  <tableStyleInfo name="TableStyleMedium8" showFirstColumn="0" showLastColumn="0" showRowStripes="1" showColumnStripes="0"/>
</table>
</file>

<file path=xl/tables/table150.xml><?xml version="1.0" encoding="utf-8"?>
<table xmlns="http://schemas.openxmlformats.org/spreadsheetml/2006/main" id="150" name="TRANSCTIRRMC" displayName="TRANSCTIRRMC" ref="Z155:AF167" headerRowCount="1" totalsRowShown="0" headerRowDxfId="3606" dataDxfId="3605">
  <tableColumns count="7">
    <tableColumn id="1" name="MOIS" dataDxfId="3604"/>
    <tableColumn id="7" name="2025" dataDxfId="3603"/>
    <tableColumn id="2" name="2024" dataDxfId="3602"/>
    <tableColumn id="3" name="2023" dataDxfId="3601"/>
    <tableColumn id="4" name="2022" dataDxfId="3600"/>
    <tableColumn id="5" name="2021" dataDxfId="3599"/>
    <tableColumn id="6" name="2020" dataDxfId="3598"/>
  </tableColumns>
  <tableStyleInfo name="TableStyleMedium10" showFirstColumn="0" showLastColumn="0" showRowStripes="1" showColumnStripes="0"/>
</table>
</file>

<file path=xl/tables/table151.xml><?xml version="1.0" encoding="utf-8"?>
<table xmlns="http://schemas.openxmlformats.org/spreadsheetml/2006/main" id="151" name="TRANSCHTR8MC" displayName="TRANSCHTR8MC" ref="R155:X167" headerRowCount="1" totalsRowShown="0" headerRowDxfId="3597" dataDxfId="3596">
  <tableColumns count="7">
    <tableColumn id="1" name="MOIS" dataDxfId="3595"/>
    <tableColumn id="7" name="2025" dataDxfId="3594" dataCellStyle="Milliers"/>
    <tableColumn id="2" name="2024" dataDxfId="3593"/>
    <tableColumn id="3" name="2023" dataDxfId="3592"/>
    <tableColumn id="4" name="2022" dataDxfId="3591"/>
    <tableColumn id="5" name="2021" dataDxfId="3590"/>
    <tableColumn id="6" name="2020" dataDxfId="3589"/>
  </tableColumns>
  <tableStyleInfo name="TableStyleMedium11" showFirstColumn="0" showLastColumn="0" showRowStripes="1" showColumnStripes="0"/>
</table>
</file>

<file path=xl/tables/table152.xml><?xml version="1.0" encoding="utf-8"?>
<table xmlns="http://schemas.openxmlformats.org/spreadsheetml/2006/main" id="152" name="TRANSCGLR5AE" displayName="TRANSCGLR5AE" ref="J139:P151" headerRowCount="1" totalsRowShown="0" headerRowDxfId="3588" dataDxfId="3587">
  <tableColumns count="7">
    <tableColumn id="1" name="MOIS" dataDxfId="3586"/>
    <tableColumn id="7" name="2025" dataDxfId="3585"/>
    <tableColumn id="2" name="2024" dataDxfId="3584"/>
    <tableColumn id="3" name="2023" dataDxfId="3583"/>
    <tableColumn id="4" name="2022" dataDxfId="3582"/>
    <tableColumn id="5" name="2021" dataDxfId="3581"/>
    <tableColumn id="6" name="2020" dataDxfId="3580"/>
  </tableColumns>
  <tableStyleInfo name="TableStyleMedium14" showFirstColumn="0" showLastColumn="0" showRowStripes="1" showColumnStripes="0"/>
</table>
</file>

<file path=xl/tables/table153.xml><?xml version="1.0" encoding="utf-8"?>
<table xmlns="http://schemas.openxmlformats.org/spreadsheetml/2006/main" id="153" name="TRANSCVR7AE" displayName="TRANSCVR7AE" ref="AH139:AN151" headerRowCount="1" totalsRowShown="0" headerRowDxfId="3579" dataDxfId="3578">
  <tableColumns count="7">
    <tableColumn id="1" name="MOIS" dataDxfId="3577"/>
    <tableColumn id="7" name="2025" dataDxfId="3576"/>
    <tableColumn id="2" name="2024" dataDxfId="3575"/>
    <tableColumn id="3" name="2023" dataDxfId="3574"/>
    <tableColumn id="4" name="2022" dataDxfId="3573"/>
    <tableColumn id="5" name="2021" dataDxfId="3572"/>
    <tableColumn id="6" name="2020" dataDxfId="3571"/>
  </tableColumns>
  <tableStyleInfo name="TableStyleMedium8" showFirstColumn="0" showLastColumn="0" showRowStripes="1" showColumnStripes="0"/>
</table>
</file>

<file path=xl/tables/table154.xml><?xml version="1.0" encoding="utf-8"?>
<table xmlns="http://schemas.openxmlformats.org/spreadsheetml/2006/main" id="154" name="TRANSCTIRRAE" displayName="TRANSCTIRRAE" ref="Z139:AF151" headerRowCount="1" totalsRowShown="0" headerRowDxfId="3570" dataDxfId="3569">
  <tableColumns count="7">
    <tableColumn id="1" name="MOIS" dataDxfId="3568"/>
    <tableColumn id="7" name="2025" dataDxfId="3567"/>
    <tableColumn id="2" name="2024" dataDxfId="3566"/>
    <tableColumn id="3" name="2023" dataDxfId="3565"/>
    <tableColumn id="4" name="2022" dataDxfId="3564"/>
    <tableColumn id="5" name="2021" dataDxfId="3563"/>
    <tableColumn id="6" name="2020" dataDxfId="3562"/>
  </tableColumns>
  <tableStyleInfo name="TableStyleMedium10" showFirstColumn="0" showLastColumn="0" showRowStripes="1" showColumnStripes="0"/>
</table>
</file>

<file path=xl/tables/table155.xml><?xml version="1.0" encoding="utf-8"?>
<table xmlns="http://schemas.openxmlformats.org/spreadsheetml/2006/main" id="155" name="TRANSCHTR8AE" displayName="TRANSCHTR8AE" ref="R139:X151" headerRowCount="1" totalsRowShown="0" headerRowDxfId="3561" dataDxfId="3560">
  <tableColumns count="7">
    <tableColumn id="1" name="MOIS" dataDxfId="3559"/>
    <tableColumn id="7" name="2025" dataDxfId="3558" dataCellStyle="Milliers"/>
    <tableColumn id="2" name="2024" dataDxfId="3557"/>
    <tableColumn id="3" name="2023" dataDxfId="3556"/>
    <tableColumn id="4" name="2022" dataDxfId="3555"/>
    <tableColumn id="5" name="2021" dataDxfId="3554"/>
    <tableColumn id="6" name="2020" dataDxfId="3553"/>
  </tableColumns>
  <tableStyleInfo name="TableStyleMedium11" showFirstColumn="0" showLastColumn="0" showRowStripes="1" showColumnStripes="0"/>
</table>
</file>

<file path=xl/tables/table156.xml><?xml version="1.0" encoding="utf-8"?>
<table xmlns="http://schemas.openxmlformats.org/spreadsheetml/2006/main" id="156" name="TRANSCGLR5SP" displayName="TRANSCGLR5SP" ref="J123:P135" headerRowCount="1" totalsRowShown="0" headerRowDxfId="3552" dataDxfId="3551">
  <tableColumns count="7">
    <tableColumn id="1" name="MOIS" dataDxfId="3550"/>
    <tableColumn id="7" name="2025" dataDxfId="3549"/>
    <tableColumn id="2" name="2024" dataDxfId="3548"/>
    <tableColumn id="3" name="2023" dataDxfId="3547"/>
    <tableColumn id="4" name="2022" dataDxfId="3546"/>
    <tableColumn id="5" name="2021" dataDxfId="3545"/>
    <tableColumn id="6" name="2020" dataDxfId="3544"/>
  </tableColumns>
  <tableStyleInfo name="TableStyleMedium14" showFirstColumn="0" showLastColumn="0" showRowStripes="1" showColumnStripes="0"/>
</table>
</file>

<file path=xl/tables/table157.xml><?xml version="1.0" encoding="utf-8"?>
<table xmlns="http://schemas.openxmlformats.org/spreadsheetml/2006/main" id="157" name="TRANSCVR7SP" displayName="TRANSCVR7SP" ref="AH123:AN135" headerRowCount="1" totalsRowShown="0" headerRowDxfId="3543" dataDxfId="3542">
  <tableColumns count="7">
    <tableColumn id="1" name="MOIS" dataDxfId="3541"/>
    <tableColumn id="7" name="2025" dataDxfId="3540"/>
    <tableColumn id="2" name="2024" dataDxfId="3539"/>
    <tableColumn id="3" name="2023" dataDxfId="3538"/>
    <tableColumn id="4" name="2022" dataDxfId="3537"/>
    <tableColumn id="5" name="2021" dataDxfId="3536"/>
    <tableColumn id="6" name="2020" dataDxfId="3535"/>
  </tableColumns>
  <tableStyleInfo name="TableStyleMedium8" showFirstColumn="0" showLastColumn="0" showRowStripes="1" showColumnStripes="0"/>
</table>
</file>

<file path=xl/tables/table158.xml><?xml version="1.0" encoding="utf-8"?>
<table xmlns="http://schemas.openxmlformats.org/spreadsheetml/2006/main" id="158" name="TRANSCTIRRSP" displayName="TRANSCTIRRSP" ref="Z123:AF135" headerRowCount="1" totalsRowShown="0" headerRowDxfId="3534" dataDxfId="3533">
  <tableColumns count="7">
    <tableColumn id="1" name="MOIS" dataDxfId="3532"/>
    <tableColumn id="7" name="2025" dataDxfId="3531"/>
    <tableColumn id="2" name="2024" dataDxfId="3530"/>
    <tableColumn id="3" name="2023" dataDxfId="3529"/>
    <tableColumn id="4" name="2022" dataDxfId="3528"/>
    <tableColumn id="5" name="2021" dataDxfId="3527"/>
    <tableColumn id="6" name="2020" dataDxfId="3526"/>
  </tableColumns>
  <tableStyleInfo name="TableStyleMedium10" showFirstColumn="0" showLastColumn="0" showRowStripes="1" showColumnStripes="0"/>
</table>
</file>

<file path=xl/tables/table159.xml><?xml version="1.0" encoding="utf-8"?>
<table xmlns="http://schemas.openxmlformats.org/spreadsheetml/2006/main" id="159" name="TRANSCHTR8SP" displayName="TRANSCHTR8SP" ref="R123:X135" headerRowCount="1" totalsRowShown="0" headerRowDxfId="3525" dataDxfId="3524">
  <tableColumns count="7">
    <tableColumn id="1" name="MOIS" dataDxfId="3523"/>
    <tableColumn id="7" name="2025" dataDxfId="3522" dataCellStyle="Milliers"/>
    <tableColumn id="2" name="2024" dataDxfId="3521"/>
    <tableColumn id="3" name="2023" dataDxfId="3520"/>
    <tableColumn id="4" name="2022" dataDxfId="3519"/>
    <tableColumn id="5" name="2021" dataDxfId="3518"/>
    <tableColumn id="6" name="2020" dataDxfId="3517"/>
  </tableColumns>
  <tableStyleInfo name="TableStyleMedium11" showFirstColumn="0" showLastColumn="0" showRowStripes="1" showColumnStripes="0"/>
</table>
</file>

<file path=xl/tables/table160.xml><?xml version="1.0" encoding="utf-8"?>
<table xmlns="http://schemas.openxmlformats.org/spreadsheetml/2006/main" id="160" name="PMGLR5AE" displayName="PMGLR5AE" ref="J219:P231" headerRowCount="1" totalsRowShown="0" headerRowDxfId="3516" dataDxfId="3515">
  <tableColumns count="7">
    <tableColumn id="1" name="MOIS" dataDxfId="3514"/>
    <tableColumn id="7" name="2025" dataDxfId="3513"/>
    <tableColumn id="2" name="2024" dataDxfId="3512" dataCellStyle="Milliers"/>
    <tableColumn id="3" name="2023" dataDxfId="3511"/>
    <tableColumn id="4" name="2022" dataDxfId="3510"/>
    <tableColumn id="5" name="2021" dataDxfId="3509"/>
    <tableColumn id="6" name="2020" dataDxfId="3508"/>
  </tableColumns>
  <tableStyleInfo name="TableStyleMedium14" showFirstColumn="0" showLastColumn="0" showRowStripes="1" showColumnStripes="0"/>
</table>
</file>

<file path=xl/tables/table161.xml><?xml version="1.0" encoding="utf-8"?>
<table xmlns="http://schemas.openxmlformats.org/spreadsheetml/2006/main" id="161" name="PMVR7AE" displayName="PMVR7AE" ref="AH219:AN231" headerRowCount="1" totalsRowShown="0" headerRowDxfId="3507" dataDxfId="3506">
  <tableColumns count="7">
    <tableColumn id="1" name="MOIS" dataDxfId="3505"/>
    <tableColumn id="7" name="2025" dataDxfId="3504"/>
    <tableColumn id="2" name="2024" dataDxfId="3503"/>
    <tableColumn id="3" name="2023" dataDxfId="3502"/>
    <tableColumn id="4" name="2022" dataDxfId="3501"/>
    <tableColumn id="5" name="2021" dataDxfId="3500"/>
    <tableColumn id="6" name="2020" dataDxfId="3499"/>
  </tableColumns>
  <tableStyleInfo name="TableStyleMedium8" showFirstColumn="0" showLastColumn="0" showRowStripes="1" showColumnStripes="0"/>
</table>
</file>

<file path=xl/tables/table162.xml><?xml version="1.0" encoding="utf-8"?>
<table xmlns="http://schemas.openxmlformats.org/spreadsheetml/2006/main" id="162" name="PMTIRRAE" displayName="PMTIRRAE" ref="Z219:AF231" headerRowCount="1" totalsRowShown="0" headerRowDxfId="3498" dataDxfId="3497">
  <tableColumns count="7">
    <tableColumn id="1" name="MOIS" dataDxfId="3496"/>
    <tableColumn id="7" name="2025" dataDxfId="3495"/>
    <tableColumn id="2" name="2024" dataDxfId="3494" dataCellStyle="Milliers"/>
    <tableColumn id="3" name="2023" dataDxfId="3493"/>
    <tableColumn id="4" name="2022" dataDxfId="3492"/>
    <tableColumn id="5" name="2021" dataDxfId="3491"/>
    <tableColumn id="6" name="2020" dataDxfId="3490"/>
  </tableColumns>
  <tableStyleInfo name="TableStyleMedium10" showFirstColumn="0" showLastColumn="0" showRowStripes="1" showColumnStripes="0"/>
</table>
</file>

<file path=xl/tables/table163.xml><?xml version="1.0" encoding="utf-8"?>
<table xmlns="http://schemas.openxmlformats.org/spreadsheetml/2006/main" id="163" name="PMHTR8AE" displayName="PMHTR8AE" ref="R219:X231" headerRowCount="1" totalsRowShown="0" headerRowDxfId="3489" dataDxfId="3488">
  <tableColumns count="7">
    <tableColumn id="1" name="MOIS" dataDxfId="3487"/>
    <tableColumn id="7" name="2025" dataDxfId="3486"/>
    <tableColumn id="2" name="2024" dataDxfId="3485" dataCellStyle="Milliers"/>
    <tableColumn id="3" name="2023" dataDxfId="3484"/>
    <tableColumn id="4" name="2022" dataDxfId="3483"/>
    <tableColumn id="5" name="2021" dataDxfId="3482"/>
    <tableColumn id="6" name="2020" dataDxfId="3481"/>
  </tableColumns>
  <tableStyleInfo name="TableStyleMedium11" showFirstColumn="0" showLastColumn="0" showRowStripes="1" showColumnStripes="0"/>
</table>
</file>

<file path=xl/tables/table164.xml><?xml version="1.0" encoding="utf-8"?>
<table xmlns="http://schemas.openxmlformats.org/spreadsheetml/2006/main" id="164" name="PMGLR5SP" displayName="PMGLR5SP" ref="J203:P215" headerRowCount="1" totalsRowShown="0" headerRowDxfId="3480" dataDxfId="3479">
  <tableColumns count="7">
    <tableColumn id="1" name="MOIS" dataDxfId="3478"/>
    <tableColumn id="7" name="2025" dataDxfId="3477"/>
    <tableColumn id="2" name="2024" dataDxfId="3476" dataCellStyle="Milliers"/>
    <tableColumn id="3" name="2023" dataDxfId="3475"/>
    <tableColumn id="4" name="2022" dataDxfId="3474"/>
    <tableColumn id="5" name="2021" dataDxfId="3473"/>
    <tableColumn id="6" name="2020" dataDxfId="3472"/>
  </tableColumns>
  <tableStyleInfo name="TableStyleMedium14" showFirstColumn="0" showLastColumn="0" showRowStripes="1" showColumnStripes="0"/>
</table>
</file>

<file path=xl/tables/table165.xml><?xml version="1.0" encoding="utf-8"?>
<table xmlns="http://schemas.openxmlformats.org/spreadsheetml/2006/main" id="165" name="PMVR7SP" displayName="PMVR7SP" ref="AH203:AN215" headerRowCount="1" totalsRowShown="0" headerRowDxfId="3471" dataDxfId="3470">
  <tableColumns count="7">
    <tableColumn id="1" name="MOIS" dataDxfId="3469"/>
    <tableColumn id="7" name="2025" dataDxfId="3468"/>
    <tableColumn id="2" name="2024" dataDxfId="3467"/>
    <tableColumn id="3" name="2023" dataDxfId="3466"/>
    <tableColumn id="4" name="2022" dataDxfId="3465"/>
    <tableColumn id="5" name="2021" dataDxfId="3464"/>
    <tableColumn id="6" name="2020" dataDxfId="3463"/>
  </tableColumns>
  <tableStyleInfo name="TableStyleMedium8" showFirstColumn="0" showLastColumn="0" showRowStripes="1" showColumnStripes="0"/>
</table>
</file>

<file path=xl/tables/table166.xml><?xml version="1.0" encoding="utf-8"?>
<table xmlns="http://schemas.openxmlformats.org/spreadsheetml/2006/main" id="166" name="PMTIRRSP" displayName="PMTIRRSP" ref="Z203:AF215" headerRowCount="1" totalsRowShown="0" headerRowDxfId="3462" dataDxfId="3461">
  <tableColumns count="7">
    <tableColumn id="1" name="MOIS" dataDxfId="3460"/>
    <tableColumn id="7" name="2025" dataDxfId="3459"/>
    <tableColumn id="2" name="2024" dataDxfId="3458" dataCellStyle="Milliers"/>
    <tableColumn id="3" name="2023" dataDxfId="3457"/>
    <tableColumn id="4" name="2022" dataDxfId="3456"/>
    <tableColumn id="5" name="2021" dataDxfId="3455"/>
    <tableColumn id="6" name="2020" dataDxfId="3454"/>
  </tableColumns>
  <tableStyleInfo name="TableStyleMedium10" showFirstColumn="0" showLastColumn="0" showRowStripes="1" showColumnStripes="0"/>
</table>
</file>

<file path=xl/tables/table167.xml><?xml version="1.0" encoding="utf-8"?>
<table xmlns="http://schemas.openxmlformats.org/spreadsheetml/2006/main" id="167" name="PMHTR8SP" displayName="PMHTR8SP" ref="R203:X215" headerRowCount="1" totalsRowShown="0" headerRowDxfId="3453" dataDxfId="3452">
  <tableColumns count="7">
    <tableColumn id="1" name="MOIS" dataDxfId="3451"/>
    <tableColumn id="7" name="2025" dataDxfId="3450"/>
    <tableColumn id="2" name="2024" dataDxfId="3449" dataCellStyle="Milliers"/>
    <tableColumn id="3" name="2023" dataDxfId="3448"/>
    <tableColumn id="4" name="2022" dataDxfId="3447"/>
    <tableColumn id="5" name="2021" dataDxfId="3446"/>
    <tableColumn id="6" name="2020" dataDxfId="3445"/>
  </tableColumns>
  <tableStyleInfo name="TableStyleMedium11" showFirstColumn="0" showLastColumn="0" showRowStripes="1" showColumnStripes="0"/>
</table>
</file>

<file path=xl/tables/table168.xml><?xml version="1.0" encoding="utf-8"?>
<table xmlns="http://schemas.openxmlformats.org/spreadsheetml/2006/main" id="168" name="PMCGLR5AE" displayName="PMCGLR5AE" ref="J267:P279" headerRowCount="1" totalsRowShown="0" headerRowDxfId="3444" dataDxfId="3443">
  <tableColumns count="7">
    <tableColumn id="1" name="MOIS" dataDxfId="3442"/>
    <tableColumn id="7" name="2025" dataDxfId="3441">
      <calculatedColumnFormula>AVERAGE(K220:K$220)</calculatedColumnFormula>
    </tableColumn>
    <tableColumn id="2" name="2024" dataDxfId="3440"/>
    <tableColumn id="3" name="2023" dataDxfId="3439"/>
    <tableColumn id="4" name="2022" dataDxfId="3438"/>
    <tableColumn id="5" name="2021" dataDxfId="3437"/>
    <tableColumn id="6" name="2020" dataDxfId="3436"/>
  </tableColumns>
  <tableStyleInfo name="TableStyleMedium14" showFirstColumn="0" showLastColumn="0" showRowStripes="1" showColumnStripes="0"/>
</table>
</file>

<file path=xl/tables/table169.xml><?xml version="1.0" encoding="utf-8"?>
<table xmlns="http://schemas.openxmlformats.org/spreadsheetml/2006/main" id="169" name="PMCVR7AE" displayName="PMCVR7AE" ref="AH267:AN279" headerRowCount="1" totalsRowShown="0" headerRowDxfId="3435" dataDxfId="3434">
  <tableColumns count="7">
    <tableColumn id="1" name="MOIS" dataDxfId="3433"/>
    <tableColumn id="7" name="2025" dataDxfId="3432"/>
    <tableColumn id="2" name="2024" dataDxfId="3431"/>
    <tableColumn id="3" name="2023" dataDxfId="3430"/>
    <tableColumn id="4" name="2022" dataDxfId="3429"/>
    <tableColumn id="5" name="2021" dataDxfId="3428"/>
    <tableColumn id="6" name="2020" dataDxfId="3427"/>
  </tableColumns>
  <tableStyleInfo name="TableStyleMedium8" showFirstColumn="0" showLastColumn="0" showRowStripes="1" showColumnStripes="0"/>
</table>
</file>

<file path=xl/tables/table170.xml><?xml version="1.0" encoding="utf-8"?>
<table xmlns="http://schemas.openxmlformats.org/spreadsheetml/2006/main" id="170" name="PMCTIRRAE" displayName="PMCTIRRAE" ref="Z267:AF279" headerRowCount="1" totalsRowShown="0" headerRowDxfId="3426" dataDxfId="3425">
  <tableColumns count="7">
    <tableColumn id="1" name="MOIS" dataDxfId="3424"/>
    <tableColumn id="7" name="2025" dataDxfId="3423"/>
    <tableColumn id="2" name="2024" dataDxfId="3422"/>
    <tableColumn id="3" name="2023" dataDxfId="3421"/>
    <tableColumn id="4" name="2022" dataDxfId="3420"/>
    <tableColumn id="5" name="2021" dataDxfId="3419"/>
    <tableColumn id="6" name="2020" dataDxfId="3418"/>
  </tableColumns>
  <tableStyleInfo name="TableStyleMedium10" showFirstColumn="0" showLastColumn="0" showRowStripes="1" showColumnStripes="0"/>
</table>
</file>

<file path=xl/tables/table171.xml><?xml version="1.0" encoding="utf-8"?>
<table xmlns="http://schemas.openxmlformats.org/spreadsheetml/2006/main" id="171" name="PMCHTR8AE" displayName="PMCHTR8AE" ref="R267:X279" headerRowCount="1" totalsRowShown="0" headerRowDxfId="3417" dataDxfId="3416">
  <tableColumns count="7">
    <tableColumn id="1" name="MOIS" dataDxfId="3415"/>
    <tableColumn id="7" name="2025" dataDxfId="3414"/>
    <tableColumn id="2" name="2024" dataDxfId="3413"/>
    <tableColumn id="3" name="2023" dataDxfId="3412"/>
    <tableColumn id="4" name="2022" dataDxfId="3411"/>
    <tableColumn id="5" name="2021" dataDxfId="3410"/>
    <tableColumn id="6" name="2020" dataDxfId="3409"/>
  </tableColumns>
  <tableStyleInfo name="TableStyleMedium11" showFirstColumn="0" showLastColumn="0" showRowStripes="1" showColumnStripes="0"/>
</table>
</file>

<file path=xl/tables/table172.xml><?xml version="1.0" encoding="utf-8"?>
<table xmlns="http://schemas.openxmlformats.org/spreadsheetml/2006/main" id="172" name="PMCGLR5SP" displayName="PMCGLR5SP" ref="J251:P263" headerRowCount="1" totalsRowShown="0" headerRowDxfId="3408" dataDxfId="3407">
  <tableColumns count="7">
    <tableColumn id="1" name="MOIS" dataDxfId="3406"/>
    <tableColumn id="7" name="2025" dataDxfId="3405">
      <calculatedColumnFormula>AVERAGE(K204:K$204)</calculatedColumnFormula>
    </tableColumn>
    <tableColumn id="2" name="2024" dataDxfId="3404"/>
    <tableColumn id="3" name="2023" dataDxfId="3403"/>
    <tableColumn id="4" name="2022" dataDxfId="3402"/>
    <tableColumn id="5" name="2021" dataDxfId="3401"/>
    <tableColumn id="6" name="2020" dataDxfId="3400"/>
  </tableColumns>
  <tableStyleInfo name="TableStyleMedium14" showFirstColumn="0" showLastColumn="0" showRowStripes="1" showColumnStripes="0"/>
</table>
</file>

<file path=xl/tables/table173.xml><?xml version="1.0" encoding="utf-8"?>
<table xmlns="http://schemas.openxmlformats.org/spreadsheetml/2006/main" id="173" name="PMCVR7SP" displayName="PMCVR7SP" ref="AH251:AN263" headerRowCount="1" totalsRowShown="0" headerRowDxfId="3399" dataDxfId="3398">
  <tableColumns count="7">
    <tableColumn id="1" name="MOIS" dataDxfId="3397"/>
    <tableColumn id="7" name="2025" dataDxfId="3396"/>
    <tableColumn id="2" name="2024" dataDxfId="3395"/>
    <tableColumn id="3" name="2023" dataDxfId="3394"/>
    <tableColumn id="4" name="2022" dataDxfId="3393"/>
    <tableColumn id="5" name="2021" dataDxfId="3392"/>
    <tableColumn id="6" name="2020" dataDxfId="3391"/>
  </tableColumns>
  <tableStyleInfo name="TableStyleMedium8" showFirstColumn="0" showLastColumn="0" showRowStripes="1" showColumnStripes="0"/>
</table>
</file>

<file path=xl/tables/table174.xml><?xml version="1.0" encoding="utf-8"?>
<table xmlns="http://schemas.openxmlformats.org/spreadsheetml/2006/main" id="174" name="PMCTIRRSP" displayName="PMCTIRRSP" ref="Z251:AF263" headerRowCount="1" totalsRowShown="0" headerRowDxfId="3390" dataDxfId="3389">
  <tableColumns count="7">
    <tableColumn id="1" name="MOIS" dataDxfId="3388"/>
    <tableColumn id="7" name="2025" dataDxfId="3387"/>
    <tableColumn id="2" name="2024" dataDxfId="3386"/>
    <tableColumn id="3" name="2023" dataDxfId="3385"/>
    <tableColumn id="4" name="2022" dataDxfId="3384"/>
    <tableColumn id="5" name="2021" dataDxfId="3383"/>
    <tableColumn id="6" name="2020" dataDxfId="3382"/>
  </tableColumns>
  <tableStyleInfo name="TableStyleMedium10" showFirstColumn="0" showLastColumn="0" showRowStripes="1" showColumnStripes="0"/>
</table>
</file>

<file path=xl/tables/table175.xml><?xml version="1.0" encoding="utf-8"?>
<table xmlns="http://schemas.openxmlformats.org/spreadsheetml/2006/main" id="175" name="PMCHTR8SP" displayName="PMCHTR8SP" ref="R251:X263" headerRowCount="1" totalsRowShown="0" headerRowDxfId="3381" dataDxfId="3380">
  <tableColumns count="7">
    <tableColumn id="1" name="MOIS" dataDxfId="3379"/>
    <tableColumn id="7" name="2025" dataDxfId="3378"/>
    <tableColumn id="2" name="2024" dataDxfId="3377"/>
    <tableColumn id="3" name="2023" dataDxfId="3376"/>
    <tableColumn id="4" name="2022" dataDxfId="3375"/>
    <tableColumn id="5" name="2021" dataDxfId="3374"/>
    <tableColumn id="6" name="2020" dataDxfId="3373"/>
  </tableColumns>
  <tableStyleInfo name="TableStyleMedium11" showFirstColumn="0" showLastColumn="0" showRowStripes="1" showColumnStripes="0"/>
</table>
</file>

<file path=xl/tables/table176.xml><?xml version="1.0" encoding="utf-8"?>
<table xmlns="http://schemas.openxmlformats.org/spreadsheetml/2006/main" id="176" name="CATURV" displayName="CATURV" ref="AP11:AV23" headerRowCount="1" totalsRowShown="0" headerRowDxfId="3372" dataDxfId="3371">
  <tableColumns count="7">
    <tableColumn id="1" name="MOIS" dataDxfId="3370"/>
    <tableColumn id="7" name="2025" dataDxfId="3369"/>
    <tableColumn id="2" name="2024" dataDxfId="3368"/>
    <tableColumn id="3" name="2023" dataDxfId="3367"/>
    <tableColumn id="4" name="2022" dataDxfId="3366"/>
    <tableColumn id="5" name="2021" dataDxfId="3365"/>
    <tableColumn id="6" name="2020" dataDxfId="3364"/>
  </tableColumns>
  <tableStyleInfo name="TableStyleMedium12" showFirstColumn="0" showLastColumn="0" showRowStripes="1" showColumnStripes="0"/>
</table>
</file>

<file path=xl/tables/table177.xml><?xml version="1.0" encoding="utf-8"?>
<table xmlns="http://schemas.openxmlformats.org/spreadsheetml/2006/main" id="177" name="PLTURV" displayName="PLTURV" ref="AP27:AV39" headerRowCount="1" totalsRowShown="0" headerRowDxfId="3363" dataDxfId="3362">
  <tableColumns count="7">
    <tableColumn id="1" name="MOIS" dataDxfId="3361"/>
    <tableColumn id="7" name="2025" dataDxfId="3360"/>
    <tableColumn id="2" name="2024" dataDxfId="3359"/>
    <tableColumn id="3" name="2023" dataDxfId="3358"/>
    <tableColumn id="4" name="2022" dataDxfId="3357"/>
    <tableColumn id="5" name="2021" dataDxfId="3356"/>
    <tableColumn id="6" name="2020" dataDxfId="3355"/>
  </tableColumns>
  <tableStyleInfo name="TableStyleMedium12" showFirstColumn="0" showLastColumn="0" showRowStripes="1" showColumnStripes="0"/>
</table>
</file>

<file path=xl/tables/table178.xml><?xml version="1.0" encoding="utf-8"?>
<table xmlns="http://schemas.openxmlformats.org/spreadsheetml/2006/main" id="178" name="TRANSTURV" displayName="TRANSTURV" ref="AP107:AV119" headerRowCount="1" totalsRowShown="0" headerRowDxfId="3354" dataDxfId="3353">
  <tableColumns count="7">
    <tableColumn id="1" name="MOIS" dataDxfId="3352"/>
    <tableColumn id="7" name="2025" dataDxfId="3351">
      <calculatedColumnFormula>+AQ92+AQ76+AQ60+AQ44</calculatedColumnFormula>
    </tableColumn>
    <tableColumn id="2" name="2024" dataDxfId="3350"/>
    <tableColumn id="3" name="2023" dataDxfId="3349"/>
    <tableColumn id="4" name="2022" dataDxfId="3348"/>
    <tableColumn id="5" name="2021" dataDxfId="3347"/>
    <tableColumn id="6" name="2020" dataDxfId="3346"/>
  </tableColumns>
  <tableStyleInfo name="TableStyleMedium12" showFirstColumn="0" showLastColumn="0" showRowStripes="1" showColumnStripes="0"/>
</table>
</file>

<file path=xl/tables/table179.xml><?xml version="1.0" encoding="utf-8"?>
<table xmlns="http://schemas.openxmlformats.org/spreadsheetml/2006/main" id="179" name="PMTURV" displayName="PMTURV" ref="AP235:AV247" headerRowCount="1" totalsRowShown="0" headerRowDxfId="3345" dataDxfId="3344">
  <tableColumns count="7">
    <tableColumn id="1" name="MOIS" dataDxfId="3343"/>
    <tableColumn id="7" name="2025" dataDxfId="3342"/>
    <tableColumn id="2" name="2024" dataDxfId="3341"/>
    <tableColumn id="3" name="2023" dataDxfId="3340"/>
    <tableColumn id="4" name="2022" dataDxfId="3339"/>
    <tableColumn id="5" name="2021" dataDxfId="3338"/>
    <tableColumn id="6" name="2020" dataDxfId="3337"/>
  </tableColumns>
  <tableStyleInfo name="TableStyleMedium12" showFirstColumn="0" showLastColumn="0" showRowStripes="1" showColumnStripes="0"/>
</table>
</file>

<file path=xl/tables/table180.xml><?xml version="1.0" encoding="utf-8"?>
<table xmlns="http://schemas.openxmlformats.org/spreadsheetml/2006/main" id="180" name="TRESOTURV" displayName="TRESOTURV" ref="AP299:AV311" headerRowCount="1" totalsRowShown="0" headerRowDxfId="3336" dataDxfId="3335">
  <tableColumns count="7">
    <tableColumn id="1" name="MOIS" dataDxfId="3334"/>
    <tableColumn id="7" name="2025" dataDxfId="10">
      <calculatedColumnFormula>391.21271-8.50526</calculatedColumnFormula>
    </tableColumn>
    <tableColumn id="2" name="2024" dataDxfId="3333"/>
    <tableColumn id="3" name="2023" dataDxfId="3332"/>
    <tableColumn id="4" name="2022" dataDxfId="3331"/>
    <tableColumn id="5" name="2021" dataDxfId="3330"/>
    <tableColumn id="6" name="2020" dataDxfId="3329"/>
  </tableColumns>
  <tableStyleInfo name="TableStyleMedium12" showFirstColumn="0" showLastColumn="0" showRowStripes="1" showColumnStripes="0"/>
</table>
</file>

<file path=xl/tables/table181.xml><?xml version="1.0" encoding="utf-8"?>
<table xmlns="http://schemas.openxmlformats.org/spreadsheetml/2006/main" id="181" name="TRANSCTURV" displayName="TRANSCTURV" ref="AP187:AV199" headerRowCount="1" totalsRowShown="0" headerRowDxfId="3328" dataDxfId="3327">
  <tableColumns count="7">
    <tableColumn id="1" name="MOIS" dataDxfId="3326"/>
    <tableColumn id="7" name="2025" dataDxfId="3325"/>
    <tableColumn id="2" name="2024" dataDxfId="3324"/>
    <tableColumn id="3" name="2023" dataDxfId="3323"/>
    <tableColumn id="4" name="2022" dataDxfId="3322"/>
    <tableColumn id="5" name="2021" dataDxfId="3321"/>
    <tableColumn id="6" name="2020" dataDxfId="3320"/>
  </tableColumns>
  <tableStyleInfo name="TableStyleMedium12" showFirstColumn="0" showLastColumn="0" showRowStripes="1" showColumnStripes="0"/>
</table>
</file>

<file path=xl/tables/table182.xml><?xml version="1.0" encoding="utf-8"?>
<table xmlns="http://schemas.openxmlformats.org/spreadsheetml/2006/main" id="182" name="PMCTURV" displayName="PMCTURV" ref="AP283:AV295" headerRowCount="1" totalsRowShown="0" headerRowDxfId="3319" dataDxfId="3318">
  <tableColumns count="7">
    <tableColumn id="1" name="MOIS" dataDxfId="3317"/>
    <tableColumn id="7" name="2025" dataDxfId="3316">
      <calculatedColumnFormula>AVERAGE(AQ$236:AQ236)</calculatedColumnFormula>
    </tableColumn>
    <tableColumn id="2" name="2024" dataDxfId="3315"/>
    <tableColumn id="3" name="2023" dataDxfId="3314"/>
    <tableColumn id="4" name="2022" dataDxfId="3313"/>
    <tableColumn id="5" name="2021" dataDxfId="3312"/>
    <tableColumn id="6" name="2020" dataDxfId="3311"/>
  </tableColumns>
  <tableStyleInfo name="TableStyleMedium12" showFirstColumn="0" showLastColumn="0" showRowStripes="1" showColumnStripes="0"/>
</table>
</file>

<file path=xl/tables/table183.xml><?xml version="1.0" encoding="utf-8"?>
<table xmlns="http://schemas.openxmlformats.org/spreadsheetml/2006/main" id="183" name="TRANSTURVK" displayName="TRANSTURVK" ref="AP91:AV103" headerRowCount="1" totalsRowShown="0" headerRowDxfId="3310" dataDxfId="3309">
  <tableColumns count="7">
    <tableColumn id="1" name="MOIS" dataDxfId="3308"/>
    <tableColumn id="7" name="2025" dataDxfId="3307"/>
    <tableColumn id="2" name="2024" dataDxfId="3306"/>
    <tableColumn id="3" name="2023" dataDxfId="3305"/>
    <tableColumn id="4" name="2022" dataDxfId="3304"/>
    <tableColumn id="5" name="2021" dataDxfId="3303"/>
    <tableColumn id="6" name="2020" dataDxfId="3302"/>
  </tableColumns>
  <tableStyleInfo name="TableStyleMedium12" showFirstColumn="0" showLastColumn="0" showRowStripes="1" showColumnStripes="0"/>
</table>
</file>

<file path=xl/tables/table184.xml><?xml version="1.0" encoding="utf-8"?>
<table xmlns="http://schemas.openxmlformats.org/spreadsheetml/2006/main" id="184" name="TRANSTURVMC" displayName="TRANSTURVMC" ref="AP75:AV87" headerRowCount="1" totalsRowShown="0" headerRowDxfId="3301" dataDxfId="3300">
  <tableColumns count="7">
    <tableColumn id="1" name="MOIS" dataDxfId="3299"/>
    <tableColumn id="7" name="2025" dataDxfId="3298"/>
    <tableColumn id="2" name="2024" dataDxfId="3297"/>
    <tableColumn id="3" name="2023" dataDxfId="3296"/>
    <tableColumn id="4" name="2022" dataDxfId="3295"/>
    <tableColumn id="5" name="2021" dataDxfId="3294"/>
    <tableColumn id="6" name="2020" dataDxfId="3293"/>
  </tableColumns>
  <tableStyleInfo name="TableStyleMedium12" showFirstColumn="0" showLastColumn="0" showRowStripes="1" showColumnStripes="0"/>
</table>
</file>

<file path=xl/tables/table185.xml><?xml version="1.0" encoding="utf-8"?>
<table xmlns="http://schemas.openxmlformats.org/spreadsheetml/2006/main" id="185" name="TRANSTURVAE" displayName="TRANSTURVAE" ref="AP59:AV71" headerRowCount="1" totalsRowShown="0" headerRowDxfId="3292" dataDxfId="3291">
  <tableColumns count="7">
    <tableColumn id="1" name="MOIS" dataDxfId="3290"/>
    <tableColumn id="7" name="2025" dataDxfId="3289"/>
    <tableColumn id="2" name="2024" dataDxfId="3288"/>
    <tableColumn id="3" name="2023" dataDxfId="3287"/>
    <tableColumn id="4" name="2022" dataDxfId="3286"/>
    <tableColumn id="5" name="2021" dataDxfId="3285"/>
    <tableColumn id="6" name="2020" dataDxfId="3284"/>
  </tableColumns>
  <tableStyleInfo name="TableStyleMedium12" showFirstColumn="0" showLastColumn="0" showRowStripes="1" showColumnStripes="0"/>
</table>
</file>

<file path=xl/tables/table186.xml><?xml version="1.0" encoding="utf-8"?>
<table xmlns="http://schemas.openxmlformats.org/spreadsheetml/2006/main" id="186" name="TRANSTURVSP" displayName="TRANSTURVSP" ref="AP43:AV55" headerRowCount="1" totalsRowShown="0" headerRowDxfId="3283" dataDxfId="3282">
  <tableColumns count="7">
    <tableColumn id="1" name="MOIS" dataDxfId="3281"/>
    <tableColumn id="7" name="2025" dataDxfId="3280"/>
    <tableColumn id="2" name="2024" dataDxfId="3279"/>
    <tableColumn id="3" name="2023" dataDxfId="3278"/>
    <tableColumn id="4" name="2022" dataDxfId="3277"/>
    <tableColumn id="5" name="2021" dataDxfId="3276"/>
    <tableColumn id="6" name="2020" dataDxfId="3275"/>
  </tableColumns>
  <tableStyleInfo name="TableStyleMedium12" showFirstColumn="0" showLastColumn="0" showRowStripes="1" showColumnStripes="0"/>
</table>
</file>

<file path=xl/tables/table187.xml><?xml version="1.0" encoding="utf-8"?>
<table xmlns="http://schemas.openxmlformats.org/spreadsheetml/2006/main" id="187" name="TRANSCTURVK" displayName="TRANSCTURVK" ref="AP171:AV183" headerRowCount="1" totalsRowShown="0" headerRowDxfId="3274" dataDxfId="3273">
  <tableColumns count="7">
    <tableColumn id="1" name="MOIS" dataDxfId="3272"/>
    <tableColumn id="7" name="2025" dataDxfId="3271"/>
    <tableColumn id="2" name="2024" dataDxfId="3270"/>
    <tableColumn id="3" name="2023" dataDxfId="3269"/>
    <tableColumn id="4" name="2022" dataDxfId="3268"/>
    <tableColumn id="5" name="2021" dataDxfId="3267"/>
    <tableColumn id="6" name="2020" dataDxfId="3266"/>
  </tableColumns>
  <tableStyleInfo name="TableStyleMedium12" showFirstColumn="0" showLastColumn="0" showRowStripes="1" showColumnStripes="0"/>
</table>
</file>

<file path=xl/tables/table188.xml><?xml version="1.0" encoding="utf-8"?>
<table xmlns="http://schemas.openxmlformats.org/spreadsheetml/2006/main" id="188" name="TRANSCTURVMC" displayName="TRANSCTURVMC" ref="AP155:AV167" headerRowCount="1" totalsRowShown="0" headerRowDxfId="3265" dataDxfId="3264">
  <tableColumns count="7">
    <tableColumn id="1" name="MOIS" dataDxfId="3263"/>
    <tableColumn id="7" name="2025" dataDxfId="3262"/>
    <tableColumn id="2" name="2024" dataDxfId="3261"/>
    <tableColumn id="3" name="2023" dataDxfId="3260"/>
    <tableColumn id="4" name="2022" dataDxfId="3259"/>
    <tableColumn id="5" name="2021" dataDxfId="3258"/>
    <tableColumn id="6" name="2020" dataDxfId="3257"/>
  </tableColumns>
  <tableStyleInfo name="TableStyleMedium12" showFirstColumn="0" showLastColumn="0" showRowStripes="1" showColumnStripes="0"/>
</table>
</file>

<file path=xl/tables/table189.xml><?xml version="1.0" encoding="utf-8"?>
<table xmlns="http://schemas.openxmlformats.org/spreadsheetml/2006/main" id="189" name="TRANSCTURVAE" displayName="TRANSCTURVAE" ref="AP139:AV151" headerRowCount="1" totalsRowShown="0" headerRowDxfId="3256" dataDxfId="3255">
  <tableColumns count="7">
    <tableColumn id="1" name="MOIS" dataDxfId="3254"/>
    <tableColumn id="7" name="2025" dataDxfId="3253"/>
    <tableColumn id="2" name="2024" dataDxfId="3252"/>
    <tableColumn id="3" name="2023" dataDxfId="3251"/>
    <tableColumn id="4" name="2022" dataDxfId="3250"/>
    <tableColumn id="5" name="2021" dataDxfId="3249"/>
    <tableColumn id="6" name="2020" dataDxfId="3248"/>
  </tableColumns>
  <tableStyleInfo name="TableStyleMedium12" showFirstColumn="0" showLastColumn="0" showRowStripes="1" showColumnStripes="0"/>
</table>
</file>

<file path=xl/tables/table190.xml><?xml version="1.0" encoding="utf-8"?>
<table xmlns="http://schemas.openxmlformats.org/spreadsheetml/2006/main" id="190" name="TRANSCTURVSP" displayName="TRANSCTURVSP" ref="AP123:AV135" headerRowCount="1" totalsRowShown="0" headerRowDxfId="3247" dataDxfId="3246">
  <tableColumns count="7">
    <tableColumn id="1" name="MOIS" dataDxfId="3245"/>
    <tableColumn id="7" name="2025" dataDxfId="3244"/>
    <tableColumn id="2" name="2024" dataDxfId="3243"/>
    <tableColumn id="3" name="2023" dataDxfId="3242"/>
    <tableColumn id="4" name="2022" dataDxfId="3241"/>
    <tableColumn id="5" name="2021" dataDxfId="3240"/>
    <tableColumn id="6" name="2020" dataDxfId="3239"/>
  </tableColumns>
  <tableStyleInfo name="TableStyleMedium12" showFirstColumn="0" showLastColumn="0" showRowStripes="1" showColumnStripes="0"/>
</table>
</file>

<file path=xl/tables/table191.xml><?xml version="1.0" encoding="utf-8"?>
<table xmlns="http://schemas.openxmlformats.org/spreadsheetml/2006/main" id="191" name="PMTURVAE" displayName="PMTURVAE" ref="AP219:AV231" headerRowCount="1" totalsRowShown="0" headerRowDxfId="3238" dataDxfId="3237">
  <tableColumns count="7">
    <tableColumn id="1" name="MOIS" dataDxfId="3236"/>
    <tableColumn id="7" name="2025" dataDxfId="3235"/>
    <tableColumn id="2" name="2024" dataDxfId="3234"/>
    <tableColumn id="3" name="2023" dataDxfId="3233"/>
    <tableColumn id="4" name="2022" dataDxfId="3232"/>
    <tableColumn id="5" name="2021" dataDxfId="3231"/>
    <tableColumn id="6" name="2020" dataDxfId="3230"/>
  </tableColumns>
  <tableStyleInfo name="TableStyleMedium12" showFirstColumn="0" showLastColumn="0" showRowStripes="1" showColumnStripes="0"/>
</table>
</file>

<file path=xl/tables/table192.xml><?xml version="1.0" encoding="utf-8"?>
<table xmlns="http://schemas.openxmlformats.org/spreadsheetml/2006/main" id="192" name="PMTURVSP" displayName="PMTURVSP" ref="AP203:AV215" headerRowCount="1" totalsRowShown="0" headerRowDxfId="3229" dataDxfId="3228">
  <tableColumns count="7">
    <tableColumn id="1" name="MOIS" dataDxfId="3227"/>
    <tableColumn id="7" name="2025" dataDxfId="3226"/>
    <tableColumn id="2" name="2024" dataDxfId="3225"/>
    <tableColumn id="3" name="2023" dataDxfId="3224"/>
    <tableColumn id="4" name="2022" dataDxfId="3223"/>
    <tableColumn id="5" name="2021" dataDxfId="3222"/>
    <tableColumn id="6" name="2020" dataDxfId="3221"/>
  </tableColumns>
  <tableStyleInfo name="TableStyleMedium12" showFirstColumn="0" showLastColumn="0" showRowStripes="1" showColumnStripes="0"/>
</table>
</file>

<file path=xl/tables/table193.xml><?xml version="1.0" encoding="utf-8"?>
<table xmlns="http://schemas.openxmlformats.org/spreadsheetml/2006/main" id="193" name="PMCTURVAE" displayName="PMCTURVAE" ref="AP267:AV279" headerRowCount="1" totalsRowShown="0" headerRowDxfId="3220" dataDxfId="3219">
  <tableColumns count="7">
    <tableColumn id="1" name="MOIS" dataDxfId="3218"/>
    <tableColumn id="7" name="2025" dataDxfId="3217"/>
    <tableColumn id="2" name="2024" dataDxfId="3216"/>
    <tableColumn id="3" name="2023" dataDxfId="3215"/>
    <tableColumn id="4" name="2022" dataDxfId="3214"/>
    <tableColumn id="5" name="2021" dataDxfId="3213"/>
    <tableColumn id="6" name="2020" dataDxfId="3212"/>
  </tableColumns>
  <tableStyleInfo name="TableStyleMedium12" showFirstColumn="0" showLastColumn="0" showRowStripes="1" showColumnStripes="0"/>
</table>
</file>

<file path=xl/tables/table194.xml><?xml version="1.0" encoding="utf-8"?>
<table xmlns="http://schemas.openxmlformats.org/spreadsheetml/2006/main" id="194" name="PMCTURVSP" displayName="PMCTURVSP" ref="AP251:AV263" headerRowCount="1" totalsRowShown="0" headerRowDxfId="3211" dataDxfId="3210">
  <tableColumns count="7">
    <tableColumn id="1" name="MOIS" dataDxfId="3209"/>
    <tableColumn id="7" name="2025" dataDxfId="3208"/>
    <tableColumn id="2" name="2024" dataDxfId="3207"/>
    <tableColumn id="3" name="2023" dataDxfId="3206"/>
    <tableColumn id="4" name="2022" dataDxfId="3205"/>
    <tableColumn id="5" name="2021" dataDxfId="3204"/>
    <tableColumn id="6" name="2020" dataDxfId="3203"/>
  </tableColumns>
  <tableStyleInfo name="TableStyleMedium12" showFirstColumn="0" showLastColumn="0" showRowStripes="1" showColumnStripes="0"/>
</table>
</file>

<file path=xl/tables/table195.xml><?xml version="1.0" encoding="utf-8"?>
<table xmlns="http://schemas.openxmlformats.org/spreadsheetml/2006/main" id="195" name="CAHART" displayName="CAHART" ref="AX11:BD23" headerRowCount="1" totalsRowShown="0" headerRowDxfId="3202" dataDxfId="3201">
  <tableColumns count="7">
    <tableColumn id="1" name="MOIS" dataDxfId="3200"/>
    <tableColumn id="7" name="2025" dataDxfId="3199"/>
    <tableColumn id="2" name="2024" dataDxfId="3198" dataCellStyle="Milliers"/>
    <tableColumn id="3" name="2023" dataDxfId="3197"/>
    <tableColumn id="4" name="2022" dataDxfId="3196"/>
    <tableColumn id="5" name="2021" dataDxfId="3195"/>
    <tableColumn id="6" name="2020" dataDxfId="3194"/>
  </tableColumns>
  <tableStyleInfo name="TableStyleMedium13" showFirstColumn="0" showLastColumn="0" showRowStripes="1" showColumnStripes="0"/>
</table>
</file>

<file path=xl/tables/table196.xml><?xml version="1.0" encoding="utf-8"?>
<table xmlns="http://schemas.openxmlformats.org/spreadsheetml/2006/main" id="196" name="PLHART" displayName="PLHART" ref="AX27:BD39" headerRowCount="1" totalsRowShown="0" headerRowDxfId="3193" dataDxfId="3192">
  <tableColumns count="7">
    <tableColumn id="1" name="MOIS" dataDxfId="3191"/>
    <tableColumn id="7" name="2025" dataDxfId="3190"/>
    <tableColumn id="2" name="2024" dataDxfId="3189" dataCellStyle="Milliers"/>
    <tableColumn id="3" name="2023" dataDxfId="3188"/>
    <tableColumn id="4" name="2022" dataDxfId="3187"/>
    <tableColumn id="5" name="2021" dataDxfId="3186"/>
    <tableColumn id="6" name="2020" dataDxfId="3185"/>
  </tableColumns>
  <tableStyleInfo name="TableStyleMedium13" showFirstColumn="0" showLastColumn="0" showRowStripes="1" showColumnStripes="0"/>
</table>
</file>

<file path=xl/tables/table197.xml><?xml version="1.0" encoding="utf-8"?>
<table xmlns="http://schemas.openxmlformats.org/spreadsheetml/2006/main" id="197" name="TRANSHART" displayName="TRANSHART" ref="AX107:BD119" headerRowCount="1" totalsRowShown="0" headerRowDxfId="3184" dataDxfId="3183">
  <tableColumns count="7">
    <tableColumn id="1" name="MOIS" dataDxfId="3182"/>
    <tableColumn id="7" name="2025" dataDxfId="3181">
      <calculatedColumnFormula>+AY92+AY76+AY60+AY44</calculatedColumnFormula>
    </tableColumn>
    <tableColumn id="2" name="2024" dataDxfId="3180" dataCellStyle="Milliers"/>
    <tableColumn id="3" name="2023" dataDxfId="3179"/>
    <tableColumn id="4" name="2022" dataDxfId="3178"/>
    <tableColumn id="5" name="2021" dataDxfId="3177"/>
    <tableColumn id="6" name="2020" dataDxfId="3176"/>
  </tableColumns>
  <tableStyleInfo name="TableStyleMedium13" showFirstColumn="0" showLastColumn="0" showRowStripes="1" showColumnStripes="0"/>
</table>
</file>

<file path=xl/tables/table198.xml><?xml version="1.0" encoding="utf-8"?>
<table xmlns="http://schemas.openxmlformats.org/spreadsheetml/2006/main" id="198" name="PMHART" displayName="PMHART" ref="AX235:BD247" headerRowCount="1" totalsRowShown="0" headerRowDxfId="3175" dataDxfId="3174">
  <tableColumns count="7">
    <tableColumn id="1" name="MOIS" dataDxfId="3173"/>
    <tableColumn id="7" name="2025" dataDxfId="3172"/>
    <tableColumn id="2" name="2024" dataDxfId="3171"/>
    <tableColumn id="3" name="2023" dataDxfId="3170"/>
    <tableColumn id="4" name="2022" dataDxfId="3169"/>
    <tableColumn id="5" name="2021" dataDxfId="3168"/>
    <tableColumn id="6" name="2020" dataDxfId="3167"/>
  </tableColumns>
  <tableStyleInfo name="TableStyleMedium13" showFirstColumn="0" showLastColumn="0" showRowStripes="1" showColumnStripes="0"/>
</table>
</file>

<file path=xl/tables/table199.xml><?xml version="1.0" encoding="utf-8"?>
<table xmlns="http://schemas.openxmlformats.org/spreadsheetml/2006/main" id="199" name="TRESOHART" displayName="TRESOHART" ref="AX299:BD311" headerRowCount="1" totalsRowShown="0" headerRowDxfId="3166" dataDxfId="3165">
  <tableColumns count="7">
    <tableColumn id="1" name="MOIS" dataDxfId="3164"/>
    <tableColumn id="7" name="2025" dataDxfId="3163"/>
    <tableColumn id="2" name="2024" dataDxfId="3162"/>
    <tableColumn id="3" name="2023" dataDxfId="3161"/>
    <tableColumn id="4" name="2022" dataDxfId="3160"/>
    <tableColumn id="5" name="2021" dataDxfId="3159"/>
    <tableColumn id="6" name="2020" dataDxfId="3158"/>
  </tableColumns>
  <tableStyleInfo name="TableStyleMedium13" showFirstColumn="0" showLastColumn="0" showRowStripes="1" showColumnStripes="0"/>
</table>
</file>

<file path=xl/tables/table200.xml><?xml version="1.0" encoding="utf-8"?>
<table xmlns="http://schemas.openxmlformats.org/spreadsheetml/2006/main" id="200" name="TRANSCHART" displayName="TRANSCHART" ref="AX187:BD199" headerRowCount="1" totalsRowShown="0" headerRowDxfId="3157" dataDxfId="3156">
  <tableColumns count="7">
    <tableColumn id="1" name="MOIS" dataDxfId="3155"/>
    <tableColumn id="7" name="2025" dataDxfId="3154"/>
    <tableColumn id="2" name="2024" dataDxfId="3153" dataCellStyle="Milliers"/>
    <tableColumn id="3" name="2023" dataDxfId="3152"/>
    <tableColumn id="4" name="2022" dataDxfId="3151"/>
    <tableColumn id="5" name="2021" dataDxfId="3150"/>
    <tableColumn id="6" name="2020" dataDxfId="3149"/>
  </tableColumns>
  <tableStyleInfo name="TableStyleMedium13" showFirstColumn="0" showLastColumn="0" showRowStripes="1" showColumnStripes="0"/>
</table>
</file>

<file path=xl/tables/table201.xml><?xml version="1.0" encoding="utf-8"?>
<table xmlns="http://schemas.openxmlformats.org/spreadsheetml/2006/main" id="201" name="PMCHART" displayName="PMCHART" ref="AX283:BD295" headerRowCount="1" totalsRowShown="0" headerRowDxfId="3148" dataDxfId="3147">
  <tableColumns count="7">
    <tableColumn id="1" name="MOIS" dataDxfId="3146"/>
    <tableColumn id="7" name="2025" dataDxfId="3145">
      <calculatedColumnFormula>AVERAGE(AY$236:AY236)</calculatedColumnFormula>
    </tableColumn>
    <tableColumn id="2" name="2024" dataDxfId="3144"/>
    <tableColumn id="3" name="2023" dataDxfId="3143"/>
    <tableColumn id="4" name="2022" dataDxfId="3142"/>
    <tableColumn id="5" name="2021" dataDxfId="3141"/>
    <tableColumn id="6" name="2020" dataDxfId="3140"/>
  </tableColumns>
  <tableStyleInfo name="TableStyleMedium13" showFirstColumn="0" showLastColumn="0" showRowStripes="1" showColumnStripes="0"/>
</table>
</file>

<file path=xl/tables/table202.xml><?xml version="1.0" encoding="utf-8"?>
<table xmlns="http://schemas.openxmlformats.org/spreadsheetml/2006/main" id="202" name="TRANSHARTK" displayName="TRANSHARTK" ref="AX91:BD103" headerRowCount="1" totalsRowShown="0" headerRowDxfId="3139" dataDxfId="3138">
  <tableColumns count="7">
    <tableColumn id="1" name="MOIS" dataDxfId="3137"/>
    <tableColumn id="7" name="2025" dataDxfId="3136"/>
    <tableColumn id="2" name="2024" dataDxfId="3135" dataCellStyle="Milliers"/>
    <tableColumn id="3" name="2023" dataDxfId="3134"/>
    <tableColumn id="4" name="2022" dataDxfId="3133"/>
    <tableColumn id="5" name="2021" dataDxfId="3132"/>
    <tableColumn id="6" name="2020" dataDxfId="3131"/>
  </tableColumns>
  <tableStyleInfo name="TableStyleMedium13" showFirstColumn="0" showLastColumn="0" showRowStripes="1" showColumnStripes="0"/>
</table>
</file>

<file path=xl/tables/table203.xml><?xml version="1.0" encoding="utf-8"?>
<table xmlns="http://schemas.openxmlformats.org/spreadsheetml/2006/main" id="203" name="TRANSHARTMC" displayName="TRANSHARTMC" ref="AX75:BD87" headerRowCount="1" totalsRowShown="0" headerRowDxfId="3130" dataDxfId="3129">
  <tableColumns count="7">
    <tableColumn id="1" name="MOIS" dataDxfId="3128"/>
    <tableColumn id="7" name="2025" dataDxfId="3127"/>
    <tableColumn id="2" name="2024" dataDxfId="3126" dataCellStyle="Milliers"/>
    <tableColumn id="3" name="2023" dataDxfId="3125"/>
    <tableColumn id="4" name="2022" dataDxfId="3124"/>
    <tableColumn id="5" name="2021" dataDxfId="3123"/>
    <tableColumn id="6" name="2020" dataDxfId="3122"/>
  </tableColumns>
  <tableStyleInfo name="TableStyleMedium13" showFirstColumn="0" showLastColumn="0" showRowStripes="1" showColumnStripes="0"/>
</table>
</file>

<file path=xl/tables/table204.xml><?xml version="1.0" encoding="utf-8"?>
<table xmlns="http://schemas.openxmlformats.org/spreadsheetml/2006/main" id="204" name="TRANSHARTAE" displayName="TRANSHARTAE" ref="AX59:BD71" headerRowCount="1" totalsRowShown="0" headerRowDxfId="3121" dataDxfId="3120">
  <tableColumns count="7">
    <tableColumn id="1" name="MOIS" dataDxfId="3119"/>
    <tableColumn id="7" name="2025" dataDxfId="3118"/>
    <tableColumn id="2" name="2024" dataDxfId="3117" dataCellStyle="Milliers"/>
    <tableColumn id="3" name="2023" dataDxfId="3116"/>
    <tableColumn id="4" name="2022" dataDxfId="3115"/>
    <tableColumn id="5" name="2021" dataDxfId="3114"/>
    <tableColumn id="6" name="2020" dataDxfId="3113"/>
  </tableColumns>
  <tableStyleInfo name="TableStyleMedium13" showFirstColumn="0" showLastColumn="0" showRowStripes="1" showColumnStripes="0"/>
</table>
</file>

<file path=xl/tables/table205.xml><?xml version="1.0" encoding="utf-8"?>
<table xmlns="http://schemas.openxmlformats.org/spreadsheetml/2006/main" id="205" name="TRANSHARTSP" displayName="TRANSHARTSP" ref="AX43:BD55" headerRowCount="1" totalsRowShown="0" headerRowDxfId="3112" dataDxfId="3111">
  <tableColumns count="7">
    <tableColumn id="1" name="MOIS" dataDxfId="3110"/>
    <tableColumn id="7" name="2025" dataDxfId="3109"/>
    <tableColumn id="2" name="2024" dataDxfId="3108" dataCellStyle="Milliers"/>
    <tableColumn id="3" name="2023" dataDxfId="3107"/>
    <tableColumn id="4" name="2022" dataDxfId="3106"/>
    <tableColumn id="5" name="2021" dataDxfId="3105"/>
    <tableColumn id="6" name="2020" dataDxfId="3104"/>
  </tableColumns>
  <tableStyleInfo name="TableStyleMedium13" showFirstColumn="0" showLastColumn="0" showRowStripes="1" showColumnStripes="0"/>
</table>
</file>

<file path=xl/tables/table206.xml><?xml version="1.0" encoding="utf-8"?>
<table xmlns="http://schemas.openxmlformats.org/spreadsheetml/2006/main" id="206" name="TRANSCHARTK" displayName="TRANSCHARTK" ref="AX171:BD183" headerRowCount="1" totalsRowShown="0" headerRowDxfId="3103" dataDxfId="3102">
  <tableColumns count="7">
    <tableColumn id="1" name="MOIS" dataDxfId="3101"/>
    <tableColumn id="7" name="2025" dataDxfId="3100"/>
    <tableColumn id="2" name="2024" dataDxfId="3099" dataCellStyle="Milliers"/>
    <tableColumn id="3" name="2023" dataDxfId="3098"/>
    <tableColumn id="4" name="2022" dataDxfId="3097"/>
    <tableColumn id="5" name="2021" dataDxfId="3096"/>
    <tableColumn id="6" name="2020" dataDxfId="3095"/>
  </tableColumns>
  <tableStyleInfo name="TableStyleMedium13" showFirstColumn="0" showLastColumn="0" showRowStripes="1" showColumnStripes="0"/>
</table>
</file>

<file path=xl/tables/table207.xml><?xml version="1.0" encoding="utf-8"?>
<table xmlns="http://schemas.openxmlformats.org/spreadsheetml/2006/main" id="207" name="TRANSCHARTMC" displayName="TRANSCHARTMC" ref="AX155:BD167" headerRowCount="1" totalsRowShown="0" headerRowDxfId="3094" dataDxfId="3093">
  <tableColumns count="7">
    <tableColumn id="1" name="MOIS" dataDxfId="3092"/>
    <tableColumn id="7" name="2025" dataDxfId="3091"/>
    <tableColumn id="2" name="2024" dataDxfId="3090" dataCellStyle="Milliers"/>
    <tableColumn id="3" name="2023" dataDxfId="3089"/>
    <tableColumn id="4" name="2022" dataDxfId="3088"/>
    <tableColumn id="5" name="2021" dataDxfId="3087"/>
    <tableColumn id="6" name="2020" dataDxfId="3086"/>
  </tableColumns>
  <tableStyleInfo name="TableStyleMedium13" showFirstColumn="0" showLastColumn="0" showRowStripes="1" showColumnStripes="0"/>
</table>
</file>

<file path=xl/tables/table208.xml><?xml version="1.0" encoding="utf-8"?>
<table xmlns="http://schemas.openxmlformats.org/spreadsheetml/2006/main" id="208" name="TRANSCHARTAE" displayName="TRANSCHARTAE" ref="AX139:BD151" headerRowCount="1" totalsRowShown="0" headerRowDxfId="3085" dataDxfId="3084">
  <tableColumns count="7">
    <tableColumn id="1" name="MOIS" dataDxfId="3083"/>
    <tableColumn id="7" name="2025" dataDxfId="3082"/>
    <tableColumn id="2" name="2024" dataDxfId="3081" dataCellStyle="Milliers"/>
    <tableColumn id="3" name="2023" dataDxfId="3080"/>
    <tableColumn id="4" name="2022" dataDxfId="3079"/>
    <tableColumn id="5" name="2021" dataDxfId="3078"/>
    <tableColumn id="6" name="2020" dataDxfId="3077"/>
  </tableColumns>
  <tableStyleInfo name="TableStyleMedium13" showFirstColumn="0" showLastColumn="0" showRowStripes="1" showColumnStripes="0"/>
</table>
</file>

<file path=xl/tables/table209.xml><?xml version="1.0" encoding="utf-8"?>
<table xmlns="http://schemas.openxmlformats.org/spreadsheetml/2006/main" id="209" name="TRANSCHARTSP" displayName="TRANSCHARTSP" ref="AX123:BD135" headerRowCount="1" totalsRowShown="0" headerRowDxfId="3076" dataDxfId="3075">
  <tableColumns count="7">
    <tableColumn id="1" name="MOIS" dataDxfId="3074"/>
    <tableColumn id="7" name="2025" dataDxfId="3073"/>
    <tableColumn id="2" name="2024" dataDxfId="3072" dataCellStyle="Milliers"/>
    <tableColumn id="3" name="2023" dataDxfId="3071"/>
    <tableColumn id="4" name="2022" dataDxfId="3070"/>
    <tableColumn id="5" name="2021" dataDxfId="3069"/>
    <tableColumn id="6" name="2020" dataDxfId="3068"/>
  </tableColumns>
  <tableStyleInfo name="TableStyleMedium13" showFirstColumn="0" showLastColumn="0" showRowStripes="1" showColumnStripes="0"/>
</table>
</file>

<file path=xl/tables/table210.xml><?xml version="1.0" encoding="utf-8"?>
<table xmlns="http://schemas.openxmlformats.org/spreadsheetml/2006/main" id="210" name="PMHARTAE" displayName="PMHARTAE" ref="AX219:BD231" headerRowCount="1" totalsRowShown="0" headerRowDxfId="3067" dataDxfId="3066">
  <tableColumns count="7">
    <tableColumn id="1" name="MOIS" dataDxfId="3065"/>
    <tableColumn id="7" name="2025" dataDxfId="3064"/>
    <tableColumn id="2" name="2024" dataDxfId="3063"/>
    <tableColumn id="3" name="2023" dataDxfId="3062"/>
    <tableColumn id="4" name="2022" dataDxfId="3061"/>
    <tableColumn id="5" name="2021" dataDxfId="3060"/>
    <tableColumn id="6" name="2020" dataDxfId="3059"/>
  </tableColumns>
  <tableStyleInfo name="TableStyleMedium13" showFirstColumn="0" showLastColumn="0" showRowStripes="1" showColumnStripes="0"/>
</table>
</file>

<file path=xl/tables/table211.xml><?xml version="1.0" encoding="utf-8"?>
<table xmlns="http://schemas.openxmlformats.org/spreadsheetml/2006/main" id="211" name="PMHARTSP" displayName="PMHARTSP" ref="AX203:BD215" headerRowCount="1" totalsRowShown="0" headerRowDxfId="3058" dataDxfId="3057">
  <tableColumns count="7">
    <tableColumn id="1" name="MOIS" dataDxfId="3056"/>
    <tableColumn id="7" name="2025" dataDxfId="3055"/>
    <tableColumn id="2" name="2024" dataDxfId="3054"/>
    <tableColumn id="3" name="2023" dataDxfId="3053"/>
    <tableColumn id="4" name="2022" dataDxfId="3052"/>
    <tableColumn id="5" name="2021" dataDxfId="3051"/>
    <tableColumn id="6" name="2020" dataDxfId="3050"/>
  </tableColumns>
  <tableStyleInfo name="TableStyleMedium13" showFirstColumn="0" showLastColumn="0" showRowStripes="1" showColumnStripes="0"/>
</table>
</file>

<file path=xl/tables/table212.xml><?xml version="1.0" encoding="utf-8"?>
<table xmlns="http://schemas.openxmlformats.org/spreadsheetml/2006/main" id="212" name="PMCHARTAE" displayName="PMCHARTAE" ref="AX267:BD279" headerRowCount="1" totalsRowShown="0" headerRowDxfId="3049" dataDxfId="3048">
  <tableColumns count="7">
    <tableColumn id="1" name="MOIS" dataDxfId="3047"/>
    <tableColumn id="7" name="2025" dataDxfId="3046"/>
    <tableColumn id="2" name="2024" dataDxfId="3045"/>
    <tableColumn id="3" name="2023" dataDxfId="3044"/>
    <tableColumn id="4" name="2022" dataDxfId="3043"/>
    <tableColumn id="5" name="2021" dataDxfId="3042"/>
    <tableColumn id="6" name="2020" dataDxfId="3041"/>
  </tableColumns>
  <tableStyleInfo name="TableStyleMedium13" showFirstColumn="0" showLastColumn="0" showRowStripes="1" showColumnStripes="0"/>
</table>
</file>

<file path=xl/tables/table213.xml><?xml version="1.0" encoding="utf-8"?>
<table xmlns="http://schemas.openxmlformats.org/spreadsheetml/2006/main" id="213" name="PMCHARTSP" displayName="PMCHARTSP" ref="AX251:BD263" headerRowCount="1" totalsRowShown="0" headerRowDxfId="3040" dataDxfId="3039">
  <tableColumns count="7">
    <tableColumn id="1" name="MOIS" dataDxfId="3038"/>
    <tableColumn id="7" name="2025" dataDxfId="3037"/>
    <tableColumn id="2" name="2024" dataDxfId="3036"/>
    <tableColumn id="3" name="2023" dataDxfId="3035"/>
    <tableColumn id="4" name="2022" dataDxfId="3034"/>
    <tableColumn id="5" name="2021" dataDxfId="3033"/>
    <tableColumn id="6" name="2020" dataDxfId="3032"/>
  </tableColumns>
  <tableStyleInfo name="TableStyleMedium13" showFirstColumn="0" showLastColumn="0" showRowStripes="1" showColumnStripes="0"/>
</table>
</file>

<file path=xl/tables/table214.xml><?xml version="1.0" encoding="utf-8"?>
<table xmlns="http://schemas.openxmlformats.org/spreadsheetml/2006/main" id="214" name="CAVICT" displayName="CAVICT" ref="BF11:BL23" headerRowCount="1" totalsRowShown="0" headerRowDxfId="3031" dataDxfId="3030">
  <tableColumns count="7">
    <tableColumn id="1" name="MOIS" dataDxfId="3029"/>
    <tableColumn id="7" name="2025" dataDxfId="3028"/>
    <tableColumn id="2" name="2024" dataDxfId="3027" dataCellStyle="Milliers"/>
    <tableColumn id="3" name="2023" dataDxfId="3026"/>
    <tableColumn id="4" name="2022" dataDxfId="3025"/>
    <tableColumn id="5" name="2021" dataDxfId="3024"/>
    <tableColumn id="6" name="2020" dataDxfId="3023"/>
  </tableColumns>
  <tableStyleInfo name="TableStyleMedium13" showFirstColumn="0" showLastColumn="0" showRowStripes="1" showColumnStripes="0"/>
</table>
</file>

<file path=xl/tables/table215.xml><?xml version="1.0" encoding="utf-8"?>
<table xmlns="http://schemas.openxmlformats.org/spreadsheetml/2006/main" id="215" name="PLVICT" displayName="PLVICT" ref="BF27:BL39" headerRowCount="1" totalsRowShown="0" headerRowDxfId="3022" dataDxfId="3021">
  <tableColumns count="7">
    <tableColumn id="1" name="MOIS" dataDxfId="3020"/>
    <tableColumn id="7" name="2025" dataDxfId="3019"/>
    <tableColumn id="2" name="2024" dataDxfId="3018" dataCellStyle="Milliers"/>
    <tableColumn id="3" name="2023" dataDxfId="3017"/>
    <tableColumn id="4" name="2022" dataDxfId="3016"/>
    <tableColumn id="5" name="2021" dataDxfId="3015"/>
    <tableColumn id="6" name="2020" dataDxfId="3014"/>
  </tableColumns>
  <tableStyleInfo name="TableStyleMedium13" showFirstColumn="0" showLastColumn="0" showRowStripes="1" showColumnStripes="0"/>
</table>
</file>

<file path=xl/tables/table216.xml><?xml version="1.0" encoding="utf-8"?>
<table xmlns="http://schemas.openxmlformats.org/spreadsheetml/2006/main" id="216" name="TRANSVICT" displayName="TRANSVICT" ref="BF107:BL119" headerRowCount="1" totalsRowShown="0" headerRowDxfId="3013" dataDxfId="3012">
  <tableColumns count="7">
    <tableColumn id="1" name="MOIS" dataDxfId="3011"/>
    <tableColumn id="7" name="2025" dataDxfId="3010">
      <calculatedColumnFormula>+BG92+BG76+BG60+BG44</calculatedColumnFormula>
    </tableColumn>
    <tableColumn id="2" name="2024" dataDxfId="3009" dataCellStyle="Milliers"/>
    <tableColumn id="3" name="2023" dataDxfId="3008"/>
    <tableColumn id="4" name="2022" dataDxfId="3007"/>
    <tableColumn id="5" name="2021" dataDxfId="3006"/>
    <tableColumn id="6" name="2020" dataDxfId="3005"/>
  </tableColumns>
  <tableStyleInfo name="TableStyleMedium13" showFirstColumn="0" showLastColumn="0" showRowStripes="1" showColumnStripes="0"/>
</table>
</file>

<file path=xl/tables/table217.xml><?xml version="1.0" encoding="utf-8"?>
<table xmlns="http://schemas.openxmlformats.org/spreadsheetml/2006/main" id="217" name="PMVICT" displayName="PMVICT" ref="BF235:BL247" headerRowCount="1" totalsRowShown="0" headerRowDxfId="3004" dataDxfId="3003">
  <tableColumns count="7">
    <tableColumn id="1" name="MOIS" dataDxfId="3002"/>
    <tableColumn id="7" name="2025" dataDxfId="3001"/>
    <tableColumn id="2" name="2024" dataDxfId="3000" dataCellStyle="Milliers"/>
    <tableColumn id="3" name="2023" dataDxfId="2999"/>
    <tableColumn id="4" name="2022" dataDxfId="2998"/>
    <tableColumn id="5" name="2021" dataDxfId="2997"/>
    <tableColumn id="6" name="2020" dataDxfId="2996"/>
  </tableColumns>
  <tableStyleInfo name="TableStyleMedium13" showFirstColumn="0" showLastColumn="0" showRowStripes="1" showColumnStripes="0"/>
</table>
</file>

<file path=xl/tables/table218.xml><?xml version="1.0" encoding="utf-8"?>
<table xmlns="http://schemas.openxmlformats.org/spreadsheetml/2006/main" id="218" name="TRESOVICT" displayName="TRESOVICT" ref="BF299:BL311" headerRowCount="1" totalsRowShown="0" headerRowDxfId="2995" dataDxfId="2994">
  <tableColumns count="7">
    <tableColumn id="1" name="MOIS" dataDxfId="2993"/>
    <tableColumn id="7" name="2025" dataDxfId="9">
      <calculatedColumnFormula>263.37156-5.554885</calculatedColumnFormula>
    </tableColumn>
    <tableColumn id="2" name="2024" dataDxfId="2992" dataCellStyle="Milliers"/>
    <tableColumn id="3" name="2023" dataDxfId="2991"/>
    <tableColumn id="4" name="2022" dataDxfId="2990"/>
    <tableColumn id="5" name="2021" dataDxfId="2989"/>
    <tableColumn id="6" name="2020" dataDxfId="2988"/>
  </tableColumns>
  <tableStyleInfo name="TableStyleMedium13" showFirstColumn="0" showLastColumn="0" showRowStripes="1" showColumnStripes="0"/>
</table>
</file>

<file path=xl/tables/table219.xml><?xml version="1.0" encoding="utf-8"?>
<table xmlns="http://schemas.openxmlformats.org/spreadsheetml/2006/main" id="219" name="TRANSCVICT" displayName="TRANSCVICT" ref="BF187:BL199" headerRowCount="1" totalsRowShown="0" headerRowDxfId="2987" dataDxfId="2986">
  <tableColumns count="7">
    <tableColumn id="1" name="MOIS" dataDxfId="2985"/>
    <tableColumn id="7" name="2025" dataDxfId="2984"/>
    <tableColumn id="2" name="2024" dataDxfId="2983" dataCellStyle="Milliers"/>
    <tableColumn id="3" name="2023" dataDxfId="2982"/>
    <tableColumn id="4" name="2022" dataDxfId="2981"/>
    <tableColumn id="5" name="2021" dataDxfId="2980"/>
    <tableColumn id="6" name="2020" dataDxfId="2979"/>
  </tableColumns>
  <tableStyleInfo name="TableStyleMedium13" showFirstColumn="0" showLastColumn="0" showRowStripes="1" showColumnStripes="0"/>
</table>
</file>

<file path=xl/tables/table220.xml><?xml version="1.0" encoding="utf-8"?>
<table xmlns="http://schemas.openxmlformats.org/spreadsheetml/2006/main" id="220" name="PMCVICT" displayName="PMCVICT" ref="BF283:BL295" headerRowCount="1" totalsRowShown="0" headerRowDxfId="2978" dataDxfId="2977">
  <tableColumns count="7">
    <tableColumn id="1" name="MOIS" dataDxfId="2976"/>
    <tableColumn id="7" name="2025" dataDxfId="2975">
      <calculatedColumnFormula>AVERAGE(BG$236:BG236)</calculatedColumnFormula>
    </tableColumn>
    <tableColumn id="2" name="2024" dataDxfId="2974" dataCellStyle="Milliers"/>
    <tableColumn id="3" name="2023" dataDxfId="2973"/>
    <tableColumn id="4" name="2022" dataDxfId="2972"/>
    <tableColumn id="5" name="2021" dataDxfId="2971"/>
    <tableColumn id="6" name="2020" dataDxfId="2970"/>
  </tableColumns>
  <tableStyleInfo name="TableStyleMedium13" showFirstColumn="0" showLastColumn="0" showRowStripes="1" showColumnStripes="0"/>
</table>
</file>

<file path=xl/tables/table221.xml><?xml version="1.0" encoding="utf-8"?>
<table xmlns="http://schemas.openxmlformats.org/spreadsheetml/2006/main" id="221" name="TRANSVICTK" displayName="TRANSVICTK" ref="BF91:BL103" headerRowCount="1" totalsRowShown="0" headerRowDxfId="2969" dataDxfId="2968">
  <tableColumns count="7">
    <tableColumn id="1" name="MOIS" dataDxfId="2967"/>
    <tableColumn id="7" name="2025" dataDxfId="2966"/>
    <tableColumn id="2" name="2024" dataDxfId="2965" dataCellStyle="Milliers"/>
    <tableColumn id="3" name="2023" dataDxfId="2964"/>
    <tableColumn id="4" name="2022" dataDxfId="2963"/>
    <tableColumn id="5" name="2021" dataDxfId="2962"/>
    <tableColumn id="6" name="2020" dataDxfId="2961"/>
  </tableColumns>
  <tableStyleInfo name="TableStyleMedium13" showFirstColumn="0" showLastColumn="0" showRowStripes="1" showColumnStripes="0"/>
</table>
</file>

<file path=xl/tables/table222.xml><?xml version="1.0" encoding="utf-8"?>
<table xmlns="http://schemas.openxmlformats.org/spreadsheetml/2006/main" id="222" name="TRANSVICTMC" displayName="TRANSVICTMC" ref="BF75:BL87" headerRowCount="1" totalsRowShown="0" headerRowDxfId="2960" dataDxfId="2959">
  <tableColumns count="7">
    <tableColumn id="1" name="MOIS" dataDxfId="2958"/>
    <tableColumn id="7" name="2025" dataDxfId="2957"/>
    <tableColumn id="2" name="2024" dataDxfId="2956" dataCellStyle="Milliers"/>
    <tableColumn id="3" name="2023" dataDxfId="2955"/>
    <tableColumn id="4" name="2022" dataDxfId="2954"/>
    <tableColumn id="5" name="2021" dataDxfId="2953"/>
    <tableColumn id="6" name="2020" dataDxfId="2952"/>
  </tableColumns>
  <tableStyleInfo name="TableStyleMedium13" showFirstColumn="0" showLastColumn="0" showRowStripes="1" showColumnStripes="0"/>
</table>
</file>

<file path=xl/tables/table223.xml><?xml version="1.0" encoding="utf-8"?>
<table xmlns="http://schemas.openxmlformats.org/spreadsheetml/2006/main" id="223" name="TRANSVICTAE" displayName="TRANSVICTAE" ref="BF59:BL71" headerRowCount="1" totalsRowShown="0" headerRowDxfId="2951" dataDxfId="2950">
  <tableColumns count="7">
    <tableColumn id="1" name="MOIS" dataDxfId="2949"/>
    <tableColumn id="7" name="2025" dataDxfId="2948"/>
    <tableColumn id="2" name="2024" dataDxfId="2947" dataCellStyle="Milliers"/>
    <tableColumn id="3" name="2023" dataDxfId="2946"/>
    <tableColumn id="4" name="2022" dataDxfId="2945"/>
    <tableColumn id="5" name="2021" dataDxfId="2944"/>
    <tableColumn id="6" name="2020" dataDxfId="2943"/>
  </tableColumns>
  <tableStyleInfo name="TableStyleMedium13" showFirstColumn="0" showLastColumn="0" showRowStripes="1" showColumnStripes="0"/>
</table>
</file>

<file path=xl/tables/table224.xml><?xml version="1.0" encoding="utf-8"?>
<table xmlns="http://schemas.openxmlformats.org/spreadsheetml/2006/main" id="224" name="TRANSVICTSP" displayName="TRANSVICTSP" ref="BF43:BL55" headerRowCount="1" totalsRowShown="0" headerRowDxfId="2942" dataDxfId="2941">
  <tableColumns count="7">
    <tableColumn id="1" name="MOIS" dataDxfId="2940"/>
    <tableColumn id="7" name="2025" dataDxfId="2939"/>
    <tableColumn id="2" name="2024" dataDxfId="2938" dataCellStyle="Milliers"/>
    <tableColumn id="3" name="2023" dataDxfId="2937"/>
    <tableColumn id="4" name="2022" dataDxfId="2936"/>
    <tableColumn id="5" name="2021" dataDxfId="2935"/>
    <tableColumn id="6" name="2020" dataDxfId="2934"/>
  </tableColumns>
  <tableStyleInfo name="TableStyleMedium13" showFirstColumn="0" showLastColumn="0" showRowStripes="1" showColumnStripes="0"/>
</table>
</file>

<file path=xl/tables/table225.xml><?xml version="1.0" encoding="utf-8"?>
<table xmlns="http://schemas.openxmlformats.org/spreadsheetml/2006/main" id="225" name="TRANSCVICTK" displayName="TRANSCVICTK" ref="BF171:BL183" headerRowCount="1" totalsRowShown="0" headerRowDxfId="2933" dataDxfId="2932">
  <tableColumns count="7">
    <tableColumn id="1" name="MOIS" dataDxfId="2931"/>
    <tableColumn id="7" name="2025" dataDxfId="2930"/>
    <tableColumn id="2" name="2024" dataDxfId="2929" dataCellStyle="Milliers"/>
    <tableColumn id="3" name="2023" dataDxfId="2928"/>
    <tableColumn id="4" name="2022" dataDxfId="2927"/>
    <tableColumn id="5" name="2021" dataDxfId="2926"/>
    <tableColumn id="6" name="2020" dataDxfId="2925"/>
  </tableColumns>
  <tableStyleInfo name="TableStyleMedium13" showFirstColumn="0" showLastColumn="0" showRowStripes="1" showColumnStripes="0"/>
</table>
</file>

<file path=xl/tables/table226.xml><?xml version="1.0" encoding="utf-8"?>
<table xmlns="http://schemas.openxmlformats.org/spreadsheetml/2006/main" id="226" name="TRANSCVICTMC" displayName="TRANSCVICTMC" ref="BF155:BL167" headerRowCount="1" totalsRowShown="0" headerRowDxfId="2924" dataDxfId="2923">
  <tableColumns count="7">
    <tableColumn id="1" name="MOIS" dataDxfId="2922"/>
    <tableColumn id="7" name="2025" dataDxfId="2921"/>
    <tableColumn id="2" name="2024" dataDxfId="2920" dataCellStyle="Milliers"/>
    <tableColumn id="3" name="2023" dataDxfId="2919"/>
    <tableColumn id="4" name="2022" dataDxfId="2918"/>
    <tableColumn id="5" name="2021" dataDxfId="2917"/>
    <tableColumn id="6" name="2020" dataDxfId="2916"/>
  </tableColumns>
  <tableStyleInfo name="TableStyleMedium13" showFirstColumn="0" showLastColumn="0" showRowStripes="1" showColumnStripes="0"/>
</table>
</file>

<file path=xl/tables/table227.xml><?xml version="1.0" encoding="utf-8"?>
<table xmlns="http://schemas.openxmlformats.org/spreadsheetml/2006/main" id="227" name="TRANSCVICTAE" displayName="TRANSCVICTAE" ref="BF139:BL151" headerRowCount="1" totalsRowShown="0" headerRowDxfId="2915" dataDxfId="2914">
  <tableColumns count="7">
    <tableColumn id="1" name="MOIS" dataDxfId="2913"/>
    <tableColumn id="7" name="2025" dataDxfId="2912"/>
    <tableColumn id="2" name="2024" dataDxfId="2911" dataCellStyle="Milliers"/>
    <tableColumn id="3" name="2023" dataDxfId="2910"/>
    <tableColumn id="4" name="2022" dataDxfId="2909"/>
    <tableColumn id="5" name="2021" dataDxfId="2908"/>
    <tableColumn id="6" name="2020" dataDxfId="2907"/>
  </tableColumns>
  <tableStyleInfo name="TableStyleMedium13" showFirstColumn="0" showLastColumn="0" showRowStripes="1" showColumnStripes="0"/>
</table>
</file>

<file path=xl/tables/table228.xml><?xml version="1.0" encoding="utf-8"?>
<table xmlns="http://schemas.openxmlformats.org/spreadsheetml/2006/main" id="228" name="TRANSCVICTSP" displayName="TRANSCVICTSP" ref="BF123:BL135" headerRowCount="1" totalsRowShown="0" headerRowDxfId="2906" dataDxfId="2905">
  <tableColumns count="7">
    <tableColumn id="1" name="MOIS" dataDxfId="2904"/>
    <tableColumn id="7" name="2025" dataDxfId="2903"/>
    <tableColumn id="2" name="2024" dataDxfId="2902" dataCellStyle="Milliers"/>
    <tableColumn id="3" name="2023" dataDxfId="2901"/>
    <tableColumn id="4" name="2022" dataDxfId="2900"/>
    <tableColumn id="5" name="2021" dataDxfId="2899"/>
    <tableColumn id="6" name="2020" dataDxfId="2898"/>
  </tableColumns>
  <tableStyleInfo name="TableStyleMedium13" showFirstColumn="0" showLastColumn="0" showRowStripes="1" showColumnStripes="0"/>
</table>
</file>

<file path=xl/tables/table229.xml><?xml version="1.0" encoding="utf-8"?>
<table xmlns="http://schemas.openxmlformats.org/spreadsheetml/2006/main" id="229" name="PMVICTAE" displayName="PMVICTAE" ref="BF219:BL231" headerRowCount="1" totalsRowShown="0" headerRowDxfId="2897" dataDxfId="2896">
  <tableColumns count="7">
    <tableColumn id="1" name="MOIS" dataDxfId="2895"/>
    <tableColumn id="7" name="2025" dataDxfId="2894"/>
    <tableColumn id="2" name="2024" dataDxfId="2893" dataCellStyle="Milliers"/>
    <tableColumn id="3" name="2023" dataDxfId="2892"/>
    <tableColumn id="4" name="2022" dataDxfId="2891"/>
    <tableColumn id="5" name="2021" dataDxfId="2890"/>
    <tableColumn id="6" name="2020" dataDxfId="2889"/>
  </tableColumns>
  <tableStyleInfo name="TableStyleMedium13" showFirstColumn="0" showLastColumn="0" showRowStripes="1" showColumnStripes="0"/>
</table>
</file>

<file path=xl/tables/table230.xml><?xml version="1.0" encoding="utf-8"?>
<table xmlns="http://schemas.openxmlformats.org/spreadsheetml/2006/main" id="230" name="PMVICTSP" displayName="PMVICTSP" ref="BF203:BL215" headerRowCount="1" totalsRowShown="0" headerRowDxfId="2888" dataDxfId="2887">
  <tableColumns count="7">
    <tableColumn id="1" name="MOIS" dataDxfId="2886"/>
    <tableColumn id="7" name="2025" dataDxfId="2885"/>
    <tableColumn id="2" name="2024" dataDxfId="2884" dataCellStyle="Milliers"/>
    <tableColumn id="3" name="2023" dataDxfId="2883"/>
    <tableColumn id="4" name="2022" dataDxfId="2882"/>
    <tableColumn id="5" name="2021" dataDxfId="2881"/>
    <tableColumn id="6" name="2020" dataDxfId="2880"/>
  </tableColumns>
  <tableStyleInfo name="TableStyleMedium13" showFirstColumn="0" showLastColumn="0" showRowStripes="1" showColumnStripes="0"/>
</table>
</file>

<file path=xl/tables/table231.xml><?xml version="1.0" encoding="utf-8"?>
<table xmlns="http://schemas.openxmlformats.org/spreadsheetml/2006/main" id="231" name="PMCVICTAE" displayName="PMCVICTAE" ref="BF267:BL279" headerRowCount="1" totalsRowShown="0" headerRowDxfId="2879" dataDxfId="2878">
  <tableColumns count="7">
    <tableColumn id="1" name="MOIS" dataDxfId="2877"/>
    <tableColumn id="7" name="2025" dataDxfId="2876"/>
    <tableColumn id="2" name="2024" dataDxfId="2875" dataCellStyle="Milliers"/>
    <tableColumn id="3" name="2023" dataDxfId="2874"/>
    <tableColumn id="4" name="2022" dataDxfId="2873"/>
    <tableColumn id="5" name="2021" dataDxfId="2872"/>
    <tableColumn id="6" name="2020" dataDxfId="2871"/>
  </tableColumns>
  <tableStyleInfo name="TableStyleMedium13" showFirstColumn="0" showLastColumn="0" showRowStripes="1" showColumnStripes="0"/>
</table>
</file>

<file path=xl/tables/table232.xml><?xml version="1.0" encoding="utf-8"?>
<table xmlns="http://schemas.openxmlformats.org/spreadsheetml/2006/main" id="232" name="PMCVICTSP" displayName="PMCVICTSP" ref="BF251:BL263" headerRowCount="1" totalsRowShown="0" headerRowDxfId="2870" dataDxfId="2869">
  <tableColumns count="7">
    <tableColumn id="1" name="MOIS" dataDxfId="2868"/>
    <tableColumn id="7" name="2025" dataDxfId="2867"/>
    <tableColumn id="2" name="2024" dataDxfId="2866" dataCellStyle="Milliers"/>
    <tableColumn id="3" name="2023" dataDxfId="2865"/>
    <tableColumn id="4" name="2022" dataDxfId="2864"/>
    <tableColumn id="5" name="2021" dataDxfId="2863"/>
    <tableColumn id="6" name="2020" dataDxfId="2862"/>
  </tableColumns>
  <tableStyleInfo name="TableStyleMedium13" showFirstColumn="0" showLastColumn="0" showRowStripes="1" showColumnStripes="0"/>
</table>
</file>

<file path=xl/tables/table233.xml><?xml version="1.0" encoding="utf-8"?>
<table xmlns="http://schemas.openxmlformats.org/spreadsheetml/2006/main" id="233" name="TRANSTIRRSP" displayName="TRANSTIRRSP" ref="Z43:AF55" headerRowCount="1" totalsRowShown="0" headerRowDxfId="2861" dataDxfId="2860">
  <tableColumns count="7">
    <tableColumn id="1" name="MOIS" dataDxfId="2859"/>
    <tableColumn id="7" name="2025" dataDxfId="2858"/>
    <tableColumn id="2" name="2024" dataDxfId="2857" dataCellStyle="Milliers"/>
    <tableColumn id="3" name="2023" dataDxfId="2856"/>
    <tableColumn id="4" name="2022" dataDxfId="2855"/>
    <tableColumn id="5" name="2021" dataDxfId="2854"/>
    <tableColumn id="6" name="2020" dataDxfId="2853"/>
  </tableColumns>
  <tableStyleInfo name="TableStyleMedium10" showFirstColumn="0" showLastColumn="0" showRowStripes="1" showColumnStripes="0"/>
</table>
</file>

<file path=xl/tables/table234.xml><?xml version="1.0" encoding="utf-8"?>
<table xmlns="http://schemas.openxmlformats.org/spreadsheetml/2006/main" id="234" name="CAJEANCLO" displayName="CAJEANCLO" ref="DJ11:DP23" headerRowCount="1" totalsRowShown="0" headerRowDxfId="2852" dataDxfId="2851">
  <tableColumns count="7">
    <tableColumn id="1" name="MOIS" dataDxfId="2850"/>
    <tableColumn id="7" name="2025" dataDxfId="2849"/>
    <tableColumn id="2" name="2024" dataDxfId="2848"/>
    <tableColumn id="3" name="2023" dataDxfId="2847"/>
    <tableColumn id="4" name="2022" dataDxfId="2846"/>
    <tableColumn id="5" name="2021" dataDxfId="2845"/>
    <tableColumn id="6" name="2020" dataDxfId="2844"/>
  </tableColumns>
  <tableStyleInfo name="TableStyleMedium14" showFirstColumn="0" showLastColumn="0" showRowStripes="1" showColumnStripes="0"/>
</table>
</file>

<file path=xl/tables/table235.xml><?xml version="1.0" encoding="utf-8"?>
<table xmlns="http://schemas.openxmlformats.org/spreadsheetml/2006/main" id="235" name="CATHOM" displayName="CATHOM" ref="DR11:DX23" headerRowCount="1" totalsRowShown="0" headerRowDxfId="2843" dataDxfId="2842">
  <tableColumns count="7">
    <tableColumn id="1" name="MOIS" dataDxfId="2841"/>
    <tableColumn id="7" name="2025" dataDxfId="2840"/>
    <tableColumn id="2" name="2024" dataDxfId="2839"/>
    <tableColumn id="3" name="2023" dataDxfId="2838"/>
    <tableColumn id="4" name="2022" dataDxfId="2837"/>
    <tableColumn id="5" name="2021" dataDxfId="2836"/>
    <tableColumn id="6" name="2020" dataDxfId="2835"/>
  </tableColumns>
  <tableStyleInfo name="TableStyleMedium8" showFirstColumn="0" showLastColumn="0" showRowStripes="1" showColumnStripes="0"/>
</table>
</file>

<file path=xl/tables/table236.xml><?xml version="1.0" encoding="utf-8"?>
<table xmlns="http://schemas.openxmlformats.org/spreadsheetml/2006/main" id="236" name="CAHUGO" displayName="CAHUGO" ref="DB11:DH23" headerRowCount="1" totalsRowShown="0" headerRowDxfId="2834" dataDxfId="2833">
  <tableColumns count="7">
    <tableColumn id="1" name="MOIS" dataDxfId="2832"/>
    <tableColumn id="7" name="2025" dataDxfId="2831"/>
    <tableColumn id="2" name="2024" dataDxfId="2830"/>
    <tableColumn id="3" name="2023" dataDxfId="2829"/>
    <tableColumn id="4" name="2022" dataDxfId="2828"/>
    <tableColumn id="5" name="2021" dataDxfId="2827"/>
    <tableColumn id="6" name="2020" dataDxfId="2826"/>
  </tableColumns>
  <tableStyleInfo name="TableStyleMedium10" showFirstColumn="0" showLastColumn="0" showRowStripes="1" showColumnStripes="0"/>
</table>
</file>

<file path=xl/tables/table237.xml><?xml version="1.0" encoding="utf-8"?>
<table xmlns="http://schemas.openxmlformats.org/spreadsheetml/2006/main" id="237" name="CAARTH" displayName="CAARTH" ref="CT11:CZ23" headerRowCount="1" totalsRowShown="0" headerRowDxfId="2825" dataDxfId="2824">
  <tableColumns count="7">
    <tableColumn id="1" name="MOIS" dataDxfId="2823"/>
    <tableColumn id="7" name="2025" dataDxfId="2822"/>
    <tableColumn id="2" name="2024" dataDxfId="2821"/>
    <tableColumn id="3" name="2023" dataDxfId="2820"/>
    <tableColumn id="4" name="2022" dataDxfId="2819"/>
    <tableColumn id="5" name="2021" dataDxfId="2818"/>
    <tableColumn id="6" name="2020" dataDxfId="2817"/>
  </tableColumns>
  <tableStyleInfo name="TableStyleMedium11" showFirstColumn="0" showLastColumn="0" showRowStripes="1" showColumnStripes="0"/>
</table>
</file>

<file path=xl/tables/table238.xml><?xml version="1.0" encoding="utf-8"?>
<table xmlns="http://schemas.openxmlformats.org/spreadsheetml/2006/main" id="238" name="PLCJEANCLO" displayName="PLCJEANCLO" ref="DJ27:DP39" headerRowCount="1" totalsRowShown="0" headerRowDxfId="2816" dataDxfId="2815">
  <tableColumns count="7">
    <tableColumn id="1" name="MOIS" dataDxfId="2814"/>
    <tableColumn id="7" name="2025" dataDxfId="2813"/>
    <tableColumn id="2" name="2024" dataDxfId="2812"/>
    <tableColumn id="3" name="2023" dataDxfId="2811"/>
    <tableColumn id="4" name="2022" dataDxfId="2810"/>
    <tableColumn id="5" name="2021" dataDxfId="2809"/>
    <tableColumn id="6" name="2020" dataDxfId="2808"/>
  </tableColumns>
  <tableStyleInfo name="TableStyleMedium14" showFirstColumn="0" showLastColumn="0" showRowStripes="1" showColumnStripes="0"/>
</table>
</file>

<file path=xl/tables/table239.xml><?xml version="1.0" encoding="utf-8"?>
<table xmlns="http://schemas.openxmlformats.org/spreadsheetml/2006/main" id="239" name="PLTHOM" displayName="PLTHOM" ref="DR27:DX39" headerRowCount="1" totalsRowShown="0" headerRowDxfId="2807" dataDxfId="2806">
  <tableColumns count="7">
    <tableColumn id="1" name="MOIS" dataDxfId="2805"/>
    <tableColumn id="7" name="2025" dataDxfId="2804"/>
    <tableColumn id="2" name="2024" dataDxfId="2803"/>
    <tableColumn id="3" name="2023" dataDxfId="2802"/>
    <tableColumn id="4" name="2022" dataDxfId="2801"/>
    <tableColumn id="5" name="2021" dataDxfId="2800"/>
    <tableColumn id="6" name="2020" dataDxfId="2799"/>
  </tableColumns>
  <tableStyleInfo name="TableStyleMedium8" showFirstColumn="0" showLastColumn="0" showRowStripes="1" showColumnStripes="0"/>
</table>
</file>

<file path=xl/tables/table240.xml><?xml version="1.0" encoding="utf-8"?>
<table xmlns="http://schemas.openxmlformats.org/spreadsheetml/2006/main" id="240" name="PLHUGO" displayName="PLHUGO" ref="DB27:DH39" headerRowCount="1" totalsRowShown="0" headerRowDxfId="2798" dataDxfId="2797">
  <tableColumns count="7">
    <tableColumn id="1" name="MOIS" dataDxfId="2796"/>
    <tableColumn id="7" name="2025" dataDxfId="2795"/>
    <tableColumn id="2" name="2024" dataDxfId="2794"/>
    <tableColumn id="3" name="2023" dataDxfId="2793"/>
    <tableColumn id="4" name="2022" dataDxfId="2792"/>
    <tableColumn id="5" name="2021" dataDxfId="2791"/>
    <tableColumn id="6" name="2020" dataDxfId="2790"/>
  </tableColumns>
  <tableStyleInfo name="TableStyleMedium10" showFirstColumn="0" showLastColumn="0" showRowStripes="1" showColumnStripes="0"/>
</table>
</file>

<file path=xl/tables/table241.xml><?xml version="1.0" encoding="utf-8"?>
<table xmlns="http://schemas.openxmlformats.org/spreadsheetml/2006/main" id="241" name="PLARTH" displayName="PLARTH" ref="CT27:CZ39" headerRowCount="1" totalsRowShown="0" headerRowDxfId="2789" dataDxfId="2788">
  <tableColumns count="7">
    <tableColumn id="1" name="MOIS" dataDxfId="2787"/>
    <tableColumn id="7" name="2025" dataDxfId="2786"/>
    <tableColumn id="2" name="2024" dataDxfId="2785" dataCellStyle="Milliers"/>
    <tableColumn id="3" name="2023" dataDxfId="2784"/>
    <tableColumn id="4" name="2022" dataDxfId="2783"/>
    <tableColumn id="5" name="2021" dataDxfId="2782"/>
    <tableColumn id="6" name="2020" dataDxfId="2781"/>
  </tableColumns>
  <tableStyleInfo name="TableStyleMedium11" showFirstColumn="0" showLastColumn="0" showRowStripes="1" showColumnStripes="0"/>
</table>
</file>

<file path=xl/tables/table242.xml><?xml version="1.0" encoding="utf-8"?>
<table xmlns="http://schemas.openxmlformats.org/spreadsheetml/2006/main" id="242" name="TRANSJEANCLO" displayName="TRANSJEANCLO" ref="DJ107:DP119" headerRowCount="1" totalsRowShown="0" headerRowDxfId="2780" dataDxfId="2779">
  <tableColumns count="7">
    <tableColumn id="1" name="MOIS" dataDxfId="2778"/>
    <tableColumn id="7" name="2025" dataDxfId="2777">
      <calculatedColumnFormula>+DK92+DK76+DK60+DK44</calculatedColumnFormula>
    </tableColumn>
    <tableColumn id="2" name="2024" dataDxfId="2776"/>
    <tableColumn id="3" name="2023" dataDxfId="2775"/>
    <tableColumn id="4" name="2022" dataDxfId="2774"/>
    <tableColumn id="5" name="2021" dataDxfId="2773"/>
    <tableColumn id="6" name="2020" dataDxfId="2772"/>
  </tableColumns>
  <tableStyleInfo name="TableStyleMedium14" showFirstColumn="0" showLastColumn="0" showRowStripes="1" showColumnStripes="0"/>
</table>
</file>

<file path=xl/tables/table243.xml><?xml version="1.0" encoding="utf-8"?>
<table xmlns="http://schemas.openxmlformats.org/spreadsheetml/2006/main" id="243" name="TRANSTHOM" displayName="TRANSTHOM" ref="DR107:DX119" headerRowCount="1" totalsRowShown="0" headerRowDxfId="2771" dataDxfId="2770">
  <tableColumns count="7">
    <tableColumn id="1" name="MOIS" dataDxfId="2769"/>
    <tableColumn id="7" name="2025" dataDxfId="2768">
      <calculatedColumnFormula>+DS92+DS76+DS60+DS44</calculatedColumnFormula>
    </tableColumn>
    <tableColumn id="2" name="2024" dataDxfId="2767"/>
    <tableColumn id="3" name="2023" dataDxfId="2766"/>
    <tableColumn id="4" name="2022" dataDxfId="2765"/>
    <tableColumn id="5" name="2021" dataDxfId="2764"/>
    <tableColumn id="6" name="2020" dataDxfId="2763"/>
  </tableColumns>
  <tableStyleInfo name="TableStyleMedium8" showFirstColumn="0" showLastColumn="0" showRowStripes="1" showColumnStripes="0"/>
</table>
</file>

<file path=xl/tables/table244.xml><?xml version="1.0" encoding="utf-8"?>
<table xmlns="http://schemas.openxmlformats.org/spreadsheetml/2006/main" id="244" name="TRANSHUGO" displayName="TRANSHUGO" ref="DB107:DH119" headerRowCount="1" totalsRowShown="0" headerRowDxfId="2762" dataDxfId="2761">
  <tableColumns count="7">
    <tableColumn id="1" name="MOIS" dataDxfId="2760"/>
    <tableColumn id="7" name="2025" dataDxfId="2759">
      <calculatedColumnFormula>+DC92+DC76+DC60+DC44</calculatedColumnFormula>
    </tableColumn>
    <tableColumn id="2" name="2024" dataDxfId="2758"/>
    <tableColumn id="3" name="2023" dataDxfId="2757"/>
    <tableColumn id="4" name="2022" dataDxfId="2756"/>
    <tableColumn id="5" name="2021" dataDxfId="2755"/>
    <tableColumn id="6" name="2020" dataDxfId="2754"/>
  </tableColumns>
  <tableStyleInfo name="TableStyleMedium10" showFirstColumn="0" showLastColumn="0" showRowStripes="1" showColumnStripes="0"/>
</table>
</file>

<file path=xl/tables/table245.xml><?xml version="1.0" encoding="utf-8"?>
<table xmlns="http://schemas.openxmlformats.org/spreadsheetml/2006/main" id="245" name="TRANSARTH" displayName="TRANSARTH" ref="CT107:CZ119" headerRowCount="1" totalsRowShown="0" headerRowDxfId="2753" dataDxfId="2752">
  <tableColumns count="7">
    <tableColumn id="1" name="MOIS" dataDxfId="2751"/>
    <tableColumn id="7" name="2025" dataDxfId="2750">
      <calculatedColumnFormula>+CU92+CU76+CU60+CU44</calculatedColumnFormula>
    </tableColumn>
    <tableColumn id="2" name="2024" dataDxfId="2749" dataCellStyle="Milliers"/>
    <tableColumn id="3" name="2023" dataDxfId="2748"/>
    <tableColumn id="4" name="2022" dataDxfId="2747"/>
    <tableColumn id="5" name="2021" dataDxfId="2746"/>
    <tableColumn id="6" name="2020" dataDxfId="2745"/>
  </tableColumns>
  <tableStyleInfo name="TableStyleMedium11" showFirstColumn="0" showLastColumn="0" showRowStripes="1" showColumnStripes="0"/>
</table>
</file>

<file path=xl/tables/table246.xml><?xml version="1.0" encoding="utf-8"?>
<table xmlns="http://schemas.openxmlformats.org/spreadsheetml/2006/main" id="246" name="PMTJEANCLO" displayName="PMTJEANCLO" ref="DJ235:DP247" headerRowCount="1" totalsRowShown="0" headerRowDxfId="2744" dataDxfId="2743">
  <tableColumns count="7">
    <tableColumn id="1" name="MOIS" dataDxfId="2742"/>
    <tableColumn id="7" name="2025" dataDxfId="2741"/>
    <tableColumn id="2" name="2024" dataDxfId="2740"/>
    <tableColumn id="3" name="2023" dataDxfId="2739"/>
    <tableColumn id="4" name="2022" dataDxfId="2738"/>
    <tableColumn id="5" name="2021" dataDxfId="2737"/>
    <tableColumn id="6" name="2020" dataDxfId="2736"/>
  </tableColumns>
  <tableStyleInfo name="TableStyleMedium14" showFirstColumn="0" showLastColumn="0" showRowStripes="1" showColumnStripes="0"/>
</table>
</file>

<file path=xl/tables/table247.xml><?xml version="1.0" encoding="utf-8"?>
<table xmlns="http://schemas.openxmlformats.org/spreadsheetml/2006/main" id="247" name="PMTHOM" displayName="PMTHOM" ref="DR235:DX247" headerRowCount="1" totalsRowShown="0" headerRowDxfId="2735" dataDxfId="2734">
  <tableColumns count="7">
    <tableColumn id="1" name="MOIS" dataDxfId="2733"/>
    <tableColumn id="7" name="2025" dataDxfId="2732"/>
    <tableColumn id="2" name="2024" dataDxfId="2731"/>
    <tableColumn id="3" name="2023" dataDxfId="2730"/>
    <tableColumn id="4" name="2022" dataDxfId="2729"/>
    <tableColumn id="5" name="2021" dataDxfId="2728"/>
    <tableColumn id="6" name="2020" dataDxfId="2727"/>
  </tableColumns>
  <tableStyleInfo name="TableStyleMedium8" showFirstColumn="0" showLastColumn="0" showRowStripes="1" showColumnStripes="0"/>
</table>
</file>

<file path=xl/tables/table248.xml><?xml version="1.0" encoding="utf-8"?>
<table xmlns="http://schemas.openxmlformats.org/spreadsheetml/2006/main" id="248" name="PMHUGO" displayName="PMHUGO" ref="DB235:DH247" headerRowCount="1" totalsRowShown="0" headerRowDxfId="2726" dataDxfId="2725">
  <tableColumns count="7">
    <tableColumn id="1" name="MOIS" dataDxfId="2724"/>
    <tableColumn id="7" name="2025" dataDxfId="2723"/>
    <tableColumn id="2" name="2024" dataDxfId="2722"/>
    <tableColumn id="3" name="2023" dataDxfId="2721"/>
    <tableColumn id="4" name="2022" dataDxfId="2720"/>
    <tableColumn id="5" name="2021" dataDxfId="2719"/>
    <tableColumn id="6" name="2020" dataDxfId="2718"/>
  </tableColumns>
  <tableStyleInfo name="TableStyleMedium10" showFirstColumn="0" showLastColumn="0" showRowStripes="1" showColumnStripes="0"/>
</table>
</file>

<file path=xl/tables/table249.xml><?xml version="1.0" encoding="utf-8"?>
<table xmlns="http://schemas.openxmlformats.org/spreadsheetml/2006/main" id="249" name="PMARTH" displayName="PMARTH" ref="CT235:CZ247" headerRowCount="1" totalsRowShown="0" headerRowDxfId="2717" dataDxfId="2716">
  <tableColumns count="7">
    <tableColumn id="1" name="MOIS" dataDxfId="2715"/>
    <tableColumn id="7" name="2025" dataDxfId="2714"/>
    <tableColumn id="2" name="2024" dataDxfId="2713"/>
    <tableColumn id="3" name="2023" dataDxfId="2712"/>
    <tableColumn id="4" name="2022" dataDxfId="2711"/>
    <tableColumn id="5" name="2021" dataDxfId="2710"/>
    <tableColumn id="6" name="2020" dataDxfId="2709"/>
  </tableColumns>
  <tableStyleInfo name="TableStyleMedium11" showFirstColumn="0" showLastColumn="0" showRowStripes="1" showColumnStripes="0"/>
</table>
</file>

<file path=xl/tables/table250.xml><?xml version="1.0" encoding="utf-8"?>
<table xmlns="http://schemas.openxmlformats.org/spreadsheetml/2006/main" id="250" name="TRESOJEANCLO" displayName="TRESOJEANCLO" ref="DJ299:DP311" headerRowCount="1" totalsRowShown="0" headerRowDxfId="2708" dataDxfId="2707">
  <tableColumns count="7">
    <tableColumn id="1" name="MOIS" dataDxfId="2706"/>
    <tableColumn id="7" name="2025" dataDxfId="8">
      <calculatedColumnFormula>315.29603-1.03849</calculatedColumnFormula>
    </tableColumn>
    <tableColumn id="2" name="2024" dataDxfId="2705"/>
    <tableColumn id="3" name="2023" dataDxfId="2704"/>
    <tableColumn id="4" name="2022" dataDxfId="2703"/>
    <tableColumn id="5" name="2021" dataDxfId="2702"/>
    <tableColumn id="6" name="2020" dataDxfId="2701"/>
  </tableColumns>
  <tableStyleInfo name="TableStyleMedium14" showFirstColumn="0" showLastColumn="0" showRowStripes="1" showColumnStripes="0"/>
</table>
</file>

<file path=xl/tables/table251.xml><?xml version="1.0" encoding="utf-8"?>
<table xmlns="http://schemas.openxmlformats.org/spreadsheetml/2006/main" id="251" name="TRESOTHOM" displayName="TRESOTHOM" ref="DR299:DX311" headerRowCount="1" totalsRowShown="0" headerRowDxfId="2700" dataDxfId="2699">
  <tableColumns count="7">
    <tableColumn id="1" name="MOIS" dataDxfId="2698"/>
    <tableColumn id="7" name="2025" dataDxfId="7">
      <calculatedColumnFormula>350.8575-1.42167</calculatedColumnFormula>
    </tableColumn>
    <tableColumn id="2" name="2024" dataDxfId="2697"/>
    <tableColumn id="3" name="2023" dataDxfId="2696"/>
    <tableColumn id="4" name="2022" dataDxfId="2695"/>
    <tableColumn id="5" name="2021" dataDxfId="2694"/>
    <tableColumn id="6" name="2020" dataDxfId="2693"/>
  </tableColumns>
  <tableStyleInfo name="TableStyleMedium8" showFirstColumn="0" showLastColumn="0" showRowStripes="1" showColumnStripes="0"/>
</table>
</file>

<file path=xl/tables/table252.xml><?xml version="1.0" encoding="utf-8"?>
<table xmlns="http://schemas.openxmlformats.org/spreadsheetml/2006/main" id="252" name="TRESOHUGO" displayName="TRESOHUGO" ref="DB299:DH311" headerRowCount="1" totalsRowShown="0" headerRowDxfId="2692" dataDxfId="2691">
  <tableColumns count="7">
    <tableColumn id="1" name="MOIS" dataDxfId="2690"/>
    <tableColumn id="7" name="2025" dataDxfId="6">
      <calculatedColumnFormula>1006.09507-8.46206</calculatedColumnFormula>
    </tableColumn>
    <tableColumn id="2" name="2024" dataDxfId="2689"/>
    <tableColumn id="3" name="2023" dataDxfId="2688"/>
    <tableColumn id="4" name="2022" dataDxfId="2687"/>
    <tableColumn id="5" name="2021" dataDxfId="2686"/>
    <tableColumn id="6" name="2020" dataDxfId="2685"/>
  </tableColumns>
  <tableStyleInfo name="TableStyleMedium10" showFirstColumn="0" showLastColumn="0" showRowStripes="1" showColumnStripes="0"/>
</table>
</file>

<file path=xl/tables/table253.xml><?xml version="1.0" encoding="utf-8"?>
<table xmlns="http://schemas.openxmlformats.org/spreadsheetml/2006/main" id="253" name="TRESOARTH" displayName="TRESOARTH" ref="CT299:CZ311" headerRowCount="1" totalsRowShown="0" headerRowDxfId="2684" dataDxfId="2683">
  <tableColumns count="7">
    <tableColumn id="1" name="MOIS" dataDxfId="2682"/>
    <tableColumn id="7" name="2025" dataDxfId="5">
      <calculatedColumnFormula>725.65431-3.69679</calculatedColumnFormula>
    </tableColumn>
    <tableColumn id="2" name="2024" dataDxfId="2681"/>
    <tableColumn id="3" name="2023" dataDxfId="2680"/>
    <tableColumn id="4" name="2022" dataDxfId="2679"/>
    <tableColumn id="5" name="2021" dataDxfId="2678"/>
    <tableColumn id="6" name="2020" dataDxfId="2677"/>
  </tableColumns>
  <tableStyleInfo name="TableStyleMedium11" showFirstColumn="0" showLastColumn="0" showRowStripes="1" showColumnStripes="0"/>
</table>
</file>

<file path=xl/tables/table254.xml><?xml version="1.0" encoding="utf-8"?>
<table xmlns="http://schemas.openxmlformats.org/spreadsheetml/2006/main" id="254" name="TRANSCJEANCLO" displayName="TRANSCJEANCLO" ref="DJ187:DP199" headerRowCount="1" totalsRowShown="0" headerRowDxfId="2676" dataDxfId="2675">
  <tableColumns count="7">
    <tableColumn id="1" name="MOIS" dataDxfId="2674"/>
    <tableColumn id="7" name="2025" dataDxfId="2673"/>
    <tableColumn id="2" name="2024" dataDxfId="2672"/>
    <tableColumn id="3" name="2023" dataDxfId="2671"/>
    <tableColumn id="4" name="2022" dataDxfId="2670"/>
    <tableColumn id="5" name="2021" dataDxfId="2669"/>
    <tableColumn id="6" name="2020" dataDxfId="2668"/>
  </tableColumns>
  <tableStyleInfo name="TableStyleMedium14" showFirstColumn="0" showLastColumn="0" showRowStripes="1" showColumnStripes="0"/>
</table>
</file>

<file path=xl/tables/table255.xml><?xml version="1.0" encoding="utf-8"?>
<table xmlns="http://schemas.openxmlformats.org/spreadsheetml/2006/main" id="255" name="TRANSCTHOM" displayName="TRANSCTHOM" ref="DR187:DX199" headerRowCount="1" totalsRowShown="0" headerRowDxfId="2667" dataDxfId="2666">
  <tableColumns count="7">
    <tableColumn id="1" name="MOIS" dataDxfId="2665"/>
    <tableColumn id="7" name="2025" dataDxfId="2664"/>
    <tableColumn id="2" name="2024" dataDxfId="2663"/>
    <tableColumn id="3" name="2023" dataDxfId="2662"/>
    <tableColumn id="4" name="2022" dataDxfId="2661"/>
    <tableColumn id="5" name="2021" dataDxfId="2660"/>
    <tableColumn id="6" name="2020" dataDxfId="2659"/>
  </tableColumns>
  <tableStyleInfo name="TableStyleMedium8" showFirstColumn="0" showLastColumn="0" showRowStripes="1" showColumnStripes="0"/>
</table>
</file>

<file path=xl/tables/table256.xml><?xml version="1.0" encoding="utf-8"?>
<table xmlns="http://schemas.openxmlformats.org/spreadsheetml/2006/main" id="256" name="TRANSCHUGO" displayName="TRANSCHUGO" ref="DB187:DH199" headerRowCount="1" totalsRowShown="0" headerRowDxfId="2658" dataDxfId="2657">
  <tableColumns count="7">
    <tableColumn id="1" name="MOIS" dataDxfId="2656"/>
    <tableColumn id="7" name="2025" dataDxfId="2655"/>
    <tableColumn id="2" name="2024" dataDxfId="2654"/>
    <tableColumn id="3" name="2023" dataDxfId="2653"/>
    <tableColumn id="4" name="2022" dataDxfId="2652"/>
    <tableColumn id="5" name="2021" dataDxfId="2651"/>
    <tableColumn id="6" name="2020" dataDxfId="2650"/>
  </tableColumns>
  <tableStyleInfo name="TableStyleMedium10" showFirstColumn="0" showLastColumn="0" showRowStripes="1" showColumnStripes="0"/>
</table>
</file>

<file path=xl/tables/table257.xml><?xml version="1.0" encoding="utf-8"?>
<table xmlns="http://schemas.openxmlformats.org/spreadsheetml/2006/main" id="257" name="TRANSCARTH" displayName="TRANSCARTH" ref="CT187:CZ199" headerRowCount="1" totalsRowShown="0" headerRowDxfId="2649" dataDxfId="2648">
  <tableColumns count="7">
    <tableColumn id="1" name="MOIS" dataDxfId="2647"/>
    <tableColumn id="7" name="2025" dataDxfId="2646"/>
    <tableColumn id="2" name="2024" dataDxfId="2645" dataCellStyle="Milliers"/>
    <tableColumn id="3" name="2023" dataDxfId="2644"/>
    <tableColumn id="4" name="2022" dataDxfId="2643"/>
    <tableColumn id="5" name="2021" dataDxfId="2642"/>
    <tableColumn id="6" name="2020" dataDxfId="2641"/>
  </tableColumns>
  <tableStyleInfo name="TableStyleMedium11" showFirstColumn="0" showLastColumn="0" showRowStripes="1" showColumnStripes="0"/>
</table>
</file>

<file path=xl/tables/table258.xml><?xml version="1.0" encoding="utf-8"?>
<table xmlns="http://schemas.openxmlformats.org/spreadsheetml/2006/main" id="258" name="PMCJEANCLO" displayName="PMCJEANCLO" ref="DJ283:DP295" headerRowCount="1" totalsRowShown="0" headerRowDxfId="2640" dataDxfId="2639">
  <tableColumns count="7">
    <tableColumn id="1" name="MOIS" dataDxfId="2638"/>
    <tableColumn id="7" name="2025" dataDxfId="2637">
      <calculatedColumnFormula>AVERAGE(DK$236:DK236)</calculatedColumnFormula>
    </tableColumn>
    <tableColumn id="2" name="2024" dataDxfId="2636"/>
    <tableColumn id="3" name="2023" dataDxfId="2635"/>
    <tableColumn id="4" name="2022" dataDxfId="2634"/>
    <tableColumn id="5" name="2021" dataDxfId="2633"/>
    <tableColumn id="6" name="2020" dataDxfId="2632"/>
  </tableColumns>
  <tableStyleInfo name="TableStyleMedium14" showFirstColumn="0" showLastColumn="0" showRowStripes="1" showColumnStripes="0"/>
</table>
</file>

<file path=xl/tables/table259.xml><?xml version="1.0" encoding="utf-8"?>
<table xmlns="http://schemas.openxmlformats.org/spreadsheetml/2006/main" id="259" name="PMCTHOM" displayName="PMCTHOM" ref="DR283:DX295" headerRowCount="1" totalsRowShown="0" headerRowDxfId="2631" dataDxfId="2630">
  <tableColumns count="7">
    <tableColumn id="1" name="MOIS" dataDxfId="2629"/>
    <tableColumn id="7" name="2025" dataDxfId="2628">
      <calculatedColumnFormula>AVERAGE(DS$236:DS236)</calculatedColumnFormula>
    </tableColumn>
    <tableColumn id="2" name="2024" dataDxfId="2627"/>
    <tableColumn id="3" name="2023" dataDxfId="2626"/>
    <tableColumn id="4" name="2022" dataDxfId="2625"/>
    <tableColumn id="5" name="2021" dataDxfId="2624"/>
    <tableColumn id="6" name="2020" dataDxfId="2623"/>
  </tableColumns>
  <tableStyleInfo name="TableStyleMedium8" showFirstColumn="0" showLastColumn="0" showRowStripes="1" showColumnStripes="0"/>
</table>
</file>

<file path=xl/tables/table260.xml><?xml version="1.0" encoding="utf-8"?>
<table xmlns="http://schemas.openxmlformats.org/spreadsheetml/2006/main" id="260" name="PMCHUGO" displayName="PMCHUGO" ref="DB283:DH295" headerRowCount="1" totalsRowShown="0" headerRowDxfId="2622" dataDxfId="2621">
  <tableColumns count="7">
    <tableColumn id="1" name="MOIS" dataDxfId="2620"/>
    <tableColumn id="7" name="2025" dataDxfId="2619">
      <calculatedColumnFormula>AVERAGE(DC$236:DC236)</calculatedColumnFormula>
    </tableColumn>
    <tableColumn id="2" name="2024" dataDxfId="2618"/>
    <tableColumn id="3" name="2023" dataDxfId="2617"/>
    <tableColumn id="4" name="2022" dataDxfId="2616"/>
    <tableColumn id="5" name="2021" dataDxfId="2615"/>
    <tableColumn id="6" name="2020" dataDxfId="2614"/>
  </tableColumns>
  <tableStyleInfo name="TableStyleMedium10" showFirstColumn="0" showLastColumn="0" showRowStripes="1" showColumnStripes="0"/>
</table>
</file>

<file path=xl/tables/table261.xml><?xml version="1.0" encoding="utf-8"?>
<table xmlns="http://schemas.openxmlformats.org/spreadsheetml/2006/main" id="261" name="PMCARTH" displayName="PMCARTH" ref="CT283:CZ295" headerRowCount="1" totalsRowShown="0" headerRowDxfId="2613" dataDxfId="2612">
  <tableColumns count="7">
    <tableColumn id="1" name="MOIS" dataDxfId="2611"/>
    <tableColumn id="7" name="2025" dataDxfId="2610">
      <calculatedColumnFormula>AVERAGE(CU$236:CU236)</calculatedColumnFormula>
    </tableColumn>
    <tableColumn id="2" name="2024" dataDxfId="2609"/>
    <tableColumn id="3" name="2023" dataDxfId="2608"/>
    <tableColumn id="4" name="2022" dataDxfId="2607"/>
    <tableColumn id="5" name="2021" dataDxfId="2606"/>
    <tableColumn id="6" name="2020" dataDxfId="2605"/>
  </tableColumns>
  <tableStyleInfo name="TableStyleMedium11" showFirstColumn="0" showLastColumn="0" showRowStripes="1" showColumnStripes="0"/>
</table>
</file>

<file path=xl/tables/table262.xml><?xml version="1.0" encoding="utf-8"?>
<table xmlns="http://schemas.openxmlformats.org/spreadsheetml/2006/main" id="262" name="TRANSJEANCLOK" displayName="TRANSJEANCLOK" ref="DJ91:DP103" headerRowCount="1" totalsRowShown="0" headerRowDxfId="2604" dataDxfId="2603">
  <tableColumns count="7">
    <tableColumn id="1" name="MOIS" dataDxfId="2602"/>
    <tableColumn id="7" name="2025" dataDxfId="2601"/>
    <tableColumn id="2" name="2024" dataDxfId="2600"/>
    <tableColumn id="3" name="2023" dataDxfId="2599"/>
    <tableColumn id="4" name="2022" dataDxfId="2598"/>
    <tableColumn id="5" name="2021" dataDxfId="2597"/>
    <tableColumn id="6" name="2020" dataDxfId="2596"/>
  </tableColumns>
  <tableStyleInfo name="TableStyleMedium14" showFirstColumn="0" showLastColumn="0" showRowStripes="1" showColumnStripes="0"/>
</table>
</file>

<file path=xl/tables/table263.xml><?xml version="1.0" encoding="utf-8"?>
<table xmlns="http://schemas.openxmlformats.org/spreadsheetml/2006/main" id="263" name="TRANSTHOMK" displayName="TRANSTHOMK" ref="DR91:DX103" headerRowCount="1" totalsRowShown="0" headerRowDxfId="2595" dataDxfId="2594">
  <tableColumns count="7">
    <tableColumn id="1" name="MOIS" dataDxfId="2593"/>
    <tableColumn id="7" name="2025" dataDxfId="2592"/>
    <tableColumn id="2" name="2024" dataDxfId="2591"/>
    <tableColumn id="3" name="2023" dataDxfId="2590"/>
    <tableColumn id="4" name="2022" dataDxfId="2589"/>
    <tableColumn id="5" name="2021" dataDxfId="2588"/>
    <tableColumn id="6" name="2020" dataDxfId="2587"/>
  </tableColumns>
  <tableStyleInfo name="TableStyleMedium8" showFirstColumn="0" showLastColumn="0" showRowStripes="1" showColumnStripes="0"/>
</table>
</file>

<file path=xl/tables/table264.xml><?xml version="1.0" encoding="utf-8"?>
<table xmlns="http://schemas.openxmlformats.org/spreadsheetml/2006/main" id="264" name="TRANSHUGOK" displayName="TRANSHUGOK" ref="DB91:DH103" headerRowCount="1" totalsRowShown="0" headerRowDxfId="2586" dataDxfId="2585">
  <tableColumns count="7">
    <tableColumn id="1" name="MOIS" dataDxfId="2584"/>
    <tableColumn id="7" name="2025" dataDxfId="2583"/>
    <tableColumn id="2" name="2024" dataDxfId="2582"/>
    <tableColumn id="3" name="2023" dataDxfId="2581"/>
    <tableColumn id="4" name="2022" dataDxfId="2580"/>
    <tableColumn id="5" name="2021" dataDxfId="2579"/>
    <tableColumn id="6" name="2020" dataDxfId="2578"/>
  </tableColumns>
  <tableStyleInfo name="TableStyleMedium10" showFirstColumn="0" showLastColumn="0" showRowStripes="1" showColumnStripes="0"/>
</table>
</file>

<file path=xl/tables/table265.xml><?xml version="1.0" encoding="utf-8"?>
<table xmlns="http://schemas.openxmlformats.org/spreadsheetml/2006/main" id="265" name="TRANSARTHK" displayName="TRANSARTHK" ref="CT91:CZ103" headerRowCount="1" totalsRowShown="0" headerRowDxfId="2577" dataDxfId="2576">
  <tableColumns count="7">
    <tableColumn id="1" name="MOIS" dataDxfId="2575"/>
    <tableColumn id="7" name="2025" dataDxfId="2574"/>
    <tableColumn id="2" name="2024" dataDxfId="2573"/>
    <tableColumn id="3" name="2023" dataDxfId="2572"/>
    <tableColumn id="4" name="2022" dataDxfId="2571"/>
    <tableColumn id="5" name="2021" dataDxfId="2570"/>
    <tableColumn id="6" name="2020" dataDxfId="2569"/>
  </tableColumns>
  <tableStyleInfo name="TableStyleMedium11" showFirstColumn="0" showLastColumn="0" showRowStripes="1" showColumnStripes="0"/>
</table>
</file>

<file path=xl/tables/table266.xml><?xml version="1.0" encoding="utf-8"?>
<table xmlns="http://schemas.openxmlformats.org/spreadsheetml/2006/main" id="266" name="TRANSJEANCLOMC" displayName="TRANSJEANCLOMC" ref="DJ75:DP87" headerRowCount="1" totalsRowShown="0" headerRowDxfId="2568" dataDxfId="2567">
  <tableColumns count="7">
    <tableColumn id="1" name="MOIS" dataDxfId="2566"/>
    <tableColumn id="7" name="2025" dataDxfId="2565"/>
    <tableColumn id="2" name="2024" dataDxfId="2564"/>
    <tableColumn id="3" name="2023" dataDxfId="2563"/>
    <tableColumn id="4" name="2022" dataDxfId="2562"/>
    <tableColumn id="5" name="2021" dataDxfId="2561"/>
    <tableColumn id="6" name="2020" dataDxfId="2560"/>
  </tableColumns>
  <tableStyleInfo name="TableStyleMedium14" showFirstColumn="0" showLastColumn="0" showRowStripes="1" showColumnStripes="0"/>
</table>
</file>

<file path=xl/tables/table267.xml><?xml version="1.0" encoding="utf-8"?>
<table xmlns="http://schemas.openxmlformats.org/spreadsheetml/2006/main" id="267" name="TRANSTHOMMC" displayName="TRANSTHOMMC" ref="DR75:DX87" headerRowCount="1" totalsRowShown="0" headerRowDxfId="2559" dataDxfId="2558">
  <tableColumns count="7">
    <tableColumn id="1" name="MOIS" dataDxfId="2557"/>
    <tableColumn id="7" name="2025" dataDxfId="2556"/>
    <tableColumn id="2" name="2024" dataDxfId="2555"/>
    <tableColumn id="3" name="2023" dataDxfId="2554"/>
    <tableColumn id="4" name="2022" dataDxfId="2553"/>
    <tableColumn id="5" name="2021" dataDxfId="2552"/>
    <tableColumn id="6" name="2020" dataDxfId="2551"/>
  </tableColumns>
  <tableStyleInfo name="TableStyleMedium8" showFirstColumn="0" showLastColumn="0" showRowStripes="1" showColumnStripes="0"/>
</table>
</file>

<file path=xl/tables/table268.xml><?xml version="1.0" encoding="utf-8"?>
<table xmlns="http://schemas.openxmlformats.org/spreadsheetml/2006/main" id="268" name="TRANSHUGOMC" displayName="TRANSHUGOMC" ref="DB75:DH87" headerRowCount="1" totalsRowShown="0" headerRowDxfId="2550" dataDxfId="2549">
  <tableColumns count="7">
    <tableColumn id="1" name="MOIS" dataDxfId="2548"/>
    <tableColumn id="7" name="2025" dataDxfId="2547"/>
    <tableColumn id="2" name="2024" dataDxfId="2546"/>
    <tableColumn id="3" name="2023" dataDxfId="2545"/>
    <tableColumn id="4" name="2022" dataDxfId="2544"/>
    <tableColumn id="5" name="2021" dataDxfId="2543"/>
    <tableColumn id="6" name="2020" dataDxfId="2542"/>
  </tableColumns>
  <tableStyleInfo name="TableStyleMedium10" showFirstColumn="0" showLastColumn="0" showRowStripes="1" showColumnStripes="0"/>
</table>
</file>

<file path=xl/tables/table269.xml><?xml version="1.0" encoding="utf-8"?>
<table xmlns="http://schemas.openxmlformats.org/spreadsheetml/2006/main" id="269" name="TRANSARTHMC" displayName="TRANSARTHMC" ref="CT75:CZ87" headerRowCount="1" totalsRowShown="0" headerRowDxfId="2541" dataDxfId="2540">
  <tableColumns count="7">
    <tableColumn id="1" name="MOIS" dataDxfId="2539"/>
    <tableColumn id="7" name="2025" dataDxfId="2538"/>
    <tableColumn id="2" name="2024" dataDxfId="2537"/>
    <tableColumn id="3" name="2023" dataDxfId="2536"/>
    <tableColumn id="4" name="2022" dataDxfId="2535"/>
    <tableColumn id="5" name="2021" dataDxfId="2534"/>
    <tableColumn id="6" name="2020" dataDxfId="2533"/>
  </tableColumns>
  <tableStyleInfo name="TableStyleMedium11" showFirstColumn="0" showLastColumn="0" showRowStripes="1" showColumnStripes="0"/>
</table>
</file>

<file path=xl/tables/table270.xml><?xml version="1.0" encoding="utf-8"?>
<table xmlns="http://schemas.openxmlformats.org/spreadsheetml/2006/main" id="270" name="TRANSJEANCLOAE" displayName="TRANSJEANCLOAE" ref="DJ59:DP71" headerRowCount="1" totalsRowShown="0" headerRowDxfId="2532" dataDxfId="2531">
  <tableColumns count="7">
    <tableColumn id="1" name="MOIS" dataDxfId="2530"/>
    <tableColumn id="7" name="2025" dataDxfId="2529"/>
    <tableColumn id="2" name="2024" dataDxfId="2528"/>
    <tableColumn id="3" name="2023" dataDxfId="2527"/>
    <tableColumn id="4" name="2022" dataDxfId="2526"/>
    <tableColumn id="5" name="2021" dataDxfId="2525"/>
    <tableColumn id="6" name="2020" dataDxfId="2524"/>
  </tableColumns>
  <tableStyleInfo name="TableStyleMedium14" showFirstColumn="0" showLastColumn="0" showRowStripes="1" showColumnStripes="0"/>
</table>
</file>

<file path=xl/tables/table271.xml><?xml version="1.0" encoding="utf-8"?>
<table xmlns="http://schemas.openxmlformats.org/spreadsheetml/2006/main" id="271" name="TRANSTHOMAE" displayName="TRANSTHOMAE" ref="DR59:DX71" headerRowCount="1" totalsRowShown="0" headerRowDxfId="2523" dataDxfId="2522">
  <tableColumns count="7">
    <tableColumn id="1" name="MOIS" dataDxfId="2521"/>
    <tableColumn id="7" name="2025" dataDxfId="2520"/>
    <tableColumn id="2" name="2024" dataDxfId="2519"/>
    <tableColumn id="3" name="2023" dataDxfId="2518"/>
    <tableColumn id="4" name="2022" dataDxfId="2517"/>
    <tableColumn id="5" name="2021" dataDxfId="2516"/>
    <tableColumn id="6" name="2020" dataDxfId="2515"/>
  </tableColumns>
  <tableStyleInfo name="TableStyleMedium8" showFirstColumn="0" showLastColumn="0" showRowStripes="1" showColumnStripes="0"/>
</table>
</file>

<file path=xl/tables/table272.xml><?xml version="1.0" encoding="utf-8"?>
<table xmlns="http://schemas.openxmlformats.org/spreadsheetml/2006/main" id="272" name="TRANSHUGOAE" displayName="TRANSHUGOAE" ref="DB59:DH71" headerRowCount="1" totalsRowShown="0" headerRowDxfId="2514" dataDxfId="2513">
  <tableColumns count="7">
    <tableColumn id="1" name="MOIS" dataDxfId="2512"/>
    <tableColumn id="7" name="2025" dataDxfId="2511"/>
    <tableColumn id="2" name="2024" dataDxfId="2510"/>
    <tableColumn id="3" name="2023" dataDxfId="2509"/>
    <tableColumn id="4" name="2022" dataDxfId="2508"/>
    <tableColumn id="5" name="2021" dataDxfId="2507"/>
    <tableColumn id="6" name="2020" dataDxfId="2506"/>
  </tableColumns>
  <tableStyleInfo name="TableStyleMedium10" showFirstColumn="0" showLastColumn="0" showRowStripes="1" showColumnStripes="0"/>
</table>
</file>

<file path=xl/tables/table273.xml><?xml version="1.0" encoding="utf-8"?>
<table xmlns="http://schemas.openxmlformats.org/spreadsheetml/2006/main" id="273" name="TRANSARTHAE" displayName="TRANSARTHAE" ref="CT59:CZ71" headerRowCount="1" totalsRowShown="0" headerRowDxfId="2505" dataDxfId="2504">
  <tableColumns count="7">
    <tableColumn id="1" name="MOIS" dataDxfId="2503"/>
    <tableColumn id="7" name="2025" dataDxfId="2502"/>
    <tableColumn id="2" name="2024" dataDxfId="2501"/>
    <tableColumn id="3" name="2023" dataDxfId="2500"/>
    <tableColumn id="4" name="2022" dataDxfId="2499"/>
    <tableColumn id="5" name="2021" dataDxfId="2498"/>
    <tableColumn id="6" name="2020" dataDxfId="2497"/>
  </tableColumns>
  <tableStyleInfo name="TableStyleMedium11" showFirstColumn="0" showLastColumn="0" showRowStripes="1" showColumnStripes="0"/>
</table>
</file>

<file path=xl/tables/table274.xml><?xml version="1.0" encoding="utf-8"?>
<table xmlns="http://schemas.openxmlformats.org/spreadsheetml/2006/main" id="274" name="TRANSJEANCLOSP" displayName="TRANSJEANCLOSP" ref="DJ43:DP55" headerRowCount="1" totalsRowShown="0" headerRowDxfId="2496" dataDxfId="2495">
  <tableColumns count="7">
    <tableColumn id="1" name="MOIS" dataDxfId="2494"/>
    <tableColumn id="7" name="2025" dataDxfId="2493"/>
    <tableColumn id="2" name="2024" dataDxfId="2492"/>
    <tableColumn id="3" name="2023" dataDxfId="2491"/>
    <tableColumn id="4" name="2022" dataDxfId="2490"/>
    <tableColumn id="5" name="2021" dataDxfId="2489"/>
    <tableColumn id="6" name="2020" dataDxfId="2488"/>
  </tableColumns>
  <tableStyleInfo name="TableStyleMedium14" showFirstColumn="0" showLastColumn="0" showRowStripes="1" showColumnStripes="0"/>
</table>
</file>

<file path=xl/tables/table275.xml><?xml version="1.0" encoding="utf-8"?>
<table xmlns="http://schemas.openxmlformats.org/spreadsheetml/2006/main" id="275" name="TRANSTHOMP" displayName="TRANSTHOMP" ref="DR43:DX55" headerRowCount="1" totalsRowShown="0" headerRowDxfId="2487" dataDxfId="2486">
  <tableColumns count="7">
    <tableColumn id="1" name="MOIS" dataDxfId="2485"/>
    <tableColumn id="7" name="2025" dataDxfId="2484"/>
    <tableColumn id="2" name="2024" dataDxfId="2483"/>
    <tableColumn id="3" name="2023" dataDxfId="2482"/>
    <tableColumn id="4" name="2022" dataDxfId="2481"/>
    <tableColumn id="5" name="2021" dataDxfId="2480"/>
    <tableColumn id="6" name="2020" dataDxfId="2479"/>
  </tableColumns>
  <tableStyleInfo name="TableStyleMedium8" showFirstColumn="0" showLastColumn="0" showRowStripes="1" showColumnStripes="0"/>
</table>
</file>

<file path=xl/tables/table276.xml><?xml version="1.0" encoding="utf-8"?>
<table xmlns="http://schemas.openxmlformats.org/spreadsheetml/2006/main" id="276" name="TRANSHUGOSP" displayName="TRANSHUGOSP" ref="DB43:DH55" headerRowCount="1" totalsRowShown="0" headerRowDxfId="2478" dataDxfId="2477">
  <tableColumns count="7">
    <tableColumn id="1" name="MOIS" dataDxfId="2476"/>
    <tableColumn id="7" name="2025" dataDxfId="2475"/>
    <tableColumn id="2" name="2024" dataDxfId="2474"/>
    <tableColumn id="3" name="2023" dataDxfId="2473"/>
    <tableColumn id="4" name="2022" dataDxfId="2472"/>
    <tableColumn id="5" name="2021" dataDxfId="2471"/>
    <tableColumn id="6" name="2020" dataDxfId="2470"/>
  </tableColumns>
  <tableStyleInfo name="TableStyleMedium10" showFirstColumn="0" showLastColumn="0" showRowStripes="1" showColumnStripes="0"/>
</table>
</file>

<file path=xl/tables/table277.xml><?xml version="1.0" encoding="utf-8"?>
<table xmlns="http://schemas.openxmlformats.org/spreadsheetml/2006/main" id="277" name="TRANSARTHSP" displayName="TRANSARTHSP" ref="CT43:CZ55" headerRowCount="1" totalsRowShown="0" headerRowDxfId="2469" dataDxfId="2468">
  <tableColumns count="7">
    <tableColumn id="1" name="MOIS" dataDxfId="2467"/>
    <tableColumn id="7" name="2025" dataDxfId="2466"/>
    <tableColumn id="2" name="2024" dataDxfId="2465"/>
    <tableColumn id="3" name="2023" dataDxfId="2464"/>
    <tableColumn id="4" name="2022" dataDxfId="2463"/>
    <tableColumn id="5" name="2021" dataDxfId="2462"/>
    <tableColumn id="6" name="2020" dataDxfId="2461"/>
  </tableColumns>
  <tableStyleInfo name="TableStyleMedium11" showFirstColumn="0" showLastColumn="0" showRowStripes="1" showColumnStripes="0"/>
</table>
</file>

<file path=xl/tables/table278.xml><?xml version="1.0" encoding="utf-8"?>
<table xmlns="http://schemas.openxmlformats.org/spreadsheetml/2006/main" id="278" name="TRANSCJEANCLOK" displayName="TRANSCJEANCLOK" ref="DJ171:DP183" headerRowCount="1" totalsRowShown="0" headerRowDxfId="2460" dataDxfId="2459">
  <tableColumns count="7">
    <tableColumn id="1" name="MOIS" dataDxfId="2458"/>
    <tableColumn id="7" name="2025" dataDxfId="2457"/>
    <tableColumn id="2" name="2024" dataDxfId="2456"/>
    <tableColumn id="3" name="2023" dataDxfId="2455"/>
    <tableColumn id="4" name="2022" dataDxfId="2454"/>
    <tableColumn id="5" name="2021" dataDxfId="2453"/>
    <tableColumn id="6" name="2020" dataDxfId="2452"/>
  </tableColumns>
  <tableStyleInfo name="TableStyleMedium14" showFirstColumn="0" showLastColumn="0" showRowStripes="1" showColumnStripes="0"/>
</table>
</file>

<file path=xl/tables/table279.xml><?xml version="1.0" encoding="utf-8"?>
<table xmlns="http://schemas.openxmlformats.org/spreadsheetml/2006/main" id="279" name="TRANSCTHOMK" displayName="TRANSCTHOMK" ref="DR171:DX183" headerRowCount="1" totalsRowShown="0" headerRowDxfId="2451" dataDxfId="2450">
  <tableColumns count="7">
    <tableColumn id="1" name="MOIS" dataDxfId="2449"/>
    <tableColumn id="7" name="2025" dataDxfId="2448"/>
    <tableColumn id="2" name="2024" dataDxfId="2447"/>
    <tableColumn id="3" name="2023" dataDxfId="2446"/>
    <tableColumn id="4" name="2022" dataDxfId="2445"/>
    <tableColumn id="5" name="2021" dataDxfId="2444"/>
    <tableColumn id="6" name="2020" dataDxfId="2443"/>
  </tableColumns>
  <tableStyleInfo name="TableStyleMedium8" showFirstColumn="0" showLastColumn="0" showRowStripes="1" showColumnStripes="0"/>
</table>
</file>

<file path=xl/tables/table280.xml><?xml version="1.0" encoding="utf-8"?>
<table xmlns="http://schemas.openxmlformats.org/spreadsheetml/2006/main" id="280" name="TRANSCHUGOK" displayName="TRANSCHUGOK" ref="DB171:DH183" headerRowCount="1" totalsRowShown="0" headerRowDxfId="2442" dataDxfId="2441">
  <tableColumns count="7">
    <tableColumn id="1" name="MOIS" dataDxfId="2440"/>
    <tableColumn id="7" name="2025" dataDxfId="2439"/>
    <tableColumn id="2" name="2024" dataDxfId="2438"/>
    <tableColumn id="3" name="2023" dataDxfId="2437"/>
    <tableColumn id="4" name="2022" dataDxfId="2436"/>
    <tableColumn id="5" name="2021" dataDxfId="2435"/>
    <tableColumn id="6" name="2020" dataDxfId="2434"/>
  </tableColumns>
  <tableStyleInfo name="TableStyleMedium10" showFirstColumn="0" showLastColumn="0" showRowStripes="1" showColumnStripes="0"/>
</table>
</file>

<file path=xl/tables/table281.xml><?xml version="1.0" encoding="utf-8"?>
<table xmlns="http://schemas.openxmlformats.org/spreadsheetml/2006/main" id="281" name="TRANSCARTHK" displayName="TRANSCARTHK" ref="CT171:CZ183" headerRowCount="1" totalsRowShown="0" headerRowDxfId="2433" dataDxfId="2432">
  <tableColumns count="7">
    <tableColumn id="1" name="MOIS" dataDxfId="2431"/>
    <tableColumn id="7" name="2025" dataDxfId="2430"/>
    <tableColumn id="2" name="2024" dataDxfId="2429" dataCellStyle="Milliers"/>
    <tableColumn id="3" name="2023" dataDxfId="2428"/>
    <tableColumn id="4" name="2022" dataDxfId="2427"/>
    <tableColumn id="5" name="2021" dataDxfId="2426"/>
    <tableColumn id="6" name="2020" dataDxfId="2425"/>
  </tableColumns>
  <tableStyleInfo name="TableStyleMedium11" showFirstColumn="0" showLastColumn="0" showRowStripes="1" showColumnStripes="0"/>
</table>
</file>

<file path=xl/tables/table282.xml><?xml version="1.0" encoding="utf-8"?>
<table xmlns="http://schemas.openxmlformats.org/spreadsheetml/2006/main" id="282" name="TRANSCJEANCLOMC" displayName="TRANSCJEANCLOMC" ref="DJ155:DP167" headerRowCount="1" totalsRowShown="0" headerRowDxfId="2424" dataDxfId="2423">
  <tableColumns count="7">
    <tableColumn id="1" name="MOIS" dataDxfId="2422"/>
    <tableColumn id="7" name="2025" dataDxfId="2421"/>
    <tableColumn id="2" name="2024" dataDxfId="2420"/>
    <tableColumn id="3" name="2023" dataDxfId="2419"/>
    <tableColumn id="4" name="2022" dataDxfId="2418"/>
    <tableColumn id="5" name="2021" dataDxfId="2417"/>
    <tableColumn id="6" name="2020" dataDxfId="2416"/>
  </tableColumns>
  <tableStyleInfo name="TableStyleMedium14" showFirstColumn="0" showLastColumn="0" showRowStripes="1" showColumnStripes="0"/>
</table>
</file>

<file path=xl/tables/table283.xml><?xml version="1.0" encoding="utf-8"?>
<table xmlns="http://schemas.openxmlformats.org/spreadsheetml/2006/main" id="283" name="TRANSCTHOMMC" displayName="TRANSCTHOMMC" ref="DR155:DX167" headerRowCount="1" totalsRowShown="0" headerRowDxfId="2415" dataDxfId="2414">
  <tableColumns count="7">
    <tableColumn id="1" name="MOIS" dataDxfId="2413"/>
    <tableColumn id="7" name="2025" dataDxfId="2412"/>
    <tableColumn id="2" name="2024" dataDxfId="2411"/>
    <tableColumn id="3" name="2023" dataDxfId="2410"/>
    <tableColumn id="4" name="2022" dataDxfId="2409"/>
    <tableColumn id="5" name="2021" dataDxfId="2408"/>
    <tableColumn id="6" name="2020" dataDxfId="2407"/>
  </tableColumns>
  <tableStyleInfo name="TableStyleMedium8" showFirstColumn="0" showLastColumn="0" showRowStripes="1" showColumnStripes="0"/>
</table>
</file>

<file path=xl/tables/table284.xml><?xml version="1.0" encoding="utf-8"?>
<table xmlns="http://schemas.openxmlformats.org/spreadsheetml/2006/main" id="284" name="TRANSCHUGOMC" displayName="TRANSCHUGOMC" ref="DB155:DH167" headerRowCount="1" totalsRowShown="0" headerRowDxfId="2406" dataDxfId="2405">
  <tableColumns count="7">
    <tableColumn id="1" name="MOIS" dataDxfId="2404"/>
    <tableColumn id="7" name="2025" dataDxfId="2403"/>
    <tableColumn id="2" name="2024" dataDxfId="2402"/>
    <tableColumn id="3" name="2023" dataDxfId="2401"/>
    <tableColumn id="4" name="2022" dataDxfId="2400"/>
    <tableColumn id="5" name="2021" dataDxfId="2399"/>
    <tableColumn id="6" name="2020" dataDxfId="2398"/>
  </tableColumns>
  <tableStyleInfo name="TableStyleMedium10" showFirstColumn="0" showLastColumn="0" showRowStripes="1" showColumnStripes="0"/>
</table>
</file>

<file path=xl/tables/table285.xml><?xml version="1.0" encoding="utf-8"?>
<table xmlns="http://schemas.openxmlformats.org/spreadsheetml/2006/main" id="285" name="TRANSCARTHMC" displayName="TRANSCARTHMC" ref="CT155:CZ167" headerRowCount="1" totalsRowShown="0" headerRowDxfId="2397" dataDxfId="2396">
  <tableColumns count="7">
    <tableColumn id="1" name="MOIS" dataDxfId="2395"/>
    <tableColumn id="7" name="2025" dataDxfId="2394"/>
    <tableColumn id="2" name="2024" dataDxfId="2393" dataCellStyle="Milliers"/>
    <tableColumn id="3" name="2023" dataDxfId="2392"/>
    <tableColumn id="4" name="2022" dataDxfId="2391"/>
    <tableColumn id="5" name="2021" dataDxfId="2390"/>
    <tableColumn id="6" name="2020" dataDxfId="2389"/>
  </tableColumns>
  <tableStyleInfo name="TableStyleMedium11" showFirstColumn="0" showLastColumn="0" showRowStripes="1" showColumnStripes="0"/>
</table>
</file>

<file path=xl/tables/table286.xml><?xml version="1.0" encoding="utf-8"?>
<table xmlns="http://schemas.openxmlformats.org/spreadsheetml/2006/main" id="286" name="TRANSCJEANCLOAE" displayName="TRANSCJEANCLOAE" ref="DJ139:DP151" headerRowCount="1" totalsRowShown="0" headerRowDxfId="2388" dataDxfId="2387">
  <tableColumns count="7">
    <tableColumn id="1" name="MOIS" dataDxfId="2386"/>
    <tableColumn id="7" name="2025" dataDxfId="2385"/>
    <tableColumn id="2" name="2024" dataDxfId="2384"/>
    <tableColumn id="3" name="2023" dataDxfId="2383"/>
    <tableColumn id="4" name="2022" dataDxfId="2382"/>
    <tableColumn id="5" name="2021" dataDxfId="2381"/>
    <tableColumn id="6" name="2020" dataDxfId="2380"/>
  </tableColumns>
  <tableStyleInfo name="TableStyleMedium14" showFirstColumn="0" showLastColumn="0" showRowStripes="1" showColumnStripes="0"/>
</table>
</file>

<file path=xl/tables/table287.xml><?xml version="1.0" encoding="utf-8"?>
<table xmlns="http://schemas.openxmlformats.org/spreadsheetml/2006/main" id="287" name="TRANSCTHOMAE" displayName="TRANSCTHOMAE" ref="DR139:DX151" headerRowCount="1" totalsRowShown="0" headerRowDxfId="2379" dataDxfId="2378">
  <tableColumns count="7">
    <tableColumn id="1" name="MOIS" dataDxfId="2377"/>
    <tableColumn id="7" name="2025" dataDxfId="2376"/>
    <tableColumn id="2" name="2024" dataDxfId="2375"/>
    <tableColumn id="3" name="2023" dataDxfId="2374"/>
    <tableColumn id="4" name="2022" dataDxfId="2373"/>
    <tableColumn id="5" name="2021" dataDxfId="2372"/>
    <tableColumn id="6" name="2020" dataDxfId="2371"/>
  </tableColumns>
  <tableStyleInfo name="TableStyleMedium8" showFirstColumn="0" showLastColumn="0" showRowStripes="1" showColumnStripes="0"/>
</table>
</file>

<file path=xl/tables/table288.xml><?xml version="1.0" encoding="utf-8"?>
<table xmlns="http://schemas.openxmlformats.org/spreadsheetml/2006/main" id="288" name="TRANSCHUGOAE" displayName="TRANSCHUGOAE" ref="DB139:DH151" headerRowCount="1" totalsRowShown="0" headerRowDxfId="2370" dataDxfId="2369">
  <tableColumns count="7">
    <tableColumn id="1" name="MOIS" dataDxfId="2368"/>
    <tableColumn id="7" name="2025" dataDxfId="2367"/>
    <tableColumn id="2" name="2024" dataDxfId="2366"/>
    <tableColumn id="3" name="2023" dataDxfId="2365"/>
    <tableColumn id="4" name="2022" dataDxfId="2364"/>
    <tableColumn id="5" name="2021" dataDxfId="2363"/>
    <tableColumn id="6" name="2020" dataDxfId="2362"/>
  </tableColumns>
  <tableStyleInfo name="TableStyleMedium10" showFirstColumn="0" showLastColumn="0" showRowStripes="1" showColumnStripes="0"/>
</table>
</file>

<file path=xl/tables/table289.xml><?xml version="1.0" encoding="utf-8"?>
<table xmlns="http://schemas.openxmlformats.org/spreadsheetml/2006/main" id="289" name="TRANSCARTHAE" displayName="TRANSCARTHAE" ref="CT139:CZ151" headerRowCount="1" totalsRowShown="0" headerRowDxfId="2361" dataDxfId="2360">
  <tableColumns count="7">
    <tableColumn id="1" name="MOIS" dataDxfId="2359"/>
    <tableColumn id="7" name="2025" dataDxfId="2358"/>
    <tableColumn id="2" name="2024" dataDxfId="2357" dataCellStyle="Milliers"/>
    <tableColumn id="3" name="2023" dataDxfId="2356"/>
    <tableColumn id="4" name="2022" dataDxfId="2355"/>
    <tableColumn id="5" name="2021" dataDxfId="2354"/>
    <tableColumn id="6" name="2020" dataDxfId="2353"/>
  </tableColumns>
  <tableStyleInfo name="TableStyleMedium11" showFirstColumn="0" showLastColumn="0" showRowStripes="1" showColumnStripes="0"/>
</table>
</file>

<file path=xl/tables/table290.xml><?xml version="1.0" encoding="utf-8"?>
<table xmlns="http://schemas.openxmlformats.org/spreadsheetml/2006/main" id="290" name="TRANSCJEANCLOSP" displayName="TRANSCJEANCLOSP" ref="DJ123:DP135" headerRowCount="1" totalsRowShown="0" headerRowDxfId="2352" dataDxfId="2351">
  <tableColumns count="7">
    <tableColumn id="1" name="MOIS" dataDxfId="2350"/>
    <tableColumn id="7" name="2025" dataDxfId="2349"/>
    <tableColumn id="2" name="2024" dataDxfId="2348"/>
    <tableColumn id="3" name="2023" dataDxfId="2347"/>
    <tableColumn id="4" name="2022" dataDxfId="2346"/>
    <tableColumn id="5" name="2021" dataDxfId="2345"/>
    <tableColumn id="6" name="2020" dataDxfId="2344"/>
  </tableColumns>
  <tableStyleInfo name="TableStyleMedium14" showFirstColumn="0" showLastColumn="0" showRowStripes="1" showColumnStripes="0"/>
</table>
</file>

<file path=xl/tables/table291.xml><?xml version="1.0" encoding="utf-8"?>
<table xmlns="http://schemas.openxmlformats.org/spreadsheetml/2006/main" id="291" name="TRANSCTHOMSP" displayName="TRANSCTHOMSP" ref="DR123:DX135" headerRowCount="1" totalsRowShown="0" headerRowDxfId="2343" dataDxfId="2342">
  <tableColumns count="7">
    <tableColumn id="1" name="MOIS" dataDxfId="2341"/>
    <tableColumn id="7" name="2025" dataDxfId="2340"/>
    <tableColumn id="2" name="2024" dataDxfId="2339"/>
    <tableColumn id="3" name="2023" dataDxfId="2338"/>
    <tableColumn id="4" name="2022" dataDxfId="2337"/>
    <tableColumn id="5" name="2021" dataDxfId="2336"/>
    <tableColumn id="6" name="2020" dataDxfId="2335"/>
  </tableColumns>
  <tableStyleInfo name="TableStyleMedium8" showFirstColumn="0" showLastColumn="0" showRowStripes="1" showColumnStripes="0"/>
</table>
</file>

<file path=xl/tables/table292.xml><?xml version="1.0" encoding="utf-8"?>
<table xmlns="http://schemas.openxmlformats.org/spreadsheetml/2006/main" id="292" name="TRANSCHUGOSP" displayName="TRANSCHUGOSP" ref="DB123:DH135" headerRowCount="1" totalsRowShown="0" headerRowDxfId="2334" dataDxfId="2333">
  <tableColumns count="7">
    <tableColumn id="1" name="MOIS" dataDxfId="2332"/>
    <tableColumn id="7" name="2025" dataDxfId="2331"/>
    <tableColumn id="2" name="2024" dataDxfId="2330"/>
    <tableColumn id="3" name="2023" dataDxfId="2329"/>
    <tableColumn id="4" name="2022" dataDxfId="2328"/>
    <tableColumn id="5" name="2021" dataDxfId="2327"/>
    <tableColumn id="6" name="2020" dataDxfId="2326"/>
  </tableColumns>
  <tableStyleInfo name="TableStyleMedium10" showFirstColumn="0" showLastColumn="0" showRowStripes="1" showColumnStripes="0"/>
</table>
</file>

<file path=xl/tables/table293.xml><?xml version="1.0" encoding="utf-8"?>
<table xmlns="http://schemas.openxmlformats.org/spreadsheetml/2006/main" id="293" name="TRANSCARTHSP" displayName="TRANSCARTHSP" ref="CT123:CZ135" headerRowCount="1" totalsRowShown="0" headerRowDxfId="2325" dataDxfId="2324">
  <tableColumns count="7">
    <tableColumn id="1" name="MOIS" dataDxfId="2323"/>
    <tableColumn id="7" name="2025" dataDxfId="2322"/>
    <tableColumn id="2" name="2024" dataDxfId="2321" dataCellStyle="Milliers"/>
    <tableColumn id="3" name="2023" dataDxfId="2320"/>
    <tableColumn id="4" name="2022" dataDxfId="2319"/>
    <tableColumn id="5" name="2021" dataDxfId="2318"/>
    <tableColumn id="6" name="2020" dataDxfId="2317"/>
  </tableColumns>
  <tableStyleInfo name="TableStyleMedium11" showFirstColumn="0" showLastColumn="0" showRowStripes="1" showColumnStripes="0"/>
</table>
</file>

<file path=xl/tables/table294.xml><?xml version="1.0" encoding="utf-8"?>
<table xmlns="http://schemas.openxmlformats.org/spreadsheetml/2006/main" id="294" name="PMJEANCLOAE" displayName="PMJEANCLOAE" ref="DJ219:DP231" headerRowCount="1" totalsRowShown="0" headerRowDxfId="2316" dataDxfId="2315">
  <tableColumns count="7">
    <tableColumn id="1" name="MOIS" dataDxfId="2314"/>
    <tableColumn id="7" name="2025" dataDxfId="2313"/>
    <tableColumn id="2" name="2024" dataDxfId="2312"/>
    <tableColumn id="3" name="2023" dataDxfId="2311"/>
    <tableColumn id="4" name="2022" dataDxfId="2310"/>
    <tableColumn id="5" name="2021" dataDxfId="2309"/>
    <tableColumn id="6" name="2020" dataDxfId="2308"/>
  </tableColumns>
  <tableStyleInfo name="TableStyleMedium14" showFirstColumn="0" showLastColumn="0" showRowStripes="1" showColumnStripes="0"/>
</table>
</file>

<file path=xl/tables/table295.xml><?xml version="1.0" encoding="utf-8"?>
<table xmlns="http://schemas.openxmlformats.org/spreadsheetml/2006/main" id="295" name="PMTHOMAE" displayName="PMTHOMAE" ref="DR219:DX231" headerRowCount="1" totalsRowShown="0" headerRowDxfId="2307" dataDxfId="2306">
  <tableColumns count="7">
    <tableColumn id="1" name="MOIS" dataDxfId="2305"/>
    <tableColumn id="7" name="2025" dataDxfId="2304"/>
    <tableColumn id="2" name="2024" dataDxfId="2303"/>
    <tableColumn id="3" name="2023" dataDxfId="2302"/>
    <tableColumn id="4" name="2022" dataDxfId="2301"/>
    <tableColumn id="5" name="2021" dataDxfId="2300"/>
    <tableColumn id="6" name="2020" dataDxfId="2299"/>
  </tableColumns>
  <tableStyleInfo name="TableStyleMedium8" showFirstColumn="0" showLastColumn="0" showRowStripes="1" showColumnStripes="0"/>
</table>
</file>

<file path=xl/tables/table296.xml><?xml version="1.0" encoding="utf-8"?>
<table xmlns="http://schemas.openxmlformats.org/spreadsheetml/2006/main" id="296" name="PMHUGOAE" displayName="PMHUGOAE" ref="DB219:DH231" headerRowCount="1" totalsRowShown="0" headerRowDxfId="2298" dataDxfId="2297">
  <tableColumns count="7">
    <tableColumn id="1" name="MOIS" dataDxfId="2296"/>
    <tableColumn id="7" name="2025" dataDxfId="2295"/>
    <tableColumn id="2" name="2024" dataDxfId="2294"/>
    <tableColumn id="3" name="2023" dataDxfId="2293"/>
    <tableColumn id="4" name="2022" dataDxfId="2292"/>
    <tableColumn id="5" name="2021" dataDxfId="2291"/>
    <tableColumn id="6" name="2020" dataDxfId="2290"/>
  </tableColumns>
  <tableStyleInfo name="TableStyleMedium10" showFirstColumn="0" showLastColumn="0" showRowStripes="1" showColumnStripes="0"/>
</table>
</file>

<file path=xl/tables/table297.xml><?xml version="1.0" encoding="utf-8"?>
<table xmlns="http://schemas.openxmlformats.org/spreadsheetml/2006/main" id="297" name="PMARTHAE" displayName="PMARTHAE" ref="CT219:CZ231" headerRowCount="1" totalsRowShown="0" headerRowDxfId="2289" dataDxfId="2288">
  <tableColumns count="7">
    <tableColumn id="1" name="MOIS" dataDxfId="2287"/>
    <tableColumn id="7" name="2025" dataDxfId="2286"/>
    <tableColumn id="2" name="2024" dataDxfId="2285"/>
    <tableColumn id="3" name="2023" dataDxfId="2284"/>
    <tableColumn id="4" name="2022" dataDxfId="2283"/>
    <tableColumn id="5" name="2021" dataDxfId="2282"/>
    <tableColumn id="6" name="2020" dataDxfId="2281"/>
  </tableColumns>
  <tableStyleInfo name="TableStyleMedium11" showFirstColumn="0" showLastColumn="0" showRowStripes="1" showColumnStripes="0"/>
</table>
</file>

<file path=xl/tables/table298.xml><?xml version="1.0" encoding="utf-8"?>
<table xmlns="http://schemas.openxmlformats.org/spreadsheetml/2006/main" id="298" name="PMJEANCLOSP" displayName="PMJEANCLOSP" ref="DJ203:DP215" headerRowCount="1" totalsRowShown="0" headerRowDxfId="2280" dataDxfId="2279">
  <tableColumns count="7">
    <tableColumn id="1" name="MOIS" dataDxfId="2278"/>
    <tableColumn id="7" name="2025" dataDxfId="2277"/>
    <tableColumn id="2" name="2024" dataDxfId="2276"/>
    <tableColumn id="3" name="2023" dataDxfId="2275"/>
    <tableColumn id="4" name="2022" dataDxfId="2274"/>
    <tableColumn id="5" name="2021" dataDxfId="2273"/>
    <tableColumn id="6" name="2020" dataDxfId="2272"/>
  </tableColumns>
  <tableStyleInfo name="TableStyleMedium14" showFirstColumn="0" showLastColumn="0" showRowStripes="1" showColumnStripes="0"/>
</table>
</file>

<file path=xl/tables/table299.xml><?xml version="1.0" encoding="utf-8"?>
<table xmlns="http://schemas.openxmlformats.org/spreadsheetml/2006/main" id="299" name="PMTHOMSP" displayName="PMTHOMSP" ref="DR203:DX215" headerRowCount="1" totalsRowShown="0" headerRowDxfId="2271" dataDxfId="2270">
  <tableColumns count="7">
    <tableColumn id="1" name="MOIS" dataDxfId="2269"/>
    <tableColumn id="7" name="2025" dataDxfId="2268"/>
    <tableColumn id="2" name="2024" dataDxfId="2267"/>
    <tableColumn id="3" name="2023" dataDxfId="2266"/>
    <tableColumn id="4" name="2022" dataDxfId="2265"/>
    <tableColumn id="5" name="2021" dataDxfId="2264"/>
    <tableColumn id="6" name="2020" dataDxfId="2263"/>
  </tableColumns>
  <tableStyleInfo name="TableStyleMedium8" showFirstColumn="0" showLastColumn="0" showRowStripes="1" showColumnStripes="0"/>
</table>
</file>

<file path=xl/tables/table300.xml><?xml version="1.0" encoding="utf-8"?>
<table xmlns="http://schemas.openxmlformats.org/spreadsheetml/2006/main" id="300" name="PMHUGOSP" displayName="PMHUGOSP" ref="DB203:DH215" headerRowCount="1" totalsRowShown="0" headerRowDxfId="2262" dataDxfId="2261">
  <tableColumns count="7">
    <tableColumn id="1" name="MOIS" dataDxfId="2260"/>
    <tableColumn id="7" name="2025" dataDxfId="2259"/>
    <tableColumn id="2" name="2024" dataDxfId="2258"/>
    <tableColumn id="3" name="2023" dataDxfId="2257"/>
    <tableColumn id="4" name="2022" dataDxfId="2256"/>
    <tableColumn id="5" name="2021" dataDxfId="2255"/>
    <tableColumn id="6" name="2020" dataDxfId="2254"/>
  </tableColumns>
  <tableStyleInfo name="TableStyleMedium10" showFirstColumn="0" showLastColumn="0" showRowStripes="1" showColumnStripes="0"/>
</table>
</file>

<file path=xl/tables/table301.xml><?xml version="1.0" encoding="utf-8"?>
<table xmlns="http://schemas.openxmlformats.org/spreadsheetml/2006/main" id="301" name="PMARTHSP" displayName="PMARTHSP" ref="CT203:CZ215" headerRowCount="1" totalsRowShown="0" headerRowDxfId="2253" dataDxfId="2252">
  <tableColumns count="7">
    <tableColumn id="1" name="MOIS" dataDxfId="2251"/>
    <tableColumn id="7" name="2025" dataDxfId="2250"/>
    <tableColumn id="2" name="2024" dataDxfId="2249"/>
    <tableColumn id="3" name="2023" dataDxfId="2248"/>
    <tableColumn id="4" name="2022" dataDxfId="2247"/>
    <tableColumn id="5" name="2021" dataDxfId="2246"/>
    <tableColumn id="6" name="2020" dataDxfId="2245"/>
  </tableColumns>
  <tableStyleInfo name="TableStyleMedium11" showFirstColumn="0" showLastColumn="0" showRowStripes="1" showColumnStripes="0"/>
</table>
</file>

<file path=xl/tables/table302.xml><?xml version="1.0" encoding="utf-8"?>
<table xmlns="http://schemas.openxmlformats.org/spreadsheetml/2006/main" id="302" name="PMCRJEANCLOAE" displayName="PMCRJEANCLOAE" ref="DJ267:DP279" headerRowCount="1" totalsRowShown="0" headerRowDxfId="2244" dataDxfId="2243">
  <tableColumns count="7">
    <tableColumn id="1" name="MOIS" dataDxfId="2242"/>
    <tableColumn id="7" name="2025" dataDxfId="2241">
      <calculatedColumnFormula>AVERAGE(DK220:DK$220)</calculatedColumnFormula>
    </tableColumn>
    <tableColumn id="2" name="2024" dataDxfId="2240"/>
    <tableColumn id="3" name="2023" dataDxfId="2239"/>
    <tableColumn id="4" name="2022" dataDxfId="2238"/>
    <tableColumn id="5" name="2021" dataDxfId="2237"/>
    <tableColumn id="6" name="2020" dataDxfId="2236"/>
  </tableColumns>
  <tableStyleInfo name="TableStyleMedium14" showFirstColumn="0" showLastColumn="0" showRowStripes="1" showColumnStripes="0"/>
</table>
</file>

<file path=xl/tables/table303.xml><?xml version="1.0" encoding="utf-8"?>
<table xmlns="http://schemas.openxmlformats.org/spreadsheetml/2006/main" id="303" name="PMCTHOMAE" displayName="PMCTHOMAE" ref="DR267:DX279" headerRowCount="1" totalsRowShown="0" headerRowDxfId="2235" dataDxfId="2234">
  <tableColumns count="7">
    <tableColumn id="1" name="MOIS" dataDxfId="2233"/>
    <tableColumn id="7" name="2025" dataDxfId="2232">
      <calculatedColumnFormula>AVERAGE(DS220:DS$220)</calculatedColumnFormula>
    </tableColumn>
    <tableColumn id="2" name="2024" dataDxfId="2231"/>
    <tableColumn id="3" name="2023" dataDxfId="2230"/>
    <tableColumn id="4" name="2022" dataDxfId="2229"/>
    <tableColumn id="5" name="2021" dataDxfId="2228"/>
    <tableColumn id="6" name="2020" dataDxfId="2227"/>
  </tableColumns>
  <tableStyleInfo name="TableStyleMedium8" showFirstColumn="0" showLastColumn="0" showRowStripes="1" showColumnStripes="0"/>
</table>
</file>

<file path=xl/tables/table304.xml><?xml version="1.0" encoding="utf-8"?>
<table xmlns="http://schemas.openxmlformats.org/spreadsheetml/2006/main" id="304" name="PMCHUGOAE" displayName="PMCHUGOAE" ref="DB267:DH279" headerRowCount="1" totalsRowShown="0" headerRowDxfId="2226" dataDxfId="2225">
  <tableColumns count="7">
    <tableColumn id="1" name="MOIS" dataDxfId="2224"/>
    <tableColumn id="7" name="2025" dataDxfId="2223">
      <calculatedColumnFormula>AVERAGE(DC220:DC$220)</calculatedColumnFormula>
    </tableColumn>
    <tableColumn id="2" name="2024" dataDxfId="2222"/>
    <tableColumn id="3" name="2023" dataDxfId="2221"/>
    <tableColumn id="4" name="2022" dataDxfId="2220"/>
    <tableColumn id="5" name="2021" dataDxfId="2219"/>
    <tableColumn id="6" name="2020" dataDxfId="2218"/>
  </tableColumns>
  <tableStyleInfo name="TableStyleMedium10" showFirstColumn="0" showLastColumn="0" showRowStripes="1" showColumnStripes="0"/>
</table>
</file>

<file path=xl/tables/table305.xml><?xml version="1.0" encoding="utf-8"?>
<table xmlns="http://schemas.openxmlformats.org/spreadsheetml/2006/main" id="305" name="PMCARTHAE" displayName="PMCARTHAE" ref="CT267:CZ279" headerRowCount="1" totalsRowShown="0" headerRowDxfId="2217" dataDxfId="2216">
  <tableColumns count="7">
    <tableColumn id="1" name="MOIS" dataDxfId="2215"/>
    <tableColumn id="7" name="2025" dataDxfId="2214">
      <calculatedColumnFormula>AVERAGE(CU220:CU$220)</calculatedColumnFormula>
    </tableColumn>
    <tableColumn id="2" name="2024" dataDxfId="2213"/>
    <tableColumn id="3" name="2023" dataDxfId="2212"/>
    <tableColumn id="4" name="2022" dataDxfId="2211"/>
    <tableColumn id="5" name="2021" dataDxfId="2210"/>
    <tableColumn id="6" name="2020" dataDxfId="2209"/>
  </tableColumns>
  <tableStyleInfo name="TableStyleMedium11" showFirstColumn="0" showLastColumn="0" showRowStripes="1" showColumnStripes="0"/>
</table>
</file>

<file path=xl/tables/table306.xml><?xml version="1.0" encoding="utf-8"?>
<table xmlns="http://schemas.openxmlformats.org/spreadsheetml/2006/main" id="306" name="PMCJEANCLOSP" displayName="PMCJEANCLOSP" ref="DJ251:DP263" headerRowCount="1" totalsRowShown="0" headerRowDxfId="2208" dataDxfId="2207">
  <tableColumns count="7">
    <tableColumn id="1" name="MOIS" dataDxfId="2206"/>
    <tableColumn id="7" name="2025" dataDxfId="2205">
      <calculatedColumnFormula>AVERAGE(DK204:DK$204)</calculatedColumnFormula>
    </tableColumn>
    <tableColumn id="2" name="2024" dataDxfId="2204"/>
    <tableColumn id="3" name="2023" dataDxfId="2203"/>
    <tableColumn id="4" name="2022" dataDxfId="2202"/>
    <tableColumn id="5" name="2021" dataDxfId="2201"/>
    <tableColumn id="6" name="2020" dataDxfId="2200"/>
  </tableColumns>
  <tableStyleInfo name="TableStyleMedium14" showFirstColumn="0" showLastColumn="0" showRowStripes="1" showColumnStripes="0"/>
</table>
</file>

<file path=xl/tables/table307.xml><?xml version="1.0" encoding="utf-8"?>
<table xmlns="http://schemas.openxmlformats.org/spreadsheetml/2006/main" id="307" name="PMCTHOMSP" displayName="PMCTHOMSP" ref="DR251:DX263" headerRowCount="1" totalsRowShown="0" headerRowDxfId="2199" dataDxfId="2198">
  <tableColumns count="7">
    <tableColumn id="1" name="MOIS" dataDxfId="2197"/>
    <tableColumn id="7" name="2025" dataDxfId="2196">
      <calculatedColumnFormula>AVERAGE(DS204:DS$204)</calculatedColumnFormula>
    </tableColumn>
    <tableColumn id="2" name="2024" dataDxfId="2195"/>
    <tableColumn id="3" name="2023" dataDxfId="2194"/>
    <tableColumn id="4" name="2022" dataDxfId="2193"/>
    <tableColumn id="5" name="2021" dataDxfId="2192"/>
    <tableColumn id="6" name="2020" dataDxfId="2191"/>
  </tableColumns>
  <tableStyleInfo name="TableStyleMedium8" showFirstColumn="0" showLastColumn="0" showRowStripes="1" showColumnStripes="0"/>
</table>
</file>

<file path=xl/tables/table308.xml><?xml version="1.0" encoding="utf-8"?>
<table xmlns="http://schemas.openxmlformats.org/spreadsheetml/2006/main" id="308" name="PMCHUGOSP" displayName="PMCHUGOSP" ref="DB251:DH263" headerRowCount="1" totalsRowShown="0" headerRowDxfId="2190" dataDxfId="2189">
  <tableColumns count="7">
    <tableColumn id="1" name="MOIS" dataDxfId="2188"/>
    <tableColumn id="7" name="2025" dataDxfId="2187">
      <calculatedColumnFormula>AVERAGE(DC204:DC$204)</calculatedColumnFormula>
    </tableColumn>
    <tableColumn id="2" name="2024" dataDxfId="2186"/>
    <tableColumn id="3" name="2023" dataDxfId="2185"/>
    <tableColumn id="4" name="2022" dataDxfId="2184"/>
    <tableColumn id="5" name="2021" dataDxfId="2183"/>
    <tableColumn id="6" name="2020" dataDxfId="2182"/>
  </tableColumns>
  <tableStyleInfo name="TableStyleMedium10" showFirstColumn="0" showLastColumn="0" showRowStripes="1" showColumnStripes="0"/>
</table>
</file>

<file path=xl/tables/table309.xml><?xml version="1.0" encoding="utf-8"?>
<table xmlns="http://schemas.openxmlformats.org/spreadsheetml/2006/main" id="309" name="PMCARTHMP" displayName="PMCARTHMP" ref="CT251:CZ263" headerRowCount="1" totalsRowShown="0" headerRowDxfId="2181" dataDxfId="2180">
  <tableColumns count="7">
    <tableColumn id="1" name="MOIS" dataDxfId="2179"/>
    <tableColumn id="7" name="2025" dataDxfId="2178">
      <calculatedColumnFormula>AVERAGE(CU204:CU$204)</calculatedColumnFormula>
    </tableColumn>
    <tableColumn id="2" name="2024" dataDxfId="2177"/>
    <tableColumn id="3" name="2023" dataDxfId="2176"/>
    <tableColumn id="4" name="2022" dataDxfId="2175"/>
    <tableColumn id="5" name="2021" dataDxfId="2174"/>
    <tableColumn id="6" name="2020" dataDxfId="2173"/>
  </tableColumns>
  <tableStyleInfo name="TableStyleMedium11" showFirstColumn="0" showLastColumn="0" showRowStripes="1" showColumnStripes="0"/>
</table>
</file>

<file path=xl/tables/table310.xml><?xml version="1.0" encoding="utf-8"?>
<table xmlns="http://schemas.openxmlformats.org/spreadsheetml/2006/main" id="310" name="CACAT" displayName="CACAT" ref="DZ11:EF23" headerRowCount="1" totalsRowShown="0" headerRowDxfId="2172" dataDxfId="2171">
  <tableColumns count="7">
    <tableColumn id="1" name="MOIS" dataDxfId="2170"/>
    <tableColumn id="7" name="2025" dataDxfId="2169"/>
    <tableColumn id="2" name="2024" dataDxfId="2168"/>
    <tableColumn id="3" name="2023" dataDxfId="2167"/>
    <tableColumn id="4" name="2022" dataDxfId="2166"/>
    <tableColumn id="5" name="2021" dataDxfId="2165"/>
    <tableColumn id="6" name="2020" dataDxfId="2164"/>
  </tableColumns>
  <tableStyleInfo name="TableStyleMedium8" showFirstColumn="0" showLastColumn="0" showRowStripes="1" showColumnStripes="0"/>
</table>
</file>

<file path=xl/tables/table311.xml><?xml version="1.0" encoding="utf-8"?>
<table xmlns="http://schemas.openxmlformats.org/spreadsheetml/2006/main" id="311" name="PLCAT" displayName="PLCAT" ref="DZ27:EF39" headerRowCount="1" totalsRowShown="0" headerRowDxfId="2163" dataDxfId="2162">
  <tableColumns count="7">
    <tableColumn id="1" name="MOIS" dataDxfId="2161"/>
    <tableColumn id="7" name="2025" dataDxfId="2160">
      <calculatedColumnFormula>EA12</calculatedColumnFormula>
    </tableColumn>
    <tableColumn id="2" name="2024" dataDxfId="2159"/>
    <tableColumn id="3" name="2023" dataDxfId="2158"/>
    <tableColumn id="4" name="2022" dataDxfId="2157"/>
    <tableColumn id="5" name="2021" dataDxfId="2156"/>
    <tableColumn id="6" name="2020" dataDxfId="2155"/>
  </tableColumns>
  <tableStyleInfo name="TableStyleMedium8" showFirstColumn="0" showLastColumn="0" showRowStripes="1" showColumnStripes="0"/>
</table>
</file>

<file path=xl/tables/table312.xml><?xml version="1.0" encoding="utf-8"?>
<table xmlns="http://schemas.openxmlformats.org/spreadsheetml/2006/main" id="312" name="TRANSCAT" displayName="TRANSCAT" ref="DZ107:EF119" headerRowCount="1" totalsRowShown="0" headerRowDxfId="2154" dataDxfId="2153">
  <tableColumns count="7">
    <tableColumn id="1" name="MOIS" dataDxfId="2152"/>
    <tableColumn id="7" name="2025" dataDxfId="2151">
      <calculatedColumnFormula>+EA92+EA76+EA60+EA44</calculatedColumnFormula>
    </tableColumn>
    <tableColumn id="2" name="2024" dataDxfId="2150"/>
    <tableColumn id="3" name="2023" dataDxfId="2149"/>
    <tableColumn id="4" name="2022" dataDxfId="2148"/>
    <tableColumn id="5" name="2021" dataDxfId="2147"/>
    <tableColumn id="6" name="2020" dataDxfId="2146"/>
  </tableColumns>
  <tableStyleInfo name="TableStyleMedium8" showFirstColumn="0" showLastColumn="0" showRowStripes="1" showColumnStripes="0"/>
</table>
</file>

<file path=xl/tables/table313.xml><?xml version="1.0" encoding="utf-8"?>
<table xmlns="http://schemas.openxmlformats.org/spreadsheetml/2006/main" id="313" name="PMCAT" displayName="PMCAT" ref="DZ235:EF247" headerRowCount="1" totalsRowShown="0" headerRowDxfId="2145" dataDxfId="2144">
  <tableColumns count="7">
    <tableColumn id="1" name="MOIS" dataDxfId="2143"/>
    <tableColumn id="7" name="2025" dataDxfId="2142"/>
    <tableColumn id="2" name="2024" dataDxfId="2141"/>
    <tableColumn id="3" name="2023" dataDxfId="2140"/>
    <tableColumn id="4" name="2022" dataDxfId="2139"/>
    <tableColumn id="5" name="2021" dataDxfId="2138"/>
    <tableColumn id="6" name="2020" dataDxfId="2137"/>
  </tableColumns>
  <tableStyleInfo name="TableStyleMedium8" showFirstColumn="0" showLastColumn="0" showRowStripes="1" showColumnStripes="0"/>
</table>
</file>

<file path=xl/tables/table314.xml><?xml version="1.0" encoding="utf-8"?>
<table xmlns="http://schemas.openxmlformats.org/spreadsheetml/2006/main" id="314" name="TRESOCAT" displayName="TRESOCAT" ref="DZ299:EF311" headerRowCount="1" totalsRowShown="0" headerRowDxfId="2136" dataDxfId="2135">
  <tableColumns count="7">
    <tableColumn id="1" name="MOIS" dataDxfId="2134"/>
    <tableColumn id="7" name="2025" dataDxfId="4">
      <calculatedColumnFormula>73.55233-2.70641</calculatedColumnFormula>
    </tableColumn>
    <tableColumn id="2" name="2024" dataDxfId="2133"/>
    <tableColumn id="3" name="2023" dataDxfId="2132"/>
    <tableColumn id="4" name="2022" dataDxfId="2131"/>
    <tableColumn id="5" name="2021" dataDxfId="2130"/>
    <tableColumn id="6" name="2020" dataDxfId="2129"/>
  </tableColumns>
  <tableStyleInfo name="TableStyleMedium8" showFirstColumn="0" showLastColumn="0" showRowStripes="1" showColumnStripes="0"/>
</table>
</file>

<file path=xl/tables/table315.xml><?xml version="1.0" encoding="utf-8"?>
<table xmlns="http://schemas.openxmlformats.org/spreadsheetml/2006/main" id="315" name="TRANSCCAT" displayName="TRANSCCAT" ref="DZ187:EF199" headerRowCount="1" totalsRowShown="0" headerRowDxfId="2128" dataDxfId="2127">
  <tableColumns count="7">
    <tableColumn id="1" name="MOIS" dataDxfId="2126"/>
    <tableColumn id="7" name="2025" dataDxfId="2125"/>
    <tableColumn id="2" name="2024" dataDxfId="2124"/>
    <tableColumn id="3" name="2023" dataDxfId="2123"/>
    <tableColumn id="4" name="2022" dataDxfId="2122"/>
    <tableColumn id="5" name="2021" dataDxfId="2121"/>
    <tableColumn id="6" name="2020" dataDxfId="2120"/>
  </tableColumns>
  <tableStyleInfo name="TableStyleMedium8" showFirstColumn="0" showLastColumn="0" showRowStripes="1" showColumnStripes="0"/>
</table>
</file>

<file path=xl/tables/table316.xml><?xml version="1.0" encoding="utf-8"?>
<table xmlns="http://schemas.openxmlformats.org/spreadsheetml/2006/main" id="316" name="PMCCAT" displayName="PMCCAT" ref="DZ283:EF295" headerRowCount="1" totalsRowShown="0" headerRowDxfId="2119" dataDxfId="2118">
  <tableColumns count="7">
    <tableColumn id="1" name="MOIS" dataDxfId="2117"/>
    <tableColumn id="7" name="2025" dataDxfId="2116">
      <calculatedColumnFormula>AVERAGE(EA$236:EA236)</calculatedColumnFormula>
    </tableColumn>
    <tableColumn id="2" name="2024" dataDxfId="2115"/>
    <tableColumn id="3" name="2023" dataDxfId="2114"/>
    <tableColumn id="4" name="2022" dataDxfId="2113"/>
    <tableColumn id="5" name="2021" dataDxfId="2112"/>
    <tableColumn id="6" name="2020" dataDxfId="2111"/>
  </tableColumns>
  <tableStyleInfo name="TableStyleMedium8" showFirstColumn="0" showLastColumn="0" showRowStripes="1" showColumnStripes="0"/>
</table>
</file>

<file path=xl/tables/table317.xml><?xml version="1.0" encoding="utf-8"?>
<table xmlns="http://schemas.openxmlformats.org/spreadsheetml/2006/main" id="317" name="TRANSCATK" displayName="TRANSCATK" ref="DZ91:EF103" headerRowCount="1" totalsRowShown="0" headerRowDxfId="2110" dataDxfId="2109">
  <tableColumns count="7">
    <tableColumn id="1" name="MOIS" dataDxfId="2108"/>
    <tableColumn id="7" name="2025" dataDxfId="2107"/>
    <tableColumn id="2" name="2024" dataDxfId="2106"/>
    <tableColumn id="3" name="2023" dataDxfId="2105"/>
    <tableColumn id="4" name="2022" dataDxfId="2104"/>
    <tableColumn id="5" name="2021" dataDxfId="2103"/>
    <tableColumn id="6" name="2020" dataDxfId="2102"/>
  </tableColumns>
  <tableStyleInfo name="TableStyleMedium8" showFirstColumn="0" showLastColumn="0" showRowStripes="1" showColumnStripes="0"/>
</table>
</file>

<file path=xl/tables/table318.xml><?xml version="1.0" encoding="utf-8"?>
<table xmlns="http://schemas.openxmlformats.org/spreadsheetml/2006/main" id="318" name="TRANSCATMC" displayName="TRANSCATMC" ref="DZ75:EF87" headerRowCount="1" totalsRowShown="0" headerRowDxfId="2101" dataDxfId="2100">
  <tableColumns count="7">
    <tableColumn id="1" name="MOIS" dataDxfId="2099"/>
    <tableColumn id="7" name="2025" dataDxfId="2098"/>
    <tableColumn id="2" name="2024" dataDxfId="2097"/>
    <tableColumn id="3" name="2023" dataDxfId="2096"/>
    <tableColumn id="4" name="2022" dataDxfId="2095"/>
    <tableColumn id="5" name="2021" dataDxfId="2094"/>
    <tableColumn id="6" name="2020" dataDxfId="2093"/>
  </tableColumns>
  <tableStyleInfo name="TableStyleMedium8" showFirstColumn="0" showLastColumn="0" showRowStripes="1" showColumnStripes="0"/>
</table>
</file>

<file path=xl/tables/table319.xml><?xml version="1.0" encoding="utf-8"?>
<table xmlns="http://schemas.openxmlformats.org/spreadsheetml/2006/main" id="319" name="TRANSCATE" displayName="TRANSCATE" ref="DZ59:EF71" headerRowCount="1" totalsRowShown="0" headerRowDxfId="2092" dataDxfId="2091">
  <tableColumns count="7">
    <tableColumn id="1" name="MOIS" dataDxfId="2090"/>
    <tableColumn id="7" name="2025" dataDxfId="2089">
      <calculatedColumnFormula>5571-2547</calculatedColumnFormula>
    </tableColumn>
    <tableColumn id="2" name="2024" dataDxfId="2088"/>
    <tableColumn id="3" name="2023" dataDxfId="2087"/>
    <tableColumn id="4" name="2022" dataDxfId="2086"/>
    <tableColumn id="5" name="2021" dataDxfId="2085"/>
    <tableColumn id="6" name="2020" dataDxfId="2084"/>
  </tableColumns>
  <tableStyleInfo name="TableStyleMedium8" showFirstColumn="0" showLastColumn="0" showRowStripes="1" showColumnStripes="0"/>
</table>
</file>

<file path=xl/tables/table320.xml><?xml version="1.0" encoding="utf-8"?>
<table xmlns="http://schemas.openxmlformats.org/spreadsheetml/2006/main" id="320" name="TRANSCATP" displayName="TRANSCATP" ref="DZ43:EF55" headerRowCount="1" totalsRowShown="0" headerRowDxfId="2083" dataDxfId="2082">
  <tableColumns count="7">
    <tableColumn id="1" name="MOIS" dataDxfId="2081"/>
    <tableColumn id="7" name="2025" dataDxfId="2080">
      <calculatedColumnFormula>1826-3060</calculatedColumnFormula>
    </tableColumn>
    <tableColumn id="2" name="2024" dataDxfId="2079"/>
    <tableColumn id="3" name="2023" dataDxfId="2078"/>
    <tableColumn id="4" name="2022" dataDxfId="2077"/>
    <tableColumn id="5" name="2021" dataDxfId="2076"/>
    <tableColumn id="6" name="2020" dataDxfId="2075"/>
  </tableColumns>
  <tableStyleInfo name="TableStyleMedium8" showFirstColumn="0" showLastColumn="0" showRowStripes="1" showColumnStripes="0"/>
</table>
</file>

<file path=xl/tables/table321.xml><?xml version="1.0" encoding="utf-8"?>
<table xmlns="http://schemas.openxmlformats.org/spreadsheetml/2006/main" id="321" name="TRANSCCATK" displayName="TRANSCCATK" ref="DZ171:EF183" headerRowCount="1" totalsRowShown="0" headerRowDxfId="2074" dataDxfId="2073">
  <tableColumns count="7">
    <tableColumn id="1" name="MOIS" dataDxfId="2072"/>
    <tableColumn id="7" name="2025" dataDxfId="2071" dataCellStyle="Milliers">
      <calculatedColumnFormula>EA171+EA92</calculatedColumnFormula>
    </tableColumn>
    <tableColumn id="2" name="2024" dataDxfId="2070"/>
    <tableColumn id="3" name="2023" dataDxfId="2069"/>
    <tableColumn id="4" name="2022" dataDxfId="2068"/>
    <tableColumn id="5" name="2021" dataDxfId="2067"/>
    <tableColumn id="6" name="2020" dataDxfId="2066"/>
  </tableColumns>
  <tableStyleInfo name="TableStyleMedium8" showFirstColumn="0" showLastColumn="0" showRowStripes="1" showColumnStripes="0"/>
</table>
</file>

<file path=xl/tables/table322.xml><?xml version="1.0" encoding="utf-8"?>
<table xmlns="http://schemas.openxmlformats.org/spreadsheetml/2006/main" id="322" name="TRANSCCATMC" displayName="TRANSCCATMC" ref="DZ155:EF167" headerRowCount="1" totalsRowShown="0" headerRowDxfId="2065" dataDxfId="2064">
  <tableColumns count="7">
    <tableColumn id="1" name="MOIS" dataDxfId="2063"/>
    <tableColumn id="7" name="2025" dataDxfId="2062"/>
    <tableColumn id="2" name="2024" dataDxfId="2061"/>
    <tableColumn id="3" name="2023" dataDxfId="2060"/>
    <tableColumn id="4" name="2022" dataDxfId="2059"/>
    <tableColumn id="5" name="2021" dataDxfId="2058"/>
    <tableColumn id="6" name="2020" dataDxfId="2057"/>
  </tableColumns>
  <tableStyleInfo name="TableStyleMedium8" showFirstColumn="0" showLastColumn="0" showRowStripes="1" showColumnStripes="0"/>
</table>
</file>

<file path=xl/tables/table323.xml><?xml version="1.0" encoding="utf-8"?>
<table xmlns="http://schemas.openxmlformats.org/spreadsheetml/2006/main" id="323" name="TRANSCCATE" displayName="TRANSCCATE" ref="DZ139:EF151" headerRowCount="1" totalsRowShown="0" headerRowDxfId="2056" dataDxfId="2055">
  <tableColumns count="7">
    <tableColumn id="1" name="MOIS" dataDxfId="2054"/>
    <tableColumn id="7" name="2025" dataDxfId="2053">
      <calculatedColumnFormula>EA60</calculatedColumnFormula>
    </tableColumn>
    <tableColumn id="2" name="2024" dataDxfId="2052"/>
    <tableColumn id="3" name="2023" dataDxfId="2051"/>
    <tableColumn id="4" name="2022" dataDxfId="2050"/>
    <tableColumn id="5" name="2021" dataDxfId="2049"/>
    <tableColumn id="6" name="2020" dataDxfId="2048"/>
  </tableColumns>
  <tableStyleInfo name="TableStyleMedium8" showFirstColumn="0" showLastColumn="0" showRowStripes="1" showColumnStripes="0"/>
</table>
</file>

<file path=xl/tables/table324.xml><?xml version="1.0" encoding="utf-8"?>
<table xmlns="http://schemas.openxmlformats.org/spreadsheetml/2006/main" id="324" name="TRANSCCATSP" displayName="TRANSCCATSP" ref="DZ123:EF135" headerRowCount="1" totalsRowShown="0" headerRowDxfId="2047" dataDxfId="2046">
  <tableColumns count="7">
    <tableColumn id="1" name="MOIS" dataDxfId="2045"/>
    <tableColumn id="7" name="2025" dataDxfId="2044"/>
    <tableColumn id="2" name="2024" dataDxfId="2043"/>
    <tableColumn id="3" name="2023" dataDxfId="2042"/>
    <tableColumn id="4" name="2022" dataDxfId="2041"/>
    <tableColumn id="5" name="2021" dataDxfId="2040"/>
    <tableColumn id="6" name="2020" dataDxfId="2039"/>
  </tableColumns>
  <tableStyleInfo name="TableStyleMedium8" showFirstColumn="0" showLastColumn="0" showRowStripes="1" showColumnStripes="0"/>
</table>
</file>

<file path=xl/tables/table325.xml><?xml version="1.0" encoding="utf-8"?>
<table xmlns="http://schemas.openxmlformats.org/spreadsheetml/2006/main" id="325" name="PMCATE" displayName="PMCATE" ref="DZ219:EF231" headerRowCount="1" totalsRowShown="0" headerRowDxfId="2038" dataDxfId="2037">
  <tableColumns count="7">
    <tableColumn id="1" name="MOIS" dataDxfId="2036"/>
    <tableColumn id="7" name="2025" dataDxfId="2035"/>
    <tableColumn id="2" name="2024" dataDxfId="2034"/>
    <tableColumn id="3" name="2023" dataDxfId="2033"/>
    <tableColumn id="4" name="2022" dataDxfId="2032"/>
    <tableColumn id="5" name="2021" dataDxfId="2031"/>
    <tableColumn id="6" name="2020" dataDxfId="2030"/>
  </tableColumns>
  <tableStyleInfo name="TableStyleMedium8" showFirstColumn="0" showLastColumn="0" showRowStripes="1" showColumnStripes="0"/>
</table>
</file>

<file path=xl/tables/table326.xml><?xml version="1.0" encoding="utf-8"?>
<table xmlns="http://schemas.openxmlformats.org/spreadsheetml/2006/main" id="326" name="PMCATSP" displayName="PMCATSP" ref="DZ203:EF215" headerRowCount="1" totalsRowShown="0" headerRowDxfId="2029" dataDxfId="2028">
  <tableColumns count="7">
    <tableColumn id="1" name="MOIS" dataDxfId="2027"/>
    <tableColumn id="7" name="2025" dataDxfId="2026"/>
    <tableColumn id="2" name="2024" dataDxfId="2025"/>
    <tableColumn id="3" name="2023" dataDxfId="2024"/>
    <tableColumn id="4" name="2022" dataDxfId="2023"/>
    <tableColumn id="5" name="2021" dataDxfId="2022"/>
    <tableColumn id="6" name="2020" dataDxfId="2021"/>
  </tableColumns>
  <tableStyleInfo name="TableStyleMedium8" showFirstColumn="0" showLastColumn="0" showRowStripes="1" showColumnStripes="0"/>
</table>
</file>

<file path=xl/tables/table327.xml><?xml version="1.0" encoding="utf-8"?>
<table xmlns="http://schemas.openxmlformats.org/spreadsheetml/2006/main" id="327" name="PMCCATE" displayName="PMCCATE" ref="DZ267:EF279" headerRowCount="1" totalsRowShown="0" headerRowDxfId="2020" dataDxfId="2019">
  <tableColumns count="7">
    <tableColumn id="1" name="MOIS" dataDxfId="2018"/>
    <tableColumn id="7" name="2025" dataDxfId="2017">
      <calculatedColumnFormula>AVERAGE(EA220:EA$220)</calculatedColumnFormula>
    </tableColumn>
    <tableColumn id="2" name="2024" dataDxfId="2016"/>
    <tableColumn id="3" name="2023" dataDxfId="2015"/>
    <tableColumn id="4" name="2022" dataDxfId="2014"/>
    <tableColumn id="5" name="2021" dataDxfId="2013"/>
    <tableColumn id="6" name="2020" dataDxfId="2012"/>
  </tableColumns>
  <tableStyleInfo name="TableStyleMedium8" showFirstColumn="0" showLastColumn="0" showRowStripes="1" showColumnStripes="0"/>
</table>
</file>

<file path=xl/tables/table328.xml><?xml version="1.0" encoding="utf-8"?>
<table xmlns="http://schemas.openxmlformats.org/spreadsheetml/2006/main" id="328" name="PMCCATSP" displayName="PMCCATSP" ref="DZ251:EF263" headerRowCount="1" totalsRowShown="0" headerRowDxfId="2011" dataDxfId="2010">
  <tableColumns count="7">
    <tableColumn id="1" name="MOIS" dataDxfId="2009"/>
    <tableColumn id="7" name="2025" dataDxfId="2008">
      <calculatedColumnFormula>AVERAGE(EA204:EA$204)</calculatedColumnFormula>
    </tableColumn>
    <tableColumn id="2" name="2024" dataDxfId="2007"/>
    <tableColumn id="3" name="2023" dataDxfId="2006"/>
    <tableColumn id="4" name="2022" dataDxfId="2005"/>
    <tableColumn id="5" name="2021" dataDxfId="2004"/>
    <tableColumn id="6" name="2020" dataDxfId="2003"/>
  </tableColumns>
  <tableStyleInfo name="TableStyleMedium8" showFirstColumn="0" showLastColumn="0" showRowStripes="1" showColumnStripes="0"/>
</table>
</file>

<file path=xl/tables/table329.xml><?xml version="1.0" encoding="utf-8"?>
<table xmlns="http://schemas.openxmlformats.org/spreadsheetml/2006/main" id="329" name="SOMMAIRE" displayName="SOMMAIRE" ref="B19:D35" headerRowCount="1" totalsRowShown="0" headerRowDxfId="2002" dataDxfId="2001">
  <tableColumns count="3">
    <tableColumn id="1" name="Restaurant" dataDxfId="2000"/>
    <tableColumn id="3" name="P&amp;L mensuels" dataDxfId="1999"/>
    <tableColumn id="5" name="P&amp;L cumulés" dataDxfId="1998"/>
  </tableColumns>
  <tableStyleInfo name="TableStyleMedium13" showFirstColumn="0" showLastColumn="0" showRowStripes="1" showColumnStripes="0"/>
</table>
</file>

<file path=xl/tables/table330.xml><?xml version="1.0" encoding="utf-8"?>
<table xmlns="http://schemas.openxmlformats.org/spreadsheetml/2006/main" id="330" name="SOMMAIRE2" displayName="SOMMAIRE2" ref="B39:D43" headerRowCount="1" totalsRowShown="0" headerRowDxfId="1997" dataDxfId="1996">
  <tableColumns count="3">
    <tableColumn id="1" name="Restaurant" dataDxfId="1995"/>
    <tableColumn id="3" name="Prévisions mensuelles" dataDxfId="1994"/>
    <tableColumn id="5" name="Prévisions annuelles" dataDxfId="1993"/>
  </tableColumns>
  <tableStyleInfo name="TableStyleMedium13" showFirstColumn="0" showLastColumn="0" showRowStripes="1" showColumnStripes="0"/>
</table>
</file>

<file path=xl/tables/table331.xml><?xml version="1.0" encoding="utf-8"?>
<table xmlns="http://schemas.openxmlformats.org/spreadsheetml/2006/main" id="331" name="TRESON" displayName="TRESON" ref="A5:M23" headerRowCount="1" totalsRowCount="1" headerRowDxfId="1992" dataDxfId="1991" totalsRowDxfId="1990">
  <tableColumns count="13">
    <tableColumn id="1" name="TRÉSORERIE 2024 (EN K€)" totalsRowLabel="       GLOBAL 2024        " dataDxfId="1989" totalsRowDxfId="1988"/>
    <tableColumn id="2" name="JANV." totalsRowFunction="custom" dataDxfId="1987" totalsRowDxfId="1986">
      <totalsRowFormula>+SUM(B17:B22)</totalsRowFormula>
    </tableColumn>
    <tableColumn id="3" name="FÉV." totalsRowFunction="custom" dataDxfId="1985" totalsRowDxfId="1984">
      <totalsRowFormula>+SUM(C17:C22)</totalsRowFormula>
    </tableColumn>
    <tableColumn id="4" name="MARS" totalsRowFunction="custom" dataDxfId="1983" totalsRowDxfId="1982">
      <totalsRowFormula>+SUM(D17:D22)</totalsRowFormula>
    </tableColumn>
    <tableColumn id="5" name="AVRIL" totalsRowFunction="custom" dataDxfId="1981" totalsRowDxfId="1980">
      <totalsRowFormula>+SUM(E17:E22)</totalsRowFormula>
    </tableColumn>
    <tableColumn id="6" name="MAI" totalsRowFunction="custom" dataDxfId="1979" totalsRowDxfId="1978">
      <totalsRowFormula>+SUM(F17:F22)</totalsRowFormula>
    </tableColumn>
    <tableColumn id="7" name="JUIN" totalsRowFunction="custom" dataDxfId="1977" totalsRowDxfId="1976">
      <totalsRowFormula>+SUM(G17:G22)</totalsRowFormula>
    </tableColumn>
    <tableColumn id="8" name="JUILL." totalsRowFunction="custom" dataDxfId="1975" totalsRowDxfId="1974">
      <totalsRowFormula>+SUM(H17:H22)</totalsRowFormula>
    </tableColumn>
    <tableColumn id="9" name="AOÛT" totalsRowFunction="custom" dataDxfId="1973" totalsRowDxfId="1972">
      <totalsRowFormula>+SUM(I17:I22)</totalsRowFormula>
    </tableColumn>
    <tableColumn id="10" name="SEPT." totalsRowFunction="custom" dataDxfId="1971" totalsRowDxfId="1970">
      <totalsRowFormula>+SUM(J17:J22)</totalsRowFormula>
    </tableColumn>
    <tableColumn id="11" name="OCT." totalsRowFunction="custom" dataDxfId="1969" totalsRowDxfId="1968">
      <totalsRowFormula>+SUM(K17:K22)</totalsRowFormula>
    </tableColumn>
    <tableColumn id="12" name="NOV." totalsRowFunction="custom" dataDxfId="1967" totalsRowDxfId="1966">
      <totalsRowFormula>+SUM(L17:L22)</totalsRowFormula>
    </tableColumn>
    <tableColumn id="13" name="DÉC." totalsRowFunction="custom" dataDxfId="1965" totalsRowDxfId="1964">
      <totalsRowFormula>+SUM(M17:M22)</totalsRowFormula>
    </tableColumn>
  </tableColumns>
  <tableStyleInfo name="TableStyleMedium10" showFirstColumn="0" showLastColumn="0" showRowStripes="1" showColumnStripes="0"/>
</table>
</file>

<file path=xl/tables/table332.xml><?xml version="1.0" encoding="utf-8"?>
<table xmlns="http://schemas.openxmlformats.org/spreadsheetml/2006/main" id="332" name="TRESON1" displayName="TRESON1" ref="A26:M38" headerRowCount="1" totalsRowCount="1" headerRowDxfId="1963" dataDxfId="1962" totalsRowDxfId="1961">
  <tableColumns count="13">
    <tableColumn id="1" name="TRÉSORERIE 2023 (EN K€)" totalsRowLabel="         GLOBAL 2023         " dataDxfId="1960" totalsRowDxfId="1959"/>
    <tableColumn id="2" name="JANV." totalsRowFunction="sum" dataDxfId="1958" totalsRowDxfId="1957"/>
    <tableColumn id="3" name="FÉV." totalsRowFunction="sum" dataDxfId="1956" totalsRowDxfId="1955"/>
    <tableColumn id="4" name="MARS" totalsRowFunction="sum" dataDxfId="1954" totalsRowDxfId="1953"/>
    <tableColumn id="5" name="AVRIL" totalsRowFunction="sum" dataDxfId="1952" totalsRowDxfId="1951"/>
    <tableColumn id="6" name="MAI" totalsRowFunction="sum" dataDxfId="1950" totalsRowDxfId="1949"/>
    <tableColumn id="7" name="JUIN" totalsRowFunction="sum" dataDxfId="1948" totalsRowDxfId="1947"/>
    <tableColumn id="8" name="JUILL." totalsRowFunction="sum" dataDxfId="1946" totalsRowDxfId="1945"/>
    <tableColumn id="9" name="AOÛT" totalsRowFunction="sum" dataDxfId="1944" totalsRowDxfId="1943"/>
    <tableColumn id="10" name="SEPT." totalsRowFunction="sum" dataDxfId="1942" totalsRowDxfId="1941"/>
    <tableColumn id="11" name="OCT." totalsRowFunction="sum" dataDxfId="1940" totalsRowDxfId="1939"/>
    <tableColumn id="12" name="NOV." totalsRowFunction="sum" dataDxfId="1938" totalsRowDxfId="1937"/>
    <tableColumn id="13" name="DÉC." totalsRowFunction="sum" dataDxfId="1936" totalsRowDxfId="1935"/>
  </tableColumns>
  <tableStyleInfo name="TableStyleMedium13" showFirstColumn="0" showLastColumn="0" showRowStripes="1" showColumnStripes="0"/>
</table>
</file>

<file path=xl/tables/table333.xml><?xml version="1.0" encoding="utf-8"?>
<table xmlns="http://schemas.openxmlformats.org/spreadsheetml/2006/main" id="333" name="TRESON2" displayName="TRESON2" ref="A41:M53" headerRowCount="1" totalsRowCount="1" headerRowDxfId="1934" dataDxfId="1933" totalsRowDxfId="1932">
  <tableColumns count="13">
    <tableColumn id="1" name="TRÉSORERIE 2022 (EN K€)" totalsRowLabel="       GLOBAL 2022       " dataDxfId="1931" totalsRowDxfId="1930"/>
    <tableColumn id="2" name="JANV." totalsRowFunction="sum" dataDxfId="1929" totalsRowDxfId="1928"/>
    <tableColumn id="3" name="FÉV." totalsRowFunction="sum" dataDxfId="1927" totalsRowDxfId="1926"/>
    <tableColumn id="4" name="MARS" totalsRowFunction="sum" dataDxfId="1925" totalsRowDxfId="1924"/>
    <tableColumn id="5" name="AVRIL" totalsRowFunction="sum" dataDxfId="1923" totalsRowDxfId="1922"/>
    <tableColumn id="6" name="MAI" totalsRowFunction="sum" dataDxfId="1921" totalsRowDxfId="1920"/>
    <tableColumn id="7" name="JUIN" totalsRowFunction="sum" dataDxfId="1919" totalsRowDxfId="1918"/>
    <tableColumn id="8" name="JUILL." totalsRowFunction="sum" dataDxfId="1917" totalsRowDxfId="1916"/>
    <tableColumn id="9" name="AOÛT" totalsRowFunction="sum" dataDxfId="1915" totalsRowDxfId="1914"/>
    <tableColumn id="10" name="SEPT." totalsRowFunction="sum" dataDxfId="1913" totalsRowDxfId="1912"/>
    <tableColumn id="11" name="OCT." totalsRowFunction="sum" dataDxfId="1911" totalsRowDxfId="1910"/>
    <tableColumn id="12" name="NOV." totalsRowFunction="sum" dataDxfId="1909" totalsRowDxfId="1908"/>
    <tableColumn id="13" name="DÉC." totalsRowFunction="sum" dataDxfId="1907" totalsRowDxfId="1906"/>
  </tableColumns>
  <tableStyleInfo name="TableStyleMedium11" showFirstColumn="0" showLastColumn="0" showRowStripes="1" showColumnStripes="0"/>
</table>
</file>

<file path=xl/tables/table334.xml><?xml version="1.0" encoding="utf-8"?>
<table xmlns="http://schemas.openxmlformats.org/spreadsheetml/2006/main" id="334" name="TRESON3" displayName="TRESON3" ref="A56:M68" headerRowCount="1" totalsRowCount="1" headerRowDxfId="1905" dataDxfId="1904" totalsRowDxfId="1903">
  <tableColumns count="13">
    <tableColumn id="1" name="TRÉSORERIE 2021 (EN K€)" totalsRowLabel="        GLOBAL 2021         " dataDxfId="1902" totalsRowDxfId="1901"/>
    <tableColumn id="2" name="JANV." totalsRowFunction="sum" dataDxfId="1900" totalsRowDxfId="1899"/>
    <tableColumn id="3" name="FÉV." totalsRowFunction="sum" dataDxfId="1898" totalsRowDxfId="1897"/>
    <tableColumn id="4" name="MARS" totalsRowFunction="sum" dataDxfId="1896" totalsRowDxfId="1895"/>
    <tableColumn id="5" name="AVRIL" totalsRowFunction="sum" dataDxfId="1894" totalsRowDxfId="1893"/>
    <tableColumn id="6" name="MAI" totalsRowFunction="sum" dataDxfId="1892" totalsRowDxfId="1891"/>
    <tableColumn id="7" name="JUIN" totalsRowFunction="sum" dataDxfId="1890" totalsRowDxfId="1889"/>
    <tableColumn id="8" name="JUILL." totalsRowFunction="sum" dataDxfId="1888" totalsRowDxfId="1887"/>
    <tableColumn id="9" name="AOÛT" totalsRowFunction="sum" dataDxfId="1886" totalsRowDxfId="1885"/>
    <tableColumn id="10" name="SEPT." totalsRowFunction="sum" dataDxfId="1884" totalsRowDxfId="1883"/>
    <tableColumn id="11" name="OCT." totalsRowFunction="sum" dataDxfId="1882" totalsRowDxfId="1881"/>
    <tableColumn id="12" name="NOV." totalsRowFunction="sum" dataDxfId="1880" totalsRowDxfId="1879"/>
    <tableColumn id="13" name="DÉC." totalsRowFunction="sum" dataDxfId="1878" totalsRowDxfId="1877"/>
  </tableColumns>
  <tableStyleInfo name="TableStyleMedium8" showFirstColumn="0" showLastColumn="0" showRowStripes="1" showColumnStripes="0"/>
</table>
</file>

<file path=xl/tables/table335.xml><?xml version="1.0" encoding="utf-8"?>
<table xmlns="http://schemas.openxmlformats.org/spreadsheetml/2006/main" id="335" name="TRDR314" displayName="TRDR314" ref="A143:Q155" headerRowCount="1" headerRowDxfId="1876" dataDxfId="1875" totalsRowDxfId="1874">
  <tableColumns count="17">
    <tableColumn id="1" name="R3 14" totalsRowLabel=" TOTAL " dataDxfId="1873" totalsRowDxfId="1872"/>
    <tableColumn id="2" name="2024" totalsRowFunction="average" dataDxfId="1871" totalsRowDxfId="1870">
      <calculatedColumnFormula>IF(DONNÉES!CE44="","",DONNÉES!CE44)</calculatedColumnFormula>
    </tableColumn>
    <tableColumn id="3" name="2023" totalsRowFunction="average" dataDxfId="1869" totalsRowDxfId="1868">
      <calculatedColumnFormula>IF(TRDR314[[#This Row],[2024]]="","",DONNÉES!CF44)</calculatedColumnFormula>
    </tableColumn>
    <tableColumn id="4" name="2024 cumul" totalsRowFunction="average" dataDxfId="1867" totalsRowDxfId="1866">
      <calculatedColumnFormula>IF(TRDR314[[#This Row],[2024]]="","",DONNÉES!CE124)</calculatedColumnFormula>
    </tableColumn>
    <tableColumn id="5" name="2023 cumul" totalsRowFunction="average" dataDxfId="1865" totalsRowDxfId="1864">
      <calculatedColumnFormula>IF(TRDR314[[#This Row],[2024]]="","",DONNÉES!CF124)</calculatedColumnFormula>
    </tableColumn>
    <tableColumn id="8" name="2024  " totalsRowFunction="average" dataDxfId="1863" totalsRowDxfId="1862">
      <calculatedColumnFormula>IF(TRDR314[[#This Row],[2024]]="","",DONNÉES!CE60)</calculatedColumnFormula>
    </tableColumn>
    <tableColumn id="9" name="2023  " totalsRowFunction="average" dataDxfId="1861" totalsRowDxfId="1860">
      <calculatedColumnFormula>IF(TRDR314[[#This Row],[2024]]="","",DONNÉES!CF60)</calculatedColumnFormula>
    </tableColumn>
    <tableColumn id="6" name="2024 cumul " totalsRowFunction="average" dataDxfId="1859" totalsRowDxfId="1858">
      <calculatedColumnFormula>IF(TRDR314[[#This Row],[2024]]="","",DONNÉES!CE140)</calculatedColumnFormula>
    </tableColumn>
    <tableColumn id="7" name="2023 cumul " totalsRowFunction="average" dataDxfId="1857" totalsRowDxfId="1856">
      <calculatedColumnFormula>IF(TRDR314[[#This Row],[2024]]="","",DONNÉES!CF140)</calculatedColumnFormula>
    </tableColumn>
    <tableColumn id="17" name="2024   " totalsRowFunction="average" dataDxfId="1855" totalsRowDxfId="1854">
      <calculatedColumnFormula>IF(TRDR314[[#This Row],[2024]]="","",DONNÉES!CE76)</calculatedColumnFormula>
    </tableColumn>
    <tableColumn id="16" name="2023   " totalsRowFunction="average" dataDxfId="1853" totalsRowDxfId="1852">
      <calculatedColumnFormula>IF(TRDR314[[#This Row],[2024]]="","",DONNÉES!CF76)</calculatedColumnFormula>
    </tableColumn>
    <tableColumn id="15" name="2024 cumul   " totalsRowFunction="average" dataDxfId="1851" totalsRowDxfId="1850">
      <calculatedColumnFormula>IF(TRDR314[[#This Row],[2024]]="","",DONNÉES!CE156)</calculatedColumnFormula>
    </tableColumn>
    <tableColumn id="14" name="2023 cumul   " totalsRowFunction="average" dataDxfId="1849" totalsRowDxfId="1848">
      <calculatedColumnFormula>IF(TRDR314[[#This Row],[2024]]="","",DONNÉES!CF156)</calculatedColumnFormula>
    </tableColumn>
    <tableColumn id="13" name="2024    " totalsRowFunction="average" dataDxfId="1847" totalsRowDxfId="1846">
      <calculatedColumnFormula>IF(TRDR314[[#This Row],[2024]]="","",DONNÉES!CE92)</calculatedColumnFormula>
    </tableColumn>
    <tableColumn id="12" name="2023    " totalsRowFunction="average" dataDxfId="1845" totalsRowDxfId="1844">
      <calculatedColumnFormula>IF(TRDR314[[#This Row],[2024]]="","",DONNÉES!CF92)</calculatedColumnFormula>
    </tableColumn>
    <tableColumn id="11" name="2024 cumul    " totalsRowFunction="average" dataDxfId="1843" totalsRowDxfId="1842">
      <calculatedColumnFormula>IF(TRDR314[[#This Row],[2024]]="","",DONNÉES!CE172)</calculatedColumnFormula>
    </tableColumn>
    <tableColumn id="10" name="2023 cumul    " totalsRowFunction="average" dataDxfId="1841" totalsRowDxfId="1840">
      <calculatedColumnFormula>IF(TRDR314[[#This Row],[2024]]="","",DONNÉES!CF172)</calculatedColumnFormula>
    </tableColumn>
  </tableColumns>
  <tableStyleInfo name="TableStyleMedium7" showFirstColumn="0" showLastColumn="0" showRowStripes="1" showColumnStripes="0"/>
</table>
</file>

<file path=xl/tables/table336.xml><?xml version="1.0" encoding="utf-8"?>
<table xmlns="http://schemas.openxmlformats.org/spreadsheetml/2006/main" id="336" name="TRDTR314" displayName="TRDTR314" ref="S143:V155" headerRowCount="1" headerRowDxfId="1839" dataDxfId="1838" totalsRowDxfId="1837" headerRowCellStyle="Normal 5">
  <tableColumns count="4">
    <tableColumn id="2" name="2024" totalsRowFunction="average" dataDxfId="1836" totalsRowDxfId="1835">
      <calculatedColumnFormula>IF(TRDR314[[#This Row],[2024]]="","",DONNÉES!CE108)</calculatedColumnFormula>
    </tableColumn>
    <tableColumn id="3" name="2023" totalsRowFunction="average" dataDxfId="1834" totalsRowDxfId="1833">
      <calculatedColumnFormula>IF(TRDR314[[#This Row],[2024]]="","",DONNÉES!CF108)</calculatedColumnFormula>
    </tableColumn>
    <tableColumn id="4" name="2024 cumul" totalsRowFunction="average" dataDxfId="1832" totalsRowDxfId="1831">
      <calculatedColumnFormula>IF(TRDR314[[#This Row],[2024]]="","",DONNÉES!CE188)</calculatedColumnFormula>
    </tableColumn>
    <tableColumn id="1" name="2023 cumul" totalsRowFunction="average" dataDxfId="1830" totalsRowDxfId="1829">
      <calculatedColumnFormula>IF(TRDR314[[#This Row],[2024]]="","",DONNÉES!CF188)</calculatedColumnFormula>
    </tableColumn>
  </tableColumns>
  <tableStyleInfo name="TableStyleMedium7" showFirstColumn="0" showLastColumn="0" showRowStripes="1" showColumnStripes="0"/>
</table>
</file>

<file path=xl/tables/table337.xml><?xml version="1.0" encoding="utf-8"?>
<table xmlns="http://schemas.openxmlformats.org/spreadsheetml/2006/main" id="337" name="TRDLYSE" displayName="TRDLYSE" ref="A158:Q170" headerRowCount="1" headerRowDxfId="1828" dataDxfId="1827" totalsRowDxfId="1826">
  <tableColumns count="17">
    <tableColumn id="1" name="LYSE" totalsRowLabel=" TOTAL " dataDxfId="1825" totalsRowDxfId="1824"/>
    <tableColumn id="2" name="2024" totalsRowFunction="average" dataDxfId="1823" totalsRowDxfId="1822">
      <calculatedColumnFormula>IF(DONNÉES!CM44="","",DONNÉES!CM44)</calculatedColumnFormula>
    </tableColumn>
    <tableColumn id="3" name="2023" totalsRowFunction="average" dataDxfId="1821" totalsRowDxfId="1820">
      <calculatedColumnFormula>IF(TRDLYSE[[#This Row],[2024]]="","",DONNÉES!CN44)</calculatedColumnFormula>
    </tableColumn>
    <tableColumn id="4" name="2024 cumul" totalsRowFunction="average" dataDxfId="1819" totalsRowDxfId="1818">
      <calculatedColumnFormula>IF(TRDLYSE[[#This Row],[2024]]="","",DONNÉES!CM124)</calculatedColumnFormula>
    </tableColumn>
    <tableColumn id="5" name="2023 cumul" totalsRowFunction="average" dataDxfId="1817" totalsRowDxfId="1816">
      <calculatedColumnFormula>IF(TRDLYSE[[#This Row],[2024]]="","",DONNÉES!CN124)</calculatedColumnFormula>
    </tableColumn>
    <tableColumn id="8" name="2024  " totalsRowFunction="average" dataDxfId="1815" totalsRowDxfId="1814">
      <calculatedColumnFormula>IF(TRDLYSE[[#This Row],[2024]]="","",DONNÉES!CM60)</calculatedColumnFormula>
    </tableColumn>
    <tableColumn id="9" name="2023  " totalsRowFunction="average" dataDxfId="1813" totalsRowDxfId="1812">
      <calculatedColumnFormula>IF(TRDLYSE[[#This Row],[2024]]="","",DONNÉES!CN60)</calculatedColumnFormula>
    </tableColumn>
    <tableColumn id="6" name="2024 cumul " totalsRowFunction="average" dataDxfId="1811" totalsRowDxfId="1810">
      <calculatedColumnFormula>IF(TRDLYSE[[#This Row],[2024]]="","",DONNÉES!CM140)</calculatedColumnFormula>
    </tableColumn>
    <tableColumn id="7" name="2023 cumul " totalsRowFunction="average" dataDxfId="1809" totalsRowDxfId="1808">
      <calculatedColumnFormula>IF(TRDLYSE[[#This Row],[2024]]="","",DONNÉES!CN140)</calculatedColumnFormula>
    </tableColumn>
    <tableColumn id="17" name="2024   " totalsRowFunction="average" dataDxfId="1807" totalsRowDxfId="1806">
      <calculatedColumnFormula>IF(TRDLYSE[[#This Row],[2024]]="","",DONNÉES!CM76)</calculatedColumnFormula>
    </tableColumn>
    <tableColumn id="16" name="2023   " totalsRowFunction="average" dataDxfId="1805" totalsRowDxfId="1804">
      <calculatedColumnFormula>IF(TRDLYSE[[#This Row],[2024]]="","",DONNÉES!CN76)</calculatedColumnFormula>
    </tableColumn>
    <tableColumn id="15" name="2024 cumul   " totalsRowFunction="average" dataDxfId="1803" totalsRowDxfId="1802">
      <calculatedColumnFormula>IF(TRDLYSE[[#This Row],[2024]]="","",DONNÉES!CM156)</calculatedColumnFormula>
    </tableColumn>
    <tableColumn id="14" name="2023 cumul   " totalsRowFunction="average" dataDxfId="1801" totalsRowDxfId="1800">
      <calculatedColumnFormula>IF(TRDLYSE[[#This Row],[2024]]="","",DONNÉES!CN156)</calculatedColumnFormula>
    </tableColumn>
    <tableColumn id="13" name="2024    " totalsRowFunction="average" dataDxfId="1799" totalsRowDxfId="1798">
      <calculatedColumnFormula>IF(TRDLYSE[[#This Row],[2024]]="","",DONNÉES!CM92)</calculatedColumnFormula>
    </tableColumn>
    <tableColumn id="12" name="2023    " totalsRowFunction="average" dataDxfId="1797" totalsRowDxfId="1796">
      <calculatedColumnFormula>IF(TRDLYSE[[#This Row],[2024]]="","",DONNÉES!CN92)</calculatedColumnFormula>
    </tableColumn>
    <tableColumn id="11" name="2024 cumul    " totalsRowFunction="average" dataDxfId="1795" totalsRowDxfId="1794">
      <calculatedColumnFormula>IF(TRDLYSE[[#This Row],[2024]]="","",DONNÉES!CM172)</calculatedColumnFormula>
    </tableColumn>
    <tableColumn id="10" name="2023 cumul    " totalsRowFunction="average" dataDxfId="1793" totalsRowDxfId="1792">
      <calculatedColumnFormula>IF(TRDLYSE[[#This Row],[2024]]="","",DONNÉES!CN172)</calculatedColumnFormula>
    </tableColumn>
  </tableColumns>
  <tableStyleInfo name="TableStyleMedium8" showFirstColumn="0" showLastColumn="0" showRowStripes="1" showColumnStripes="0"/>
</table>
</file>

<file path=xl/tables/table338.xml><?xml version="1.0" encoding="utf-8"?>
<table xmlns="http://schemas.openxmlformats.org/spreadsheetml/2006/main" id="338" name="TRDTLYSE" displayName="TRDTLYSE" ref="S158:V170" headerRowCount="1" headerRowDxfId="1791" dataDxfId="1790" totalsRowDxfId="1789" headerRowCellStyle="Normal 5">
  <tableColumns count="4">
    <tableColumn id="2" name="2024" totalsRowFunction="average" dataDxfId="1788" totalsRowDxfId="1787">
      <calculatedColumnFormula>IF(TRDLYSE[[#This Row],[2024]]="","",DONNÉES!CM108)</calculatedColumnFormula>
    </tableColumn>
    <tableColumn id="3" name="2023" totalsRowFunction="average" dataDxfId="1786" totalsRowDxfId="1785">
      <calculatedColumnFormula>IF(TRDLYSE[[#This Row],[2024]]="","",DONNÉES!CN108)</calculatedColumnFormula>
    </tableColumn>
    <tableColumn id="4" name="2024 cumul" totalsRowFunction="average" dataDxfId="1784" totalsRowDxfId="1783">
      <calculatedColumnFormula>IF(TRDLYSE[[#This Row],[2024]]="","",DONNÉES!CM188)</calculatedColumnFormula>
    </tableColumn>
    <tableColumn id="1" name="2023 cumul" totalsRowFunction="average" dataDxfId="1782" totalsRowDxfId="1781">
      <calculatedColumnFormula>IF(TRDLYSE[[#This Row],[2024]]="","",DONNÉES!CN188)</calculatedColumnFormula>
    </tableColumn>
  </tableColumns>
  <tableStyleInfo name="TableStyleMedium8" showFirstColumn="0" showLastColumn="0" showRowStripes="1" showColumnStripes="0"/>
</table>
</file>

<file path=xl/tables/table339.xml><?xml version="1.0" encoding="utf-8"?>
<table xmlns="http://schemas.openxmlformats.org/spreadsheetml/2006/main" id="339" name="TRDDIVES" displayName="TRDDIVES" ref="A127:Q139" headerRowCount="1" headerRowDxfId="1780" dataDxfId="1779" totalsRowDxfId="1778">
  <tableColumns count="17">
    <tableColumn id="1" name="TL DIVES" totalsRowLabel=" TOTAL " dataDxfId="1777" totalsRowDxfId="1776"/>
    <tableColumn id="2" name="2024" totalsRowFunction="average" dataDxfId="1775" totalsRowDxfId="1774">
      <calculatedColumnFormula>IF(DONNÉES!BW44="","",DONNÉES!BW44)</calculatedColumnFormula>
    </tableColumn>
    <tableColumn id="3" name="2023" totalsRowFunction="average" dataDxfId="1773" totalsRowDxfId="1772">
      <calculatedColumnFormula>IF(TRDDIVES[[#This Row],[2024]]="","",DONNÉES!BX44)</calculatedColumnFormula>
    </tableColumn>
    <tableColumn id="4" name="2024 cumul" totalsRowFunction="average" dataDxfId="1771" totalsRowDxfId="1770">
      <calculatedColumnFormula>IF(TRDDIVES[[#This Row],[2024]]="","",DONNÉES!BW124)</calculatedColumnFormula>
    </tableColumn>
    <tableColumn id="5" name="2023 cumul" totalsRowFunction="average" dataDxfId="1769" totalsRowDxfId="1768">
      <calculatedColumnFormula>IF(TRDDIVES[[#This Row],[2024]]="","",DONNÉES!BX124)</calculatedColumnFormula>
    </tableColumn>
    <tableColumn id="8" name="2024  " totalsRowFunction="average" dataDxfId="1767" totalsRowDxfId="1766">
      <calculatedColumnFormula>IF(TRDDIVES[[#This Row],[2024]]="","",DONNÉES!BW60)</calculatedColumnFormula>
    </tableColumn>
    <tableColumn id="9" name="2023  " totalsRowFunction="average" dataDxfId="1765" totalsRowDxfId="1764">
      <calculatedColumnFormula>IF(TRDDIVES[[#This Row],[2024]]="","",DONNÉES!BX60)</calculatedColumnFormula>
    </tableColumn>
    <tableColumn id="6" name="2024 cumul " totalsRowFunction="average" dataDxfId="1763" totalsRowDxfId="1762">
      <calculatedColumnFormula>IF(TRDDIVES[[#This Row],[2024]]="","",DONNÉES!BW140)</calculatedColumnFormula>
    </tableColumn>
    <tableColumn id="17" name="2023 cumul " totalsRowFunction="average" dataDxfId="1761" totalsRowDxfId="1760">
      <calculatedColumnFormula>IF(TRDDIVES[[#This Row],[2024]]="","",DONNÉES!BX140)</calculatedColumnFormula>
    </tableColumn>
    <tableColumn id="16" name="2024   " totalsRowFunction="average" dataDxfId="1759" totalsRowDxfId="1758">
      <calculatedColumnFormula>IF(TRDDIVES[[#This Row],[2024]]="","",DONNÉES!BW76)</calculatedColumnFormula>
    </tableColumn>
    <tableColumn id="15" name="2023   " totalsRowFunction="average" dataDxfId="1757" totalsRowDxfId="1756">
      <calculatedColumnFormula>IF(TRDDIVES[[#This Row],[2024]]="","",DONNÉES!BX76)</calculatedColumnFormula>
    </tableColumn>
    <tableColumn id="14" name="2024 cumul   " totalsRowFunction="average" dataDxfId="1755" totalsRowDxfId="1754">
      <calculatedColumnFormula>IF(TRDDIVES[[#This Row],[2024]]="","",DONNÉES!BW156)</calculatedColumnFormula>
    </tableColumn>
    <tableColumn id="13" name="2023 cumul   " totalsRowFunction="average" dataDxfId="1753" totalsRowDxfId="1752">
      <calculatedColumnFormula>IF(TRDDIVES[[#This Row],[2024]]="","",DONNÉES!BX156)</calculatedColumnFormula>
    </tableColumn>
    <tableColumn id="12" name="2024    " totalsRowFunction="average" dataDxfId="1751" totalsRowDxfId="1750">
      <calculatedColumnFormula>IF(TRDDIVES[[#This Row],[2024]]="","",DONNÉES!BW92)</calculatedColumnFormula>
    </tableColumn>
    <tableColumn id="11" name="2023    " totalsRowFunction="average" dataDxfId="1749" totalsRowDxfId="1748">
      <calculatedColumnFormula>IF(TRDDIVES[[#This Row],[2024]]="","",DONNÉES!BX92)</calculatedColumnFormula>
    </tableColumn>
    <tableColumn id="10" name="2024 cumul    " totalsRowFunction="average" dataDxfId="1747" totalsRowDxfId="1746">
      <calculatedColumnFormula>IF(TRDDIVES[[#This Row],[2024]]="","",DONNÉES!BW172)</calculatedColumnFormula>
    </tableColumn>
    <tableColumn id="7" name="2023 cumul    " totalsRowFunction="average" dataDxfId="1745" totalsRowDxfId="1744">
      <calculatedColumnFormula>IF(TRDDIVES[[#This Row],[2024]]="","",DONNÉES!BX172)</calculatedColumnFormula>
    </tableColumn>
  </tableColumns>
  <tableStyleInfo name="TableStyleMedium7" showFirstColumn="0" showLastColumn="0" showRowStripes="1" showColumnStripes="0"/>
</table>
</file>

<file path=xl/tables/table340.xml><?xml version="1.0" encoding="utf-8"?>
<table xmlns="http://schemas.openxmlformats.org/spreadsheetml/2006/main" id="340" name="TRDTDIVES" displayName="TRDTDIVES" ref="S127:V139" headerRowCount="1" headerRowDxfId="1743" dataDxfId="1742" totalsRowDxfId="1741" headerRowCellStyle="Normal 5">
  <tableColumns count="4">
    <tableColumn id="2" name="2024" totalsRowFunction="average" dataDxfId="1740" totalsRowDxfId="1739">
      <calculatedColumnFormula>IF(TRDDIVES[[#This Row],[2024]]="","",DONNÉES!BW108)</calculatedColumnFormula>
    </tableColumn>
    <tableColumn id="3" name="2023" totalsRowFunction="average" dataDxfId="1738" totalsRowDxfId="1737">
      <calculatedColumnFormula>IF(TRDDIVES[[#This Row],[2024]]="","",DONNÉES!BX108)</calculatedColumnFormula>
    </tableColumn>
    <tableColumn id="4" name="2024 cumul" totalsRowFunction="average" dataDxfId="1736" totalsRowDxfId="1735">
      <calculatedColumnFormula>IF(TRDDIVES[[#This Row],[2024]]="","",DONNÉES!BW188)</calculatedColumnFormula>
    </tableColumn>
    <tableColumn id="6" name="2023 cumul" totalsRowFunction="average" dataDxfId="1734" totalsRowDxfId="1733">
      <calculatedColumnFormula>IF(TRDDIVES[[#This Row],[2024]]="","",DONNÉES!BX188)</calculatedColumnFormula>
    </tableColumn>
  </tableColumns>
  <tableStyleInfo name="TableStyleMedium7" showFirstColumn="0" showLastColumn="0" showRowStripes="1" showColumnStripes="0"/>
</table>
</file>

<file path=xl/tables/table341.xml><?xml version="1.0" encoding="utf-8"?>
<table xmlns="http://schemas.openxmlformats.org/spreadsheetml/2006/main" id="341" name="TRDTH4" displayName="TRDTH4" ref="A112:Q124" headerRowCount="1" headerRowDxfId="1732" dataDxfId="1731" totalsRowDxfId="1730">
  <tableColumns count="17">
    <tableColumn id="1" name="TH4" totalsRowLabel=" TOTAL " dataDxfId="1729" totalsRowDxfId="1728"/>
    <tableColumn id="2" name="2024" totalsRowFunction="average" dataDxfId="1727" totalsRowDxfId="1726">
      <calculatedColumnFormula>IF(DONNÉES!BO44="","",DONNÉES!BO44)</calculatedColumnFormula>
    </tableColumn>
    <tableColumn id="3" name="2023" totalsRowFunction="average" dataDxfId="1725" totalsRowDxfId="1724">
      <calculatedColumnFormula>IF(TRDTH4[[#This Row],[2024]]="","",DONNÉES!BP44)</calculatedColumnFormula>
    </tableColumn>
    <tableColumn id="4" name="2024 cumul" totalsRowFunction="average" dataDxfId="1723" totalsRowDxfId="1722">
      <calculatedColumnFormula>IF(TRDTH4[[#This Row],[2024]]="","",DONNÉES!BO124)</calculatedColumnFormula>
    </tableColumn>
    <tableColumn id="5" name="2023 cumul" totalsRowFunction="average" dataDxfId="1721" totalsRowDxfId="1720">
      <calculatedColumnFormula>IF(TRDTH4[[#This Row],[2024]]="","",DONNÉES!BP124)</calculatedColumnFormula>
    </tableColumn>
    <tableColumn id="8" name="2024  " totalsRowFunction="average" dataDxfId="1719" totalsRowDxfId="1718">
      <calculatedColumnFormula>IF(TRDTH4[[#This Row],[2024]]="","",DONNÉES!BO60)</calculatedColumnFormula>
    </tableColumn>
    <tableColumn id="9" name="2023  " totalsRowFunction="average" dataDxfId="1717" totalsRowDxfId="1716">
      <calculatedColumnFormula>IF(TRDTH4[[#This Row],[2024]]="","",DONNÉES!BP60)</calculatedColumnFormula>
    </tableColumn>
    <tableColumn id="6" name="2024 cumul " totalsRowFunction="average" dataDxfId="1715" totalsRowDxfId="1714">
      <calculatedColumnFormula>IF(TRDTH4[[#This Row],[2024]]="","",DONNÉES!BO140)</calculatedColumnFormula>
    </tableColumn>
    <tableColumn id="17" name="2023 cumul " totalsRowFunction="average" dataDxfId="1713" totalsRowDxfId="1712">
      <calculatedColumnFormula>IF(TRDTH4[[#This Row],[2024]]="","",DONNÉES!BP140)</calculatedColumnFormula>
    </tableColumn>
    <tableColumn id="16" name="2024   " totalsRowFunction="average" dataDxfId="1711" totalsRowDxfId="1710">
      <calculatedColumnFormula>IF(TRDTH4[[#This Row],[2024]]="","",DONNÉES!BO76)</calculatedColumnFormula>
    </tableColumn>
    <tableColumn id="15" name="2023   " totalsRowFunction="average" dataDxfId="1709" totalsRowDxfId="1708">
      <calculatedColumnFormula>IF(TRDTH4[[#This Row],[2024]]="","",DONNÉES!BP76)</calculatedColumnFormula>
    </tableColumn>
    <tableColumn id="14" name="2024 cumul   " totalsRowFunction="average" dataDxfId="1707" totalsRowDxfId="1706">
      <calculatedColumnFormula>IF(TRDTH4[[#This Row],[2024]]="","",DONNÉES!BO156)</calculatedColumnFormula>
    </tableColumn>
    <tableColumn id="13" name="2023 cumul   " totalsRowFunction="average" dataDxfId="1705" totalsRowDxfId="1704">
      <calculatedColumnFormula>IF(TRDTH4[[#This Row],[2024]]="","",DONNÉES!BP156)</calculatedColumnFormula>
    </tableColumn>
    <tableColumn id="12" name="2024    " totalsRowFunction="average" dataDxfId="1703" totalsRowDxfId="1702">
      <calculatedColumnFormula>IF(TRDTH4[[#This Row],[2024]]="","",DONNÉES!BO92)</calculatedColumnFormula>
    </tableColumn>
    <tableColumn id="11" name="2023    " totalsRowFunction="average" dataDxfId="1701" totalsRowDxfId="1700">
      <calculatedColumnFormula>IF(TRDTH4[[#This Row],[2024]]="","",DONNÉES!BP92)</calculatedColumnFormula>
    </tableColumn>
    <tableColumn id="10" name="2024 cumul    " totalsRowFunction="average" dataDxfId="1699" totalsRowDxfId="1698">
      <calculatedColumnFormula>IF(TRDTH4[[#This Row],[2024]]="","",DONNÉES!BO172)</calculatedColumnFormula>
    </tableColumn>
    <tableColumn id="7" name="2023 cumul    " totalsRowFunction="average" dataDxfId="1697" totalsRowDxfId="1696">
      <calculatedColumnFormula>IF(TRDTH4[[#This Row],[2024]]="","",DONNÉES!BP172)</calculatedColumnFormula>
    </tableColumn>
  </tableColumns>
  <tableStyleInfo name="TableStyleMedium12" showFirstColumn="0" showLastColumn="0" showRowStripes="1" showColumnStripes="0"/>
</table>
</file>

<file path=xl/tables/table342.xml><?xml version="1.0" encoding="utf-8"?>
<table xmlns="http://schemas.openxmlformats.org/spreadsheetml/2006/main" id="342" name="TRDTTH4" displayName="TRDTTH4" ref="S112:V124" headerRowCount="1" headerRowDxfId="1695" dataDxfId="1694" totalsRowDxfId="1693" headerRowCellStyle="Normal 5">
  <tableColumns count="4">
    <tableColumn id="2" name="2024" totalsRowFunction="average" dataDxfId="1692" totalsRowDxfId="1691">
      <calculatedColumnFormula>IF(TRDTH4[[#This Row],[2024]]="","",DONNÉES!BO108)</calculatedColumnFormula>
    </tableColumn>
    <tableColumn id="3" name="2023" totalsRowFunction="average" dataDxfId="1690" totalsRowDxfId="1689">
      <calculatedColumnFormula>IF(TRDTH4[[#This Row],[2024]]="","",DONNÉES!BP108)</calculatedColumnFormula>
    </tableColumn>
    <tableColumn id="4" name="2024 cumul" totalsRowFunction="average" dataDxfId="1688" totalsRowDxfId="1687">
      <calculatedColumnFormula>IF(TRDTH4[[#This Row],[2024]]="","",DONNÉES!BO188)</calculatedColumnFormula>
    </tableColumn>
    <tableColumn id="1" name="2023 cumul" totalsRowFunction="average" dataDxfId="1686" totalsRowDxfId="1685">
      <calculatedColumnFormula>IF(TRDTH4[[#This Row],[2024]]="","",DONNÉES!BP188)</calculatedColumnFormula>
    </tableColumn>
  </tableColumns>
  <tableStyleInfo name="TableStyleMedium12" showFirstColumn="0" showLastColumn="0" showRowStripes="1" showColumnStripes="0"/>
</table>
</file>

<file path=xl/tables/table343.xml><?xml version="1.0" encoding="utf-8"?>
<table xmlns="http://schemas.openxmlformats.org/spreadsheetml/2006/main" id="343" name="TRDGLR5" displayName="TRDGLR5" ref="A5:Q17" headerRowCount="1" headerRowDxfId="1684" dataDxfId="1683" totalsRowDxfId="1682">
  <tableColumns count="17">
    <tableColumn id="1" name="GLR5" totalsRowLabel=" TOTAL " dataDxfId="1681" totalsRowDxfId="1680"/>
    <tableColumn id="2" name="2024" totalsRowFunction="average" dataDxfId="1679" totalsRowDxfId="1678">
      <calculatedColumnFormula>IF(DONNÉES!K44="","",DONNÉES!K44)</calculatedColumnFormula>
    </tableColumn>
    <tableColumn id="3" name="2023" totalsRowFunction="average" dataDxfId="1677" totalsRowDxfId="1676">
      <calculatedColumnFormula>IF(TRDGLR5[[#This Row],[2024]]="","",DONNÉES!L44)</calculatedColumnFormula>
    </tableColumn>
    <tableColumn id="4" name="2024 cumul" totalsRowFunction="average" dataDxfId="1675" totalsRowDxfId="1674">
      <calculatedColumnFormula>IF(TRDGLR5[[#This Row],[2024]]="","",DONNÉES!K124)</calculatedColumnFormula>
    </tableColumn>
    <tableColumn id="5" name="2023 cumul" totalsRowFunction="average" dataDxfId="1673" totalsRowDxfId="1672">
      <calculatedColumnFormula>IF(TRDGLR5[[#This Row],[2024]]="","",DONNÉES!L124)</calculatedColumnFormula>
    </tableColumn>
    <tableColumn id="8" name="2024  " totalsRowFunction="average" dataDxfId="1671" totalsRowDxfId="1670">
      <calculatedColumnFormula>IF(TRDGLR5[[#This Row],[2024]]="","",DONNÉES!K60)</calculatedColumnFormula>
    </tableColumn>
    <tableColumn id="9" name="2023  " totalsRowFunction="average" dataDxfId="1669" totalsRowDxfId="1668">
      <calculatedColumnFormula>IF(TRDGLR5[[#This Row],[2024]]="","",DONNÉES!L60)</calculatedColumnFormula>
    </tableColumn>
    <tableColumn id="6" name="2024 cumul " totalsRowFunction="average" dataDxfId="1667" totalsRowDxfId="1666">
      <calculatedColumnFormula>IF(TRDGLR5[[#This Row],[2024]]="","",DONNÉES!K140)</calculatedColumnFormula>
    </tableColumn>
    <tableColumn id="7" name="2023 cumul " totalsRowFunction="average" dataDxfId="1665" totalsRowDxfId="1664">
      <calculatedColumnFormula>IF(TRDGLR5[[#This Row],[2024]]="","",DONNÉES!L140)</calculatedColumnFormula>
    </tableColumn>
    <tableColumn id="17" name="2024   " totalsRowFunction="average" dataDxfId="1663" totalsRowDxfId="1662">
      <calculatedColumnFormula>IF(TRDGLR5[[#This Row],[2024]]="","",DONNÉES!K76)</calculatedColumnFormula>
    </tableColumn>
    <tableColumn id="16" name="2023   " totalsRowFunction="average" dataDxfId="1661" totalsRowDxfId="1660">
      <calculatedColumnFormula>IF(TRDGLR5[[#This Row],[2024]]="","",DONNÉES!L76)</calculatedColumnFormula>
    </tableColumn>
    <tableColumn id="15" name="2024 cumul   " totalsRowFunction="average" dataDxfId="1659" totalsRowDxfId="1658">
      <calculatedColumnFormula>IF(TRDGLR5[[#This Row],[2024]]="","",DONNÉES!K156)</calculatedColumnFormula>
    </tableColumn>
    <tableColumn id="14" name="2023 cumul   " totalsRowFunction="average" dataDxfId="1657" totalsRowDxfId="1656">
      <calculatedColumnFormula>IF(TRDGLR5[[#This Row],[2024]]="","",DONNÉES!L156)</calculatedColumnFormula>
    </tableColumn>
    <tableColumn id="13" name="2024    " totalsRowFunction="average" dataDxfId="1655" totalsRowDxfId="1654">
      <calculatedColumnFormula>IF(TRDGLR5[[#This Row],[2024]]="","",DONNÉES!K92)</calculatedColumnFormula>
    </tableColumn>
    <tableColumn id="12" name="2023    " totalsRowFunction="average" dataDxfId="1653" totalsRowDxfId="1652">
      <calculatedColumnFormula>IF(TRDGLR5[[#This Row],[2024]]="","",DONNÉES!L92)</calculatedColumnFormula>
    </tableColumn>
    <tableColumn id="11" name="2024 cumul    " totalsRowFunction="average" dataDxfId="1651" totalsRowDxfId="1650">
      <calculatedColumnFormula>IF(TRDGLR5[[#This Row],[2024]]="","",DONNÉES!K172)</calculatedColumnFormula>
    </tableColumn>
    <tableColumn id="10" name="2023 cumul    " totalsRowFunction="average" dataDxfId="1649" totalsRowDxfId="1648">
      <calculatedColumnFormula>IF(TRDGLR5[[#This Row],[2024]]="","",DONNÉES!L172)</calculatedColumnFormula>
    </tableColumn>
  </tableColumns>
  <tableStyleInfo name="TableStyleMedium11" showFirstColumn="0" showLastColumn="0" showRowStripes="1" showColumnStripes="0"/>
</table>
</file>

<file path=xl/tables/table344.xml><?xml version="1.0" encoding="utf-8"?>
<table xmlns="http://schemas.openxmlformats.org/spreadsheetml/2006/main" id="344" name="TRDTGLR5" displayName="TRDTGLR5" ref="S5:V17" headerRowCount="1" headerRowDxfId="1647" dataDxfId="1646" totalsRowDxfId="1645">
  <tableColumns count="4">
    <tableColumn id="2" name="2024" totalsRowFunction="average" dataDxfId="1644" totalsRowDxfId="1643">
      <calculatedColumnFormula>IF(TRDGLR5[[#This Row],[2024]]="","",DONNÉES!K108)</calculatedColumnFormula>
    </tableColumn>
    <tableColumn id="3" name="2023" totalsRowFunction="average" dataDxfId="1642" totalsRowDxfId="1641">
      <calculatedColumnFormula>IF(TRDGLR5[[#This Row],[2024]]="","",DONNÉES!L108)</calculatedColumnFormula>
    </tableColumn>
    <tableColumn id="4" name="2024 cumul" totalsRowFunction="average" dataDxfId="1640" totalsRowDxfId="1639">
      <calculatedColumnFormula>IF(TRDGLR5[[#This Row],[2024]]="","",DONNÉES!K188)</calculatedColumnFormula>
    </tableColumn>
    <tableColumn id="1" name="2023 cumul" totalsRowFunction="average" dataDxfId="1638" totalsRowDxfId="1637">
      <calculatedColumnFormula>IF(TRDGLR5[[#This Row],[2024]]="","",DONNÉES!L188)</calculatedColumnFormula>
    </tableColumn>
  </tableColumns>
  <tableStyleInfo name="TableStyleMedium11" showFirstColumn="0" showLastColumn="0" showRowStripes="1" showColumnStripes="0"/>
</table>
</file>

<file path=xl/tables/table345.xml><?xml version="1.0" encoding="utf-8"?>
<table xmlns="http://schemas.openxmlformats.org/spreadsheetml/2006/main" id="345" name="TRDHTR8" displayName="TRDHTR8" ref="A20:Q32" headerRowCount="1" headerRowDxfId="1636" totalsRowDxfId="1635">
  <tableColumns count="17">
    <tableColumn id="1" name="HTR8" totalsRowLabel=" TOTAL " dataDxfId="1634" totalsRowDxfId="1633"/>
    <tableColumn id="2" name="2024" totalsRowFunction="average" dataDxfId="1632" totalsRowDxfId="1631">
      <calculatedColumnFormula>IF(DONNÉES!S44="","",DONNÉES!S44)</calculatedColumnFormula>
    </tableColumn>
    <tableColumn id="3" name="2023" totalsRowFunction="average" dataDxfId="1630" totalsRowDxfId="1629">
      <calculatedColumnFormula>IF(TRDHTR8[[#This Row],[2024]]="","",DONNÉES!T44)</calculatedColumnFormula>
    </tableColumn>
    <tableColumn id="4" name="2024 cumul" totalsRowFunction="average" dataDxfId="1628" totalsRowDxfId="1627">
      <calculatedColumnFormula>IF(TRDHTR8[[#This Row],[2024]]="","",DONNÉES!S124)</calculatedColumnFormula>
    </tableColumn>
    <tableColumn id="5" name="2023 cumul" totalsRowFunction="average" dataDxfId="1626" totalsRowDxfId="1625">
      <calculatedColumnFormula>IF(TRDHTR8[[#This Row],[2024]]="","",DONNÉES!T124)</calculatedColumnFormula>
    </tableColumn>
    <tableColumn id="8" name="2024  " totalsRowFunction="average" dataDxfId="1624" totalsRowDxfId="1623">
      <calculatedColumnFormula>IF(TRDHTR8[[#This Row],[2024]]="","",DONNÉES!S60)</calculatedColumnFormula>
    </tableColumn>
    <tableColumn id="9" name="2023  " totalsRowFunction="average" dataDxfId="1622" totalsRowDxfId="1621">
      <calculatedColumnFormula>IF(TRDHTR8[[#This Row],[2024]]="","",DONNÉES!T60)</calculatedColumnFormula>
    </tableColumn>
    <tableColumn id="6" name="2024 cumul " totalsRowFunction="average" dataDxfId="1620" totalsRowDxfId="1619">
      <calculatedColumnFormula>IF(TRDHTR8[[#This Row],[2024]]="","",DONNÉES!S140)</calculatedColumnFormula>
    </tableColumn>
    <tableColumn id="7" name="2023 cumul " totalsRowFunction="average" dataDxfId="1618" totalsRowDxfId="1617">
      <calculatedColumnFormula>IF(TRDHTR8[[#This Row],[2024]]="","",DONNÉES!T140)</calculatedColumnFormula>
    </tableColumn>
    <tableColumn id="17" name="2024   " totalsRowFunction="average" dataDxfId="1616" totalsRowDxfId="1615">
      <calculatedColumnFormula>IF(TRDHTR8[[#This Row],[2024]]="","",DONNÉES!S76)</calculatedColumnFormula>
    </tableColumn>
    <tableColumn id="16" name="2023   " totalsRowFunction="average" dataDxfId="1614" totalsRowDxfId="1613">
      <calculatedColumnFormula>IF(TRDHTR8[[#This Row],[2024]]="","",DONNÉES!T76)</calculatedColumnFormula>
    </tableColumn>
    <tableColumn id="15" name="2024 cumul   " totalsRowFunction="average" dataDxfId="1612" totalsRowDxfId="1611">
      <calculatedColumnFormula>IF(TRDHTR8[[#This Row],[2024]]="","",DONNÉES!S156)</calculatedColumnFormula>
    </tableColumn>
    <tableColumn id="14" name="2023 cumul   " totalsRowFunction="average" dataDxfId="1610" totalsRowDxfId="1609">
      <calculatedColumnFormula>IF(TRDHTR8[[#This Row],[2024]]="","",DONNÉES!T156)</calculatedColumnFormula>
    </tableColumn>
    <tableColumn id="13" name="2024    " totalsRowFunction="average" dataDxfId="1608" totalsRowDxfId="1607">
      <calculatedColumnFormula>IF(TRDHTR8[[#This Row],[2024]]="","",DONNÉES!S92)</calculatedColumnFormula>
    </tableColumn>
    <tableColumn id="12" name="2023    " totalsRowFunction="average" dataDxfId="1606" totalsRowDxfId="1605">
      <calculatedColumnFormula>IF(TRDHTR8[[#This Row],[2024]]="","",DONNÉES!T92)</calculatedColumnFormula>
    </tableColumn>
    <tableColumn id="11" name="2024 cumul    " totalsRowFunction="average" dataDxfId="1604" totalsRowDxfId="1603">
      <calculatedColumnFormula>IF(TRDHTR8[[#This Row],[2024]]="","",DONNÉES!S172)</calculatedColumnFormula>
    </tableColumn>
    <tableColumn id="10" name="2023 cumul    " totalsRowFunction="average" dataDxfId="1602" totalsRowDxfId="1601">
      <calculatedColumnFormula>IF(TRDHTR8[[#This Row],[2024]]="","",DONNÉES!T172)</calculatedColumnFormula>
    </tableColumn>
  </tableColumns>
  <tableStyleInfo name="TableStyleMedium11" showFirstColumn="0" showLastColumn="0" showRowStripes="1" showColumnStripes="0"/>
</table>
</file>

<file path=xl/tables/table346.xml><?xml version="1.0" encoding="utf-8"?>
<table xmlns="http://schemas.openxmlformats.org/spreadsheetml/2006/main" id="346" name="TRDTHTR8" displayName="TRDTHTR8" ref="S20:V32" headerRowCount="1" headerRowDxfId="1600" totalsRowDxfId="1598" tableBorderDxfId="1599" headerRowCellStyle="Normal 5">
  <tableColumns count="4">
    <tableColumn id="2" name="2024" totalsRowFunction="average" dataDxfId="1597" totalsRowDxfId="1596">
      <calculatedColumnFormula>IF(TRDHTR8[[#This Row],[2024]]="","",DONNÉES!S108)</calculatedColumnFormula>
    </tableColumn>
    <tableColumn id="3" name="2023" totalsRowFunction="average" dataDxfId="1595" totalsRowDxfId="1594">
      <calculatedColumnFormula>IF(TRDHTR8[[#This Row],[2024]]="","",DONNÉES!T108)</calculatedColumnFormula>
    </tableColumn>
    <tableColumn id="4" name="2024 cumul" totalsRowFunction="average" dataDxfId="1593" totalsRowDxfId="1592">
      <calculatedColumnFormula>IF(TRDHTR8[[#This Row],[2024]]="","",DONNÉES!S188)</calculatedColumnFormula>
    </tableColumn>
    <tableColumn id="1" name="2023 cumul" totalsRowFunction="average" dataDxfId="1591" totalsRowDxfId="1590">
      <calculatedColumnFormula>IF(TRDHTR8[[#This Row],[2024]]="","",DONNÉES!T188)</calculatedColumnFormula>
    </tableColumn>
  </tableColumns>
  <tableStyleInfo name="TableStyleMedium11" showFirstColumn="0" showLastColumn="0" showRowStripes="1" showColumnStripes="0"/>
</table>
</file>

<file path=xl/tables/table347.xml><?xml version="1.0" encoding="utf-8"?>
<table xmlns="http://schemas.openxmlformats.org/spreadsheetml/2006/main" id="347" name="TRDTIRR" displayName="TRDTIRR" ref="A35:Q47" headerRowCount="1" headerRowDxfId="1589" dataDxfId="1588" totalsRowDxfId="1587">
  <tableColumns count="17">
    <tableColumn id="1" name="TIRR" totalsRowLabel=" TOTAL " dataDxfId="1586" totalsRowDxfId="1585"/>
    <tableColumn id="2" name="2024" totalsRowFunction="average" dataDxfId="1584" totalsRowDxfId="1583">
      <calculatedColumnFormula>IF(DONNÉES!AA44="","",DONNÉES!AA44)</calculatedColumnFormula>
    </tableColumn>
    <tableColumn id="3" name="2023" totalsRowFunction="average" dataDxfId="1582" totalsRowDxfId="1581">
      <calculatedColumnFormula>IF(TRDTIRR[[#This Row],[2024]]="","",DONNÉES!AB44)</calculatedColumnFormula>
    </tableColumn>
    <tableColumn id="4" name="2024 cumul" totalsRowFunction="average" dataDxfId="1580" totalsRowDxfId="1579">
      <calculatedColumnFormula>IF(TRDTIRR[[#This Row],[2024]]="","",DONNÉES!AA124)</calculatedColumnFormula>
    </tableColumn>
    <tableColumn id="5" name="2023 cumul" totalsRowFunction="average" dataDxfId="1578" totalsRowDxfId="1577">
      <calculatedColumnFormula>IF(TRDTIRR[[#This Row],[2024]]="","",DONNÉES!AB124)</calculatedColumnFormula>
    </tableColumn>
    <tableColumn id="8" name="2024  " totalsRowFunction="average" dataDxfId="1576" totalsRowDxfId="1575">
      <calculatedColumnFormula>IF(TRDTIRR[[#This Row],[2024]]="","",DONNÉES!AA60)</calculatedColumnFormula>
    </tableColumn>
    <tableColumn id="9" name="2023  " totalsRowFunction="average" dataDxfId="1574" totalsRowDxfId="1573">
      <calculatedColumnFormula>IF(TRDTIRR[[#This Row],[2024]]="","",DONNÉES!AB60)</calculatedColumnFormula>
    </tableColumn>
    <tableColumn id="6" name="2024 cumul " totalsRowFunction="average" dataDxfId="1572" totalsRowDxfId="1571">
      <calculatedColumnFormula>IF(TRDTIRR[[#This Row],[2024]]="","",DONNÉES!AA140)</calculatedColumnFormula>
    </tableColumn>
    <tableColumn id="17" name="2023 cumul " totalsRowFunction="average" dataDxfId="1570" totalsRowDxfId="1569">
      <calculatedColumnFormula>IF(TRDTIRR[[#This Row],[2024]]="","",DONNÉES!AB140)</calculatedColumnFormula>
    </tableColumn>
    <tableColumn id="16" name="2024   " totalsRowFunction="average" dataDxfId="1568" totalsRowDxfId="1567">
      <calculatedColumnFormula>IF(TRDTIRR[[#This Row],[2024]]="","",DONNÉES!AA76)</calculatedColumnFormula>
    </tableColumn>
    <tableColumn id="15" name="2023   " totalsRowFunction="average" dataDxfId="1566" totalsRowDxfId="1565">
      <calculatedColumnFormula>IF(TRDTIRR[[#This Row],[2024]]="","",DONNÉES!AB76)</calculatedColumnFormula>
    </tableColumn>
    <tableColumn id="14" name="2024 cumul   " totalsRowFunction="average" dataDxfId="1564" totalsRowDxfId="1563">
      <calculatedColumnFormula>IF(TRDTIRR[[#This Row],[2024]]="","",DONNÉES!AA156)</calculatedColumnFormula>
    </tableColumn>
    <tableColumn id="13" name="2023 cumul   " totalsRowFunction="average" dataDxfId="1562" totalsRowDxfId="1561">
      <calculatedColumnFormula>IF(TRDTIRR[[#This Row],[2024]]="","",DONNÉES!AB156)</calculatedColumnFormula>
    </tableColumn>
    <tableColumn id="12" name="2024    " totalsRowFunction="average" dataDxfId="1560" totalsRowDxfId="1559">
      <calculatedColumnFormula>IF(TRDTIRR[[#This Row],[2024]]="","",DONNÉES!AA92)</calculatedColumnFormula>
    </tableColumn>
    <tableColumn id="11" name="2023    " totalsRowFunction="average" dataDxfId="1558" totalsRowDxfId="1557">
      <calculatedColumnFormula>IF(TRDTIRR[[#This Row],[2024]]="","",DONNÉES!AB92)</calculatedColumnFormula>
    </tableColumn>
    <tableColumn id="10" name="2024 cumul    " totalsRowFunction="average" dataDxfId="1556" totalsRowDxfId="1555">
      <calculatedColumnFormula>IF(TRDTIRR[[#This Row],[2024]]="","",DONNÉES!AA172)</calculatedColumnFormula>
    </tableColumn>
    <tableColumn id="7" name="2023 cumul    " totalsRowFunction="average" dataDxfId="1554" totalsRowDxfId="1553">
      <calculatedColumnFormula>IF(TRDTIRR[[#This Row],[2024]]="","",DONNÉES!AB172)</calculatedColumnFormula>
    </tableColumn>
  </tableColumns>
  <tableStyleInfo name="TableStyleMedium13" showFirstColumn="0" showLastColumn="0" showRowStripes="1" showColumnStripes="0"/>
</table>
</file>

<file path=xl/tables/table348.xml><?xml version="1.0" encoding="utf-8"?>
<table xmlns="http://schemas.openxmlformats.org/spreadsheetml/2006/main" id="348" name="TRDTTIRR" displayName="TRDTTIRR" ref="S35:V47" headerRowCount="1" headerRowDxfId="1552" dataDxfId="1551" totalsRowDxfId="1550" headerRowCellStyle="Normal 5">
  <tableColumns count="4">
    <tableColumn id="2" name="2024" totalsRowFunction="average" dataDxfId="1549" totalsRowDxfId="1548">
      <calculatedColumnFormula>IF(TRDTIRR[[#This Row],[2024]]="","",DONNÉES!AA108)</calculatedColumnFormula>
    </tableColumn>
    <tableColumn id="3" name="2023" totalsRowFunction="average" dataDxfId="1547" totalsRowDxfId="1546">
      <calculatedColumnFormula>IF(TRDTIRR[[#This Row],[2024]]="","",DONNÉES!AB108)</calculatedColumnFormula>
    </tableColumn>
    <tableColumn id="4" name="2024 cumul" totalsRowFunction="average" dataDxfId="1545" totalsRowDxfId="1544">
      <calculatedColumnFormula>IF(TRDTIRR[[#This Row],[2024]]="","",DONNÉES!AA188)</calculatedColumnFormula>
    </tableColumn>
    <tableColumn id="6" name="2023 cumul" totalsRowFunction="average" dataDxfId="1543" totalsRowDxfId="1542">
      <calculatedColumnFormula>IF(TRDTIRR[[#This Row],[2024]]="","",DONNÉES!AB188)</calculatedColumnFormula>
    </tableColumn>
  </tableColumns>
  <tableStyleInfo name="TableStyleMedium13" showFirstColumn="0" showLastColumn="0" showRowStripes="1" showColumnStripes="0"/>
</table>
</file>

<file path=xl/tables/table349.xml><?xml version="1.0" encoding="utf-8"?>
<table xmlns="http://schemas.openxmlformats.org/spreadsheetml/2006/main" id="349" name="TRDVR7" displayName="TRDVR7" ref="A52:Q64" headerRowCount="1" headerRowDxfId="1541" dataDxfId="1540" totalsRowDxfId="1539">
  <tableColumns count="17">
    <tableColumn id="1" name="VR7" totalsRowLabel=" TOTAL " dataDxfId="1538" totalsRowDxfId="1537"/>
    <tableColumn id="2" name="2024" totalsRowFunction="average" dataDxfId="1536" totalsRowDxfId="1535">
      <calculatedColumnFormula>IF(DONNÉES!AI44="","",DONNÉES!AI44)</calculatedColumnFormula>
    </tableColumn>
    <tableColumn id="3" name="2023" totalsRowFunction="average" dataDxfId="1534" totalsRowDxfId="1533">
      <calculatedColumnFormula>IF(TRDVR7[[#This Row],[2024]]="","",DONNÉES!AJ44)</calculatedColumnFormula>
    </tableColumn>
    <tableColumn id="4" name="2024 cumul" totalsRowFunction="average" dataDxfId="1532" totalsRowDxfId="1531">
      <calculatedColumnFormula>IF(TRDVR7[[#This Row],[2024]]="","",DONNÉES!AI124)</calculatedColumnFormula>
    </tableColumn>
    <tableColumn id="5" name="2023 cumul" totalsRowFunction="average" dataDxfId="1530" totalsRowDxfId="1529">
      <calculatedColumnFormula>IF(TRDVR7[[#This Row],[2024]]="","",DONNÉES!AJ124)</calculatedColumnFormula>
    </tableColumn>
    <tableColumn id="8" name="2024  " totalsRowFunction="average" dataDxfId="1528" totalsRowDxfId="1527">
      <calculatedColumnFormula>IF(TRDVR7[[#This Row],[2024]]="","",DONNÉES!AI60)</calculatedColumnFormula>
    </tableColumn>
    <tableColumn id="9" name="2023  " totalsRowFunction="average" dataDxfId="1526" totalsRowDxfId="1525">
      <calculatedColumnFormula>IF(TRDVR7[[#This Row],[2024]]="","",DONNÉES!AJ60)</calculatedColumnFormula>
    </tableColumn>
    <tableColumn id="6" name="2024 cumul " totalsRowFunction="average" dataDxfId="1524" totalsRowDxfId="1523">
      <calculatedColumnFormula>IF(TRDVR7[[#This Row],[2024]]="","",DONNÉES!AI140)</calculatedColumnFormula>
    </tableColumn>
    <tableColumn id="17" name="2023 cumul " totalsRowFunction="average" dataDxfId="1522" totalsRowDxfId="1521">
      <calculatedColumnFormula>IF(TRDVR7[[#This Row],[2024]]="","",DONNÉES!AJ140)</calculatedColumnFormula>
    </tableColumn>
    <tableColumn id="16" name="2024   " totalsRowFunction="average" dataDxfId="1520" totalsRowDxfId="1519">
      <calculatedColumnFormula>IF(TRDVR7[[#This Row],[2024]]="","",DONNÉES!AI76)</calculatedColumnFormula>
    </tableColumn>
    <tableColumn id="15" name="2023   " totalsRowFunction="average" dataDxfId="1518" totalsRowDxfId="1517">
      <calculatedColumnFormula>IF(TRDVR7[[#This Row],[2024]]="","",DONNÉES!AJ76)</calculatedColumnFormula>
    </tableColumn>
    <tableColumn id="14" name="2024 cumul   " totalsRowFunction="average" dataDxfId="1516" totalsRowDxfId="1515">
      <calculatedColumnFormula>IF(TRDVR7[[#This Row],[2024]]="","",DONNÉES!AI156)</calculatedColumnFormula>
    </tableColumn>
    <tableColumn id="13" name="2023 cumul   " totalsRowFunction="average" dataDxfId="1514" totalsRowDxfId="1513">
      <calculatedColumnFormula>IF(TRDVR7[[#This Row],[2024]]="","",DONNÉES!AJ156)</calculatedColumnFormula>
    </tableColumn>
    <tableColumn id="12" name="2024    " totalsRowFunction="average" dataDxfId="1512" totalsRowDxfId="1511">
      <calculatedColumnFormula>IF(TRDVR7[[#This Row],[2024]]="","",DONNÉES!AI92)</calculatedColumnFormula>
    </tableColumn>
    <tableColumn id="11" name="2023    " totalsRowFunction="average" dataDxfId="1510" totalsRowDxfId="1509">
      <calculatedColumnFormula>IF(TRDVR7[[#This Row],[2024]]="","",DONNÉES!AJ92)</calculatedColumnFormula>
    </tableColumn>
    <tableColumn id="10" name="2024 cumul    " totalsRowFunction="average" dataDxfId="1508" totalsRowDxfId="1507">
      <calculatedColumnFormula>IF(TRDVR7[[#This Row],[2024]]="","",DONNÉES!AI172)</calculatedColumnFormula>
    </tableColumn>
    <tableColumn id="7" name="2023 cumul    " totalsRowFunction="average" dataDxfId="1506" totalsRowDxfId="1505">
      <calculatedColumnFormula>IF(TRDVR7[[#This Row],[2024]]="","",DONNÉES!AJ172)</calculatedColumnFormula>
    </tableColumn>
  </tableColumns>
  <tableStyleInfo name="TableStyleMedium13" showFirstColumn="0" showLastColumn="0" showRowStripes="1" showColumnStripes="0"/>
</table>
</file>

<file path=xl/tables/table350.xml><?xml version="1.0" encoding="utf-8"?>
<table xmlns="http://schemas.openxmlformats.org/spreadsheetml/2006/main" id="350" name="TRDTVR7" displayName="TRDTVR7" ref="S52:V64" headerRowCount="1" headerRowDxfId="1504" dataDxfId="1503" totalsRowDxfId="1502" headerRowCellStyle="Normal 5">
  <tableColumns count="4">
    <tableColumn id="2" name="2024" totalsRowFunction="average" dataDxfId="1501" totalsRowDxfId="1500">
      <calculatedColumnFormula>IF(TRDVR7[[#This Row],[2024]]="","",DONNÉES!AI108)</calculatedColumnFormula>
    </tableColumn>
    <tableColumn id="3" name="2023" totalsRowFunction="average" dataDxfId="1499" totalsRowDxfId="1498">
      <calculatedColumnFormula>IF(TRDVR7[[#This Row],[2024]]="","",DONNÉES!AJ108)</calculatedColumnFormula>
    </tableColumn>
    <tableColumn id="4" name="2024 cumul" totalsRowFunction="average" dataDxfId="1497" totalsRowDxfId="1496">
      <calculatedColumnFormula>IF(TRDVR7[[#This Row],[2024]]="","",DONNÉES!AI188)</calculatedColumnFormula>
    </tableColumn>
    <tableColumn id="1" name="2023 cumul" totalsRowFunction="average" dataDxfId="1495" totalsRowDxfId="1494">
      <calculatedColumnFormula>IF(TRDVR7[[#This Row],[2024]]="","",DONNÉES!AJ188)</calculatedColumnFormula>
    </tableColumn>
  </tableColumns>
  <tableStyleInfo name="TableStyleMedium13" showFirstColumn="0" showLastColumn="0" showRowStripes="1" showColumnStripes="0"/>
</table>
</file>

<file path=xl/tables/table351.xml><?xml version="1.0" encoding="utf-8"?>
<table xmlns="http://schemas.openxmlformats.org/spreadsheetml/2006/main" id="351" name="TRDTURVILLA" displayName="TRDTURVILLA" ref="A67:Q79" headerRowCount="1" headerRowDxfId="1493" dataDxfId="1492" totalsRowDxfId="1491">
  <tableColumns count="17">
    <tableColumn id="1" name="TURVILLA" totalsRowLabel=" TOTAL " dataDxfId="1490" totalsRowDxfId="1489"/>
    <tableColumn id="2" name="2024" totalsRowFunction="average" dataDxfId="1488" totalsRowDxfId="1487">
      <calculatedColumnFormula>IF(DONNÉES!AQ44="","",DONNÉES!AQ44)</calculatedColumnFormula>
    </tableColumn>
    <tableColumn id="3" name="2023" totalsRowFunction="average" dataDxfId="1486" totalsRowDxfId="1485">
      <calculatedColumnFormula>IF(TRDTURVILLA[[#This Row],[2024]]="","",DONNÉES!AR44)</calculatedColumnFormula>
    </tableColumn>
    <tableColumn id="4" name="2024 cumul" totalsRowFunction="average" dataDxfId="1484" totalsRowDxfId="1483">
      <calculatedColumnFormula>IF(TRDTURVILLA[[#This Row],[2024]]="","",DONNÉES!AQ124)</calculatedColumnFormula>
    </tableColumn>
    <tableColumn id="5" name="2023 cumul" totalsRowFunction="average" dataDxfId="1482" totalsRowDxfId="1481">
      <calculatedColumnFormula>IF(TRDTURVILLA[[#This Row],[2024]]="","",DONNÉES!AR124)</calculatedColumnFormula>
    </tableColumn>
    <tableColumn id="8" name="2024  " totalsRowFunction="average" dataDxfId="1480" totalsRowDxfId="1479">
      <calculatedColumnFormula>IF(TRDTURVILLA[[#This Row],[2024]]="","",DONNÉES!AQ60)</calculatedColumnFormula>
    </tableColumn>
    <tableColumn id="9" name="2023  " totalsRowFunction="average" dataDxfId="1478" totalsRowDxfId="1477">
      <calculatedColumnFormula>IF(TRDTURVILLA[[#This Row],[2024]]="","",DONNÉES!#REF!)</calculatedColumnFormula>
    </tableColumn>
    <tableColumn id="6" name="2024 cumul " totalsRowFunction="average" dataDxfId="1476" totalsRowDxfId="1475">
      <calculatedColumnFormula>IF(TRDTURVILLA[[#This Row],[2024]]="","",DONNÉES!AQ140)</calculatedColumnFormula>
    </tableColumn>
    <tableColumn id="7" name="2023 cumul " totalsRowFunction="average" dataDxfId="1474" totalsRowDxfId="1473">
      <calculatedColumnFormula>IF(TRDTURVILLA[[#This Row],[2024]]="","",DONNÉES!AR140)</calculatedColumnFormula>
    </tableColumn>
    <tableColumn id="17" name="2024   " totalsRowFunction="average" dataDxfId="1472" totalsRowDxfId="1471">
      <calculatedColumnFormula>IF(TRDTURVILLA[[#This Row],[2024]]="","",DONNÉES!AQ76)</calculatedColumnFormula>
    </tableColumn>
    <tableColumn id="16" name="2023   " totalsRowFunction="average" dataDxfId="1470" totalsRowDxfId="1469">
      <calculatedColumnFormula>IF(TRDTURVILLA[[#This Row],[2024]]="","",DONNÉES!AR76)</calculatedColumnFormula>
    </tableColumn>
    <tableColumn id="15" name="2024 cumul   " totalsRowFunction="average" dataDxfId="1468" totalsRowDxfId="1467">
      <calculatedColumnFormula>IF(TRDTURVILLA[[#This Row],[2024]]="","",DONNÉES!AQ156)</calculatedColumnFormula>
    </tableColumn>
    <tableColumn id="14" name="2023 cumul   " totalsRowFunction="average" dataDxfId="1466" totalsRowDxfId="1465">
      <calculatedColumnFormula>IF(TRDTURVILLA[[#This Row],[2024]]="","",DONNÉES!AR156)</calculatedColumnFormula>
    </tableColumn>
    <tableColumn id="13" name="2024    " totalsRowFunction="average" dataDxfId="1464" totalsRowDxfId="1463">
      <calculatedColumnFormula>IF(TRDTURVILLA[[#This Row],[2024]]="","",DONNÉES!AQ92)</calculatedColumnFormula>
    </tableColumn>
    <tableColumn id="12" name="2023    " totalsRowFunction="average" dataDxfId="1462" totalsRowDxfId="1461">
      <calculatedColumnFormula>IF(TRDTURVILLA[[#This Row],[2024]]="","",DONNÉES!AR92)</calculatedColumnFormula>
    </tableColumn>
    <tableColumn id="11" name="2024 cumul    " totalsRowFunction="average" dataDxfId="1460" totalsRowDxfId="1459">
      <calculatedColumnFormula>IF(TRDTURVILLA[[#This Row],[2024]]="","",DONNÉES!AQ172)</calculatedColumnFormula>
    </tableColumn>
    <tableColumn id="10" name="2023 cumul    " totalsRowFunction="average" dataDxfId="1458" totalsRowDxfId="1457">
      <calculatedColumnFormula>IF(TRDTURVILLA[[#This Row],[2024]]="","",DONNÉES!AR172)</calculatedColumnFormula>
    </tableColumn>
  </tableColumns>
  <tableStyleInfo name="TableStyleMedium10" showFirstColumn="0" showLastColumn="0" showRowStripes="1" showColumnStripes="0"/>
</table>
</file>

<file path=xl/tables/table352.xml><?xml version="1.0" encoding="utf-8"?>
<table xmlns="http://schemas.openxmlformats.org/spreadsheetml/2006/main" id="352" name="TRDTTURVILLA" displayName="TRDTTURVILLA" ref="S67:V79" headerRowCount="1" headerRowDxfId="1456" dataDxfId="1455" totalsRowDxfId="1454" headerRowCellStyle="Normal 5">
  <tableColumns count="4">
    <tableColumn id="2" name="2024" totalsRowFunction="average" dataDxfId="1453" totalsRowDxfId="1452">
      <calculatedColumnFormula>IF(TRDTURVILLA[[#This Row],[2024]]="","",DONNÉES!AQ108)</calculatedColumnFormula>
    </tableColumn>
    <tableColumn id="3" name="2023" totalsRowFunction="average" dataDxfId="1451" totalsRowDxfId="1450">
      <calculatedColumnFormula>IF(TRDTURVILLA[[#This Row],[2024]]="","",DONNÉES!AR108)</calculatedColumnFormula>
    </tableColumn>
    <tableColumn id="4" name="2024 cumul" totalsRowFunction="average" dataDxfId="1449" totalsRowDxfId="1448">
      <calculatedColumnFormula>IF(TRDTURVILLA[[#This Row],[2024]]="","",DONNÉES!AQ188)</calculatedColumnFormula>
    </tableColumn>
    <tableColumn id="1" name="2023 cumul" totalsRowFunction="average" dataDxfId="1447" totalsRowDxfId="1446">
      <calculatedColumnFormula>IF(TRDTURVILLA[[#This Row],[2024]]="","",DONNÉES!AR188)</calculatedColumnFormula>
    </tableColumn>
  </tableColumns>
  <tableStyleInfo name="TableStyleMedium10" showFirstColumn="0" showLastColumn="0" showRowStripes="1" showColumnStripes="0"/>
</table>
</file>

<file path=xl/tables/table353.xml><?xml version="1.0" encoding="utf-8"?>
<table xmlns="http://schemas.openxmlformats.org/spreadsheetml/2006/main" id="353" name="TRDHART" displayName="TRDHART" ref="A82:Q94" headerRowCount="1" headerRowDxfId="1445" dataDxfId="1444" totalsRowDxfId="1443">
  <tableColumns count="17">
    <tableColumn id="1" name="HART" totalsRowLabel=" TOTAL " dataDxfId="1442" totalsRowDxfId="1441"/>
    <tableColumn id="2" name="2024" totalsRowFunction="average" dataDxfId="1440" totalsRowDxfId="1439">
      <calculatedColumnFormula>IF(DONNÉES!AY44="","",DONNÉES!AY44)</calculatedColumnFormula>
    </tableColumn>
    <tableColumn id="3" name="2023" totalsRowFunction="average" dataDxfId="1438" totalsRowDxfId="1437">
      <calculatedColumnFormula>IF(TRDHART[[#This Row],[2024]]="","",DONNÉES!AZ44)</calculatedColumnFormula>
    </tableColumn>
    <tableColumn id="4" name="2024 cumul" totalsRowFunction="average" dataDxfId="1436" totalsRowDxfId="1435">
      <calculatedColumnFormula>IF(TRDHART[[#This Row],[2024]]="","",DONNÉES!AY124)</calculatedColumnFormula>
    </tableColumn>
    <tableColumn id="5" name="2023 cumul" totalsRowFunction="average" dataDxfId="1434" totalsRowDxfId="1433">
      <calculatedColumnFormula>IF(TRDHART[[#This Row],[2024]]="","",DONNÉES!AZ124)</calculatedColumnFormula>
    </tableColumn>
    <tableColumn id="8" name="2024  " totalsRowFunction="average" dataDxfId="1432" totalsRowDxfId="1431">
      <calculatedColumnFormula>IF(TRDHART[[#This Row],[2024]]="","",DONNÉES!AY60)</calculatedColumnFormula>
    </tableColumn>
    <tableColumn id="9" name="2023  " totalsRowFunction="average" dataDxfId="1430" totalsRowDxfId="1429">
      <calculatedColumnFormula>IF(TRDHART[[#This Row],[2024]]="","",DONNÉES!AZ60)</calculatedColumnFormula>
    </tableColumn>
    <tableColumn id="6" name="2024 cumul " totalsRowFunction="average" dataDxfId="1428" totalsRowDxfId="1427">
      <calculatedColumnFormula>IF(TRDHART[[#This Row],[2024]]="","",DONNÉES!AY140)</calculatedColumnFormula>
    </tableColumn>
    <tableColumn id="7" name="2023 cumul " totalsRowFunction="average" dataDxfId="1426" totalsRowDxfId="1425">
      <calculatedColumnFormula>IF(TRDHART[[#This Row],[2024]]="","",DONNÉES!AZ140)</calculatedColumnFormula>
    </tableColumn>
    <tableColumn id="17" name="2024   " totalsRowFunction="average" dataDxfId="1424" totalsRowDxfId="1423">
      <calculatedColumnFormula>IF(TRDHART[[#This Row],[2024]]="","",DONNÉES!AY76)</calculatedColumnFormula>
    </tableColumn>
    <tableColumn id="16" name="2023   " totalsRowFunction="average" dataDxfId="1422" totalsRowDxfId="1421">
      <calculatedColumnFormula>IF(TRDHART[[#This Row],[2024]]="","",DONNÉES!AZ76)</calculatedColumnFormula>
    </tableColumn>
    <tableColumn id="15" name="2024 cumul   " totalsRowFunction="average" dataDxfId="1420" totalsRowDxfId="1419">
      <calculatedColumnFormula>IF(TRDHART[[#This Row],[2024]]="","",DONNÉES!AY156)</calculatedColumnFormula>
    </tableColumn>
    <tableColumn id="14" name="2023 cumul   " totalsRowFunction="average" dataDxfId="1418" totalsRowDxfId="1417">
      <calculatedColumnFormula>IF(TRDHART[[#This Row],[2024]]="","",DONNÉES!AZ156)</calculatedColumnFormula>
    </tableColumn>
    <tableColumn id="13" name="2024    " totalsRowFunction="average" dataDxfId="1416" totalsRowDxfId="1415">
      <calculatedColumnFormula>IF(TRDHART[[#This Row],[2024]]="","",DONNÉES!AY92)</calculatedColumnFormula>
    </tableColumn>
    <tableColumn id="12" name="2023    " totalsRowFunction="average" dataDxfId="1414" totalsRowDxfId="1413">
      <calculatedColumnFormula>IF(TRDHART[[#This Row],[2024]]="","",DONNÉES!AZ92)</calculatedColumnFormula>
    </tableColumn>
    <tableColumn id="11" name="2024 cumul    " totalsRowFunction="average" dataDxfId="1412" totalsRowDxfId="1411">
      <calculatedColumnFormula>IF(TRDHART[[#This Row],[2024]]="","",DONNÉES!AY172)</calculatedColumnFormula>
    </tableColumn>
    <tableColumn id="10" name="2023 cumul    " totalsRowFunction="average" dataDxfId="1410" totalsRowDxfId="1409">
      <calculatedColumnFormula>IF(TRDHART[[#This Row],[2024]]="","",DONNÉES!AZ172)</calculatedColumnFormula>
    </tableColumn>
  </tableColumns>
  <tableStyleInfo name="TableStyleMedium10" showFirstColumn="0" showLastColumn="0" showRowStripes="1" showColumnStripes="0"/>
</table>
</file>

<file path=xl/tables/table354.xml><?xml version="1.0" encoding="utf-8"?>
<table xmlns="http://schemas.openxmlformats.org/spreadsheetml/2006/main" id="354" name="TRDTHART" displayName="TRDTHART" ref="S82:V94" headerRowCount="1" headerRowDxfId="1408" dataDxfId="1407" totalsRowDxfId="1406" headerRowCellStyle="Normal 5">
  <tableColumns count="4">
    <tableColumn id="2" name="2024" totalsRowFunction="average" dataDxfId="1405" totalsRowDxfId="1404">
      <calculatedColumnFormula>IF(TRDHART[[#This Row],[2024]]="","",DONNÉES!AY108)</calculatedColumnFormula>
    </tableColumn>
    <tableColumn id="3" name="2023" totalsRowFunction="average" dataDxfId="1403" totalsRowDxfId="1402">
      <calculatedColumnFormula>IF(TRDHART[[#This Row],[2024]]="","",DONNÉES!AZ108)</calculatedColumnFormula>
    </tableColumn>
    <tableColumn id="4" name="2024 cumul" totalsRowFunction="average" dataDxfId="1401" totalsRowDxfId="1400">
      <calculatedColumnFormula>IF(TRDHART[[#This Row],[2024]]="","",DONNÉES!AY188)</calculatedColumnFormula>
    </tableColumn>
    <tableColumn id="1" name="2023 cumul" totalsRowFunction="average" dataDxfId="1399" totalsRowDxfId="1398">
      <calculatedColumnFormula>IF(TRDHART[[#This Row],[2024]]="","",DONNÉES!AZ188)</calculatedColumnFormula>
    </tableColumn>
  </tableColumns>
  <tableStyleInfo name="TableStyleMedium10" showFirstColumn="0" showLastColumn="0" showRowStripes="1" showColumnStripes="0"/>
</table>
</file>

<file path=xl/tables/table355.xml><?xml version="1.0" encoding="utf-8"?>
<table xmlns="http://schemas.openxmlformats.org/spreadsheetml/2006/main" id="355" name="TRDVICTOIRE" displayName="TRDVICTOIRE" ref="A97:Q109" headerRowCount="1" headerRowDxfId="1397" dataDxfId="1396" totalsRowDxfId="1395">
  <tableColumns count="17">
    <tableColumn id="1" name="VICTOIRE'S" totalsRowLabel=" TOTAL " dataDxfId="1394" totalsRowDxfId="1393"/>
    <tableColumn id="2" name="2024" totalsRowFunction="average" dataDxfId="1392" totalsRowDxfId="1391">
      <calculatedColumnFormula>IF(DONNÉES!BG44="","",DONNÉES!BG44)</calculatedColumnFormula>
    </tableColumn>
    <tableColumn id="3" name="2023" totalsRowFunction="average" dataDxfId="1390" totalsRowDxfId="1389">
      <calculatedColumnFormula>IF(TRDVICTOIRE[[#This Row],[2024]]="","",DONNÉES!BH44)</calculatedColumnFormula>
    </tableColumn>
    <tableColumn id="4" name="2024 cumul" totalsRowFunction="average" dataDxfId="1388" totalsRowDxfId="1387">
      <calculatedColumnFormula>IF(TRDVICTOIRE[[#This Row],[2024]]="","",DONNÉES!BG124)</calculatedColumnFormula>
    </tableColumn>
    <tableColumn id="5" name="2023 cumul" totalsRowFunction="average" dataDxfId="1386" totalsRowDxfId="1385">
      <calculatedColumnFormula>IF(TRDVICTOIRE[[#This Row],[2024]]="","",DONNÉES!BH124)</calculatedColumnFormula>
    </tableColumn>
    <tableColumn id="8" name="2024  " totalsRowFunction="average" dataDxfId="1384" totalsRowDxfId="1383">
      <calculatedColumnFormula>IF(TRDVICTOIRE[[#This Row],[2024]]="","",DONNÉES!#REF!)</calculatedColumnFormula>
    </tableColumn>
    <tableColumn id="9" name="2023  " totalsRowFunction="average" dataDxfId="1382" totalsRowDxfId="1381">
      <calculatedColumnFormula>IF(TRDVICTOIRE[[#This Row],[2024]]="","",DONNÉES!BH60)</calculatedColumnFormula>
    </tableColumn>
    <tableColumn id="6" name="2024 cumul " totalsRowFunction="average" dataDxfId="1380" totalsRowDxfId="1379">
      <calculatedColumnFormula>IF(TRDVICTOIRE[[#This Row],[2024]]="","",DONNÉES!BG140)</calculatedColumnFormula>
    </tableColumn>
    <tableColumn id="17" name="2023 cumul " totalsRowFunction="average" dataDxfId="1378" totalsRowDxfId="1377">
      <calculatedColumnFormula>IF(TRDVICTOIRE[[#This Row],[2024]]="","",DONNÉES!BH140)</calculatedColumnFormula>
    </tableColumn>
    <tableColumn id="16" name="2024   " totalsRowFunction="average" dataDxfId="1376" totalsRowDxfId="1375">
      <calculatedColumnFormula>IF(TRDVICTOIRE[[#This Row],[2024]]="","",DONNÉES!BG76)</calculatedColumnFormula>
    </tableColumn>
    <tableColumn id="15" name="2023   " totalsRowFunction="average" dataDxfId="1374" totalsRowDxfId="1373">
      <calculatedColumnFormula>IF(TRDVICTOIRE[[#This Row],[2024]]="","",DONNÉES!BH76)</calculatedColumnFormula>
    </tableColumn>
    <tableColumn id="14" name="2024 cumul   " totalsRowFunction="average" dataDxfId="1372" totalsRowDxfId="1371">
      <calculatedColumnFormula>IF(TRDVICTOIRE[[#This Row],[2024]]="","",DONNÉES!BG156)</calculatedColumnFormula>
    </tableColumn>
    <tableColumn id="13" name="2023 cumul   " totalsRowFunction="average" dataDxfId="1370" totalsRowDxfId="1369">
      <calculatedColumnFormula>IF(TRDVICTOIRE[[#This Row],[2024]]="","",DONNÉES!BH156)</calculatedColumnFormula>
    </tableColumn>
    <tableColumn id="12" name="2024    " totalsRowFunction="average" dataDxfId="1368" totalsRowDxfId="1367">
      <calculatedColumnFormula>IF(TRDVICTOIRE[[#This Row],[2024]]="","",DONNÉES!BG92)</calculatedColumnFormula>
    </tableColumn>
    <tableColumn id="11" name="2023    " totalsRowFunction="average" dataDxfId="1366" totalsRowDxfId="1365">
      <calculatedColumnFormula>IF(TRDVICTOIRE[[#This Row],[2024]]="","",DONNÉES!BH92)</calculatedColumnFormula>
    </tableColumn>
    <tableColumn id="10" name="2024 cumul    " totalsRowFunction="average" dataDxfId="1364" totalsRowDxfId="1363">
      <calculatedColumnFormula>IF(TRDVICTOIRE[[#This Row],[2024]]="","",DONNÉES!BG172)</calculatedColumnFormula>
    </tableColumn>
    <tableColumn id="7" name="2023 cumul    " totalsRowFunction="average" dataDxfId="1362" totalsRowDxfId="1361">
      <calculatedColumnFormula>IF(TRDVICTOIRE[[#This Row],[2024]]="","",DONNÉES!BH172)</calculatedColumnFormula>
    </tableColumn>
  </tableColumns>
  <tableStyleInfo name="TableStyleMedium12" showFirstColumn="0" showLastColumn="0" showRowStripes="1" showColumnStripes="0"/>
</table>
</file>

<file path=xl/tables/table356.xml><?xml version="1.0" encoding="utf-8"?>
<table xmlns="http://schemas.openxmlformats.org/spreadsheetml/2006/main" id="356" name="TRDTVICTOIRE" displayName="TRDTVICTOIRE" ref="S97:V109" headerRowCount="1" headerRowDxfId="1360" dataDxfId="1359" totalsRowDxfId="1358" headerRowCellStyle="Normal 5">
  <tableColumns count="4">
    <tableColumn id="2" name="2024" totalsRowFunction="average" dataDxfId="1357" totalsRowDxfId="1356">
      <calculatedColumnFormula>IF(TRDVICTOIRE[[#This Row],[2024]]="","",DONNÉES!BG108)</calculatedColumnFormula>
    </tableColumn>
    <tableColumn id="3" name="2023" totalsRowFunction="average" dataDxfId="1355" totalsRowDxfId="1354">
      <calculatedColumnFormula>IF(TRDVICTOIRE[[#This Row],[2024]]="","",DONNÉES!BH108)</calculatedColumnFormula>
    </tableColumn>
    <tableColumn id="4" name="2024 cumul" totalsRowFunction="average" dataDxfId="1353" totalsRowDxfId="1352">
      <calculatedColumnFormula>IF(TRDVICTOIRE[[#This Row],[2024]]="","",DONNÉES!BG188)</calculatedColumnFormula>
    </tableColumn>
    <tableColumn id="6" name="2023 cumul" totalsRowFunction="average" dataDxfId="1351" totalsRowDxfId="1350">
      <calculatedColumnFormula>IF(TRDVICTOIRE[[#This Row],[2024]]="","",DONNÉES!BH188)</calculatedColumnFormula>
    </tableColumn>
  </tableColumns>
  <tableStyleInfo name="TableStyleMedium12" showFirstColumn="0" showLastColumn="0" showRowStripes="1" showColumnStripes="0"/>
</table>
</file>

<file path=xl/tables/table357.xml><?xml version="1.0" encoding="utf-8"?>
<table xmlns="http://schemas.openxmlformats.org/spreadsheetml/2006/main" id="357" name="TRDARTHUR" displayName="TRDARTHUR" ref="A173:Q185" headerRowCount="1" headerRowDxfId="1349" dataDxfId="1348" totalsRowDxfId="1347">
  <tableColumns count="17">
    <tableColumn id="1" name="ARTHUR" totalsRowLabel=" TOTAL " dataDxfId="1346" totalsRowDxfId="1345"/>
    <tableColumn id="2" name="2024" totalsRowFunction="average" dataDxfId="1344" totalsRowDxfId="1343">
      <calculatedColumnFormula>IF(DONNÉES!CU44="","",DONNÉES!CU44)</calculatedColumnFormula>
    </tableColumn>
    <tableColumn id="3" name="2023" totalsRowFunction="average" dataDxfId="1342" totalsRowDxfId="1341">
      <calculatedColumnFormula>IF(TRDARTHUR[[#This Row],[2024]]="","",DONNÉES!CV44)</calculatedColumnFormula>
    </tableColumn>
    <tableColumn id="4" name="2024 cumul" totalsRowFunction="average" dataDxfId="1340" totalsRowDxfId="1339">
      <calculatedColumnFormula>IF(TRDARTHUR[[#This Row],[2024]]="","",DONNÉES!CU124)</calculatedColumnFormula>
    </tableColumn>
    <tableColumn id="5" name="2023 cumul" totalsRowFunction="average" dataDxfId="1338" totalsRowDxfId="1337">
      <calculatedColumnFormula>IF(TRDARTHUR[[#This Row],[2024]]="","",DONNÉES!CV124)</calculatedColumnFormula>
    </tableColumn>
    <tableColumn id="8" name="2024  " totalsRowFunction="average" dataDxfId="1336" totalsRowDxfId="1335">
      <calculatedColumnFormula>IF(TRDARTHUR[[#This Row],[2024]]="","",DONNÉES!CU60)</calculatedColumnFormula>
    </tableColumn>
    <tableColumn id="9" name="2023  " totalsRowFunction="average" dataDxfId="1334" totalsRowDxfId="1333">
      <calculatedColumnFormula>IF(TRDARTHUR[[#This Row],[2024]]="","",DONNÉES!CV60)</calculatedColumnFormula>
    </tableColumn>
    <tableColumn id="6" name="2024 cumul " totalsRowFunction="average" dataDxfId="1332" totalsRowDxfId="1331">
      <calculatedColumnFormula>IF(TRDARTHUR[[#This Row],[2024]]="","",DONNÉES!CU140)</calculatedColumnFormula>
    </tableColumn>
    <tableColumn id="7" name="2023 cumul " totalsRowFunction="average" dataDxfId="1330" totalsRowDxfId="1329">
      <calculatedColumnFormula>IF(TRDARTHUR[[#This Row],[2024]]="","",DONNÉES!CV140)</calculatedColumnFormula>
    </tableColumn>
    <tableColumn id="17" name="2024   " totalsRowFunction="average" dataDxfId="1328" totalsRowDxfId="1327">
      <calculatedColumnFormula>IF(TRDARTHUR[[#This Row],[2024]]="","",DONNÉES!CU76)</calculatedColumnFormula>
    </tableColumn>
    <tableColumn id="16" name="2023   " totalsRowFunction="average" dataDxfId="1326" totalsRowDxfId="1325">
      <calculatedColumnFormula>IF(TRDARTHUR[[#This Row],[2024]]="","",DONNÉES!CV76)</calculatedColumnFormula>
    </tableColumn>
    <tableColumn id="15" name="2024 cumul   " totalsRowFunction="average" dataDxfId="1324" totalsRowDxfId="1323">
      <calculatedColumnFormula>IF(TRDARTHUR[[#This Row],[2024]]="","",DONNÉES!CU156)</calculatedColumnFormula>
    </tableColumn>
    <tableColumn id="14" name="2023 cumul   " totalsRowFunction="average" dataDxfId="1322" totalsRowDxfId="1321">
      <calculatedColumnFormula>IF(TRDARTHUR[[#This Row],[2024]]="","",DONNÉES!CV156)</calculatedColumnFormula>
    </tableColumn>
    <tableColumn id="13" name="2024    " totalsRowFunction="average" dataDxfId="1320" totalsRowDxfId="1319">
      <calculatedColumnFormula>IF(TRDARTHUR[[#This Row],[2024]]="","",DONNÉES!CU92)</calculatedColumnFormula>
    </tableColumn>
    <tableColumn id="12" name="2023    " totalsRowFunction="average" dataDxfId="1318" totalsRowDxfId="1317">
      <calculatedColumnFormula>IF(TRDARTHUR[[#This Row],[2024]]="","",DONNÉES!CV92)</calculatedColumnFormula>
    </tableColumn>
    <tableColumn id="11" name="2024 cumul    " totalsRowFunction="average" dataDxfId="1316" totalsRowDxfId="1315">
      <calculatedColumnFormula>IF(TRDARTHUR[[#This Row],[2024]]="","",DONNÉES!CU172)</calculatedColumnFormula>
    </tableColumn>
    <tableColumn id="10" name="2023 cumul    " totalsRowFunction="average" dataDxfId="1314" totalsRowDxfId="1313">
      <calculatedColumnFormula>IF(TRDARTHUR[[#This Row],[2024]]="","",DONNÉES!CV172)</calculatedColumnFormula>
    </tableColumn>
  </tableColumns>
  <tableStyleInfo name="TableStyleMedium8" showFirstColumn="0" showLastColumn="0" showRowStripes="1" showColumnStripes="0"/>
</table>
</file>

<file path=xl/tables/table358.xml><?xml version="1.0" encoding="utf-8"?>
<table xmlns="http://schemas.openxmlformats.org/spreadsheetml/2006/main" id="358" name="TRDTARTHUR" displayName="TRDTARTHUR" ref="S173:V185" headerRowCount="1" headerRowDxfId="1312" dataDxfId="1311" totalsRowDxfId="1310" headerRowCellStyle="Normal 5">
  <tableColumns count="4">
    <tableColumn id="2" name="2024" totalsRowFunction="average" dataDxfId="1309" totalsRowDxfId="1308">
      <calculatedColumnFormula>IF(TRDARTHUR[[#This Row],[2024]]="","",DONNÉES!CU108)</calculatedColumnFormula>
    </tableColumn>
    <tableColumn id="3" name="2023" totalsRowFunction="average" dataDxfId="1307" totalsRowDxfId="1306">
      <calculatedColumnFormula>IF(TRDARTHUR[[#This Row],[2024]]="","",DONNÉES!CV108)</calculatedColumnFormula>
    </tableColumn>
    <tableColumn id="4" name="2024 cumul" totalsRowFunction="average" dataDxfId="1305" totalsRowDxfId="1304">
      <calculatedColumnFormula>IF(TRDARTHUR[[#This Row],[2024]]="","",DONNÉES!CU188)</calculatedColumnFormula>
    </tableColumn>
    <tableColumn id="1" name="2023 cumul" totalsRowFunction="average" dataDxfId="1303" totalsRowDxfId="1302">
      <calculatedColumnFormula>IF(TRDARTHUR[[#This Row],[2024]]="","",DONNÉES!CV188)</calculatedColumnFormula>
    </tableColumn>
  </tableColumns>
  <tableStyleInfo name="TableStyleMedium8" showFirstColumn="0" showLastColumn="0" showRowStripes="1" showColumnStripes="0"/>
</table>
</file>

<file path=xl/tables/table359.xml><?xml version="1.0" encoding="utf-8"?>
<table xmlns="http://schemas.openxmlformats.org/spreadsheetml/2006/main" id="359" name="TRDHUGO" displayName="TRDHUGO" ref="A188:Q200" headerRowCount="1" headerRowDxfId="1301" totalsRowDxfId="1300" headerRowCellStyle="Normal 5">
  <tableColumns count="17">
    <tableColumn id="1" name="HUGO" totalsRowLabel=" TOTAL " dataDxfId="1299" totalsRowDxfId="1298" dataCellStyle="Normal 5"/>
    <tableColumn id="2" name="2024" totalsRowFunction="average" dataDxfId="1297" totalsRowDxfId="1296" dataCellStyle="Milliers">
      <calculatedColumnFormula>IF(DONNÉES!CM44="","",DONNÉES!CM44)</calculatedColumnFormula>
    </tableColumn>
    <tableColumn id="3" name="2023" totalsRowFunction="average" dataDxfId="1295" totalsRowDxfId="1294" dataCellStyle="Milliers">
      <calculatedColumnFormula>IF(TRDHUGO[[#This Row],[2024]]="","",DONNÉES!CN44)</calculatedColumnFormula>
    </tableColumn>
    <tableColumn id="4" name="2024 cumul" totalsRowFunction="average" dataDxfId="1293" totalsRowDxfId="1292" dataCellStyle="Milliers">
      <calculatedColumnFormula>IF(TRDHUGO[[#This Row],[2024]]="","",DONNÉES!CM153)</calculatedColumnFormula>
    </tableColumn>
    <tableColumn id="5" name="2023 cumul" totalsRowFunction="average" dataDxfId="1291" totalsRowDxfId="1290" dataCellStyle="Milliers">
      <calculatedColumnFormula>IF(TRDHUGO[[#This Row],[2024]]="","",DONNÉES!CN124)</calculatedColumnFormula>
    </tableColumn>
    <tableColumn id="8" name="2024  " totalsRowFunction="average" dataDxfId="1289" totalsRowDxfId="1288" dataCellStyle="Milliers">
      <calculatedColumnFormula>IF(TRDHUGO[[#This Row],[2024]]="","",DONNÉES!CM60)</calculatedColumnFormula>
    </tableColumn>
    <tableColumn id="9" name="2023  " totalsRowFunction="average" dataDxfId="1287" totalsRowDxfId="1286" dataCellStyle="Milliers">
      <calculatedColumnFormula>IF(TRDHUGO[[#This Row],[2024]]="","",DONNÉES!CN60)</calculatedColumnFormula>
    </tableColumn>
    <tableColumn id="6" name="2024 cumul " totalsRowFunction="average" dataDxfId="1285" totalsRowDxfId="1284" dataCellStyle="Milliers">
      <calculatedColumnFormula>IF(TRDHUGO[[#This Row],[2024]]="","",DONNÉES!CM140)</calculatedColumnFormula>
    </tableColumn>
    <tableColumn id="7" name="2023 cumul " totalsRowFunction="average" dataDxfId="1283" totalsRowDxfId="1282" dataCellStyle="Milliers">
      <calculatedColumnFormula>IF(TRDHUGO[[#This Row],[2024]]="","",DONNÉES!CN140)</calculatedColumnFormula>
    </tableColumn>
    <tableColumn id="17" name="2024   " totalsRowFunction="average" dataDxfId="1281" totalsRowDxfId="1280" dataCellStyle="Milliers">
      <calculatedColumnFormula>IF(TRDHUGO[[#This Row],[2024]]="","",DONNÉES!CM76)</calculatedColumnFormula>
    </tableColumn>
    <tableColumn id="16" name="2023   " totalsRowFunction="average" dataDxfId="1279" totalsRowDxfId="1278" dataCellStyle="Milliers">
      <calculatedColumnFormula>IF(TRDHUGO[[#This Row],[2024]]="","",DONNÉES!CN76)</calculatedColumnFormula>
    </tableColumn>
    <tableColumn id="15" name="2024 cumul   " totalsRowFunction="average" dataDxfId="1277" totalsRowDxfId="1276" dataCellStyle="Milliers">
      <calculatedColumnFormula>IF(TRDHUGO[[#This Row],[2024]]="","",DONNÉES!CM156)</calculatedColumnFormula>
    </tableColumn>
    <tableColumn id="14" name="2023 cumul   " totalsRowFunction="average" dataDxfId="1275" totalsRowDxfId="1274" dataCellStyle="Milliers">
      <calculatedColumnFormula>IF(TRDHUGO[[#This Row],[2024]]="","",DONNÉES!CN156)</calculatedColumnFormula>
    </tableColumn>
    <tableColumn id="13" name="2024    " totalsRowFunction="average" dataDxfId="1273" totalsRowDxfId="1272" dataCellStyle="Milliers">
      <calculatedColumnFormula>IF(TRDHUGO[[#This Row],[2024]]="","",DONNÉES!CM92)</calculatedColumnFormula>
    </tableColumn>
    <tableColumn id="12" name="2023    " totalsRowFunction="average" dataDxfId="1271" totalsRowDxfId="1270" dataCellStyle="Milliers">
      <calculatedColumnFormula>IF(TRDHUGO[[#This Row],[2024]]="","",DONNÉES!CN92)</calculatedColumnFormula>
    </tableColumn>
    <tableColumn id="11" name="2024 cumul    " totalsRowFunction="average" dataDxfId="1269" totalsRowDxfId="1268" dataCellStyle="Milliers">
      <calculatedColumnFormula>IF(TRDHUGO[[#This Row],[2024]]="","",DONNÉES!CM172)</calculatedColumnFormula>
    </tableColumn>
    <tableColumn id="10" name="2023 cumul    " totalsRowFunction="average" dataDxfId="1267" totalsRowDxfId="1266" dataCellStyle="Milliers">
      <calculatedColumnFormula>IF(TRDHUGO[[#This Row],[2024]]="","",DONNÉES!CN172)</calculatedColumnFormula>
    </tableColumn>
  </tableColumns>
  <tableStyleInfo name="TableStyleMedium11" showFirstColumn="0" showLastColumn="0" showRowStripes="1" showColumnStripes="0"/>
</table>
</file>

<file path=xl/tables/table360.xml><?xml version="1.0" encoding="utf-8"?>
<table xmlns="http://schemas.openxmlformats.org/spreadsheetml/2006/main" id="360" name="TRDTHUGO" displayName="TRDTHUGO" ref="S188:V200" headerRowCount="1" headerRowDxfId="1265" totalsRowDxfId="1263" tableBorderDxfId="1264" headerRowCellStyle="Normal 5">
  <tableColumns count="4">
    <tableColumn id="2" name="2024" totalsRowFunction="average" dataDxfId="1262" totalsRowDxfId="1261" dataCellStyle="Milliers">
      <calculatedColumnFormula>IF(TRDHUGO[[#This Row],[2024]]="","",DONNÉES!CM108)</calculatedColumnFormula>
    </tableColumn>
    <tableColumn id="3" name="2023" totalsRowFunction="average" dataDxfId="1260" totalsRowDxfId="1259" dataCellStyle="Milliers">
      <calculatedColumnFormula>IF(TRDHUGO[[#This Row],[2024]]="","",DONNÉES!CN108)</calculatedColumnFormula>
    </tableColumn>
    <tableColumn id="4" name="2024 cumul" totalsRowFunction="average" dataDxfId="1258" totalsRowDxfId="1257" dataCellStyle="Milliers">
      <calculatedColumnFormula>IF(TRDHUGO[[#This Row],[2024]]="","",DONNÉES!CM188)</calculatedColumnFormula>
    </tableColumn>
    <tableColumn id="1" name="2023 cumul" totalsRowFunction="average" dataDxfId="1256" totalsRowDxfId="1255" dataCellStyle="Milliers">
      <calculatedColumnFormula>IF(TRDHUGO[[#This Row],[2024]]="","",DONNÉES!CN188)</calculatedColumnFormula>
    </tableColumn>
  </tableColumns>
  <tableStyleInfo name="TableStyleMedium11" showFirstColumn="0" showLastColumn="0" showRowStripes="1" showColumnStripes="0"/>
</table>
</file>

<file path=xl/tables/table361.xml><?xml version="1.0" encoding="utf-8"?>
<table xmlns="http://schemas.openxmlformats.org/spreadsheetml/2006/main" id="361" name="TRDJEANCLO" displayName="TRDJEANCLO" ref="A203:Q215" headerRowCount="1" headerRowDxfId="1254" totalsRowDxfId="1253" headerRowCellStyle="Normal 5">
  <tableColumns count="17">
    <tableColumn id="1" name="JEANCLO" totalsRowLabel=" TOTAL " dataDxfId="1252" totalsRowDxfId="1251" dataCellStyle="Normal 5"/>
    <tableColumn id="2" name="2024" totalsRowFunction="average" dataDxfId="1250" totalsRowDxfId="1249" dataCellStyle="Milliers">
      <calculatedColumnFormula>IF(DONNÉES!DK44="","",DONNÉES!DK44)</calculatedColumnFormula>
    </tableColumn>
    <tableColumn id="3" name="2023" totalsRowFunction="average" dataDxfId="1248" totalsRowDxfId="1247" dataCellStyle="Milliers">
      <calculatedColumnFormula>IF(TRDJEANCLO[[#This Row],[2024]]="","",DONNÉES!DL44)</calculatedColumnFormula>
    </tableColumn>
    <tableColumn id="4" name="2024 cumul" totalsRowFunction="average" dataDxfId="1246" totalsRowDxfId="1245" dataCellStyle="Milliers">
      <calculatedColumnFormula>IF(TRDJEANCLO[[#This Row],[2024]]="","",DONNÉES!DK124)</calculatedColumnFormula>
    </tableColumn>
    <tableColumn id="5" name="2023 cumul" totalsRowFunction="average" dataDxfId="1244" totalsRowDxfId="1243" dataCellStyle="Milliers">
      <calculatedColumnFormula>IF(TRDJEANCLO[[#This Row],[2024]]="","",DONNÉES!DL124)</calculatedColumnFormula>
    </tableColumn>
    <tableColumn id="8" name="2024  " totalsRowFunction="average" dataDxfId="1242" totalsRowDxfId="1241" dataCellStyle="Milliers">
      <calculatedColumnFormula>IF(TRDJEANCLO[[#This Row],[2024]]="","",DONNÉES!DK60)</calculatedColumnFormula>
    </tableColumn>
    <tableColumn id="9" name="2023  " totalsRowFunction="average" dataDxfId="1240" totalsRowDxfId="1239" dataCellStyle="Milliers">
      <calculatedColumnFormula>IF(TRDJEANCLO[[#This Row],[2024]]="","",DONNÉES!DL60)</calculatedColumnFormula>
    </tableColumn>
    <tableColumn id="6" name="2024 cumul " totalsRowFunction="average" dataDxfId="1238" totalsRowDxfId="1237" dataCellStyle="Milliers">
      <calculatedColumnFormula>IF(TRDJEANCLO[[#This Row],[2024]]="","",DONNÉES!DK140)</calculatedColumnFormula>
    </tableColumn>
    <tableColumn id="7" name="2023 cumul " totalsRowFunction="average" dataDxfId="1236" totalsRowDxfId="1235" dataCellStyle="Milliers">
      <calculatedColumnFormula>IF(TRDJEANCLO[[#This Row],[2024]]="","",DONNÉES!DL140)</calculatedColumnFormula>
    </tableColumn>
    <tableColumn id="17" name="2024   " totalsRowFunction="average" dataDxfId="1234" totalsRowDxfId="1233" dataCellStyle="Milliers">
      <calculatedColumnFormula>IF(TRDJEANCLO[[#This Row],[2024]]="","",DONNÉES!DK76)</calculatedColumnFormula>
    </tableColumn>
    <tableColumn id="16" name="2023   " totalsRowFunction="average" dataDxfId="1232" totalsRowDxfId="1231" dataCellStyle="Milliers">
      <calculatedColumnFormula>IF(TRDJEANCLO[[#This Row],[2024]]="","",DONNÉES!DL76)</calculatedColumnFormula>
    </tableColumn>
    <tableColumn id="15" name="2024 cumul   " totalsRowFunction="average" dataDxfId="1230" totalsRowDxfId="1229" dataCellStyle="Milliers">
      <calculatedColumnFormula>IF(TRDJEANCLO[[#This Row],[2024]]="","",DONNÉES!DK156)</calculatedColumnFormula>
    </tableColumn>
    <tableColumn id="14" name="2023 cumul   " totalsRowFunction="average" dataDxfId="1228" totalsRowDxfId="1227" dataCellStyle="Milliers">
      <calculatedColumnFormula>IF(TRDJEANCLO[[#This Row],[2024]]="","",DONNÉES!DL156)</calculatedColumnFormula>
    </tableColumn>
    <tableColumn id="13" name="2024    " totalsRowFunction="average" dataDxfId="1226" totalsRowDxfId="1225" dataCellStyle="Milliers">
      <calculatedColumnFormula>IF(TRDJEANCLO[[#This Row],[2024]]="","",DONNÉES!DK92)</calculatedColumnFormula>
    </tableColumn>
    <tableColumn id="12" name="2023    " totalsRowFunction="average" dataDxfId="1224" totalsRowDxfId="1223" dataCellStyle="Milliers">
      <calculatedColumnFormula>IF(TRDJEANCLO[[#This Row],[2024]]="","",DONNÉES!DL92)</calculatedColumnFormula>
    </tableColumn>
    <tableColumn id="11" name="2024 cumul    " totalsRowFunction="average" dataDxfId="1222" totalsRowDxfId="1221" dataCellStyle="Milliers">
      <calculatedColumnFormula>IF(TRDJEANCLO[[#This Row],[2024]]="","",DONNÉES!DK172)</calculatedColumnFormula>
    </tableColumn>
    <tableColumn id="10" name="2023 cumul    " totalsRowFunction="average" dataDxfId="1220" totalsRowDxfId="1219" dataCellStyle="Milliers">
      <calculatedColumnFormula>IF(TRDJEANCLO[[#This Row],[2024]]="","",DONNÉES!DL172)</calculatedColumnFormula>
    </tableColumn>
  </tableColumns>
  <tableStyleInfo name="TableStyleMedium11" showFirstColumn="0" showLastColumn="0" showRowStripes="1" showColumnStripes="0"/>
</table>
</file>

<file path=xl/tables/table362.xml><?xml version="1.0" encoding="utf-8"?>
<table xmlns="http://schemas.openxmlformats.org/spreadsheetml/2006/main" id="362" name="TRDTJEANCLO" displayName="TRDTJEANCLO" ref="S203:V215" headerRowCount="1" headerRowDxfId="1218" totalsRowDxfId="1217" headerRowCellStyle="Normal 5">
  <tableColumns count="4">
    <tableColumn id="2" name="2024" totalsRowFunction="average" dataDxfId="1216" totalsRowDxfId="1215" dataCellStyle="Milliers">
      <calculatedColumnFormula>IF(TRDJEANCLO[[#This Row],[2024]]="","",DONNÉES!DK108)</calculatedColumnFormula>
    </tableColumn>
    <tableColumn id="3" name="2023" totalsRowFunction="average" dataDxfId="1214" totalsRowDxfId="1213" dataCellStyle="Milliers">
      <calculatedColumnFormula>IF(TRDJEANCLO[[#This Row],[2024]]="","",DONNÉES!DL108)</calculatedColumnFormula>
    </tableColumn>
    <tableColumn id="4" name="2024 cumul" totalsRowFunction="average" dataDxfId="1212" totalsRowDxfId="1211" dataCellStyle="Milliers">
      <calculatedColumnFormula>IF(TRDJEANCLO[[#This Row],[2024]]="","",DONNÉES!DK188)</calculatedColumnFormula>
    </tableColumn>
    <tableColumn id="1" name="2023 cumul" totalsRowFunction="average" dataDxfId="1210" totalsRowDxfId="1209" dataCellStyle="Milliers">
      <calculatedColumnFormula>IF(TRDJEANCLO[[#This Row],[2024]]="","",DONNÉES!DL188)</calculatedColumnFormula>
    </tableColumn>
  </tableColumns>
  <tableStyleInfo name="TableStyleMedium11" showFirstColumn="0" showLastColumn="0" showRowStripes="1" showColumnStripes="0"/>
</table>
</file>

<file path=xl/tables/table363.xml><?xml version="1.0" encoding="utf-8"?>
<table xmlns="http://schemas.openxmlformats.org/spreadsheetml/2006/main" id="363" name="TRDTHOMAS" displayName="TRDTHOMAS" ref="A218:Q230" headerRowCount="1" headerRowDxfId="1208" dataDxfId="1207" totalsRowDxfId="1206">
  <tableColumns count="17">
    <tableColumn id="1" name="THOMAS" totalsRowLabel=" TOTAL " dataDxfId="1205" totalsRowDxfId="1204"/>
    <tableColumn id="2" name="2024" totalsRowFunction="average" dataDxfId="1203" totalsRowDxfId="1202">
      <calculatedColumnFormula>IF(DONNÉES!DS44="","",DONNÉES!DS44)</calculatedColumnFormula>
    </tableColumn>
    <tableColumn id="3" name="2023" totalsRowFunction="average" dataDxfId="1201" totalsRowDxfId="1200">
      <calculatedColumnFormula>IF(TRDTHOMAS[[#This Row],[2024]]="","",DONNÉES!DT44)</calculatedColumnFormula>
    </tableColumn>
    <tableColumn id="4" name="2024 cumul" totalsRowFunction="average" dataDxfId="1199" totalsRowDxfId="1198">
      <calculatedColumnFormula>IF(TRDTHOMAS[[#This Row],[2024]]="","",DONNÉES!DS124)</calculatedColumnFormula>
    </tableColumn>
    <tableColumn id="5" name="2023 cumul" totalsRowFunction="average" dataDxfId="1197" totalsRowDxfId="1196">
      <calculatedColumnFormula>IF(TRDTHOMAS[[#This Row],[2024]]="","",DONNÉES!DT124)</calculatedColumnFormula>
    </tableColumn>
    <tableColumn id="8" name="2024  " totalsRowFunction="average" dataDxfId="1195" totalsRowDxfId="1194">
      <calculatedColumnFormula>IF(TRDTHOMAS[[#This Row],[2024]]="","",DONNÉES!DS60)</calculatedColumnFormula>
    </tableColumn>
    <tableColumn id="9" name="2023  " totalsRowFunction="average" dataDxfId="1193" totalsRowDxfId="1192">
      <calculatedColumnFormula>IF(TRDTHOMAS[[#This Row],[2024]]="","",DONNÉES!DT60)</calculatedColumnFormula>
    </tableColumn>
    <tableColumn id="6" name="2024 cumul " totalsRowFunction="average" dataDxfId="1191" totalsRowDxfId="1190">
      <calculatedColumnFormula>IF(TRDTHOMAS[[#This Row],[2024]]="","",DONNÉES!DS140)</calculatedColumnFormula>
    </tableColumn>
    <tableColumn id="7" name="2023 cumul " totalsRowFunction="average" dataDxfId="1189" totalsRowDxfId="1188">
      <calculatedColumnFormula>IF(TRDTHOMAS[[#This Row],[2024]]="","",DONNÉES!DT140)</calculatedColumnFormula>
    </tableColumn>
    <tableColumn id="17" name="2024   " totalsRowFunction="average" dataDxfId="1187" totalsRowDxfId="1186">
      <calculatedColumnFormula>IF(TRDTHOMAS[[#This Row],[2024]]="","",DONNÉES!DS76)</calculatedColumnFormula>
    </tableColumn>
    <tableColumn id="16" name="2023   " totalsRowFunction="average" dataDxfId="1185" totalsRowDxfId="1184">
      <calculatedColumnFormula>IF(TRDTHOMAS[[#This Row],[2024]]="","",DONNÉES!DT76)</calculatedColumnFormula>
    </tableColumn>
    <tableColumn id="15" name="2024 cumul   " totalsRowFunction="average" dataDxfId="1183" totalsRowDxfId="1182">
      <calculatedColumnFormula>IF(TRDTHOMAS[[#This Row],[2024]]="","",DONNÉES!DS156)</calculatedColumnFormula>
    </tableColumn>
    <tableColumn id="14" name="2023 cumul   " totalsRowFunction="average" dataDxfId="1181" totalsRowDxfId="1180">
      <calculatedColumnFormula>IF(TRDTHOMAS[[#This Row],[2024]]="","",DONNÉES!DT156)</calculatedColumnFormula>
    </tableColumn>
    <tableColumn id="13" name="2024    " totalsRowFunction="average" dataDxfId="1179" totalsRowDxfId="1178">
      <calculatedColumnFormula>IF(TRDTHOMAS[[#This Row],[2024]]="","",DONNÉES!DS92)</calculatedColumnFormula>
    </tableColumn>
    <tableColumn id="12" name="2023    " totalsRowFunction="average" dataDxfId="1177" totalsRowDxfId="1176">
      <calculatedColumnFormula>IF(TRDTHOMAS[[#This Row],[2024]]="","",DONNÉES!DT92)</calculatedColumnFormula>
    </tableColumn>
    <tableColumn id="11" name="2024 cumul    " totalsRowFunction="average" dataDxfId="1175" totalsRowDxfId="1174">
      <calculatedColumnFormula>IF(TRDTHOMAS[[#This Row],[2024]]="","",DONNÉES!DS172)</calculatedColumnFormula>
    </tableColumn>
    <tableColumn id="10" name="2023 cumul    " totalsRowFunction="average" dataDxfId="1173" totalsRowDxfId="1172">
      <calculatedColumnFormula>IF(TRDTHOMAS[[#This Row],[2024]]="","",DONNÉES!DT172)</calculatedColumnFormula>
    </tableColumn>
  </tableColumns>
  <tableStyleInfo name="TableStyleMedium13" showFirstColumn="0" showLastColumn="0" showRowStripes="1" showColumnStripes="0"/>
</table>
</file>

<file path=xl/tables/table364.xml><?xml version="1.0" encoding="utf-8"?>
<table xmlns="http://schemas.openxmlformats.org/spreadsheetml/2006/main" id="364" name="TRDTTHOMAS" displayName="TRDTTHOMAS" ref="S218:V230" headerRowCount="1" headerRowDxfId="1171" dataDxfId="1170" totalsRowDxfId="1169" headerRowCellStyle="Normal 5">
  <tableColumns count="4">
    <tableColumn id="2" name="2024" totalsRowFunction="average" dataDxfId="1168" totalsRowDxfId="1167">
      <calculatedColumnFormula>IF(TRDTHOMAS[[#This Row],[2024]]="","",DONNÉES!DS108)</calculatedColumnFormula>
    </tableColumn>
    <tableColumn id="3" name="2023" totalsRowFunction="average" dataDxfId="1166" totalsRowDxfId="1165">
      <calculatedColumnFormula>IF(TRDTHOMAS[[#This Row],[2024]]="","",DONNÉES!DT108)</calculatedColumnFormula>
    </tableColumn>
    <tableColumn id="4" name="2024 cumul" totalsRowFunction="average" dataDxfId="1164" totalsRowDxfId="1163">
      <calculatedColumnFormula>IF(TRDTHOMAS[[#This Row],[2024]]="","",DONNÉES!DS188)</calculatedColumnFormula>
    </tableColumn>
    <tableColumn id="1" name="2023 cumul" totalsRowFunction="average" dataDxfId="1162" totalsRowDxfId="1161">
      <calculatedColumnFormula>IF(TRDTHOMAS[[#This Row],[2024]]="","",DONNÉES!DT188)</calculatedColumnFormula>
    </tableColumn>
  </tableColumns>
  <tableStyleInfo name="TableStyleMedium13" showFirstColumn="0" showLastColumn="0" showRowStripes="1" showColumnStripes="0"/>
</table>
</file>

<file path=xl/tables/table365.xml><?xml version="1.0" encoding="utf-8"?>
<table xmlns="http://schemas.openxmlformats.org/spreadsheetml/2006/main" id="365" name="TRDCAT" displayName="TRDCAT" ref="A233:Q245" headerRowCount="1" headerRowDxfId="1160" dataDxfId="1159" totalsRowDxfId="1158">
  <tableColumns count="17">
    <tableColumn id="1" name="CATALINA" totalsRowLabel=" TOTAL " dataDxfId="1157" totalsRowDxfId="1156"/>
    <tableColumn id="2" name="2024" totalsRowFunction="average" dataDxfId="1155" totalsRowDxfId="1154">
      <calculatedColumnFormula>IF(DONNÉES!EA44="","",DONNÉES!EA44)</calculatedColumnFormula>
    </tableColumn>
    <tableColumn id="3" name="2023" totalsRowFunction="average" dataDxfId="1153" totalsRowDxfId="1152">
      <calculatedColumnFormula>IF(TRDCAT[[#This Row],[2024]]="","",DONNÉES!EB44)</calculatedColumnFormula>
    </tableColumn>
    <tableColumn id="4" name="2024 cumul" totalsRowFunction="average" dataDxfId="1151" totalsRowDxfId="1150">
      <calculatedColumnFormula>IF(TRDCAT[[#This Row],[2024]]="","",DONNÉES!EA124)</calculatedColumnFormula>
    </tableColumn>
    <tableColumn id="5" name="2023 cumul" totalsRowFunction="average" dataDxfId="1149" totalsRowDxfId="1148">
      <calculatedColumnFormula>IF(TRDCAT[[#This Row],[2024]]="","",DONNÉES!EB124)</calculatedColumnFormula>
    </tableColumn>
    <tableColumn id="8" name="2024  " totalsRowFunction="average" dataDxfId="1147" totalsRowDxfId="1146">
      <calculatedColumnFormula>IF(TRDCAT[[#This Row],[2024]]="","",DONNÉES!EA60)</calculatedColumnFormula>
    </tableColumn>
    <tableColumn id="9" name="2023  " totalsRowFunction="average" dataDxfId="1145" totalsRowDxfId="1144">
      <calculatedColumnFormula>IF(TRDCAT[[#This Row],[2024]]="","",DONNÉES!EB60)</calculatedColumnFormula>
    </tableColumn>
    <tableColumn id="6" name="2024 cumul " totalsRowFunction="average" dataDxfId="1143" totalsRowDxfId="1142">
      <calculatedColumnFormula>IF(TRDCAT[[#This Row],[2024]]="","",DONNÉES!EA140)</calculatedColumnFormula>
    </tableColumn>
    <tableColumn id="7" name="2023 cumul " totalsRowFunction="average" dataDxfId="1141" totalsRowDxfId="1140">
      <calculatedColumnFormula>IF(TRDCAT[[#This Row],[2024]]="","",DONNÉES!EB140)</calculatedColumnFormula>
    </tableColumn>
    <tableColumn id="17" name="2024   " totalsRowFunction="average" dataDxfId="1139" totalsRowDxfId="1138">
      <calculatedColumnFormula>IF(TRDCAT[[#This Row],[2024]]="","",DONNÉES!EA76)</calculatedColumnFormula>
    </tableColumn>
    <tableColumn id="16" name="2023   " totalsRowFunction="average" dataDxfId="1137" totalsRowDxfId="1136">
      <calculatedColumnFormula>IF(TRDCAT[[#This Row],[2024]]="","",DONNÉES!EB76)</calculatedColumnFormula>
    </tableColumn>
    <tableColumn id="15" name="2024 cumul   " totalsRowFunction="average" dataDxfId="1135" totalsRowDxfId="1134">
      <calculatedColumnFormula>IF(TRDCAT[[#This Row],[2024]]="","",DONNÉES!EA156)</calculatedColumnFormula>
    </tableColumn>
    <tableColumn id="14" name="2023 cumul   " totalsRowFunction="average" dataDxfId="1133" totalsRowDxfId="1132">
      <calculatedColumnFormula>IF(TRDCAT[[#This Row],[2024]]="","",DONNÉES!EB156)</calculatedColumnFormula>
    </tableColumn>
    <tableColumn id="13" name="2024    " totalsRowFunction="average" dataDxfId="1131" totalsRowDxfId="1130">
      <calculatedColumnFormula>IF(TRDCAT[[#This Row],[2024]]="","",DONNÉES!EA92)</calculatedColumnFormula>
    </tableColumn>
    <tableColumn id="12" name="2023    " totalsRowFunction="average" dataDxfId="1129" totalsRowDxfId="1128">
      <calculatedColumnFormula>IF(TRDCAT[[#This Row],[2024]]="","",DONNÉES!EB92)</calculatedColumnFormula>
    </tableColumn>
    <tableColumn id="11" name="2024 cumul    " totalsRowFunction="average" dataDxfId="1127" totalsRowDxfId="1126">
      <calculatedColumnFormula>IF(TRDCAT[[#This Row],[2024]]="","",DONNÉES!EA172)</calculatedColumnFormula>
    </tableColumn>
    <tableColumn id="10" name="2023 cumul    " totalsRowFunction="average" dataDxfId="1125" totalsRowDxfId="1124">
      <calculatedColumnFormula>IF(TRDCAT[[#This Row],[2024]]="","",DONNÉES!EB172)</calculatedColumnFormula>
    </tableColumn>
  </tableColumns>
  <tableStyleInfo name="TableStyleMedium13" showFirstColumn="0" showLastColumn="0" showRowStripes="1" showColumnStripes="0"/>
</table>
</file>

<file path=xl/tables/table366.xml><?xml version="1.0" encoding="utf-8"?>
<table xmlns="http://schemas.openxmlformats.org/spreadsheetml/2006/main" id="366" name="TRDTCAT" displayName="TRDTCAT" ref="S233:V245" headerRowCount="1" headerRowDxfId="1123" dataDxfId="1122" totalsRowDxfId="1121" headerRowCellStyle="Normal 5">
  <tableColumns count="4">
    <tableColumn id="2" name="2024" totalsRowFunction="average" dataDxfId="1120" totalsRowDxfId="1119">
      <calculatedColumnFormula>IF(TRDCAT[[#This Row],[2024]]="","",DONNÉES!EA108)</calculatedColumnFormula>
    </tableColumn>
    <tableColumn id="3" name="2023" totalsRowFunction="average" dataDxfId="1118" totalsRowDxfId="1117">
      <calculatedColumnFormula>IF(TRDCAT[[#This Row],[2024]]="","",DONNÉES!EB108)</calculatedColumnFormula>
    </tableColumn>
    <tableColumn id="4" name="2024 cumul" totalsRowFunction="average" dataDxfId="1116" totalsRowDxfId="1115">
      <calculatedColumnFormula>IF(TRDCAT[[#This Row],[2024]]="","",DONNÉES!EA188)</calculatedColumnFormula>
    </tableColumn>
    <tableColumn id="1" name="2023 cumul" totalsRowFunction="average" dataDxfId="1114" totalsRowDxfId="1113">
      <calculatedColumnFormula>IF(TRDCAT[[#This Row],[2024]]="","",DONNÉES!EB188)</calculatedColumnFormula>
    </tableColumn>
  </tableColumns>
  <tableStyleInfo name="TableStyleMedium13" showFirstColumn="0" showLastColumn="0" showRowStripes="1" showColumnStripes="0"/>
</table>
</file>

<file path=xl/tables/table367.xml><?xml version="1.0" encoding="utf-8"?>
<table xmlns="http://schemas.openxmlformats.org/spreadsheetml/2006/main" id="367" name="TRBIGNALET" displayName="TRBIGNALET" ref="A65:G78" headerRowCount="1" totalsRowCount="1" headerRowDxfId="1112" dataDxfId="1111" totalsRowDxfId="1110">
  <tableColumns count="7">
    <tableColumn id="1" name="R3 14" totalsRowLabel=" TOTAL " dataDxfId="1109" totalsRowDxfId="1108"/>
    <tableColumn id="2" name="2024" totalsRowFunction="sum" dataDxfId="1107" totalsRowDxfId="1106">
      <calculatedColumnFormula>IF(DONNÉES!CE108="","",DONNÉES!CE108)</calculatedColumnFormula>
    </tableColumn>
    <tableColumn id="3" name="2023" totalsRowFunction="sum" dataDxfId="1105" totalsRowDxfId="1104">
      <calculatedColumnFormula>IF(TRBIGNALET[[#This Row],[2024]]="","",DONNÉES!CF108)</calculatedColumnFormula>
    </tableColumn>
    <tableColumn id="4" name="Variat." dataDxfId="1103" totalsRowDxfId="1102">
      <calculatedColumnFormula>IF(TRBIGNALET[[#This Row],[2024]]="","",(TRBIGNALET[[#This Row],[2024]]-TRBIGNALET[[#This Row],[2023]])/TRBIGNALET[[#This Row],[2023]])</calculatedColumnFormula>
    </tableColumn>
    <tableColumn id="5" name="Cumulé 2024" dataDxfId="1101" totalsRowDxfId="1100">
      <calculatedColumnFormula>IF(TRBIGNALET[[#This Row],[2024]]="","",TRBIGNALET[[#This Row],[2024]]+E65)</calculatedColumnFormula>
    </tableColumn>
    <tableColumn id="6" name="Cumulé 2023" dataDxfId="1099" totalsRowDxfId="1098">
      <calculatedColumnFormula>IF(TRBIGNALET[[#This Row],[2024]]="","",+TRBIGNALET[[#This Row],[2023]])</calculatedColumnFormula>
    </tableColumn>
    <tableColumn id="7" name="Cumulé variat." dataDxfId="1097" totalsRowDxfId="1096">
      <calculatedColumnFormula>IF(TRBIGNALET[[#This Row],[Cumulé 2024]]="","",+(TRBIGNALET[[#This Row],[Cumulé 2024]]-TRBIGNALET[[#This Row],[Cumulé 2023]])/TRBIGNALET[[#This Row],[Cumulé 2023]])</calculatedColumnFormula>
    </tableColumn>
  </tableColumns>
  <tableStyleInfo name="TableStyleMedium10" showFirstColumn="0" showLastColumn="0" showRowStripes="1" showColumnStripes="0"/>
</table>
</file>

<file path=xl/tables/table368.xml><?xml version="1.0" encoding="utf-8"?>
<table xmlns="http://schemas.openxmlformats.org/spreadsheetml/2006/main" id="368" name="TRDIVES" displayName="TRDIVES" ref="A80:G93" headerRowCount="1" totalsRowCount="1" headerRowDxfId="1095" dataDxfId="1094" totalsRowDxfId="1093">
  <tableColumns count="7">
    <tableColumn id="1" name="TL DIVES" totalsRowLabel="  TOTAL  " dataDxfId="1092" totalsRowDxfId="1091"/>
    <tableColumn id="2" name="2024" totalsRowFunction="sum" dataDxfId="1090" totalsRowDxfId="1089">
      <calculatedColumnFormula>IF(DONNÉES!BW108="","",DONNÉES!BW108)</calculatedColumnFormula>
    </tableColumn>
    <tableColumn id="3" name="2023" totalsRowFunction="sum" dataDxfId="1088" totalsRowDxfId="1087">
      <calculatedColumnFormula>IF(TRDIVES[[#This Row],[2024]]="","",DONNÉES!BX108)</calculatedColumnFormula>
    </tableColumn>
    <tableColumn id="4" name="Variat." dataDxfId="1086" totalsRowDxfId="1085">
      <calculatedColumnFormula>IF(TRDIVES[[#This Row],[2024]]="","",(TRDIVES[[#This Row],[2024]]-TRDIVES[[#This Row],[2023]])/TRDIVES[[#This Row],[2023]])</calculatedColumnFormula>
    </tableColumn>
    <tableColumn id="5" name="Cumulé 2024" dataDxfId="1084" totalsRowDxfId="1083">
      <calculatedColumnFormula>IF(TRDIVES[[#This Row],[2024]]="","",TRDIVES[[#This Row],[2024]]+E80)</calculatedColumnFormula>
    </tableColumn>
    <tableColumn id="6" name="Cumulé 2023" dataDxfId="1082" totalsRowDxfId="1081"/>
    <tableColumn id="7" name="Cumulé variat." dataDxfId="1080" totalsRowDxfId="1079">
      <calculatedColumnFormula>IF(TRDIVES[[#This Row],[Cumulé 2024]]="","",+(TRDIVES[[#This Row],[Cumulé 2024]]-TRDIVES[[#This Row],[Cumulé 2023]])/TRDIVES[[#This Row],[Cumulé 2023]])</calculatedColumnFormula>
    </tableColumn>
  </tableColumns>
  <tableStyleInfo name="TableStyleMedium13" showFirstColumn="0" showLastColumn="0" showRowStripes="1" showColumnStripes="0"/>
</table>
</file>

<file path=xl/tables/table369.xml><?xml version="1.0" encoding="utf-8"?>
<table xmlns="http://schemas.openxmlformats.org/spreadsheetml/2006/main" id="369" name="TRLYSE" displayName="TRLYSE" ref="I65:O78" headerRowCount="1" totalsRowCount="1" headerRowDxfId="1078" dataDxfId="1077" totalsRowDxfId="1076">
  <tableColumns count="7">
    <tableColumn id="1" name="LYSE" totalsRowLabel="  TOTAL  " dataDxfId="1075" totalsRowDxfId="1074"/>
    <tableColumn id="2" name="2024" totalsRowFunction="sum" dataDxfId="1073" totalsRowDxfId="1072">
      <calculatedColumnFormula>IF(DONNÉES!CM108="","",DONNÉES!CM108)</calculatedColumnFormula>
    </tableColumn>
    <tableColumn id="3" name="2023" totalsRowFunction="sum" dataDxfId="1071" totalsRowDxfId="1070">
      <calculatedColumnFormula>IF(TRLYSE[[#This Row],[2024]]="","",DONNÉES!CN108)</calculatedColumnFormula>
    </tableColumn>
    <tableColumn id="4" name="Variat." dataDxfId="1069" totalsRowDxfId="1068">
      <calculatedColumnFormula>IF(TRLYSE[[#This Row],[2024]]="","",(TRLYSE[[#This Row],[2024]]-TRLYSE[[#This Row],[2023]])/TRLYSE[[#This Row],[2023]])</calculatedColumnFormula>
    </tableColumn>
    <tableColumn id="5" name="Cumulé 2024" dataDxfId="1067" totalsRowDxfId="1066">
      <calculatedColumnFormula>IF(TRLYSE[[#This Row],[2024]]="","",TRLYSE[[#This Row],[2024]]+M65)</calculatedColumnFormula>
    </tableColumn>
    <tableColumn id="6" name="Cumulé 2023" dataDxfId="1065" totalsRowDxfId="1064"/>
    <tableColumn id="7" name="Cumulé variat." dataDxfId="1063" totalsRowDxfId="1062">
      <calculatedColumnFormula>IF(TRLYSE[[#This Row],[Cumulé 2024]]="","",+(TRLYSE[[#This Row],[Cumulé 2024]]-TRLYSE[[#This Row],[Cumulé 2023]])/TRLYSE[[#This Row],[Cumulé 2023]])</calculatedColumnFormula>
    </tableColumn>
  </tableColumns>
  <tableStyleInfo name="TableStyleMedium10" showFirstColumn="0" showLastColumn="0" showRowStripes="1" showColumnStripes="0"/>
</table>
</file>

<file path=xl/tables/table370.xml><?xml version="1.0" encoding="utf-8"?>
<table xmlns="http://schemas.openxmlformats.org/spreadsheetml/2006/main" id="370" name="TRTH4" displayName="TRTH4" ref="I80:O93" headerRowCount="1" totalsRowCount="1" headerRowDxfId="1061" dataDxfId="1060" totalsRowDxfId="1059">
  <tableColumns count="7">
    <tableColumn id="1" name="TH4" totalsRowLabel="  TOTAL  " dataDxfId="1058" totalsRowDxfId="1057"/>
    <tableColumn id="2" name="2024" totalsRowFunction="sum" dataDxfId="1056" totalsRowDxfId="1055">
      <calculatedColumnFormula>IF(DONNÉES!BO108="","",DONNÉES!BO108)</calculatedColumnFormula>
    </tableColumn>
    <tableColumn id="3" name="2023" totalsRowFunction="sum" dataDxfId="1054" totalsRowDxfId="1053">
      <calculatedColumnFormula>IF(TRTH4[[#This Row],[2024]]="","",DONNÉES!BP108)</calculatedColumnFormula>
    </tableColumn>
    <tableColumn id="4" name="Variat." dataDxfId="1052" totalsRowDxfId="1051">
      <calculatedColumnFormula>IF(TRTH4[[#This Row],[2024]]="","",(TRTH4[[#This Row],[2024]]-TRTH4[[#This Row],[2023]])/TRTH4[[#This Row],[2023]])</calculatedColumnFormula>
    </tableColumn>
    <tableColumn id="5" name="Cumulé 2024" dataDxfId="1050" totalsRowDxfId="1049">
      <calculatedColumnFormula>IF(TRTH4[[#This Row],[2024]]="","",TRTH4[[#This Row],[2024]]+M80)</calculatedColumnFormula>
    </tableColumn>
    <tableColumn id="6" name="Cumulé 2023" dataDxfId="1048" totalsRowDxfId="1047"/>
    <tableColumn id="7" name="Cumulé variat." dataDxfId="1046" totalsRowDxfId="1045">
      <calculatedColumnFormula>IF(TRTH4[[#This Row],[Cumulé 2024]]="","",+(TRTH4[[#This Row],[Cumulé 2024]]-TRTH4[[#This Row],[Cumulé 2023]])/TRTH4[[#This Row],[Cumulé 2023]])</calculatedColumnFormula>
    </tableColumn>
  </tableColumns>
  <tableStyleInfo name="TableStyleMedium13" showFirstColumn="0" showLastColumn="0" showRowStripes="1" showColumnStripes="0"/>
</table>
</file>

<file path=xl/tables/table371.xml><?xml version="1.0" encoding="utf-8"?>
<table xmlns="http://schemas.openxmlformats.org/spreadsheetml/2006/main" id="371" name="TRGLOBAL" displayName="TRGLOBAL" ref="A125:G138" headerRowCount="1" totalsRowCount="1" headerRowDxfId="1044" dataDxfId="1043" totalsRowDxfId="1042">
  <tableColumns count="7">
    <tableColumn id="1" name="GLOBAL" totalsRowLabel="  TOTAL  " dataDxfId="1041" totalsRowDxfId="1040"/>
    <tableColumn id="2" name="2024" totalsRowFunction="sum" dataDxfId="1039" totalsRowDxfId="1038">
      <calculatedColumnFormula>IF(DONNÉES!C108="","",DONNÉES!C108)</calculatedColumnFormula>
    </tableColumn>
    <tableColumn id="3" name="2023" totalsRowFunction="sum" dataDxfId="1037" totalsRowDxfId="1036">
      <calculatedColumnFormula>IF(TRGLOBAL[[#This Row],[2024]]="","",DONNÉES!D108)</calculatedColumnFormula>
    </tableColumn>
    <tableColumn id="4" name="Variat." dataDxfId="1035" totalsRowDxfId="1034">
      <calculatedColumnFormula>IF(TRGLOBAL[[#This Row],[2024]]="","",(TRGLOBAL[[#This Row],[2024]]-TRGLOBAL[[#This Row],[2023]])/TRGLOBAL[[#This Row],[2023]])</calculatedColumnFormula>
    </tableColumn>
    <tableColumn id="5" name="Cumulé 2024" dataDxfId="1033" totalsRowDxfId="1032">
      <calculatedColumnFormula>IF(TRGLOBAL[[#This Row],[2024]]="","",TRGLOBAL[[#This Row],[2024]]+E125)</calculatedColumnFormula>
    </tableColumn>
    <tableColumn id="6" name="Cumulé 2023" dataDxfId="1031" totalsRowDxfId="1030"/>
    <tableColumn id="7" name="Cumulé variat." dataDxfId="1029" totalsRowDxfId="1028">
      <calculatedColumnFormula>IF(TRGLOBAL[[#This Row],[Cumulé 2024]]="","",+(TRGLOBAL[[#This Row],[Cumulé 2024]]-TRGLOBAL[[#This Row],[Cumulé 2023]])/TRGLOBAL[[#This Row],[Cumulé 2023]])</calculatedColumnFormula>
    </tableColumn>
  </tableColumns>
  <tableStyleInfo name="TableStyleMedium8" showFirstColumn="0" showLastColumn="0" showRowStripes="1" showColumnStripes="0"/>
</table>
</file>

<file path=xl/tables/table372.xml><?xml version="1.0" encoding="utf-8"?>
<table xmlns="http://schemas.openxmlformats.org/spreadsheetml/2006/main" id="372" name="TRARTHUR" displayName="TRARTHUR" ref="A95:G108" headerRowCount="1" totalsRowCount="1" headerRowDxfId="1027" dataDxfId="1026" totalsRowDxfId="1025">
  <tableColumns count="7">
    <tableColumn id="1" name="ARTHUR" totalsRowLabel="  TOTAL  " dataDxfId="1024" totalsRowDxfId="1023"/>
    <tableColumn id="2" name="2024" totalsRowFunction="sum" dataDxfId="1022" totalsRowDxfId="1021">
      <calculatedColumnFormula>IF(DONNÉES!CU108="","",DONNÉES!CU108)</calculatedColumnFormula>
    </tableColumn>
    <tableColumn id="3" name="2023" totalsRowFunction="sum" dataDxfId="1020" totalsRowDxfId="1019">
      <calculatedColumnFormula>IF(TRARTHUR[[#This Row],[2024]]="","",DONNÉES!CV108)</calculatedColumnFormula>
    </tableColumn>
    <tableColumn id="4" name="Variat." dataDxfId="1018" totalsRowDxfId="1017">
      <calculatedColumnFormula>IF(TRARTHUR[[#This Row],[2024]]="","",(TRARTHUR[[#This Row],[2024]]-TRARTHUR[[#This Row],[2023]])/TRARTHUR[[#This Row],[2023]])</calculatedColumnFormula>
    </tableColumn>
    <tableColumn id="5" name="Cumulé 2024" dataDxfId="1016" totalsRowDxfId="1015">
      <calculatedColumnFormula>IF(TRARTHUR[[#This Row],[2024]]="","",TRARTHUR[[#This Row],[2024]]+E95)</calculatedColumnFormula>
    </tableColumn>
    <tableColumn id="6" name="Cumulé 2023" dataDxfId="1014" totalsRowDxfId="1013"/>
    <tableColumn id="7" name="Cumulé variat." dataDxfId="1012" totalsRowDxfId="1011">
      <calculatedColumnFormula>IF(TRARTHUR[[#This Row],[Cumulé 2024]]="","",+(TRARTHUR[[#This Row],[Cumulé 2024]]-TRARTHUR[[#This Row],[Cumulé 2023]])/TRARTHUR[[#This Row],[Cumulé 2023]])</calculatedColumnFormula>
    </tableColumn>
  </tableColumns>
  <tableStyleInfo name="TableStyleMedium11" showFirstColumn="0" showLastColumn="0" showRowStripes="1" showColumnStripes="0"/>
</table>
</file>

<file path=xl/tables/table373.xml><?xml version="1.0" encoding="utf-8"?>
<table xmlns="http://schemas.openxmlformats.org/spreadsheetml/2006/main" id="373" name="TRHUGO" displayName="TRHUGO" ref="I95:O108" headerRowCount="1" totalsRowCount="1" headerRowDxfId="1010" dataDxfId="1009" totalsRowDxfId="1008">
  <tableColumns count="7">
    <tableColumn id="1" name="HUGO" totalsRowLabel="  TOTAL  " dataDxfId="1007" totalsRowDxfId="1006" dataCellStyle="Normal 5"/>
    <tableColumn id="2" name="2024" totalsRowFunction="sum" dataDxfId="1005" totalsRowDxfId="1004">
      <calculatedColumnFormula>IF(DONNÉES!DC108="","",DONNÉES!DC108)</calculatedColumnFormula>
    </tableColumn>
    <tableColumn id="3" name="2023" totalsRowFunction="sum" dataDxfId="1003" totalsRowDxfId="1002">
      <calculatedColumnFormula>IF(TRHUGO[[#This Row],[2024]]="","",DONNÉES!DD108)</calculatedColumnFormula>
    </tableColumn>
    <tableColumn id="4" name="Variat." dataDxfId="1001" totalsRowDxfId="1000">
      <calculatedColumnFormula>IF(TRHUGO[[#This Row],[2024]]="","",(TRHUGO[[#This Row],[2024]]-TRHUGO[[#This Row],[2023]])/TRHUGO[[#This Row],[2023]])</calculatedColumnFormula>
    </tableColumn>
    <tableColumn id="5" name="Cumulé 2024" dataDxfId="999" totalsRowDxfId="998">
      <calculatedColumnFormula>IF(TRHUGO[[#This Row],[2024]]="","",TRHUGO[[#This Row],[2024]]+M95)</calculatedColumnFormula>
    </tableColumn>
    <tableColumn id="6" name="Cumulé 2023" dataDxfId="997" totalsRowDxfId="996"/>
    <tableColumn id="7" name="Cumulé variat." dataDxfId="995" totalsRowDxfId="994">
      <calculatedColumnFormula>IF(TRHUGO[[#This Row],[Cumulé 2024]]="","",+(TRHUGO[[#This Row],[Cumulé 2024]]-TRHUGO[[#This Row],[Cumulé 2023]])/TRHUGO[[#This Row],[Cumulé 2023]])</calculatedColumnFormula>
    </tableColumn>
  </tableColumns>
  <tableStyleInfo name="TableStyleMedium11" showFirstColumn="0" showLastColumn="0" showRowStripes="1" showColumnStripes="0"/>
</table>
</file>

<file path=xl/tables/table374.xml><?xml version="1.0" encoding="utf-8"?>
<table xmlns="http://schemas.openxmlformats.org/spreadsheetml/2006/main" id="374" name="TRTURVILLA" displayName="TRTURVILLA" ref="A35:G48" headerRowCount="1" totalsRowCount="1" headerRowDxfId="993" dataDxfId="992" totalsRowDxfId="991">
  <tableColumns count="7">
    <tableColumn id="1" name="TURVILLA" totalsRowLabel=" TOTAL " dataDxfId="990" totalsRowDxfId="989"/>
    <tableColumn id="2" name="2024" totalsRowFunction="sum" dataDxfId="988" totalsRowDxfId="987">
      <calculatedColumnFormula>IF(DONNÉES!AQ108="","",DONNÉES!AQ108)</calculatedColumnFormula>
    </tableColumn>
    <tableColumn id="3" name="2023" totalsRowFunction="sum" dataDxfId="986" totalsRowDxfId="985">
      <calculatedColumnFormula>IF(TRTURVILLA[[#This Row],[2024]]="","",DONNÉES!AR108)</calculatedColumnFormula>
    </tableColumn>
    <tableColumn id="4" name="Variat." dataDxfId="984" totalsRowDxfId="983">
      <calculatedColumnFormula>IF(TRTURVILLA[[#This Row],[2024]]="","",(TRTURVILLA[[#This Row],[2024]]-TRTURVILLA[[#This Row],[2023]])/TRTURVILLA[[#This Row],[2023]])</calculatedColumnFormula>
    </tableColumn>
    <tableColumn id="5" name="Cumulé 2024" dataDxfId="982" totalsRowDxfId="981">
      <calculatedColumnFormula>IF(TRTURVILLA[[#This Row],[2024]]="","",TRTURVILLA[[#This Row],[2024]]+E35)</calculatedColumnFormula>
    </tableColumn>
    <tableColumn id="6" name="Cumulé 2023" dataDxfId="980" totalsRowDxfId="979">
      <calculatedColumnFormula>IF(TRTURVILLA[[#This Row],[2024]]="","",+TRTURVILLA[[#This Row],[2023]])</calculatedColumnFormula>
    </tableColumn>
    <tableColumn id="7" name="Cumulé variat." dataDxfId="978" totalsRowDxfId="977">
      <calculatedColumnFormula>IF(TRTURVILLA[[#This Row],[Cumulé 2024]]="","",+(TRTURVILLA[[#This Row],[Cumulé 2024]]-TRTURVILLA[[#This Row],[Cumulé 2023]])/TRTURVILLA[[#This Row],[Cumulé 2023]])</calculatedColumnFormula>
    </tableColumn>
  </tableColumns>
  <tableStyleInfo name="TableStyleMedium10" showFirstColumn="0" showLastColumn="0" showRowStripes="1" showColumnStripes="0"/>
</table>
</file>

<file path=xl/tables/table375.xml><?xml version="1.0" encoding="utf-8"?>
<table xmlns="http://schemas.openxmlformats.org/spreadsheetml/2006/main" id="375" name="TRVICTOIRE" displayName="TRVICTOIRE" ref="A50:G63" headerRowCount="1" totalsRowCount="1" headerRowDxfId="976" dataDxfId="975" totalsRowDxfId="974">
  <tableColumns count="7">
    <tableColumn id="1" name="VICTOIRE" totalsRowLabel="  TOTAL  " dataDxfId="973" totalsRowDxfId="972"/>
    <tableColumn id="2" name="2024" totalsRowFunction="sum" dataDxfId="971" totalsRowDxfId="970">
      <calculatedColumnFormula>IF(DONNÉES!BG108="","",DONNÉES!BG108)</calculatedColumnFormula>
    </tableColumn>
    <tableColumn id="3" name="2023" totalsRowFunction="sum" dataDxfId="969" totalsRowDxfId="968">
      <calculatedColumnFormula>IF(TRVICTOIRE[[#This Row],[2024]]="","",DONNÉES!BH108)</calculatedColumnFormula>
    </tableColumn>
    <tableColumn id="4" name="Variat." dataDxfId="967" totalsRowDxfId="966">
      <calculatedColumnFormula>IF(TRVICTOIRE[[#This Row],[2024]]="","",(TRVICTOIRE[[#This Row],[2024]]-TRVICTOIRE[[#This Row],[2023]])/TRVICTOIRE[[#This Row],[2023]])</calculatedColumnFormula>
    </tableColumn>
    <tableColumn id="5" name="Cumulé 2024" dataDxfId="965" totalsRowDxfId="964">
      <calculatedColumnFormula>IF(TRVICTOIRE[[#This Row],[2024]]="","",TRVICTOIRE[[#This Row],[2024]]+E50)</calculatedColumnFormula>
    </tableColumn>
    <tableColumn id="6" name="Cumulé 2023" dataDxfId="963" totalsRowDxfId="962"/>
    <tableColumn id="7" name="Cumulé variat." dataDxfId="961" totalsRowDxfId="960">
      <calculatedColumnFormula>IF(TRVICTOIRE[[#This Row],[Cumulé 2024]]="","",+(TRVICTOIRE[[#This Row],[Cumulé 2024]]-TRVICTOIRE[[#This Row],[Cumulé 2023]])/TRVICTOIRE[[#This Row],[Cumulé 2023]])</calculatedColumnFormula>
    </tableColumn>
  </tableColumns>
  <tableStyleInfo name="TableStyleMedium13" showFirstColumn="0" showLastColumn="0" showRowStripes="1" showColumnStripes="0"/>
</table>
</file>

<file path=xl/tables/table376.xml><?xml version="1.0" encoding="utf-8"?>
<table xmlns="http://schemas.openxmlformats.org/spreadsheetml/2006/main" id="376" name="TRHART" displayName="TRHART" ref="I35:O48" headerRowCount="1" totalsRowCount="1" headerRowDxfId="959" dataDxfId="958" totalsRowDxfId="957">
  <tableColumns count="7">
    <tableColumn id="1" name="HART" totalsRowLabel="  TOTAL  " dataDxfId="956" totalsRowDxfId="955"/>
    <tableColumn id="2" name="2024" totalsRowFunction="sum" dataDxfId="954" totalsRowDxfId="953">
      <calculatedColumnFormula>IF(DONNÉES!AY108="","",DONNÉES!AY108)</calculatedColumnFormula>
    </tableColumn>
    <tableColumn id="3" name="2023" totalsRowFunction="sum" dataDxfId="952" totalsRowDxfId="951">
      <calculatedColumnFormula>IF(TRHART[[#This Row],[2024]]="","",DONNÉES!AZ108)</calculatedColumnFormula>
    </tableColumn>
    <tableColumn id="4" name="Variat." dataDxfId="950" totalsRowDxfId="949">
      <calculatedColumnFormula>IF(TRHART[[#This Row],[2024]]="","",(TRHART[[#This Row],[2024]]-TRHART[[#This Row],[2023]])/TRHART[[#This Row],[2023]])</calculatedColumnFormula>
    </tableColumn>
    <tableColumn id="5" name="Cumulé 2024" dataDxfId="948" totalsRowDxfId="947">
      <calculatedColumnFormula>IF(TRHART[[#This Row],[2024]]="","",TRHART[[#This Row],[2024]]+M35)</calculatedColumnFormula>
    </tableColumn>
    <tableColumn id="6" name="Cumulé 2023" dataDxfId="946" totalsRowDxfId="945"/>
    <tableColumn id="7" name="Cumulé variat." dataDxfId="944" totalsRowDxfId="943">
      <calculatedColumnFormula>IF(TRHART[[#This Row],[Cumulé 2024]]="","",+(TRHART[[#This Row],[Cumulé 2024]]-TRHART[[#This Row],[Cumulé 2023]])/TRHART[[#This Row],[Cumulé 2023]])</calculatedColumnFormula>
    </tableColumn>
  </tableColumns>
  <tableStyleInfo name="TableStyleMedium10" showFirstColumn="0" showLastColumn="0" showRowStripes="1" showColumnStripes="0"/>
</table>
</file>

<file path=xl/tables/table377.xml><?xml version="1.0" encoding="utf-8"?>
<table xmlns="http://schemas.openxmlformats.org/spreadsheetml/2006/main" id="377" name="TRGLR5" displayName="TRGLR5" ref="A5:G18" headerRowCount="1" totalsRowCount="1" headerRowDxfId="942" dataDxfId="941" totalsRowDxfId="940">
  <tableColumns count="7">
    <tableColumn id="1" name="GLR5" totalsRowLabel=" TOTAL " dataDxfId="939" totalsRowDxfId="938"/>
    <tableColumn id="2" name="2024" totalsRowFunction="sum" dataDxfId="937" totalsRowDxfId="936">
      <calculatedColumnFormula>IF(DONNÉES!K108="","",DONNÉES!K108)</calculatedColumnFormula>
    </tableColumn>
    <tableColumn id="3" name="2023" totalsRowFunction="sum" dataDxfId="935" totalsRowDxfId="934">
      <calculatedColumnFormula>IF(TRGLR5[[#This Row],[2024]]="","",DONNÉES!L108)</calculatedColumnFormula>
    </tableColumn>
    <tableColumn id="4" name="Variat." dataDxfId="933" totalsRowDxfId="932">
      <calculatedColumnFormula>IF(TRGLR5[[#This Row],[2024]]="","",(TRGLR5[[#This Row],[2024]]-TRGLR5[[#This Row],[2023]])/TRGLR5[[#This Row],[2023]])</calculatedColumnFormula>
    </tableColumn>
    <tableColumn id="5" name="Cumulé 2024" dataDxfId="931" totalsRowDxfId="930">
      <calculatedColumnFormula>IF(TRGLR5[[#This Row],[2024]]="","",TRGLR5[[#This Row],[2024]]+E5)</calculatedColumnFormula>
    </tableColumn>
    <tableColumn id="6" name="Cumulé 2023" dataDxfId="929" totalsRowDxfId="928">
      <calculatedColumnFormula>IF(TRGLR5[[#This Row],[2024]]="","",+TRGLR5[[#This Row],[2023]])</calculatedColumnFormula>
    </tableColumn>
    <tableColumn id="7" name="Cumulé variat." dataDxfId="927" totalsRowDxfId="926">
      <calculatedColumnFormula>IF(TRGLR5[[#This Row],[Cumulé 2024]]="","",+(TRGLR5[[#This Row],[Cumulé 2024]]-TRGLR5[[#This Row],[Cumulé 2023]])/TRGLR5[[#This Row],[Cumulé 2023]])</calculatedColumnFormula>
    </tableColumn>
  </tableColumns>
  <tableStyleInfo name="TableStyleMedium10" showFirstColumn="0" showLastColumn="0" showRowStripes="1" showColumnStripes="0"/>
</table>
</file>

<file path=xl/tables/table378.xml><?xml version="1.0" encoding="utf-8"?>
<table xmlns="http://schemas.openxmlformats.org/spreadsheetml/2006/main" id="378" name="TRTIRR" displayName="TRTIRR" ref="A20:G33" headerRowCount="1" totalsRowCount="1" headerRowDxfId="925" dataDxfId="924" totalsRowDxfId="923">
  <tableColumns count="7">
    <tableColumn id="1" name="TIRR" totalsRowLabel="  TOTAL  " dataDxfId="922" totalsRowDxfId="921"/>
    <tableColumn id="2" name="2024" totalsRowFunction="sum" dataDxfId="920" totalsRowDxfId="919">
      <calculatedColumnFormula>IF(DONNÉES!AA108="","",DONNÉES!AA108)</calculatedColumnFormula>
    </tableColumn>
    <tableColumn id="3" name="2023" totalsRowFunction="sum" dataDxfId="918" totalsRowDxfId="917">
      <calculatedColumnFormula>IF(TRTIRR[[#This Row],[2024]]="","",DONNÉES!AB108)</calculatedColumnFormula>
    </tableColumn>
    <tableColumn id="4" name="Variat." dataDxfId="916" totalsRowDxfId="915">
      <calculatedColumnFormula>IF(TRTIRR[[#This Row],[2024]]="","",(TRTIRR[[#This Row],[2024]]-TRTIRR[[#This Row],[2023]])/TRTIRR[[#This Row],[2023]])</calculatedColumnFormula>
    </tableColumn>
    <tableColumn id="5" name="Cumulé 2024" dataDxfId="914" totalsRowDxfId="913">
      <calculatedColumnFormula>IF(TRTIRR[[#This Row],[2024]]="","",TRTIRR[[#This Row],[2024]]+E20)</calculatedColumnFormula>
    </tableColumn>
    <tableColumn id="6" name="Cumulé 2023" dataDxfId="912" totalsRowDxfId="911"/>
    <tableColumn id="7" name="Cumulé variat." dataDxfId="910" totalsRowDxfId="909">
      <calculatedColumnFormula>IF(TRTIRR[[#This Row],[Cumulé 2024]]="","",+(TRTIRR[[#This Row],[Cumulé 2024]]-TRTIRR[[#This Row],[Cumulé 2023]])/TRTIRR[[#This Row],[Cumulé 2023]])</calculatedColumnFormula>
    </tableColumn>
  </tableColumns>
  <tableStyleInfo name="TableStyleMedium13" showFirstColumn="0" showLastColumn="0" showRowStripes="1" showColumnStripes="0"/>
</table>
</file>

<file path=xl/tables/table379.xml><?xml version="1.0" encoding="utf-8"?>
<table xmlns="http://schemas.openxmlformats.org/spreadsheetml/2006/main" id="379" name="TRHTR8" displayName="TRHTR8" ref="I5:O18" headerRowCount="1" totalsRowCount="1" headerRowDxfId="908" dataDxfId="907" totalsRowDxfId="906">
  <tableColumns count="7">
    <tableColumn id="1" name="HTR8" totalsRowLabel="  TOTAL  " dataDxfId="905" totalsRowDxfId="904"/>
    <tableColumn id="2" name="2024" totalsRowFunction="sum" dataDxfId="903" totalsRowDxfId="902">
      <calculatedColumnFormula>IF(DONNÉES!S108="","",DONNÉES!S108)</calculatedColumnFormula>
    </tableColumn>
    <tableColumn id="3" name="2023" totalsRowFunction="sum" dataDxfId="901" totalsRowDxfId="900">
      <calculatedColumnFormula>IF(TRHTR8[[#This Row],[2024]]="","",DONNÉES!T108)</calculatedColumnFormula>
    </tableColumn>
    <tableColumn id="4" name="Variat." dataDxfId="899" totalsRowDxfId="898">
      <calculatedColumnFormula>IF(TRHTR8[[#This Row],[2024]]="","",(TRHTR8[[#This Row],[2024]]-TRHTR8[[#This Row],[2023]])/TRHTR8[[#This Row],[2023]])</calculatedColumnFormula>
    </tableColumn>
    <tableColumn id="5" name="Cumulé 2024" dataDxfId="897" totalsRowDxfId="896">
      <calculatedColumnFormula>IF(TRHTR8[[#This Row],[2024]]="","",TRHTR8[[#This Row],[2024]]+M5)</calculatedColumnFormula>
    </tableColumn>
    <tableColumn id="6" name="Cumulé 2023" dataDxfId="895" totalsRowDxfId="894"/>
    <tableColumn id="7" name="Cumulé variat." dataDxfId="893" totalsRowDxfId="892">
      <calculatedColumnFormula>IF(TRHTR8[[#This Row],[Cumulé 2024]]="","",+(TRHTR8[[#This Row],[Cumulé 2024]]-TRHTR8[[#This Row],[Cumulé 2023]])/TRHTR8[[#This Row],[Cumulé 2023]])</calculatedColumnFormula>
    </tableColumn>
  </tableColumns>
  <tableStyleInfo name="TableStyleMedium10" showFirstColumn="0" showLastColumn="0" showRowStripes="1" showColumnStripes="0"/>
</table>
</file>

<file path=xl/tables/table380.xml><?xml version="1.0" encoding="utf-8"?>
<table xmlns="http://schemas.openxmlformats.org/spreadsheetml/2006/main" id="380" name="TRVR7" displayName="TRVR7" ref="I20:O33" headerRowCount="1" totalsRowCount="1" headerRowDxfId="891" dataDxfId="890" totalsRowDxfId="889">
  <tableColumns count="7">
    <tableColumn id="1" name="VR7" totalsRowLabel="  TOTAL  " dataDxfId="888" totalsRowDxfId="887"/>
    <tableColumn id="2" name="2024" totalsRowFunction="sum" dataDxfId="886" totalsRowDxfId="885">
      <calculatedColumnFormula>IF(DONNÉES!AI108="","",DONNÉES!AI108)</calculatedColumnFormula>
    </tableColumn>
    <tableColumn id="3" name="2023" totalsRowFunction="sum" dataDxfId="884" totalsRowDxfId="883">
      <calculatedColumnFormula>IF(TRVR7[[#This Row],[2024]]="","",DONNÉES!AJ108)</calculatedColumnFormula>
    </tableColumn>
    <tableColumn id="4" name="Variat." dataDxfId="882" totalsRowDxfId="881">
      <calculatedColumnFormula>IF(TRVR7[[#This Row],[2024]]="","",(TRVR7[[#This Row],[2024]]-TRVR7[[#This Row],[2023]])/TRVR7[[#This Row],[2023]])</calculatedColumnFormula>
    </tableColumn>
    <tableColumn id="5" name="Cumulé 2024" dataDxfId="880" totalsRowDxfId="879">
      <calculatedColumnFormula>IF(TRVR7[[#This Row],[2024]]="","",TRVR7[[#This Row],[2024]]+M20)</calculatedColumnFormula>
    </tableColumn>
    <tableColumn id="6" name="Cumulé 2023" dataDxfId="878" totalsRowDxfId="877"/>
    <tableColumn id="7" name="Cumulé variat." dataDxfId="876" totalsRowDxfId="875">
      <calculatedColumnFormula>IF(TRVR7[[#This Row],[Cumulé 2024]]="","",+(TRVR7[[#This Row],[Cumulé 2024]]-TRVR7[[#This Row],[Cumulé 2023]])/TRVR7[[#This Row],[Cumulé 2023]])</calculatedColumnFormula>
    </tableColumn>
  </tableColumns>
  <tableStyleInfo name="TableStyleMedium13" showFirstColumn="0" showLastColumn="0" showRowStripes="1" showColumnStripes="0"/>
</table>
</file>

<file path=xl/tables/table381.xml><?xml version="1.0" encoding="utf-8"?>
<table xmlns="http://schemas.openxmlformats.org/spreadsheetml/2006/main" id="381" name="TRJEANCLO" displayName="TRJEANCLO" ref="A110:G123" headerRowCount="1" totalsRowCount="1" headerRowDxfId="874" dataDxfId="873" totalsRowDxfId="872">
  <tableColumns count="7">
    <tableColumn id="1" name="JEANCLO" totalsRowLabel="  TOTAL  " dataDxfId="871" totalsRowDxfId="870"/>
    <tableColumn id="2" name="2024" totalsRowFunction="sum" dataDxfId="869" totalsRowDxfId="868">
      <calculatedColumnFormula>IF(DONNÉES!DK108="","",DONNÉES!DK108)</calculatedColumnFormula>
    </tableColumn>
    <tableColumn id="3" name="2023" totalsRowFunction="sum" dataDxfId="867" totalsRowDxfId="866">
      <calculatedColumnFormula>IF(TRJEANCLO[[#This Row],[2024]]="","",DONNÉES!DL108)</calculatedColumnFormula>
    </tableColumn>
    <tableColumn id="4" name="Variat." dataDxfId="865" totalsRowDxfId="864">
      <calculatedColumnFormula>IF(TRJEANCLO[[#This Row],[2024]]="","",(TRJEANCLO[[#This Row],[2024]]-TRJEANCLO[[#This Row],[2023]])/TRJEANCLO[[#This Row],[2023]])</calculatedColumnFormula>
    </tableColumn>
    <tableColumn id="5" name="Cumulé 2024" dataDxfId="863" totalsRowDxfId="862">
      <calculatedColumnFormula>IF(TRJEANCLO[[#This Row],[2024]]="","",TRJEANCLO[[#This Row],[2024]]+E110)</calculatedColumnFormula>
    </tableColumn>
    <tableColumn id="6" name="Cumulé 2023" dataDxfId="861" totalsRowDxfId="860"/>
    <tableColumn id="7" name="Cumulé variat." dataDxfId="859" totalsRowDxfId="858">
      <calculatedColumnFormula>IF(TRJEANCLO[[#This Row],[Cumulé 2024]]="","",+(TRJEANCLO[[#This Row],[Cumulé 2024]]-TRJEANCLO[[#This Row],[Cumulé 2023]])/TRJEANCLO[[#This Row],[Cumulé 2023]])</calculatedColumnFormula>
    </tableColumn>
  </tableColumns>
  <tableStyleInfo name="TableStyleMedium11" showFirstColumn="0" showLastColumn="0" showRowStripes="1" showColumnStripes="0"/>
</table>
</file>

<file path=xl/tables/table382.xml><?xml version="1.0" encoding="utf-8"?>
<table xmlns="http://schemas.openxmlformats.org/spreadsheetml/2006/main" id="382" name="TRTHOMAS" displayName="TRTHOMAS" ref="I110:O123" headerRowCount="1" totalsRowCount="1" headerRowDxfId="857" dataDxfId="856" totalsRowDxfId="855">
  <tableColumns count="7">
    <tableColumn id="1" name="THOMAS" totalsRowLabel="  TOTAL  " dataDxfId="854" totalsRowDxfId="853"/>
    <tableColumn id="2" name="2024" totalsRowFunction="sum" dataDxfId="852" totalsRowDxfId="851">
      <calculatedColumnFormula>IF(DONNÉES!DS108="","",DONNÉES!DS108)</calculatedColumnFormula>
    </tableColumn>
    <tableColumn id="3" name="2023" totalsRowFunction="sum" dataDxfId="850" totalsRowDxfId="849">
      <calculatedColumnFormula>IF(TRTHOMAS[[#This Row],[2024]]="","",DONNÉES!DT108)</calculatedColumnFormula>
    </tableColumn>
    <tableColumn id="4" name="Variat." dataDxfId="848" totalsRowDxfId="847">
      <calculatedColumnFormula>IF(TRTHOMAS[[#This Row],[2024]]="","",(TRTHOMAS[[#This Row],[2024]]-TRTHOMAS[[#This Row],[2023]])/TRTHOMAS[[#This Row],[2023]])</calculatedColumnFormula>
    </tableColumn>
    <tableColumn id="5" name="Cumulé 2024" dataDxfId="846" totalsRowDxfId="845">
      <calculatedColumnFormula>IF(TRTHOMAS[[#This Row],[2024]]="","",TRTHOMAS[[#This Row],[2024]]+M110)</calculatedColumnFormula>
    </tableColumn>
    <tableColumn id="6" name="Cumulé 2023" dataDxfId="844" totalsRowDxfId="843"/>
    <tableColumn id="7" name="Cumulé variat." dataDxfId="842" totalsRowDxfId="841">
      <calculatedColumnFormula>IF(TRTHOMAS[[#This Row],[Cumulé 2024]]="","",+(TRTHOMAS[[#This Row],[Cumulé 2024]]-TRTHOMAS[[#This Row],[Cumulé 2023]])/TRTHOMAS[[#This Row],[Cumulé 2023]])</calculatedColumnFormula>
    </tableColumn>
  </tableColumns>
  <tableStyleInfo name="TableStyleMedium11" showFirstColumn="0" showLastColumn="0" showRowStripes="1" showColumnStripes="0"/>
</table>
</file>

<file path=xl/tables/table383.xml><?xml version="1.0" encoding="utf-8"?>
<table xmlns="http://schemas.openxmlformats.org/spreadsheetml/2006/main" id="383" name="TRCAT" displayName="TRCAT" ref="I50:O63" headerRowCount="1" totalsRowCount="1" headerRowDxfId="840" dataDxfId="839" totalsRowDxfId="838">
  <tableColumns count="7">
    <tableColumn id="1" name="THOMAS" totalsRowLabel="  TOTAL  " dataDxfId="837" totalsRowDxfId="836"/>
    <tableColumn id="2" name="2024" totalsRowFunction="sum" dataDxfId="835" totalsRowDxfId="834">
      <calculatedColumnFormula>IF(DONNÉES!DS108="","",DONNÉES!DS108)</calculatedColumnFormula>
    </tableColumn>
    <tableColumn id="3" name="2023" totalsRowFunction="sum" dataDxfId="833" totalsRowDxfId="832">
      <calculatedColumnFormula>IF(TRCAT[[#This Row],[2024]]="","",DONNÉES!EB108)</calculatedColumnFormula>
    </tableColumn>
    <tableColumn id="4" name="Variat." dataDxfId="831" totalsRowDxfId="830">
      <calculatedColumnFormula>IF(TRCAT[[#This Row],[2024]]="","",(TRCAT[[#This Row],[2024]]-TRCAT[[#This Row],[2023]])/TRCAT[[#This Row],[2023]])</calculatedColumnFormula>
    </tableColumn>
    <tableColumn id="5" name="Cumulé 2024" dataDxfId="829" totalsRowDxfId="828">
      <calculatedColumnFormula>IF(TRCAT[[#This Row],[2024]]="","",TRCAT[[#This Row],[2024]])</calculatedColumnFormula>
    </tableColumn>
    <tableColumn id="6" name="Cumulé 2023" dataDxfId="827" totalsRowDxfId="826">
      <calculatedColumnFormula>IF(TRCAT[[#This Row],[2024]]="","",+TRCAT[[#This Row],[2023]])</calculatedColumnFormula>
    </tableColumn>
    <tableColumn id="7" name="Cumulé variat." dataDxfId="825" totalsRowDxfId="824">
      <calculatedColumnFormula>IF(TRCAT[[#This Row],[Cumulé 2024]]="","",+(TRCAT[[#This Row],[Cumulé 2024]]-TRCAT[[#This Row],[Cumulé 2023]])/TRCAT[[#This Row],[Cumulé 2023]])</calculatedColumnFormula>
    </tableColumn>
  </tableColumns>
  <tableStyleInfo name="TableStyleMedium11" showFirstColumn="0" showLastColumn="0" showRowStripes="1" showColumnStripes="0"/>
</table>
</file>

<file path=xl/tables/table384.xml><?xml version="1.0" encoding="utf-8"?>
<table xmlns="http://schemas.openxmlformats.org/spreadsheetml/2006/main" id="384" name="PMDBIGNALET" displayName="PMDBIGNALET" ref="A118:I131" headerRowCount="1" totalsRowCount="1" headerRowDxfId="823" dataDxfId="822" totalsRowDxfId="821">
  <tableColumns count="9">
    <tableColumn id="1" name="R3 14" totalsRowLabel=" TOTAL " dataDxfId="820" totalsRowDxfId="819"/>
    <tableColumn id="2" name="2024" totalsRowFunction="average" dataDxfId="818" totalsRowDxfId="817">
      <calculatedColumnFormula>IF(DONNÉES!CE204="","",DONNÉES!CE204)</calculatedColumnFormula>
    </tableColumn>
    <tableColumn id="3" name="2023" totalsRowFunction="average" dataDxfId="816" totalsRowDxfId="815">
      <calculatedColumnFormula>IF(PMDBIGNALET[[#This Row],[2024]]="","",DONNÉES!CF204)</calculatedColumnFormula>
    </tableColumn>
    <tableColumn id="4" name="2024 cumul" totalsRowFunction="average" dataDxfId="814" totalsRowDxfId="813">
      <calculatedColumnFormula>IF(PMDBIGNALET[[#This Row],[2024]]="","",DONNÉES!CE252)</calculatedColumnFormula>
    </tableColumn>
    <tableColumn id="5" name="2023 cumul" totalsRowFunction="average" dataDxfId="812" totalsRowDxfId="811">
      <calculatedColumnFormula>IF(PMDBIGNALET[[#This Row],[2024]]="","",DONNÉES!CF252)</calculatedColumnFormula>
    </tableColumn>
    <tableColumn id="8" name="2024  " totalsRowFunction="average" dataDxfId="810" totalsRowDxfId="809">
      <calculatedColumnFormula>IF(PMDBIGNALET[[#This Row],[2024]]="","",DONNÉES!CE220)</calculatedColumnFormula>
    </tableColumn>
    <tableColumn id="9" name="2023  " totalsRowFunction="average" dataDxfId="808" totalsRowDxfId="807">
      <calculatedColumnFormula>IF(PMDBIGNALET[[#This Row],[2024]]="","",DONNÉES!CF220)</calculatedColumnFormula>
    </tableColumn>
    <tableColumn id="6" name="2024 cumul " totalsRowFunction="average" dataDxfId="806" totalsRowDxfId="805">
      <calculatedColumnFormula>IF(PMDBIGNALET[[#This Row],[2024]]="","",DONNÉES!CE268)</calculatedColumnFormula>
    </tableColumn>
    <tableColumn id="7" name="2023 cumul " totalsRowFunction="average" dataDxfId="804" totalsRowDxfId="803">
      <calculatedColumnFormula>IF(PMDBIGNALET[[#This Row],[2024]]="","",DONNÉES!CF268)</calculatedColumnFormula>
    </tableColumn>
  </tableColumns>
  <tableStyleInfo name="TableStyleMedium7" showFirstColumn="0" showLastColumn="0" showRowStripes="1" showColumnStripes="0"/>
</table>
</file>

<file path=xl/tables/table385.xml><?xml version="1.0" encoding="utf-8"?>
<table xmlns="http://schemas.openxmlformats.org/spreadsheetml/2006/main" id="385" name="PMDR314" displayName="PMDR314" ref="K118:N131" headerRowCount="1" totalsRowCount="1" headerRowDxfId="802" dataDxfId="801" totalsRowDxfId="800">
  <tableColumns count="4">
    <tableColumn id="2" name="2024  " totalsRowFunction="average" dataDxfId="799" totalsRowDxfId="798">
      <calculatedColumnFormula>IF(PMDBIGNALET[[#This Row],[2024]]="","",DONNÉES!CE236)</calculatedColumnFormula>
    </tableColumn>
    <tableColumn id="3" name="2023  " totalsRowFunction="average" dataDxfId="797" totalsRowDxfId="796">
      <calculatedColumnFormula>IF(PMDBIGNALET[[#This Row],[2024]]="","",DONNÉES!CF236)</calculatedColumnFormula>
    </tableColumn>
    <tableColumn id="4" name="2024 cumul " totalsRowFunction="average" dataDxfId="795" totalsRowDxfId="794">
      <calculatedColumnFormula>IF(PMDBIGNALET[[#This Row],[2024]]="","",DONNÉES!CE284)</calculatedColumnFormula>
    </tableColumn>
    <tableColumn id="1" name="2023 cumul " totalsRowFunction="average" dataDxfId="793" totalsRowDxfId="792">
      <calculatedColumnFormula>IF(PMDBIGNALET[[#This Row],[2024]]="","",DONNÉES!CF284)</calculatedColumnFormula>
    </tableColumn>
  </tableColumns>
  <tableStyleInfo name="TableStyleMedium7" showFirstColumn="0" showLastColumn="0" showRowStripes="1" showColumnStripes="0"/>
</table>
</file>

<file path=xl/tables/table386.xml><?xml version="1.0" encoding="utf-8"?>
<table xmlns="http://schemas.openxmlformats.org/spreadsheetml/2006/main" id="386" name="PMDCINE" displayName="PMDCINE" ref="A134:I147" headerRowCount="1" totalsRowCount="1" headerRowDxfId="791" dataDxfId="790" totalsRowDxfId="789">
  <tableColumns count="9">
    <tableColumn id="1" name="LYSE" totalsRowLabel=" TOTAL " dataDxfId="788" totalsRowDxfId="787"/>
    <tableColumn id="2" name="2024" totalsRowFunction="average" dataDxfId="786" totalsRowDxfId="785">
      <calculatedColumnFormula>IF(DONNÉES!CM204="","",DONNÉES!CM204)</calculatedColumnFormula>
    </tableColumn>
    <tableColumn id="3" name="2023" totalsRowFunction="average" dataDxfId="784" totalsRowDxfId="783">
      <calculatedColumnFormula>IF(PMDCINE[[#This Row],[2024]]="","",DONNÉES!CN204)</calculatedColumnFormula>
    </tableColumn>
    <tableColumn id="4" name="2024 cumul" totalsRowFunction="average" dataDxfId="782" totalsRowDxfId="781">
      <calculatedColumnFormula>IF(PMDCINE[[#This Row],[2024]]="","",DONNÉES!CM252)</calculatedColumnFormula>
    </tableColumn>
    <tableColumn id="5" name="2023 cumul" totalsRowFunction="average" dataDxfId="780" totalsRowDxfId="779">
      <calculatedColumnFormula>IF(PMDCINE[[#This Row],[2024]]="","",DONNÉES!CN252)</calculatedColumnFormula>
    </tableColumn>
    <tableColumn id="8" name="2024  " totalsRowFunction="average" dataDxfId="778" totalsRowDxfId="777">
      <calculatedColumnFormula>IF(PMDCINE[[#This Row],[2024]]="","",DONNÉES!CM220)</calculatedColumnFormula>
    </tableColumn>
    <tableColumn id="9" name="2023  " totalsRowFunction="average" dataDxfId="776" totalsRowDxfId="775">
      <calculatedColumnFormula>IF(PMDCINE[[#This Row],[2024]]="","",DONNÉES!CN220)</calculatedColumnFormula>
    </tableColumn>
    <tableColumn id="6" name="2024 cumul " totalsRowFunction="average" dataDxfId="774" totalsRowDxfId="773">
      <calculatedColumnFormula>IF(PMDCINE[[#This Row],[2024]]="","",DONNÉES!CM268)</calculatedColumnFormula>
    </tableColumn>
    <tableColumn id="7" name="2023 cumul " totalsRowFunction="average" dataDxfId="772" totalsRowDxfId="771">
      <calculatedColumnFormula>IF(PMDCINE[[#This Row],[2024]]="","",DONNÉES!CN268)</calculatedColumnFormula>
    </tableColumn>
  </tableColumns>
  <tableStyleInfo name="TableStyleMedium7" showFirstColumn="0" showLastColumn="0" showRowStripes="1" showColumnStripes="0"/>
</table>
</file>

<file path=xl/tables/table387.xml><?xml version="1.0" encoding="utf-8"?>
<table xmlns="http://schemas.openxmlformats.org/spreadsheetml/2006/main" id="387" name="PMDLYSE" displayName="PMDLYSE" ref="K134:N147" headerRowCount="1" totalsRowCount="1" headerRowDxfId="770" dataDxfId="769" totalsRowDxfId="768">
  <tableColumns count="4">
    <tableColumn id="2" name="2024  " totalsRowFunction="average" dataDxfId="767" totalsRowDxfId="766">
      <calculatedColumnFormula>IF(PMDCINE[[#This Row],[2024]]="","",DONNÉES!CM236)</calculatedColumnFormula>
    </tableColumn>
    <tableColumn id="3" name="2023  " totalsRowFunction="average" dataDxfId="765" totalsRowDxfId="764">
      <calculatedColumnFormula>IF(PMDCINE[[#This Row],[2024]]="","",DONNÉES!CN236)</calculatedColumnFormula>
    </tableColumn>
    <tableColumn id="4" name="2024 cumul " totalsRowFunction="average" dataDxfId="763" totalsRowDxfId="762">
      <calculatedColumnFormula>IF(PMDCINE[[#This Row],[2024]]="","",DONNÉES!CM284)</calculatedColumnFormula>
    </tableColumn>
    <tableColumn id="1" name="2023 cumul " totalsRowFunction="average" dataDxfId="761" totalsRowDxfId="760">
      <calculatedColumnFormula>IF(PMDCINE[[#This Row],[2024]]="","",DONNÉES!CN284)</calculatedColumnFormula>
    </tableColumn>
  </tableColumns>
  <tableStyleInfo name="TableStyleMedium7" showFirstColumn="0" showLastColumn="0" showRowStripes="1" showColumnStripes="0"/>
</table>
</file>

<file path=xl/tables/table388.xml><?xml version="1.0" encoding="utf-8"?>
<table xmlns="http://schemas.openxmlformats.org/spreadsheetml/2006/main" id="388" name="PMDLN" displayName="PMDLN" ref="A150:I163" headerRowCount="1" totalsRowCount="1" headerRowDxfId="759" dataDxfId="758" totalsRowDxfId="757">
  <tableColumns count="9">
    <tableColumn id="1" name="TL DIVES" totalsRowLabel=" TOTAL " dataDxfId="756" totalsRowDxfId="755"/>
    <tableColumn id="2" name="2024" totalsRowFunction="average" dataDxfId="754" totalsRowDxfId="753">
      <calculatedColumnFormula>IF(DONNÉES!BW204="","",DONNÉES!BW204)</calculatedColumnFormula>
    </tableColumn>
    <tableColumn id="3" name="2023" totalsRowFunction="average" dataDxfId="752" totalsRowDxfId="751">
      <calculatedColumnFormula>IF(PMDLN[[#This Row],[2024]]="","",DONNÉES!BX204)</calculatedColumnFormula>
    </tableColumn>
    <tableColumn id="4" name="2024 cumul" totalsRowFunction="average" dataDxfId="750" totalsRowDxfId="749">
      <calculatedColumnFormula>IF(PMDLN[[#This Row],[2024]]="","",DONNÉES!BW252)</calculatedColumnFormula>
    </tableColumn>
    <tableColumn id="5" name="2023 cumul" totalsRowFunction="average" dataDxfId="748" totalsRowDxfId="747">
      <calculatedColumnFormula>IF(PMDLN[[#This Row],[2024]]="","",DONNÉES!BX252)</calculatedColumnFormula>
    </tableColumn>
    <tableColumn id="8" name="2024  " totalsRowFunction="average" dataDxfId="746" totalsRowDxfId="745">
      <calculatedColumnFormula>IF(PMDLN[[#This Row],[2024]]="","",DONNÉES!BW220)</calculatedColumnFormula>
    </tableColumn>
    <tableColumn id="9" name="2023  " totalsRowFunction="average" dataDxfId="744" totalsRowDxfId="743">
      <calculatedColumnFormula>IF(PMDLN[[#This Row],[2024]]="","",DONNÉES!BX220)</calculatedColumnFormula>
    </tableColumn>
    <tableColumn id="6" name="2024 cumul " totalsRowFunction="average" dataDxfId="742" totalsRowDxfId="741">
      <calculatedColumnFormula>IF(PMDLN[[#This Row],[2024]]="","",DONNÉES!BW268)</calculatedColumnFormula>
    </tableColumn>
    <tableColumn id="7" name="2023 cumul " totalsRowFunction="average" dataDxfId="740" totalsRowDxfId="739">
      <calculatedColumnFormula>IF(PMDLN[[#This Row],[2024]]="","",DONNÉES!BX268)</calculatedColumnFormula>
    </tableColumn>
  </tableColumns>
  <tableStyleInfo name="TableStyleMedium13" showFirstColumn="0" showLastColumn="0" showRowStripes="1" showColumnStripes="0"/>
</table>
</file>

<file path=xl/tables/table389.xml><?xml version="1.0" encoding="utf-8"?>
<table xmlns="http://schemas.openxmlformats.org/spreadsheetml/2006/main" id="389" name="PMDDIVES" displayName="PMDDIVES" ref="K150:N163" headerRowCount="1" totalsRowCount="1" headerRowDxfId="738" dataDxfId="737" totalsRowDxfId="736">
  <tableColumns count="4">
    <tableColumn id="2" name="2024  " totalsRowFunction="average" dataDxfId="735" totalsRowDxfId="734">
      <calculatedColumnFormula>IF(PMDLN[[#This Row],[2024]]="","",DONNÉES!BW236)</calculatedColumnFormula>
    </tableColumn>
    <tableColumn id="3" name="2023  " totalsRowFunction="average" dataDxfId="733" totalsRowDxfId="732">
      <calculatedColumnFormula>IF(PMDLN[[#This Row],[2024]]="","",DONNÉES!BX236)</calculatedColumnFormula>
    </tableColumn>
    <tableColumn id="4" name="2024 cumul " totalsRowFunction="average" dataDxfId="731" totalsRowDxfId="730">
      <calculatedColumnFormula>IF(PMDLN[[#This Row],[2024]]="","",DONNÉES!BW284)</calculatedColumnFormula>
    </tableColumn>
    <tableColumn id="6" name="2023 cumul " totalsRowFunction="average" dataDxfId="729" totalsRowDxfId="728">
      <calculatedColumnFormula>IF(PMDLN[[#This Row],[2024]]="","",DONNÉES!BX284)</calculatedColumnFormula>
    </tableColumn>
  </tableColumns>
  <tableStyleInfo name="TableStyleMedium13" showFirstColumn="0" showLastColumn="0" showRowStripes="1" showColumnStripes="0"/>
</table>
</file>

<file path=xl/tables/table390.xml><?xml version="1.0" encoding="utf-8"?>
<table xmlns="http://schemas.openxmlformats.org/spreadsheetml/2006/main" id="390" name="PMDVERNON" displayName="PMDVERNON" ref="A166:I179" headerRowCount="1" totalsRowCount="1" headerRowDxfId="727" dataDxfId="726" totalsRowDxfId="725">
  <tableColumns count="9">
    <tableColumn id="1" name="TH4" totalsRowLabel=" TOTAL " dataDxfId="724" totalsRowDxfId="723"/>
    <tableColumn id="2" name="2024" totalsRowFunction="average" dataDxfId="722" totalsRowDxfId="721">
      <calculatedColumnFormula>IF(DONNÉES!BO204="","",DONNÉES!BO204)</calculatedColumnFormula>
    </tableColumn>
    <tableColumn id="3" name="2023" totalsRowFunction="average" dataDxfId="720" totalsRowDxfId="719">
      <calculatedColumnFormula>IF(PMDVERNON[[#This Row],[2024]]="","",DONNÉES!BP204)</calculatedColumnFormula>
    </tableColumn>
    <tableColumn id="4" name="2024 cumul" totalsRowFunction="average" dataDxfId="718" totalsRowDxfId="717">
      <calculatedColumnFormula>IF(PMDVERNON[[#This Row],[2024]]="","",DONNÉES!BO252)</calculatedColumnFormula>
    </tableColumn>
    <tableColumn id="5" name="2023 cumul" totalsRowFunction="average" dataDxfId="716" totalsRowDxfId="715">
      <calculatedColumnFormula>IF(PMDVERNON[[#This Row],[2024]]="","",DONNÉES!BP252)</calculatedColumnFormula>
    </tableColumn>
    <tableColumn id="8" name="2024  " totalsRowFunction="average" dataDxfId="714" totalsRowDxfId="713">
      <calculatedColumnFormula>IF(PMDVERNON[[#This Row],[2024]]="","",DONNÉES!BO220)</calculatedColumnFormula>
    </tableColumn>
    <tableColumn id="9" name="2023  " totalsRowFunction="average" dataDxfId="712" totalsRowDxfId="711">
      <calculatedColumnFormula>IF(PMDVERNON[[#This Row],[2024]]="","",DONNÉES!BP220)</calculatedColumnFormula>
    </tableColumn>
    <tableColumn id="6" name="2024 cumul " totalsRowFunction="average" dataDxfId="710" totalsRowDxfId="709">
      <calculatedColumnFormula>IF(PMDVERNON[[#This Row],[2024]]="","",DONNÉES!BO268)</calculatedColumnFormula>
    </tableColumn>
    <tableColumn id="7" name="2023 cumul " totalsRowFunction="average" dataDxfId="708" totalsRowDxfId="707">
      <calculatedColumnFormula>IF(PMDVERNON[[#This Row],[2024]]="","",DONNÉES!BP268)</calculatedColumnFormula>
    </tableColumn>
  </tableColumns>
  <tableStyleInfo name="TableStyleMedium8" showFirstColumn="0" showLastColumn="0" showRowStripes="1" showColumnStripes="0"/>
</table>
</file>

<file path=xl/tables/table391.xml><?xml version="1.0" encoding="utf-8"?>
<table xmlns="http://schemas.openxmlformats.org/spreadsheetml/2006/main" id="391" name="PMDTH4" displayName="PMDTH4" ref="K166:N179" headerRowCount="1" totalsRowCount="1" headerRowDxfId="706" dataDxfId="705" totalsRowDxfId="704">
  <tableColumns count="4">
    <tableColumn id="2" name="2024  " totalsRowFunction="average" dataDxfId="703" totalsRowDxfId="702">
      <calculatedColumnFormula>IF(PMDVERNON[[#This Row],[2024]]="","",DONNÉES!BO236)</calculatedColumnFormula>
    </tableColumn>
    <tableColumn id="3" name="2023  " totalsRowFunction="average" dataDxfId="701" totalsRowDxfId="700">
      <calculatedColumnFormula>IF(PMDVERNON[[#This Row],[2024]]="","",DONNÉES!BP236)</calculatedColumnFormula>
    </tableColumn>
    <tableColumn id="4" name="2024 cumul " totalsRowFunction="average" dataDxfId="699" totalsRowDxfId="698">
      <calculatedColumnFormula>IF(PMDVERNON[[#This Row],[2024]]="","",DONNÉES!BO284)</calculatedColumnFormula>
    </tableColumn>
    <tableColumn id="1" name="2023 cumul " totalsRowFunction="average" dataDxfId="697" totalsRowDxfId="696">
      <calculatedColumnFormula>IF(PMDVERNON[[#This Row],[2024]]="","",DONNÉES!BP284)</calculatedColumnFormula>
    </tableColumn>
  </tableColumns>
  <tableStyleInfo name="TableStyleMedium8" showFirstColumn="0" showLastColumn="0" showRowStripes="1" showColumnStripes="0"/>
</table>
</file>

<file path=xl/tables/table392.xml><?xml version="1.0" encoding="utf-8"?>
<table xmlns="http://schemas.openxmlformats.org/spreadsheetml/2006/main" id="392" name="PMDBIGNALET117" displayName="PMDBIGNALET117" ref="A54:I67" headerRowCount="1" totalsRowCount="1" headerRowDxfId="695" dataDxfId="694" totalsRowDxfId="693">
  <tableColumns count="9">
    <tableColumn id="1" name="VR7" totalsRowLabel=" TOTAL " dataDxfId="692" totalsRowDxfId="691"/>
    <tableColumn id="2" name="2024" totalsRowFunction="average" dataDxfId="690" totalsRowDxfId="689">
      <calculatedColumnFormula>IF(DONNÉES!AI204="","",DONNÉES!AI204)</calculatedColumnFormula>
    </tableColumn>
    <tableColumn id="3" name="2023" totalsRowFunction="average" dataDxfId="688" totalsRowDxfId="687">
      <calculatedColumnFormula>IF(PMDBIGNALET117[[#This Row],[2024]]="","",DONNÉES!AJ204)</calculatedColumnFormula>
    </tableColumn>
    <tableColumn id="4" name="2024 cumul" totalsRowFunction="average" dataDxfId="686" totalsRowDxfId="685">
      <calculatedColumnFormula>IF(PMDBIGNALET117[[#This Row],[2024]]="","",DONNÉES!AI252)</calculatedColumnFormula>
    </tableColumn>
    <tableColumn id="5" name="2023 cumul" totalsRowFunction="average" dataDxfId="684" totalsRowDxfId="683">
      <calculatedColumnFormula>IF(PMDBIGNALET117[[#This Row],[2024]]="","",DONNÉES!AJ252)</calculatedColumnFormula>
    </tableColumn>
    <tableColumn id="8" name="2024  " totalsRowFunction="average" dataDxfId="682" totalsRowDxfId="681">
      <calculatedColumnFormula>IF(PMDBIGNALET117[[#This Row],[2024]]="","",DONNÉES!AI220)</calculatedColumnFormula>
    </tableColumn>
    <tableColumn id="9" name="2023  " totalsRowFunction="average" dataDxfId="680" totalsRowDxfId="679">
      <calculatedColumnFormula>IF(PMDBIGNALET117[[#This Row],[2024]]="","",DONNÉES!AJ220)</calculatedColumnFormula>
    </tableColumn>
    <tableColumn id="6" name="2024 cumul " totalsRowFunction="average" dataDxfId="678" totalsRowDxfId="677">
      <calculatedColumnFormula>IF(PMDBIGNALET117[[#This Row],[2024]]="","",DONNÉES!AI268)</calculatedColumnFormula>
    </tableColumn>
    <tableColumn id="7" name="2023 cumul " totalsRowFunction="average" dataDxfId="676" totalsRowDxfId="675">
      <calculatedColumnFormula>IF(PMDBIGNALET117[[#This Row],[2024]]="","",DONNÉES!AJ268)</calculatedColumnFormula>
    </tableColumn>
  </tableColumns>
  <tableStyleInfo name="TableStyleMedium10" showFirstColumn="0" showLastColumn="0" showRowStripes="1" showColumnStripes="0"/>
</table>
</file>

<file path=xl/tables/table393.xml><?xml version="1.0" encoding="utf-8"?>
<table xmlns="http://schemas.openxmlformats.org/spreadsheetml/2006/main" id="393" name="PMDVR7" displayName="PMDVR7" ref="K54:N67" headerRowCount="1" totalsRowCount="1" headerRowDxfId="674" dataDxfId="673" totalsRowDxfId="672">
  <tableColumns count="4">
    <tableColumn id="2" name="2024  " totalsRowFunction="average" dataDxfId="671" totalsRowDxfId="670">
      <calculatedColumnFormula>IF(PMDBIGNALET117[[#This Row],[2024]]="","",DONNÉES!AI236)</calculatedColumnFormula>
    </tableColumn>
    <tableColumn id="3" name="2023  " totalsRowFunction="average" dataDxfId="669" totalsRowDxfId="668">
      <calculatedColumnFormula>IF(PMDBIGNALET117[[#This Row],[2024]]="","",DONNÉES!AJ236)</calculatedColumnFormula>
    </tableColumn>
    <tableColumn id="4" name="2024 cumul " totalsRowFunction="average" dataDxfId="667" totalsRowDxfId="666">
      <calculatedColumnFormula>IF(PMDBIGNALET117[[#This Row],[2024]]="","",DONNÉES!AI284)</calculatedColumnFormula>
    </tableColumn>
    <tableColumn id="1" name="2023 cumul " totalsRowFunction="average" dataDxfId="665" totalsRowDxfId="664">
      <calculatedColumnFormula>IF(PMDBIGNALET117[[#This Row],[2024]]="","",DONNÉES!AJ284)</calculatedColumnFormula>
    </tableColumn>
  </tableColumns>
  <tableStyleInfo name="TableStyleMedium10" showFirstColumn="0" showLastColumn="0" showRowStripes="1" showColumnStripes="0"/>
</table>
</file>

<file path=xl/tables/table394.xml><?xml version="1.0" encoding="utf-8"?>
<table xmlns="http://schemas.openxmlformats.org/spreadsheetml/2006/main" id="394" name="PMDCINE124" displayName="PMDCINE124" ref="A70:I83" headerRowCount="1" totalsRowCount="1" headerRowDxfId="663" dataDxfId="662" totalsRowDxfId="661">
  <tableColumns count="9">
    <tableColumn id="1" name="TURVILLA" totalsRowLabel=" TOTAL " dataDxfId="660" totalsRowDxfId="659"/>
    <tableColumn id="2" name="2024" totalsRowFunction="average" dataDxfId="658" totalsRowDxfId="657">
      <calculatedColumnFormula>IF(DONNÉES!AQ204="","",DONNÉES!AQ204)</calculatedColumnFormula>
    </tableColumn>
    <tableColumn id="3" name="2023" totalsRowFunction="average" dataDxfId="656" totalsRowDxfId="655">
      <calculatedColumnFormula>IF(PMDCINE124[[#This Row],[2024]]="","",DONNÉES!AR204)</calculatedColumnFormula>
    </tableColumn>
    <tableColumn id="4" name="2024 cumul" totalsRowFunction="average" dataDxfId="654" totalsRowDxfId="653">
      <calculatedColumnFormula>IF(PMDCINE124[[#This Row],[2024]]="","",DONNÉES!AQ252)</calculatedColumnFormula>
    </tableColumn>
    <tableColumn id="5" name="2023 cumul" totalsRowFunction="average" dataDxfId="652" totalsRowDxfId="651">
      <calculatedColumnFormula>IF(PMDCINE124[[#This Row],[2024]]="","",DONNÉES!AR252)</calculatedColumnFormula>
    </tableColumn>
    <tableColumn id="8" name="2024  " totalsRowFunction="average" dataDxfId="650" totalsRowDxfId="649">
      <calculatedColumnFormula>IF(PMDCINE124[[#This Row],[2024]]="","",DONNÉES!AQ220)</calculatedColumnFormula>
    </tableColumn>
    <tableColumn id="9" name="2023  " totalsRowFunction="average" dataDxfId="648" totalsRowDxfId="647">
      <calculatedColumnFormula>IF(PMDCINE124[[#This Row],[2024]]="","",DONNÉES!AR220)</calculatedColumnFormula>
    </tableColumn>
    <tableColumn id="6" name="2024 cumul " totalsRowFunction="average" dataDxfId="646" totalsRowDxfId="645">
      <calculatedColumnFormula>IF(PMDCINE124[[#This Row],[2024]]="","",DONNÉES!AQ268)</calculatedColumnFormula>
    </tableColumn>
    <tableColumn id="7" name="2023 cumul " totalsRowFunction="average" dataDxfId="644" totalsRowDxfId="643">
      <calculatedColumnFormula>IF(PMDCINE124[[#This Row],[2024]]="","",DONNÉES!AR268)</calculatedColumnFormula>
    </tableColumn>
  </tableColumns>
  <tableStyleInfo name="TableStyleMedium10" showFirstColumn="0" showLastColumn="0" showRowStripes="1" showColumnStripes="0"/>
</table>
</file>

<file path=xl/tables/table395.xml><?xml version="1.0" encoding="utf-8"?>
<table xmlns="http://schemas.openxmlformats.org/spreadsheetml/2006/main" id="395" name="PMDTURVILLA" displayName="PMDTURVILLA" ref="K70:N83" headerRowCount="1" totalsRowCount="1" headerRowDxfId="642" dataDxfId="641" totalsRowDxfId="640">
  <tableColumns count="4">
    <tableColumn id="2" name="2024  " totalsRowFunction="average" dataDxfId="639" totalsRowDxfId="638">
      <calculatedColumnFormula>IF(PMDCINE124[[#This Row],[2024]]="","",DONNÉES!AQ236)</calculatedColumnFormula>
    </tableColumn>
    <tableColumn id="3" name="2023  " totalsRowFunction="average" dataDxfId="637" totalsRowDxfId="636">
      <calculatedColumnFormula>IF(PMDCINE124[[#This Row],[2024]]="","",DONNÉES!AR236)</calculatedColumnFormula>
    </tableColumn>
    <tableColumn id="4" name="2024 cumul " totalsRowFunction="average" dataDxfId="635" totalsRowDxfId="634">
      <calculatedColumnFormula>IF(PMDCINE124[[#This Row],[2024]]="","",DONNÉES!AQ284)</calculatedColumnFormula>
    </tableColumn>
    <tableColumn id="1" name="2023 cumul " totalsRowFunction="average" dataDxfId="633" totalsRowDxfId="632">
      <calculatedColumnFormula>IF(PMDCINE124[[#This Row],[2024]]="","",DONNÉES!AR284)</calculatedColumnFormula>
    </tableColumn>
  </tableColumns>
  <tableStyleInfo name="TableStyleMedium10" showFirstColumn="0" showLastColumn="0" showRowStripes="1" showColumnStripes="0"/>
</table>
</file>

<file path=xl/tables/table396.xml><?xml version="1.0" encoding="utf-8"?>
<table xmlns="http://schemas.openxmlformats.org/spreadsheetml/2006/main" id="396" name="PMDLN131" displayName="PMDLN131" ref="A86:I99" headerRowCount="1" totalsRowCount="1" headerRowDxfId="631" dataDxfId="630" totalsRowDxfId="629">
  <tableColumns count="9">
    <tableColumn id="1" name="HART" totalsRowLabel=" TOTAL " dataDxfId="628" totalsRowDxfId="627"/>
    <tableColumn id="2" name="2024" totalsRowFunction="average" dataDxfId="626" totalsRowDxfId="625">
      <calculatedColumnFormula>IF(DONNÉES!AY204="","",DONNÉES!AY204)</calculatedColumnFormula>
    </tableColumn>
    <tableColumn id="3" name="2023" totalsRowFunction="average" dataDxfId="624" totalsRowDxfId="623">
      <calculatedColumnFormula>IF(PMDLN131[[#This Row],[2024]]="","",DONNÉES!AZ204)</calculatedColumnFormula>
    </tableColumn>
    <tableColumn id="4" name="2024 cumul" totalsRowFunction="average" dataDxfId="622" totalsRowDxfId="621">
      <calculatedColumnFormula>IF(PMDLN131[[#This Row],[2024]]="","",DONNÉES!AY252)</calculatedColumnFormula>
    </tableColumn>
    <tableColumn id="5" name="2023 cumul" totalsRowFunction="average" dataDxfId="620" totalsRowDxfId="619">
      <calculatedColumnFormula>IF(PMDLN131[[#This Row],[2024]]="","",DONNÉES!AZ252)</calculatedColumnFormula>
    </tableColumn>
    <tableColumn id="8" name="2024  " totalsRowFunction="average" dataDxfId="618" totalsRowDxfId="617">
      <calculatedColumnFormula>IF(PMDLN131[[#This Row],[2024]]="","",DONNÉES!AY220)</calculatedColumnFormula>
    </tableColumn>
    <tableColumn id="9" name="2023  " totalsRowFunction="average" dataDxfId="616" totalsRowDxfId="615">
      <calculatedColumnFormula>IF(PMDLN131[[#This Row],[2024]]="","",DONNÉES!AZ220)</calculatedColumnFormula>
    </tableColumn>
    <tableColumn id="6" name="2024 cumul " totalsRowFunction="average" dataDxfId="614" totalsRowDxfId="613">
      <calculatedColumnFormula>IF(PMDLN131[[#This Row],[2024]]="","",DONNÉES!AY268)</calculatedColumnFormula>
    </tableColumn>
    <tableColumn id="7" name="2023 cumul " totalsRowFunction="average" dataDxfId="612" totalsRowDxfId="611">
      <calculatedColumnFormula>IF(PMDLN131[[#This Row],[2024]]="","",DONNÉES!AZ268)</calculatedColumnFormula>
    </tableColumn>
  </tableColumns>
  <tableStyleInfo name="TableStyleMedium12" showFirstColumn="0" showLastColumn="0" showRowStripes="1" showColumnStripes="0"/>
</table>
</file>

<file path=xl/tables/table397.xml><?xml version="1.0" encoding="utf-8"?>
<table xmlns="http://schemas.openxmlformats.org/spreadsheetml/2006/main" id="397" name="PMDHART" displayName="PMDHART" ref="K86:N99" headerRowCount="1" totalsRowCount="1" headerRowDxfId="610" dataDxfId="609" totalsRowDxfId="608">
  <tableColumns count="4">
    <tableColumn id="2" name="2024  " totalsRowFunction="average" dataDxfId="607" totalsRowDxfId="606">
      <calculatedColumnFormula>IF(PMDLN131[[#This Row],[2024]]="","",DONNÉES!AY236)</calculatedColumnFormula>
    </tableColumn>
    <tableColumn id="3" name="2023  " totalsRowFunction="average" dataDxfId="605" totalsRowDxfId="604">
      <calculatedColumnFormula>IF(PMDLN131[[#This Row],[2024]]="","",DONNÉES!AZ236)</calculatedColumnFormula>
    </tableColumn>
    <tableColumn id="4" name="2024 cumul " totalsRowFunction="average" dataDxfId="603" totalsRowDxfId="602">
      <calculatedColumnFormula>IF(PMDLN131[[#This Row],[2024]]="","",DONNÉES!AY284)</calculatedColumnFormula>
    </tableColumn>
    <tableColumn id="6" name="2023 cumul " totalsRowFunction="average" dataDxfId="601" totalsRowDxfId="600">
      <calculatedColumnFormula>IF(PMDLN131[[#This Row],[2024]]="","",DONNÉES!AZ284)</calculatedColumnFormula>
    </tableColumn>
  </tableColumns>
  <tableStyleInfo name="TableStyleMedium12" showFirstColumn="0" showLastColumn="0" showRowStripes="1" showColumnStripes="0"/>
</table>
</file>

<file path=xl/tables/table398.xml><?xml version="1.0" encoding="utf-8"?>
<table xmlns="http://schemas.openxmlformats.org/spreadsheetml/2006/main" id="398" name="PMDVERNON138" displayName="PMDVERNON138" ref="A102:I115" headerRowCount="1" totalsRowCount="1" headerRowDxfId="599" dataDxfId="598" totalsRowDxfId="597">
  <tableColumns count="9">
    <tableColumn id="1" name="VICTOIRE" totalsRowLabel=" TOTAL " dataDxfId="596" totalsRowDxfId="595"/>
    <tableColumn id="2" name="2024" totalsRowFunction="average" dataDxfId="594" totalsRowDxfId="593">
      <calculatedColumnFormula>IF(DONNÉES!BG204="","",DONNÉES!BG204)</calculatedColumnFormula>
    </tableColumn>
    <tableColumn id="3" name="2023" totalsRowFunction="average" dataDxfId="592" totalsRowDxfId="591">
      <calculatedColumnFormula>IF(PMDVERNON138[[#This Row],[2024]]="","",DONNÉES!BH204)</calculatedColumnFormula>
    </tableColumn>
    <tableColumn id="4" name="2024 cumul" totalsRowFunction="average" dataDxfId="590" totalsRowDxfId="589">
      <calculatedColumnFormula>IF(PMDVERNON138[[#This Row],[2024]]="","",DONNÉES!BG252)</calculatedColumnFormula>
    </tableColumn>
    <tableColumn id="5" name="2023 cumul" totalsRowFunction="average" dataDxfId="588" totalsRowDxfId="587">
      <calculatedColumnFormula>IF(PMDVERNON138[[#This Row],[2024]]="","",DONNÉES!BH252)</calculatedColumnFormula>
    </tableColumn>
    <tableColumn id="8" name="2024  " totalsRowFunction="average" dataDxfId="586" totalsRowDxfId="585">
      <calculatedColumnFormula>IF(PMDVERNON138[[#This Row],[2024]]="","",DONNÉES!BG220)</calculatedColumnFormula>
    </tableColumn>
    <tableColumn id="9" name="2023  " totalsRowFunction="average" dataDxfId="584" totalsRowDxfId="583">
      <calculatedColumnFormula>IF(PMDVERNON138[[#This Row],[2024]]="","",DONNÉES!BH220)</calculatedColumnFormula>
    </tableColumn>
    <tableColumn id="6" name="2024 cumul " totalsRowFunction="average" dataDxfId="582" totalsRowDxfId="581">
      <calculatedColumnFormula>IF(PMDVERNON138[[#This Row],[2024]]="","",DONNÉES!BG268)</calculatedColumnFormula>
    </tableColumn>
    <tableColumn id="7" name="2023 cumul " totalsRowFunction="average" dataDxfId="580" totalsRowDxfId="579">
      <calculatedColumnFormula>IF(PMDVERNON138[[#This Row],[2024]]="","",DONNÉES!BH268)</calculatedColumnFormula>
    </tableColumn>
  </tableColumns>
  <tableStyleInfo name="TableStyleMedium12" showFirstColumn="0" showLastColumn="0" showRowStripes="1" showColumnStripes="0"/>
</table>
</file>

<file path=xl/tables/table399.xml><?xml version="1.0" encoding="utf-8"?>
<table xmlns="http://schemas.openxmlformats.org/spreadsheetml/2006/main" id="399" name="PMDVICTOIRE" displayName="PMDVICTOIRE" ref="K102:N115" headerRowCount="1" totalsRowCount="1" headerRowDxfId="578" dataDxfId="577" totalsRowDxfId="576">
  <tableColumns count="4">
    <tableColumn id="2" name="2024  " totalsRowFunction="average" dataDxfId="575" totalsRowDxfId="574">
      <calculatedColumnFormula>IF(PMDVERNON138[[#This Row],[2024]]="","",DONNÉES!BG236)</calculatedColumnFormula>
    </tableColumn>
    <tableColumn id="3" name="2023  " totalsRowFunction="average" dataDxfId="573" totalsRowDxfId="572">
      <calculatedColumnFormula>IF(PMDVERNON138[[#This Row],[2024]]="","",DONNÉES!BH236)</calculatedColumnFormula>
    </tableColumn>
    <tableColumn id="4" name="2024 cumul " totalsRowFunction="average" dataDxfId="571" totalsRowDxfId="570">
      <calculatedColumnFormula>IF(PMDVERNON138[[#This Row],[2024]]="","",DONNÉES!BG284)</calculatedColumnFormula>
    </tableColumn>
    <tableColumn id="1" name="2023 cumul " totalsRowFunction="average" dataDxfId="569" totalsRowDxfId="568">
      <calculatedColumnFormula>IF(PMDVERNON138[[#This Row],[2024]]="","",DONNÉES!BH284)</calculatedColumnFormula>
    </tableColumn>
  </tableColumns>
  <tableStyleInfo name="TableStyleMedium12" showFirstColumn="0" showLastColumn="0" showRowStripes="1" showColumnStripes="0"/>
</table>
</file>

<file path=xl/tables/table400.xml><?xml version="1.0" encoding="utf-8"?>
<table xmlns="http://schemas.openxmlformats.org/spreadsheetml/2006/main" id="400" name="PMDBIGNALET117145" displayName="PMDBIGNALET117145" ref="A6:I19" headerRowCount="1" totalsRowCount="1" headerRowDxfId="567" dataDxfId="566" totalsRowDxfId="565">
  <tableColumns count="9">
    <tableColumn id="1" name="GLR5" totalsRowLabel=" TOTAL " dataDxfId="564" totalsRowDxfId="563"/>
    <tableColumn id="2" name="2024" totalsRowFunction="average" dataDxfId="562" totalsRowDxfId="561">
      <calculatedColumnFormula>IF(DONNÉES!K204="","",DONNÉES!K204)</calculatedColumnFormula>
    </tableColumn>
    <tableColumn id="3" name="2023" totalsRowFunction="average" dataDxfId="560" totalsRowDxfId="559">
      <calculatedColumnFormula>IF(PMDBIGNALET117145[[#This Row],[2024]]="","",DONNÉES!L204)</calculatedColumnFormula>
    </tableColumn>
    <tableColumn id="4" name="2024 cumul" totalsRowFunction="average" dataDxfId="558" totalsRowDxfId="557">
      <calculatedColumnFormula>IF(PMDBIGNALET117145[[#This Row],[2024]]="","",DONNÉES!K252)</calculatedColumnFormula>
    </tableColumn>
    <tableColumn id="5" name="2023 cumul" totalsRowFunction="average" dataDxfId="556" totalsRowDxfId="555">
      <calculatedColumnFormula>IF(PMDBIGNALET117145[[#This Row],[2024]]="","",DONNÉES!L252)</calculatedColumnFormula>
    </tableColumn>
    <tableColumn id="8" name="2024  " totalsRowFunction="average" dataDxfId="554" totalsRowDxfId="553">
      <calculatedColumnFormula>IF(PMDBIGNALET117145[[#This Row],[2024]]="","",DONNÉES!K220)</calculatedColumnFormula>
    </tableColumn>
    <tableColumn id="9" name="2023  " totalsRowFunction="average" dataDxfId="552" totalsRowDxfId="551">
      <calculatedColumnFormula>IF(PMDBIGNALET117145[[#This Row],[2024]]="","",DONNÉES!L220)</calculatedColumnFormula>
    </tableColumn>
    <tableColumn id="6" name="2024 cumul " totalsRowFunction="average" dataDxfId="550" totalsRowDxfId="549">
      <calculatedColumnFormula>IF(PMDBIGNALET117145[[#This Row],[2024]]="","",DONNÉES!K268)</calculatedColumnFormula>
    </tableColumn>
    <tableColumn id="7" name="2023 cumul " totalsRowFunction="average" dataDxfId="548" totalsRowDxfId="547">
      <calculatedColumnFormula>IF(PMDBIGNALET117145[[#This Row],[2024]]="","",DONNÉES!L268)</calculatedColumnFormula>
    </tableColumn>
  </tableColumns>
  <tableStyleInfo name="TableStyleMedium11" showFirstColumn="0" showLastColumn="0" showRowStripes="1" showColumnStripes="0"/>
</table>
</file>

<file path=xl/tables/table401.xml><?xml version="1.0" encoding="utf-8"?>
<table xmlns="http://schemas.openxmlformats.org/spreadsheetml/2006/main" id="401" name="PMDGLR5" displayName="PMDGLR5" ref="K6:N19" headerRowCount="1" totalsRowCount="1" headerRowDxfId="546" dataDxfId="545" totalsRowDxfId="544">
  <tableColumns count="4">
    <tableColumn id="2" name="2024  " totalsRowFunction="average" dataDxfId="543" totalsRowDxfId="542">
      <calculatedColumnFormula>IF(PMDBIGNALET117145[[#This Row],[2024]]="","",DONNÉES!K236)</calculatedColumnFormula>
    </tableColumn>
    <tableColumn id="3" name="2023  " totalsRowFunction="average" dataDxfId="541" totalsRowDxfId="540">
      <calculatedColumnFormula>IF(PMDBIGNALET117145[[#This Row],[2024]]="","",DONNÉES!L236)</calculatedColumnFormula>
    </tableColumn>
    <tableColumn id="4" name="2024 cumul " totalsRowFunction="average" dataDxfId="539" totalsRowDxfId="538">
      <calculatedColumnFormula>IF(PMDBIGNALET117145[[#This Row],[2024]]="","",DONNÉES!K284)</calculatedColumnFormula>
    </tableColumn>
    <tableColumn id="1" name="2023 cumul " totalsRowFunction="average" dataDxfId="537" totalsRowDxfId="536">
      <calculatedColumnFormula>IF(PMDBIGNALET117145[[#This Row],[2024]]="","",DONNÉES!L284)</calculatedColumnFormula>
    </tableColumn>
  </tableColumns>
  <tableStyleInfo name="TableStyleMedium11" showFirstColumn="0" showLastColumn="0" showRowStripes="1" showColumnStripes="0"/>
</table>
</file>

<file path=xl/tables/table402.xml><?xml version="1.0" encoding="utf-8"?>
<table xmlns="http://schemas.openxmlformats.org/spreadsheetml/2006/main" id="402" name="PMDCINE124152" displayName="PMDCINE124152" ref="A22:I35" headerRowCount="1" totalsRowCount="1" headerRowDxfId="535" dataDxfId="534" totalsRowDxfId="533">
  <tableColumns count="9">
    <tableColumn id="1" name="HTR8" totalsRowLabel=" TOTAL " dataDxfId="532" totalsRowDxfId="531"/>
    <tableColumn id="2" name="2024" totalsRowFunction="average" dataDxfId="530" totalsRowDxfId="529">
      <calculatedColumnFormula>IF(DONNÉES!S204="","",DONNÉES!S204)</calculatedColumnFormula>
    </tableColumn>
    <tableColumn id="3" name="2023" totalsRowFunction="average" dataDxfId="528" totalsRowDxfId="527">
      <calculatedColumnFormula>IF(PMDCINE124152[[#This Row],[2024]]="","",DONNÉES!T204)</calculatedColumnFormula>
    </tableColumn>
    <tableColumn id="4" name="2024 cumul" totalsRowFunction="average" dataDxfId="526" totalsRowDxfId="525">
      <calculatedColumnFormula>IF(PMDCINE124152[[#This Row],[2024]]="","",DONNÉES!S252)</calculatedColumnFormula>
    </tableColumn>
    <tableColumn id="5" name="2023 cumul" totalsRowFunction="average" dataDxfId="524" totalsRowDxfId="523">
      <calculatedColumnFormula>IF(PMDCINE124152[[#This Row],[2024]]="","",DONNÉES!T252)</calculatedColumnFormula>
    </tableColumn>
    <tableColumn id="8" name="2024  " totalsRowFunction="average" dataDxfId="522" totalsRowDxfId="521">
      <calculatedColumnFormula>IF(PMDCINE124152[[#This Row],[2024]]="","",DONNÉES!S220)</calculatedColumnFormula>
    </tableColumn>
    <tableColumn id="9" name="2023  " totalsRowFunction="average" dataDxfId="520" totalsRowDxfId="519">
      <calculatedColumnFormula>IF(PMDCINE124152[[#This Row],[2024]]="","",DONNÉES!T220)</calculatedColumnFormula>
    </tableColumn>
    <tableColumn id="6" name="2024 cumul " totalsRowFunction="average" dataDxfId="518" totalsRowDxfId="517">
      <calculatedColumnFormula>IF(PMDCINE124152[[#This Row],[2024]]="","",DONNÉES!S268)</calculatedColumnFormula>
    </tableColumn>
    <tableColumn id="7" name="2023 cumul " totalsRowFunction="average" dataDxfId="516" totalsRowDxfId="515">
      <calculatedColumnFormula>IF(PMDCINE124152[[#This Row],[2024]]="","",DONNÉES!T268)</calculatedColumnFormula>
    </tableColumn>
  </tableColumns>
  <tableStyleInfo name="TableStyleMedium13" showFirstColumn="0" showLastColumn="0" showRowStripes="1" showColumnStripes="0"/>
</table>
</file>

<file path=xl/tables/table403.xml><?xml version="1.0" encoding="utf-8"?>
<table xmlns="http://schemas.openxmlformats.org/spreadsheetml/2006/main" id="403" name="PMDHTR8" displayName="PMDHTR8" ref="K22:N35" headerRowCount="1" totalsRowCount="1" headerRowDxfId="514" dataDxfId="513" totalsRowDxfId="512">
  <tableColumns count="4">
    <tableColumn id="2" name="2024  " totalsRowFunction="average" dataDxfId="511" totalsRowDxfId="510">
      <calculatedColumnFormula>IF(PMDCINE124152[[#This Row],[2024]]="","",DONNÉES!S236)</calculatedColumnFormula>
    </tableColumn>
    <tableColumn id="3" name="2023  " totalsRowFunction="average" dataDxfId="509" totalsRowDxfId="508">
      <calculatedColumnFormula>IF(PMDCINE124152[[#This Row],[2024]]="","",DONNÉES!T236)</calculatedColumnFormula>
    </tableColumn>
    <tableColumn id="4" name="2024 cumul " totalsRowFunction="average" dataDxfId="507" totalsRowDxfId="506">
      <calculatedColumnFormula>IF(PMDCINE124152[[#This Row],[2024]]="","",DONNÉES!S284)</calculatedColumnFormula>
    </tableColumn>
    <tableColumn id="1" name="2023 cumul " totalsRowFunction="average" dataDxfId="505" totalsRowDxfId="504">
      <calculatedColumnFormula>IF(PMDCINE124152[[#This Row],[2024]]="","",DONNÉES!T284)</calculatedColumnFormula>
    </tableColumn>
  </tableColumns>
  <tableStyleInfo name="TableStyleMedium13" showFirstColumn="0" showLastColumn="0" showRowStripes="1" showColumnStripes="0"/>
</table>
</file>

<file path=xl/tables/table404.xml><?xml version="1.0" encoding="utf-8"?>
<table xmlns="http://schemas.openxmlformats.org/spreadsheetml/2006/main" id="404" name="PMDLN131159" displayName="PMDLN131159" ref="A38:I51" headerRowCount="1" totalsRowCount="1" headerRowDxfId="503" dataDxfId="502" totalsRowDxfId="501">
  <tableColumns count="9">
    <tableColumn id="1" name="TIRR" totalsRowLabel=" TOTAL " dataDxfId="500" totalsRowDxfId="499"/>
    <tableColumn id="2" name="2024" totalsRowFunction="average" dataDxfId="498" totalsRowDxfId="497">
      <calculatedColumnFormula>IF(DONNÉES!AA204="","",DONNÉES!AA204)</calculatedColumnFormula>
    </tableColumn>
    <tableColumn id="3" name="2023" totalsRowFunction="average" dataDxfId="496" totalsRowDxfId="495">
      <calculatedColumnFormula>IF(PMDLN131159[[#This Row],[2024]]="","",DONNÉES!AB204)</calculatedColumnFormula>
    </tableColumn>
    <tableColumn id="4" name="2024 cumul" totalsRowFunction="average" dataDxfId="494" totalsRowDxfId="493">
      <calculatedColumnFormula>IF(PMDLN131159[[#This Row],[2024]]="","",DONNÉES!AA252)</calculatedColumnFormula>
    </tableColumn>
    <tableColumn id="5" name="2023 cumul" totalsRowFunction="average" dataDxfId="492" totalsRowDxfId="491">
      <calculatedColumnFormula>IF(PMDLN131159[[#This Row],[2024]]="","",DONNÉES!AB252)</calculatedColumnFormula>
    </tableColumn>
    <tableColumn id="8" name="2024  " totalsRowFunction="average" dataDxfId="490" totalsRowDxfId="489">
      <calculatedColumnFormula>IF(PMDLN131159[[#This Row],[2024]]="","",DONNÉES!AA220)</calculatedColumnFormula>
    </tableColumn>
    <tableColumn id="9" name="2023  " totalsRowFunction="average" dataDxfId="488" totalsRowDxfId="487">
      <calculatedColumnFormula>IF(PMDLN131159[[#This Row],[2024]]="","",DONNÉES!AB220)</calculatedColumnFormula>
    </tableColumn>
    <tableColumn id="6" name="2024 cumul " totalsRowFunction="average" dataDxfId="486" totalsRowDxfId="485">
      <calculatedColumnFormula>IF(PMDLN131159[[#This Row],[2024]]="","",DONNÉES!AA268)</calculatedColumnFormula>
    </tableColumn>
    <tableColumn id="7" name="2023 cumul " totalsRowFunction="average" dataDxfId="484" totalsRowDxfId="483">
      <calculatedColumnFormula>IF(PMDLN131159[[#This Row],[2024]]="","",DONNÉES!AB268)</calculatedColumnFormula>
    </tableColumn>
  </tableColumns>
  <tableStyleInfo name="TableStyleMedium13" showFirstColumn="0" showLastColumn="0" showRowStripes="1" showColumnStripes="0"/>
</table>
</file>

<file path=xl/tables/table405.xml><?xml version="1.0" encoding="utf-8"?>
<table xmlns="http://schemas.openxmlformats.org/spreadsheetml/2006/main" id="405" name="PMDTIRR" displayName="PMDTIRR" ref="K38:N51" headerRowCount="1" totalsRowCount="1" headerRowDxfId="482" dataDxfId="481" totalsRowDxfId="480">
  <tableColumns count="4">
    <tableColumn id="2" name="2024  " totalsRowFunction="average" dataDxfId="479" totalsRowDxfId="478">
      <calculatedColumnFormula>IF(PMDLN131159[[#This Row],[2024]]="","",DONNÉES!AA236)</calculatedColumnFormula>
    </tableColumn>
    <tableColumn id="3" name="2023  " totalsRowFunction="average" dataDxfId="477" totalsRowDxfId="476">
      <calculatedColumnFormula>IF(PMDLN131159[[#This Row],[2024]]="","",DONNÉES!AB236)</calculatedColumnFormula>
    </tableColumn>
    <tableColumn id="4" name="2024 cumul " totalsRowFunction="average" dataDxfId="475" totalsRowDxfId="474">
      <calculatedColumnFormula>IF(PMDLN131159[[#This Row],[2024]]="","",DONNÉES!AA284)</calculatedColumnFormula>
    </tableColumn>
    <tableColumn id="6" name="2023 cumul " totalsRowFunction="average" dataDxfId="473" totalsRowDxfId="472">
      <calculatedColumnFormula>IF(PMDLN131159[[#This Row],[2024]]="","",DONNÉES!AB284)</calculatedColumnFormula>
    </tableColumn>
  </tableColumns>
  <tableStyleInfo name="TableStyleMedium13" showFirstColumn="0" showLastColumn="0" showRowStripes="1" showColumnStripes="0"/>
</table>
</file>

<file path=xl/tables/table406.xml><?xml version="1.0" encoding="utf-8"?>
<table xmlns="http://schemas.openxmlformats.org/spreadsheetml/2006/main" id="406" name="PMDVERNON401" displayName="PMDVERNON401" ref="A182:I195" headerRowCount="1" totalsRowCount="1" headerRowDxfId="471" dataDxfId="470" totalsRowDxfId="469">
  <tableColumns count="9">
    <tableColumn id="1" name="ARTHUR" totalsRowLabel=" TOTAL " dataDxfId="468" totalsRowDxfId="467"/>
    <tableColumn id="2" name="2024" totalsRowFunction="average" dataDxfId="466" totalsRowDxfId="465">
      <calculatedColumnFormula>IF(DONNÉES!CU204="","",DONNÉES!CU204)</calculatedColumnFormula>
    </tableColumn>
    <tableColumn id="3" name="2023" totalsRowFunction="average" dataDxfId="464" totalsRowDxfId="463">
      <calculatedColumnFormula>IF(PMDVERNON401[[#This Row],[2024]]="","",DONNÉES!CV204)</calculatedColumnFormula>
    </tableColumn>
    <tableColumn id="4" name="2024 cumul" totalsRowFunction="average" dataDxfId="462" totalsRowDxfId="461">
      <calculatedColumnFormula>IF(PMDVERNON401[[#This Row],[2024]]="","",DONNÉES!CU252)</calculatedColumnFormula>
    </tableColumn>
    <tableColumn id="5" name="2023 cumul" totalsRowFunction="average" dataDxfId="460" totalsRowDxfId="459">
      <calculatedColumnFormula>IF(PMDVERNON401[[#This Row],[2024]]="","",DONNÉES!CV252)</calculatedColumnFormula>
    </tableColumn>
    <tableColumn id="8" name="2024  " totalsRowFunction="average" dataDxfId="458" totalsRowDxfId="457">
      <calculatedColumnFormula>IF(PMDVERNON401[[#This Row],[2024]]="","",DONNÉES!CU220)</calculatedColumnFormula>
    </tableColumn>
    <tableColumn id="9" name="2023  " totalsRowFunction="average" dataDxfId="456" totalsRowDxfId="455">
      <calculatedColumnFormula>IF(PMDVERNON401[[#This Row],[2024]]="","",DONNÉES!CV220)</calculatedColumnFormula>
    </tableColumn>
    <tableColumn id="6" name="2024 cumul " totalsRowFunction="average" dataDxfId="454" totalsRowDxfId="453">
      <calculatedColumnFormula>IF(PMDVERNON401[[#This Row],[2024]]="","",DONNÉES!CU268)</calculatedColumnFormula>
    </tableColumn>
    <tableColumn id="7" name="2023 cumul " totalsRowFunction="average" dataDxfId="452" totalsRowDxfId="451">
      <calculatedColumnFormula>IF(PMDVERNON401[[#This Row],[2024]]="","",DONNÉES!CV268)</calculatedColumnFormula>
    </tableColumn>
  </tableColumns>
  <tableStyleInfo name="TableStyleMedium8" showFirstColumn="0" showLastColumn="0" showRowStripes="1" showColumnStripes="0"/>
</table>
</file>

<file path=xl/tables/table407.xml><?xml version="1.0" encoding="utf-8"?>
<table xmlns="http://schemas.openxmlformats.org/spreadsheetml/2006/main" id="407" name="PMDARTHUR" displayName="PMDARTHUR" ref="K182:N195" headerRowCount="1" totalsRowCount="1" headerRowDxfId="450" dataDxfId="449" totalsRowDxfId="448">
  <tableColumns count="4">
    <tableColumn id="2" name="2024  " totalsRowFunction="average" dataDxfId="447" totalsRowDxfId="446">
      <calculatedColumnFormula>IF(PMDVERNON401[[#This Row],[2024]]="","",DONNÉES!CU236)</calculatedColumnFormula>
    </tableColumn>
    <tableColumn id="3" name="2023  " totalsRowFunction="average" dataDxfId="445" totalsRowDxfId="444">
      <calculatedColumnFormula>IF(PMDVERNON401[[#This Row],[2024]]="","",DONNÉES!CV236)</calculatedColumnFormula>
    </tableColumn>
    <tableColumn id="4" name="2024 cumul " totalsRowFunction="average" dataDxfId="443" totalsRowDxfId="442">
      <calculatedColumnFormula>IF(PMDVERNON401[[#This Row],[2024]]="","",DONNÉES!CU284)</calculatedColumnFormula>
    </tableColumn>
    <tableColumn id="1" name="2023 cumul " totalsRowFunction="average" dataDxfId="441" totalsRowDxfId="440">
      <calculatedColumnFormula>IF(PMDVERNON401[[#This Row],[2024]]="","",DONNÉES!CV284)</calculatedColumnFormula>
    </tableColumn>
  </tableColumns>
  <tableStyleInfo name="TableStyleMedium8" showFirstColumn="0" showLastColumn="0" showRowStripes="1" showColumnStripes="0"/>
</table>
</file>

<file path=xl/tables/table408.xml><?xml version="1.0" encoding="utf-8"?>
<table xmlns="http://schemas.openxmlformats.org/spreadsheetml/2006/main" id="408" name="PMDVERNON401403" displayName="PMDVERNON401403" ref="A198:I211" headerRowCount="1" totalsRowCount="1" headerRowDxfId="439" dataDxfId="438" totalsRowDxfId="437">
  <tableColumns count="9">
    <tableColumn id="1" name="HUGO" totalsRowLabel=" TOTAL " dataDxfId="436" totalsRowDxfId="435"/>
    <tableColumn id="2" name="2024" totalsRowFunction="average" dataDxfId="434" totalsRowDxfId="433">
      <calculatedColumnFormula>IF(DONNÉES!DC204="","",DONNÉES!DC204)</calculatedColumnFormula>
    </tableColumn>
    <tableColumn id="3" name="2023" totalsRowFunction="average" dataDxfId="432" totalsRowDxfId="431">
      <calculatedColumnFormula>IF(PMDVERNON401403[[#This Row],[2024]]="","",DONNÉES!DD204)</calculatedColumnFormula>
    </tableColumn>
    <tableColumn id="4" name="2024 cumul" totalsRowFunction="average" dataDxfId="430" totalsRowDxfId="429">
      <calculatedColumnFormula>IF(PMDVERNON401403[[#This Row],[2024]]="","",DONNÉES!DC252)</calculatedColumnFormula>
    </tableColumn>
    <tableColumn id="5" name="2023 cumul" totalsRowFunction="average" dataDxfId="428" totalsRowDxfId="427">
      <calculatedColumnFormula>IF(PMDVERNON401403[[#This Row],[2024]]="","",DONNÉES!DD252)</calculatedColumnFormula>
    </tableColumn>
    <tableColumn id="8" name="2024  " totalsRowFunction="average" dataDxfId="426" totalsRowDxfId="425">
      <calculatedColumnFormula>IF(PMDVERNON401403[[#This Row],[2024]]="","",DONNÉES!DC220)</calculatedColumnFormula>
    </tableColumn>
    <tableColumn id="9" name="2023  " totalsRowFunction="average" dataDxfId="424" totalsRowDxfId="423">
      <calculatedColumnFormula>IF(PMDVERNON401403[[#This Row],[2024]]="","",DONNÉES!DD220)</calculatedColumnFormula>
    </tableColumn>
    <tableColumn id="6" name="2024 cumul " totalsRowFunction="average" dataDxfId="422" totalsRowDxfId="421">
      <calculatedColumnFormula>IF(PMDVERNON401403[[#This Row],[2024]]="","",DONNÉES!DC268)</calculatedColumnFormula>
    </tableColumn>
    <tableColumn id="7" name="2023 cumul " totalsRowFunction="average" dataDxfId="420" totalsRowDxfId="419">
      <calculatedColumnFormula>IF(PMDVERNON401403[[#This Row],[2024]]="","",DONNÉES!DD268)</calculatedColumnFormula>
    </tableColumn>
  </tableColumns>
  <tableStyleInfo name="TableStyleMedium11" showFirstColumn="0" showLastColumn="0" showRowStripes="1" showColumnStripes="0"/>
</table>
</file>

<file path=xl/tables/table409.xml><?xml version="1.0" encoding="utf-8"?>
<table xmlns="http://schemas.openxmlformats.org/spreadsheetml/2006/main" id="409" name="PMDHUGO" displayName="PMDHUGO" ref="K198:N211" headerRowCount="1" totalsRowCount="1" headerRowDxfId="418" dataDxfId="417" totalsRowDxfId="416">
  <tableColumns count="4">
    <tableColumn id="2" name="2024  " totalsRowFunction="average" dataDxfId="415" totalsRowDxfId="414">
      <calculatedColumnFormula>IF(PMDVERNON401403[[#This Row],[2024]]="","",DONNÉES!DC236)</calculatedColumnFormula>
    </tableColumn>
    <tableColumn id="3" name="2023  " totalsRowFunction="average" dataDxfId="413" totalsRowDxfId="412">
      <calculatedColumnFormula>IF(PMDVERNON401403[[#This Row],[2024]]="","",DONNÉES!DD236)</calculatedColumnFormula>
    </tableColumn>
    <tableColumn id="4" name="2024 cumul " totalsRowFunction="average" dataDxfId="411" totalsRowDxfId="410">
      <calculatedColumnFormula>IF(PMDVERNON401403[[#This Row],[2024]]="","",DONNÉES!DC284)</calculatedColumnFormula>
    </tableColumn>
    <tableColumn id="1" name="2023 cumul " totalsRowFunction="average" dataDxfId="409" totalsRowDxfId="408">
      <calculatedColumnFormula>IF(PMDVERNON401403[[#This Row],[2024]]="","",DONNÉES!DD284)</calculatedColumnFormula>
    </tableColumn>
  </tableColumns>
  <tableStyleInfo name="TableStyleMedium11" showFirstColumn="0" showLastColumn="0" showRowStripes="1" showColumnStripes="0"/>
</table>
</file>

<file path=xl/tables/table410.xml><?xml version="1.0" encoding="utf-8"?>
<table xmlns="http://schemas.openxmlformats.org/spreadsheetml/2006/main" id="410" name="PMDVERNON401403405" displayName="PMDVERNON401403405" ref="A214:I227" headerRowCount="1" totalsRowCount="1" headerRowDxfId="407" totalsRowDxfId="406" headerRowCellStyle="Normal 5">
  <tableColumns count="9">
    <tableColumn id="1" name="JEANCLO" totalsRowLabel=" TOTAL " dataDxfId="405" totalsRowDxfId="404" dataCellStyle="Normal 5"/>
    <tableColumn id="2" name="2024" totalsRowFunction="average" dataDxfId="403" totalsRowDxfId="402" dataCellStyle="Milliers">
      <calculatedColumnFormula>IF(DONNÉES!DK204="","",DONNÉES!DK204)</calculatedColumnFormula>
    </tableColumn>
    <tableColumn id="3" name="2023" totalsRowFunction="average" dataDxfId="401" totalsRowDxfId="400" dataCellStyle="Milliers">
      <calculatedColumnFormula>IF(PMDVERNON401403405[[#This Row],[2024]]="","",DONNÉES!DL204)</calculatedColumnFormula>
    </tableColumn>
    <tableColumn id="4" name="2024 cumul" totalsRowFunction="average" dataDxfId="399" totalsRowDxfId="398" dataCellStyle="Milliers">
      <calculatedColumnFormula>IF(PMDVERNON401403405[[#This Row],[2024]]="","",DONNÉES!DK252)</calculatedColumnFormula>
    </tableColumn>
    <tableColumn id="5" name="2023 cumul" totalsRowFunction="average" dataDxfId="397" totalsRowDxfId="396" dataCellStyle="Milliers">
      <calculatedColumnFormula>IF(PMDVERNON401403405[[#This Row],[2024]]="","",DONNÉES!DL252)</calculatedColumnFormula>
    </tableColumn>
    <tableColumn id="8" name="2024  " totalsRowFunction="average" dataDxfId="395" totalsRowDxfId="394" dataCellStyle="Milliers">
      <calculatedColumnFormula>IF(PMDVERNON401403405[[#This Row],[2024]]="","",DONNÉES!DK220)</calculatedColumnFormula>
    </tableColumn>
    <tableColumn id="9" name="2023  " totalsRowFunction="average" dataDxfId="393" totalsRowDxfId="392" dataCellStyle="Milliers">
      <calculatedColumnFormula>IF(PMDVERNON401403405[[#This Row],[2024]]="","",DONNÉES!DL220)</calculatedColumnFormula>
    </tableColumn>
    <tableColumn id="6" name="2024 cumul " totalsRowFunction="average" dataDxfId="391" totalsRowDxfId="390" dataCellStyle="Milliers">
      <calculatedColumnFormula>IF(PMDVERNON401403405[[#This Row],[2024]]="","",DONNÉES!DK268)</calculatedColumnFormula>
    </tableColumn>
    <tableColumn id="7" name="2023 cumul " totalsRowFunction="average" dataDxfId="389" totalsRowDxfId="388" dataCellStyle="Milliers">
      <calculatedColumnFormula>IF(PMDVERNON401403405[[#This Row],[2024]]="","",DONNÉES!DL268)</calculatedColumnFormula>
    </tableColumn>
  </tableColumns>
  <tableStyleInfo name="TableStyleMedium11" showFirstColumn="0" showLastColumn="0" showRowStripes="1" showColumnStripes="0"/>
</table>
</file>

<file path=xl/tables/table411.xml><?xml version="1.0" encoding="utf-8"?>
<table xmlns="http://schemas.openxmlformats.org/spreadsheetml/2006/main" id="411" name="PMDJEANCLO" displayName="PMDJEANCLO" ref="K214:N227" headerRowCount="1" totalsRowCount="1" headerRowDxfId="387" totalsRowDxfId="385" tableBorderDxfId="386" headerRowCellStyle="Normal 5">
  <tableColumns count="4">
    <tableColumn id="2" name="2024  " totalsRowFunction="average" dataDxfId="384" totalsRowDxfId="383" dataCellStyle="Milliers">
      <calculatedColumnFormula>IF(PMDVERNON401403405[[#This Row],[2024]]="","",DONNÉES!DK236)</calculatedColumnFormula>
    </tableColumn>
    <tableColumn id="3" name="2023  " totalsRowFunction="average" dataDxfId="382" totalsRowDxfId="381" dataCellStyle="Milliers">
      <calculatedColumnFormula>IF(PMDVERNON401403405[[#This Row],[2024]]="","",DONNÉES!DL236)</calculatedColumnFormula>
    </tableColumn>
    <tableColumn id="4" name="2024 cumul " totalsRowFunction="average" dataDxfId="380" totalsRowDxfId="379" dataCellStyle="Milliers">
      <calculatedColumnFormula>IF(PMDVERNON401403405[[#This Row],[2024]]="","",DONNÉES!DK284)</calculatedColumnFormula>
    </tableColumn>
    <tableColumn id="1" name="2023 cumul " totalsRowFunction="average" dataDxfId="378" totalsRowDxfId="377" dataCellStyle="Milliers">
      <calculatedColumnFormula>IF(PMDVERNON401403405[[#This Row],[2024]]="","",DONNÉES!DL284)</calculatedColumnFormula>
    </tableColumn>
  </tableColumns>
  <tableStyleInfo name="TableStyleMedium11" showFirstColumn="0" showLastColumn="0" showRowStripes="1" showColumnStripes="0"/>
</table>
</file>

<file path=xl/tables/table412.xml><?xml version="1.0" encoding="utf-8"?>
<table xmlns="http://schemas.openxmlformats.org/spreadsheetml/2006/main" id="412" name="PMDVERNON401403405407" displayName="PMDVERNON401403405407" ref="A230:I243" headerRowCount="1" totalsRowCount="1" headerRowDxfId="376" dataDxfId="375" totalsRowDxfId="374">
  <tableColumns count="9">
    <tableColumn id="1" name="THOMAS" totalsRowLabel=" TOTAL " dataDxfId="373" totalsRowDxfId="372"/>
    <tableColumn id="2" name="2024" totalsRowFunction="average" dataDxfId="371" totalsRowDxfId="370">
      <calculatedColumnFormula>IF(DONNÉES!DS204="","",DONNÉES!DS204)</calculatedColumnFormula>
    </tableColumn>
    <tableColumn id="3" name="2023" totalsRowFunction="average" dataDxfId="369" totalsRowDxfId="368">
      <calculatedColumnFormula>IF(PMDVERNON401403405407[[#This Row],[2024]]="","",DONNÉES!DT204)</calculatedColumnFormula>
    </tableColumn>
    <tableColumn id="4" name="2024 cumul" totalsRowFunction="average" dataDxfId="367" totalsRowDxfId="366">
      <calculatedColumnFormula>IF(PMDVERNON401403405407[[#This Row],[2024]]="","",DONNÉES!DS252)</calculatedColumnFormula>
    </tableColumn>
    <tableColumn id="5" name="2023 cumul" totalsRowFunction="average" dataDxfId="365" totalsRowDxfId="364">
      <calculatedColumnFormula>IF(PMDVERNON401403405407[[#This Row],[2024]]="","",DONNÉES!DT252)</calculatedColumnFormula>
    </tableColumn>
    <tableColumn id="8" name="2024  " totalsRowFunction="average" dataDxfId="363" totalsRowDxfId="362">
      <calculatedColumnFormula>IF(PMDVERNON401403405407[[#This Row],[2024]]="","",DONNÉES!DS220)</calculatedColumnFormula>
    </tableColumn>
    <tableColumn id="9" name="2023  " totalsRowFunction="average" dataDxfId="361" totalsRowDxfId="360">
      <calculatedColumnFormula>IF(PMDVERNON401403405407[[#This Row],[2024]]="","",DONNÉES!DT220)</calculatedColumnFormula>
    </tableColumn>
    <tableColumn id="6" name="2024 cumul " totalsRowFunction="average" dataDxfId="359" totalsRowDxfId="358">
      <calculatedColumnFormula>IF(PMDVERNON401403405407[[#This Row],[2024]]="","",DONNÉES!DS268)</calculatedColumnFormula>
    </tableColumn>
    <tableColumn id="7" name="2023 cumul " totalsRowFunction="average" dataDxfId="357" totalsRowDxfId="356">
      <calculatedColumnFormula>IF(PMDVERNON401403405407[[#This Row],[2024]]="","",DONNÉES!DT268)</calculatedColumnFormula>
    </tableColumn>
  </tableColumns>
  <tableStyleInfo name="TableStyleMedium13" showFirstColumn="0" showLastColumn="0" showRowStripes="1" showColumnStripes="0"/>
</table>
</file>

<file path=xl/tables/table413.xml><?xml version="1.0" encoding="utf-8"?>
<table xmlns="http://schemas.openxmlformats.org/spreadsheetml/2006/main" id="413" name="PMDTHOMAS" displayName="PMDTHOMAS" ref="K230:N243" headerRowCount="1" totalsRowCount="1" headerRowDxfId="355" dataDxfId="354" totalsRowDxfId="353">
  <tableColumns count="4">
    <tableColumn id="2" name="2024  " totalsRowFunction="average" dataDxfId="352" totalsRowDxfId="351">
      <calculatedColumnFormula>IF(PMDVERNON401403405407[[#This Row],[2024]]="","",DONNÉES!DS236)</calculatedColumnFormula>
    </tableColumn>
    <tableColumn id="3" name="2023  " totalsRowFunction="average" dataDxfId="350" totalsRowDxfId="349">
      <calculatedColumnFormula>IF(PMDVERNON401403405407[[#This Row],[2024]]="","",DONNÉES!DT236)</calculatedColumnFormula>
    </tableColumn>
    <tableColumn id="4" name="2024 cumul " totalsRowFunction="average" dataDxfId="348" totalsRowDxfId="347">
      <calculatedColumnFormula>IF(PMDVERNON401403405407[[#This Row],[2024]]="","",DONNÉES!DS284)</calculatedColumnFormula>
    </tableColumn>
    <tableColumn id="1" name="2023 cumul " totalsRowFunction="average" dataDxfId="346" totalsRowDxfId="345">
      <calculatedColumnFormula>IF(PMDVERNON401403405407[[#This Row],[2024]]="","",DONNÉES!DT284)</calculatedColumnFormula>
    </tableColumn>
  </tableColumns>
  <tableStyleInfo name="TableStyleMedium13" showFirstColumn="0" showLastColumn="0" showRowStripes="1" showColumnStripes="0"/>
</table>
</file>

<file path=xl/tables/table414.xml><?xml version="1.0" encoding="utf-8"?>
<table xmlns="http://schemas.openxmlformats.org/spreadsheetml/2006/main" id="414" name="PMDCAT" displayName="PMDCAT" ref="A246:I259" headerRowCount="1" totalsRowCount="1" headerRowDxfId="344" dataDxfId="343" totalsRowDxfId="342">
  <tableColumns count="9">
    <tableColumn id="1" name="CATALINA" totalsRowLabel=" TOTAL " dataDxfId="341" totalsRowDxfId="340"/>
    <tableColumn id="2" name="2024" totalsRowFunction="average" dataDxfId="339" totalsRowDxfId="338">
      <calculatedColumnFormula>IF(DONNÉES!EA204="","",DONNÉES!EA204)</calculatedColumnFormula>
    </tableColumn>
    <tableColumn id="3" name="2023" totalsRowFunction="average" dataDxfId="337" totalsRowDxfId="336">
      <calculatedColumnFormula>IF(PMDCAT[[#This Row],[2024]]="","",DONNÉES!EB204)</calculatedColumnFormula>
    </tableColumn>
    <tableColumn id="4" name="2024 cumul" totalsRowFunction="average" dataDxfId="335" totalsRowDxfId="334">
      <calculatedColumnFormula>IF(PMDCAT[[#This Row],[2024]]="","",DONNÉES!EA252)</calculatedColumnFormula>
    </tableColumn>
    <tableColumn id="5" name="2023 cumul" totalsRowFunction="average" dataDxfId="333" totalsRowDxfId="332">
      <calculatedColumnFormula>IF(PMDCAT[[#This Row],[2024]]="","",DONNÉES!EB252)</calculatedColumnFormula>
    </tableColumn>
    <tableColumn id="8" name="2024  " totalsRowFunction="average" dataDxfId="331" totalsRowDxfId="330">
      <calculatedColumnFormula>IF(PMDCAT[[#This Row],[2024]]="","",DONNÉES!EA220)</calculatedColumnFormula>
    </tableColumn>
    <tableColumn id="9" name="2023  " totalsRowFunction="average" dataDxfId="329" totalsRowDxfId="328">
      <calculatedColumnFormula>IF(PMDCAT[[#This Row],[2024]]="","",DONNÉES!EB220)</calculatedColumnFormula>
    </tableColumn>
    <tableColumn id="6" name="2024 cumul " totalsRowFunction="average" dataDxfId="327" totalsRowDxfId="326">
      <calculatedColumnFormula>IF(PMDCAT[[#This Row],[2024]]="","",DONNÉES!EA268)</calculatedColumnFormula>
    </tableColumn>
    <tableColumn id="7" name="2023 cumul " totalsRowFunction="average" dataDxfId="325" totalsRowDxfId="324">
      <calculatedColumnFormula>IF(PMDCAT[[#This Row],[2024]]="","",DONNÉES!EB268)</calculatedColumnFormula>
    </tableColumn>
  </tableColumns>
  <tableStyleInfo name="TableStyleMedium13" showFirstColumn="0" showLastColumn="0" showRowStripes="1" showColumnStripes="0"/>
</table>
</file>

<file path=xl/tables/table415.xml><?xml version="1.0" encoding="utf-8"?>
<table xmlns="http://schemas.openxmlformats.org/spreadsheetml/2006/main" id="415" name="PMDTHOMAS433" displayName="PMDTHOMAS433" ref="K246:N259" headerRowCount="1" totalsRowCount="1" headerRowDxfId="323" dataDxfId="322" totalsRowDxfId="321">
  <tableColumns count="4">
    <tableColumn id="2" name="2024  " totalsRowFunction="average" dataDxfId="320" totalsRowDxfId="319">
      <calculatedColumnFormula>IF(PMDCAT[[#This Row],[2024]]="","",DONNÉES!EA236)</calculatedColumnFormula>
    </tableColumn>
    <tableColumn id="3" name="2023  " totalsRowFunction="average" dataDxfId="318" totalsRowDxfId="317">
      <calculatedColumnFormula>IF(PMDCAT[[#This Row],[2024]]="","",DONNÉES!EB236)</calculatedColumnFormula>
    </tableColumn>
    <tableColumn id="4" name="2024 cumul " totalsRowFunction="average" dataDxfId="316" totalsRowDxfId="315">
      <calculatedColumnFormula>IF(PMDCAT[[#This Row],[2024]]="","",DONNÉES!EA284)</calculatedColumnFormula>
    </tableColumn>
    <tableColumn id="1" name="2023 cumul " totalsRowFunction="average" dataDxfId="314" totalsRowDxfId="313">
      <calculatedColumnFormula>IF(PMDCAT[[#This Row],[2024]]="","",DONNÉES!EB284)</calculatedColumnFormula>
    </tableColumn>
  </tableColumns>
  <tableStyleInfo name="TableStyleMedium13" showFirstColumn="0" showLastColumn="0" showRowStripes="1" showColumnStripes="0"/>
</table>
</file>

<file path=xl/tables/table416.xml><?xml version="1.0" encoding="utf-8"?>
<table xmlns="http://schemas.openxmlformats.org/spreadsheetml/2006/main" id="416" name="PMTTR314" displayName="PMTTR314" ref="A65:G78" headerRowCount="1" totalsRowCount="1" headerRowDxfId="312" dataDxfId="311" totalsRowDxfId="310">
  <tableColumns count="7">
    <tableColumn id="1" name="R3 14" totalsRowLabel=" TOTAL " dataDxfId="309" totalsRowDxfId="308"/>
    <tableColumn id="2" name="2024" totalsRowFunction="average" dataDxfId="307" totalsRowDxfId="306">
      <calculatedColumnFormula>IF(DONNÉES!CE236="","",DONNÉES!CE236)</calculatedColumnFormula>
    </tableColumn>
    <tableColumn id="3" name="2023" totalsRowFunction="average" dataDxfId="305" totalsRowDxfId="304">
      <calculatedColumnFormula>IF(PMTTR314[[#This Row],[2024]]="","",DONNÉES!CF236)</calculatedColumnFormula>
    </tableColumn>
    <tableColumn id="4" name="Variat." totalsRowFunction="custom" dataDxfId="303" totalsRowDxfId="302">
      <calculatedColumnFormula>IF(PMTTR314[[#This Row],[2024]]="","",(PMTTR314[[#This Row],[2024]]-PMTTR314[[#This Row],[2023]])/PMTTR314[[#This Row],[2023]])</calculatedColumnFormula>
      <totalsRowFormula>(PMTTR314[[#Totals],[2024]]-PMTTR314[[#Totals],[2023]])/PMTTR314[[#Totals],[2023]]</totalsRowFormula>
    </tableColumn>
    <tableColumn id="5" name="2022" totalsRowFunction="average" dataDxfId="301" totalsRowDxfId="300">
      <calculatedColumnFormula>IF(PMTTR314[[#This Row],[2024]]="","",DONNÉES!CG236)</calculatedColumnFormula>
    </tableColumn>
    <tableColumn id="6" name="2021" totalsRowFunction="average" dataDxfId="299" totalsRowDxfId="298">
      <calculatedColumnFormula>IF(PMTTR314[[#This Row],[2024]]="","",DONNÉES!CH236)</calculatedColumnFormula>
    </tableColumn>
    <tableColumn id="7" name="2020" totalsRowFunction="average" dataDxfId="297" totalsRowDxfId="296">
      <calculatedColumnFormula>IF(PMTTR314[[#This Row],[2024]]="","",DONNÉES!CI236)</calculatedColumnFormula>
    </tableColumn>
  </tableColumns>
  <tableStyleInfo name="TableStyleMedium10" showFirstColumn="0" showLastColumn="0" showRowStripes="1" showColumnStripes="0"/>
</table>
</file>

<file path=xl/tables/table417.xml><?xml version="1.0" encoding="utf-8"?>
<table xmlns="http://schemas.openxmlformats.org/spreadsheetml/2006/main" id="417" name="PMTDIVES" displayName="PMTDIVES" ref="A80:G93" headerRowCount="1" totalsRowCount="1" headerRowDxfId="295" dataDxfId="294" totalsRowDxfId="293">
  <tableColumns count="7">
    <tableColumn id="1" name="TL DIVES" totalsRowLabel="  TOTAL  " dataDxfId="292" totalsRowDxfId="291"/>
    <tableColumn id="2" name="2024" totalsRowFunction="average" dataDxfId="290" totalsRowDxfId="289">
      <calculatedColumnFormula>IF(DONNÉES!BW236="","",DONNÉES!BW236)</calculatedColumnFormula>
    </tableColumn>
    <tableColumn id="3" name="2023" totalsRowFunction="average" dataDxfId="288" totalsRowDxfId="287">
      <calculatedColumnFormula>IF(PMTDIVES[[#This Row],[2024]]="","",DONNÉES!BX236)</calculatedColumnFormula>
    </tableColumn>
    <tableColumn id="4" name="Variat." totalsRowFunction="custom" dataDxfId="286" totalsRowDxfId="285">
      <calculatedColumnFormula>IF(PMTDIVES[[#This Row],[2024]]="","",(PMTDIVES[[#This Row],[2024]]-PMTDIVES[[#This Row],[2023]])/PMTDIVES[[#This Row],[2023]])</calculatedColumnFormula>
      <totalsRowFormula>(PMTDIVES[[#Totals],[2024]]-PMTDIVES[[#Totals],[2023]])/PMTDIVES[[#Totals],[2023]]</totalsRowFormula>
    </tableColumn>
    <tableColumn id="5" name="2022" totalsRowFunction="average" dataDxfId="284" totalsRowDxfId="283">
      <calculatedColumnFormula>IF(PMTDIVES[[#This Row],[2024]]="","",DONNÉES!BY236)</calculatedColumnFormula>
    </tableColumn>
    <tableColumn id="6" name="2021" totalsRowFunction="average" dataDxfId="282" totalsRowDxfId="281">
      <calculatedColumnFormula>IF(PMTDIVES[[#This Row],[2024]]="","",DONNÉES!BZ236)</calculatedColumnFormula>
    </tableColumn>
    <tableColumn id="7" name="2020" dataDxfId="280" totalsRowDxfId="279">
      <calculatedColumnFormula>IF(PMTDIVES[[#This Row],[2024]]="","",DONNÉES!CA236)</calculatedColumnFormula>
    </tableColumn>
  </tableColumns>
  <tableStyleInfo name="TableStyleMedium13" showFirstColumn="0" showLastColumn="0" showRowStripes="1" showColumnStripes="0"/>
</table>
</file>

<file path=xl/tables/table418.xml><?xml version="1.0" encoding="utf-8"?>
<table xmlns="http://schemas.openxmlformats.org/spreadsheetml/2006/main" id="418" name="PMTARTHUR" displayName="PMTARTHUR" ref="A95:G108" headerRowCount="1" totalsRowCount="1" headerRowDxfId="278" dataDxfId="277" totalsRowDxfId="276">
  <tableColumns count="7">
    <tableColumn id="1" name="ARTHUR" totalsRowLabel="  TOTAL  " dataDxfId="275" totalsRowDxfId="274"/>
    <tableColumn id="2" name="2024" totalsRowFunction="average" dataDxfId="273" totalsRowDxfId="272">
      <calculatedColumnFormula>IF(DONNÉES!CU236="","",DONNÉES!CU236)</calculatedColumnFormula>
    </tableColumn>
    <tableColumn id="3" name="2023" totalsRowFunction="average" dataDxfId="271" totalsRowDxfId="270">
      <calculatedColumnFormula>IF(PMTARTHUR[[#This Row],[2024]]="","",DONNÉES!CV236)</calculatedColumnFormula>
    </tableColumn>
    <tableColumn id="4" name="Variat." totalsRowFunction="custom" dataDxfId="269" totalsRowDxfId="268">
      <calculatedColumnFormula>IF(PMTARTHUR[[#This Row],[2024]]="","",(PMTARTHUR[[#This Row],[2024]]-PMTARTHUR[[#This Row],[2023]])/PMTARTHUR[[#This Row],[2023]])</calculatedColumnFormula>
      <totalsRowFormula>(PMTARTHUR[[#Totals],[2024]]-PMTARTHUR[[#Totals],[2023]])/PMTARTHUR[[#Totals],[2023]]</totalsRowFormula>
    </tableColumn>
    <tableColumn id="5" name="2022" totalsRowFunction="average" dataDxfId="267" totalsRowDxfId="266">
      <calculatedColumnFormula>IF(PMTARTHUR[[#This Row],[2024]]="","",DONNÉES!CW236)</calculatedColumnFormula>
    </tableColumn>
    <tableColumn id="6" name="2021" totalsRowFunction="average" dataDxfId="265" totalsRowDxfId="264">
      <calculatedColumnFormula>IF(PMTARTHUR[[#This Row],[2024]]="","",DONNÉES!CX236)</calculatedColumnFormula>
    </tableColumn>
    <tableColumn id="7" name="2020" totalsRowFunction="average" dataDxfId="263" totalsRowDxfId="262">
      <calculatedColumnFormula>IF(PMTARTHUR[[#This Row],[2024]]="","",DONNÉES!CZ236)</calculatedColumnFormula>
    </tableColumn>
  </tableColumns>
  <tableStyleInfo name="TableStyleMedium11" showFirstColumn="0" showLastColumn="0" showRowStripes="1" showColumnStripes="0"/>
</table>
</file>

<file path=xl/tables/table419.xml><?xml version="1.0" encoding="utf-8"?>
<table xmlns="http://schemas.openxmlformats.org/spreadsheetml/2006/main" id="419" name="PMTLYSE" displayName="PMTLYSE" ref="I65:O78" headerRowCount="1" totalsRowCount="1" headerRowDxfId="261" dataDxfId="260" totalsRowDxfId="259">
  <tableColumns count="7">
    <tableColumn id="1" name="LYSE" totalsRowLabel="  TOTAL  " dataDxfId="258" totalsRowDxfId="257"/>
    <tableColumn id="2" name="2024" totalsRowFunction="average" dataDxfId="256" totalsRowDxfId="255">
      <calculatedColumnFormula>IF(DONNÉES!CM236="","",DONNÉES!CM236)</calculatedColumnFormula>
    </tableColumn>
    <tableColumn id="3" name="2023" totalsRowFunction="average" dataDxfId="254" totalsRowDxfId="253">
      <calculatedColumnFormula>IF(PMTLYSE[[#This Row],[2024]]="","",DONNÉES!CN236)</calculatedColumnFormula>
    </tableColumn>
    <tableColumn id="4" name="Variat." totalsRowFunction="custom" dataDxfId="252" totalsRowDxfId="251">
      <calculatedColumnFormula>IF(PMTLYSE[[#This Row],[2024]]="","",(PMTLYSE[[#This Row],[2024]]-PMTLYSE[[#This Row],[2023]])/PMTLYSE[[#This Row],[2023]])</calculatedColumnFormula>
      <totalsRowFormula>(PMTLYSE[[#Totals],[2024]]-PMTLYSE[[#Totals],[2023]])/PMTLYSE[[#Totals],[2023]]</totalsRowFormula>
    </tableColumn>
    <tableColumn id="5" name="2022" totalsRowFunction="average" dataDxfId="250" totalsRowDxfId="249">
      <calculatedColumnFormula>IF(PMTLYSE[[#This Row],[2024]]="","",DONNÉES!CO236)</calculatedColumnFormula>
    </tableColumn>
    <tableColumn id="6" name="2021" totalsRowFunction="average" dataDxfId="248" totalsRowDxfId="247">
      <calculatedColumnFormula>IF(PMTLYSE[[#This Row],[2024]]="","",DONNÉES!CP236)</calculatedColumnFormula>
    </tableColumn>
    <tableColumn id="7" name="2020" totalsRowFunction="average" dataDxfId="246" totalsRowDxfId="245">
      <calculatedColumnFormula>IF(PMTLYSE[[#This Row],[2024]]="","",DONNÉES!CQ236)</calculatedColumnFormula>
    </tableColumn>
  </tableColumns>
  <tableStyleInfo name="TableStyleMedium10" showFirstColumn="0" showLastColumn="0" showRowStripes="1" showColumnStripes="0"/>
</table>
</file>

<file path=xl/tables/table420.xml><?xml version="1.0" encoding="utf-8"?>
<table xmlns="http://schemas.openxmlformats.org/spreadsheetml/2006/main" id="420" name="PMTTH4" displayName="PMTTH4" ref="I80:O93" headerRowCount="1" totalsRowCount="1" headerRowDxfId="244" dataDxfId="243" totalsRowDxfId="242">
  <tableColumns count="7">
    <tableColumn id="1" name="TH4" totalsRowLabel="  TOTAL  " dataDxfId="241" totalsRowDxfId="240"/>
    <tableColumn id="2" name="2024" totalsRowFunction="average" dataDxfId="239" totalsRowDxfId="238">
      <calculatedColumnFormula>IF(DONNÉES!BO236="","",DONNÉES!BO236)</calculatedColumnFormula>
    </tableColumn>
    <tableColumn id="3" name="2023" totalsRowFunction="average" dataDxfId="237" totalsRowDxfId="236">
      <calculatedColumnFormula>IF(PMTTH4[[#This Row],[2024]]="","",DONNÉES!BP236)</calculatedColumnFormula>
    </tableColumn>
    <tableColumn id="4" name="Variat." totalsRowFunction="custom" dataDxfId="235" totalsRowDxfId="234">
      <calculatedColumnFormula>IF(PMTTH4[[#This Row],[2024]]="","",(PMTTH4[[#This Row],[2024]]-PMTTH4[[#This Row],[2023]])/PMTTH4[[#This Row],[2023]])</calculatedColumnFormula>
      <totalsRowFormula>(PMTTH4[[#Totals],[2024]]-PMTTH4[[#Totals],[2023]])/PMTTH4[[#Totals],[2023]]</totalsRowFormula>
    </tableColumn>
    <tableColumn id="5" name="2022" totalsRowFunction="average" dataDxfId="233" totalsRowDxfId="232">
      <calculatedColumnFormula>IF(PMTTH4[[#This Row],[2024]]="","",DONNÉES!BQ236)</calculatedColumnFormula>
    </tableColumn>
    <tableColumn id="6" name="2021" totalsRowFunction="average" dataDxfId="231" totalsRowDxfId="230">
      <calculatedColumnFormula>IF(PMTTH4[[#This Row],[2024]]="","",DONNÉES!BR236)</calculatedColumnFormula>
    </tableColumn>
    <tableColumn id="7" name="2020" totalsRowFunction="average" dataDxfId="229" totalsRowDxfId="228">
      <calculatedColumnFormula>IF(PMTTH4[[#This Row],[2024]]="","",DONNÉES!BS236)</calculatedColumnFormula>
    </tableColumn>
  </tableColumns>
  <tableStyleInfo name="TableStyleMedium13" showFirstColumn="0" showLastColumn="0" showRowStripes="1" showColumnStripes="0"/>
</table>
</file>

<file path=xl/tables/table421.xml><?xml version="1.0" encoding="utf-8"?>
<table xmlns="http://schemas.openxmlformats.org/spreadsheetml/2006/main" id="421" name="PMTHUGO" displayName="PMTHUGO" ref="I95:O108" headerRowCount="1" totalsRowCount="1" headerRowDxfId="227" dataDxfId="226" totalsRowDxfId="225">
  <tableColumns count="7">
    <tableColumn id="1" name="HUGO" totalsRowLabel="  TOTAL  " dataDxfId="224" totalsRowDxfId="223"/>
    <tableColumn id="2" name="2024" totalsRowFunction="average" dataDxfId="222" totalsRowDxfId="221">
      <calculatedColumnFormula>IF(DONNÉES!DC236="","",DONNÉES!DC236)</calculatedColumnFormula>
    </tableColumn>
    <tableColumn id="3" name="2023" totalsRowFunction="average" dataDxfId="220" totalsRowDxfId="219">
      <calculatedColumnFormula>IF(PMTHUGO[[#This Row],[2024]]="","",DONNÉES!DD236)</calculatedColumnFormula>
    </tableColumn>
    <tableColumn id="4" name="Variat." totalsRowFunction="custom" dataDxfId="218" totalsRowDxfId="217">
      <calculatedColumnFormula>IF(PMTHUGO[[#This Row],[2024]]="","",(PMTHUGO[[#This Row],[2024]]-PMTHUGO[[#This Row],[2023]])/PMTHUGO[[#This Row],[2023]])</calculatedColumnFormula>
      <totalsRowFormula>(PMTHUGO[[#Totals],[2024]]-PMTHUGO[[#Totals],[2023]])/PMTHUGO[[#Totals],[2023]]</totalsRowFormula>
    </tableColumn>
    <tableColumn id="5" name="2022" totalsRowFunction="average" dataDxfId="216" totalsRowDxfId="215">
      <calculatedColumnFormula>IF(PMTHUGO[[#This Row],[2024]]="","",DONNÉES!DE236)</calculatedColumnFormula>
    </tableColumn>
    <tableColumn id="6" name="2021" totalsRowFunction="average" dataDxfId="214" totalsRowDxfId="213">
      <calculatedColumnFormula>IF(PMTHUGO[[#This Row],[2024]]="","",DONNÉES!DF236)</calculatedColumnFormula>
    </tableColumn>
    <tableColumn id="7" name="2020" totalsRowFunction="average" dataDxfId="212" totalsRowDxfId="211">
      <calculatedColumnFormula>IF(PMTHUGO[[#This Row],[2024]]="","",DONNÉES!DG236)</calculatedColumnFormula>
    </tableColumn>
  </tableColumns>
  <tableStyleInfo name="TableStyleMedium11" showFirstColumn="0" showLastColumn="0" showRowStripes="1" showColumnStripes="0"/>
</table>
</file>

<file path=xl/tables/table422.xml><?xml version="1.0" encoding="utf-8"?>
<table xmlns="http://schemas.openxmlformats.org/spreadsheetml/2006/main" id="422" name="PMGLOBAL2" displayName="PMGLOBAL2" ref="A125:G138" headerRowCount="1" totalsRowCount="1" headerRowDxfId="210" dataDxfId="209" totalsRowDxfId="208">
  <tableColumns count="7">
    <tableColumn id="1" name="GLOBAL" totalsRowLabel="  TOTAL  " dataDxfId="207" totalsRowDxfId="206"/>
    <tableColumn id="2" name="2024" totalsRowFunction="average" dataDxfId="205" totalsRowDxfId="204">
      <calculatedColumnFormula>IF(DONNÉES!C236="","",DONNÉES!C236)</calculatedColumnFormula>
    </tableColumn>
    <tableColumn id="3" name="2023" totalsRowFunction="average" dataDxfId="203" totalsRowDxfId="202">
      <calculatedColumnFormula>IF(PMGLOBAL2[[#This Row],[2024]]="","",DONNÉES!D236)</calculatedColumnFormula>
    </tableColumn>
    <tableColumn id="4" name="Variat." totalsRowFunction="custom" dataDxfId="201" totalsRowDxfId="200">
      <calculatedColumnFormula>IF(PMGLOBAL2[[#This Row],[2024]]="","",(PMGLOBAL2[[#This Row],[2024]]-PMGLOBAL2[[#This Row],[2023]])/PMGLOBAL2[[#This Row],[2023]])</calculatedColumnFormula>
      <totalsRowFormula>(PMGLOBAL2[[#Totals],[2024]]-PMGLOBAL2[[#Totals],[2023]])/PMGLOBAL2[[#Totals],[2023]]</totalsRowFormula>
    </tableColumn>
    <tableColumn id="5" name="2022" totalsRowFunction="average" dataDxfId="199" totalsRowDxfId="198">
      <calculatedColumnFormula>IF(PMGLOBAL2[[#This Row],[2024]]="","",DONNÉES!E236)</calculatedColumnFormula>
    </tableColumn>
    <tableColumn id="6" name="2021" totalsRowFunction="average" dataDxfId="197" totalsRowDxfId="196">
      <calculatedColumnFormula>IF(PMGLOBAL2[[#This Row],[2024]]="","",DONNÉES!F236)</calculatedColumnFormula>
    </tableColumn>
    <tableColumn id="7" name="2020" totalsRowFunction="average" dataDxfId="195" totalsRowDxfId="194">
      <calculatedColumnFormula>IF(PMGLOBAL2[[#This Row],[2024]]="","",DONNÉES!G236)</calculatedColumnFormula>
    </tableColumn>
  </tableColumns>
  <tableStyleInfo name="TableStyleMedium8" showFirstColumn="0" showLastColumn="0" showRowStripes="1" showColumnStripes="0"/>
</table>
</file>

<file path=xl/tables/table423.xml><?xml version="1.0" encoding="utf-8"?>
<table xmlns="http://schemas.openxmlformats.org/spreadsheetml/2006/main" id="423" name="PMTGLR5" displayName="PMTGLR5" ref="A5:G18" headerRowCount="1" totalsRowCount="1" headerRowDxfId="193" dataDxfId="192" totalsRowDxfId="191">
  <tableColumns count="7">
    <tableColumn id="1" name="GLR5" totalsRowLabel=" TOTAL " dataDxfId="190" totalsRowDxfId="189"/>
    <tableColumn id="2" name="2024" totalsRowFunction="average" dataDxfId="188" totalsRowDxfId="187">
      <calculatedColumnFormula>IF(DONNÉES!K236="","",DONNÉES!K236)</calculatedColumnFormula>
    </tableColumn>
    <tableColumn id="3" name="2023" totalsRowFunction="average" dataDxfId="186" totalsRowDxfId="185">
      <calculatedColumnFormula>IF(PMTGLR5[[#This Row],[2024]]="","",DONNÉES!L236)</calculatedColumnFormula>
    </tableColumn>
    <tableColumn id="4" name="Variat." totalsRowFunction="custom" dataDxfId="184" totalsRowDxfId="183">
      <calculatedColumnFormula>IF(PMTGLR5[[#This Row],[2024]]="","",(PMTGLR5[[#This Row],[2024]]-PMTGLR5[[#This Row],[2023]])/PMTGLR5[[#This Row],[2023]])</calculatedColumnFormula>
      <totalsRowFormula>(PMTGLR5[[#Totals],[2024]]-PMTGLR5[[#Totals],[2023]])/PMTGLR5[[#Totals],[2023]]</totalsRowFormula>
    </tableColumn>
    <tableColumn id="5" name="2022" totalsRowFunction="average" dataDxfId="182" totalsRowDxfId="181">
      <calculatedColumnFormula>IF(PMTGLR5[[#This Row],[2024]]="","",DONNÉES!M236)</calculatedColumnFormula>
    </tableColumn>
    <tableColumn id="6" name="2021" totalsRowFunction="average" dataDxfId="180" totalsRowDxfId="179">
      <calculatedColumnFormula>IF(PMTGLR5[[#This Row],[2024]]="","",DONNÉES!N236)</calculatedColumnFormula>
    </tableColumn>
    <tableColumn id="7" name="2020" totalsRowFunction="average" dataDxfId="178" totalsRowDxfId="177">
      <calculatedColumnFormula>IF(PMTGLR5[[#This Row],[2024]]="","",DONNÉES!O236)</calculatedColumnFormula>
    </tableColumn>
  </tableColumns>
  <tableStyleInfo name="TableStyleMedium10" showFirstColumn="0" showLastColumn="0" showRowStripes="1" showColumnStripes="0"/>
</table>
</file>

<file path=xl/tables/table424.xml><?xml version="1.0" encoding="utf-8"?>
<table xmlns="http://schemas.openxmlformats.org/spreadsheetml/2006/main" id="424" name="PMTTIRR" displayName="PMTTIRR" ref="A20:G33" headerRowCount="1" totalsRowCount="1" headerRowDxfId="176" dataDxfId="175" totalsRowDxfId="174">
  <tableColumns count="7">
    <tableColumn id="1" name="TIRR" totalsRowLabel="  TOTAL  " dataDxfId="173" totalsRowDxfId="172"/>
    <tableColumn id="2" name="2024" totalsRowFunction="average" dataDxfId="171" totalsRowDxfId="170">
      <calculatedColumnFormula>IF(DONNÉES!AA236="","",DONNÉES!AA236)</calculatedColumnFormula>
    </tableColumn>
    <tableColumn id="3" name="2023" totalsRowFunction="average" dataDxfId="169" totalsRowDxfId="168">
      <calculatedColumnFormula>IF(PMTTIRR[[#This Row],[2024]]="","",DONNÉES!AB236)</calculatedColumnFormula>
    </tableColumn>
    <tableColumn id="4" name="Variat." totalsRowFunction="custom" dataDxfId="167" totalsRowDxfId="166">
      <calculatedColumnFormula>IF(PMTTIRR[[#This Row],[2024]]="","",(PMTTIRR[[#This Row],[2024]]-PMTTIRR[[#This Row],[2023]])/PMTTIRR[[#This Row],[2023]])</calculatedColumnFormula>
      <totalsRowFormula>(PMTTIRR[[#Totals],[2024]]-PMTTIRR[[#Totals],[2023]])/PMTTIRR[[#Totals],[2023]]</totalsRowFormula>
    </tableColumn>
    <tableColumn id="5" name="2022" totalsRowFunction="average" dataDxfId="165" totalsRowDxfId="164">
      <calculatedColumnFormula>IF(PMTTIRR[[#This Row],[2024]]="","",DONNÉES!AC236)</calculatedColumnFormula>
    </tableColumn>
    <tableColumn id="6" name="2021" totalsRowFunction="average" dataDxfId="163" totalsRowDxfId="162">
      <calculatedColumnFormula>IF(PMTTIRR[[#This Row],[2024]]="","",DONNÉES!AD236)</calculatedColumnFormula>
    </tableColumn>
    <tableColumn id="7" name="2020" totalsRowFunction="average" dataDxfId="161" totalsRowDxfId="160">
      <calculatedColumnFormula>IF(PMTTIRR[[#This Row],[2024]]="","",DONNÉES!AE236)</calculatedColumnFormula>
    </tableColumn>
  </tableColumns>
  <tableStyleInfo name="TableStyleMedium13" showFirstColumn="0" showLastColumn="0" showRowStripes="1" showColumnStripes="0"/>
</table>
</file>

<file path=xl/tables/table425.xml><?xml version="1.0" encoding="utf-8"?>
<table xmlns="http://schemas.openxmlformats.org/spreadsheetml/2006/main" id="425" name="PMTHTR8" displayName="PMTHTR8" ref="I5:O18" headerRowCount="1" totalsRowCount="1" headerRowDxfId="159" dataDxfId="158" totalsRowDxfId="157">
  <tableColumns count="7">
    <tableColumn id="1" name="HTR8" totalsRowLabel="  TOTAL  " dataDxfId="156" totalsRowDxfId="155"/>
    <tableColumn id="2" name="2024" totalsRowFunction="average" dataDxfId="154" totalsRowDxfId="153">
      <calculatedColumnFormula>IF(DONNÉES!S236="","",DONNÉES!S236)</calculatedColumnFormula>
    </tableColumn>
    <tableColumn id="3" name="2023" totalsRowFunction="average" dataDxfId="152" totalsRowDxfId="151">
      <calculatedColumnFormula>IF(PMTHTR8[[#This Row],[2024]]="","",DONNÉES!T236)</calculatedColumnFormula>
    </tableColumn>
    <tableColumn id="4" name="Variat." totalsRowFunction="custom" dataDxfId="150" totalsRowDxfId="149">
      <calculatedColumnFormula>IF(PMTHTR8[[#This Row],[2024]]="","",(PMTHTR8[[#This Row],[2024]]-PMTHTR8[[#This Row],[2023]])/PMTHTR8[[#This Row],[2023]])</calculatedColumnFormula>
      <totalsRowFormula>(PMTHTR8[[#Totals],[2024]]-PMTHTR8[[#Totals],[2023]])/PMTHTR8[[#Totals],[2023]]</totalsRowFormula>
    </tableColumn>
    <tableColumn id="5" name="2022" totalsRowFunction="average" dataDxfId="148" totalsRowDxfId="147">
      <calculatedColumnFormula>IF(PMTHTR8[[#This Row],[2024]]="","",DONNÉES!U236)</calculatedColumnFormula>
    </tableColumn>
    <tableColumn id="6" name="2021" totalsRowFunction="average" dataDxfId="146" totalsRowDxfId="145">
      <calculatedColumnFormula>IF(PMTHTR8[[#This Row],[2024]]="","",DONNÉES!V236)</calculatedColumnFormula>
    </tableColumn>
    <tableColumn id="7" name="2020" totalsRowFunction="average" dataDxfId="144" totalsRowDxfId="143">
      <calculatedColumnFormula>IF(PMTHTR8[[#This Row],[2024]]="","",DONNÉES!W236)</calculatedColumnFormula>
    </tableColumn>
  </tableColumns>
  <tableStyleInfo name="TableStyleMedium10" showFirstColumn="0" showLastColumn="0" showRowStripes="1" showColumnStripes="0"/>
</table>
</file>

<file path=xl/tables/table426.xml><?xml version="1.0" encoding="utf-8"?>
<table xmlns="http://schemas.openxmlformats.org/spreadsheetml/2006/main" id="426" name="PMTVR7" displayName="PMTVR7" ref="I20:O33" headerRowCount="1" totalsRowCount="1" headerRowDxfId="142" dataDxfId="141" totalsRowDxfId="140">
  <tableColumns count="7">
    <tableColumn id="1" name="VR7" totalsRowLabel="  TOTAL  " dataDxfId="139" totalsRowDxfId="138"/>
    <tableColumn id="2" name="2024" totalsRowFunction="average" dataDxfId="137" totalsRowDxfId="136">
      <calculatedColumnFormula>IF(DONNÉES!AI236="","",DONNÉES!AI236)</calculatedColumnFormula>
    </tableColumn>
    <tableColumn id="3" name="2023" totalsRowFunction="average" dataDxfId="135" totalsRowDxfId="134">
      <calculatedColumnFormula>IF(PMTVR7[[#This Row],[2024]]="","",DONNÉES!AJ236)</calculatedColumnFormula>
    </tableColumn>
    <tableColumn id="4" name="Variat." totalsRowFunction="custom" dataDxfId="133" totalsRowDxfId="132">
      <calculatedColumnFormula>IF(PMTVR7[[#This Row],[2024]]="","",(PMTVR7[[#This Row],[2024]]-PMTVR7[[#This Row],[2023]])/PMTVR7[[#This Row],[2023]])</calculatedColumnFormula>
      <totalsRowFormula>(PMTVR7[[#Totals],[2024]]-PMTVR7[[#Totals],[2023]])/PMTVR7[[#Totals],[2023]]</totalsRowFormula>
    </tableColumn>
    <tableColumn id="5" name="2022" totalsRowFunction="average" dataDxfId="131" totalsRowDxfId="130">
      <calculatedColumnFormula>IF(PMTVR7[[#This Row],[2024]]="","",DONNÉES!AK236)</calculatedColumnFormula>
    </tableColumn>
    <tableColumn id="6" name="2021" totalsRowFunction="average" dataDxfId="129" totalsRowDxfId="128">
      <calculatedColumnFormula>IF(PMTVR7[[#This Row],[2024]]="","",DONNÉES!AL236)</calculatedColumnFormula>
    </tableColumn>
    <tableColumn id="7" name="2020" totalsRowFunction="average" dataDxfId="127" totalsRowDxfId="126">
      <calculatedColumnFormula>IF(PMTVR7[[#This Row],[2024]]="","",DONNÉES!AM236)</calculatedColumnFormula>
    </tableColumn>
  </tableColumns>
  <tableStyleInfo name="TableStyleMedium13" showFirstColumn="0" showLastColumn="0" showRowStripes="1" showColumnStripes="0"/>
</table>
</file>

<file path=xl/tables/table427.xml><?xml version="1.0" encoding="utf-8"?>
<table xmlns="http://schemas.openxmlformats.org/spreadsheetml/2006/main" id="427" name="PMTTURVILLA" displayName="PMTTURVILLA" ref="A35:G48" headerRowCount="1" totalsRowCount="1" headerRowDxfId="125" dataDxfId="124" totalsRowDxfId="123">
  <tableColumns count="7">
    <tableColumn id="1" name="TURVILLA" totalsRowLabel=" TOTAL " dataDxfId="122" totalsRowDxfId="121"/>
    <tableColumn id="2" name="2024" totalsRowFunction="average" dataDxfId="120" totalsRowDxfId="119">
      <calculatedColumnFormula>IF(DONNÉES!AQ236="","",DONNÉES!AQ236)</calculatedColumnFormula>
    </tableColumn>
    <tableColumn id="3" name="2023" totalsRowFunction="average" dataDxfId="118" totalsRowDxfId="117">
      <calculatedColumnFormula>IF(PMTTURVILLA[[#This Row],[2024]]="","",DONNÉES!AR236)</calculatedColumnFormula>
    </tableColumn>
    <tableColumn id="4" name="Variat." totalsRowFunction="custom" dataDxfId="116" totalsRowDxfId="115">
      <calculatedColumnFormula>IF(PMTTURVILLA[[#This Row],[2024]]="","",(PMTTURVILLA[[#This Row],[2024]]-PMTTURVILLA[[#This Row],[2023]])/PMTTURVILLA[[#This Row],[2023]])</calculatedColumnFormula>
      <totalsRowFormula>(PMTTURVILLA[[#Totals],[2024]]-PMTTURVILLA[[#Totals],[2023]])/PMTTURVILLA[[#Totals],[2023]]</totalsRowFormula>
    </tableColumn>
    <tableColumn id="5" name="2022" totalsRowFunction="average" dataDxfId="114" totalsRowDxfId="113">
      <calculatedColumnFormula>IF(PMTTURVILLA[[#This Row],[2024]]="","",DONNÉES!AS236)</calculatedColumnFormula>
    </tableColumn>
    <tableColumn id="6" name="2021" totalsRowFunction="average" dataDxfId="112" totalsRowDxfId="111">
      <calculatedColumnFormula>IF(PMTTURVILLA[[#This Row],[2024]]="","",DONNÉES!AT236)</calculatedColumnFormula>
    </tableColumn>
    <tableColumn id="7" name="2020" totalsRowFunction="average" dataDxfId="110" totalsRowDxfId="109">
      <calculatedColumnFormula>IF(PMTTURVILLA[[#This Row],[2024]]="","",DONNÉES!AU236)</calculatedColumnFormula>
    </tableColumn>
  </tableColumns>
  <tableStyleInfo name="TableStyleMedium10" showFirstColumn="0" showLastColumn="0" showRowStripes="1" showColumnStripes="0"/>
</table>
</file>

<file path=xl/tables/table428.xml><?xml version="1.0" encoding="utf-8"?>
<table xmlns="http://schemas.openxmlformats.org/spreadsheetml/2006/main" id="428" name="PMTVICTOIRE" displayName="PMTVICTOIRE" ref="A50:G63" headerRowCount="1" totalsRowCount="1" headerRowDxfId="108" dataDxfId="107" totalsRowDxfId="106">
  <tableColumns count="7">
    <tableColumn id="1" name="VICTOIRE" totalsRowLabel="  TOTAL  " dataDxfId="105" totalsRowDxfId="104"/>
    <tableColumn id="2" name="2024" totalsRowFunction="average" dataDxfId="103" totalsRowDxfId="102">
      <calculatedColumnFormula>IF(DONNÉES!BG236="","",DONNÉES!BG236)</calculatedColumnFormula>
    </tableColumn>
    <tableColumn id="3" name="2023" totalsRowFunction="average" dataDxfId="101" totalsRowDxfId="100">
      <calculatedColumnFormula>IF(PMTVICTOIRE[[#This Row],[2024]]="","",DONNÉES!BH236)</calculatedColumnFormula>
    </tableColumn>
    <tableColumn id="4" name="Variat." totalsRowFunction="custom" dataDxfId="99" totalsRowDxfId="98">
      <calculatedColumnFormula>IF(PMTVICTOIRE[[#This Row],[2024]]="","",(PMTVICTOIRE[[#This Row],[2024]]-PMTVICTOIRE[[#This Row],[2023]])/PMTVICTOIRE[[#This Row],[2023]])</calculatedColumnFormula>
      <totalsRowFormula>(PMTVICTOIRE[[#Totals],[2024]]-PMTVICTOIRE[[#Totals],[2023]])/PMTVICTOIRE[[#Totals],[2023]]</totalsRowFormula>
    </tableColumn>
    <tableColumn id="5" name="2022" totalsRowFunction="average" dataDxfId="97" totalsRowDxfId="96">
      <calculatedColumnFormula>IF(PMTVICTOIRE[[#This Row],[2024]]="","",DONNÉES!BI236)</calculatedColumnFormula>
    </tableColumn>
    <tableColumn id="6" name="2021" totalsRowFunction="average" dataDxfId="95" totalsRowDxfId="94">
      <calculatedColumnFormula>IF(PMTVICTOIRE[[#This Row],[2024]]="","",DONNÉES!BJ236)</calculatedColumnFormula>
    </tableColumn>
    <tableColumn id="7" name="2020" dataDxfId="93" totalsRowDxfId="92">
      <calculatedColumnFormula>IF(PMTVICTOIRE[[#This Row],[2024]]="","",DONNÉES!BK236)</calculatedColumnFormula>
    </tableColumn>
  </tableColumns>
  <tableStyleInfo name="TableStyleMedium13" showFirstColumn="0" showLastColumn="0" showRowStripes="1" showColumnStripes="0"/>
</table>
</file>

<file path=xl/tables/table429.xml><?xml version="1.0" encoding="utf-8"?>
<table xmlns="http://schemas.openxmlformats.org/spreadsheetml/2006/main" id="429" name="PMTHART" displayName="PMTHART" ref="I35:O48" headerRowCount="1" totalsRowCount="1" headerRowDxfId="91" dataDxfId="90" totalsRowDxfId="89">
  <tableColumns count="7">
    <tableColumn id="1" name="HART" totalsRowLabel="  TOTAL  " dataDxfId="88" totalsRowDxfId="87"/>
    <tableColumn id="2" name="2024" totalsRowFunction="average" dataDxfId="86" totalsRowDxfId="85">
      <calculatedColumnFormula>IF(DONNÉES!AY236="","",DONNÉES!AY236)</calculatedColumnFormula>
    </tableColumn>
    <tableColumn id="3" name="2023" totalsRowFunction="average" dataDxfId="84" totalsRowDxfId="83">
      <calculatedColumnFormula>IF(PMTHART[[#This Row],[2024]]="","",DONNÉES!AZ236)</calculatedColumnFormula>
    </tableColumn>
    <tableColumn id="4" name="Variat." totalsRowFunction="custom" dataDxfId="82" totalsRowDxfId="81">
      <calculatedColumnFormula>IF(PMTHART[[#This Row],[2024]]="","",(PMTHART[[#This Row],[2024]]-PMTHART[[#This Row],[2023]])/PMTHART[[#This Row],[2023]])</calculatedColumnFormula>
      <totalsRowFormula>(PMTHART[[#Totals],[2024]]-PMTHART[[#Totals],[2023]])/PMTHART[[#Totals],[2023]]</totalsRowFormula>
    </tableColumn>
    <tableColumn id="5" name="2022" totalsRowFunction="custom" dataDxfId="80" totalsRowDxfId="79">
      <calculatedColumnFormula>IF(PMTHART[[#This Row],[2024]]="","",DONNÉES!BA236)</calculatedColumnFormula>
      <totalsRowFormula>SUBTOTAL(101,M42:M47)</totalsRowFormula>
    </tableColumn>
    <tableColumn id="6" name="2021" totalsRowFunction="average" dataDxfId="78" totalsRowDxfId="77">
      <calculatedColumnFormula>IF(PMTHART[[#This Row],[2024]]="","",DONNÉES!BB236)</calculatedColumnFormula>
    </tableColumn>
    <tableColumn id="7" name="2020" totalsRowFunction="average" dataDxfId="76" totalsRowDxfId="75">
      <calculatedColumnFormula>IF(PMTHART[[#This Row],[2024]]="","",DONNÉES!BC236)</calculatedColumnFormula>
    </tableColumn>
  </tableColumns>
  <tableStyleInfo name="TableStyleMedium10" showFirstColumn="0" showLastColumn="0" showRowStripes="1" showColumnStripes="0"/>
</table>
</file>

<file path=xl/tables/table430.xml><?xml version="1.0" encoding="utf-8"?>
<table xmlns="http://schemas.openxmlformats.org/spreadsheetml/2006/main" id="430" name="PMTTJEANCLO" displayName="PMTTJEANCLO" ref="A110:G123" headerRowCount="1" totalsRowCount="1" headerRowDxfId="74" dataDxfId="73" totalsRowDxfId="72">
  <tableColumns count="7">
    <tableColumn id="1" name="JEANCLO" totalsRowLabel="  TOTAL  " dataDxfId="71" totalsRowDxfId="70"/>
    <tableColumn id="2" name="2024" totalsRowFunction="average" dataDxfId="69" totalsRowDxfId="68">
      <calculatedColumnFormula>IF(DONNÉES!DK236="","",DONNÉES!DK236)</calculatedColumnFormula>
    </tableColumn>
    <tableColumn id="3" name="2023" totalsRowFunction="average" dataDxfId="67" totalsRowDxfId="66">
      <calculatedColumnFormula>IF(PMTTJEANCLO[[#This Row],[2024]]="","",DONNÉES!DL236)</calculatedColumnFormula>
    </tableColumn>
    <tableColumn id="4" name="Variat." totalsRowFunction="custom" dataDxfId="65" totalsRowDxfId="64">
      <calculatedColumnFormula>IF(PMTTJEANCLO[[#This Row],[2024]]="","",(PMTTJEANCLO[[#This Row],[2024]]-PMTTJEANCLO[[#This Row],[2023]])/PMTTJEANCLO[[#This Row],[2023]])</calculatedColumnFormula>
      <totalsRowFormula>(PMTTJEANCLO[[#Totals],[2024]]-PMTTJEANCLO[[#Totals],[2023]])/PMTTJEANCLO[[#Totals],[2023]]</totalsRowFormula>
    </tableColumn>
    <tableColumn id="5" name="2022" totalsRowFunction="average" dataDxfId="63" totalsRowDxfId="62">
      <calculatedColumnFormula>IF(PMTTJEANCLO[[#This Row],[2024]]="","",DONNÉES!DM236)</calculatedColumnFormula>
    </tableColumn>
    <tableColumn id="6" name="2021" totalsRowFunction="average" dataDxfId="61" totalsRowDxfId="60">
      <calculatedColumnFormula>IF(PMTTJEANCLO[[#This Row],[2024]]="","",DONNÉES!DN236)</calculatedColumnFormula>
    </tableColumn>
    <tableColumn id="7" name="2020" totalsRowFunction="average" dataDxfId="59" totalsRowDxfId="58">
      <calculatedColumnFormula>IF(PMTTJEANCLO[[#This Row],[2024]]="","",DONNÉES!DO236)</calculatedColumnFormula>
    </tableColumn>
  </tableColumns>
  <tableStyleInfo name="TableStyleMedium11" showFirstColumn="0" showLastColumn="0" showRowStripes="1" showColumnStripes="0"/>
</table>
</file>

<file path=xl/tables/table431.xml><?xml version="1.0" encoding="utf-8"?>
<table xmlns="http://schemas.openxmlformats.org/spreadsheetml/2006/main" id="431" name="PMTTHOMAS" displayName="PMTTHOMAS" ref="I110:O123" headerRowCount="1" totalsRowCount="1" headerRowDxfId="57" dataDxfId="56" totalsRowDxfId="55">
  <tableColumns count="7">
    <tableColumn id="1" name="THOMAS" totalsRowLabel="  TOTAL  " dataDxfId="54" totalsRowDxfId="53"/>
    <tableColumn id="2" name="2024" totalsRowFunction="average" dataDxfId="52" totalsRowDxfId="51">
      <calculatedColumnFormula>IF(DONNÉES!DS236="","",DONNÉES!DS236)</calculatedColumnFormula>
    </tableColumn>
    <tableColumn id="3" name="2023" totalsRowFunction="average" dataDxfId="50" totalsRowDxfId="49">
      <calculatedColumnFormula>IF(PMTTHOMAS[[#This Row],[2024]]="","",DONNÉES!DT236)</calculatedColumnFormula>
    </tableColumn>
    <tableColumn id="4" name="Variat." totalsRowFunction="custom" dataDxfId="48" totalsRowDxfId="47">
      <calculatedColumnFormula>IF(PMTTHOMAS[[#This Row],[2024]]="","",(PMTTHOMAS[[#This Row],[2024]]-PMTTHOMAS[[#This Row],[2023]])/PMTTHOMAS[[#This Row],[2023]])</calculatedColumnFormula>
      <totalsRowFormula>(PMTTHOMAS[[#Totals],[2024]]-PMTTHOMAS[[#Totals],[2023]])/PMTTHOMAS[[#Totals],[2023]]</totalsRowFormula>
    </tableColumn>
    <tableColumn id="5" name="2022" totalsRowFunction="average" dataDxfId="46" totalsRowDxfId="45">
      <calculatedColumnFormula>IF(PMTTHOMAS[[#This Row],[2024]]="","",DONNÉES!DU236)</calculatedColumnFormula>
    </tableColumn>
    <tableColumn id="6" name="2021" totalsRowFunction="average" dataDxfId="44" totalsRowDxfId="43">
      <calculatedColumnFormula>IF(PMTTHOMAS[[#This Row],[2024]]="","",DONNÉES!DV236)</calculatedColumnFormula>
    </tableColumn>
    <tableColumn id="7" name="2020" totalsRowFunction="average" dataDxfId="42" totalsRowDxfId="41">
      <calculatedColumnFormula>IF(PMTTHOMAS[[#This Row],[2024]]="","",DONNÉES!DW236)</calculatedColumnFormula>
    </tableColumn>
  </tableColumns>
  <tableStyleInfo name="TableStyleMedium11" showFirstColumn="0" showLastColumn="0" showRowStripes="1" showColumnStripes="0"/>
</table>
</file>

<file path=xl/tables/table432.xml><?xml version="1.0" encoding="utf-8"?>
<table xmlns="http://schemas.openxmlformats.org/spreadsheetml/2006/main" id="432" name="PMTCAT" displayName="PMTCAT" ref="I50:O63" headerRowCount="1" totalsRowCount="1" headerRowDxfId="40" dataDxfId="39" totalsRowDxfId="38" headerRowCellStyle="Normal 5" dataCellStyle="Milliers">
  <tableColumns count="7">
    <tableColumn id="1" name="CATALINA" totalsRowLabel="  TOTAL  " dataDxfId="37" totalsRowDxfId="36" dataCellStyle="Normal 5"/>
    <tableColumn id="2" name="2024" totalsRowFunction="average" dataDxfId="35" totalsRowDxfId="34" dataCellStyle="Milliers">
      <calculatedColumnFormula>IF(DONNÉES!EA236="","",DONNÉES!EA236)</calculatedColumnFormula>
    </tableColumn>
    <tableColumn id="3" name="2023" totalsRowFunction="average" dataDxfId="33" totalsRowDxfId="32" dataCellStyle="Milliers">
      <calculatedColumnFormula>IF(PMTCAT[[#This Row],[2024]]="","",DONNÉES!EB236)</calculatedColumnFormula>
    </tableColumn>
    <tableColumn id="4" name="Variat." totalsRowFunction="custom" dataDxfId="31" totalsRowDxfId="30" dataCellStyle="Pourcentage">
      <calculatedColumnFormula>IF(PMTCAT[[#This Row],[2024]]="","",(PMTCAT[[#This Row],[2024]]-PMTCAT[[#This Row],[2023]])/PMTCAT[[#This Row],[2023]])</calculatedColumnFormula>
      <totalsRowFormula>(PMTCAT[[#Totals],[2024]]-PMTCAT[[#Totals],[2023]])/PMTCAT[[#Totals],[2023]]</totalsRowFormula>
    </tableColumn>
    <tableColumn id="5" name="2022" totalsRowFunction="average" dataDxfId="29" totalsRowDxfId="28" dataCellStyle="Milliers">
      <calculatedColumnFormula>IF(PMTCAT[[#This Row],[2024]]="","",DONNÉES!EC236)</calculatedColumnFormula>
    </tableColumn>
    <tableColumn id="6" name="2021" totalsRowFunction="average" dataDxfId="27" totalsRowDxfId="26" dataCellStyle="Milliers">
      <calculatedColumnFormula>IF(PMTCAT[[#This Row],[2024]]="","",DONNÉES!ED236)</calculatedColumnFormula>
    </tableColumn>
    <tableColumn id="7" name="2020" totalsRowFunction="average" dataDxfId="25" totalsRowDxfId="24" dataCellStyle="Milliers">
      <calculatedColumnFormula>IF(PMTCAT[[#This Row],[2024]]="","",DONNÉES!EE236)</calculatedColumnFormula>
    </tableColumn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7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_rels/sheet18.xml.rels><Relationships xmlns="http://schemas.openxmlformats.org/package/2006/relationships"><Relationship Type="http://schemas.openxmlformats.org/officeDocument/2006/relationships/table" Target="/xl/tables/table2.xml" Id="rId1"/></Relationships>
</file>

<file path=xl/worksheets/_rels/sheet19.xml.rels><Relationships xmlns="http://schemas.openxmlformats.org/package/2006/relationships"><Relationship Type="http://schemas.openxmlformats.org/officeDocument/2006/relationships/table" Target="/xl/tables/table3.xml" Id="rId1"/></Relationships>
</file>

<file path=xl/worksheets/_rels/sheet20.xml.rels><Relationships xmlns="http://schemas.openxmlformats.org/package/2006/relationships"><Relationship Type="http://schemas.openxmlformats.org/officeDocument/2006/relationships/table" Target="/xl/tables/table4.xml" Id="rId1"/><Relationship Type="http://schemas.openxmlformats.org/officeDocument/2006/relationships/table" Target="/xl/tables/table5.xml" Id="rId2"/></Relationships>
</file>

<file path=xl/worksheets/_rels/sheet21.xml.rels><Relationships xmlns="http://schemas.openxmlformats.org/package/2006/relationships"><Relationship Type="http://schemas.openxmlformats.org/officeDocument/2006/relationships/table" Target="/xl/tables/table6.xml" Id="rId1"/><Relationship Type="http://schemas.openxmlformats.org/officeDocument/2006/relationships/table" Target="/xl/tables/table7.xml" Id="rId2"/><Relationship Type="http://schemas.openxmlformats.org/officeDocument/2006/relationships/table" Target="/xl/tables/table8.xml" Id="rId3"/><Relationship Type="http://schemas.openxmlformats.org/officeDocument/2006/relationships/table" Target="/xl/tables/table9.xml" Id="rId4"/><Relationship Type="http://schemas.openxmlformats.org/officeDocument/2006/relationships/table" Target="/xl/tables/table10.xml" Id="rId5"/><Relationship Type="http://schemas.openxmlformats.org/officeDocument/2006/relationships/table" Target="/xl/tables/table11.xml" Id="rId6"/><Relationship Type="http://schemas.openxmlformats.org/officeDocument/2006/relationships/table" Target="/xl/tables/table12.xml" Id="rId7"/><Relationship Type="http://schemas.openxmlformats.org/officeDocument/2006/relationships/table" Target="/xl/tables/table13.xml" Id="rId8"/><Relationship Type="http://schemas.openxmlformats.org/officeDocument/2006/relationships/table" Target="/xl/tables/table14.xml" Id="rId9"/><Relationship Type="http://schemas.openxmlformats.org/officeDocument/2006/relationships/table" Target="/xl/tables/table15.xml" Id="rId10"/><Relationship Type="http://schemas.openxmlformats.org/officeDocument/2006/relationships/table" Target="/xl/tables/table16.xml" Id="rId11"/><Relationship Type="http://schemas.openxmlformats.org/officeDocument/2006/relationships/table" Target="/xl/tables/table17.xml" Id="rId12"/><Relationship Type="http://schemas.openxmlformats.org/officeDocument/2006/relationships/table" Target="/xl/tables/table18.xml" Id="rId13"/><Relationship Type="http://schemas.openxmlformats.org/officeDocument/2006/relationships/table" Target="/xl/tables/table19.xml" Id="rId14"/><Relationship Type="http://schemas.openxmlformats.org/officeDocument/2006/relationships/table" Target="/xl/tables/table20.xml" Id="rId15"/><Relationship Type="http://schemas.openxmlformats.org/officeDocument/2006/relationships/table" Target="/xl/tables/table21.xml" Id="rId16"/><Relationship Type="http://schemas.openxmlformats.org/officeDocument/2006/relationships/table" Target="/xl/tables/table22.xml" Id="rId17"/><Relationship Type="http://schemas.openxmlformats.org/officeDocument/2006/relationships/table" Target="/xl/tables/table23.xml" Id="rId18"/><Relationship Type="http://schemas.openxmlformats.org/officeDocument/2006/relationships/table" Target="/xl/tables/table24.xml" Id="rId19"/><Relationship Type="http://schemas.openxmlformats.org/officeDocument/2006/relationships/table" Target="/xl/tables/table25.xml" Id="rId20"/><Relationship Type="http://schemas.openxmlformats.org/officeDocument/2006/relationships/table" Target="/xl/tables/table26.xml" Id="rId21"/><Relationship Type="http://schemas.openxmlformats.org/officeDocument/2006/relationships/table" Target="/xl/tables/table27.xml" Id="rId22"/><Relationship Type="http://schemas.openxmlformats.org/officeDocument/2006/relationships/table" Target="/xl/tables/table28.xml" Id="rId23"/><Relationship Type="http://schemas.openxmlformats.org/officeDocument/2006/relationships/table" Target="/xl/tables/table29.xml" Id="rId24"/><Relationship Type="http://schemas.openxmlformats.org/officeDocument/2006/relationships/table" Target="/xl/tables/table30.xml" Id="rId25"/><Relationship Type="http://schemas.openxmlformats.org/officeDocument/2006/relationships/table" Target="/xl/tables/table31.xml" Id="rId26"/><Relationship Type="http://schemas.openxmlformats.org/officeDocument/2006/relationships/table" Target="/xl/tables/table32.xml" Id="rId27"/><Relationship Type="http://schemas.openxmlformats.org/officeDocument/2006/relationships/table" Target="/xl/tables/table33.xml" Id="rId28"/><Relationship Type="http://schemas.openxmlformats.org/officeDocument/2006/relationships/table" Target="/xl/tables/table34.xml" Id="rId29"/><Relationship Type="http://schemas.openxmlformats.org/officeDocument/2006/relationships/table" Target="/xl/tables/table35.xml" Id="rId30"/><Relationship Type="http://schemas.openxmlformats.org/officeDocument/2006/relationships/table" Target="/xl/tables/table36.xml" Id="rId31"/><Relationship Type="http://schemas.openxmlformats.org/officeDocument/2006/relationships/table" Target="/xl/tables/table37.xml" Id="rId32"/><Relationship Type="http://schemas.openxmlformats.org/officeDocument/2006/relationships/table" Target="/xl/tables/table38.xml" Id="rId33"/><Relationship Type="http://schemas.openxmlformats.org/officeDocument/2006/relationships/table" Target="/xl/tables/table39.xml" Id="rId34"/><Relationship Type="http://schemas.openxmlformats.org/officeDocument/2006/relationships/table" Target="/xl/tables/table40.xml" Id="rId35"/><Relationship Type="http://schemas.openxmlformats.org/officeDocument/2006/relationships/table" Target="/xl/tables/table41.xml" Id="rId36"/><Relationship Type="http://schemas.openxmlformats.org/officeDocument/2006/relationships/table" Target="/xl/tables/table42.xml" Id="rId37"/><Relationship Type="http://schemas.openxmlformats.org/officeDocument/2006/relationships/table" Target="/xl/tables/table43.xml" Id="rId38"/><Relationship Type="http://schemas.openxmlformats.org/officeDocument/2006/relationships/table" Target="/xl/tables/table44.xml" Id="rId39"/><Relationship Type="http://schemas.openxmlformats.org/officeDocument/2006/relationships/table" Target="/xl/tables/table45.xml" Id="rId40"/><Relationship Type="http://schemas.openxmlformats.org/officeDocument/2006/relationships/table" Target="/xl/tables/table46.xml" Id="rId41"/><Relationship Type="http://schemas.openxmlformats.org/officeDocument/2006/relationships/table" Target="/xl/tables/table47.xml" Id="rId42"/><Relationship Type="http://schemas.openxmlformats.org/officeDocument/2006/relationships/table" Target="/xl/tables/table48.xml" Id="rId43"/><Relationship Type="http://schemas.openxmlformats.org/officeDocument/2006/relationships/table" Target="/xl/tables/table49.xml" Id="rId44"/><Relationship Type="http://schemas.openxmlformats.org/officeDocument/2006/relationships/table" Target="/xl/tables/table50.xml" Id="rId45"/><Relationship Type="http://schemas.openxmlformats.org/officeDocument/2006/relationships/table" Target="/xl/tables/table51.xml" Id="rId46"/><Relationship Type="http://schemas.openxmlformats.org/officeDocument/2006/relationships/table" Target="/xl/tables/table52.xml" Id="rId47"/><Relationship Type="http://schemas.openxmlformats.org/officeDocument/2006/relationships/table" Target="/xl/tables/table53.xml" Id="rId48"/><Relationship Type="http://schemas.openxmlformats.org/officeDocument/2006/relationships/table" Target="/xl/tables/table54.xml" Id="rId49"/><Relationship Type="http://schemas.openxmlformats.org/officeDocument/2006/relationships/table" Target="/xl/tables/table55.xml" Id="rId50"/><Relationship Type="http://schemas.openxmlformats.org/officeDocument/2006/relationships/table" Target="/xl/tables/table56.xml" Id="rId51"/><Relationship Type="http://schemas.openxmlformats.org/officeDocument/2006/relationships/table" Target="/xl/tables/table57.xml" Id="rId52"/><Relationship Type="http://schemas.openxmlformats.org/officeDocument/2006/relationships/table" Target="/xl/tables/table58.xml" Id="rId53"/><Relationship Type="http://schemas.openxmlformats.org/officeDocument/2006/relationships/table" Target="/xl/tables/table59.xml" Id="rId54"/><Relationship Type="http://schemas.openxmlformats.org/officeDocument/2006/relationships/table" Target="/xl/tables/table60.xml" Id="rId55"/><Relationship Type="http://schemas.openxmlformats.org/officeDocument/2006/relationships/table" Target="/xl/tables/table61.xml" Id="rId56"/><Relationship Type="http://schemas.openxmlformats.org/officeDocument/2006/relationships/table" Target="/xl/tables/table62.xml" Id="rId57"/><Relationship Type="http://schemas.openxmlformats.org/officeDocument/2006/relationships/table" Target="/xl/tables/table63.xml" Id="rId58"/><Relationship Type="http://schemas.openxmlformats.org/officeDocument/2006/relationships/table" Target="/xl/tables/table64.xml" Id="rId59"/><Relationship Type="http://schemas.openxmlformats.org/officeDocument/2006/relationships/table" Target="/xl/tables/table65.xml" Id="rId60"/><Relationship Type="http://schemas.openxmlformats.org/officeDocument/2006/relationships/table" Target="/xl/tables/table66.xml" Id="rId61"/><Relationship Type="http://schemas.openxmlformats.org/officeDocument/2006/relationships/table" Target="/xl/tables/table67.xml" Id="rId62"/><Relationship Type="http://schemas.openxmlformats.org/officeDocument/2006/relationships/table" Target="/xl/tables/table68.xml" Id="rId63"/><Relationship Type="http://schemas.openxmlformats.org/officeDocument/2006/relationships/table" Target="/xl/tables/table69.xml" Id="rId64"/><Relationship Type="http://schemas.openxmlformats.org/officeDocument/2006/relationships/table" Target="/xl/tables/table70.xml" Id="rId65"/><Relationship Type="http://schemas.openxmlformats.org/officeDocument/2006/relationships/table" Target="/xl/tables/table71.xml" Id="rId66"/><Relationship Type="http://schemas.openxmlformats.org/officeDocument/2006/relationships/table" Target="/xl/tables/table72.xml" Id="rId67"/><Relationship Type="http://schemas.openxmlformats.org/officeDocument/2006/relationships/table" Target="/xl/tables/table73.xml" Id="rId68"/><Relationship Type="http://schemas.openxmlformats.org/officeDocument/2006/relationships/table" Target="/xl/tables/table74.xml" Id="rId69"/><Relationship Type="http://schemas.openxmlformats.org/officeDocument/2006/relationships/table" Target="/xl/tables/table75.xml" Id="rId70"/><Relationship Type="http://schemas.openxmlformats.org/officeDocument/2006/relationships/table" Target="/xl/tables/table76.xml" Id="rId71"/><Relationship Type="http://schemas.openxmlformats.org/officeDocument/2006/relationships/table" Target="/xl/tables/table77.xml" Id="rId72"/><Relationship Type="http://schemas.openxmlformats.org/officeDocument/2006/relationships/table" Target="/xl/tables/table78.xml" Id="rId73"/><Relationship Type="http://schemas.openxmlformats.org/officeDocument/2006/relationships/table" Target="/xl/tables/table79.xml" Id="rId74"/><Relationship Type="http://schemas.openxmlformats.org/officeDocument/2006/relationships/table" Target="/xl/tables/table80.xml" Id="rId75"/><Relationship Type="http://schemas.openxmlformats.org/officeDocument/2006/relationships/table" Target="/xl/tables/table81.xml" Id="rId76"/><Relationship Type="http://schemas.openxmlformats.org/officeDocument/2006/relationships/table" Target="/xl/tables/table82.xml" Id="rId77"/><Relationship Type="http://schemas.openxmlformats.org/officeDocument/2006/relationships/table" Target="/xl/tables/table83.xml" Id="rId78"/><Relationship Type="http://schemas.openxmlformats.org/officeDocument/2006/relationships/table" Target="/xl/tables/table84.xml" Id="rId79"/><Relationship Type="http://schemas.openxmlformats.org/officeDocument/2006/relationships/table" Target="/xl/tables/table85.xml" Id="rId80"/><Relationship Type="http://schemas.openxmlformats.org/officeDocument/2006/relationships/table" Target="/xl/tables/table86.xml" Id="rId81"/><Relationship Type="http://schemas.openxmlformats.org/officeDocument/2006/relationships/table" Target="/xl/tables/table87.xml" Id="rId82"/><Relationship Type="http://schemas.openxmlformats.org/officeDocument/2006/relationships/table" Target="/xl/tables/table88.xml" Id="rId83"/><Relationship Type="http://schemas.openxmlformats.org/officeDocument/2006/relationships/table" Target="/xl/tables/table89.xml" Id="rId84"/><Relationship Type="http://schemas.openxmlformats.org/officeDocument/2006/relationships/table" Target="/xl/tables/table90.xml" Id="rId85"/><Relationship Type="http://schemas.openxmlformats.org/officeDocument/2006/relationships/table" Target="/xl/tables/table91.xml" Id="rId86"/><Relationship Type="http://schemas.openxmlformats.org/officeDocument/2006/relationships/table" Target="/xl/tables/table92.xml" Id="rId87"/><Relationship Type="http://schemas.openxmlformats.org/officeDocument/2006/relationships/table" Target="/xl/tables/table93.xml" Id="rId88"/><Relationship Type="http://schemas.openxmlformats.org/officeDocument/2006/relationships/table" Target="/xl/tables/table94.xml" Id="rId89"/><Relationship Type="http://schemas.openxmlformats.org/officeDocument/2006/relationships/table" Target="/xl/tables/table95.xml" Id="rId90"/><Relationship Type="http://schemas.openxmlformats.org/officeDocument/2006/relationships/table" Target="/xl/tables/table96.xml" Id="rId91"/><Relationship Type="http://schemas.openxmlformats.org/officeDocument/2006/relationships/table" Target="/xl/tables/table97.xml" Id="rId92"/><Relationship Type="http://schemas.openxmlformats.org/officeDocument/2006/relationships/table" Target="/xl/tables/table98.xml" Id="rId93"/><Relationship Type="http://schemas.openxmlformats.org/officeDocument/2006/relationships/table" Target="/xl/tables/table99.xml" Id="rId94"/><Relationship Type="http://schemas.openxmlformats.org/officeDocument/2006/relationships/table" Target="/xl/tables/table100.xml" Id="rId95"/><Relationship Type="http://schemas.openxmlformats.org/officeDocument/2006/relationships/table" Target="/xl/tables/table101.xml" Id="rId96"/><Relationship Type="http://schemas.openxmlformats.org/officeDocument/2006/relationships/table" Target="/xl/tables/table102.xml" Id="rId97"/><Relationship Type="http://schemas.openxmlformats.org/officeDocument/2006/relationships/table" Target="/xl/tables/table103.xml" Id="rId98"/><Relationship Type="http://schemas.openxmlformats.org/officeDocument/2006/relationships/table" Target="/xl/tables/table104.xml" Id="rId99"/><Relationship Type="http://schemas.openxmlformats.org/officeDocument/2006/relationships/table" Target="/xl/tables/table105.xml" Id="rId100"/><Relationship Type="http://schemas.openxmlformats.org/officeDocument/2006/relationships/table" Target="/xl/tables/table106.xml" Id="rId101"/><Relationship Type="http://schemas.openxmlformats.org/officeDocument/2006/relationships/table" Target="/xl/tables/table107.xml" Id="rId102"/><Relationship Type="http://schemas.openxmlformats.org/officeDocument/2006/relationships/table" Target="/xl/tables/table108.xml" Id="rId103"/><Relationship Type="http://schemas.openxmlformats.org/officeDocument/2006/relationships/table" Target="/xl/tables/table109.xml" Id="rId104"/><Relationship Type="http://schemas.openxmlformats.org/officeDocument/2006/relationships/table" Target="/xl/tables/table110.xml" Id="rId105"/><Relationship Type="http://schemas.openxmlformats.org/officeDocument/2006/relationships/table" Target="/xl/tables/table111.xml" Id="rId106"/><Relationship Type="http://schemas.openxmlformats.org/officeDocument/2006/relationships/table" Target="/xl/tables/table112.xml" Id="rId107"/><Relationship Type="http://schemas.openxmlformats.org/officeDocument/2006/relationships/table" Target="/xl/tables/table113.xml" Id="rId108"/><Relationship Type="http://schemas.openxmlformats.org/officeDocument/2006/relationships/table" Target="/xl/tables/table114.xml" Id="rId109"/><Relationship Type="http://schemas.openxmlformats.org/officeDocument/2006/relationships/table" Target="/xl/tables/table115.xml" Id="rId110"/><Relationship Type="http://schemas.openxmlformats.org/officeDocument/2006/relationships/table" Target="/xl/tables/table116.xml" Id="rId111"/><Relationship Type="http://schemas.openxmlformats.org/officeDocument/2006/relationships/table" Target="/xl/tables/table117.xml" Id="rId112"/><Relationship Type="http://schemas.openxmlformats.org/officeDocument/2006/relationships/table" Target="/xl/tables/table118.xml" Id="rId113"/><Relationship Type="http://schemas.openxmlformats.org/officeDocument/2006/relationships/table" Target="/xl/tables/table119.xml" Id="rId114"/><Relationship Type="http://schemas.openxmlformats.org/officeDocument/2006/relationships/table" Target="/xl/tables/table120.xml" Id="rId115"/><Relationship Type="http://schemas.openxmlformats.org/officeDocument/2006/relationships/table" Target="/xl/tables/table121.xml" Id="rId116"/><Relationship Type="http://schemas.openxmlformats.org/officeDocument/2006/relationships/table" Target="/xl/tables/table122.xml" Id="rId117"/><Relationship Type="http://schemas.openxmlformats.org/officeDocument/2006/relationships/table" Target="/xl/tables/table123.xml" Id="rId118"/><Relationship Type="http://schemas.openxmlformats.org/officeDocument/2006/relationships/table" Target="/xl/tables/table124.xml" Id="rId119"/><Relationship Type="http://schemas.openxmlformats.org/officeDocument/2006/relationships/table" Target="/xl/tables/table125.xml" Id="rId120"/><Relationship Type="http://schemas.openxmlformats.org/officeDocument/2006/relationships/table" Target="/xl/tables/table126.xml" Id="rId121"/><Relationship Type="http://schemas.openxmlformats.org/officeDocument/2006/relationships/table" Target="/xl/tables/table127.xml" Id="rId122"/><Relationship Type="http://schemas.openxmlformats.org/officeDocument/2006/relationships/table" Target="/xl/tables/table128.xml" Id="rId123"/><Relationship Type="http://schemas.openxmlformats.org/officeDocument/2006/relationships/table" Target="/xl/tables/table129.xml" Id="rId124"/><Relationship Type="http://schemas.openxmlformats.org/officeDocument/2006/relationships/table" Target="/xl/tables/table130.xml" Id="rId125"/><Relationship Type="http://schemas.openxmlformats.org/officeDocument/2006/relationships/table" Target="/xl/tables/table131.xml" Id="rId126"/><Relationship Type="http://schemas.openxmlformats.org/officeDocument/2006/relationships/table" Target="/xl/tables/table132.xml" Id="rId127"/><Relationship Type="http://schemas.openxmlformats.org/officeDocument/2006/relationships/table" Target="/xl/tables/table133.xml" Id="rId128"/><Relationship Type="http://schemas.openxmlformats.org/officeDocument/2006/relationships/table" Target="/xl/tables/table134.xml" Id="rId129"/><Relationship Type="http://schemas.openxmlformats.org/officeDocument/2006/relationships/table" Target="/xl/tables/table135.xml" Id="rId130"/><Relationship Type="http://schemas.openxmlformats.org/officeDocument/2006/relationships/table" Target="/xl/tables/table136.xml" Id="rId131"/><Relationship Type="http://schemas.openxmlformats.org/officeDocument/2006/relationships/table" Target="/xl/tables/table137.xml" Id="rId132"/><Relationship Type="http://schemas.openxmlformats.org/officeDocument/2006/relationships/table" Target="/xl/tables/table138.xml" Id="rId133"/><Relationship Type="http://schemas.openxmlformats.org/officeDocument/2006/relationships/table" Target="/xl/tables/table139.xml" Id="rId134"/><Relationship Type="http://schemas.openxmlformats.org/officeDocument/2006/relationships/table" Target="/xl/tables/table140.xml" Id="rId135"/><Relationship Type="http://schemas.openxmlformats.org/officeDocument/2006/relationships/table" Target="/xl/tables/table141.xml" Id="rId136"/><Relationship Type="http://schemas.openxmlformats.org/officeDocument/2006/relationships/table" Target="/xl/tables/table142.xml" Id="rId137"/><Relationship Type="http://schemas.openxmlformats.org/officeDocument/2006/relationships/table" Target="/xl/tables/table143.xml" Id="rId138"/><Relationship Type="http://schemas.openxmlformats.org/officeDocument/2006/relationships/table" Target="/xl/tables/table144.xml" Id="rId139"/><Relationship Type="http://schemas.openxmlformats.org/officeDocument/2006/relationships/table" Target="/xl/tables/table145.xml" Id="rId140"/><Relationship Type="http://schemas.openxmlformats.org/officeDocument/2006/relationships/table" Target="/xl/tables/table146.xml" Id="rId141"/><Relationship Type="http://schemas.openxmlformats.org/officeDocument/2006/relationships/table" Target="/xl/tables/table147.xml" Id="rId142"/><Relationship Type="http://schemas.openxmlformats.org/officeDocument/2006/relationships/table" Target="/xl/tables/table148.xml" Id="rId143"/><Relationship Type="http://schemas.openxmlformats.org/officeDocument/2006/relationships/table" Target="/xl/tables/table149.xml" Id="rId144"/><Relationship Type="http://schemas.openxmlformats.org/officeDocument/2006/relationships/table" Target="/xl/tables/table150.xml" Id="rId145"/><Relationship Type="http://schemas.openxmlformats.org/officeDocument/2006/relationships/table" Target="/xl/tables/table151.xml" Id="rId146"/><Relationship Type="http://schemas.openxmlformats.org/officeDocument/2006/relationships/table" Target="/xl/tables/table152.xml" Id="rId147"/><Relationship Type="http://schemas.openxmlformats.org/officeDocument/2006/relationships/table" Target="/xl/tables/table153.xml" Id="rId148"/><Relationship Type="http://schemas.openxmlformats.org/officeDocument/2006/relationships/table" Target="/xl/tables/table154.xml" Id="rId149"/><Relationship Type="http://schemas.openxmlformats.org/officeDocument/2006/relationships/table" Target="/xl/tables/table155.xml" Id="rId150"/><Relationship Type="http://schemas.openxmlformats.org/officeDocument/2006/relationships/table" Target="/xl/tables/table156.xml" Id="rId151"/><Relationship Type="http://schemas.openxmlformats.org/officeDocument/2006/relationships/table" Target="/xl/tables/table157.xml" Id="rId152"/><Relationship Type="http://schemas.openxmlformats.org/officeDocument/2006/relationships/table" Target="/xl/tables/table158.xml" Id="rId153"/><Relationship Type="http://schemas.openxmlformats.org/officeDocument/2006/relationships/table" Target="/xl/tables/table159.xml" Id="rId154"/><Relationship Type="http://schemas.openxmlformats.org/officeDocument/2006/relationships/table" Target="/xl/tables/table160.xml" Id="rId155"/><Relationship Type="http://schemas.openxmlformats.org/officeDocument/2006/relationships/table" Target="/xl/tables/table161.xml" Id="rId156"/><Relationship Type="http://schemas.openxmlformats.org/officeDocument/2006/relationships/table" Target="/xl/tables/table162.xml" Id="rId157"/><Relationship Type="http://schemas.openxmlformats.org/officeDocument/2006/relationships/table" Target="/xl/tables/table163.xml" Id="rId158"/><Relationship Type="http://schemas.openxmlformats.org/officeDocument/2006/relationships/table" Target="/xl/tables/table164.xml" Id="rId159"/><Relationship Type="http://schemas.openxmlformats.org/officeDocument/2006/relationships/table" Target="/xl/tables/table165.xml" Id="rId160"/><Relationship Type="http://schemas.openxmlformats.org/officeDocument/2006/relationships/table" Target="/xl/tables/table166.xml" Id="rId161"/><Relationship Type="http://schemas.openxmlformats.org/officeDocument/2006/relationships/table" Target="/xl/tables/table167.xml" Id="rId162"/><Relationship Type="http://schemas.openxmlformats.org/officeDocument/2006/relationships/table" Target="/xl/tables/table168.xml" Id="rId163"/><Relationship Type="http://schemas.openxmlformats.org/officeDocument/2006/relationships/table" Target="/xl/tables/table169.xml" Id="rId164"/><Relationship Type="http://schemas.openxmlformats.org/officeDocument/2006/relationships/table" Target="/xl/tables/table170.xml" Id="rId165"/><Relationship Type="http://schemas.openxmlformats.org/officeDocument/2006/relationships/table" Target="/xl/tables/table171.xml" Id="rId166"/><Relationship Type="http://schemas.openxmlformats.org/officeDocument/2006/relationships/table" Target="/xl/tables/table172.xml" Id="rId167"/><Relationship Type="http://schemas.openxmlformats.org/officeDocument/2006/relationships/table" Target="/xl/tables/table173.xml" Id="rId168"/><Relationship Type="http://schemas.openxmlformats.org/officeDocument/2006/relationships/table" Target="/xl/tables/table174.xml" Id="rId169"/><Relationship Type="http://schemas.openxmlformats.org/officeDocument/2006/relationships/table" Target="/xl/tables/table175.xml" Id="rId170"/><Relationship Type="http://schemas.openxmlformats.org/officeDocument/2006/relationships/table" Target="/xl/tables/table176.xml" Id="rId171"/><Relationship Type="http://schemas.openxmlformats.org/officeDocument/2006/relationships/table" Target="/xl/tables/table177.xml" Id="rId172"/><Relationship Type="http://schemas.openxmlformats.org/officeDocument/2006/relationships/table" Target="/xl/tables/table178.xml" Id="rId173"/><Relationship Type="http://schemas.openxmlformats.org/officeDocument/2006/relationships/table" Target="/xl/tables/table179.xml" Id="rId174"/><Relationship Type="http://schemas.openxmlformats.org/officeDocument/2006/relationships/table" Target="/xl/tables/table180.xml" Id="rId175"/><Relationship Type="http://schemas.openxmlformats.org/officeDocument/2006/relationships/table" Target="/xl/tables/table181.xml" Id="rId176"/><Relationship Type="http://schemas.openxmlformats.org/officeDocument/2006/relationships/table" Target="/xl/tables/table182.xml" Id="rId177"/><Relationship Type="http://schemas.openxmlformats.org/officeDocument/2006/relationships/table" Target="/xl/tables/table183.xml" Id="rId178"/><Relationship Type="http://schemas.openxmlformats.org/officeDocument/2006/relationships/table" Target="/xl/tables/table184.xml" Id="rId179"/><Relationship Type="http://schemas.openxmlformats.org/officeDocument/2006/relationships/table" Target="/xl/tables/table185.xml" Id="rId180"/><Relationship Type="http://schemas.openxmlformats.org/officeDocument/2006/relationships/table" Target="/xl/tables/table186.xml" Id="rId181"/><Relationship Type="http://schemas.openxmlformats.org/officeDocument/2006/relationships/table" Target="/xl/tables/table187.xml" Id="rId182"/><Relationship Type="http://schemas.openxmlformats.org/officeDocument/2006/relationships/table" Target="/xl/tables/table188.xml" Id="rId183"/><Relationship Type="http://schemas.openxmlformats.org/officeDocument/2006/relationships/table" Target="/xl/tables/table189.xml" Id="rId184"/><Relationship Type="http://schemas.openxmlformats.org/officeDocument/2006/relationships/table" Target="/xl/tables/table190.xml" Id="rId185"/><Relationship Type="http://schemas.openxmlformats.org/officeDocument/2006/relationships/table" Target="/xl/tables/table191.xml" Id="rId186"/><Relationship Type="http://schemas.openxmlformats.org/officeDocument/2006/relationships/table" Target="/xl/tables/table192.xml" Id="rId187"/><Relationship Type="http://schemas.openxmlformats.org/officeDocument/2006/relationships/table" Target="/xl/tables/table193.xml" Id="rId188"/><Relationship Type="http://schemas.openxmlformats.org/officeDocument/2006/relationships/table" Target="/xl/tables/table194.xml" Id="rId189"/><Relationship Type="http://schemas.openxmlformats.org/officeDocument/2006/relationships/table" Target="/xl/tables/table195.xml" Id="rId190"/><Relationship Type="http://schemas.openxmlformats.org/officeDocument/2006/relationships/table" Target="/xl/tables/table196.xml" Id="rId191"/><Relationship Type="http://schemas.openxmlformats.org/officeDocument/2006/relationships/table" Target="/xl/tables/table197.xml" Id="rId192"/><Relationship Type="http://schemas.openxmlformats.org/officeDocument/2006/relationships/table" Target="/xl/tables/table198.xml" Id="rId193"/><Relationship Type="http://schemas.openxmlformats.org/officeDocument/2006/relationships/table" Target="/xl/tables/table199.xml" Id="rId194"/><Relationship Type="http://schemas.openxmlformats.org/officeDocument/2006/relationships/table" Target="/xl/tables/table200.xml" Id="rId195"/><Relationship Type="http://schemas.openxmlformats.org/officeDocument/2006/relationships/table" Target="/xl/tables/table201.xml" Id="rId196"/><Relationship Type="http://schemas.openxmlformats.org/officeDocument/2006/relationships/table" Target="/xl/tables/table202.xml" Id="rId197"/><Relationship Type="http://schemas.openxmlformats.org/officeDocument/2006/relationships/table" Target="/xl/tables/table203.xml" Id="rId198"/><Relationship Type="http://schemas.openxmlformats.org/officeDocument/2006/relationships/table" Target="/xl/tables/table204.xml" Id="rId199"/><Relationship Type="http://schemas.openxmlformats.org/officeDocument/2006/relationships/table" Target="/xl/tables/table205.xml" Id="rId200"/><Relationship Type="http://schemas.openxmlformats.org/officeDocument/2006/relationships/table" Target="/xl/tables/table206.xml" Id="rId201"/><Relationship Type="http://schemas.openxmlformats.org/officeDocument/2006/relationships/table" Target="/xl/tables/table207.xml" Id="rId202"/><Relationship Type="http://schemas.openxmlformats.org/officeDocument/2006/relationships/table" Target="/xl/tables/table208.xml" Id="rId203"/><Relationship Type="http://schemas.openxmlformats.org/officeDocument/2006/relationships/table" Target="/xl/tables/table209.xml" Id="rId204"/><Relationship Type="http://schemas.openxmlformats.org/officeDocument/2006/relationships/table" Target="/xl/tables/table210.xml" Id="rId205"/><Relationship Type="http://schemas.openxmlformats.org/officeDocument/2006/relationships/table" Target="/xl/tables/table211.xml" Id="rId206"/><Relationship Type="http://schemas.openxmlformats.org/officeDocument/2006/relationships/table" Target="/xl/tables/table212.xml" Id="rId207"/><Relationship Type="http://schemas.openxmlformats.org/officeDocument/2006/relationships/table" Target="/xl/tables/table213.xml" Id="rId208"/><Relationship Type="http://schemas.openxmlformats.org/officeDocument/2006/relationships/table" Target="/xl/tables/table214.xml" Id="rId209"/><Relationship Type="http://schemas.openxmlformats.org/officeDocument/2006/relationships/table" Target="/xl/tables/table215.xml" Id="rId210"/><Relationship Type="http://schemas.openxmlformats.org/officeDocument/2006/relationships/table" Target="/xl/tables/table216.xml" Id="rId211"/><Relationship Type="http://schemas.openxmlformats.org/officeDocument/2006/relationships/table" Target="/xl/tables/table217.xml" Id="rId212"/><Relationship Type="http://schemas.openxmlformats.org/officeDocument/2006/relationships/table" Target="/xl/tables/table218.xml" Id="rId213"/><Relationship Type="http://schemas.openxmlformats.org/officeDocument/2006/relationships/table" Target="/xl/tables/table219.xml" Id="rId214"/><Relationship Type="http://schemas.openxmlformats.org/officeDocument/2006/relationships/table" Target="/xl/tables/table220.xml" Id="rId215"/><Relationship Type="http://schemas.openxmlformats.org/officeDocument/2006/relationships/table" Target="/xl/tables/table221.xml" Id="rId216"/><Relationship Type="http://schemas.openxmlformats.org/officeDocument/2006/relationships/table" Target="/xl/tables/table222.xml" Id="rId217"/><Relationship Type="http://schemas.openxmlformats.org/officeDocument/2006/relationships/table" Target="/xl/tables/table223.xml" Id="rId218"/><Relationship Type="http://schemas.openxmlformats.org/officeDocument/2006/relationships/table" Target="/xl/tables/table224.xml" Id="rId219"/><Relationship Type="http://schemas.openxmlformats.org/officeDocument/2006/relationships/table" Target="/xl/tables/table225.xml" Id="rId220"/><Relationship Type="http://schemas.openxmlformats.org/officeDocument/2006/relationships/table" Target="/xl/tables/table226.xml" Id="rId221"/><Relationship Type="http://schemas.openxmlformats.org/officeDocument/2006/relationships/table" Target="/xl/tables/table227.xml" Id="rId222"/><Relationship Type="http://schemas.openxmlformats.org/officeDocument/2006/relationships/table" Target="/xl/tables/table228.xml" Id="rId223"/><Relationship Type="http://schemas.openxmlformats.org/officeDocument/2006/relationships/table" Target="/xl/tables/table229.xml" Id="rId224"/><Relationship Type="http://schemas.openxmlformats.org/officeDocument/2006/relationships/table" Target="/xl/tables/table230.xml" Id="rId225"/><Relationship Type="http://schemas.openxmlformats.org/officeDocument/2006/relationships/table" Target="/xl/tables/table231.xml" Id="rId226"/><Relationship Type="http://schemas.openxmlformats.org/officeDocument/2006/relationships/table" Target="/xl/tables/table232.xml" Id="rId227"/><Relationship Type="http://schemas.openxmlformats.org/officeDocument/2006/relationships/table" Target="/xl/tables/table233.xml" Id="rId228"/><Relationship Type="http://schemas.openxmlformats.org/officeDocument/2006/relationships/table" Target="/xl/tables/table234.xml" Id="rId229"/><Relationship Type="http://schemas.openxmlformats.org/officeDocument/2006/relationships/table" Target="/xl/tables/table235.xml" Id="rId230"/><Relationship Type="http://schemas.openxmlformats.org/officeDocument/2006/relationships/table" Target="/xl/tables/table236.xml" Id="rId231"/><Relationship Type="http://schemas.openxmlformats.org/officeDocument/2006/relationships/table" Target="/xl/tables/table237.xml" Id="rId232"/><Relationship Type="http://schemas.openxmlformats.org/officeDocument/2006/relationships/table" Target="/xl/tables/table238.xml" Id="rId233"/><Relationship Type="http://schemas.openxmlformats.org/officeDocument/2006/relationships/table" Target="/xl/tables/table239.xml" Id="rId234"/><Relationship Type="http://schemas.openxmlformats.org/officeDocument/2006/relationships/table" Target="/xl/tables/table240.xml" Id="rId235"/><Relationship Type="http://schemas.openxmlformats.org/officeDocument/2006/relationships/table" Target="/xl/tables/table241.xml" Id="rId236"/><Relationship Type="http://schemas.openxmlformats.org/officeDocument/2006/relationships/table" Target="/xl/tables/table242.xml" Id="rId237"/><Relationship Type="http://schemas.openxmlformats.org/officeDocument/2006/relationships/table" Target="/xl/tables/table243.xml" Id="rId238"/><Relationship Type="http://schemas.openxmlformats.org/officeDocument/2006/relationships/table" Target="/xl/tables/table244.xml" Id="rId239"/><Relationship Type="http://schemas.openxmlformats.org/officeDocument/2006/relationships/table" Target="/xl/tables/table245.xml" Id="rId240"/><Relationship Type="http://schemas.openxmlformats.org/officeDocument/2006/relationships/table" Target="/xl/tables/table246.xml" Id="rId241"/><Relationship Type="http://schemas.openxmlformats.org/officeDocument/2006/relationships/table" Target="/xl/tables/table247.xml" Id="rId242"/><Relationship Type="http://schemas.openxmlformats.org/officeDocument/2006/relationships/table" Target="/xl/tables/table248.xml" Id="rId243"/><Relationship Type="http://schemas.openxmlformats.org/officeDocument/2006/relationships/table" Target="/xl/tables/table249.xml" Id="rId244"/><Relationship Type="http://schemas.openxmlformats.org/officeDocument/2006/relationships/table" Target="/xl/tables/table250.xml" Id="rId245"/><Relationship Type="http://schemas.openxmlformats.org/officeDocument/2006/relationships/table" Target="/xl/tables/table251.xml" Id="rId246"/><Relationship Type="http://schemas.openxmlformats.org/officeDocument/2006/relationships/table" Target="/xl/tables/table252.xml" Id="rId247"/><Relationship Type="http://schemas.openxmlformats.org/officeDocument/2006/relationships/table" Target="/xl/tables/table253.xml" Id="rId248"/><Relationship Type="http://schemas.openxmlformats.org/officeDocument/2006/relationships/table" Target="/xl/tables/table254.xml" Id="rId249"/><Relationship Type="http://schemas.openxmlformats.org/officeDocument/2006/relationships/table" Target="/xl/tables/table255.xml" Id="rId250"/><Relationship Type="http://schemas.openxmlformats.org/officeDocument/2006/relationships/table" Target="/xl/tables/table256.xml" Id="rId251"/><Relationship Type="http://schemas.openxmlformats.org/officeDocument/2006/relationships/table" Target="/xl/tables/table257.xml" Id="rId252"/><Relationship Type="http://schemas.openxmlformats.org/officeDocument/2006/relationships/table" Target="/xl/tables/table258.xml" Id="rId253"/><Relationship Type="http://schemas.openxmlformats.org/officeDocument/2006/relationships/table" Target="/xl/tables/table259.xml" Id="rId254"/><Relationship Type="http://schemas.openxmlformats.org/officeDocument/2006/relationships/table" Target="/xl/tables/table260.xml" Id="rId255"/><Relationship Type="http://schemas.openxmlformats.org/officeDocument/2006/relationships/table" Target="/xl/tables/table261.xml" Id="rId256"/><Relationship Type="http://schemas.openxmlformats.org/officeDocument/2006/relationships/table" Target="/xl/tables/table262.xml" Id="rId257"/><Relationship Type="http://schemas.openxmlformats.org/officeDocument/2006/relationships/table" Target="/xl/tables/table263.xml" Id="rId258"/><Relationship Type="http://schemas.openxmlformats.org/officeDocument/2006/relationships/table" Target="/xl/tables/table264.xml" Id="rId259"/><Relationship Type="http://schemas.openxmlformats.org/officeDocument/2006/relationships/table" Target="/xl/tables/table265.xml" Id="rId260"/><Relationship Type="http://schemas.openxmlformats.org/officeDocument/2006/relationships/table" Target="/xl/tables/table266.xml" Id="rId261"/><Relationship Type="http://schemas.openxmlformats.org/officeDocument/2006/relationships/table" Target="/xl/tables/table267.xml" Id="rId262"/><Relationship Type="http://schemas.openxmlformats.org/officeDocument/2006/relationships/table" Target="/xl/tables/table268.xml" Id="rId263"/><Relationship Type="http://schemas.openxmlformats.org/officeDocument/2006/relationships/table" Target="/xl/tables/table269.xml" Id="rId264"/><Relationship Type="http://schemas.openxmlformats.org/officeDocument/2006/relationships/table" Target="/xl/tables/table270.xml" Id="rId265"/><Relationship Type="http://schemas.openxmlformats.org/officeDocument/2006/relationships/table" Target="/xl/tables/table271.xml" Id="rId266"/><Relationship Type="http://schemas.openxmlformats.org/officeDocument/2006/relationships/table" Target="/xl/tables/table272.xml" Id="rId267"/><Relationship Type="http://schemas.openxmlformats.org/officeDocument/2006/relationships/table" Target="/xl/tables/table273.xml" Id="rId268"/><Relationship Type="http://schemas.openxmlformats.org/officeDocument/2006/relationships/table" Target="/xl/tables/table274.xml" Id="rId269"/><Relationship Type="http://schemas.openxmlformats.org/officeDocument/2006/relationships/table" Target="/xl/tables/table275.xml" Id="rId270"/><Relationship Type="http://schemas.openxmlformats.org/officeDocument/2006/relationships/table" Target="/xl/tables/table276.xml" Id="rId271"/><Relationship Type="http://schemas.openxmlformats.org/officeDocument/2006/relationships/table" Target="/xl/tables/table277.xml" Id="rId272"/><Relationship Type="http://schemas.openxmlformats.org/officeDocument/2006/relationships/table" Target="/xl/tables/table278.xml" Id="rId273"/><Relationship Type="http://schemas.openxmlformats.org/officeDocument/2006/relationships/table" Target="/xl/tables/table279.xml" Id="rId274"/><Relationship Type="http://schemas.openxmlformats.org/officeDocument/2006/relationships/table" Target="/xl/tables/table280.xml" Id="rId275"/><Relationship Type="http://schemas.openxmlformats.org/officeDocument/2006/relationships/table" Target="/xl/tables/table281.xml" Id="rId276"/><Relationship Type="http://schemas.openxmlformats.org/officeDocument/2006/relationships/table" Target="/xl/tables/table282.xml" Id="rId277"/><Relationship Type="http://schemas.openxmlformats.org/officeDocument/2006/relationships/table" Target="/xl/tables/table283.xml" Id="rId278"/><Relationship Type="http://schemas.openxmlformats.org/officeDocument/2006/relationships/table" Target="/xl/tables/table284.xml" Id="rId279"/><Relationship Type="http://schemas.openxmlformats.org/officeDocument/2006/relationships/table" Target="/xl/tables/table285.xml" Id="rId280"/><Relationship Type="http://schemas.openxmlformats.org/officeDocument/2006/relationships/table" Target="/xl/tables/table286.xml" Id="rId281"/><Relationship Type="http://schemas.openxmlformats.org/officeDocument/2006/relationships/table" Target="/xl/tables/table287.xml" Id="rId282"/><Relationship Type="http://schemas.openxmlformats.org/officeDocument/2006/relationships/table" Target="/xl/tables/table288.xml" Id="rId283"/><Relationship Type="http://schemas.openxmlformats.org/officeDocument/2006/relationships/table" Target="/xl/tables/table289.xml" Id="rId284"/><Relationship Type="http://schemas.openxmlformats.org/officeDocument/2006/relationships/table" Target="/xl/tables/table290.xml" Id="rId285"/><Relationship Type="http://schemas.openxmlformats.org/officeDocument/2006/relationships/table" Target="/xl/tables/table291.xml" Id="rId286"/><Relationship Type="http://schemas.openxmlformats.org/officeDocument/2006/relationships/table" Target="/xl/tables/table292.xml" Id="rId287"/><Relationship Type="http://schemas.openxmlformats.org/officeDocument/2006/relationships/table" Target="/xl/tables/table293.xml" Id="rId288"/><Relationship Type="http://schemas.openxmlformats.org/officeDocument/2006/relationships/table" Target="/xl/tables/table294.xml" Id="rId289"/><Relationship Type="http://schemas.openxmlformats.org/officeDocument/2006/relationships/table" Target="/xl/tables/table295.xml" Id="rId290"/><Relationship Type="http://schemas.openxmlformats.org/officeDocument/2006/relationships/table" Target="/xl/tables/table296.xml" Id="rId291"/><Relationship Type="http://schemas.openxmlformats.org/officeDocument/2006/relationships/table" Target="/xl/tables/table297.xml" Id="rId292"/><Relationship Type="http://schemas.openxmlformats.org/officeDocument/2006/relationships/table" Target="/xl/tables/table298.xml" Id="rId293"/><Relationship Type="http://schemas.openxmlformats.org/officeDocument/2006/relationships/table" Target="/xl/tables/table299.xml" Id="rId294"/><Relationship Type="http://schemas.openxmlformats.org/officeDocument/2006/relationships/table" Target="/xl/tables/table300.xml" Id="rId295"/><Relationship Type="http://schemas.openxmlformats.org/officeDocument/2006/relationships/table" Target="/xl/tables/table301.xml" Id="rId296"/><Relationship Type="http://schemas.openxmlformats.org/officeDocument/2006/relationships/table" Target="/xl/tables/table302.xml" Id="rId297"/><Relationship Type="http://schemas.openxmlformats.org/officeDocument/2006/relationships/table" Target="/xl/tables/table303.xml" Id="rId298"/><Relationship Type="http://schemas.openxmlformats.org/officeDocument/2006/relationships/table" Target="/xl/tables/table304.xml" Id="rId299"/><Relationship Type="http://schemas.openxmlformats.org/officeDocument/2006/relationships/table" Target="/xl/tables/table305.xml" Id="rId300"/><Relationship Type="http://schemas.openxmlformats.org/officeDocument/2006/relationships/table" Target="/xl/tables/table306.xml" Id="rId301"/><Relationship Type="http://schemas.openxmlformats.org/officeDocument/2006/relationships/table" Target="/xl/tables/table307.xml" Id="rId302"/><Relationship Type="http://schemas.openxmlformats.org/officeDocument/2006/relationships/table" Target="/xl/tables/table308.xml" Id="rId303"/><Relationship Type="http://schemas.openxmlformats.org/officeDocument/2006/relationships/table" Target="/xl/tables/table309.xml" Id="rId304"/><Relationship Type="http://schemas.openxmlformats.org/officeDocument/2006/relationships/table" Target="/xl/tables/table310.xml" Id="rId305"/><Relationship Type="http://schemas.openxmlformats.org/officeDocument/2006/relationships/table" Target="/xl/tables/table311.xml" Id="rId306"/><Relationship Type="http://schemas.openxmlformats.org/officeDocument/2006/relationships/table" Target="/xl/tables/table312.xml" Id="rId307"/><Relationship Type="http://schemas.openxmlformats.org/officeDocument/2006/relationships/table" Target="/xl/tables/table313.xml" Id="rId308"/><Relationship Type="http://schemas.openxmlformats.org/officeDocument/2006/relationships/table" Target="/xl/tables/table314.xml" Id="rId309"/><Relationship Type="http://schemas.openxmlformats.org/officeDocument/2006/relationships/table" Target="/xl/tables/table315.xml" Id="rId310"/><Relationship Type="http://schemas.openxmlformats.org/officeDocument/2006/relationships/table" Target="/xl/tables/table316.xml" Id="rId311"/><Relationship Type="http://schemas.openxmlformats.org/officeDocument/2006/relationships/table" Target="/xl/tables/table317.xml" Id="rId312"/><Relationship Type="http://schemas.openxmlformats.org/officeDocument/2006/relationships/table" Target="/xl/tables/table318.xml" Id="rId313"/><Relationship Type="http://schemas.openxmlformats.org/officeDocument/2006/relationships/table" Target="/xl/tables/table319.xml" Id="rId314"/><Relationship Type="http://schemas.openxmlformats.org/officeDocument/2006/relationships/table" Target="/xl/tables/table320.xml" Id="rId315"/><Relationship Type="http://schemas.openxmlformats.org/officeDocument/2006/relationships/table" Target="/xl/tables/table321.xml" Id="rId316"/><Relationship Type="http://schemas.openxmlformats.org/officeDocument/2006/relationships/table" Target="/xl/tables/table322.xml" Id="rId317"/><Relationship Type="http://schemas.openxmlformats.org/officeDocument/2006/relationships/table" Target="/xl/tables/table323.xml" Id="rId318"/><Relationship Type="http://schemas.openxmlformats.org/officeDocument/2006/relationships/table" Target="/xl/tables/table324.xml" Id="rId319"/><Relationship Type="http://schemas.openxmlformats.org/officeDocument/2006/relationships/table" Target="/xl/tables/table325.xml" Id="rId320"/><Relationship Type="http://schemas.openxmlformats.org/officeDocument/2006/relationships/table" Target="/xl/tables/table326.xml" Id="rId321"/><Relationship Type="http://schemas.openxmlformats.org/officeDocument/2006/relationships/table" Target="/xl/tables/table327.xml" Id="rId322"/><Relationship Type="http://schemas.openxmlformats.org/officeDocument/2006/relationships/table" Target="/xl/tables/table328.xml" Id="rId323"/></Relationships>
</file>

<file path=xl/worksheets/_rels/sheet23.xml.rels><Relationships xmlns="http://schemas.openxmlformats.org/package/2006/relationships"><Relationship Type="http://schemas.openxmlformats.org/officeDocument/2006/relationships/table" Target="/xl/tables/table329.xml" Id="rId1"/><Relationship Type="http://schemas.openxmlformats.org/officeDocument/2006/relationships/table" Target="/xl/tables/table330.xml" Id="rId2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105.xml.rels><Relationships xmlns="http://schemas.openxmlformats.org/package/2006/relationships"><Relationship Type="http://schemas.openxmlformats.org/officeDocument/2006/relationships/table" Target="/xl/tables/table331.xml" Id="rId1"/><Relationship Type="http://schemas.openxmlformats.org/officeDocument/2006/relationships/table" Target="/xl/tables/table332.xml" Id="rId2"/><Relationship Type="http://schemas.openxmlformats.org/officeDocument/2006/relationships/table" Target="/xl/tables/table333.xml" Id="rId3"/><Relationship Type="http://schemas.openxmlformats.org/officeDocument/2006/relationships/table" Target="/xl/tables/table334.xml" Id="rId4"/></Relationships>
</file>

<file path=xl/worksheets/_rels/sheet106.xml.rels><Relationships xmlns="http://schemas.openxmlformats.org/package/2006/relationships"><Relationship Type="http://schemas.openxmlformats.org/officeDocument/2006/relationships/table" Target="/xl/tables/table335.xml" Id="rId1"/><Relationship Type="http://schemas.openxmlformats.org/officeDocument/2006/relationships/table" Target="/xl/tables/table336.xml" Id="rId2"/><Relationship Type="http://schemas.openxmlformats.org/officeDocument/2006/relationships/table" Target="/xl/tables/table337.xml" Id="rId3"/><Relationship Type="http://schemas.openxmlformats.org/officeDocument/2006/relationships/table" Target="/xl/tables/table338.xml" Id="rId4"/><Relationship Type="http://schemas.openxmlformats.org/officeDocument/2006/relationships/table" Target="/xl/tables/table339.xml" Id="rId5"/><Relationship Type="http://schemas.openxmlformats.org/officeDocument/2006/relationships/table" Target="/xl/tables/table340.xml" Id="rId6"/><Relationship Type="http://schemas.openxmlformats.org/officeDocument/2006/relationships/table" Target="/xl/tables/table341.xml" Id="rId7"/><Relationship Type="http://schemas.openxmlformats.org/officeDocument/2006/relationships/table" Target="/xl/tables/table342.xml" Id="rId8"/><Relationship Type="http://schemas.openxmlformats.org/officeDocument/2006/relationships/table" Target="/xl/tables/table343.xml" Id="rId9"/><Relationship Type="http://schemas.openxmlformats.org/officeDocument/2006/relationships/table" Target="/xl/tables/table344.xml" Id="rId10"/><Relationship Type="http://schemas.openxmlformats.org/officeDocument/2006/relationships/table" Target="/xl/tables/table345.xml" Id="rId11"/><Relationship Type="http://schemas.openxmlformats.org/officeDocument/2006/relationships/table" Target="/xl/tables/table346.xml" Id="rId12"/><Relationship Type="http://schemas.openxmlformats.org/officeDocument/2006/relationships/table" Target="/xl/tables/table347.xml" Id="rId13"/><Relationship Type="http://schemas.openxmlformats.org/officeDocument/2006/relationships/table" Target="/xl/tables/table348.xml" Id="rId14"/><Relationship Type="http://schemas.openxmlformats.org/officeDocument/2006/relationships/table" Target="/xl/tables/table349.xml" Id="rId15"/><Relationship Type="http://schemas.openxmlformats.org/officeDocument/2006/relationships/table" Target="/xl/tables/table350.xml" Id="rId16"/><Relationship Type="http://schemas.openxmlformats.org/officeDocument/2006/relationships/table" Target="/xl/tables/table351.xml" Id="rId17"/><Relationship Type="http://schemas.openxmlformats.org/officeDocument/2006/relationships/table" Target="/xl/tables/table352.xml" Id="rId18"/><Relationship Type="http://schemas.openxmlformats.org/officeDocument/2006/relationships/table" Target="/xl/tables/table353.xml" Id="rId19"/><Relationship Type="http://schemas.openxmlformats.org/officeDocument/2006/relationships/table" Target="/xl/tables/table354.xml" Id="rId20"/><Relationship Type="http://schemas.openxmlformats.org/officeDocument/2006/relationships/table" Target="/xl/tables/table355.xml" Id="rId21"/><Relationship Type="http://schemas.openxmlformats.org/officeDocument/2006/relationships/table" Target="/xl/tables/table356.xml" Id="rId22"/><Relationship Type="http://schemas.openxmlformats.org/officeDocument/2006/relationships/table" Target="/xl/tables/table357.xml" Id="rId23"/><Relationship Type="http://schemas.openxmlformats.org/officeDocument/2006/relationships/table" Target="/xl/tables/table358.xml" Id="rId24"/><Relationship Type="http://schemas.openxmlformats.org/officeDocument/2006/relationships/table" Target="/xl/tables/table359.xml" Id="rId25"/><Relationship Type="http://schemas.openxmlformats.org/officeDocument/2006/relationships/table" Target="/xl/tables/table360.xml" Id="rId26"/><Relationship Type="http://schemas.openxmlformats.org/officeDocument/2006/relationships/table" Target="/xl/tables/table361.xml" Id="rId27"/><Relationship Type="http://schemas.openxmlformats.org/officeDocument/2006/relationships/table" Target="/xl/tables/table362.xml" Id="rId28"/><Relationship Type="http://schemas.openxmlformats.org/officeDocument/2006/relationships/table" Target="/xl/tables/table363.xml" Id="rId29"/><Relationship Type="http://schemas.openxmlformats.org/officeDocument/2006/relationships/table" Target="/xl/tables/table364.xml" Id="rId30"/><Relationship Type="http://schemas.openxmlformats.org/officeDocument/2006/relationships/table" Target="/xl/tables/table365.xml" Id="rId31"/><Relationship Type="http://schemas.openxmlformats.org/officeDocument/2006/relationships/table" Target="/xl/tables/table366.xml" Id="rId32"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36.xml" Id="rId1"/><Relationship Type="http://schemas.openxmlformats.org/officeDocument/2006/relationships/table" Target="/xl/tables/table367.xml" Id="rId2"/><Relationship Type="http://schemas.openxmlformats.org/officeDocument/2006/relationships/table" Target="/xl/tables/table368.xml" Id="rId3"/><Relationship Type="http://schemas.openxmlformats.org/officeDocument/2006/relationships/table" Target="/xl/tables/table369.xml" Id="rId4"/><Relationship Type="http://schemas.openxmlformats.org/officeDocument/2006/relationships/table" Target="/xl/tables/table370.xml" Id="rId5"/><Relationship Type="http://schemas.openxmlformats.org/officeDocument/2006/relationships/table" Target="/xl/tables/table371.xml" Id="rId6"/><Relationship Type="http://schemas.openxmlformats.org/officeDocument/2006/relationships/table" Target="/xl/tables/table372.xml" Id="rId7"/><Relationship Type="http://schemas.openxmlformats.org/officeDocument/2006/relationships/table" Target="/xl/tables/table373.xml" Id="rId8"/><Relationship Type="http://schemas.openxmlformats.org/officeDocument/2006/relationships/table" Target="/xl/tables/table374.xml" Id="rId9"/><Relationship Type="http://schemas.openxmlformats.org/officeDocument/2006/relationships/table" Target="/xl/tables/table375.xml" Id="rId10"/><Relationship Type="http://schemas.openxmlformats.org/officeDocument/2006/relationships/table" Target="/xl/tables/table376.xml" Id="rId11"/><Relationship Type="http://schemas.openxmlformats.org/officeDocument/2006/relationships/table" Target="/xl/tables/table377.xml" Id="rId12"/><Relationship Type="http://schemas.openxmlformats.org/officeDocument/2006/relationships/table" Target="/xl/tables/table378.xml" Id="rId13"/><Relationship Type="http://schemas.openxmlformats.org/officeDocument/2006/relationships/table" Target="/xl/tables/table379.xml" Id="rId14"/><Relationship Type="http://schemas.openxmlformats.org/officeDocument/2006/relationships/table" Target="/xl/tables/table380.xml" Id="rId15"/><Relationship Type="http://schemas.openxmlformats.org/officeDocument/2006/relationships/table" Target="/xl/tables/table381.xml" Id="rId16"/><Relationship Type="http://schemas.openxmlformats.org/officeDocument/2006/relationships/table" Target="/xl/tables/table382.xml" Id="rId17"/><Relationship Type="http://schemas.openxmlformats.org/officeDocument/2006/relationships/table" Target="/xl/tables/table383.xml" Id="rId18"/></Relationships>
</file>

<file path=xl/worksheets/_rels/sheet108.xml.rels><Relationships xmlns="http://schemas.openxmlformats.org/package/2006/relationships"><Relationship Type="http://schemas.openxmlformats.org/officeDocument/2006/relationships/table" Target="/xl/tables/table384.xml" Id="rId1"/><Relationship Type="http://schemas.openxmlformats.org/officeDocument/2006/relationships/table" Target="/xl/tables/table385.xml" Id="rId2"/><Relationship Type="http://schemas.openxmlformats.org/officeDocument/2006/relationships/table" Target="/xl/tables/table386.xml" Id="rId3"/><Relationship Type="http://schemas.openxmlformats.org/officeDocument/2006/relationships/table" Target="/xl/tables/table387.xml" Id="rId4"/><Relationship Type="http://schemas.openxmlformats.org/officeDocument/2006/relationships/table" Target="/xl/tables/table388.xml" Id="rId5"/><Relationship Type="http://schemas.openxmlformats.org/officeDocument/2006/relationships/table" Target="/xl/tables/table389.xml" Id="rId6"/><Relationship Type="http://schemas.openxmlformats.org/officeDocument/2006/relationships/table" Target="/xl/tables/table390.xml" Id="rId7"/><Relationship Type="http://schemas.openxmlformats.org/officeDocument/2006/relationships/table" Target="/xl/tables/table391.xml" Id="rId8"/><Relationship Type="http://schemas.openxmlformats.org/officeDocument/2006/relationships/table" Target="/xl/tables/table392.xml" Id="rId9"/><Relationship Type="http://schemas.openxmlformats.org/officeDocument/2006/relationships/table" Target="/xl/tables/table393.xml" Id="rId10"/><Relationship Type="http://schemas.openxmlformats.org/officeDocument/2006/relationships/table" Target="/xl/tables/table394.xml" Id="rId11"/><Relationship Type="http://schemas.openxmlformats.org/officeDocument/2006/relationships/table" Target="/xl/tables/table395.xml" Id="rId12"/><Relationship Type="http://schemas.openxmlformats.org/officeDocument/2006/relationships/table" Target="/xl/tables/table396.xml" Id="rId13"/><Relationship Type="http://schemas.openxmlformats.org/officeDocument/2006/relationships/table" Target="/xl/tables/table397.xml" Id="rId14"/><Relationship Type="http://schemas.openxmlformats.org/officeDocument/2006/relationships/table" Target="/xl/tables/table398.xml" Id="rId15"/><Relationship Type="http://schemas.openxmlformats.org/officeDocument/2006/relationships/table" Target="/xl/tables/table399.xml" Id="rId16"/><Relationship Type="http://schemas.openxmlformats.org/officeDocument/2006/relationships/table" Target="/xl/tables/table400.xml" Id="rId17"/><Relationship Type="http://schemas.openxmlformats.org/officeDocument/2006/relationships/table" Target="/xl/tables/table401.xml" Id="rId18"/><Relationship Type="http://schemas.openxmlformats.org/officeDocument/2006/relationships/table" Target="/xl/tables/table402.xml" Id="rId19"/><Relationship Type="http://schemas.openxmlformats.org/officeDocument/2006/relationships/table" Target="/xl/tables/table403.xml" Id="rId20"/><Relationship Type="http://schemas.openxmlformats.org/officeDocument/2006/relationships/table" Target="/xl/tables/table404.xml" Id="rId21"/><Relationship Type="http://schemas.openxmlformats.org/officeDocument/2006/relationships/table" Target="/xl/tables/table405.xml" Id="rId22"/><Relationship Type="http://schemas.openxmlformats.org/officeDocument/2006/relationships/table" Target="/xl/tables/table406.xml" Id="rId23"/><Relationship Type="http://schemas.openxmlformats.org/officeDocument/2006/relationships/table" Target="/xl/tables/table407.xml" Id="rId24"/><Relationship Type="http://schemas.openxmlformats.org/officeDocument/2006/relationships/table" Target="/xl/tables/table408.xml" Id="rId25"/><Relationship Type="http://schemas.openxmlformats.org/officeDocument/2006/relationships/table" Target="/xl/tables/table409.xml" Id="rId26"/><Relationship Type="http://schemas.openxmlformats.org/officeDocument/2006/relationships/table" Target="/xl/tables/table410.xml" Id="rId27"/><Relationship Type="http://schemas.openxmlformats.org/officeDocument/2006/relationships/table" Target="/xl/tables/table411.xml" Id="rId28"/><Relationship Type="http://schemas.openxmlformats.org/officeDocument/2006/relationships/table" Target="/xl/tables/table412.xml" Id="rId29"/><Relationship Type="http://schemas.openxmlformats.org/officeDocument/2006/relationships/table" Target="/xl/tables/table413.xml" Id="rId30"/><Relationship Type="http://schemas.openxmlformats.org/officeDocument/2006/relationships/table" Target="/xl/tables/table414.xml" Id="rId31"/><Relationship Type="http://schemas.openxmlformats.org/officeDocument/2006/relationships/table" Target="/xl/tables/table415.xml" Id="rId32"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37.xml" Id="rId1"/><Relationship Type="http://schemas.openxmlformats.org/officeDocument/2006/relationships/table" Target="/xl/tables/table416.xml" Id="rId2"/><Relationship Type="http://schemas.openxmlformats.org/officeDocument/2006/relationships/table" Target="/xl/tables/table417.xml" Id="rId3"/><Relationship Type="http://schemas.openxmlformats.org/officeDocument/2006/relationships/table" Target="/xl/tables/table418.xml" Id="rId4"/><Relationship Type="http://schemas.openxmlformats.org/officeDocument/2006/relationships/table" Target="/xl/tables/table419.xml" Id="rId5"/><Relationship Type="http://schemas.openxmlformats.org/officeDocument/2006/relationships/table" Target="/xl/tables/table420.xml" Id="rId6"/><Relationship Type="http://schemas.openxmlformats.org/officeDocument/2006/relationships/table" Target="/xl/tables/table421.xml" Id="rId7"/><Relationship Type="http://schemas.openxmlformats.org/officeDocument/2006/relationships/table" Target="/xl/tables/table422.xml" Id="rId8"/><Relationship Type="http://schemas.openxmlformats.org/officeDocument/2006/relationships/table" Target="/xl/tables/table423.xml" Id="rId9"/><Relationship Type="http://schemas.openxmlformats.org/officeDocument/2006/relationships/table" Target="/xl/tables/table424.xml" Id="rId10"/><Relationship Type="http://schemas.openxmlformats.org/officeDocument/2006/relationships/table" Target="/xl/tables/table425.xml" Id="rId11"/><Relationship Type="http://schemas.openxmlformats.org/officeDocument/2006/relationships/table" Target="/xl/tables/table426.xml" Id="rId12"/><Relationship Type="http://schemas.openxmlformats.org/officeDocument/2006/relationships/table" Target="/xl/tables/table427.xml" Id="rId13"/><Relationship Type="http://schemas.openxmlformats.org/officeDocument/2006/relationships/table" Target="/xl/tables/table428.xml" Id="rId14"/><Relationship Type="http://schemas.openxmlformats.org/officeDocument/2006/relationships/table" Target="/xl/tables/table429.xml" Id="rId15"/><Relationship Type="http://schemas.openxmlformats.org/officeDocument/2006/relationships/table" Target="/xl/tables/table430.xml" Id="rId16"/><Relationship Type="http://schemas.openxmlformats.org/officeDocument/2006/relationships/table" Target="/xl/tables/table431.xml" Id="rId17"/><Relationship Type="http://schemas.openxmlformats.org/officeDocument/2006/relationships/table" Target="/xl/tables/table432.xml" Id="rId18"/></Relationships>
</file>

<file path=xl/worksheets/sheet1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307"/>
  <sheetViews>
    <sheetView zoomScale="70" zoomScaleNormal="70" workbookViewId="0">
      <selection activeCell="E234" sqref="E234"/>
    </sheetView>
  </sheetViews>
  <sheetFormatPr baseColWidth="10" defaultColWidth="11.5703125" defaultRowHeight="12.75"/>
  <cols>
    <col width="13.28515625" customWidth="1" style="223" min="7" max="8"/>
    <col width="11.5703125" customWidth="1" style="224" min="9" max="9"/>
    <col width="11.5703125" customWidth="1" style="347" min="10" max="10"/>
    <col width="16.42578125" bestFit="1" customWidth="1" style="347" min="11" max="11"/>
    <col width="11.5703125" customWidth="1" style="347" min="12" max="16384"/>
  </cols>
  <sheetData>
    <row r="1">
      <c r="A1" s="348" t="inlineStr">
        <is>
          <t>Compte</t>
        </is>
      </c>
      <c r="B1" s="348" t="inlineStr">
        <is>
          <t>Libellé</t>
        </is>
      </c>
      <c r="C1" s="348" t="inlineStr">
        <is>
          <t>Solde du 01/01/2025 au 31/01/2025 : Débit</t>
        </is>
      </c>
      <c r="D1" s="348" t="inlineStr">
        <is>
          <t>Solde du 01/01/2025 au 31/01/2025 : Crédit</t>
        </is>
      </c>
      <c r="E1" s="348" t="inlineStr">
        <is>
          <t>Solde du 01/01/2025 au 31/01/2025 : Débit</t>
        </is>
      </c>
      <c r="F1" s="348" t="inlineStr">
        <is>
          <t>Solde du 01/01/2025 au 31/01/2025 : Crédit</t>
        </is>
      </c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>
      <c r="A2" s="348" t="inlineStr">
        <is>
          <t>701001</t>
        </is>
      </c>
      <c r="B2" s="348" t="inlineStr">
        <is>
          <t>Ventes non alimentaires</t>
        </is>
      </c>
      <c r="C2" s="348" t="n">
        <v>9953.01</v>
      </c>
      <c r="D2" s="348" t="inlineStr"/>
      <c r="E2" s="348" t="n">
        <v>9953.01</v>
      </c>
      <c r="F2" s="348" t="inlineStr"/>
      <c r="G2" s="220">
        <f>SUM(C2)-SUM(D2)</f>
        <v/>
      </c>
      <c r="H2" s="220">
        <f>SUM(E2)-SUM(F2)</f>
        <v/>
      </c>
      <c r="I2" s="221">
        <f>IF(A2="Total",VLOOKUP(B2,CORRESPONDANCE[#All],2,FALSE),I3)</f>
        <v/>
      </c>
      <c r="J2" s="350">
        <f>LEFT(A2,1)</f>
        <v/>
      </c>
      <c r="K2" s="347">
        <f>"GLR5"&amp;" - "&amp;A2</f>
        <v/>
      </c>
      <c r="L2" s="347">
        <f>+VLOOKUP(K2,TL[],4,FALSE)</f>
        <v/>
      </c>
    </row>
    <row r="3">
      <c r="A3" s="348" t="inlineStr">
        <is>
          <t>701011</t>
        </is>
      </c>
      <c r="B3" s="348" t="inlineStr">
        <is>
          <t>Ventes cine 5.50 %</t>
        </is>
      </c>
      <c r="C3" s="348" t="inlineStr"/>
      <c r="D3" s="348" t="n">
        <v>26.53</v>
      </c>
      <c r="E3" s="348" t="inlineStr"/>
      <c r="F3" s="348" t="n">
        <v>26.53</v>
      </c>
      <c r="G3" s="220">
        <f>SUM(C3)-SUM(D3)</f>
        <v/>
      </c>
      <c r="H3" s="220">
        <f>SUM(E3)-SUM(F3)</f>
        <v/>
      </c>
      <c r="I3" s="221">
        <f>IF(A3="Total",VLOOKUP(B3,CORRESPONDANCE[#All],2,FALSE),I4)</f>
        <v/>
      </c>
      <c r="J3" s="350">
        <f>LEFT(A3,1)</f>
        <v/>
      </c>
      <c r="K3" s="347">
        <f>"GLR5"&amp;" - "&amp;A3</f>
        <v/>
      </c>
      <c r="L3" s="347">
        <f>+VLOOKUP(K3,TL[],4,FALSE)</f>
        <v/>
      </c>
    </row>
    <row r="4">
      <c r="A4" s="348" t="inlineStr">
        <is>
          <t>701015</t>
        </is>
      </c>
      <c r="B4" s="348" t="inlineStr">
        <is>
          <t>Ventes sur place 10 %</t>
        </is>
      </c>
      <c r="C4" s="348" t="inlineStr"/>
      <c r="D4" s="348" t="n">
        <v>423645.67</v>
      </c>
      <c r="E4" s="348" t="inlineStr"/>
      <c r="F4" s="348" t="n">
        <v>423645.67</v>
      </c>
      <c r="G4" s="220">
        <f>SUM(C4)-SUM(D4)</f>
        <v/>
      </c>
      <c r="H4" s="220">
        <f>SUM(E4)-SUM(F4)</f>
        <v/>
      </c>
      <c r="I4" s="221">
        <f>IF(A4="Total",VLOOKUP(B4,CORRESPONDANCE[#All],2,FALSE),I5)</f>
        <v/>
      </c>
      <c r="J4" s="350">
        <f>LEFT(A4,1)</f>
        <v/>
      </c>
      <c r="K4" s="347">
        <f>"GLR5"&amp;" - "&amp;A4</f>
        <v/>
      </c>
      <c r="L4" s="347">
        <f>+VLOOKUP(K4,TL[],4,FALSE)</f>
        <v/>
      </c>
    </row>
    <row r="5">
      <c r="A5" s="348" t="inlineStr">
        <is>
          <t>701020</t>
        </is>
      </c>
      <c r="B5" s="348" t="inlineStr">
        <is>
          <t>Ventes sur place 20%</t>
        </is>
      </c>
      <c r="C5" s="348" t="inlineStr"/>
      <c r="D5" s="348" t="n">
        <v>443.51</v>
      </c>
      <c r="E5" s="348" t="inlineStr"/>
      <c r="F5" s="348" t="n">
        <v>443.51</v>
      </c>
      <c r="G5" s="220">
        <f>SUM(C5)-SUM(D5)</f>
        <v/>
      </c>
      <c r="H5" s="220">
        <f>SUM(E5)-SUM(F5)</f>
        <v/>
      </c>
      <c r="I5" s="221">
        <f>IF(A5="Total",VLOOKUP(B5,CORRESPONDANCE[#All],2,FALSE),I6)</f>
        <v/>
      </c>
      <c r="J5" s="350">
        <f>LEFT(A5,1)</f>
        <v/>
      </c>
      <c r="K5" s="347">
        <f>"GLR5"&amp;" - "&amp;A5</f>
        <v/>
      </c>
      <c r="L5" s="347">
        <f>+VLOOKUP(K5,TL[],4,FALSE)</f>
        <v/>
      </c>
    </row>
    <row r="6">
      <c r="A6" s="348" t="inlineStr">
        <is>
          <t>701100</t>
        </is>
      </c>
      <c r="B6" s="348" t="inlineStr">
        <is>
          <t>Ventes 5.50%</t>
        </is>
      </c>
      <c r="C6" s="348" t="inlineStr"/>
      <c r="D6" s="348" t="n">
        <v>1692.41</v>
      </c>
      <c r="E6" s="348" t="inlineStr"/>
      <c r="F6" s="348" t="n">
        <v>1692.41</v>
      </c>
      <c r="G6" s="220">
        <f>SUM(C6)-SUM(D6)</f>
        <v/>
      </c>
      <c r="H6" s="220">
        <f>SUM(E6)-SUM(F6)</f>
        <v/>
      </c>
      <c r="I6" s="221">
        <f>IF(A6="Total",VLOOKUP(B6,CORRESPONDANCE[#All],2,FALSE),I7)</f>
        <v/>
      </c>
      <c r="J6" s="350">
        <f>LEFT(A6,1)</f>
        <v/>
      </c>
      <c r="K6" s="347">
        <f>"GLR5"&amp;" - "&amp;A6</f>
        <v/>
      </c>
      <c r="L6" s="347">
        <f>+VLOOKUP(K6,TL[],4,FALSE)</f>
        <v/>
      </c>
    </row>
    <row r="7">
      <c r="A7" s="348" t="inlineStr">
        <is>
          <t>Total</t>
        </is>
      </c>
      <c r="B7" s="348" t="inlineStr">
        <is>
          <t>Table n°2  -  Ventes produits alimentaires</t>
        </is>
      </c>
      <c r="C7" s="348" t="inlineStr"/>
      <c r="D7" s="348" t="n">
        <v>415855.11</v>
      </c>
      <c r="E7" s="348" t="inlineStr"/>
      <c r="F7" s="348" t="n">
        <v>415855.11</v>
      </c>
      <c r="G7" s="220">
        <f>SUM(C7)-SUM(D7)</f>
        <v/>
      </c>
      <c r="H7" s="220">
        <f>SUM(E7)-SUM(F7)</f>
        <v/>
      </c>
      <c r="I7" s="221">
        <f>IF(A7="Total",VLOOKUP(B7,CORRESPONDANCE[#All],2,FALSE),I8)</f>
        <v/>
      </c>
      <c r="J7" s="350">
        <f>LEFT(A7,1)</f>
        <v/>
      </c>
      <c r="K7" s="347">
        <f>"GLR5"&amp;" - "&amp;A7</f>
        <v/>
      </c>
      <c r="L7" s="347">
        <f>+VLOOKUP(K7,TL[],4,FALSE)</f>
        <v/>
      </c>
    </row>
    <row r="8">
      <c r="A8" s="348" t="inlineStr">
        <is>
          <t>601100</t>
        </is>
      </c>
      <c r="B8" s="348" t="inlineStr">
        <is>
          <t>Achats alimentaires</t>
        </is>
      </c>
      <c r="C8" s="348" t="n">
        <v>91765.44</v>
      </c>
      <c r="D8" s="348" t="inlineStr"/>
      <c r="E8" s="348" t="n">
        <v>91765.44</v>
      </c>
      <c r="F8" s="348" t="inlineStr"/>
      <c r="G8" s="220">
        <f>SUM(C8)-SUM(D8)</f>
        <v/>
      </c>
      <c r="H8" s="220">
        <f>SUM(E8)-SUM(F8)</f>
        <v/>
      </c>
      <c r="I8" s="221">
        <f>IF(A8="Total",VLOOKUP(B8,CORRESPONDANCE[#All],2,FALSE),I9)</f>
        <v/>
      </c>
      <c r="J8" s="350">
        <f>LEFT(A8,1)</f>
        <v/>
      </c>
      <c r="K8" s="347">
        <f>"GLR5"&amp;" - "&amp;A8</f>
        <v/>
      </c>
      <c r="L8" s="347">
        <f>+VLOOKUP(K8,TL[],4,FALSE)</f>
        <v/>
      </c>
    </row>
    <row r="9">
      <c r="A9" s="348" t="inlineStr">
        <is>
          <t>603100</t>
        </is>
      </c>
      <c r="B9" s="348" t="inlineStr">
        <is>
          <t>Variation stock food</t>
        </is>
      </c>
      <c r="C9" s="348" t="n">
        <v>3246.25</v>
      </c>
      <c r="D9" s="348" t="inlineStr"/>
      <c r="E9" s="348" t="n">
        <v>3246.25</v>
      </c>
      <c r="F9" s="348" t="inlineStr"/>
      <c r="G9" s="220">
        <f>SUM(C9)-SUM(D9)</f>
        <v/>
      </c>
      <c r="H9" s="220">
        <f>SUM(E9)-SUM(F9)</f>
        <v/>
      </c>
      <c r="I9" s="221">
        <f>IF(A9="Total",VLOOKUP(B9,CORRESPONDANCE[#All],2,FALSE),I10)</f>
        <v/>
      </c>
      <c r="J9" s="350">
        <f>LEFT(A9,1)</f>
        <v/>
      </c>
      <c r="K9" s="347">
        <f>"GLR5"&amp;" - "&amp;A9</f>
        <v/>
      </c>
      <c r="L9" s="347">
        <f>+VLOOKUP(K9,TL[],4,FALSE)</f>
        <v/>
      </c>
    </row>
    <row r="10">
      <c r="A10" s="348" t="inlineStr">
        <is>
          <t>637400</t>
        </is>
      </c>
      <c r="B10" s="348" t="inlineStr">
        <is>
          <t>Taxe boissons sucrées</t>
        </is>
      </c>
      <c r="C10" s="348" t="n">
        <v>1423</v>
      </c>
      <c r="D10" s="348" t="inlineStr"/>
      <c r="E10" s="348" t="n">
        <v>1423</v>
      </c>
      <c r="F10" s="348" t="inlineStr"/>
      <c r="G10" s="220">
        <f>SUM(C10)-SUM(D10)</f>
        <v/>
      </c>
      <c r="H10" s="220">
        <f>SUM(E10)-SUM(F10)</f>
        <v/>
      </c>
      <c r="I10" s="221">
        <f>IF(A10="Total",VLOOKUP(B10,CORRESPONDANCE[#All],2,FALSE),I11)</f>
        <v/>
      </c>
      <c r="J10" s="350">
        <f>LEFT(A10,1)</f>
        <v/>
      </c>
      <c r="K10" s="347">
        <f>"GLR5"&amp;" - "&amp;A10</f>
        <v/>
      </c>
      <c r="L10" s="347">
        <f>+VLOOKUP(K10,TL[],4,FALSE)</f>
        <v/>
      </c>
    </row>
    <row r="11">
      <c r="A11" s="348" t="inlineStr">
        <is>
          <t>708000</t>
        </is>
      </c>
      <c r="B11" s="348" t="inlineStr">
        <is>
          <t>Remise martin brower 20%</t>
        </is>
      </c>
      <c r="C11" s="348" t="inlineStr"/>
      <c r="D11" s="348" t="n">
        <v>2487.46</v>
      </c>
      <c r="E11" s="348" t="inlineStr"/>
      <c r="F11" s="348" t="n">
        <v>2487.46</v>
      </c>
      <c r="G11" s="220">
        <f>SUM(C11)-SUM(D11)</f>
        <v/>
      </c>
      <c r="H11" s="220">
        <f>SUM(E11)-SUM(F11)</f>
        <v/>
      </c>
      <c r="I11" s="221">
        <f>IF(A11="Total",VLOOKUP(B11,CORRESPONDANCE[#All],2,FALSE),I12)</f>
        <v/>
      </c>
      <c r="J11" s="350">
        <f>LEFT(A11,1)</f>
        <v/>
      </c>
      <c r="K11" s="347">
        <f>"GLR5"&amp;" - "&amp;A11</f>
        <v/>
      </c>
      <c r="L11" s="347">
        <f>+VLOOKUP(K11,TL[],4,FALSE)</f>
        <v/>
      </c>
    </row>
    <row r="12">
      <c r="A12" s="348" t="inlineStr">
        <is>
          <t>708855</t>
        </is>
      </c>
      <c r="B12" s="348" t="inlineStr">
        <is>
          <t>Refacturation nourriture</t>
        </is>
      </c>
      <c r="C12" s="348" t="inlineStr"/>
      <c r="D12" s="348" t="n">
        <v>21.28</v>
      </c>
      <c r="E12" s="348" t="inlineStr"/>
      <c r="F12" s="348" t="n">
        <v>21.28</v>
      </c>
      <c r="G12" s="220">
        <f>SUM(C12)-SUM(D12)</f>
        <v/>
      </c>
      <c r="H12" s="220">
        <f>SUM(E12)-SUM(F12)</f>
        <v/>
      </c>
      <c r="I12" s="221">
        <f>IF(A12="Total",VLOOKUP(B12,CORRESPONDANCE[#All],2,FALSE),I13)</f>
        <v/>
      </c>
      <c r="J12" s="350">
        <f>LEFT(A12,1)</f>
        <v/>
      </c>
      <c r="K12" s="347">
        <f>"GLR5"&amp;" - "&amp;A12</f>
        <v/>
      </c>
      <c r="L12" s="347">
        <f>+VLOOKUP(K12,TL[],4,FALSE)</f>
        <v/>
      </c>
    </row>
    <row r="13">
      <c r="A13" s="348" t="inlineStr">
        <is>
          <t>Total</t>
        </is>
      </c>
      <c r="B13" s="348" t="inlineStr">
        <is>
          <t>Table n°2  -  Coût nourriture : achat nourriture</t>
        </is>
      </c>
      <c r="C13" s="348" t="n">
        <v>93925.95</v>
      </c>
      <c r="D13" s="348" t="inlineStr"/>
      <c r="E13" s="348" t="n">
        <v>93925.95</v>
      </c>
      <c r="F13" s="348" t="inlineStr"/>
      <c r="G13" s="220">
        <f>SUM(C13)-SUM(D13)</f>
        <v/>
      </c>
      <c r="H13" s="220">
        <f>SUM(E13)-SUM(F13)</f>
        <v/>
      </c>
      <c r="I13" s="221">
        <f>IF(A13="Total",VLOOKUP(B13,CORRESPONDANCE[#All],2,FALSE),I14)</f>
        <v/>
      </c>
      <c r="J13" s="350">
        <f>LEFT(A13,1)</f>
        <v/>
      </c>
      <c r="K13" s="347">
        <f>"GLR5"&amp;" - "&amp;A13</f>
        <v/>
      </c>
      <c r="L13" s="347">
        <f>+VLOOKUP(K13,TL[],4,FALSE)</f>
        <v/>
      </c>
    </row>
    <row r="14">
      <c r="A14" s="348" t="inlineStr">
        <is>
          <t>601103</t>
        </is>
      </c>
      <c r="B14" s="348" t="inlineStr">
        <is>
          <t>Repas employes</t>
        </is>
      </c>
      <c r="C14" s="348" t="n">
        <v>1729.73</v>
      </c>
      <c r="D14" s="348" t="inlineStr"/>
      <c r="E14" s="348" t="n">
        <v>1729.73</v>
      </c>
      <c r="F14" s="348" t="inlineStr"/>
      <c r="G14" s="220">
        <f>SUM(C14)-SUM(D14)</f>
        <v/>
      </c>
      <c r="H14" s="220">
        <f>SUM(E14)-SUM(F14)</f>
        <v/>
      </c>
      <c r="I14" s="221">
        <f>IF(A14="Total",VLOOKUP(B14,CORRESPONDANCE[#All],2,FALSE),I15)</f>
        <v/>
      </c>
      <c r="J14" s="350">
        <f>LEFT(A14,1)</f>
        <v/>
      </c>
      <c r="K14" s="347">
        <f>"GLR5"&amp;" - "&amp;A14</f>
        <v/>
      </c>
      <c r="L14" s="347">
        <f>+VLOOKUP(K14,TL[],4,FALSE)</f>
        <v/>
      </c>
    </row>
    <row r="15">
      <c r="A15" s="348" t="inlineStr">
        <is>
          <t>Total</t>
        </is>
      </c>
      <c r="B15" s="348" t="inlineStr">
        <is>
          <t>Table n°2  -  Repas employés</t>
        </is>
      </c>
      <c r="C15" s="348" t="n">
        <v>1729.73</v>
      </c>
      <c r="D15" s="348" t="inlineStr"/>
      <c r="E15" s="348" t="n">
        <v>1729.73</v>
      </c>
      <c r="F15" s="348" t="inlineStr"/>
      <c r="G15" s="220">
        <f>SUM(C15)-SUM(D15)</f>
        <v/>
      </c>
      <c r="H15" s="220">
        <f>SUM(E15)-SUM(F15)</f>
        <v/>
      </c>
      <c r="I15" s="221">
        <f>IF(A15="Total",VLOOKUP(B15,CORRESPONDANCE[#All],2,FALSE),I16)</f>
        <v/>
      </c>
      <c r="J15" s="350">
        <f>LEFT(A15,1)</f>
        <v/>
      </c>
      <c r="K15" s="347">
        <f>"GLR5"&amp;" - "&amp;A15</f>
        <v/>
      </c>
      <c r="L15" s="347">
        <f>+VLOOKUP(K15,TL[],4,FALSE)</f>
        <v/>
      </c>
    </row>
    <row r="16">
      <c r="A16" s="348" t="inlineStr">
        <is>
          <t>601102</t>
        </is>
      </c>
      <c r="B16" s="348" t="inlineStr">
        <is>
          <t>Dechets</t>
        </is>
      </c>
      <c r="C16" s="348" t="n">
        <v>2065.16</v>
      </c>
      <c r="D16" s="348" t="inlineStr"/>
      <c r="E16" s="348" t="n">
        <v>2065.16</v>
      </c>
      <c r="F16" s="348" t="inlineStr"/>
      <c r="G16" s="220">
        <f>SUM(C16)-SUM(D16)</f>
        <v/>
      </c>
      <c r="H16" s="220">
        <f>SUM(E16)-SUM(F16)</f>
        <v/>
      </c>
      <c r="I16" s="221">
        <f>IF(A16="Total",VLOOKUP(B16,CORRESPONDANCE[#All],2,FALSE),I17)</f>
        <v/>
      </c>
      <c r="J16" s="350">
        <f>LEFT(A16,1)</f>
        <v/>
      </c>
      <c r="K16" s="347">
        <f>"GLR5"&amp;" - "&amp;A16</f>
        <v/>
      </c>
      <c r="L16" s="347">
        <f>+VLOOKUP(K16,TL[],4,FALSE)</f>
        <v/>
      </c>
    </row>
    <row r="17">
      <c r="A17" s="348" t="inlineStr">
        <is>
          <t>Total</t>
        </is>
      </c>
      <c r="B17" s="348" t="inlineStr">
        <is>
          <t>Table n°2  -  Déchets Pertes</t>
        </is>
      </c>
      <c r="C17" s="348" t="n">
        <v>2065.16</v>
      </c>
      <c r="D17" s="348" t="inlineStr"/>
      <c r="E17" s="348" t="n">
        <v>2065.16</v>
      </c>
      <c r="F17" s="348" t="inlineStr"/>
      <c r="G17" s="220">
        <f>SUM(C17)-SUM(D17)</f>
        <v/>
      </c>
      <c r="H17" s="220">
        <f>SUM(E17)-SUM(F17)</f>
        <v/>
      </c>
      <c r="I17" s="221">
        <f>IF(A17="Total",VLOOKUP(B17,CORRESPONDANCE[#All],2,FALSE),I18)</f>
        <v/>
      </c>
      <c r="J17" s="350">
        <f>LEFT(A17,1)</f>
        <v/>
      </c>
      <c r="K17" s="347">
        <f>"GLR5"&amp;" - "&amp;A17</f>
        <v/>
      </c>
      <c r="L17" s="347">
        <f>+VLOOKUP(K17,TL[],4,FALSE)</f>
        <v/>
      </c>
    </row>
    <row r="18">
      <c r="A18" s="348" t="inlineStr">
        <is>
          <t>602201</t>
        </is>
      </c>
      <c r="B18" s="348" t="inlineStr">
        <is>
          <t>Emballages</t>
        </is>
      </c>
      <c r="C18" s="348" t="n">
        <v>10554.69</v>
      </c>
      <c r="D18" s="348" t="inlineStr"/>
      <c r="E18" s="348" t="n">
        <v>10554.69</v>
      </c>
      <c r="F18" s="348" t="inlineStr"/>
      <c r="G18" s="220">
        <f>SUM(C18)-SUM(D18)</f>
        <v/>
      </c>
      <c r="H18" s="220">
        <f>SUM(E18)-SUM(F18)</f>
        <v/>
      </c>
      <c r="I18" s="221">
        <f>IF(A18="Total",VLOOKUP(B18,CORRESPONDANCE[#All],2,FALSE),I19)</f>
        <v/>
      </c>
      <c r="J18" s="350">
        <f>LEFT(A18,1)</f>
        <v/>
      </c>
      <c r="K18" s="347">
        <f>"GLR5"&amp;" - "&amp;A18</f>
        <v/>
      </c>
      <c r="L18" s="347">
        <f>+VLOOKUP(K18,TL[],4,FALSE)</f>
        <v/>
      </c>
    </row>
    <row r="19">
      <c r="A19" s="348" t="inlineStr">
        <is>
          <t>602610</t>
        </is>
      </c>
      <c r="B19" s="348" t="inlineStr">
        <is>
          <t>Emballages perdus</t>
        </is>
      </c>
      <c r="C19" s="348" t="n">
        <v>109.95</v>
      </c>
      <c r="D19" s="348" t="inlineStr"/>
      <c r="E19" s="348" t="n">
        <v>109.95</v>
      </c>
      <c r="F19" s="348" t="inlineStr"/>
      <c r="G19" s="220">
        <f>SUM(C19)-SUM(D19)</f>
        <v/>
      </c>
      <c r="H19" s="220">
        <f>SUM(E19)-SUM(F19)</f>
        <v/>
      </c>
      <c r="I19" s="221">
        <f>IF(A19="Total",VLOOKUP(B19,CORRESPONDANCE[#All],2,FALSE),I20)</f>
        <v/>
      </c>
      <c r="J19" s="350">
        <f>LEFT(A19,1)</f>
        <v/>
      </c>
      <c r="K19" s="347">
        <f>"GLR5"&amp;" - "&amp;A19</f>
        <v/>
      </c>
      <c r="L19" s="347">
        <f>+VLOOKUP(K19,TL[],4,FALSE)</f>
        <v/>
      </c>
    </row>
    <row r="20">
      <c r="A20" s="348" t="inlineStr">
        <is>
          <t>603200</t>
        </is>
      </c>
      <c r="B20" s="348" t="inlineStr">
        <is>
          <t>Variation stock paper</t>
        </is>
      </c>
      <c r="C20" s="348" t="inlineStr"/>
      <c r="D20" s="348" t="n">
        <v>319.55</v>
      </c>
      <c r="E20" s="348" t="inlineStr"/>
      <c r="F20" s="348" t="n">
        <v>319.55</v>
      </c>
      <c r="G20" s="220">
        <f>SUM(C20)-SUM(D20)</f>
        <v/>
      </c>
      <c r="H20" s="220">
        <f>SUM(E20)-SUM(F20)</f>
        <v/>
      </c>
      <c r="I20" s="221">
        <f>IF(A20="Total",VLOOKUP(B20,CORRESPONDANCE[#All],2,FALSE),I21)</f>
        <v/>
      </c>
      <c r="J20" s="350">
        <f>LEFT(A20,1)</f>
        <v/>
      </c>
      <c r="K20" s="347">
        <f>"GLR5"&amp;" - "&amp;A20</f>
        <v/>
      </c>
      <c r="L20" s="347">
        <f>+VLOOKUP(K20,TL[],4,FALSE)</f>
        <v/>
      </c>
    </row>
    <row r="21">
      <c r="A21" s="348" t="inlineStr">
        <is>
          <t>Total</t>
        </is>
      </c>
      <c r="B21" s="348" t="inlineStr">
        <is>
          <t>Table n°2  -  Coût emballages</t>
        </is>
      </c>
      <c r="C21" s="348" t="n">
        <v>10345.09</v>
      </c>
      <c r="D21" s="348" t="inlineStr"/>
      <c r="E21" s="348" t="n">
        <v>10345.09</v>
      </c>
      <c r="F21" s="348" t="inlineStr"/>
      <c r="G21" s="220">
        <f>SUM(C21)-SUM(D21)</f>
        <v/>
      </c>
      <c r="H21" s="220">
        <f>SUM(E21)-SUM(F21)</f>
        <v/>
      </c>
      <c r="I21" s="221">
        <f>IF(A21="Total",VLOOKUP(B21,CORRESPONDANCE[#All],2,FALSE),I22)</f>
        <v/>
      </c>
      <c r="J21" s="350">
        <f>LEFT(A21,1)</f>
        <v/>
      </c>
      <c r="K21" s="347">
        <f>"GLR5"&amp;" - "&amp;A21</f>
        <v/>
      </c>
      <c r="L21" s="347">
        <f>+VLOOKUP(K21,TL[],4,FALSE)</f>
        <v/>
      </c>
    </row>
    <row r="22">
      <c r="A22" s="348" t="inlineStr">
        <is>
          <t>602612</t>
        </is>
      </c>
      <c r="B22" s="348" t="inlineStr">
        <is>
          <t>Vaisselle</t>
        </is>
      </c>
      <c r="C22" s="348" t="n">
        <v>633.09</v>
      </c>
      <c r="D22" s="348" t="inlineStr"/>
      <c r="E22" s="348" t="n">
        <v>633.09</v>
      </c>
      <c r="F22" s="348" t="inlineStr"/>
      <c r="G22" s="220">
        <f>SUM(C22)-SUM(D22)</f>
        <v/>
      </c>
      <c r="H22" s="220">
        <f>SUM(E22)-SUM(F22)</f>
        <v/>
      </c>
      <c r="I22" s="221">
        <f>IF(A22="Total",VLOOKUP(B22,CORRESPONDANCE[#All],2,FALSE),I23)</f>
        <v/>
      </c>
      <c r="J22" s="350">
        <f>LEFT(A22,1)</f>
        <v/>
      </c>
      <c r="K22" s="347">
        <f>"GLR5"&amp;" - "&amp;A22</f>
        <v/>
      </c>
      <c r="L22" s="347">
        <f>+VLOOKUP(K22,TL[],4,FALSE)</f>
        <v/>
      </c>
    </row>
    <row r="23">
      <c r="A23" s="348" t="inlineStr">
        <is>
          <t>603211</t>
        </is>
      </c>
      <c r="B23" s="348" t="inlineStr">
        <is>
          <t>Variation stock vaisselle</t>
        </is>
      </c>
      <c r="C23" s="348" t="n">
        <v>1615.69</v>
      </c>
      <c r="D23" s="348" t="inlineStr"/>
      <c r="E23" s="348" t="n">
        <v>1615.69</v>
      </c>
      <c r="F23" s="348" t="inlineStr"/>
      <c r="G23" s="220">
        <f>SUM(C23)-SUM(D23)</f>
        <v/>
      </c>
      <c r="H23" s="220">
        <f>SUM(E23)-SUM(F23)</f>
        <v/>
      </c>
      <c r="I23" s="221">
        <f>IF(A23="Total",VLOOKUP(B23,CORRESPONDANCE[#All],2,FALSE),I24)</f>
        <v/>
      </c>
      <c r="J23" s="350">
        <f>LEFT(A23,1)</f>
        <v/>
      </c>
      <c r="K23" s="347">
        <f>"GLR5"&amp;" - "&amp;A23</f>
        <v/>
      </c>
      <c r="L23" s="347">
        <f>+VLOOKUP(K23,TL[],4,FALSE)</f>
        <v/>
      </c>
    </row>
    <row r="24">
      <c r="A24" s="348" t="inlineStr">
        <is>
          <t>Total</t>
        </is>
      </c>
      <c r="B24" s="348" t="inlineStr">
        <is>
          <t>Table n°2  -  Vaisselle réutilisable</t>
        </is>
      </c>
      <c r="C24" s="348" t="n">
        <v>2248.78</v>
      </c>
      <c r="D24" s="348" t="inlineStr"/>
      <c r="E24" s="348" t="n">
        <v>2248.78</v>
      </c>
      <c r="F24" s="348" t="inlineStr"/>
      <c r="G24" s="220">
        <f>SUM(C24)-SUM(D24)</f>
        <v/>
      </c>
      <c r="H24" s="220">
        <f>SUM(E24)-SUM(F24)</f>
        <v/>
      </c>
      <c r="I24" s="221">
        <f>IF(A24="Total",VLOOKUP(B24,CORRESPONDANCE[#All],2,FALSE),I25)</f>
        <v/>
      </c>
      <c r="J24" s="350">
        <f>LEFT(A24,1)</f>
        <v/>
      </c>
      <c r="K24" s="347">
        <f>"GLR5"&amp;" - "&amp;A24</f>
        <v/>
      </c>
      <c r="L24" s="347">
        <f>+VLOOKUP(K24,TL[],4,FALSE)</f>
        <v/>
      </c>
    </row>
    <row r="25">
      <c r="A25" s="348" t="inlineStr">
        <is>
          <t>621403</t>
        </is>
      </c>
      <c r="B25" s="348" t="inlineStr">
        <is>
          <t>Pret personnel equipiers</t>
        </is>
      </c>
      <c r="C25" s="348" t="n">
        <v>2691.5</v>
      </c>
      <c r="D25" s="348" t="inlineStr"/>
      <c r="E25" s="348" t="n">
        <v>2691.5</v>
      </c>
      <c r="F25" s="348" t="inlineStr"/>
      <c r="G25" s="220">
        <f>SUM(C25)-SUM(D25)</f>
        <v/>
      </c>
      <c r="H25" s="220">
        <f>SUM(E25)-SUM(F25)</f>
        <v/>
      </c>
      <c r="I25" s="221">
        <f>IF(A25="Total",VLOOKUP(B25,CORRESPONDANCE[#All],2,FALSE),I26)</f>
        <v/>
      </c>
      <c r="J25" s="350">
        <f>LEFT(A25,1)</f>
        <v/>
      </c>
      <c r="K25" s="347">
        <f>"GLR5"&amp;" - "&amp;A25</f>
        <v/>
      </c>
      <c r="L25" s="347">
        <f>+VLOOKUP(K25,TL[],4,FALSE)</f>
        <v/>
      </c>
    </row>
    <row r="26">
      <c r="A26" s="348" t="inlineStr">
        <is>
          <t>641030</t>
        </is>
      </c>
      <c r="B26" s="348" t="inlineStr">
        <is>
          <t>Remunerations equipiers</t>
        </is>
      </c>
      <c r="C26" s="348" t="n">
        <v>61321.2</v>
      </c>
      <c r="D26" s="348" t="inlineStr"/>
      <c r="E26" s="348" t="n">
        <v>61321.2</v>
      </c>
      <c r="F26" s="348" t="inlineStr"/>
      <c r="G26" s="220">
        <f>SUM(C26)-SUM(D26)</f>
        <v/>
      </c>
      <c r="H26" s="220">
        <f>SUM(E26)-SUM(F26)</f>
        <v/>
      </c>
      <c r="I26" s="221">
        <f>IF(A26="Total",VLOOKUP(B26,CORRESPONDANCE[#All],2,FALSE),I27)</f>
        <v/>
      </c>
      <c r="J26" s="350">
        <f>LEFT(A26,1)</f>
        <v/>
      </c>
      <c r="K26" s="347">
        <f>"GLR5"&amp;" - "&amp;A26</f>
        <v/>
      </c>
      <c r="L26" s="347">
        <f>+VLOOKUP(K26,TL[],4,FALSE)</f>
        <v/>
      </c>
    </row>
    <row r="27">
      <c r="A27" s="348" t="inlineStr">
        <is>
          <t>641063</t>
        </is>
      </c>
      <c r="B27" s="348" t="inlineStr">
        <is>
          <t>Avantage nature equipiers</t>
        </is>
      </c>
      <c r="C27" s="348" t="n">
        <v>1823.04</v>
      </c>
      <c r="D27" s="348" t="inlineStr"/>
      <c r="E27" s="348" t="n">
        <v>1823.04</v>
      </c>
      <c r="F27" s="348" t="inlineStr"/>
      <c r="G27" s="220">
        <f>SUM(C27)-SUM(D27)</f>
        <v/>
      </c>
      <c r="H27" s="220">
        <f>SUM(E27)-SUM(F27)</f>
        <v/>
      </c>
      <c r="I27" s="221">
        <f>IF(A27="Total",VLOOKUP(B27,CORRESPONDANCE[#All],2,FALSE),I28)</f>
        <v/>
      </c>
      <c r="J27" s="350">
        <f>LEFT(A27,1)</f>
        <v/>
      </c>
      <c r="K27" s="347">
        <f>"GLR5"&amp;" - "&amp;A27</f>
        <v/>
      </c>
      <c r="L27" s="347">
        <f>+VLOOKUP(K27,TL[],4,FALSE)</f>
        <v/>
      </c>
    </row>
    <row r="28">
      <c r="A28" s="348" t="inlineStr">
        <is>
          <t>641230</t>
        </is>
      </c>
      <c r="B28" s="348" t="inlineStr">
        <is>
          <t>Prov c payes equipiers</t>
        </is>
      </c>
      <c r="C28" s="348" t="n">
        <v>304.93</v>
      </c>
      <c r="D28" s="348" t="inlineStr"/>
      <c r="E28" s="348" t="n">
        <v>304.93</v>
      </c>
      <c r="F28" s="348" t="inlineStr"/>
      <c r="G28" s="220">
        <f>SUM(C28)-SUM(D28)</f>
        <v/>
      </c>
      <c r="H28" s="220">
        <f>SUM(E28)-SUM(F28)</f>
        <v/>
      </c>
      <c r="I28" s="221">
        <f>IF(A28="Total",VLOOKUP(B28,CORRESPONDANCE[#All],2,FALSE),I29)</f>
        <v/>
      </c>
      <c r="J28" s="350">
        <f>LEFT(A28,1)</f>
        <v/>
      </c>
      <c r="K28" s="347">
        <f>"GLR5"&amp;" - "&amp;A28</f>
        <v/>
      </c>
      <c r="L28" s="347">
        <f>+VLOOKUP(K28,TL[],4,FALSE)</f>
        <v/>
      </c>
    </row>
    <row r="29">
      <c r="A29" s="348" t="inlineStr">
        <is>
          <t>641410</t>
        </is>
      </c>
      <c r="B29" s="348" t="inlineStr">
        <is>
          <t>Indemnites blanchissage équipiers</t>
        </is>
      </c>
      <c r="C29" s="348" t="n">
        <v>703.15</v>
      </c>
      <c r="D29" s="348" t="inlineStr"/>
      <c r="E29" s="348" t="n">
        <v>703.15</v>
      </c>
      <c r="F29" s="348" t="inlineStr"/>
      <c r="G29" s="220">
        <f>SUM(C29)-SUM(D29)</f>
        <v/>
      </c>
      <c r="H29" s="220">
        <f>SUM(E29)-SUM(F29)</f>
        <v/>
      </c>
      <c r="I29" s="221">
        <f>IF(A29="Total",VLOOKUP(B29,CORRESPONDANCE[#All],2,FALSE),I30)</f>
        <v/>
      </c>
      <c r="J29" s="350">
        <f>LEFT(A29,1)</f>
        <v/>
      </c>
      <c r="K29" s="347">
        <f>"GLR5"&amp;" - "&amp;A29</f>
        <v/>
      </c>
      <c r="L29" s="347">
        <f>+VLOOKUP(K29,TL[],4,FALSE)</f>
        <v/>
      </c>
    </row>
    <row r="30">
      <c r="A30" s="348" t="inlineStr">
        <is>
          <t>726100</t>
        </is>
      </c>
      <c r="B30" s="348" t="inlineStr">
        <is>
          <t>Avantage en nature equipiers</t>
        </is>
      </c>
      <c r="C30" s="348" t="inlineStr"/>
      <c r="D30" s="348" t="n">
        <v>1823.04</v>
      </c>
      <c r="E30" s="348" t="inlineStr"/>
      <c r="F30" s="348" t="n">
        <v>1823.04</v>
      </c>
      <c r="G30" s="220">
        <f>SUM(C30)-SUM(D30)</f>
        <v/>
      </c>
      <c r="H30" s="220">
        <f>SUM(E30)-SUM(F30)</f>
        <v/>
      </c>
      <c r="I30" s="221">
        <f>IF(A30="Total",VLOOKUP(B30,CORRESPONDANCE[#All],2,FALSE),I31)</f>
        <v/>
      </c>
      <c r="J30" s="350">
        <f>LEFT(A30,1)</f>
        <v/>
      </c>
      <c r="K30" s="347">
        <f>"GLR5"&amp;" - "&amp;A30</f>
        <v/>
      </c>
      <c r="L30" s="347">
        <f>+VLOOKUP(K30,TL[],4,FALSE)</f>
        <v/>
      </c>
    </row>
    <row r="31">
      <c r="A31" s="348" t="inlineStr">
        <is>
          <t>Total</t>
        </is>
      </c>
      <c r="B31" s="348" t="inlineStr">
        <is>
          <t>Table n°2  -  Main d'œuvre brute équipiers</t>
        </is>
      </c>
      <c r="C31" s="348" t="n">
        <v>65020.78</v>
      </c>
      <c r="D31" s="348" t="inlineStr"/>
      <c r="E31" s="348" t="n">
        <v>65020.78</v>
      </c>
      <c r="F31" s="348" t="inlineStr"/>
      <c r="G31" s="220">
        <f>SUM(C31)-SUM(D31)</f>
        <v/>
      </c>
      <c r="H31" s="220">
        <f>SUM(E31)-SUM(F31)</f>
        <v/>
      </c>
      <c r="I31" s="221">
        <f>IF(A31="Total",VLOOKUP(B31,CORRESPONDANCE[#All],2,FALSE),I32)</f>
        <v/>
      </c>
      <c r="J31" s="350">
        <f>LEFT(A31,1)</f>
        <v/>
      </c>
      <c r="K31" s="347">
        <f>"GLR5"&amp;" - "&amp;A31</f>
        <v/>
      </c>
      <c r="L31" s="347">
        <f>+VLOOKUP(K31,TL[],4,FALSE)</f>
        <v/>
      </c>
    </row>
    <row r="32">
      <c r="A32" s="348" t="inlineStr">
        <is>
          <t>621408</t>
        </is>
      </c>
      <c r="B32" s="348" t="inlineStr">
        <is>
          <t>Prêt personnel équipiers cs</t>
        </is>
      </c>
      <c r="C32" s="348" t="n">
        <v>460.42</v>
      </c>
      <c r="D32" s="348" t="inlineStr"/>
      <c r="E32" s="348" t="n">
        <v>460.42</v>
      </c>
      <c r="F32" s="348" t="inlineStr"/>
      <c r="G32" s="220">
        <f>SUM(C32)-SUM(D32)</f>
        <v/>
      </c>
      <c r="H32" s="220">
        <f>SUM(E32)-SUM(F32)</f>
        <v/>
      </c>
      <c r="I32" s="221">
        <f>IF(A32="Total",VLOOKUP(B32,CORRESPONDANCE[#All],2,FALSE),I33)</f>
        <v/>
      </c>
      <c r="J32" s="350">
        <f>LEFT(A32,1)</f>
        <v/>
      </c>
      <c r="K32" s="347">
        <f>"GLR5"&amp;" - "&amp;A32</f>
        <v/>
      </c>
      <c r="L32" s="347">
        <f>+VLOOKUP(K32,TL[],4,FALSE)</f>
        <v/>
      </c>
    </row>
    <row r="33">
      <c r="A33" s="348" t="inlineStr">
        <is>
          <t>645130</t>
        </is>
      </c>
      <c r="B33" s="348" t="inlineStr">
        <is>
          <t>Cotis. urssaf equipiers</t>
        </is>
      </c>
      <c r="C33" s="348" t="n">
        <v>4465.16</v>
      </c>
      <c r="D33" s="348" t="inlineStr"/>
      <c r="E33" s="348" t="n">
        <v>4465.16</v>
      </c>
      <c r="F33" s="348" t="inlineStr"/>
      <c r="G33" s="220">
        <f>SUM(C33)-SUM(D33)</f>
        <v/>
      </c>
      <c r="H33" s="220">
        <f>SUM(E33)-SUM(F33)</f>
        <v/>
      </c>
      <c r="I33" s="221">
        <f>IF(A33="Total",VLOOKUP(B33,CORRESPONDANCE[#All],2,FALSE),I34)</f>
        <v/>
      </c>
      <c r="J33" s="350">
        <f>LEFT(A33,1)</f>
        <v/>
      </c>
      <c r="K33" s="347">
        <f>"GLR5"&amp;" - "&amp;A33</f>
        <v/>
      </c>
      <c r="L33" s="347">
        <f>+VLOOKUP(K33,TL[],4,FALSE)</f>
        <v/>
      </c>
    </row>
    <row r="34">
      <c r="A34" s="348" t="inlineStr">
        <is>
          <t>645330</t>
        </is>
      </c>
      <c r="B34" s="348" t="inlineStr">
        <is>
          <t>Retraite équipiers</t>
        </is>
      </c>
      <c r="C34" s="348" t="n">
        <v>1281.49</v>
      </c>
      <c r="D34" s="348" t="inlineStr"/>
      <c r="E34" s="348" t="n">
        <v>1281.49</v>
      </c>
      <c r="F34" s="348" t="inlineStr"/>
      <c r="G34" s="220">
        <f>SUM(C34)-SUM(D34)</f>
        <v/>
      </c>
      <c r="H34" s="220">
        <f>SUM(E34)-SUM(F34)</f>
        <v/>
      </c>
      <c r="I34" s="221">
        <f>IF(A34="Total",VLOOKUP(B34,CORRESPONDANCE[#All],2,FALSE),I35)</f>
        <v/>
      </c>
      <c r="J34" s="350">
        <f>LEFT(A34,1)</f>
        <v/>
      </c>
      <c r="K34" s="347">
        <f>"GLR5"&amp;" - "&amp;A34</f>
        <v/>
      </c>
      <c r="L34" s="347">
        <f>+VLOOKUP(K34,TL[],4,FALSE)</f>
        <v/>
      </c>
    </row>
    <row r="35">
      <c r="A35" s="348" t="inlineStr">
        <is>
          <t>645430</t>
        </is>
      </c>
      <c r="B35" s="348" t="inlineStr">
        <is>
          <t>Assurance chômage equipiers</t>
        </is>
      </c>
      <c r="C35" s="348" t="n">
        <v>2043.76</v>
      </c>
      <c r="D35" s="348" t="inlineStr"/>
      <c r="E35" s="348" t="n">
        <v>2043.76</v>
      </c>
      <c r="F35" s="348" t="inlineStr"/>
      <c r="G35" s="220">
        <f>SUM(C35)-SUM(D35)</f>
        <v/>
      </c>
      <c r="H35" s="220">
        <f>SUM(E35)-SUM(F35)</f>
        <v/>
      </c>
      <c r="I35" s="221">
        <f>IF(A35="Total",VLOOKUP(B35,CORRESPONDANCE[#All],2,FALSE),I36)</f>
        <v/>
      </c>
      <c r="J35" s="350">
        <f>LEFT(A35,1)</f>
        <v/>
      </c>
      <c r="K35" s="347">
        <f>"GLR5"&amp;" - "&amp;A35</f>
        <v/>
      </c>
      <c r="L35" s="347">
        <f>+VLOOKUP(K35,TL[],4,FALSE)</f>
        <v/>
      </c>
    </row>
    <row r="36">
      <c r="A36" s="348" t="inlineStr">
        <is>
          <t>645530</t>
        </is>
      </c>
      <c r="B36" s="348" t="inlineStr">
        <is>
          <t>Mutuelle équipiers</t>
        </is>
      </c>
      <c r="C36" s="348" t="n">
        <v>356.79</v>
      </c>
      <c r="D36" s="348" t="inlineStr"/>
      <c r="E36" s="348" t="n">
        <v>356.79</v>
      </c>
      <c r="F36" s="348" t="inlineStr"/>
      <c r="G36" s="220">
        <f>SUM(C36)-SUM(D36)</f>
        <v/>
      </c>
      <c r="H36" s="220">
        <f>SUM(E36)-SUM(F36)</f>
        <v/>
      </c>
      <c r="I36" s="221">
        <f>IF(A36="Total",VLOOKUP(B36,CORRESPONDANCE[#All],2,FALSE),I37)</f>
        <v/>
      </c>
      <c r="J36" s="350">
        <f>LEFT(A36,1)</f>
        <v/>
      </c>
      <c r="K36" s="347">
        <f>"GLR5"&amp;" - "&amp;A36</f>
        <v/>
      </c>
      <c r="L36" s="347">
        <f>+VLOOKUP(K36,TL[],4,FALSE)</f>
        <v/>
      </c>
    </row>
    <row r="37">
      <c r="A37" s="348" t="inlineStr">
        <is>
          <t>645830</t>
        </is>
      </c>
      <c r="B37" s="348" t="inlineStr">
        <is>
          <t>Ch soc s prov cp equipier</t>
        </is>
      </c>
      <c r="C37" s="348" t="n">
        <v>193.78</v>
      </c>
      <c r="D37" s="348" t="inlineStr"/>
      <c r="E37" s="348" t="n">
        <v>193.78</v>
      </c>
      <c r="F37" s="348" t="inlineStr"/>
      <c r="G37" s="220">
        <f>SUM(C37)-SUM(D37)</f>
        <v/>
      </c>
      <c r="H37" s="220">
        <f>SUM(E37)-SUM(F37)</f>
        <v/>
      </c>
      <c r="I37" s="221">
        <f>IF(A37="Total",VLOOKUP(B37,CORRESPONDANCE[#All],2,FALSE),I38)</f>
        <v/>
      </c>
      <c r="J37" s="350">
        <f>LEFT(A37,1)</f>
        <v/>
      </c>
      <c r="K37" s="347">
        <f>"GLR5"&amp;" - "&amp;A37</f>
        <v/>
      </c>
      <c r="L37" s="347">
        <f>+VLOOKUP(K37,TL[],4,FALSE)</f>
        <v/>
      </c>
    </row>
    <row r="38">
      <c r="A38" s="348" t="inlineStr">
        <is>
          <t>645930</t>
        </is>
      </c>
      <c r="B38" s="348" t="inlineStr">
        <is>
          <t>Prevoyance equipiers</t>
        </is>
      </c>
      <c r="C38" s="348" t="n">
        <v>294.9</v>
      </c>
      <c r="D38" s="348" t="inlineStr"/>
      <c r="E38" s="348" t="n">
        <v>294.9</v>
      </c>
      <c r="F38" s="348" t="inlineStr"/>
      <c r="G38" s="220">
        <f>SUM(C38)-SUM(D38)</f>
        <v/>
      </c>
      <c r="H38" s="220">
        <f>SUM(E38)-SUM(F38)</f>
        <v/>
      </c>
      <c r="I38" s="221">
        <f>IF(A38="Total",VLOOKUP(B38,CORRESPONDANCE[#All],2,FALSE),I39)</f>
        <v/>
      </c>
      <c r="J38" s="350">
        <f>LEFT(A38,1)</f>
        <v/>
      </c>
      <c r="K38" s="347">
        <f>"GLR5"&amp;" - "&amp;A38</f>
        <v/>
      </c>
      <c r="L38" s="347">
        <f>+VLOOKUP(K38,TL[],4,FALSE)</f>
        <v/>
      </c>
    </row>
    <row r="39">
      <c r="A39" s="348" t="inlineStr">
        <is>
          <t>Total</t>
        </is>
      </c>
      <c r="B39" s="348" t="inlineStr">
        <is>
          <t>Table n°2  -  Charges sociales équipiers</t>
        </is>
      </c>
      <c r="C39" s="348" t="n">
        <v>9096.299999999999</v>
      </c>
      <c r="D39" s="348" t="inlineStr"/>
      <c r="E39" s="348" t="n">
        <v>9096.299999999999</v>
      </c>
      <c r="F39" s="348" t="inlineStr"/>
      <c r="G39" s="220">
        <f>SUM(C39)-SUM(D39)</f>
        <v/>
      </c>
      <c r="H39" s="220">
        <f>SUM(E39)-SUM(F39)</f>
        <v/>
      </c>
      <c r="I39" s="221">
        <f>IF(A39="Total",VLOOKUP(B39,CORRESPONDANCE[#All],2,FALSE),I40)</f>
        <v/>
      </c>
      <c r="J39" s="350">
        <f>LEFT(A39,1)</f>
        <v/>
      </c>
      <c r="K39" s="347">
        <f>"GLR5"&amp;" - "&amp;A39</f>
        <v/>
      </c>
      <c r="L39" s="347">
        <f>+VLOOKUP(K39,TL[],4,FALSE)</f>
        <v/>
      </c>
    </row>
    <row r="40">
      <c r="A40" s="348" t="inlineStr">
        <is>
          <t>621402</t>
        </is>
      </c>
      <c r="B40" s="348" t="inlineStr">
        <is>
          <t>Prêt personnel managers</t>
        </is>
      </c>
      <c r="C40" s="348" t="n">
        <v>136.79</v>
      </c>
      <c r="D40" s="348" t="inlineStr"/>
      <c r="E40" s="348" t="n">
        <v>136.79</v>
      </c>
      <c r="F40" s="348" t="inlineStr"/>
      <c r="G40" s="220">
        <f>SUM(C40)-SUM(D40)</f>
        <v/>
      </c>
      <c r="H40" s="220">
        <f>SUM(E40)-SUM(F40)</f>
        <v/>
      </c>
      <c r="I40" s="221">
        <f>IF(A40="Total",VLOOKUP(B40,CORRESPONDANCE[#All],2,FALSE),I41)</f>
        <v/>
      </c>
      <c r="J40" s="350">
        <f>LEFT(A40,1)</f>
        <v/>
      </c>
      <c r="K40" s="347">
        <f>"GLR5"&amp;" - "&amp;A40</f>
        <v/>
      </c>
      <c r="L40" s="347">
        <f>+VLOOKUP(K40,TL[],4,FALSE)</f>
        <v/>
      </c>
    </row>
    <row r="41">
      <c r="A41" s="348" t="inlineStr">
        <is>
          <t>641020</t>
        </is>
      </c>
      <c r="B41" s="348" t="inlineStr">
        <is>
          <t>Remunerations assistants</t>
        </is>
      </c>
      <c r="C41" s="348" t="n">
        <v>17859.07</v>
      </c>
      <c r="D41" s="348" t="inlineStr"/>
      <c r="E41" s="348" t="n">
        <v>17859.07</v>
      </c>
      <c r="F41" s="348" t="inlineStr"/>
      <c r="G41" s="220">
        <f>SUM(C41)-SUM(D41)</f>
        <v/>
      </c>
      <c r="H41" s="220">
        <f>SUM(E41)-SUM(F41)</f>
        <v/>
      </c>
      <c r="I41" s="221">
        <f>IF(A41="Total",VLOOKUP(B41,CORRESPONDANCE[#All],2,FALSE),I42)</f>
        <v/>
      </c>
      <c r="J41" s="350">
        <f>LEFT(A41,1)</f>
        <v/>
      </c>
      <c r="K41" s="347">
        <f>"GLR5"&amp;" - "&amp;A41</f>
        <v/>
      </c>
      <c r="L41" s="347">
        <f>+VLOOKUP(K41,TL[],4,FALSE)</f>
        <v/>
      </c>
    </row>
    <row r="42">
      <c r="A42" s="348" t="inlineStr">
        <is>
          <t>641064</t>
        </is>
      </c>
      <c r="B42" s="348" t="inlineStr">
        <is>
          <t>Avantage nature assistants repas</t>
        </is>
      </c>
      <c r="C42" s="348" t="n">
        <v>341.82</v>
      </c>
      <c r="D42" s="348" t="inlineStr"/>
      <c r="E42" s="348" t="n">
        <v>341.82</v>
      </c>
      <c r="F42" s="348" t="inlineStr"/>
      <c r="G42" s="220">
        <f>SUM(C42)-SUM(D42)</f>
        <v/>
      </c>
      <c r="H42" s="220">
        <f>SUM(E42)-SUM(F42)</f>
        <v/>
      </c>
      <c r="I42" s="221">
        <f>IF(A42="Total",VLOOKUP(B42,CORRESPONDANCE[#All],2,FALSE),I43)</f>
        <v/>
      </c>
      <c r="J42" s="350">
        <f>LEFT(A42,1)</f>
        <v/>
      </c>
      <c r="K42" s="347">
        <f>"GLR5"&amp;" - "&amp;A42</f>
        <v/>
      </c>
      <c r="L42" s="347">
        <f>+VLOOKUP(K42,TL[],4,FALSE)</f>
        <v/>
      </c>
    </row>
    <row r="43">
      <c r="A43" s="348" t="inlineStr">
        <is>
          <t>641220</t>
        </is>
      </c>
      <c r="B43" s="348" t="inlineStr">
        <is>
          <t>Prov° c payes assistants</t>
        </is>
      </c>
      <c r="C43" s="348" t="n">
        <v>2240.85</v>
      </c>
      <c r="D43" s="348" t="inlineStr"/>
      <c r="E43" s="348" t="n">
        <v>2240.85</v>
      </c>
      <c r="F43" s="348" t="inlineStr"/>
      <c r="G43" s="220">
        <f>SUM(C43)-SUM(D43)</f>
        <v/>
      </c>
      <c r="H43" s="220">
        <f>SUM(E43)-SUM(F43)</f>
        <v/>
      </c>
      <c r="I43" s="221">
        <f>IF(A43="Total",VLOOKUP(B43,CORRESPONDANCE[#All],2,FALSE),I44)</f>
        <v/>
      </c>
      <c r="J43" s="350">
        <f>LEFT(A43,1)</f>
        <v/>
      </c>
      <c r="K43" s="347">
        <f>"GLR5"&amp;" - "&amp;A43</f>
        <v/>
      </c>
      <c r="L43" s="347">
        <f>+VLOOKUP(K43,TL[],4,FALSE)</f>
        <v/>
      </c>
    </row>
    <row r="44">
      <c r="A44" s="348" t="inlineStr">
        <is>
          <t>641411</t>
        </is>
      </c>
      <c r="B44" s="348" t="inlineStr">
        <is>
          <t>Indemnites blanchissage assistants</t>
        </is>
      </c>
      <c r="C44" s="348" t="n">
        <v>153.31</v>
      </c>
      <c r="D44" s="348" t="inlineStr"/>
      <c r="E44" s="348" t="n">
        <v>153.31</v>
      </c>
      <c r="F44" s="348" t="inlineStr"/>
      <c r="G44" s="220">
        <f>SUM(C44)-SUM(D44)</f>
        <v/>
      </c>
      <c r="H44" s="220">
        <f>SUM(E44)-SUM(F44)</f>
        <v/>
      </c>
      <c r="I44" s="221">
        <f>IF(A44="Total",VLOOKUP(B44,CORRESPONDANCE[#All],2,FALSE),I45)</f>
        <v/>
      </c>
      <c r="J44" s="350">
        <f>LEFT(A44,1)</f>
        <v/>
      </c>
      <c r="K44" s="347">
        <f>"GLR5"&amp;" - "&amp;A44</f>
        <v/>
      </c>
      <c r="L44" s="347">
        <f>+VLOOKUP(K44,TL[],4,FALSE)</f>
        <v/>
      </c>
    </row>
    <row r="45">
      <c r="A45" s="348" t="inlineStr">
        <is>
          <t>708840</t>
        </is>
      </c>
      <c r="B45" s="348" t="inlineStr">
        <is>
          <t>Refact salaires managers</t>
        </is>
      </c>
      <c r="C45" s="348" t="inlineStr"/>
      <c r="D45" s="348" t="n">
        <v>38.67</v>
      </c>
      <c r="E45" s="348" t="inlineStr"/>
      <c r="F45" s="348" t="n">
        <v>38.67</v>
      </c>
      <c r="G45" s="220">
        <f>SUM(C45)-SUM(D45)</f>
        <v/>
      </c>
      <c r="H45" s="220">
        <f>SUM(E45)-SUM(F45)</f>
        <v/>
      </c>
      <c r="I45" s="221">
        <f>IF(A45="Total",VLOOKUP(B45,CORRESPONDANCE[#All],2,FALSE),I46)</f>
        <v/>
      </c>
      <c r="J45" s="350">
        <f>LEFT(A45,1)</f>
        <v/>
      </c>
      <c r="K45" s="347">
        <f>"GLR5"&amp;" - "&amp;A45</f>
        <v/>
      </c>
      <c r="L45" s="347">
        <f>+VLOOKUP(K45,TL[],4,FALSE)</f>
        <v/>
      </c>
    </row>
    <row r="46">
      <c r="A46" s="348" t="inlineStr">
        <is>
          <t>726110</t>
        </is>
      </c>
      <c r="B46" s="348" t="inlineStr">
        <is>
          <t>Avantage en nature managers</t>
        </is>
      </c>
      <c r="C46" s="348" t="inlineStr"/>
      <c r="D46" s="348" t="n">
        <v>341.82</v>
      </c>
      <c r="E46" s="348" t="inlineStr"/>
      <c r="F46" s="348" t="n">
        <v>341.82</v>
      </c>
      <c r="G46" s="220">
        <f>SUM(C46)-SUM(D46)</f>
        <v/>
      </c>
      <c r="H46" s="220">
        <f>SUM(E46)-SUM(F46)</f>
        <v/>
      </c>
      <c r="I46" s="221">
        <f>IF(A46="Total",VLOOKUP(B46,CORRESPONDANCE[#All],2,FALSE),I47)</f>
        <v/>
      </c>
      <c r="J46" s="350">
        <f>LEFT(A46,1)</f>
        <v/>
      </c>
      <c r="K46" s="347">
        <f>"GLR5"&amp;" - "&amp;A46</f>
        <v/>
      </c>
      <c r="L46" s="347">
        <f>+VLOOKUP(K46,TL[],4,FALSE)</f>
        <v/>
      </c>
    </row>
    <row r="47">
      <c r="A47" s="348" t="inlineStr">
        <is>
          <t>740100</t>
        </is>
      </c>
      <c r="B47" s="348" t="inlineStr">
        <is>
          <t>Subvention emploi</t>
        </is>
      </c>
      <c r="C47" s="348" t="inlineStr"/>
      <c r="D47" s="348" t="n">
        <v>500</v>
      </c>
      <c r="E47" s="348" t="inlineStr"/>
      <c r="F47" s="348" t="n">
        <v>500</v>
      </c>
      <c r="G47" s="220">
        <f>SUM(C47)-SUM(D47)</f>
        <v/>
      </c>
      <c r="H47" s="220">
        <f>SUM(E47)-SUM(F47)</f>
        <v/>
      </c>
      <c r="I47" s="221">
        <f>IF(A47="Total",VLOOKUP(B47,CORRESPONDANCE[#All],2,FALSE),I48)</f>
        <v/>
      </c>
      <c r="J47" s="350">
        <f>LEFT(A47,1)</f>
        <v/>
      </c>
      <c r="K47" s="347">
        <f>"GLR5"&amp;" - "&amp;A47</f>
        <v/>
      </c>
      <c r="L47" s="347">
        <f>+VLOOKUP(K47,TL[],4,FALSE)</f>
        <v/>
      </c>
    </row>
    <row r="48">
      <c r="A48" s="348" t="inlineStr">
        <is>
          <t>Total</t>
        </is>
      </c>
      <c r="B48" s="348" t="inlineStr">
        <is>
          <t>Table n°2  -  Main d'œuvre brute équipe de gestio</t>
        </is>
      </c>
      <c r="C48" s="348" t="n">
        <v>19851.35</v>
      </c>
      <c r="D48" s="348" t="inlineStr"/>
      <c r="E48" s="348" t="n">
        <v>19851.35</v>
      </c>
      <c r="F48" s="348" t="inlineStr"/>
      <c r="G48" s="220">
        <f>SUM(C48)-SUM(D48)</f>
        <v/>
      </c>
      <c r="H48" s="220">
        <f>SUM(E48)-SUM(F48)</f>
        <v/>
      </c>
      <c r="I48" s="221">
        <f>IF(A48="Total",VLOOKUP(B48,CORRESPONDANCE[#All],2,FALSE),I49)</f>
        <v/>
      </c>
      <c r="J48" s="350">
        <f>LEFT(A48,1)</f>
        <v/>
      </c>
      <c r="K48" s="347">
        <f>"GLR5"&amp;" - "&amp;A48</f>
        <v/>
      </c>
      <c r="L48" s="347">
        <f>+VLOOKUP(K48,TL[],4,FALSE)</f>
        <v/>
      </c>
    </row>
    <row r="49">
      <c r="A49" s="348" t="inlineStr">
        <is>
          <t>621406</t>
        </is>
      </c>
      <c r="B49" s="348" t="inlineStr">
        <is>
          <t>Prêt personnel managers cs</t>
        </is>
      </c>
      <c r="C49" s="348" t="n">
        <v>37.5</v>
      </c>
      <c r="D49" s="348" t="inlineStr"/>
      <c r="E49" s="348" t="n">
        <v>37.5</v>
      </c>
      <c r="F49" s="348" t="inlineStr"/>
      <c r="G49" s="220">
        <f>SUM(C49)-SUM(D49)</f>
        <v/>
      </c>
      <c r="H49" s="220">
        <f>SUM(E49)-SUM(F49)</f>
        <v/>
      </c>
      <c r="I49" s="221">
        <f>IF(A49="Total",VLOOKUP(B49,CORRESPONDANCE[#All],2,FALSE),I50)</f>
        <v/>
      </c>
      <c r="J49" s="350">
        <f>LEFT(A49,1)</f>
        <v/>
      </c>
      <c r="K49" s="347">
        <f>"GLR5"&amp;" - "&amp;A49</f>
        <v/>
      </c>
      <c r="L49" s="347">
        <f>+VLOOKUP(K49,TL[],4,FALSE)</f>
        <v/>
      </c>
    </row>
    <row r="50">
      <c r="A50" s="348" t="inlineStr">
        <is>
          <t>645120</t>
        </is>
      </c>
      <c r="B50" s="348" t="inlineStr">
        <is>
          <t>Cotis urssaf assistants</t>
        </is>
      </c>
      <c r="C50" s="348" t="n">
        <v>2833.69</v>
      </c>
      <c r="D50" s="348" t="inlineStr"/>
      <c r="E50" s="348" t="n">
        <v>2833.69</v>
      </c>
      <c r="F50" s="348" t="inlineStr"/>
      <c r="G50" s="220">
        <f>SUM(C50)-SUM(D50)</f>
        <v/>
      </c>
      <c r="H50" s="220">
        <f>SUM(E50)-SUM(F50)</f>
        <v/>
      </c>
      <c r="I50" s="221">
        <f>IF(A50="Total",VLOOKUP(B50,CORRESPONDANCE[#All],2,FALSE),I51)</f>
        <v/>
      </c>
      <c r="J50" s="350">
        <f>LEFT(A50,1)</f>
        <v/>
      </c>
      <c r="K50" s="347">
        <f>"GLR5"&amp;" - "&amp;A50</f>
        <v/>
      </c>
      <c r="L50" s="347">
        <f>+VLOOKUP(K50,TL[],4,FALSE)</f>
        <v/>
      </c>
    </row>
    <row r="51">
      <c r="A51" s="348" t="inlineStr">
        <is>
          <t>645320</t>
        </is>
      </c>
      <c r="B51" s="348" t="inlineStr">
        <is>
          <t>Retraite  assistants</t>
        </is>
      </c>
      <c r="C51" s="348" t="n">
        <v>894.95</v>
      </c>
      <c r="D51" s="348" t="inlineStr"/>
      <c r="E51" s="348" t="n">
        <v>894.95</v>
      </c>
      <c r="F51" s="348" t="inlineStr"/>
      <c r="G51" s="220">
        <f>SUM(C51)-SUM(D51)</f>
        <v/>
      </c>
      <c r="H51" s="220">
        <f>SUM(E51)-SUM(F51)</f>
        <v/>
      </c>
      <c r="I51" s="221">
        <f>IF(A51="Total",VLOOKUP(B51,CORRESPONDANCE[#All],2,FALSE),I52)</f>
        <v/>
      </c>
      <c r="J51" s="350">
        <f>LEFT(A51,1)</f>
        <v/>
      </c>
      <c r="K51" s="347">
        <f>"GLR5"&amp;" - "&amp;A51</f>
        <v/>
      </c>
      <c r="L51" s="347">
        <f>+VLOOKUP(K51,TL[],4,FALSE)</f>
        <v/>
      </c>
    </row>
    <row r="52">
      <c r="A52" s="348" t="inlineStr">
        <is>
          <t>645420</t>
        </is>
      </c>
      <c r="B52" s="348" t="inlineStr">
        <is>
          <t>Assurance chômage assistants</t>
        </is>
      </c>
      <c r="C52" s="348" t="n">
        <v>576.22</v>
      </c>
      <c r="D52" s="348" t="inlineStr"/>
      <c r="E52" s="348" t="n">
        <v>576.22</v>
      </c>
      <c r="F52" s="348" t="inlineStr"/>
      <c r="G52" s="220">
        <f>SUM(C52)-SUM(D52)</f>
        <v/>
      </c>
      <c r="H52" s="220">
        <f>SUM(E52)-SUM(F52)</f>
        <v/>
      </c>
      <c r="I52" s="221">
        <f>IF(A52="Total",VLOOKUP(B52,CORRESPONDANCE[#All],2,FALSE),I53)</f>
        <v/>
      </c>
      <c r="J52" s="350">
        <f>LEFT(A52,1)</f>
        <v/>
      </c>
      <c r="K52" s="347">
        <f>"GLR5"&amp;" - "&amp;A52</f>
        <v/>
      </c>
      <c r="L52" s="347">
        <f>+VLOOKUP(K52,TL[],4,FALSE)</f>
        <v/>
      </c>
    </row>
    <row r="53">
      <c r="A53" s="348" t="inlineStr">
        <is>
          <t>645520</t>
        </is>
      </c>
      <c r="B53" s="348" t="inlineStr">
        <is>
          <t>Mutuelle assistants</t>
        </is>
      </c>
      <c r="C53" s="348" t="n">
        <v>84.78</v>
      </c>
      <c r="D53" s="348" t="inlineStr"/>
      <c r="E53" s="348" t="n">
        <v>84.78</v>
      </c>
      <c r="F53" s="348" t="inlineStr"/>
      <c r="G53" s="220">
        <f>SUM(C53)-SUM(D53)</f>
        <v/>
      </c>
      <c r="H53" s="220">
        <f>SUM(E53)-SUM(F53)</f>
        <v/>
      </c>
      <c r="I53" s="221">
        <f>IF(A53="Total",VLOOKUP(B53,CORRESPONDANCE[#All],2,FALSE),I54)</f>
        <v/>
      </c>
      <c r="J53" s="350">
        <f>LEFT(A53,1)</f>
        <v/>
      </c>
      <c r="K53" s="347">
        <f>"GLR5"&amp;" - "&amp;A53</f>
        <v/>
      </c>
      <c r="L53" s="347">
        <f>+VLOOKUP(K53,TL[],4,FALSE)</f>
        <v/>
      </c>
    </row>
    <row r="54">
      <c r="A54" s="348" t="inlineStr">
        <is>
          <t>645820</t>
        </is>
      </c>
      <c r="B54" s="348" t="inlineStr">
        <is>
          <t>Ch soc  prov cp assistant</t>
        </is>
      </c>
      <c r="C54" s="348" t="n">
        <v>578.63</v>
      </c>
      <c r="D54" s="348" t="inlineStr"/>
      <c r="E54" s="348" t="n">
        <v>578.63</v>
      </c>
      <c r="F54" s="348" t="inlineStr"/>
      <c r="G54" s="220">
        <f>SUM(C54)-SUM(D54)</f>
        <v/>
      </c>
      <c r="H54" s="220">
        <f>SUM(E54)-SUM(F54)</f>
        <v/>
      </c>
      <c r="I54" s="221">
        <f>IF(A54="Total",VLOOKUP(B54,CORRESPONDANCE[#All],2,FALSE),I55)</f>
        <v/>
      </c>
      <c r="J54" s="350">
        <f>LEFT(A54,1)</f>
        <v/>
      </c>
      <c r="K54" s="347">
        <f>"GLR5"&amp;" - "&amp;A54</f>
        <v/>
      </c>
      <c r="L54" s="347">
        <f>+VLOOKUP(K54,TL[],4,FALSE)</f>
        <v/>
      </c>
    </row>
    <row r="55">
      <c r="A55" s="348" t="inlineStr">
        <is>
          <t>645920</t>
        </is>
      </c>
      <c r="B55" s="348" t="inlineStr">
        <is>
          <t>Prevoyance assistants</t>
        </is>
      </c>
      <c r="C55" s="348" t="n">
        <v>95.27</v>
      </c>
      <c r="D55" s="348" t="inlineStr"/>
      <c r="E55" s="348" t="n">
        <v>95.27</v>
      </c>
      <c r="F55" s="348" t="inlineStr"/>
      <c r="G55" s="220">
        <f>SUM(C55)-SUM(D55)</f>
        <v/>
      </c>
      <c r="H55" s="220">
        <f>SUM(E55)-SUM(F55)</f>
        <v/>
      </c>
      <c r="I55" s="221">
        <f>IF(A55="Total",VLOOKUP(B55,CORRESPONDANCE[#All],2,FALSE),I56)</f>
        <v/>
      </c>
      <c r="J55" s="350">
        <f>LEFT(A55,1)</f>
        <v/>
      </c>
      <c r="K55" s="347">
        <f>"GLR5"&amp;" - "&amp;A55</f>
        <v/>
      </c>
      <c r="L55" s="347">
        <f>+VLOOKUP(K55,TL[],4,FALSE)</f>
        <v/>
      </c>
    </row>
    <row r="56">
      <c r="A56" s="348" t="inlineStr">
        <is>
          <t>708830</t>
        </is>
      </c>
      <c r="B56" s="348" t="inlineStr">
        <is>
          <t>Refactur sal cs managers</t>
        </is>
      </c>
      <c r="C56" s="348" t="inlineStr"/>
      <c r="D56" s="348" t="n">
        <v>10.99</v>
      </c>
      <c r="E56" s="348" t="inlineStr"/>
      <c r="F56" s="348" t="n">
        <v>10.99</v>
      </c>
      <c r="G56" s="220">
        <f>SUM(C56)-SUM(D56)</f>
        <v/>
      </c>
      <c r="H56" s="220">
        <f>SUM(E56)-SUM(F56)</f>
        <v/>
      </c>
      <c r="I56" s="221">
        <f>IF(A56="Total",VLOOKUP(B56,CORRESPONDANCE[#All],2,FALSE),I57)</f>
        <v/>
      </c>
      <c r="J56" s="350">
        <f>LEFT(A56,1)</f>
        <v/>
      </c>
      <c r="K56" s="347">
        <f>"GLR5"&amp;" - "&amp;A56</f>
        <v/>
      </c>
      <c r="L56" s="347">
        <f>+VLOOKUP(K56,TL[],4,FALSE)</f>
        <v/>
      </c>
    </row>
    <row r="57">
      <c r="A57" s="348" t="inlineStr">
        <is>
          <t>Total</t>
        </is>
      </c>
      <c r="B57" s="348" t="inlineStr">
        <is>
          <t>Table n°2  -  Charges sociales équipe de gestion</t>
        </is>
      </c>
      <c r="C57" s="348" t="n">
        <v>5090.05</v>
      </c>
      <c r="D57" s="348" t="inlineStr"/>
      <c r="E57" s="348" t="n">
        <v>5090.05</v>
      </c>
      <c r="F57" s="348" t="inlineStr"/>
      <c r="G57" s="220">
        <f>SUM(C57)-SUM(D57)</f>
        <v/>
      </c>
      <c r="H57" s="220">
        <f>SUM(E57)-SUM(F57)</f>
        <v/>
      </c>
      <c r="I57" s="221">
        <f>IF(A57="Total",VLOOKUP(B57,CORRESPONDANCE[#All],2,FALSE),I58)</f>
        <v/>
      </c>
      <c r="J57" s="350">
        <f>LEFT(A57,1)</f>
        <v/>
      </c>
      <c r="K57" s="347">
        <f>"GLR5"&amp;" - "&amp;A57</f>
        <v/>
      </c>
      <c r="L57" s="347">
        <f>+VLOOKUP(K57,TL[],4,FALSE)</f>
        <v/>
      </c>
    </row>
    <row r="58">
      <c r="A58" s="348" t="inlineStr">
        <is>
          <t>611013</t>
        </is>
      </c>
      <c r="B58" s="348" t="inlineStr">
        <is>
          <t>Nettoyage restaurant</t>
        </is>
      </c>
      <c r="C58" s="348" t="n">
        <v>10700</v>
      </c>
      <c r="D58" s="348" t="inlineStr"/>
      <c r="E58" s="348" t="n">
        <v>10700</v>
      </c>
      <c r="F58" s="348" t="inlineStr"/>
      <c r="G58" s="220">
        <f>SUM(C58)-SUM(D58)</f>
        <v/>
      </c>
      <c r="H58" s="220">
        <f>SUM(E58)-SUM(F58)</f>
        <v/>
      </c>
      <c r="I58" s="221">
        <f>IF(A58="Total",VLOOKUP(B58,CORRESPONDANCE[#All],2,FALSE),I59)</f>
        <v/>
      </c>
      <c r="J58" s="350">
        <f>LEFT(A58,1)</f>
        <v/>
      </c>
      <c r="K58" s="347">
        <f>"GLR5"&amp;" - "&amp;A58</f>
        <v/>
      </c>
      <c r="L58" s="347">
        <f>+VLOOKUP(K58,TL[],4,FALSE)</f>
        <v/>
      </c>
    </row>
    <row r="59">
      <c r="A59" s="348" t="inlineStr">
        <is>
          <t>Total</t>
        </is>
      </c>
      <c r="B59" s="348" t="inlineStr">
        <is>
          <t>Table n°2  -  Nettoyage</t>
        </is>
      </c>
      <c r="C59" s="348" t="n">
        <v>10700</v>
      </c>
      <c r="D59" s="348" t="inlineStr"/>
      <c r="E59" s="348" t="n">
        <v>10700</v>
      </c>
      <c r="F59" s="348" t="inlineStr"/>
      <c r="G59" s="220">
        <f>SUM(C59)-SUM(D59)</f>
        <v/>
      </c>
      <c r="H59" s="220">
        <f>SUM(E59)-SUM(F59)</f>
        <v/>
      </c>
      <c r="I59" s="221">
        <f>IF(A59="Total",VLOOKUP(B59,CORRESPONDANCE[#All],2,FALSE),I60)</f>
        <v/>
      </c>
      <c r="J59" s="350">
        <f>LEFT(A59,1)</f>
        <v/>
      </c>
      <c r="K59" s="347">
        <f>"GLR5"&amp;" - "&amp;A59</f>
        <v/>
      </c>
      <c r="L59" s="347">
        <f>+VLOOKUP(K59,TL[],4,FALSE)</f>
        <v/>
      </c>
    </row>
    <row r="60">
      <c r="A60" s="348" t="inlineStr">
        <is>
          <t>615629</t>
        </is>
      </c>
      <c r="B60" s="348" t="inlineStr">
        <is>
          <t>Contrat ndie alarme ac2f</t>
        </is>
      </c>
      <c r="C60" s="348" t="n">
        <v>46.67</v>
      </c>
      <c r="D60" s="348" t="inlineStr"/>
      <c r="E60" s="348" t="n">
        <v>46.67</v>
      </c>
      <c r="F60" s="348" t="inlineStr"/>
      <c r="G60" s="220">
        <f>SUM(C60)-SUM(D60)</f>
        <v/>
      </c>
      <c r="H60" s="220">
        <f>SUM(E60)-SUM(F60)</f>
        <v/>
      </c>
      <c r="I60" s="221">
        <f>IF(A60="Total",VLOOKUP(B60,CORRESPONDANCE[#All],2,FALSE),I61)</f>
        <v/>
      </c>
      <c r="J60" s="350">
        <f>LEFT(A60,1)</f>
        <v/>
      </c>
      <c r="K60" s="347">
        <f>"GLR5"&amp;" - "&amp;A60</f>
        <v/>
      </c>
      <c r="L60" s="347">
        <f>+VLOOKUP(K60,TL[],4,FALSE)</f>
        <v/>
      </c>
    </row>
    <row r="61">
      <c r="A61" s="348" t="inlineStr">
        <is>
          <t>615633</t>
        </is>
      </c>
      <c r="B61" s="348" t="inlineStr">
        <is>
          <t>Contrat télésurveillance</t>
        </is>
      </c>
      <c r="C61" s="348" t="n">
        <v>37.93</v>
      </c>
      <c r="D61" s="348" t="inlineStr"/>
      <c r="E61" s="348" t="n">
        <v>37.93</v>
      </c>
      <c r="F61" s="348" t="inlineStr"/>
      <c r="G61" s="220">
        <f>SUM(C61)-SUM(D61)</f>
        <v/>
      </c>
      <c r="H61" s="220">
        <f>SUM(E61)-SUM(F61)</f>
        <v/>
      </c>
      <c r="I61" s="221">
        <f>IF(A61="Total",VLOOKUP(B61,CORRESPONDANCE[#All],2,FALSE),I62)</f>
        <v/>
      </c>
      <c r="J61" s="350">
        <f>LEFT(A61,1)</f>
        <v/>
      </c>
      <c r="K61" s="347">
        <f>"GLR5"&amp;" - "&amp;A61</f>
        <v/>
      </c>
      <c r="L61" s="347">
        <f>+VLOOKUP(K61,TL[],4,FALSE)</f>
        <v/>
      </c>
    </row>
    <row r="62">
      <c r="A62" s="348" t="inlineStr">
        <is>
          <t>Total</t>
        </is>
      </c>
      <c r="B62" s="348" t="inlineStr">
        <is>
          <t>Table n°2  -  Sécurité et Gardiennage</t>
        </is>
      </c>
      <c r="C62" s="348" t="n">
        <v>84.59999999999999</v>
      </c>
      <c r="D62" s="348" t="inlineStr"/>
      <c r="E62" s="348" t="n">
        <v>84.59999999999999</v>
      </c>
      <c r="F62" s="348" t="inlineStr"/>
      <c r="G62" s="220">
        <f>SUM(C62)-SUM(D62)</f>
        <v/>
      </c>
      <c r="H62" s="220">
        <f>SUM(E62)-SUM(F62)</f>
        <v/>
      </c>
      <c r="I62" s="221">
        <f>IF(A62="Total",VLOOKUP(B62,CORRESPONDANCE[#All],2,FALSE),I63)</f>
        <v/>
      </c>
      <c r="J62" s="350">
        <f>LEFT(A62,1)</f>
        <v/>
      </c>
      <c r="K62" s="347">
        <f>"GLR5"&amp;" - "&amp;A62</f>
        <v/>
      </c>
      <c r="L62" s="347">
        <f>+VLOOKUP(K62,TL[],4,FALSE)</f>
        <v/>
      </c>
    </row>
    <row r="63">
      <c r="A63" s="348" t="inlineStr">
        <is>
          <t>627801</t>
        </is>
      </c>
      <c r="B63" s="348" t="inlineStr">
        <is>
          <t>Services bancaires et ass</t>
        </is>
      </c>
      <c r="C63" s="348" t="n">
        <v>668.3200000000001</v>
      </c>
      <c r="D63" s="348" t="inlineStr"/>
      <c r="E63" s="348" t="n">
        <v>668.3200000000001</v>
      </c>
      <c r="F63" s="348" t="inlineStr"/>
      <c r="G63" s="220">
        <f>SUM(C63)-SUM(D63)</f>
        <v/>
      </c>
      <c r="H63" s="220">
        <f>SUM(E63)-SUM(F63)</f>
        <v/>
      </c>
      <c r="I63" s="221">
        <f>IF(A63="Total",VLOOKUP(B63,CORRESPONDANCE[#All],2,FALSE),I64)</f>
        <v/>
      </c>
      <c r="J63" s="350">
        <f>LEFT(A63,1)</f>
        <v/>
      </c>
      <c r="K63" s="347">
        <f>"GLR5"&amp;" - "&amp;A63</f>
        <v/>
      </c>
      <c r="L63" s="347">
        <f>+VLOOKUP(K63,TL[],4,FALSE)</f>
        <v/>
      </c>
    </row>
    <row r="64">
      <c r="A64" s="348" t="inlineStr">
        <is>
          <t>627802</t>
        </is>
      </c>
      <c r="B64" s="348" t="inlineStr">
        <is>
          <t>Commissions cb</t>
        </is>
      </c>
      <c r="C64" s="348" t="n">
        <v>1580.19</v>
      </c>
      <c r="D64" s="348" t="inlineStr"/>
      <c r="E64" s="348" t="n">
        <v>1580.19</v>
      </c>
      <c r="F64" s="348" t="inlineStr"/>
      <c r="G64" s="220">
        <f>SUM(C64)-SUM(D64)</f>
        <v/>
      </c>
      <c r="H64" s="220">
        <f>SUM(E64)-SUM(F64)</f>
        <v/>
      </c>
      <c r="I64" s="221">
        <f>IF(A64="Total",VLOOKUP(B64,CORRESPONDANCE[#All],2,FALSE),I65)</f>
        <v/>
      </c>
      <c r="J64" s="350">
        <f>LEFT(A64,1)</f>
        <v/>
      </c>
      <c r="K64" s="347">
        <f>"GLR5"&amp;" - "&amp;A64</f>
        <v/>
      </c>
      <c r="L64" s="347">
        <f>+VLOOKUP(K64,TL[],4,FALSE)</f>
        <v/>
      </c>
    </row>
    <row r="65">
      <c r="A65" s="348" t="inlineStr">
        <is>
          <t>627803</t>
        </is>
      </c>
      <c r="B65" s="348" t="inlineStr">
        <is>
          <t>Commissions tr</t>
        </is>
      </c>
      <c r="C65" s="348" t="n">
        <v>2039.99</v>
      </c>
      <c r="D65" s="348" t="inlineStr"/>
      <c r="E65" s="348" t="n">
        <v>2039.99</v>
      </c>
      <c r="F65" s="348" t="inlineStr"/>
      <c r="G65" s="220">
        <f>SUM(C65)-SUM(D65)</f>
        <v/>
      </c>
      <c r="H65" s="220">
        <f>SUM(E65)-SUM(F65)</f>
        <v/>
      </c>
      <c r="I65" s="221">
        <f>IF(A65="Total",VLOOKUP(B65,CORRESPONDANCE[#All],2,FALSE),I66)</f>
        <v/>
      </c>
      <c r="J65" s="350">
        <f>LEFT(A65,1)</f>
        <v/>
      </c>
      <c r="K65" s="347">
        <f>"GLR5"&amp;" - "&amp;A65</f>
        <v/>
      </c>
      <c r="L65" s="347">
        <f>+VLOOKUP(K65,TL[],4,FALSE)</f>
        <v/>
      </c>
    </row>
    <row r="66">
      <c r="A66" s="348" t="inlineStr">
        <is>
          <t>627805</t>
        </is>
      </c>
      <c r="B66" s="348" t="inlineStr">
        <is>
          <t>Commissions cv</t>
        </is>
      </c>
      <c r="C66" s="348" t="n">
        <v>317.71</v>
      </c>
      <c r="D66" s="348" t="inlineStr"/>
      <c r="E66" s="348" t="n">
        <v>317.71</v>
      </c>
      <c r="F66" s="348" t="inlineStr"/>
      <c r="G66" s="220">
        <f>SUM(C66)-SUM(D66)</f>
        <v/>
      </c>
      <c r="H66" s="220">
        <f>SUM(E66)-SUM(F66)</f>
        <v/>
      </c>
      <c r="I66" s="221">
        <f>IF(A66="Total",VLOOKUP(B66,CORRESPONDANCE[#All],2,FALSE),I67)</f>
        <v/>
      </c>
      <c r="J66" s="350">
        <f>LEFT(A66,1)</f>
        <v/>
      </c>
      <c r="K66" s="347">
        <f>"GLR5"&amp;" - "&amp;A66</f>
        <v/>
      </c>
      <c r="L66" s="347">
        <f>+VLOOKUP(K66,TL[],4,FALSE)</f>
        <v/>
      </c>
    </row>
    <row r="67">
      <c r="A67" s="348" t="inlineStr">
        <is>
          <t>Total</t>
        </is>
      </c>
      <c r="B67" s="348" t="inlineStr">
        <is>
          <t>Table n°2  -  Frais bancaires</t>
        </is>
      </c>
      <c r="C67" s="348" t="n">
        <v>4606.21</v>
      </c>
      <c r="D67" s="348" t="inlineStr"/>
      <c r="E67" s="348" t="n">
        <v>4606.21</v>
      </c>
      <c r="F67" s="348" t="inlineStr"/>
      <c r="G67" s="220">
        <f>SUM(C67)-SUM(D67)</f>
        <v/>
      </c>
      <c r="H67" s="220">
        <f>SUM(E67)-SUM(F67)</f>
        <v/>
      </c>
      <c r="I67" s="221">
        <f>IF(A67="Total",VLOOKUP(B67,CORRESPONDANCE[#All],2,FALSE),I68)</f>
        <v/>
      </c>
      <c r="J67" s="350">
        <f>LEFT(A67,1)</f>
        <v/>
      </c>
      <c r="K67" s="347">
        <f>"GLR5"&amp;" - "&amp;A67</f>
        <v/>
      </c>
      <c r="L67" s="347">
        <f>+VLOOKUP(K67,TL[],4,FALSE)</f>
        <v/>
      </c>
    </row>
    <row r="68">
      <c r="A68" s="348" t="inlineStr">
        <is>
          <t>606300</t>
        </is>
      </c>
      <c r="B68" s="348" t="inlineStr">
        <is>
          <t>Petit outillage</t>
        </is>
      </c>
      <c r="C68" s="348" t="n">
        <v>4951.13</v>
      </c>
      <c r="D68" s="348" t="inlineStr"/>
      <c r="E68" s="348" t="n">
        <v>4951.13</v>
      </c>
      <c r="F68" s="348" t="inlineStr"/>
      <c r="G68" s="220">
        <f>SUM(C68)-SUM(D68)</f>
        <v/>
      </c>
      <c r="H68" s="220">
        <f>SUM(E68)-SUM(F68)</f>
        <v/>
      </c>
      <c r="I68" s="221">
        <f>IF(A68="Total",VLOOKUP(B68,CORRESPONDANCE[#All],2,FALSE),I69)</f>
        <v/>
      </c>
      <c r="J68" s="350">
        <f>LEFT(A68,1)</f>
        <v/>
      </c>
      <c r="K68" s="347">
        <f>"GLR5"&amp;" - "&amp;A68</f>
        <v/>
      </c>
      <c r="L68" s="347">
        <f>+VLOOKUP(K68,TL[],4,FALSE)</f>
        <v/>
      </c>
    </row>
    <row r="69">
      <c r="A69" s="348" t="inlineStr">
        <is>
          <t>615500</t>
        </is>
      </c>
      <c r="B69" s="348" t="inlineStr">
        <is>
          <t>Entretien et réparation divers</t>
        </is>
      </c>
      <c r="C69" s="348" t="n">
        <v>1833.72</v>
      </c>
      <c r="D69" s="348" t="inlineStr"/>
      <c r="E69" s="348" t="n">
        <v>1833.72</v>
      </c>
      <c r="F69" s="348" t="inlineStr"/>
      <c r="G69" s="220">
        <f>SUM(C69)-SUM(D69)</f>
        <v/>
      </c>
      <c r="H69" s="220">
        <f>SUM(E69)-SUM(F69)</f>
        <v/>
      </c>
      <c r="I69" s="221">
        <f>IF(A69="Total",VLOOKUP(B69,CORRESPONDANCE[#All],2,FALSE),I70)</f>
        <v/>
      </c>
      <c r="J69" s="350">
        <f>LEFT(A69,1)</f>
        <v/>
      </c>
      <c r="K69" s="347">
        <f>"GLR5"&amp;" - "&amp;A69</f>
        <v/>
      </c>
      <c r="L69" s="347">
        <f>+VLOOKUP(K69,TL[],4,FALSE)</f>
        <v/>
      </c>
    </row>
    <row r="70">
      <c r="A70" s="348" t="inlineStr">
        <is>
          <t>708856</t>
        </is>
      </c>
      <c r="B70" s="348" t="inlineStr">
        <is>
          <t>Refacturation matériels outill.</t>
        </is>
      </c>
      <c r="C70" s="348" t="inlineStr"/>
      <c r="D70" s="348" t="n">
        <v>3164.42</v>
      </c>
      <c r="E70" s="348" t="inlineStr"/>
      <c r="F70" s="348" t="n">
        <v>3164.42</v>
      </c>
      <c r="G70" s="220">
        <f>SUM(C70)-SUM(D70)</f>
        <v/>
      </c>
      <c r="H70" s="220">
        <f>SUM(E70)-SUM(F70)</f>
        <v/>
      </c>
      <c r="I70" s="221">
        <f>IF(A70="Total",VLOOKUP(B70,CORRESPONDANCE[#All],2,FALSE),I71)</f>
        <v/>
      </c>
      <c r="J70" s="350">
        <f>LEFT(A70,1)</f>
        <v/>
      </c>
      <c r="K70" s="347">
        <f>"GLR5"&amp;" - "&amp;A70</f>
        <v/>
      </c>
      <c r="L70" s="347">
        <f>+VLOOKUP(K70,TL[],4,FALSE)</f>
        <v/>
      </c>
    </row>
    <row r="71">
      <c r="A71" s="348" t="inlineStr">
        <is>
          <t>Total</t>
        </is>
      </c>
      <c r="B71" s="348" t="inlineStr">
        <is>
          <t>Table n°2  -  Contrats Maintenance et réparations</t>
        </is>
      </c>
      <c r="C71" s="348" t="n">
        <v>3620.43</v>
      </c>
      <c r="D71" s="348" t="inlineStr"/>
      <c r="E71" s="348" t="n">
        <v>3620.43</v>
      </c>
      <c r="F71" s="348" t="inlineStr"/>
      <c r="G71" s="220">
        <f>SUM(C71)-SUM(D71)</f>
        <v/>
      </c>
      <c r="H71" s="220">
        <f>SUM(E71)-SUM(F71)</f>
        <v/>
      </c>
      <c r="I71" s="221">
        <f>IF(A71="Total",VLOOKUP(B71,CORRESPONDANCE[#All],2,FALSE),I72)</f>
        <v/>
      </c>
      <c r="J71" s="350">
        <f>LEFT(A71,1)</f>
        <v/>
      </c>
      <c r="K71" s="347">
        <f>"GLR5"&amp;" - "&amp;A71</f>
        <v/>
      </c>
      <c r="L71" s="347">
        <f>+VLOOKUP(K71,TL[],4,FALSE)</f>
        <v/>
      </c>
    </row>
    <row r="72">
      <c r="A72" s="348" t="inlineStr">
        <is>
          <t>611012</t>
        </is>
      </c>
      <c r="B72" s="348" t="inlineStr">
        <is>
          <t>Contrat accès sylae</t>
        </is>
      </c>
      <c r="C72" s="348" t="n">
        <v>225</v>
      </c>
      <c r="D72" s="348" t="inlineStr"/>
      <c r="E72" s="348" t="n">
        <v>225</v>
      </c>
      <c r="F72" s="348" t="inlineStr"/>
      <c r="G72" s="220">
        <f>SUM(C72)-SUM(D72)</f>
        <v/>
      </c>
      <c r="H72" s="220">
        <f>SUM(E72)-SUM(F72)</f>
        <v/>
      </c>
      <c r="I72" s="221">
        <f>IF(A72="Total",VLOOKUP(B72,CORRESPONDANCE[#All],2,FALSE),I73)</f>
        <v/>
      </c>
      <c r="J72" s="350">
        <f>LEFT(A72,1)</f>
        <v/>
      </c>
      <c r="K72" s="347">
        <f>"GLR5"&amp;" - "&amp;A72</f>
        <v/>
      </c>
      <c r="L72" s="347">
        <f>+VLOOKUP(K72,TL[],4,FALSE)</f>
        <v/>
      </c>
    </row>
    <row r="73">
      <c r="A73" s="348" t="inlineStr">
        <is>
          <t>613330</t>
        </is>
      </c>
      <c r="B73" s="348" t="inlineStr">
        <is>
          <t>Location interway</t>
        </is>
      </c>
      <c r="C73" s="348" t="n">
        <v>194.46</v>
      </c>
      <c r="D73" s="348" t="inlineStr"/>
      <c r="E73" s="348" t="n">
        <v>194.46</v>
      </c>
      <c r="F73" s="348" t="inlineStr"/>
      <c r="G73" s="220">
        <f>SUM(C73)-SUM(D73)</f>
        <v/>
      </c>
      <c r="H73" s="220">
        <f>SUM(E73)-SUM(F73)</f>
        <v/>
      </c>
      <c r="I73" s="221">
        <f>IF(A73="Total",VLOOKUP(B73,CORRESPONDANCE[#All],2,FALSE),I74)</f>
        <v/>
      </c>
      <c r="J73" s="350">
        <f>LEFT(A73,1)</f>
        <v/>
      </c>
      <c r="K73" s="347">
        <f>"GLR5"&amp;" - "&amp;A73</f>
        <v/>
      </c>
      <c r="L73" s="347">
        <f>+VLOOKUP(K73,TL[],4,FALSE)</f>
        <v/>
      </c>
    </row>
    <row r="74">
      <c r="A74" s="348" t="inlineStr">
        <is>
          <t>613350</t>
        </is>
      </c>
      <c r="B74" s="348" t="inlineStr">
        <is>
          <t>Location paritel</t>
        </is>
      </c>
      <c r="C74" s="348" t="n">
        <v>112.95</v>
      </c>
      <c r="D74" s="348" t="inlineStr"/>
      <c r="E74" s="348" t="n">
        <v>112.95</v>
      </c>
      <c r="F74" s="348" t="inlineStr"/>
      <c r="G74" s="220">
        <f>SUM(C74)-SUM(D74)</f>
        <v/>
      </c>
      <c r="H74" s="220">
        <f>SUM(E74)-SUM(F74)</f>
        <v/>
      </c>
      <c r="I74" s="221">
        <f>IF(A74="Total",VLOOKUP(B74,CORRESPONDANCE[#All],2,FALSE),I75)</f>
        <v/>
      </c>
      <c r="J74" s="350">
        <f>LEFT(A74,1)</f>
        <v/>
      </c>
      <c r="K74" s="347">
        <f>"GLR5"&amp;" - "&amp;A74</f>
        <v/>
      </c>
      <c r="L74" s="347">
        <f>+VLOOKUP(K74,TL[],4,FALSE)</f>
        <v/>
      </c>
    </row>
    <row r="75">
      <c r="A75" s="348" t="inlineStr">
        <is>
          <t>613360</t>
        </is>
      </c>
      <c r="B75" s="348" t="inlineStr">
        <is>
          <t>Location defibrillateur</t>
        </is>
      </c>
      <c r="C75" s="348" t="n">
        <v>46</v>
      </c>
      <c r="D75" s="348" t="inlineStr"/>
      <c r="E75" s="348" t="n">
        <v>46</v>
      </c>
      <c r="F75" s="348" t="inlineStr"/>
      <c r="G75" s="220">
        <f>SUM(C75)-SUM(D75)</f>
        <v/>
      </c>
      <c r="H75" s="220">
        <f>SUM(E75)-SUM(F75)</f>
        <v/>
      </c>
      <c r="I75" s="221">
        <f>IF(A75="Total",VLOOKUP(B75,CORRESPONDANCE[#All],2,FALSE),I76)</f>
        <v/>
      </c>
      <c r="J75" s="350">
        <f>LEFT(A75,1)</f>
        <v/>
      </c>
      <c r="K75" s="347">
        <f>"GLR5"&amp;" - "&amp;A75</f>
        <v/>
      </c>
      <c r="L75" s="347">
        <f>+VLOOKUP(K75,TL[],4,FALSE)</f>
        <v/>
      </c>
    </row>
    <row r="76">
      <c r="A76" s="348" t="inlineStr">
        <is>
          <t>615200</t>
        </is>
      </c>
      <c r="B76" s="348" t="inlineStr">
        <is>
          <t>Entretien espaces verts</t>
        </is>
      </c>
      <c r="C76" s="348" t="n">
        <v>499</v>
      </c>
      <c r="D76" s="348" t="inlineStr"/>
      <c r="E76" s="348" t="n">
        <v>499</v>
      </c>
      <c r="F76" s="348" t="inlineStr"/>
      <c r="G76" s="220">
        <f>SUM(C76)-SUM(D76)</f>
        <v/>
      </c>
      <c r="H76" s="220">
        <f>SUM(E76)-SUM(F76)</f>
        <v/>
      </c>
      <c r="I76" s="221">
        <f>IF(A76="Total",VLOOKUP(B76,CORRESPONDANCE[#All],2,FALSE),I77)</f>
        <v/>
      </c>
      <c r="J76" s="350">
        <f>LEFT(A76,1)</f>
        <v/>
      </c>
      <c r="K76" s="347">
        <f>"GLR5"&amp;" - "&amp;A76</f>
        <v/>
      </c>
      <c r="L76" s="347">
        <f>+VLOOKUP(K76,TL[],4,FALSE)</f>
        <v/>
      </c>
    </row>
    <row r="77">
      <c r="A77" s="348" t="inlineStr">
        <is>
          <t>615600</t>
        </is>
      </c>
      <c r="B77" s="348" t="inlineStr">
        <is>
          <t>Maintenance mcdo</t>
        </is>
      </c>
      <c r="C77" s="348" t="n">
        <v>484</v>
      </c>
      <c r="D77" s="348" t="inlineStr"/>
      <c r="E77" s="348" t="n">
        <v>484</v>
      </c>
      <c r="F77" s="348" t="inlineStr"/>
      <c r="G77" s="220">
        <f>SUM(C77)-SUM(D77)</f>
        <v/>
      </c>
      <c r="H77" s="220">
        <f>SUM(E77)-SUM(F77)</f>
        <v/>
      </c>
      <c r="I77" s="221">
        <f>IF(A77="Total",VLOOKUP(B77,CORRESPONDANCE[#All],2,FALSE),I78)</f>
        <v/>
      </c>
      <c r="J77" s="350">
        <f>LEFT(A77,1)</f>
        <v/>
      </c>
      <c r="K77" s="347">
        <f>"GLR5"&amp;" - "&amp;A77</f>
        <v/>
      </c>
      <c r="L77" s="347">
        <f>+VLOOKUP(K77,TL[],4,FALSE)</f>
        <v/>
      </c>
    </row>
    <row r="78">
      <c r="A78" s="348" t="inlineStr">
        <is>
          <t>615609</t>
        </is>
      </c>
      <c r="B78" s="348" t="inlineStr">
        <is>
          <t>Honoraires silliker</t>
        </is>
      </c>
      <c r="C78" s="348" t="n">
        <v>149</v>
      </c>
      <c r="D78" s="348" t="inlineStr"/>
      <c r="E78" s="348" t="n">
        <v>149</v>
      </c>
      <c r="F78" s="348" t="inlineStr"/>
      <c r="G78" s="220">
        <f>SUM(C78)-SUM(D78)</f>
        <v/>
      </c>
      <c r="H78" s="220">
        <f>SUM(E78)-SUM(F78)</f>
        <v/>
      </c>
      <c r="I78" s="221">
        <f>IF(A78="Total",VLOOKUP(B78,CORRESPONDANCE[#All],2,FALSE),I79)</f>
        <v/>
      </c>
      <c r="J78" s="350">
        <f>LEFT(A78,1)</f>
        <v/>
      </c>
      <c r="K78" s="347">
        <f>"GLR5"&amp;" - "&amp;A78</f>
        <v/>
      </c>
      <c r="L78" s="347">
        <f>+VLOOKUP(K78,TL[],4,FALSE)</f>
        <v/>
      </c>
    </row>
    <row r="79">
      <c r="A79" s="348" t="inlineStr">
        <is>
          <t>615610</t>
        </is>
      </c>
      <c r="B79" s="348" t="inlineStr">
        <is>
          <t>Contrat iron mountain</t>
        </is>
      </c>
      <c r="C79" s="348" t="n">
        <v>27.5</v>
      </c>
      <c r="D79" s="348" t="inlineStr"/>
      <c r="E79" s="348" t="n">
        <v>27.5</v>
      </c>
      <c r="F79" s="348" t="inlineStr"/>
      <c r="G79" s="220">
        <f>SUM(C79)-SUM(D79)</f>
        <v/>
      </c>
      <c r="H79" s="220">
        <f>SUM(E79)-SUM(F79)</f>
        <v/>
      </c>
      <c r="I79" s="221">
        <f>IF(A79="Total",VLOOKUP(B79,CORRESPONDANCE[#All],2,FALSE),I80)</f>
        <v/>
      </c>
      <c r="J79" s="350">
        <f>LEFT(A79,1)</f>
        <v/>
      </c>
      <c r="K79" s="347">
        <f>"GLR5"&amp;" - "&amp;A79</f>
        <v/>
      </c>
      <c r="L79" s="347">
        <f>+VLOOKUP(K79,TL[],4,FALSE)</f>
        <v/>
      </c>
    </row>
    <row r="80">
      <c r="A80" s="348" t="inlineStr">
        <is>
          <t>615612</t>
        </is>
      </c>
      <c r="B80" s="348" t="inlineStr">
        <is>
          <t>Contrat primobox</t>
        </is>
      </c>
      <c r="C80" s="348" t="n">
        <v>10</v>
      </c>
      <c r="D80" s="348" t="inlineStr"/>
      <c r="E80" s="348" t="n">
        <v>10</v>
      </c>
      <c r="F80" s="348" t="inlineStr"/>
      <c r="G80" s="220">
        <f>SUM(C80)-SUM(D80)</f>
        <v/>
      </c>
      <c r="H80" s="220">
        <f>SUM(E80)-SUM(F80)</f>
        <v/>
      </c>
      <c r="I80" s="221">
        <f>IF(A80="Total",VLOOKUP(B80,CORRESPONDANCE[#All],2,FALSE),I81)</f>
        <v/>
      </c>
      <c r="J80" s="350">
        <f>LEFT(A80,1)</f>
        <v/>
      </c>
      <c r="K80" s="347">
        <f>"GLR5"&amp;" - "&amp;A80</f>
        <v/>
      </c>
      <c r="L80" s="347">
        <f>+VLOOKUP(K80,TL[],4,FALSE)</f>
        <v/>
      </c>
    </row>
    <row r="81">
      <c r="A81" s="348" t="inlineStr">
        <is>
          <t>615615</t>
        </is>
      </c>
      <c r="B81" s="348" t="inlineStr">
        <is>
          <t>Contrat entretien linge</t>
        </is>
      </c>
      <c r="C81" s="348" t="n">
        <v>100</v>
      </c>
      <c r="D81" s="348" t="inlineStr"/>
      <c r="E81" s="348" t="n">
        <v>100</v>
      </c>
      <c r="F81" s="348" t="inlineStr"/>
      <c r="G81" s="220">
        <f>SUM(C81)-SUM(D81)</f>
        <v/>
      </c>
      <c r="H81" s="220">
        <f>SUM(E81)-SUM(F81)</f>
        <v/>
      </c>
      <c r="I81" s="221">
        <f>IF(A81="Total",VLOOKUP(B81,CORRESPONDANCE[#All],2,FALSE),I82)</f>
        <v/>
      </c>
      <c r="J81" s="350">
        <f>LEFT(A81,1)</f>
        <v/>
      </c>
      <c r="K81" s="347">
        <f>"GLR5"&amp;" - "&amp;A81</f>
        <v/>
      </c>
      <c r="L81" s="347">
        <f>+VLOOKUP(K81,TL[],4,FALSE)</f>
        <v/>
      </c>
    </row>
    <row r="82">
      <c r="A82" s="348" t="inlineStr">
        <is>
          <t>615616</t>
        </is>
      </c>
      <c r="B82" s="348" t="inlineStr">
        <is>
          <t>Contrat acrelec</t>
        </is>
      </c>
      <c r="C82" s="348" t="n">
        <v>358.33</v>
      </c>
      <c r="D82" s="348" t="inlineStr"/>
      <c r="E82" s="348" t="n">
        <v>358.33</v>
      </c>
      <c r="F82" s="348" t="inlineStr"/>
      <c r="G82" s="220">
        <f>SUM(C82)-SUM(D82)</f>
        <v/>
      </c>
      <c r="H82" s="220">
        <f>SUM(E82)-SUM(F82)</f>
        <v/>
      </c>
      <c r="I82" s="221">
        <f>IF(A82="Total",VLOOKUP(B82,CORRESPONDANCE[#All],2,FALSE),I83)</f>
        <v/>
      </c>
      <c r="J82" s="350">
        <f>LEFT(A82,1)</f>
        <v/>
      </c>
      <c r="K82" s="347">
        <f>"GLR5"&amp;" - "&amp;A82</f>
        <v/>
      </c>
      <c r="L82" s="347">
        <f>+VLOOKUP(K82,TL[],4,FALSE)</f>
        <v/>
      </c>
    </row>
    <row r="83">
      <c r="A83" s="348" t="inlineStr">
        <is>
          <t>615621</t>
        </is>
      </c>
      <c r="B83" s="348" t="inlineStr">
        <is>
          <t>Contrat ramassage espèces</t>
        </is>
      </c>
      <c r="C83" s="348" t="n">
        <v>499</v>
      </c>
      <c r="D83" s="348" t="inlineStr"/>
      <c r="E83" s="348" t="n">
        <v>499</v>
      </c>
      <c r="F83" s="348" t="inlineStr"/>
      <c r="G83" s="220">
        <f>SUM(C83)-SUM(D83)</f>
        <v/>
      </c>
      <c r="H83" s="220">
        <f>SUM(E83)-SUM(F83)</f>
        <v/>
      </c>
      <c r="I83" s="221">
        <f>IF(A83="Total",VLOOKUP(B83,CORRESPONDANCE[#All],2,FALSE),I84)</f>
        <v/>
      </c>
      <c r="J83" s="350">
        <f>LEFT(A83,1)</f>
        <v/>
      </c>
      <c r="K83" s="347">
        <f>"GLR5"&amp;" - "&amp;A83</f>
        <v/>
      </c>
      <c r="L83" s="347">
        <f>+VLOOKUP(K83,TL[],4,FALSE)</f>
        <v/>
      </c>
    </row>
    <row r="84">
      <c r="A84" s="348" t="inlineStr">
        <is>
          <t>615626</t>
        </is>
      </c>
      <c r="B84" s="348" t="inlineStr">
        <is>
          <t>Contrat collecte huiles usagées</t>
        </is>
      </c>
      <c r="C84" s="348" t="n">
        <v>154</v>
      </c>
      <c r="D84" s="348" t="inlineStr"/>
      <c r="E84" s="348" t="n">
        <v>154</v>
      </c>
      <c r="F84" s="348" t="inlineStr"/>
      <c r="G84" s="220">
        <f>SUM(C84)-SUM(D84)</f>
        <v/>
      </c>
      <c r="H84" s="220">
        <f>SUM(E84)-SUM(F84)</f>
        <v/>
      </c>
      <c r="I84" s="221">
        <f>IF(A84="Total",VLOOKUP(B84,CORRESPONDANCE[#All],2,FALSE),I85)</f>
        <v/>
      </c>
      <c r="J84" s="350">
        <f>LEFT(A84,1)</f>
        <v/>
      </c>
      <c r="K84" s="347">
        <f>"GLR5"&amp;" - "&amp;A84</f>
        <v/>
      </c>
      <c r="L84" s="347">
        <f>+VLOOKUP(K84,TL[],4,FALSE)</f>
        <v/>
      </c>
    </row>
    <row r="85">
      <c r="A85" s="348" t="inlineStr">
        <is>
          <t>615632</t>
        </is>
      </c>
      <c r="B85" s="348" t="inlineStr">
        <is>
          <t>Contrat ecolab amboile</t>
        </is>
      </c>
      <c r="C85" s="348" t="n">
        <v>61.5</v>
      </c>
      <c r="D85" s="348" t="inlineStr"/>
      <c r="E85" s="348" t="n">
        <v>61.5</v>
      </c>
      <c r="F85" s="348" t="inlineStr"/>
      <c r="G85" s="220">
        <f>SUM(C85)-SUM(D85)</f>
        <v/>
      </c>
      <c r="H85" s="220">
        <f>SUM(E85)-SUM(F85)</f>
        <v/>
      </c>
      <c r="I85" s="221">
        <f>IF(A85="Total",VLOOKUP(B85,CORRESPONDANCE[#All],2,FALSE),I86)</f>
        <v/>
      </c>
      <c r="J85" s="350">
        <f>LEFT(A85,1)</f>
        <v/>
      </c>
      <c r="K85" s="347">
        <f>"GLR5"&amp;" - "&amp;A85</f>
        <v/>
      </c>
      <c r="L85" s="347">
        <f>+VLOOKUP(K85,TL[],4,FALSE)</f>
        <v/>
      </c>
    </row>
    <row r="86">
      <c r="A86" s="348" t="inlineStr">
        <is>
          <t>615634</t>
        </is>
      </c>
      <c r="B86" s="348" t="inlineStr">
        <is>
          <t>Contrat wifi</t>
        </is>
      </c>
      <c r="C86" s="348" t="n">
        <v>89.09999999999999</v>
      </c>
      <c r="D86" s="348" t="inlineStr"/>
      <c r="E86" s="348" t="n">
        <v>89.09999999999999</v>
      </c>
      <c r="F86" s="348" t="inlineStr"/>
      <c r="G86" s="220">
        <f>SUM(C86)-SUM(D86)</f>
        <v/>
      </c>
      <c r="H86" s="220">
        <f>SUM(E86)-SUM(F86)</f>
        <v/>
      </c>
      <c r="I86" s="221">
        <f>IF(A86="Total",VLOOKUP(B86,CORRESPONDANCE[#All],2,FALSE),I87)</f>
        <v/>
      </c>
      <c r="J86" s="350">
        <f>LEFT(A86,1)</f>
        <v/>
      </c>
      <c r="K86" s="347">
        <f>"GLR5"&amp;" - "&amp;A86</f>
        <v/>
      </c>
      <c r="L86" s="347">
        <f>+VLOOKUP(K86,TL[],4,FALSE)</f>
        <v/>
      </c>
    </row>
    <row r="87">
      <c r="A87" s="348" t="inlineStr">
        <is>
          <t>615636</t>
        </is>
      </c>
      <c r="B87" s="348" t="inlineStr">
        <is>
          <t>Contrat regie linge</t>
        </is>
      </c>
      <c r="C87" s="348" t="n">
        <v>37</v>
      </c>
      <c r="D87" s="348" t="inlineStr"/>
      <c r="E87" s="348" t="n">
        <v>37</v>
      </c>
      <c r="F87" s="348" t="inlineStr"/>
      <c r="G87" s="220">
        <f>SUM(C87)-SUM(D87)</f>
        <v/>
      </c>
      <c r="H87" s="220">
        <f>SUM(E87)-SUM(F87)</f>
        <v/>
      </c>
      <c r="I87" s="221">
        <f>IF(A87="Total",VLOOKUP(B87,CORRESPONDANCE[#All],2,FALSE),I88)</f>
        <v/>
      </c>
      <c r="J87" s="350">
        <f>LEFT(A87,1)</f>
        <v/>
      </c>
      <c r="K87" s="347">
        <f>"GLR5"&amp;" - "&amp;A87</f>
        <v/>
      </c>
      <c r="L87" s="347">
        <f>+VLOOKUP(K87,TL[],4,FALSE)</f>
        <v/>
      </c>
    </row>
    <row r="88">
      <c r="A88" s="348" t="inlineStr">
        <is>
          <t>615637</t>
        </is>
      </c>
      <c r="B88" s="348" t="inlineStr">
        <is>
          <t>Contrat Helpline</t>
        </is>
      </c>
      <c r="C88" s="348" t="n">
        <v>668.35</v>
      </c>
      <c r="D88" s="348" t="inlineStr"/>
      <c r="E88" s="348" t="n">
        <v>668.35</v>
      </c>
      <c r="F88" s="348" t="inlineStr"/>
      <c r="G88" s="220">
        <f>SUM(C88)-SUM(D88)</f>
        <v/>
      </c>
      <c r="H88" s="220">
        <f>SUM(E88)-SUM(F88)</f>
        <v/>
      </c>
      <c r="I88" s="221">
        <f>IF(A88="Total",VLOOKUP(B88,CORRESPONDANCE[#All],2,FALSE),I89)</f>
        <v/>
      </c>
      <c r="J88" s="350">
        <f>LEFT(A88,1)</f>
        <v/>
      </c>
      <c r="K88" s="347">
        <f>"GLR5"&amp;" - "&amp;A88</f>
        <v/>
      </c>
      <c r="L88" s="347">
        <f>+VLOOKUP(K88,TL[],4,FALSE)</f>
        <v/>
      </c>
    </row>
    <row r="89">
      <c r="A89" s="348" t="inlineStr">
        <is>
          <t>615639</t>
        </is>
      </c>
      <c r="B89" s="348" t="inlineStr">
        <is>
          <t>Contrat Interway volume inter.</t>
        </is>
      </c>
      <c r="C89" s="348" t="n">
        <v>162.67</v>
      </c>
      <c r="D89" s="348" t="inlineStr"/>
      <c r="E89" s="348" t="n">
        <v>162.67</v>
      </c>
      <c r="F89" s="348" t="inlineStr"/>
      <c r="G89" s="220">
        <f>SUM(C89)-SUM(D89)</f>
        <v/>
      </c>
      <c r="H89" s="220">
        <f>SUM(E89)-SUM(F89)</f>
        <v/>
      </c>
      <c r="I89" s="221">
        <f>IF(A89="Total",VLOOKUP(B89,CORRESPONDANCE[#All],2,FALSE),I90)</f>
        <v/>
      </c>
      <c r="J89" s="350">
        <f>LEFT(A89,1)</f>
        <v/>
      </c>
      <c r="K89" s="347">
        <f>"GLR5"&amp;" - "&amp;A89</f>
        <v/>
      </c>
      <c r="L89" s="347">
        <f>+VLOOKUP(K89,TL[],4,FALSE)</f>
        <v/>
      </c>
    </row>
    <row r="90">
      <c r="A90" s="348" t="inlineStr">
        <is>
          <t>615645</t>
        </is>
      </c>
      <c r="B90" s="348" t="inlineStr">
        <is>
          <t>Contrat enlevt dechets</t>
        </is>
      </c>
      <c r="C90" s="348" t="n">
        <v>2249</v>
      </c>
      <c r="D90" s="348" t="inlineStr"/>
      <c r="E90" s="348" t="n">
        <v>2249</v>
      </c>
      <c r="F90" s="348" t="inlineStr"/>
      <c r="G90" s="220">
        <f>SUM(C90)-SUM(D90)</f>
        <v/>
      </c>
      <c r="H90" s="220">
        <f>SUM(E90)-SUM(F90)</f>
        <v/>
      </c>
      <c r="I90" s="221">
        <f>IF(A90="Total",VLOOKUP(B90,CORRESPONDANCE[#All],2,FALSE),I91)</f>
        <v/>
      </c>
      <c r="J90" s="350">
        <f>LEFT(A90,1)</f>
        <v/>
      </c>
      <c r="K90" s="347">
        <f>"GLR5"&amp;" - "&amp;A90</f>
        <v/>
      </c>
      <c r="L90" s="347">
        <f>+VLOOKUP(K90,TL[],4,FALSE)</f>
        <v/>
      </c>
    </row>
    <row r="91">
      <c r="A91" s="348" t="inlineStr">
        <is>
          <t>615647</t>
        </is>
      </c>
      <c r="B91" s="348" t="inlineStr">
        <is>
          <t>Contrat coca maintenance</t>
        </is>
      </c>
      <c r="C91" s="348" t="n">
        <v>180</v>
      </c>
      <c r="D91" s="348" t="inlineStr"/>
      <c r="E91" s="348" t="n">
        <v>180</v>
      </c>
      <c r="F91" s="348" t="inlineStr"/>
      <c r="G91" s="220">
        <f>SUM(C91)-SUM(D91)</f>
        <v/>
      </c>
      <c r="H91" s="220">
        <f>SUM(E91)-SUM(F91)</f>
        <v/>
      </c>
      <c r="I91" s="221">
        <f>IF(A91="Total",VLOOKUP(B91,CORRESPONDANCE[#All],2,FALSE),I92)</f>
        <v/>
      </c>
      <c r="J91" s="350">
        <f>LEFT(A91,1)</f>
        <v/>
      </c>
      <c r="K91" s="347">
        <f>"GLR5"&amp;" - "&amp;A91</f>
        <v/>
      </c>
      <c r="L91" s="347">
        <f>+VLOOKUP(K91,TL[],4,FALSE)</f>
        <v/>
      </c>
    </row>
    <row r="92">
      <c r="A92" s="348" t="inlineStr">
        <is>
          <t>615651</t>
        </is>
      </c>
      <c r="B92" s="348" t="inlineStr">
        <is>
          <t>Abonnement recru net</t>
        </is>
      </c>
      <c r="C92" s="348" t="n">
        <v>20</v>
      </c>
      <c r="D92" s="348" t="inlineStr"/>
      <c r="E92" s="348" t="n">
        <v>20</v>
      </c>
      <c r="F92" s="348" t="inlineStr"/>
      <c r="G92" s="220">
        <f>SUM(C92)-SUM(D92)</f>
        <v/>
      </c>
      <c r="H92" s="220">
        <f>SUM(E92)-SUM(F92)</f>
        <v/>
      </c>
      <c r="I92" s="221">
        <f>IF(A92="Total",VLOOKUP(B92,CORRESPONDANCE[#All],2,FALSE),I93)</f>
        <v/>
      </c>
      <c r="J92" s="350">
        <f>LEFT(A92,1)</f>
        <v/>
      </c>
      <c r="K92" s="347">
        <f>"GLR5"&amp;" - "&amp;A92</f>
        <v/>
      </c>
      <c r="L92" s="347">
        <f>+VLOOKUP(K92,TL[],4,FALSE)</f>
        <v/>
      </c>
    </row>
    <row r="93">
      <c r="A93" s="348" t="inlineStr">
        <is>
          <t>615652</t>
        </is>
      </c>
      <c r="B93" s="348" t="inlineStr">
        <is>
          <t>Contrat guildagil</t>
        </is>
      </c>
      <c r="C93" s="348" t="n">
        <v>65</v>
      </c>
      <c r="D93" s="348" t="inlineStr"/>
      <c r="E93" s="348" t="n">
        <v>65</v>
      </c>
      <c r="F93" s="348" t="inlineStr"/>
      <c r="G93" s="220">
        <f>SUM(C93)-SUM(D93)</f>
        <v/>
      </c>
      <c r="H93" s="220">
        <f>SUM(E93)-SUM(F93)</f>
        <v/>
      </c>
      <c r="I93" s="221">
        <f>IF(A93="Total",VLOOKUP(B93,CORRESPONDANCE[#All],2,FALSE),I94)</f>
        <v/>
      </c>
      <c r="J93" s="350">
        <f>LEFT(A93,1)</f>
        <v/>
      </c>
      <c r="K93" s="347">
        <f>"GLR5"&amp;" - "&amp;A93</f>
        <v/>
      </c>
      <c r="L93" s="347">
        <f>+VLOOKUP(K93,TL[],4,FALSE)</f>
        <v/>
      </c>
    </row>
    <row r="94">
      <c r="A94" s="348" t="inlineStr">
        <is>
          <t>615653</t>
        </is>
      </c>
      <c r="B94" s="348" t="inlineStr">
        <is>
          <t>Contrat réflex services</t>
        </is>
      </c>
      <c r="C94" s="348" t="n">
        <v>349</v>
      </c>
      <c r="D94" s="348" t="inlineStr"/>
      <c r="E94" s="348" t="n">
        <v>349</v>
      </c>
      <c r="F94" s="348" t="inlineStr"/>
      <c r="G94" s="220">
        <f>SUM(C94)-SUM(D94)</f>
        <v/>
      </c>
      <c r="H94" s="220">
        <f>SUM(E94)-SUM(F94)</f>
        <v/>
      </c>
      <c r="I94" s="221">
        <f>IF(A94="Total",VLOOKUP(B94,CORRESPONDANCE[#All],2,FALSE),I95)</f>
        <v/>
      </c>
      <c r="J94" s="350">
        <f>LEFT(A94,1)</f>
        <v/>
      </c>
      <c r="K94" s="347">
        <f>"GLR5"&amp;" - "&amp;A94</f>
        <v/>
      </c>
      <c r="L94" s="347">
        <f>+VLOOKUP(K94,TL[],4,FALSE)</f>
        <v/>
      </c>
    </row>
    <row r="95">
      <c r="A95" s="348" t="inlineStr">
        <is>
          <t>615654</t>
        </is>
      </c>
      <c r="B95" s="348" t="inlineStr">
        <is>
          <t>Contrat jri</t>
        </is>
      </c>
      <c r="C95" s="348" t="n">
        <v>85</v>
      </c>
      <c r="D95" s="348" t="inlineStr"/>
      <c r="E95" s="348" t="n">
        <v>85</v>
      </c>
      <c r="F95" s="348" t="inlineStr"/>
      <c r="G95" s="220">
        <f>SUM(C95)-SUM(D95)</f>
        <v/>
      </c>
      <c r="H95" s="220">
        <f>SUM(E95)-SUM(F95)</f>
        <v/>
      </c>
      <c r="I95" s="221">
        <f>IF(A95="Total",VLOOKUP(B95,CORRESPONDANCE[#All],2,FALSE),I96)</f>
        <v/>
      </c>
      <c r="J95" s="350">
        <f>LEFT(A95,1)</f>
        <v/>
      </c>
      <c r="K95" s="347">
        <f>"GLR5"&amp;" - "&amp;A95</f>
        <v/>
      </c>
      <c r="L95" s="347">
        <f>+VLOOKUP(K95,TL[],4,FALSE)</f>
        <v/>
      </c>
    </row>
    <row r="96">
      <c r="A96" s="348" t="inlineStr">
        <is>
          <t>615655</t>
        </is>
      </c>
      <c r="B96" s="348" t="inlineStr">
        <is>
          <t>Contrat socotec</t>
        </is>
      </c>
      <c r="C96" s="348" t="n">
        <v>139</v>
      </c>
      <c r="D96" s="348" t="inlineStr"/>
      <c r="E96" s="348" t="n">
        <v>139</v>
      </c>
      <c r="F96" s="348" t="inlineStr"/>
      <c r="G96" s="220">
        <f>SUM(C96)-SUM(D96)</f>
        <v/>
      </c>
      <c r="H96" s="220">
        <f>SUM(E96)-SUM(F96)</f>
        <v/>
      </c>
      <c r="I96" s="221">
        <f>IF(A96="Total",VLOOKUP(B96,CORRESPONDANCE[#All],2,FALSE),I97)</f>
        <v/>
      </c>
      <c r="J96" s="350">
        <f>LEFT(A96,1)</f>
        <v/>
      </c>
      <c r="K96" s="347">
        <f>"GLR5"&amp;" - "&amp;A96</f>
        <v/>
      </c>
      <c r="L96" s="347">
        <f>+VLOOKUP(K96,TL[],4,FALSE)</f>
        <v/>
      </c>
    </row>
    <row r="97">
      <c r="A97" s="348" t="inlineStr">
        <is>
          <t>615656</t>
        </is>
      </c>
      <c r="B97" s="348" t="inlineStr">
        <is>
          <t>Contrat majie</t>
        </is>
      </c>
      <c r="C97" s="348" t="n">
        <v>66.5</v>
      </c>
      <c r="D97" s="348" t="inlineStr"/>
      <c r="E97" s="348" t="n">
        <v>66.5</v>
      </c>
      <c r="F97" s="348" t="inlineStr"/>
      <c r="G97" s="220">
        <f>SUM(C97)-SUM(D97)</f>
        <v/>
      </c>
      <c r="H97" s="220">
        <f>SUM(E97)-SUM(F97)</f>
        <v/>
      </c>
      <c r="I97" s="221">
        <f>IF(A97="Total",VLOOKUP(B97,CORRESPONDANCE[#All],2,FALSE),I98)</f>
        <v/>
      </c>
      <c r="J97" s="350">
        <f>LEFT(A97,1)</f>
        <v/>
      </c>
      <c r="K97" s="347">
        <f>"GLR5"&amp;" - "&amp;A97</f>
        <v/>
      </c>
      <c r="L97" s="347">
        <f>+VLOOKUP(K97,TL[],4,FALSE)</f>
        <v/>
      </c>
    </row>
    <row r="98">
      <c r="A98" s="348" t="inlineStr">
        <is>
          <t>615657</t>
        </is>
      </c>
      <c r="B98" s="348" t="inlineStr">
        <is>
          <t>Contrat iss</t>
        </is>
      </c>
      <c r="C98" s="348" t="n">
        <v>250</v>
      </c>
      <c r="D98" s="348" t="inlineStr"/>
      <c r="E98" s="348" t="n">
        <v>250</v>
      </c>
      <c r="F98" s="348" t="inlineStr"/>
      <c r="G98" s="220">
        <f>SUM(C98)-SUM(D98)</f>
        <v/>
      </c>
      <c r="H98" s="220">
        <f>SUM(E98)-SUM(F98)</f>
        <v/>
      </c>
      <c r="I98" s="221">
        <f>IF(A98="Total",VLOOKUP(B98,CORRESPONDANCE[#All],2,FALSE),I99)</f>
        <v/>
      </c>
      <c r="J98" s="350">
        <f>LEFT(A98,1)</f>
        <v/>
      </c>
      <c r="K98" s="347">
        <f>"GLR5"&amp;" - "&amp;A98</f>
        <v/>
      </c>
      <c r="L98" s="347">
        <f>+VLOOKUP(K98,TL[],4,FALSE)</f>
        <v/>
      </c>
    </row>
    <row r="99">
      <c r="A99" s="348" t="inlineStr">
        <is>
          <t>615658</t>
        </is>
      </c>
      <c r="B99" s="348" t="inlineStr">
        <is>
          <t>Contrat mood</t>
        </is>
      </c>
      <c r="C99" s="348" t="n">
        <v>15.83</v>
      </c>
      <c r="D99" s="348" t="inlineStr"/>
      <c r="E99" s="348" t="n">
        <v>15.83</v>
      </c>
      <c r="F99" s="348" t="inlineStr"/>
      <c r="G99" s="220">
        <f>SUM(C99)-SUM(D99)</f>
        <v/>
      </c>
      <c r="H99" s="220">
        <f>SUM(E99)-SUM(F99)</f>
        <v/>
      </c>
      <c r="I99" s="221">
        <f>IF(A99="Total",VLOOKUP(B99,CORRESPONDANCE[#All],2,FALSE),I100)</f>
        <v/>
      </c>
      <c r="J99" s="350">
        <f>LEFT(A99,1)</f>
        <v/>
      </c>
      <c r="K99" s="347">
        <f>"GLR5"&amp;" - "&amp;A99</f>
        <v/>
      </c>
      <c r="L99" s="347">
        <f>+VLOOKUP(K99,TL[],4,FALSE)</f>
        <v/>
      </c>
    </row>
    <row r="100">
      <c r="A100" s="348" t="inlineStr">
        <is>
          <t>615660</t>
        </is>
      </c>
      <c r="B100" s="348" t="inlineStr">
        <is>
          <t>Contrat indelec borne</t>
        </is>
      </c>
      <c r="C100" s="348" t="n">
        <v>50</v>
      </c>
      <c r="D100" s="348" t="inlineStr"/>
      <c r="E100" s="348" t="n">
        <v>50</v>
      </c>
      <c r="F100" s="348" t="inlineStr"/>
      <c r="G100" s="220">
        <f>SUM(C100)-SUM(D100)</f>
        <v/>
      </c>
      <c r="H100" s="220">
        <f>SUM(E100)-SUM(F100)</f>
        <v/>
      </c>
      <c r="I100" s="221">
        <f>IF(A100="Total",VLOOKUP(B100,CORRESPONDANCE[#All],2,FALSE),I101)</f>
        <v/>
      </c>
      <c r="J100" s="350">
        <f>LEFT(A100,1)</f>
        <v/>
      </c>
      <c r="K100" s="347">
        <f>"GLR5"&amp;" - "&amp;A100</f>
        <v/>
      </c>
      <c r="L100" s="347">
        <f>+VLOOKUP(K100,TL[],4,FALSE)</f>
        <v/>
      </c>
    </row>
    <row r="101">
      <c r="A101" s="348" t="inlineStr">
        <is>
          <t>615661</t>
        </is>
      </c>
      <c r="B101" s="348" t="inlineStr">
        <is>
          <t>Contrat steeple</t>
        </is>
      </c>
      <c r="C101" s="348" t="n">
        <v>73.17</v>
      </c>
      <c r="D101" s="348" t="inlineStr"/>
      <c r="E101" s="348" t="n">
        <v>73.17</v>
      </c>
      <c r="F101" s="348" t="inlineStr"/>
      <c r="G101" s="220">
        <f>SUM(C101)-SUM(D101)</f>
        <v/>
      </c>
      <c r="H101" s="220">
        <f>SUM(E101)-SUM(F101)</f>
        <v/>
      </c>
      <c r="I101" s="221">
        <f>IF(A101="Total",VLOOKUP(B101,CORRESPONDANCE[#All],2,FALSE),I102)</f>
        <v/>
      </c>
      <c r="J101" s="350">
        <f>LEFT(A101,1)</f>
        <v/>
      </c>
      <c r="K101" s="347">
        <f>"GLR5"&amp;" - "&amp;A101</f>
        <v/>
      </c>
      <c r="L101" s="347">
        <f>+VLOOKUP(K101,TL[],4,FALSE)</f>
        <v/>
      </c>
    </row>
    <row r="102">
      <c r="A102" s="348" t="inlineStr">
        <is>
          <t>615662</t>
        </is>
      </c>
      <c r="B102" s="348" t="inlineStr">
        <is>
          <t>Applicat suivi performance</t>
        </is>
      </c>
      <c r="C102" s="348" t="n">
        <v>168</v>
      </c>
      <c r="D102" s="348" t="inlineStr"/>
      <c r="E102" s="348" t="n">
        <v>168</v>
      </c>
      <c r="F102" s="348" t="inlineStr"/>
      <c r="G102" s="220">
        <f>SUM(C102)-SUM(D102)</f>
        <v/>
      </c>
      <c r="H102" s="220">
        <f>SUM(E102)-SUM(F102)</f>
        <v/>
      </c>
      <c r="I102" s="221">
        <f>IF(A102="Total",VLOOKUP(B102,CORRESPONDANCE[#All],2,FALSE),I103)</f>
        <v/>
      </c>
      <c r="J102" s="350">
        <f>LEFT(A102,1)</f>
        <v/>
      </c>
      <c r="K102" s="347">
        <f>"GLR5"&amp;" - "&amp;A102</f>
        <v/>
      </c>
      <c r="L102" s="347">
        <f>+VLOOKUP(K102,TL[],4,FALSE)</f>
        <v/>
      </c>
    </row>
    <row r="103">
      <c r="A103" s="348" t="inlineStr">
        <is>
          <t>615663</t>
        </is>
      </c>
      <c r="B103" s="348" t="inlineStr">
        <is>
          <t>Contrat coates</t>
        </is>
      </c>
      <c r="C103" s="348" t="n">
        <v>76.7</v>
      </c>
      <c r="D103" s="348" t="inlineStr"/>
      <c r="E103" s="348" t="n">
        <v>76.7</v>
      </c>
      <c r="F103" s="348" t="inlineStr"/>
      <c r="G103" s="220">
        <f>SUM(C103)-SUM(D103)</f>
        <v/>
      </c>
      <c r="H103" s="220">
        <f>SUM(E103)-SUM(F103)</f>
        <v/>
      </c>
      <c r="I103" s="221">
        <f>IF(A103="Total",VLOOKUP(B103,CORRESPONDANCE[#All],2,FALSE),I104)</f>
        <v/>
      </c>
      <c r="J103" s="350">
        <f>LEFT(A103,1)</f>
        <v/>
      </c>
      <c r="K103" s="347">
        <f>"GLR5"&amp;" - "&amp;A103</f>
        <v/>
      </c>
      <c r="L103" s="347">
        <f>+VLOOKUP(K103,TL[],4,FALSE)</f>
        <v/>
      </c>
    </row>
    <row r="104">
      <c r="A104" s="348" t="inlineStr">
        <is>
          <t>626300</t>
        </is>
      </c>
      <c r="B104" s="348" t="inlineStr">
        <is>
          <t>Connexion TPE</t>
        </is>
      </c>
      <c r="C104" s="348" t="n">
        <v>15.89</v>
      </c>
      <c r="D104" s="348" t="inlineStr"/>
      <c r="E104" s="348" t="n">
        <v>15.89</v>
      </c>
      <c r="F104" s="348" t="inlineStr"/>
      <c r="G104" s="220">
        <f>SUM(C104)-SUM(D104)</f>
        <v/>
      </c>
      <c r="H104" s="220">
        <f>SUM(E104)-SUM(F104)</f>
        <v/>
      </c>
      <c r="I104" s="221">
        <f>IF(A104="Total",VLOOKUP(B104,CORRESPONDANCE[#All],2,FALSE),I105)</f>
        <v/>
      </c>
      <c r="J104" s="350">
        <f>LEFT(A104,1)</f>
        <v/>
      </c>
      <c r="K104" s="347">
        <f>"GLR5"&amp;" - "&amp;A104</f>
        <v/>
      </c>
      <c r="L104" s="347">
        <f>+VLOOKUP(K104,TL[],4,FALSE)</f>
        <v/>
      </c>
    </row>
    <row r="105">
      <c r="A105" s="348" t="inlineStr">
        <is>
          <t>647516</t>
        </is>
      </c>
      <c r="B105" s="348" t="inlineStr">
        <is>
          <t>Medecine du travail</t>
        </is>
      </c>
      <c r="C105" s="348" t="n">
        <v>500</v>
      </c>
      <c r="D105" s="348" t="inlineStr"/>
      <c r="E105" s="348" t="n">
        <v>500</v>
      </c>
      <c r="F105" s="348" t="inlineStr"/>
      <c r="G105" s="220">
        <f>SUM(C105)-SUM(D105)</f>
        <v/>
      </c>
      <c r="H105" s="220">
        <f>SUM(E105)-SUM(F105)</f>
        <v/>
      </c>
      <c r="I105" s="221">
        <f>IF(A105="Total",VLOOKUP(B105,CORRESPONDANCE[#All],2,FALSE),I106)</f>
        <v/>
      </c>
      <c r="J105" s="350">
        <f>LEFT(A105,1)</f>
        <v/>
      </c>
      <c r="K105" s="347">
        <f>"GLR5"&amp;" - "&amp;A105</f>
        <v/>
      </c>
      <c r="L105" s="347">
        <f>+VLOOKUP(K105,TL[],4,FALSE)</f>
        <v/>
      </c>
    </row>
    <row r="106">
      <c r="A106" s="348" t="inlineStr">
        <is>
          <t>651600</t>
        </is>
      </c>
      <c r="B106" s="348" t="inlineStr">
        <is>
          <t>Redevance Sacem spre</t>
        </is>
      </c>
      <c r="C106" s="348" t="n">
        <v>101</v>
      </c>
      <c r="D106" s="348" t="inlineStr"/>
      <c r="E106" s="348" t="n">
        <v>101</v>
      </c>
      <c r="F106" s="348" t="inlineStr"/>
      <c r="G106" s="220">
        <f>SUM(C106)-SUM(D106)</f>
        <v/>
      </c>
      <c r="H106" s="220">
        <f>SUM(E106)-SUM(F106)</f>
        <v/>
      </c>
      <c r="I106" s="221">
        <f>IF(A106="Total",VLOOKUP(B106,CORRESPONDANCE[#All],2,FALSE),I107)</f>
        <v/>
      </c>
      <c r="J106" s="350">
        <f>LEFT(A106,1)</f>
        <v/>
      </c>
      <c r="K106" s="347">
        <f>"GLR5"&amp;" - "&amp;A106</f>
        <v/>
      </c>
      <c r="L106" s="347">
        <f>+VLOOKUP(K106,TL[],4,FALSE)</f>
        <v/>
      </c>
    </row>
    <row r="107">
      <c r="A107" s="348" t="inlineStr">
        <is>
          <t>651700</t>
        </is>
      </c>
      <c r="B107" s="348" t="inlineStr">
        <is>
          <t>Redevance interway</t>
        </is>
      </c>
      <c r="C107" s="348" t="n">
        <v>247.65</v>
      </c>
      <c r="D107" s="348" t="inlineStr"/>
      <c r="E107" s="348" t="n">
        <v>247.65</v>
      </c>
      <c r="F107" s="348" t="inlineStr"/>
      <c r="G107" s="220">
        <f>SUM(C107)-SUM(D107)</f>
        <v/>
      </c>
      <c r="H107" s="220">
        <f>SUM(E107)-SUM(F107)</f>
        <v/>
      </c>
      <c r="I107" s="221">
        <f>IF(A107="Total",VLOOKUP(B107,CORRESPONDANCE[#All],2,FALSE),I108)</f>
        <v/>
      </c>
      <c r="J107" s="350">
        <f>LEFT(A107,1)</f>
        <v/>
      </c>
      <c r="K107" s="347">
        <f>"GLR5"&amp;" - "&amp;A107</f>
        <v/>
      </c>
      <c r="L107" s="347">
        <f>+VLOOKUP(K107,TL[],4,FALSE)</f>
        <v/>
      </c>
    </row>
    <row r="108">
      <c r="A108" s="348" t="inlineStr">
        <is>
          <t>708100</t>
        </is>
      </c>
      <c r="B108" s="348" t="inlineStr">
        <is>
          <t>Refacturation d'huile usagée</t>
        </is>
      </c>
      <c r="C108" s="348" t="n">
        <v>1</v>
      </c>
      <c r="D108" s="348" t="inlineStr"/>
      <c r="E108" s="348" t="n">
        <v>1</v>
      </c>
      <c r="F108" s="348" t="inlineStr"/>
      <c r="G108" s="220">
        <f>SUM(C108)-SUM(D108)</f>
        <v/>
      </c>
      <c r="H108" s="220">
        <f>SUM(E108)-SUM(F108)</f>
        <v/>
      </c>
      <c r="I108" s="221">
        <f>IF(A108="Total",VLOOKUP(B108,CORRESPONDANCE[#All],2,FALSE),I109)</f>
        <v/>
      </c>
      <c r="J108" s="350">
        <f>LEFT(A108,1)</f>
        <v/>
      </c>
      <c r="K108" s="347">
        <f>"GLR5"&amp;" - "&amp;A108</f>
        <v/>
      </c>
      <c r="L108" s="347">
        <f>+VLOOKUP(K108,TL[],4,FALSE)</f>
        <v/>
      </c>
    </row>
    <row r="109">
      <c r="A109" s="348" t="inlineStr">
        <is>
          <t>Total</t>
        </is>
      </c>
      <c r="B109" s="348" t="inlineStr">
        <is>
          <t>Table n°2  -  Autres Services Extérieurs</t>
        </is>
      </c>
      <c r="C109" s="348" t="n">
        <v>8530.6</v>
      </c>
      <c r="D109" s="348" t="inlineStr"/>
      <c r="E109" s="348" t="n">
        <v>8530.6</v>
      </c>
      <c r="F109" s="348" t="inlineStr"/>
      <c r="G109" s="220">
        <f>SUM(C109)-SUM(D109)</f>
        <v/>
      </c>
      <c r="H109" s="220">
        <f>SUM(E109)-SUM(F109)</f>
        <v/>
      </c>
      <c r="I109" s="221">
        <f>IF(A109="Total",VLOOKUP(B109,CORRESPONDANCE[#All],2,FALSE),I110)</f>
        <v/>
      </c>
      <c r="J109" s="350">
        <f>LEFT(A109,1)</f>
        <v/>
      </c>
      <c r="K109" s="347">
        <f>"GLR5"&amp;" - "&amp;A109</f>
        <v/>
      </c>
      <c r="L109" s="347">
        <f>+VLOOKUP(K109,TL[],4,FALSE)</f>
        <v/>
      </c>
    </row>
    <row r="110">
      <c r="A110" s="348" t="inlineStr">
        <is>
          <t>622800</t>
        </is>
      </c>
      <c r="B110" s="348" t="inlineStr">
        <is>
          <t>Commissions uber</t>
        </is>
      </c>
      <c r="C110" s="348" t="n">
        <v>10807.3</v>
      </c>
      <c r="D110" s="348" t="inlineStr"/>
      <c r="E110" s="348" t="n">
        <v>10807.3</v>
      </c>
      <c r="F110" s="348" t="inlineStr"/>
      <c r="G110" s="220">
        <f>SUM(C110)-SUM(D110)</f>
        <v/>
      </c>
      <c r="H110" s="220">
        <f>SUM(E110)-SUM(F110)</f>
        <v/>
      </c>
      <c r="I110" s="221">
        <f>IF(A110="Total",VLOOKUP(B110,CORRESPONDANCE[#All],2,FALSE),I111)</f>
        <v/>
      </c>
      <c r="J110" s="350">
        <f>LEFT(A110,1)</f>
        <v/>
      </c>
      <c r="K110" s="347">
        <f>"GLR5"&amp;" - "&amp;A110</f>
        <v/>
      </c>
      <c r="L110" s="347">
        <f>+VLOOKUP(K110,TL[],4,FALSE)</f>
        <v/>
      </c>
    </row>
    <row r="111">
      <c r="A111" s="348" t="inlineStr">
        <is>
          <t>622810</t>
        </is>
      </c>
      <c r="B111" s="348" t="inlineStr">
        <is>
          <t>Commissions deliveroo</t>
        </is>
      </c>
      <c r="C111" s="348" t="n">
        <v>265.98</v>
      </c>
      <c r="D111" s="348" t="inlineStr"/>
      <c r="E111" s="348" t="n">
        <v>265.98</v>
      </c>
      <c r="F111" s="348" t="inlineStr"/>
      <c r="G111" s="220">
        <f>SUM(C111)-SUM(D111)</f>
        <v/>
      </c>
      <c r="H111" s="220">
        <f>SUM(E111)-SUM(F111)</f>
        <v/>
      </c>
      <c r="I111" s="221">
        <f>IF(A111="Total",VLOOKUP(B111,CORRESPONDANCE[#All],2,FALSE),I112)</f>
        <v/>
      </c>
      <c r="J111" s="350">
        <f>LEFT(A111,1)</f>
        <v/>
      </c>
      <c r="K111" s="347">
        <f>"GLR5"&amp;" - "&amp;A111</f>
        <v/>
      </c>
      <c r="L111" s="347">
        <f>+VLOOKUP(K111,TL[],4,FALSE)</f>
        <v/>
      </c>
    </row>
    <row r="112">
      <c r="A112" s="348" t="inlineStr">
        <is>
          <t>Total</t>
        </is>
      </c>
      <c r="B112" s="348" t="inlineStr">
        <is>
          <t>Table n°2  -  Commissions Food Tech</t>
        </is>
      </c>
      <c r="C112" s="348" t="n">
        <v>11073.28</v>
      </c>
      <c r="D112" s="348" t="inlineStr"/>
      <c r="E112" s="348" t="n">
        <v>11073.28</v>
      </c>
      <c r="F112" s="348" t="inlineStr"/>
      <c r="G112" s="220">
        <f>SUM(C112)-SUM(D112)</f>
        <v/>
      </c>
      <c r="H112" s="220">
        <f>SUM(E112)-SUM(F112)</f>
        <v/>
      </c>
      <c r="I112" s="221">
        <f>IF(A112="Total",VLOOKUP(B112,CORRESPONDANCE[#All],2,FALSE),I113)</f>
        <v/>
      </c>
      <c r="J112" s="350">
        <f>LEFT(A112,1)</f>
        <v/>
      </c>
      <c r="K112" s="347">
        <f>"GLR5"&amp;" - "&amp;A112</f>
        <v/>
      </c>
      <c r="L112" s="347">
        <f>+VLOOKUP(K112,TL[],4,FALSE)</f>
        <v/>
      </c>
    </row>
    <row r="113">
      <c r="A113" s="348" t="inlineStr">
        <is>
          <t>623000</t>
        </is>
      </c>
      <c r="B113" s="348" t="inlineStr">
        <is>
          <t>Publicite gie</t>
        </is>
      </c>
      <c r="C113" s="348" t="n">
        <v>16824.8</v>
      </c>
      <c r="D113" s="348" t="inlineStr"/>
      <c r="E113" s="348" t="n">
        <v>16824.8</v>
      </c>
      <c r="F113" s="348" t="inlineStr"/>
      <c r="G113" s="220">
        <f>SUM(C113)-SUM(D113)</f>
        <v/>
      </c>
      <c r="H113" s="220">
        <f>SUM(E113)-SUM(F113)</f>
        <v/>
      </c>
      <c r="I113" s="221">
        <f>IF(A113="Total",VLOOKUP(B113,CORRESPONDANCE[#All],2,FALSE),I114)</f>
        <v/>
      </c>
      <c r="J113" s="350">
        <f>LEFT(A113,1)</f>
        <v/>
      </c>
      <c r="K113" s="347">
        <f>"GLR5"&amp;" - "&amp;A113</f>
        <v/>
      </c>
      <c r="L113" s="347">
        <f>+VLOOKUP(K113,TL[],4,FALSE)</f>
        <v/>
      </c>
    </row>
    <row r="114">
      <c r="A114" s="348" t="inlineStr">
        <is>
          <t>Total</t>
        </is>
      </c>
      <c r="B114" s="348" t="inlineStr">
        <is>
          <t>Table n°2  -  Publicité GIE</t>
        </is>
      </c>
      <c r="C114" s="348" t="n">
        <v>16824.8</v>
      </c>
      <c r="D114" s="348" t="inlineStr"/>
      <c r="E114" s="348" t="n">
        <v>16824.8</v>
      </c>
      <c r="F114" s="348" t="inlineStr"/>
      <c r="G114" s="220">
        <f>SUM(C114)-SUM(D114)</f>
        <v/>
      </c>
      <c r="H114" s="220">
        <f>SUM(E114)-SUM(F114)</f>
        <v/>
      </c>
      <c r="I114" s="221">
        <f>IF(A114="Total",VLOOKUP(B114,CORRESPONDANCE[#All],2,FALSE),I115)</f>
        <v/>
      </c>
      <c r="J114" s="350">
        <f>LEFT(A114,1)</f>
        <v/>
      </c>
      <c r="K114" s="347">
        <f>"GLR5"&amp;" - "&amp;A114</f>
        <v/>
      </c>
      <c r="L114" s="347">
        <f>+VLOOKUP(K114,TL[],4,FALSE)</f>
        <v/>
      </c>
    </row>
    <row r="115">
      <c r="A115" s="348" t="inlineStr">
        <is>
          <t>623050</t>
        </is>
      </c>
      <c r="B115" s="348" t="inlineStr">
        <is>
          <t>Publicité locale</t>
        </is>
      </c>
      <c r="C115" s="348" t="n">
        <v>2700</v>
      </c>
      <c r="D115" s="348" t="inlineStr"/>
      <c r="E115" s="348" t="n">
        <v>2700</v>
      </c>
      <c r="F115" s="348" t="inlineStr"/>
      <c r="G115" s="220">
        <f>SUM(C115)-SUM(D115)</f>
        <v/>
      </c>
      <c r="H115" s="220">
        <f>SUM(E115)-SUM(F115)</f>
        <v/>
      </c>
      <c r="I115" s="221">
        <f>IF(A115="Total",VLOOKUP(B115,CORRESPONDANCE[#All],2,FALSE),I116)</f>
        <v/>
      </c>
      <c r="J115" s="350">
        <f>LEFT(A115,1)</f>
        <v/>
      </c>
      <c r="K115" s="347">
        <f>"GLR5"&amp;" - "&amp;A115</f>
        <v/>
      </c>
      <c r="L115" s="347">
        <f>+VLOOKUP(K115,TL[],4,FALSE)</f>
        <v/>
      </c>
    </row>
    <row r="116">
      <c r="A116" s="348" t="inlineStr">
        <is>
          <t>623401</t>
        </is>
      </c>
      <c r="B116" s="348" t="inlineStr">
        <is>
          <t>Promotions</t>
        </is>
      </c>
      <c r="C116" s="348" t="n">
        <v>3864.32</v>
      </c>
      <c r="D116" s="348" t="inlineStr"/>
      <c r="E116" s="348" t="n">
        <v>3864.32</v>
      </c>
      <c r="F116" s="348" t="inlineStr"/>
      <c r="G116" s="220">
        <f>SUM(C116)-SUM(D116)</f>
        <v/>
      </c>
      <c r="H116" s="220">
        <f>SUM(E116)-SUM(F116)</f>
        <v/>
      </c>
      <c r="I116" s="221">
        <f>IF(A116="Total",VLOOKUP(B116,CORRESPONDANCE[#All],2,FALSE),I117)</f>
        <v/>
      </c>
      <c r="J116" s="350">
        <f>LEFT(A116,1)</f>
        <v/>
      </c>
      <c r="K116" s="347">
        <f>"GLR5"&amp;" - "&amp;A116</f>
        <v/>
      </c>
      <c r="L116" s="347">
        <f>+VLOOKUP(K116,TL[],4,FALSE)</f>
        <v/>
      </c>
    </row>
    <row r="117">
      <c r="A117" s="348" t="inlineStr">
        <is>
          <t>623415</t>
        </is>
      </c>
      <c r="B117" s="348" t="inlineStr">
        <is>
          <t>Premiums</t>
        </is>
      </c>
      <c r="C117" s="348" t="n">
        <v>1759.95</v>
      </c>
      <c r="D117" s="348" t="inlineStr"/>
      <c r="E117" s="348" t="n">
        <v>1759.95</v>
      </c>
      <c r="F117" s="348" t="inlineStr"/>
      <c r="G117" s="220">
        <f>SUM(C117)-SUM(D117)</f>
        <v/>
      </c>
      <c r="H117" s="220">
        <f>SUM(E117)-SUM(F117)</f>
        <v/>
      </c>
      <c r="I117" s="221">
        <f>IF(A117="Total",VLOOKUP(B117,CORRESPONDANCE[#All],2,FALSE),I118)</f>
        <v/>
      </c>
      <c r="J117" s="350">
        <f>LEFT(A117,1)</f>
        <v/>
      </c>
      <c r="K117" s="347">
        <f>"GLR5"&amp;" - "&amp;A117</f>
        <v/>
      </c>
      <c r="L117" s="347">
        <f>+VLOOKUP(K117,TL[],4,FALSE)</f>
        <v/>
      </c>
    </row>
    <row r="118">
      <c r="A118" s="348" t="inlineStr">
        <is>
          <t>708890</t>
        </is>
      </c>
      <c r="B118" s="348" t="inlineStr">
        <is>
          <t>Refacturation publicite</t>
        </is>
      </c>
      <c r="C118" s="348" t="n">
        <v>1</v>
      </c>
      <c r="D118" s="348" t="inlineStr"/>
      <c r="E118" s="348" t="n">
        <v>1</v>
      </c>
      <c r="F118" s="348" t="inlineStr"/>
      <c r="G118" s="220">
        <f>SUM(C118)-SUM(D118)</f>
        <v/>
      </c>
      <c r="H118" s="220">
        <f>SUM(E118)-SUM(F118)</f>
        <v/>
      </c>
      <c r="I118" s="221">
        <f>IF(A118="Total",VLOOKUP(B118,CORRESPONDANCE[#All],2,FALSE),I119)</f>
        <v/>
      </c>
      <c r="J118" s="350">
        <f>LEFT(A118,1)</f>
        <v/>
      </c>
      <c r="K118" s="347">
        <f>"GLR5"&amp;" - "&amp;A118</f>
        <v/>
      </c>
      <c r="L118" s="347">
        <f>+VLOOKUP(K118,TL[],4,FALSE)</f>
        <v/>
      </c>
    </row>
    <row r="119">
      <c r="A119" s="348" t="inlineStr">
        <is>
          <t>Total</t>
        </is>
      </c>
      <c r="B119" s="348" t="inlineStr">
        <is>
          <t>Table n°2  -  Promotion locale</t>
        </is>
      </c>
      <c r="C119" s="348" t="n">
        <v>8325.27</v>
      </c>
      <c r="D119" s="348" t="inlineStr"/>
      <c r="E119" s="348" t="n">
        <v>8325.27</v>
      </c>
      <c r="F119" s="348" t="inlineStr"/>
      <c r="G119" s="220">
        <f>SUM(C119)-SUM(D119)</f>
        <v/>
      </c>
      <c r="H119" s="220">
        <f>SUM(E119)-SUM(F119)</f>
        <v/>
      </c>
      <c r="I119" s="221">
        <f>IF(A119="Total",VLOOKUP(B119,CORRESPONDANCE[#All],2,FALSE),I120)</f>
        <v/>
      </c>
      <c r="J119" s="350">
        <f>LEFT(A119,1)</f>
        <v/>
      </c>
      <c r="K119" s="347">
        <f>"GLR5"&amp;" - "&amp;A119</f>
        <v/>
      </c>
      <c r="L119" s="347">
        <f>+VLOOKUP(K119,TL[],4,FALSE)</f>
        <v/>
      </c>
    </row>
    <row r="120">
      <c r="A120" s="348" t="inlineStr">
        <is>
          <t>606110</t>
        </is>
      </c>
      <c r="B120" s="348" t="inlineStr">
        <is>
          <t>Eau</t>
        </is>
      </c>
      <c r="C120" s="348" t="n">
        <v>999</v>
      </c>
      <c r="D120" s="348" t="inlineStr"/>
      <c r="E120" s="348" t="n">
        <v>999</v>
      </c>
      <c r="F120" s="348" t="inlineStr"/>
      <c r="G120" s="220">
        <f>SUM(C120)-SUM(D120)</f>
        <v/>
      </c>
      <c r="H120" s="220">
        <f>SUM(E120)-SUM(F120)</f>
        <v/>
      </c>
      <c r="I120" s="221">
        <f>IF(A120="Total",VLOOKUP(B120,CORRESPONDANCE[#All],2,FALSE),I121)</f>
        <v/>
      </c>
      <c r="J120" s="350">
        <f>LEFT(A120,1)</f>
        <v/>
      </c>
      <c r="K120" s="347">
        <f>"GLR5"&amp;" - "&amp;A120</f>
        <v/>
      </c>
      <c r="L120" s="347">
        <f>+VLOOKUP(K120,TL[],4,FALSE)</f>
        <v/>
      </c>
    </row>
    <row r="121">
      <c r="A121" s="348" t="inlineStr">
        <is>
          <t>606120</t>
        </is>
      </c>
      <c r="B121" s="348" t="inlineStr">
        <is>
          <t>Edf</t>
        </is>
      </c>
      <c r="C121" s="348" t="n">
        <v>10053</v>
      </c>
      <c r="D121" s="348" t="inlineStr"/>
      <c r="E121" s="348" t="n">
        <v>10053</v>
      </c>
      <c r="F121" s="348" t="inlineStr"/>
      <c r="G121" s="220">
        <f>SUM(C121)-SUM(D121)</f>
        <v/>
      </c>
      <c r="H121" s="220">
        <f>SUM(E121)-SUM(F121)</f>
        <v/>
      </c>
      <c r="I121" s="221">
        <f>IF(A121="Total",VLOOKUP(B121,CORRESPONDANCE[#All],2,FALSE),I122)</f>
        <v/>
      </c>
      <c r="J121" s="350">
        <f>LEFT(A121,1)</f>
        <v/>
      </c>
      <c r="K121" s="347">
        <f>"GLR5"&amp;" - "&amp;A121</f>
        <v/>
      </c>
      <c r="L121" s="347">
        <f>+VLOOKUP(K121,TL[],4,FALSE)</f>
        <v/>
      </c>
    </row>
    <row r="122">
      <c r="A122" s="348" t="inlineStr">
        <is>
          <t>606150</t>
        </is>
      </c>
      <c r="B122" s="348" t="inlineStr">
        <is>
          <t>Gaz</t>
        </is>
      </c>
      <c r="C122" s="348" t="n">
        <v>249</v>
      </c>
      <c r="D122" s="348" t="inlineStr"/>
      <c r="E122" s="348" t="n">
        <v>249</v>
      </c>
      <c r="F122" s="348" t="inlineStr"/>
      <c r="G122" s="220">
        <f>SUM(C122)-SUM(D122)</f>
        <v/>
      </c>
      <c r="H122" s="220">
        <f>SUM(E122)-SUM(F122)</f>
        <v/>
      </c>
      <c r="I122" s="221">
        <f>IF(A122="Total",VLOOKUP(B122,CORRESPONDANCE[#All],2,FALSE),I123)</f>
        <v/>
      </c>
      <c r="J122" s="350">
        <f>LEFT(A122,1)</f>
        <v/>
      </c>
      <c r="K122" s="347">
        <f>"GLR5"&amp;" - "&amp;A122</f>
        <v/>
      </c>
      <c r="L122" s="347">
        <f>+VLOOKUP(K122,TL[],4,FALSE)</f>
        <v/>
      </c>
    </row>
    <row r="123">
      <c r="A123" s="348" t="inlineStr">
        <is>
          <t>626000</t>
        </is>
      </c>
      <c r="B123" s="348" t="inlineStr">
        <is>
          <t>Frais postaux et telecom</t>
        </is>
      </c>
      <c r="C123" s="348" t="n">
        <v>21.4</v>
      </c>
      <c r="D123" s="348" t="inlineStr"/>
      <c r="E123" s="348" t="n">
        <v>21.4</v>
      </c>
      <c r="F123" s="348" t="inlineStr"/>
      <c r="G123" s="220">
        <f>SUM(C123)-SUM(D123)</f>
        <v/>
      </c>
      <c r="H123" s="220">
        <f>SUM(E123)-SUM(F123)</f>
        <v/>
      </c>
      <c r="I123" s="221">
        <f>IF(A123="Total",VLOOKUP(B123,CORRESPONDANCE[#All],2,FALSE),I124)</f>
        <v/>
      </c>
      <c r="J123" s="350">
        <f>LEFT(A123,1)</f>
        <v/>
      </c>
      <c r="K123" s="347">
        <f>"GLR5"&amp;" - "&amp;A123</f>
        <v/>
      </c>
      <c r="L123" s="347">
        <f>+VLOOKUP(K123,TL[],4,FALSE)</f>
        <v/>
      </c>
    </row>
    <row r="124">
      <c r="A124" s="348" t="inlineStr">
        <is>
          <t>626200</t>
        </is>
      </c>
      <c r="B124" s="348" t="inlineStr">
        <is>
          <t>Téléphone</t>
        </is>
      </c>
      <c r="C124" s="348" t="n">
        <v>724</v>
      </c>
      <c r="D124" s="348" t="inlineStr"/>
      <c r="E124" s="348" t="n">
        <v>724</v>
      </c>
      <c r="F124" s="348" t="inlineStr"/>
      <c r="G124" s="220">
        <f>SUM(C124)-SUM(D124)</f>
        <v/>
      </c>
      <c r="H124" s="220">
        <f>SUM(E124)-SUM(F124)</f>
        <v/>
      </c>
      <c r="I124" s="221">
        <f>IF(A124="Total",VLOOKUP(B124,CORRESPONDANCE[#All],2,FALSE),I125)</f>
        <v/>
      </c>
      <c r="J124" s="350">
        <f>LEFT(A124,1)</f>
        <v/>
      </c>
      <c r="K124" s="347">
        <f>"GLR5"&amp;" - "&amp;A124</f>
        <v/>
      </c>
      <c r="L124" s="347">
        <f>+VLOOKUP(K124,TL[],4,FALSE)</f>
        <v/>
      </c>
    </row>
    <row r="125">
      <c r="A125" s="348" t="inlineStr">
        <is>
          <t>Total</t>
        </is>
      </c>
      <c r="B125" s="348" t="inlineStr">
        <is>
          <t>Table n°2  -  Electricité, eau, gaz, téléphone</t>
        </is>
      </c>
      <c r="C125" s="348" t="n">
        <v>12046.4</v>
      </c>
      <c r="D125" s="348" t="inlineStr"/>
      <c r="E125" s="348" t="n">
        <v>12046.4</v>
      </c>
      <c r="F125" s="348" t="inlineStr"/>
      <c r="G125" s="220">
        <f>SUM(C125)-SUM(D125)</f>
        <v/>
      </c>
      <c r="H125" s="220">
        <f>SUM(E125)-SUM(F125)</f>
        <v/>
      </c>
      <c r="I125" s="221">
        <f>IF(A125="Total",VLOOKUP(B125,CORRESPONDANCE[#All],2,FALSE),I126)</f>
        <v/>
      </c>
      <c r="J125" s="350">
        <f>LEFT(A125,1)</f>
        <v/>
      </c>
      <c r="K125" s="347">
        <f>"GLR5"&amp;" - "&amp;A125</f>
        <v/>
      </c>
      <c r="L125" s="347">
        <f>+VLOOKUP(K125,TL[],4,FALSE)</f>
        <v/>
      </c>
    </row>
    <row r="126">
      <c r="A126" s="348" t="inlineStr">
        <is>
          <t>606302</t>
        </is>
      </c>
      <c r="B126" s="348" t="inlineStr">
        <is>
          <t>Pdt entretien</t>
        </is>
      </c>
      <c r="C126" s="348" t="n">
        <v>2647.2</v>
      </c>
      <c r="D126" s="348" t="inlineStr"/>
      <c r="E126" s="348" t="n">
        <v>2647.2</v>
      </c>
      <c r="F126" s="348" t="inlineStr"/>
      <c r="G126" s="220">
        <f>SUM(C126)-SUM(D126)</f>
        <v/>
      </c>
      <c r="H126" s="220">
        <f>SUM(E126)-SUM(F126)</f>
        <v/>
      </c>
      <c r="I126" s="221">
        <f>IF(A126="Total",VLOOKUP(B126,CORRESPONDANCE[#All],2,FALSE),I127)</f>
        <v/>
      </c>
      <c r="J126" s="350">
        <f>LEFT(A126,1)</f>
        <v/>
      </c>
      <c r="K126" s="347">
        <f>"GLR5"&amp;" - "&amp;A126</f>
        <v/>
      </c>
      <c r="L126" s="347">
        <f>+VLOOKUP(K126,TL[],4,FALSE)</f>
        <v/>
      </c>
    </row>
    <row r="127">
      <c r="A127" s="348" t="inlineStr">
        <is>
          <t>606401</t>
        </is>
      </c>
      <c r="B127" s="348" t="inlineStr">
        <is>
          <t>Fournitures de bureau</t>
        </is>
      </c>
      <c r="C127" s="348" t="n">
        <v>97.8</v>
      </c>
      <c r="D127" s="348" t="inlineStr"/>
      <c r="E127" s="348" t="n">
        <v>97.8</v>
      </c>
      <c r="F127" s="348" t="inlineStr"/>
      <c r="G127" s="220">
        <f>SUM(C127)-SUM(D127)</f>
        <v/>
      </c>
      <c r="H127" s="220">
        <f>SUM(E127)-SUM(F127)</f>
        <v/>
      </c>
      <c r="I127" s="221">
        <f>IF(A127="Total",VLOOKUP(B127,CORRESPONDANCE[#All],2,FALSE),I128)</f>
        <v/>
      </c>
      <c r="J127" s="350">
        <f>LEFT(A127,1)</f>
        <v/>
      </c>
      <c r="K127" s="347">
        <f>"GLR5"&amp;" - "&amp;A127</f>
        <v/>
      </c>
      <c r="L127" s="347">
        <f>+VLOOKUP(K127,TL[],4,FALSE)</f>
        <v/>
      </c>
    </row>
    <row r="128">
      <c r="A128" s="348" t="inlineStr">
        <is>
          <t>Total</t>
        </is>
      </c>
      <c r="B128" s="348" t="inlineStr">
        <is>
          <t>Table n°2  -  Fournitures exploitation et bureau</t>
        </is>
      </c>
      <c r="C128" s="348" t="n">
        <v>2745</v>
      </c>
      <c r="D128" s="348" t="inlineStr"/>
      <c r="E128" s="348" t="n">
        <v>2745</v>
      </c>
      <c r="F128" s="348" t="inlineStr"/>
      <c r="G128" s="220">
        <f>SUM(C128)-SUM(D128)</f>
        <v/>
      </c>
      <c r="H128" s="220">
        <f>SUM(E128)-SUM(F128)</f>
        <v/>
      </c>
      <c r="I128" s="221">
        <f>IF(A128="Total",VLOOKUP(B128,CORRESPONDANCE[#All],2,FALSE),I129)</f>
        <v/>
      </c>
      <c r="J128" s="350">
        <f>LEFT(A128,1)</f>
        <v/>
      </c>
      <c r="K128" s="347">
        <f>"GLR5"&amp;" - "&amp;A128</f>
        <v/>
      </c>
      <c r="L128" s="347">
        <f>+VLOOKUP(K128,TL[],4,FALSE)</f>
        <v/>
      </c>
    </row>
    <row r="129">
      <c r="A129" s="348" t="inlineStr">
        <is>
          <t>625200</t>
        </is>
      </c>
      <c r="B129" s="348" t="inlineStr">
        <is>
          <t>Deplacts missions receptio.</t>
        </is>
      </c>
      <c r="C129" s="348" t="n">
        <v>274.13</v>
      </c>
      <c r="D129" s="348" t="inlineStr"/>
      <c r="E129" s="348" t="n">
        <v>274.13</v>
      </c>
      <c r="F129" s="348" t="inlineStr"/>
      <c r="G129" s="220">
        <f>SUM(C129)-SUM(D129)</f>
        <v/>
      </c>
      <c r="H129" s="220">
        <f>SUM(E129)-SUM(F129)</f>
        <v/>
      </c>
      <c r="I129" s="221">
        <f>IF(A129="Total",VLOOKUP(B129,CORRESPONDANCE[#All],2,FALSE),I130)</f>
        <v/>
      </c>
      <c r="J129" s="350">
        <f>LEFT(A129,1)</f>
        <v/>
      </c>
      <c r="K129" s="347">
        <f>"GLR5"&amp;" - "&amp;A129</f>
        <v/>
      </c>
      <c r="L129" s="347">
        <f>+VLOOKUP(K129,TL[],4,FALSE)</f>
        <v/>
      </c>
    </row>
    <row r="130">
      <c r="A130" s="348" t="inlineStr">
        <is>
          <t>Total</t>
        </is>
      </c>
      <c r="B130" s="348" t="inlineStr">
        <is>
          <t>Table n°2  -  Frais de déplacements et Evènements</t>
        </is>
      </c>
      <c r="C130" s="348" t="n">
        <v>274.13</v>
      </c>
      <c r="D130" s="348" t="inlineStr"/>
      <c r="E130" s="348" t="n">
        <v>274.13</v>
      </c>
      <c r="F130" s="348" t="inlineStr"/>
      <c r="G130" s="220">
        <f>SUM(C130)-SUM(D130)</f>
        <v/>
      </c>
      <c r="H130" s="220">
        <f>SUM(E130)-SUM(F130)</f>
        <v/>
      </c>
      <c r="I130" s="221">
        <f>IF(A130="Total",VLOOKUP(B130,CORRESPONDANCE[#All],2,FALSE),I131)</f>
        <v/>
      </c>
      <c r="J130" s="350">
        <f>LEFT(A130,1)</f>
        <v/>
      </c>
      <c r="K130" s="347">
        <f>"GLR5"&amp;" - "&amp;A130</f>
        <v/>
      </c>
      <c r="L130" s="347">
        <f>+VLOOKUP(K130,TL[],4,FALSE)</f>
        <v/>
      </c>
    </row>
    <row r="131">
      <c r="A131" s="348" t="inlineStr">
        <is>
          <t>606303</t>
        </is>
      </c>
      <c r="B131" s="348" t="inlineStr">
        <is>
          <t>Uniformes</t>
        </is>
      </c>
      <c r="C131" s="348" t="n">
        <v>407.13</v>
      </c>
      <c r="D131" s="348" t="inlineStr"/>
      <c r="E131" s="348" t="n">
        <v>407.13</v>
      </c>
      <c r="F131" s="348" t="inlineStr"/>
      <c r="G131" s="220">
        <f>SUM(C131)-SUM(D131)</f>
        <v/>
      </c>
      <c r="H131" s="220">
        <f>SUM(E131)-SUM(F131)</f>
        <v/>
      </c>
      <c r="I131" s="221">
        <f>IF(A131="Total",VLOOKUP(B131,CORRESPONDANCE[#All],2,FALSE),I132)</f>
        <v/>
      </c>
      <c r="J131" s="350">
        <f>LEFT(A131,1)</f>
        <v/>
      </c>
      <c r="K131" s="347">
        <f>"GLR5"&amp;" - "&amp;A131</f>
        <v/>
      </c>
      <c r="L131" s="347">
        <f>+VLOOKUP(K131,TL[],4,FALSE)</f>
        <v/>
      </c>
    </row>
    <row r="132">
      <c r="A132" s="348" t="inlineStr">
        <is>
          <t>625300</t>
        </is>
      </c>
      <c r="B132" s="348" t="inlineStr">
        <is>
          <t>Budget motivation</t>
        </is>
      </c>
      <c r="C132" s="348" t="n">
        <v>410</v>
      </c>
      <c r="D132" s="348" t="inlineStr"/>
      <c r="E132" s="348" t="n">
        <v>410</v>
      </c>
      <c r="F132" s="348" t="inlineStr"/>
      <c r="G132" s="220">
        <f>SUM(C132)-SUM(D132)</f>
        <v/>
      </c>
      <c r="H132" s="220">
        <f>SUM(E132)-SUM(F132)</f>
        <v/>
      </c>
      <c r="I132" s="221">
        <f>IF(A132="Total",VLOOKUP(B132,CORRESPONDANCE[#All],2,FALSE),I133)</f>
        <v/>
      </c>
      <c r="J132" s="350">
        <f>LEFT(A132,1)</f>
        <v/>
      </c>
      <c r="K132" s="347">
        <f>"GLR5"&amp;" - "&amp;A132</f>
        <v/>
      </c>
      <c r="L132" s="347">
        <f>+VLOOKUP(K132,TL[],4,FALSE)</f>
        <v/>
      </c>
    </row>
    <row r="133">
      <c r="A133" s="348" t="inlineStr">
        <is>
          <t>628023</t>
        </is>
      </c>
      <c r="B133" s="348" t="inlineStr">
        <is>
          <t>Frais divers</t>
        </is>
      </c>
      <c r="C133" s="348" t="n">
        <v>286</v>
      </c>
      <c r="D133" s="348" t="inlineStr"/>
      <c r="E133" s="348" t="n">
        <v>286</v>
      </c>
      <c r="F133" s="348" t="inlineStr"/>
      <c r="G133" s="220">
        <f>SUM(C133)-SUM(D133)</f>
        <v/>
      </c>
      <c r="H133" s="220">
        <f>SUM(E133)-SUM(F133)</f>
        <v/>
      </c>
      <c r="I133" s="221">
        <f>IF(A133="Total",VLOOKUP(B133,CORRESPONDANCE[#All],2,FALSE),I134)</f>
        <v/>
      </c>
      <c r="J133" s="350">
        <f>LEFT(A133,1)</f>
        <v/>
      </c>
      <c r="K133" s="347">
        <f>"GLR5"&amp;" - "&amp;A133</f>
        <v/>
      </c>
      <c r="L133" s="347">
        <f>+VLOOKUP(K133,TL[],4,FALSE)</f>
        <v/>
      </c>
    </row>
    <row r="134">
      <c r="A134" s="348" t="inlineStr">
        <is>
          <t>671100</t>
        </is>
      </c>
      <c r="B134" s="348" t="inlineStr">
        <is>
          <t>Ecarts de caisse</t>
        </is>
      </c>
      <c r="C134" s="348" t="n">
        <v>272.35</v>
      </c>
      <c r="D134" s="348" t="inlineStr"/>
      <c r="E134" s="348" t="n">
        <v>272.35</v>
      </c>
      <c r="F134" s="348" t="inlineStr"/>
      <c r="G134" s="220">
        <f>SUM(C134)-SUM(D134)</f>
        <v/>
      </c>
      <c r="H134" s="220">
        <f>SUM(E134)-SUM(F134)</f>
        <v/>
      </c>
      <c r="I134" s="221">
        <f>IF(A134="Total",VLOOKUP(B134,CORRESPONDANCE[#All],2,FALSE),I135)</f>
        <v/>
      </c>
      <c r="J134" s="350">
        <f>LEFT(A134,1)</f>
        <v/>
      </c>
      <c r="K134" s="347">
        <f>"GLR5"&amp;" - "&amp;A134</f>
        <v/>
      </c>
      <c r="L134" s="347">
        <f>+VLOOKUP(K134,TL[],4,FALSE)</f>
        <v/>
      </c>
    </row>
    <row r="135">
      <c r="A135" s="348" t="inlineStr">
        <is>
          <t>771100</t>
        </is>
      </c>
      <c r="B135" s="348" t="inlineStr">
        <is>
          <t>Ecarts de caisse</t>
        </is>
      </c>
      <c r="C135" s="348" t="inlineStr"/>
      <c r="D135" s="348" t="n">
        <v>67.34999999999999</v>
      </c>
      <c r="E135" s="348" t="inlineStr"/>
      <c r="F135" s="348" t="n">
        <v>67.34999999999999</v>
      </c>
      <c r="G135" s="220">
        <f>SUM(C135)-SUM(D135)</f>
        <v/>
      </c>
      <c r="H135" s="220">
        <f>SUM(E135)-SUM(F135)</f>
        <v/>
      </c>
      <c r="I135" s="221">
        <f>IF(A135="Total",VLOOKUP(B135,CORRESPONDANCE[#All],2,FALSE),I136)</f>
        <v/>
      </c>
      <c r="J135" s="350">
        <f>LEFT(A135,1)</f>
        <v/>
      </c>
      <c r="K135" s="347">
        <f>"GLR5"&amp;" - "&amp;A135</f>
        <v/>
      </c>
      <c r="L135" s="347">
        <f>+VLOOKUP(K135,TL[],4,FALSE)</f>
        <v/>
      </c>
    </row>
    <row r="136">
      <c r="A136" s="348" t="inlineStr">
        <is>
          <t>Total</t>
        </is>
      </c>
      <c r="B136" s="348" t="inlineStr">
        <is>
          <t>Table n°2  -  Divers</t>
        </is>
      </c>
      <c r="C136" s="348" t="n">
        <v>1308.13</v>
      </c>
      <c r="D136" s="348" t="inlineStr"/>
      <c r="E136" s="348" t="n">
        <v>1308.13</v>
      </c>
      <c r="F136" s="348" t="inlineStr"/>
      <c r="G136" s="220">
        <f>SUM(C136)-SUM(D136)</f>
        <v/>
      </c>
      <c r="H136" s="220">
        <f>SUM(E136)-SUM(F136)</f>
        <v/>
      </c>
      <c r="I136" s="221">
        <f>IF(A136="Total",VLOOKUP(B136,CORRESPONDANCE[#All],2,FALSE),I137)</f>
        <v/>
      </c>
      <c r="J136" s="350">
        <f>LEFT(A136,1)</f>
        <v/>
      </c>
      <c r="K136" s="347">
        <f>"GLR5"&amp;" - "&amp;A136</f>
        <v/>
      </c>
      <c r="L136" s="347">
        <f>+VLOOKUP(K136,TL[],4,FALSE)</f>
        <v/>
      </c>
    </row>
    <row r="137">
      <c r="A137" s="348" t="inlineStr">
        <is>
          <t>613000</t>
        </is>
      </c>
      <c r="B137" s="348" t="inlineStr">
        <is>
          <t>Loyer redevance standard 15,50%</t>
        </is>
      </c>
      <c r="C137" s="348" t="n">
        <v>65999.25999999999</v>
      </c>
      <c r="D137" s="348" t="inlineStr"/>
      <c r="E137" s="348" t="n">
        <v>65999.25999999999</v>
      </c>
      <c r="F137" s="348" t="inlineStr"/>
      <c r="G137" s="220">
        <f>SUM(C137)-SUM(D137)</f>
        <v/>
      </c>
      <c r="H137" s="220">
        <f>SUM(E137)-SUM(F137)</f>
        <v/>
      </c>
      <c r="I137" s="221">
        <f>IF(A137="Total",VLOOKUP(B137,CORRESPONDANCE[#All],2,FALSE),I138)</f>
        <v/>
      </c>
      <c r="J137" s="350">
        <f>LEFT(A137,1)</f>
        <v/>
      </c>
      <c r="K137" s="347">
        <f>"GLR5"&amp;" - "&amp;A137</f>
        <v/>
      </c>
      <c r="L137" s="347">
        <f>+VLOOKUP(K137,TL[],4,FALSE)</f>
        <v/>
      </c>
    </row>
    <row r="138">
      <c r="A138" s="348" t="inlineStr">
        <is>
          <t>Total</t>
        </is>
      </c>
      <c r="B138" s="348" t="inlineStr">
        <is>
          <t>Table n°2  -  Redevance standard</t>
        </is>
      </c>
      <c r="C138" s="348" t="n">
        <v>65999.25999999999</v>
      </c>
      <c r="D138" s="348" t="inlineStr"/>
      <c r="E138" s="348" t="n">
        <v>65999.25999999999</v>
      </c>
      <c r="F138" s="348" t="inlineStr"/>
      <c r="G138" s="220">
        <f>SUM(C138)-SUM(D138)</f>
        <v/>
      </c>
      <c r="H138" s="220">
        <f>SUM(E138)-SUM(F138)</f>
        <v/>
      </c>
      <c r="I138" s="221">
        <f>IF(A138="Total",VLOOKUP(B138,CORRESPONDANCE[#All],2,FALSE),I139)</f>
        <v/>
      </c>
      <c r="J138" s="350">
        <f>LEFT(A138,1)</f>
        <v/>
      </c>
      <c r="K138" s="347">
        <f>"GLR5"&amp;" - "&amp;A138</f>
        <v/>
      </c>
      <c r="L138" s="347">
        <f>+VLOOKUP(K138,TL[],4,FALSE)</f>
        <v/>
      </c>
    </row>
    <row r="139">
      <c r="A139" s="348" t="inlineStr">
        <is>
          <t>651200</t>
        </is>
      </c>
      <c r="B139" s="348" t="inlineStr">
        <is>
          <t>Avoirs happy meals (15,5%)</t>
        </is>
      </c>
      <c r="C139" s="348" t="inlineStr"/>
      <c r="D139" s="348" t="n">
        <v>803.22</v>
      </c>
      <c r="E139" s="348" t="inlineStr"/>
      <c r="F139" s="348" t="n">
        <v>803.22</v>
      </c>
      <c r="G139" s="220">
        <f>SUM(C139)-SUM(D139)</f>
        <v/>
      </c>
      <c r="H139" s="220">
        <f>SUM(E139)-SUM(F139)</f>
        <v/>
      </c>
      <c r="I139" s="221">
        <f>IF(A139="Total",VLOOKUP(B139,CORRESPONDANCE[#All],2,FALSE),I140)</f>
        <v/>
      </c>
      <c r="J139" s="350">
        <f>LEFT(A139,1)</f>
        <v/>
      </c>
      <c r="K139" s="347">
        <f>"GLR5"&amp;" - "&amp;A139</f>
        <v/>
      </c>
      <c r="L139" s="347">
        <f>+VLOOKUP(K139,TL[],4,FALSE)</f>
        <v/>
      </c>
    </row>
    <row r="140">
      <c r="A140" s="348" t="inlineStr">
        <is>
          <t>651210</t>
        </is>
      </c>
      <c r="B140" s="348" t="inlineStr">
        <is>
          <t>Avoirs happy meals (5%)</t>
        </is>
      </c>
      <c r="C140" s="348" t="inlineStr"/>
      <c r="D140" s="348" t="n">
        <v>258.43</v>
      </c>
      <c r="E140" s="348" t="inlineStr"/>
      <c r="F140" s="348" t="n">
        <v>258.43</v>
      </c>
      <c r="G140" s="220">
        <f>SUM(C140)-SUM(D140)</f>
        <v/>
      </c>
      <c r="H140" s="220">
        <f>SUM(E140)-SUM(F140)</f>
        <v/>
      </c>
      <c r="I140" s="221">
        <f>IF(A140="Total",VLOOKUP(B140,CORRESPONDANCE[#All],2,FALSE),I141)</f>
        <v/>
      </c>
      <c r="J140" s="350">
        <f>LEFT(A140,1)</f>
        <v/>
      </c>
      <c r="K140" s="347">
        <f>"GLR5"&amp;" - "&amp;A140</f>
        <v/>
      </c>
      <c r="L140" s="347">
        <f>+VLOOKUP(K140,TL[],4,FALSE)</f>
        <v/>
      </c>
    </row>
    <row r="141">
      <c r="A141" s="348" t="inlineStr">
        <is>
          <t>Total</t>
        </is>
      </c>
      <c r="B141" s="348" t="inlineStr">
        <is>
          <t>Table n°2  -  Incentives et Avoirs de redevance</t>
        </is>
      </c>
      <c r="C141" s="348" t="inlineStr"/>
      <c r="D141" s="348" t="n">
        <v>1061.65</v>
      </c>
      <c r="E141" s="348" t="inlineStr"/>
      <c r="F141" s="348" t="n">
        <v>1061.65</v>
      </c>
      <c r="G141" s="220">
        <f>SUM(C141)-SUM(D141)</f>
        <v/>
      </c>
      <c r="H141" s="220">
        <f>SUM(E141)-SUM(F141)</f>
        <v/>
      </c>
      <c r="I141" s="221">
        <f>IF(A141="Total",VLOOKUP(B141,CORRESPONDANCE[#All],2,FALSE),I142)</f>
        <v/>
      </c>
      <c r="J141" s="350">
        <f>LEFT(A141,1)</f>
        <v/>
      </c>
      <c r="K141" s="347">
        <f>"GLR5"&amp;" - "&amp;A141</f>
        <v/>
      </c>
      <c r="L141" s="347">
        <f>+VLOOKUP(K141,TL[],4,FALSE)</f>
        <v/>
      </c>
    </row>
    <row r="142">
      <c r="A142" s="348" t="inlineStr">
        <is>
          <t>614100</t>
        </is>
      </c>
      <c r="B142" s="348" t="inlineStr">
        <is>
          <t>Taxe foncières</t>
        </is>
      </c>
      <c r="C142" s="348" t="n">
        <v>789</v>
      </c>
      <c r="D142" s="348" t="inlineStr"/>
      <c r="E142" s="348" t="n">
        <v>789</v>
      </c>
      <c r="F142" s="348" t="inlineStr"/>
      <c r="G142" s="220">
        <f>SUM(C142)-SUM(D142)</f>
        <v/>
      </c>
      <c r="H142" s="220">
        <f>SUM(E142)-SUM(F142)</f>
        <v/>
      </c>
      <c r="I142" s="221">
        <f>IF(A142="Total",VLOOKUP(B142,CORRESPONDANCE[#All],2,FALSE),I143)</f>
        <v/>
      </c>
      <c r="J142" s="350">
        <f>LEFT(A142,1)</f>
        <v/>
      </c>
      <c r="K142" s="347">
        <f>"GLR5"&amp;" - "&amp;A142</f>
        <v/>
      </c>
      <c r="L142" s="347">
        <f>+VLOOKUP(K142,TL[],4,FALSE)</f>
        <v/>
      </c>
    </row>
    <row r="143">
      <c r="A143" s="348" t="inlineStr">
        <is>
          <t>Total</t>
        </is>
      </c>
      <c r="B143" s="348" t="inlineStr">
        <is>
          <t>Table n°2  -  Charges locatives et copro</t>
        </is>
      </c>
      <c r="C143" s="348" t="n">
        <v>789</v>
      </c>
      <c r="D143" s="348" t="inlineStr"/>
      <c r="E143" s="348" t="n">
        <v>789</v>
      </c>
      <c r="F143" s="348" t="inlineStr"/>
      <c r="G143" s="220">
        <f>SUM(C143)-SUM(D143)</f>
        <v/>
      </c>
      <c r="H143" s="220">
        <f>SUM(E143)-SUM(F143)</f>
        <v/>
      </c>
      <c r="I143" s="221">
        <f>IF(A143="Total",VLOOKUP(B143,CORRESPONDANCE[#All],2,FALSE),I144)</f>
        <v/>
      </c>
      <c r="J143" s="350">
        <f>LEFT(A143,1)</f>
        <v/>
      </c>
      <c r="K143" s="347">
        <f>"GLR5"&amp;" - "&amp;A143</f>
        <v/>
      </c>
      <c r="L143" s="347">
        <f>+VLOOKUP(K143,TL[],4,FALSE)</f>
        <v/>
      </c>
    </row>
    <row r="144">
      <c r="A144" s="348" t="inlineStr">
        <is>
          <t>651110</t>
        </is>
      </c>
      <c r="B144" s="348" t="inlineStr">
        <is>
          <t>Redevance services</t>
        </is>
      </c>
      <c r="C144" s="348" t="n">
        <v>21289.41</v>
      </c>
      <c r="D144" s="348" t="inlineStr"/>
      <c r="E144" s="348" t="n">
        <v>21289.41</v>
      </c>
      <c r="F144" s="348" t="inlineStr"/>
      <c r="G144" s="220">
        <f>SUM(C144)-SUM(D144)</f>
        <v/>
      </c>
      <c r="H144" s="220">
        <f>SUM(E144)-SUM(F144)</f>
        <v/>
      </c>
      <c r="I144" s="221">
        <f>IF(A144="Total",VLOOKUP(B144,CORRESPONDANCE[#All],2,FALSE),I145)</f>
        <v/>
      </c>
      <c r="J144" s="350">
        <f>LEFT(A144,1)</f>
        <v/>
      </c>
      <c r="K144" s="347">
        <f>"GLR5"&amp;" - "&amp;A144</f>
        <v/>
      </c>
      <c r="L144" s="347">
        <f>+VLOOKUP(K144,TL[],4,FALSE)</f>
        <v/>
      </c>
    </row>
    <row r="145">
      <c r="A145" s="348" t="inlineStr">
        <is>
          <t>Total</t>
        </is>
      </c>
      <c r="B145" s="348" t="inlineStr">
        <is>
          <t>Table n°2  -  Redevance service 5%</t>
        </is>
      </c>
      <c r="C145" s="348" t="n">
        <v>21289.41</v>
      </c>
      <c r="D145" s="348" t="inlineStr"/>
      <c r="E145" s="348" t="n">
        <v>21289.41</v>
      </c>
      <c r="F145" s="348" t="inlineStr"/>
      <c r="G145" s="220">
        <f>SUM(C145)-SUM(D145)</f>
        <v/>
      </c>
      <c r="H145" s="220">
        <f>SUM(E145)-SUM(F145)</f>
        <v/>
      </c>
      <c r="I145" s="221">
        <f>IF(A145="Total",VLOOKUP(B145,CORRESPONDANCE[#All],2,FALSE),I146)</f>
        <v/>
      </c>
      <c r="J145" s="350">
        <f>LEFT(A145,1)</f>
        <v/>
      </c>
      <c r="K145" s="347">
        <f>"GLR5"&amp;" - "&amp;A145</f>
        <v/>
      </c>
      <c r="L145" s="347">
        <f>+VLOOKUP(K145,TL[],4,FALSE)</f>
        <v/>
      </c>
    </row>
    <row r="146">
      <c r="A146" s="348" t="inlineStr">
        <is>
          <t>622600</t>
        </is>
      </c>
      <c r="B146" s="348" t="inlineStr">
        <is>
          <t>Honoraires comptables</t>
        </is>
      </c>
      <c r="C146" s="348" t="n">
        <v>860</v>
      </c>
      <c r="D146" s="348" t="inlineStr"/>
      <c r="E146" s="348" t="n">
        <v>860</v>
      </c>
      <c r="F146" s="348" t="inlineStr"/>
      <c r="G146" s="220">
        <f>SUM(C146)-SUM(D146)</f>
        <v/>
      </c>
      <c r="H146" s="220">
        <f>SUM(E146)-SUM(F146)</f>
        <v/>
      </c>
      <c r="I146" s="221">
        <f>IF(A146="Total",VLOOKUP(B146,CORRESPONDANCE[#All],2,FALSE),I147)</f>
        <v/>
      </c>
      <c r="J146" s="350">
        <f>LEFT(A146,1)</f>
        <v/>
      </c>
      <c r="K146" s="347">
        <f>"GLR5"&amp;" - "&amp;A146</f>
        <v/>
      </c>
      <c r="L146" s="347">
        <f>+VLOOKUP(K146,TL[],4,FALSE)</f>
        <v/>
      </c>
    </row>
    <row r="147">
      <c r="A147" s="348" t="inlineStr">
        <is>
          <t>622620</t>
        </is>
      </c>
      <c r="B147" s="348" t="inlineStr">
        <is>
          <t>Honoraires divers</t>
        </is>
      </c>
      <c r="C147" s="348" t="n">
        <v>244.96</v>
      </c>
      <c r="D147" s="348" t="inlineStr"/>
      <c r="E147" s="348" t="n">
        <v>244.96</v>
      </c>
      <c r="F147" s="348" t="inlineStr"/>
      <c r="G147" s="220">
        <f>SUM(C147)-SUM(D147)</f>
        <v/>
      </c>
      <c r="H147" s="220">
        <f>SUM(E147)-SUM(F147)</f>
        <v/>
      </c>
      <c r="I147" s="221">
        <f>IF(A147="Total",VLOOKUP(B147,CORRESPONDANCE[#All],2,FALSE),I148)</f>
        <v/>
      </c>
      <c r="J147" s="350">
        <f>LEFT(A147,1)</f>
        <v/>
      </c>
      <c r="K147" s="347">
        <f>"GLR5"&amp;" - "&amp;A147</f>
        <v/>
      </c>
      <c r="L147" s="347">
        <f>+VLOOKUP(K147,TL[],4,FALSE)</f>
        <v/>
      </c>
    </row>
    <row r="148">
      <c r="A148" s="348" t="inlineStr">
        <is>
          <t>622660</t>
        </is>
      </c>
      <c r="B148" s="348" t="inlineStr">
        <is>
          <t>Honoraires juridiques</t>
        </is>
      </c>
      <c r="C148" s="348" t="n">
        <v>58</v>
      </c>
      <c r="D148" s="348" t="inlineStr"/>
      <c r="E148" s="348" t="n">
        <v>58</v>
      </c>
      <c r="F148" s="348" t="inlineStr"/>
      <c r="G148" s="220">
        <f>SUM(C148)-SUM(D148)</f>
        <v/>
      </c>
      <c r="H148" s="220">
        <f>SUM(E148)-SUM(F148)</f>
        <v/>
      </c>
      <c r="I148" s="221">
        <f>IF(A148="Total",VLOOKUP(B148,CORRESPONDANCE[#All],2,FALSE),I149)</f>
        <v/>
      </c>
      <c r="J148" s="350">
        <f>LEFT(A148,1)</f>
        <v/>
      </c>
      <c r="K148" s="347">
        <f>"GLR5"&amp;" - "&amp;A148</f>
        <v/>
      </c>
      <c r="L148" s="347">
        <f>+VLOOKUP(K148,TL[],4,FALSE)</f>
        <v/>
      </c>
    </row>
    <row r="149">
      <c r="A149" s="348" t="inlineStr">
        <is>
          <t>622661</t>
        </is>
      </c>
      <c r="B149" s="348" t="inlineStr">
        <is>
          <t>Honoraires cac</t>
        </is>
      </c>
      <c r="C149" s="348" t="n">
        <v>458.33</v>
      </c>
      <c r="D149" s="348" t="inlineStr"/>
      <c r="E149" s="348" t="n">
        <v>458.33</v>
      </c>
      <c r="F149" s="348" t="inlineStr"/>
      <c r="G149" s="220">
        <f>SUM(C149)-SUM(D149)</f>
        <v/>
      </c>
      <c r="H149" s="220">
        <f>SUM(E149)-SUM(F149)</f>
        <v/>
      </c>
      <c r="I149" s="221">
        <f>IF(A149="Total",VLOOKUP(B149,CORRESPONDANCE[#All],2,FALSE),I150)</f>
        <v/>
      </c>
      <c r="J149" s="350">
        <f>LEFT(A149,1)</f>
        <v/>
      </c>
      <c r="K149" s="347">
        <f>"GLR5"&amp;" - "&amp;A149</f>
        <v/>
      </c>
      <c r="L149" s="347">
        <f>+VLOOKUP(K149,TL[],4,FALSE)</f>
        <v/>
      </c>
    </row>
    <row r="150">
      <c r="A150" s="348" t="inlineStr">
        <is>
          <t>Total</t>
        </is>
      </c>
      <c r="B150" s="348" t="inlineStr">
        <is>
          <t>Table n°2  -  Frais comptables et juridiques</t>
        </is>
      </c>
      <c r="C150" s="348" t="n">
        <v>1621.29</v>
      </c>
      <c r="D150" s="348" t="inlineStr"/>
      <c r="E150" s="348" t="n">
        <v>1621.29</v>
      </c>
      <c r="F150" s="348" t="inlineStr"/>
      <c r="G150" s="220">
        <f>SUM(C150)-SUM(D150)</f>
        <v/>
      </c>
      <c r="H150" s="220">
        <f>SUM(E150)-SUM(F150)</f>
        <v/>
      </c>
      <c r="I150" s="221">
        <f>IF(A150="Total",VLOOKUP(B150,CORRESPONDANCE[#All],2,FALSE),I151)</f>
        <v/>
      </c>
      <c r="J150" s="350">
        <f>LEFT(A150,1)</f>
        <v/>
      </c>
      <c r="K150" s="347">
        <f>"GLR5"&amp;" - "&amp;A150</f>
        <v/>
      </c>
      <c r="L150" s="347">
        <f>+VLOOKUP(K150,TL[],4,FALSE)</f>
        <v/>
      </c>
    </row>
    <row r="151">
      <c r="A151" s="348" t="inlineStr">
        <is>
          <t>616001</t>
        </is>
      </c>
      <c r="B151" s="348" t="inlineStr">
        <is>
          <t>Assurance multi. risques</t>
        </is>
      </c>
      <c r="C151" s="348" t="n">
        <v>1900</v>
      </c>
      <c r="D151" s="348" t="inlineStr"/>
      <c r="E151" s="348" t="n">
        <v>1900</v>
      </c>
      <c r="F151" s="348" t="inlineStr"/>
      <c r="G151" s="220">
        <f>SUM(C151)-SUM(D151)</f>
        <v/>
      </c>
      <c r="H151" s="220">
        <f>SUM(E151)-SUM(F151)</f>
        <v/>
      </c>
      <c r="I151" s="221">
        <f>IF(A151="Total",VLOOKUP(B151,CORRESPONDANCE[#All],2,FALSE),I152)</f>
        <v/>
      </c>
      <c r="J151" s="350">
        <f>LEFT(A151,1)</f>
        <v/>
      </c>
      <c r="K151" s="347">
        <f>"GLR5"&amp;" - "&amp;A151</f>
        <v/>
      </c>
      <c r="L151" s="347">
        <f>+VLOOKUP(K151,TL[],4,FALSE)</f>
        <v/>
      </c>
    </row>
    <row r="152">
      <c r="A152" s="348" t="inlineStr">
        <is>
          <t>616002</t>
        </is>
      </c>
      <c r="B152" s="348" t="inlineStr">
        <is>
          <t>Assurances diverses</t>
        </is>
      </c>
      <c r="C152" s="348" t="n">
        <v>80</v>
      </c>
      <c r="D152" s="348" t="inlineStr"/>
      <c r="E152" s="348" t="n">
        <v>80</v>
      </c>
      <c r="F152" s="348" t="inlineStr"/>
      <c r="G152" s="220">
        <f>SUM(C152)-SUM(D152)</f>
        <v/>
      </c>
      <c r="H152" s="220">
        <f>SUM(E152)-SUM(F152)</f>
        <v/>
      </c>
      <c r="I152" s="221">
        <f>IF(A152="Total",VLOOKUP(B152,CORRESPONDANCE[#All],2,FALSE),I153)</f>
        <v/>
      </c>
      <c r="J152" s="350">
        <f>LEFT(A152,1)</f>
        <v/>
      </c>
      <c r="K152" s="347">
        <f>"GLR5"&amp;" - "&amp;A152</f>
        <v/>
      </c>
      <c r="L152" s="347">
        <f>+VLOOKUP(K152,TL[],4,FALSE)</f>
        <v/>
      </c>
    </row>
    <row r="153">
      <c r="A153" s="348" t="inlineStr">
        <is>
          <t>616003</t>
        </is>
      </c>
      <c r="B153" s="348" t="inlineStr">
        <is>
          <t>Assurance auto-mission</t>
        </is>
      </c>
      <c r="C153" s="348" t="n">
        <v>19.5</v>
      </c>
      <c r="D153" s="348" t="inlineStr"/>
      <c r="E153" s="348" t="n">
        <v>19.5</v>
      </c>
      <c r="F153" s="348" t="inlineStr"/>
      <c r="G153" s="220">
        <f>SUM(C153)-SUM(D153)</f>
        <v/>
      </c>
      <c r="H153" s="220">
        <f>SUM(E153)-SUM(F153)</f>
        <v/>
      </c>
      <c r="I153" s="221">
        <f>IF(A153="Total",VLOOKUP(B153,CORRESPONDANCE[#All],2,FALSE),I154)</f>
        <v/>
      </c>
      <c r="J153" s="350">
        <f>LEFT(A153,1)</f>
        <v/>
      </c>
      <c r="K153" s="347">
        <f>"GLR5"&amp;" - "&amp;A153</f>
        <v/>
      </c>
      <c r="L153" s="347">
        <f>+VLOOKUP(K153,TL[],4,FALSE)</f>
        <v/>
      </c>
    </row>
    <row r="154">
      <c r="A154" s="348" t="inlineStr">
        <is>
          <t>616006</t>
        </is>
      </c>
      <c r="B154" s="348" t="inlineStr">
        <is>
          <t>Assurance décénale</t>
        </is>
      </c>
      <c r="C154" s="348" t="n">
        <v>23.67</v>
      </c>
      <c r="D154" s="348" t="inlineStr"/>
      <c r="E154" s="348" t="n">
        <v>23.67</v>
      </c>
      <c r="F154" s="348" t="inlineStr"/>
      <c r="G154" s="220">
        <f>SUM(C154)-SUM(D154)</f>
        <v/>
      </c>
      <c r="H154" s="220">
        <f>SUM(E154)-SUM(F154)</f>
        <v/>
      </c>
      <c r="I154" s="221">
        <f>IF(A154="Total",VLOOKUP(B154,CORRESPONDANCE[#All],2,FALSE),I155)</f>
        <v/>
      </c>
      <c r="J154" s="350">
        <f>LEFT(A154,1)</f>
        <v/>
      </c>
      <c r="K154" s="347">
        <f>"GLR5"&amp;" - "&amp;A154</f>
        <v/>
      </c>
      <c r="L154" s="347">
        <f>+VLOOKUP(K154,TL[],4,FALSE)</f>
        <v/>
      </c>
    </row>
    <row r="155">
      <c r="A155" s="348" t="inlineStr">
        <is>
          <t>Total</t>
        </is>
      </c>
      <c r="B155" s="348" t="inlineStr">
        <is>
          <t>Table n°2  -  Assurances</t>
        </is>
      </c>
      <c r="C155" s="348" t="n">
        <v>2023.17</v>
      </c>
      <c r="D155" s="348" t="inlineStr"/>
      <c r="E155" s="348" t="n">
        <v>2023.17</v>
      </c>
      <c r="F155" s="348" t="inlineStr"/>
      <c r="G155" s="220">
        <f>SUM(C155)-SUM(D155)</f>
        <v/>
      </c>
      <c r="H155" s="220">
        <f>SUM(E155)-SUM(F155)</f>
        <v/>
      </c>
      <c r="I155" s="221">
        <f>IF(A155="Total",VLOOKUP(B155,CORRESPONDANCE[#All],2,FALSE),I156)</f>
        <v/>
      </c>
      <c r="J155" s="350">
        <f>LEFT(A155,1)</f>
        <v/>
      </c>
      <c r="K155" s="347">
        <f>"GLR5"&amp;" - "&amp;A155</f>
        <v/>
      </c>
      <c r="L155" s="347">
        <f>+VLOOKUP(K155,TL[],4,FALSE)</f>
        <v/>
      </c>
    </row>
    <row r="156">
      <c r="A156" s="348" t="inlineStr">
        <is>
          <t>633300</t>
        </is>
      </c>
      <c r="B156" s="348" t="inlineStr">
        <is>
          <t>Formation continue (organisme)</t>
        </is>
      </c>
      <c r="C156" s="348" t="n">
        <v>826.02</v>
      </c>
      <c r="D156" s="348" t="inlineStr"/>
      <c r="E156" s="348" t="n">
        <v>826.02</v>
      </c>
      <c r="F156" s="348" t="inlineStr"/>
      <c r="G156" s="220">
        <f>SUM(C156)-SUM(D156)</f>
        <v/>
      </c>
      <c r="H156" s="220">
        <f>SUM(E156)-SUM(F156)</f>
        <v/>
      </c>
      <c r="I156" s="221">
        <f>IF(A156="Total",VLOOKUP(B156,CORRESPONDANCE[#All],2,FALSE),I157)</f>
        <v/>
      </c>
      <c r="J156" s="350">
        <f>LEFT(A156,1)</f>
        <v/>
      </c>
      <c r="K156" s="347">
        <f>"GLR5"&amp;" - "&amp;A156</f>
        <v/>
      </c>
      <c r="L156" s="347">
        <f>+VLOOKUP(K156,TL[],4,FALSE)</f>
        <v/>
      </c>
    </row>
    <row r="157">
      <c r="A157" s="348" t="inlineStr">
        <is>
          <t>633500</t>
        </is>
      </c>
      <c r="B157" s="348" t="inlineStr">
        <is>
          <t>Taxe d'apprentissage (verst libér.)</t>
        </is>
      </c>
      <c r="C157" s="348" t="n">
        <v>549.15</v>
      </c>
      <c r="D157" s="348" t="inlineStr"/>
      <c r="E157" s="348" t="n">
        <v>549.15</v>
      </c>
      <c r="F157" s="348" t="inlineStr"/>
      <c r="G157" s="220">
        <f>SUM(C157)-SUM(D157)</f>
        <v/>
      </c>
      <c r="H157" s="220">
        <f>SUM(E157)-SUM(F157)</f>
        <v/>
      </c>
      <c r="I157" s="221">
        <f>IF(A157="Total",VLOOKUP(B157,CORRESPONDANCE[#All],2,FALSE),I158)</f>
        <v/>
      </c>
      <c r="J157" s="350">
        <f>LEFT(A157,1)</f>
        <v/>
      </c>
      <c r="K157" s="347">
        <f>"GLR5"&amp;" - "&amp;A157</f>
        <v/>
      </c>
      <c r="L157" s="347">
        <f>+VLOOKUP(K157,TL[],4,FALSE)</f>
        <v/>
      </c>
    </row>
    <row r="158">
      <c r="A158" s="348" t="inlineStr">
        <is>
          <t>635111</t>
        </is>
      </c>
      <c r="B158" s="348" t="inlineStr">
        <is>
          <t>Cfe</t>
        </is>
      </c>
      <c r="C158" s="348" t="n">
        <v>455</v>
      </c>
      <c r="D158" s="348" t="inlineStr"/>
      <c r="E158" s="348" t="n">
        <v>455</v>
      </c>
      <c r="F158" s="348" t="inlineStr"/>
      <c r="G158" s="220">
        <f>SUM(C158)-SUM(D158)</f>
        <v/>
      </c>
      <c r="H158" s="220">
        <f>SUM(E158)-SUM(F158)</f>
        <v/>
      </c>
      <c r="I158" s="221">
        <f>IF(A158="Total",VLOOKUP(B158,CORRESPONDANCE[#All],2,FALSE),I159)</f>
        <v/>
      </c>
      <c r="J158" s="350">
        <f>LEFT(A158,1)</f>
        <v/>
      </c>
      <c r="K158" s="347">
        <f>"GLR5"&amp;" - "&amp;A158</f>
        <v/>
      </c>
      <c r="L158" s="347">
        <f>+VLOOKUP(K158,TL[],4,FALSE)</f>
        <v/>
      </c>
    </row>
    <row r="159">
      <c r="A159" s="348" t="inlineStr">
        <is>
          <t>635112</t>
        </is>
      </c>
      <c r="B159" s="348" t="inlineStr">
        <is>
          <t>Cvae</t>
        </is>
      </c>
      <c r="C159" s="348" t="n">
        <v>520</v>
      </c>
      <c r="D159" s="348" t="inlineStr"/>
      <c r="E159" s="348" t="n">
        <v>520</v>
      </c>
      <c r="F159" s="348" t="inlineStr"/>
      <c r="G159" s="220">
        <f>SUM(C159)-SUM(D159)</f>
        <v/>
      </c>
      <c r="H159" s="220">
        <f>SUM(E159)-SUM(F159)</f>
        <v/>
      </c>
      <c r="I159" s="221">
        <f>IF(A159="Total",VLOOKUP(B159,CORRESPONDANCE[#All],2,FALSE),I160)</f>
        <v/>
      </c>
      <c r="J159" s="350">
        <f>LEFT(A159,1)</f>
        <v/>
      </c>
      <c r="K159" s="347">
        <f>"GLR5"&amp;" - "&amp;A159</f>
        <v/>
      </c>
      <c r="L159" s="347">
        <f>+VLOOKUP(K159,TL[],4,FALSE)</f>
        <v/>
      </c>
    </row>
    <row r="160">
      <c r="A160" s="348" t="inlineStr">
        <is>
          <t>635130</t>
        </is>
      </c>
      <c r="B160" s="348" t="inlineStr">
        <is>
          <t>Autres impots</t>
        </is>
      </c>
      <c r="C160" s="348" t="n">
        <v>785</v>
      </c>
      <c r="D160" s="348" t="inlineStr"/>
      <c r="E160" s="348" t="n">
        <v>785</v>
      </c>
      <c r="F160" s="348" t="inlineStr"/>
      <c r="G160" s="220">
        <f>SUM(C160)-SUM(D160)</f>
        <v/>
      </c>
      <c r="H160" s="220">
        <f>SUM(E160)-SUM(F160)</f>
        <v/>
      </c>
      <c r="I160" s="221">
        <f>IF(A160="Total",VLOOKUP(B160,CORRESPONDANCE[#All],2,FALSE),I161)</f>
        <v/>
      </c>
      <c r="J160" s="350">
        <f>LEFT(A160,1)</f>
        <v/>
      </c>
      <c r="K160" s="347">
        <f>"GLR5"&amp;" - "&amp;A160</f>
        <v/>
      </c>
      <c r="L160" s="347">
        <f>+VLOOKUP(K160,TL[],4,FALSE)</f>
        <v/>
      </c>
    </row>
    <row r="161">
      <c r="A161" s="348" t="inlineStr">
        <is>
          <t>637300</t>
        </is>
      </c>
      <c r="B161" s="348" t="inlineStr">
        <is>
          <t>Agefiph</t>
        </is>
      </c>
      <c r="C161" s="348" t="n">
        <v>345</v>
      </c>
      <c r="D161" s="348" t="inlineStr"/>
      <c r="E161" s="348" t="n">
        <v>345</v>
      </c>
      <c r="F161" s="348" t="inlineStr"/>
      <c r="G161" s="220">
        <f>SUM(C161)-SUM(D161)</f>
        <v/>
      </c>
      <c r="H161" s="220">
        <f>SUM(E161)-SUM(F161)</f>
        <v/>
      </c>
      <c r="I161" s="221">
        <f>IF(A161="Total",VLOOKUP(B161,CORRESPONDANCE[#All],2,FALSE),I162)</f>
        <v/>
      </c>
      <c r="J161" s="350">
        <f>LEFT(A161,1)</f>
        <v/>
      </c>
      <c r="K161" s="347">
        <f>"GLR5"&amp;" - "&amp;A161</f>
        <v/>
      </c>
      <c r="L161" s="347">
        <f>+VLOOKUP(K161,TL[],4,FALSE)</f>
        <v/>
      </c>
    </row>
    <row r="162">
      <c r="A162" s="348" t="inlineStr">
        <is>
          <t>Total</t>
        </is>
      </c>
      <c r="B162" s="348" t="inlineStr">
        <is>
          <t>Table n°2  -  Taxes</t>
        </is>
      </c>
      <c r="C162" s="348" t="n">
        <v>3480.17</v>
      </c>
      <c r="D162" s="348" t="inlineStr"/>
      <c r="E162" s="348" t="n">
        <v>3480.17</v>
      </c>
      <c r="F162" s="348" t="inlineStr"/>
      <c r="G162" s="220">
        <f>SUM(C162)-SUM(D162)</f>
        <v/>
      </c>
      <c r="H162" s="220">
        <f>SUM(E162)-SUM(F162)</f>
        <v/>
      </c>
      <c r="I162" s="221">
        <f>IF(A162="Total",VLOOKUP(B162,CORRESPONDANCE[#All],2,FALSE),I163)</f>
        <v/>
      </c>
      <c r="J162" s="350">
        <f>LEFT(A162,1)</f>
        <v/>
      </c>
      <c r="K162" s="347">
        <f>"GLR5"&amp;" - "&amp;A162</f>
        <v/>
      </c>
      <c r="L162" s="347">
        <f>+VLOOKUP(K162,TL[],4,FALSE)</f>
        <v/>
      </c>
    </row>
    <row r="163">
      <c r="A163" s="348" t="inlineStr">
        <is>
          <t>681120</t>
        </is>
      </c>
      <c r="B163" s="348" t="inlineStr">
        <is>
          <t>Dot.amort.s/immo.corporell.</t>
        </is>
      </c>
      <c r="C163" s="348" t="n">
        <v>10063.49</v>
      </c>
      <c r="D163" s="348" t="inlineStr"/>
      <c r="E163" s="348" t="n">
        <v>10063.49</v>
      </c>
      <c r="F163" s="348" t="inlineStr"/>
      <c r="G163" s="220">
        <f>SUM(C163)-SUM(D163)</f>
        <v/>
      </c>
      <c r="H163" s="220">
        <f>SUM(E163)-SUM(F163)</f>
        <v/>
      </c>
      <c r="I163" s="221">
        <f>IF(A163="Total",VLOOKUP(B163,CORRESPONDANCE[#All],2,FALSE),I164)</f>
        <v/>
      </c>
      <c r="J163" s="350">
        <f>LEFT(A163,1)</f>
        <v/>
      </c>
      <c r="K163" s="347">
        <f>"GLR5"&amp;" - "&amp;A163</f>
        <v/>
      </c>
      <c r="L163" s="347">
        <f>+VLOOKUP(K163,TL[],4,FALSE)</f>
        <v/>
      </c>
    </row>
    <row r="164">
      <c r="A164" s="348" t="inlineStr">
        <is>
          <t>Total</t>
        </is>
      </c>
      <c r="B164" s="348" t="inlineStr">
        <is>
          <t>Table n°2  -  Dépréciations amortissements</t>
        </is>
      </c>
      <c r="C164" s="348" t="n">
        <v>10063.49</v>
      </c>
      <c r="D164" s="348" t="inlineStr"/>
      <c r="E164" s="348" t="n">
        <v>10063.49</v>
      </c>
      <c r="F164" s="348" t="inlineStr"/>
      <c r="G164" s="220">
        <f>SUM(C164)-SUM(D164)</f>
        <v/>
      </c>
      <c r="H164" s="220">
        <f>SUM(E164)-SUM(F164)</f>
        <v/>
      </c>
      <c r="I164" s="221">
        <f>IF(A164="Total",VLOOKUP(B164,CORRESPONDANCE[#All],2,FALSE),I165)</f>
        <v/>
      </c>
      <c r="J164" s="350">
        <f>LEFT(A164,1)</f>
        <v/>
      </c>
      <c r="K164" s="347">
        <f>"GLR5"&amp;" - "&amp;A164</f>
        <v/>
      </c>
      <c r="L164" s="347">
        <f>+VLOOKUP(K164,TL[],4,FALSE)</f>
        <v/>
      </c>
    </row>
    <row r="165">
      <c r="A165" s="348" t="inlineStr">
        <is>
          <t>615659</t>
        </is>
      </c>
      <c r="B165" s="348" t="inlineStr">
        <is>
          <t>Contrat grenke refresh</t>
        </is>
      </c>
      <c r="C165" s="348" t="n">
        <v>696.65</v>
      </c>
      <c r="D165" s="348" t="inlineStr"/>
      <c r="E165" s="348" t="n">
        <v>696.65</v>
      </c>
      <c r="F165" s="348" t="inlineStr"/>
      <c r="G165" s="220">
        <f>SUM(C165)-SUM(D165)</f>
        <v/>
      </c>
      <c r="H165" s="220">
        <f>SUM(E165)-SUM(F165)</f>
        <v/>
      </c>
      <c r="I165" s="221">
        <f>IF(A165="Total",VLOOKUP(B165,CORRESPONDANCE[#All],2,FALSE),I166)</f>
        <v/>
      </c>
      <c r="J165" s="350">
        <f>LEFT(A165,1)</f>
        <v/>
      </c>
      <c r="K165" s="347">
        <f>"GLR5"&amp;" - "&amp;A165</f>
        <v/>
      </c>
      <c r="L165" s="347">
        <f>+VLOOKUP(K165,TL[],4,FALSE)</f>
        <v/>
      </c>
    </row>
    <row r="166">
      <c r="A166" s="348" t="inlineStr">
        <is>
          <t>Total</t>
        </is>
      </c>
      <c r="B166" s="348" t="inlineStr">
        <is>
          <t>Table n°2  -  Crédit bail</t>
        </is>
      </c>
      <c r="C166" s="348" t="n">
        <v>696.65</v>
      </c>
      <c r="D166" s="348" t="inlineStr"/>
      <c r="E166" s="348" t="n">
        <v>696.65</v>
      </c>
      <c r="F166" s="348" t="inlineStr"/>
      <c r="G166" s="220">
        <f>SUM(C166)-SUM(D166)</f>
        <v/>
      </c>
      <c r="H166" s="220">
        <f>SUM(E166)-SUM(F166)</f>
        <v/>
      </c>
      <c r="I166" s="221">
        <f>IF(A166="Total",VLOOKUP(B166,CORRESPONDANCE[#All],2,FALSE),I167)</f>
        <v/>
      </c>
      <c r="J166" s="350">
        <f>LEFT(A166,1)</f>
        <v/>
      </c>
      <c r="K166" s="347">
        <f>"GLR5"&amp;" - "&amp;A166</f>
        <v/>
      </c>
      <c r="L166" s="347">
        <f>+VLOOKUP(K166,TL[],4,FALSE)</f>
        <v/>
      </c>
    </row>
    <row r="167">
      <c r="A167" s="348" t="inlineStr">
        <is>
          <t>613291</t>
        </is>
      </c>
      <c r="B167" s="348" t="inlineStr">
        <is>
          <t>Loyer GP-260-LW - S. Raffray</t>
        </is>
      </c>
      <c r="C167" s="348" t="n">
        <v>460.72</v>
      </c>
      <c r="D167" s="348" t="inlineStr"/>
      <c r="E167" s="348" t="n">
        <v>460.72</v>
      </c>
      <c r="F167" s="348" t="inlineStr"/>
      <c r="G167" s="220">
        <f>SUM(C167)-SUM(D167)</f>
        <v/>
      </c>
      <c r="H167" s="220">
        <f>SUM(E167)-SUM(F167)</f>
        <v/>
      </c>
      <c r="I167" s="221">
        <f>IF(A167="Total",VLOOKUP(B167,CORRESPONDANCE[#All],2,FALSE),I168)</f>
        <v/>
      </c>
      <c r="J167" s="350">
        <f>LEFT(A167,1)</f>
        <v/>
      </c>
      <c r="K167" s="347">
        <f>"GLR5"&amp;" - "&amp;A167</f>
        <v/>
      </c>
      <c r="L167" s="347">
        <f>+VLOOKUP(K167,TL[],4,FALSE)</f>
        <v/>
      </c>
    </row>
    <row r="168">
      <c r="A168" s="348" t="inlineStr">
        <is>
          <t>621407</t>
        </is>
      </c>
      <c r="B168" s="348" t="inlineStr">
        <is>
          <t>Salariés prétés - l40</t>
        </is>
      </c>
      <c r="C168" s="348" t="n">
        <v>429.58</v>
      </c>
      <c r="D168" s="348" t="inlineStr"/>
      <c r="E168" s="348" t="n">
        <v>429.58</v>
      </c>
      <c r="F168" s="348" t="inlineStr"/>
      <c r="G168" s="220">
        <f>SUM(C168)-SUM(D168)</f>
        <v/>
      </c>
      <c r="H168" s="220">
        <f>SUM(E168)-SUM(F168)</f>
        <v/>
      </c>
      <c r="I168" s="221">
        <f>IF(A168="Total",VLOOKUP(B168,CORRESPONDANCE[#All],2,FALSE),I169)</f>
        <v/>
      </c>
      <c r="J168" s="350">
        <f>LEFT(A168,1)</f>
        <v/>
      </c>
      <c r="K168" s="347">
        <f>"GLR5"&amp;" - "&amp;A168</f>
        <v/>
      </c>
      <c r="L168" s="347">
        <f>+VLOOKUP(K168,TL[],4,FALSE)</f>
        <v/>
      </c>
    </row>
    <row r="169">
      <c r="A169" s="348" t="inlineStr">
        <is>
          <t>625210</t>
        </is>
      </c>
      <c r="B169" s="348" t="inlineStr">
        <is>
          <t>Voy deplacement perso technique</t>
        </is>
      </c>
      <c r="C169" s="348" t="n">
        <v>209.56</v>
      </c>
      <c r="D169" s="348" t="inlineStr"/>
      <c r="E169" s="348" t="n">
        <v>209.56</v>
      </c>
      <c r="F169" s="348" t="inlineStr"/>
      <c r="G169" s="220">
        <f>SUM(C169)-SUM(D169)</f>
        <v/>
      </c>
      <c r="H169" s="220">
        <f>SUM(E169)-SUM(F169)</f>
        <v/>
      </c>
      <c r="I169" s="221">
        <f>IF(A169="Total",VLOOKUP(B169,CORRESPONDANCE[#All],2,FALSE),I170)</f>
        <v/>
      </c>
      <c r="J169" s="350">
        <f>LEFT(A169,1)</f>
        <v/>
      </c>
      <c r="K169" s="347">
        <f>"GLR5"&amp;" - "&amp;A169</f>
        <v/>
      </c>
      <c r="L169" s="347">
        <f>+VLOOKUP(K169,TL[],4,FALSE)</f>
        <v/>
      </c>
    </row>
    <row r="170">
      <c r="A170" s="348" t="inlineStr">
        <is>
          <t>708862</t>
        </is>
      </c>
      <c r="B170" s="348" t="inlineStr">
        <is>
          <t>Refacturation frais de deplacements</t>
        </is>
      </c>
      <c r="C170" s="348" t="inlineStr"/>
      <c r="D170" s="348" t="n">
        <v>303.22</v>
      </c>
      <c r="E170" s="348" t="inlineStr"/>
      <c r="F170" s="348" t="n">
        <v>303.22</v>
      </c>
      <c r="G170" s="220">
        <f>SUM(C170)-SUM(D170)</f>
        <v/>
      </c>
      <c r="H170" s="220">
        <f>SUM(E170)-SUM(F170)</f>
        <v/>
      </c>
      <c r="I170" s="221">
        <f>IF(A170="Total",VLOOKUP(B170,CORRESPONDANCE[#All],2,FALSE),I171)</f>
        <v/>
      </c>
      <c r="J170" s="350">
        <f>LEFT(A170,1)</f>
        <v/>
      </c>
      <c r="K170" s="347">
        <f>"GLR5"&amp;" - "&amp;A170</f>
        <v/>
      </c>
      <c r="L170" s="347">
        <f>+VLOOKUP(K170,TL[],4,FALSE)</f>
        <v/>
      </c>
    </row>
    <row r="171">
      <c r="A171" s="348" t="inlineStr">
        <is>
          <t>708867</t>
        </is>
      </c>
      <c r="B171" s="348" t="inlineStr">
        <is>
          <t>Refacturation véhicule</t>
        </is>
      </c>
      <c r="C171" s="348" t="inlineStr"/>
      <c r="D171" s="348" t="n">
        <v>460.72</v>
      </c>
      <c r="E171" s="348" t="inlineStr"/>
      <c r="F171" s="348" t="n">
        <v>460.72</v>
      </c>
      <c r="G171" s="220">
        <f>SUM(C171)-SUM(D171)</f>
        <v/>
      </c>
      <c r="H171" s="220">
        <f>SUM(E171)-SUM(F171)</f>
        <v/>
      </c>
      <c r="I171" s="221">
        <f>IF(A171="Total",VLOOKUP(B171,CORRESPONDANCE[#All],2,FALSE),I172)</f>
        <v/>
      </c>
      <c r="J171" s="350">
        <f>LEFT(A171,1)</f>
        <v/>
      </c>
      <c r="K171" s="347">
        <f>"GLR5"&amp;" - "&amp;A171</f>
        <v/>
      </c>
      <c r="L171" s="347">
        <f>+VLOOKUP(K171,TL[],4,FALSE)</f>
        <v/>
      </c>
    </row>
    <row r="172">
      <c r="A172" s="348" t="inlineStr">
        <is>
          <t>708868</t>
        </is>
      </c>
      <c r="B172" s="348" t="inlineStr">
        <is>
          <t>Refacturation entretien auto</t>
        </is>
      </c>
      <c r="C172" s="348" t="inlineStr"/>
      <c r="D172" s="348" t="n">
        <v>59.52</v>
      </c>
      <c r="E172" s="348" t="inlineStr"/>
      <c r="F172" s="348" t="n">
        <v>59.52</v>
      </c>
      <c r="G172" s="220">
        <f>SUM(C172)-SUM(D172)</f>
        <v/>
      </c>
      <c r="H172" s="220">
        <f>SUM(E172)-SUM(F172)</f>
        <v/>
      </c>
      <c r="I172" s="221">
        <f>IF(A172="Total",VLOOKUP(B172,CORRESPONDANCE[#All],2,FALSE),I173)</f>
        <v/>
      </c>
      <c r="J172" s="350">
        <f>LEFT(A172,1)</f>
        <v/>
      </c>
      <c r="K172" s="347">
        <f>"GLR5"&amp;" - "&amp;A172</f>
        <v/>
      </c>
      <c r="L172" s="347">
        <f>+VLOOKUP(K172,TL[],4,FALSE)</f>
        <v/>
      </c>
    </row>
    <row r="173">
      <c r="A173" s="348" t="inlineStr">
        <is>
          <t>Total</t>
        </is>
      </c>
      <c r="B173" s="348" t="inlineStr">
        <is>
          <t>Table n°2  -  Dépenses / Revenus divers</t>
        </is>
      </c>
      <c r="C173" s="348" t="n">
        <v>276.4</v>
      </c>
      <c r="D173" s="348" t="inlineStr"/>
      <c r="E173" s="348" t="n">
        <v>276.4</v>
      </c>
      <c r="F173" s="348" t="inlineStr"/>
      <c r="G173" s="220">
        <f>SUM(C173)-SUM(D173)</f>
        <v/>
      </c>
      <c r="H173" s="220">
        <f>SUM(E173)-SUM(F173)</f>
        <v/>
      </c>
      <c r="I173" s="221">
        <f>IF(A173="Total",VLOOKUP(B173,CORRESPONDANCE[#All],2,FALSE),I174)</f>
        <v/>
      </c>
      <c r="J173" s="350">
        <f>LEFT(A173,1)</f>
        <v/>
      </c>
      <c r="K173" s="347">
        <f>"GLR5"&amp;" - "&amp;A173</f>
        <v/>
      </c>
      <c r="L173" s="347">
        <f>+VLOOKUP(K173,TL[],4,FALSE)</f>
        <v/>
      </c>
    </row>
    <row r="174">
      <c r="A174" s="348" t="inlineStr">
        <is>
          <t>671320</t>
        </is>
      </c>
      <c r="B174" s="348" t="inlineStr">
        <is>
          <t>Dons</t>
        </is>
      </c>
      <c r="C174" s="348" t="inlineStr"/>
      <c r="D174" s="348" t="n">
        <v>1</v>
      </c>
      <c r="E174" s="348" t="inlineStr"/>
      <c r="F174" s="348" t="n">
        <v>1</v>
      </c>
      <c r="G174" s="220">
        <f>SUM(C174)-SUM(D174)</f>
        <v/>
      </c>
      <c r="H174" s="220">
        <f>SUM(E174)-SUM(F174)</f>
        <v/>
      </c>
      <c r="I174" s="221">
        <f>IF(A174="Total",VLOOKUP(B174,CORRESPONDANCE[#All],2,FALSE),I175)</f>
        <v/>
      </c>
      <c r="J174" s="350">
        <f>LEFT(A174,1)</f>
        <v/>
      </c>
      <c r="K174" s="347">
        <f>"GLR5"&amp;" - "&amp;A174</f>
        <v/>
      </c>
      <c r="L174" s="347">
        <f>+VLOOKUP(K174,TL[],4,FALSE)</f>
        <v/>
      </c>
    </row>
    <row r="175">
      <c r="A175" s="348" t="inlineStr">
        <is>
          <t>Total</t>
        </is>
      </c>
      <c r="B175" s="348" t="inlineStr">
        <is>
          <t>Table n°2  -  Charges et produits exceptionnels</t>
        </is>
      </c>
      <c r="C175" s="348" t="inlineStr"/>
      <c r="D175" s="348" t="n">
        <v>1</v>
      </c>
      <c r="E175" s="348" t="inlineStr"/>
      <c r="F175" s="348" t="n">
        <v>1</v>
      </c>
      <c r="G175" s="220">
        <f>SUM(C175)-SUM(D175)</f>
        <v/>
      </c>
      <c r="H175" s="220">
        <f>SUM(E175)-SUM(F175)</f>
        <v/>
      </c>
      <c r="I175" s="221">
        <f>IF(A175="Total",VLOOKUP(B175,CORRESPONDANCE[#All],2,FALSE),I176)</f>
        <v/>
      </c>
      <c r="J175" s="350">
        <f>LEFT(A175,1)</f>
        <v/>
      </c>
      <c r="K175" s="347">
        <f>"GLR5"&amp;" - "&amp;A175</f>
        <v/>
      </c>
      <c r="L175" s="347">
        <f>+VLOOKUP(K175,TL[],4,FALSE)</f>
        <v/>
      </c>
    </row>
    <row r="176">
      <c r="A176" s="348" t="inlineStr">
        <is>
          <t>628220</t>
        </is>
      </c>
      <c r="B176" s="348" t="inlineStr">
        <is>
          <t>Redevance gth</t>
        </is>
      </c>
      <c r="C176" s="348" t="n">
        <v>26174</v>
      </c>
      <c r="D176" s="348" t="inlineStr"/>
      <c r="E176" s="348" t="n">
        <v>26174</v>
      </c>
      <c r="F176" s="348" t="inlineStr"/>
      <c r="G176" s="220">
        <f>SUM(C176)-SUM(D176)</f>
        <v/>
      </c>
      <c r="H176" s="220">
        <f>SUM(E176)-SUM(F176)</f>
        <v/>
      </c>
      <c r="I176" s="221">
        <f>IF(A176="Total",VLOOKUP(B176,CORRESPONDANCE[#All],2,FALSE),I177)</f>
        <v/>
      </c>
      <c r="J176" s="350">
        <f>LEFT(A176,1)</f>
        <v/>
      </c>
      <c r="K176" s="347">
        <f>"GLR5"&amp;" - "&amp;A176</f>
        <v/>
      </c>
      <c r="L176" s="347">
        <f>+VLOOKUP(K176,TL[],4,FALSE)</f>
        <v/>
      </c>
    </row>
    <row r="177">
      <c r="A177" s="348" t="inlineStr">
        <is>
          <t>628500</t>
        </is>
      </c>
      <c r="B177" s="348" t="inlineStr">
        <is>
          <t>Assistance financière</t>
        </is>
      </c>
      <c r="C177" s="348" t="n">
        <v>833</v>
      </c>
      <c r="D177" s="348" t="inlineStr"/>
      <c r="E177" s="348" t="n">
        <v>833</v>
      </c>
      <c r="F177" s="348" t="inlineStr"/>
      <c r="G177" s="220">
        <f>SUM(C177)-SUM(D177)</f>
        <v/>
      </c>
      <c r="H177" s="220">
        <f>SUM(E177)-SUM(F177)</f>
        <v/>
      </c>
      <c r="I177" s="221">
        <f>IF(A177="Total",VLOOKUP(B177,CORRESPONDANCE[#All],2,FALSE),I178)</f>
        <v/>
      </c>
      <c r="J177" s="350">
        <f>LEFT(A177,1)</f>
        <v/>
      </c>
      <c r="K177" s="347">
        <f>"GLR5"&amp;" - "&amp;A177</f>
        <v/>
      </c>
      <c r="L177" s="347">
        <f>+VLOOKUP(K177,TL[],4,FALSE)</f>
        <v/>
      </c>
    </row>
    <row r="178">
      <c r="A178" s="348" t="inlineStr">
        <is>
          <t>Total</t>
        </is>
      </c>
      <c r="B178" s="348" t="inlineStr">
        <is>
          <t>Table n°2  -  G&amp;A (Frais administratifs)</t>
        </is>
      </c>
      <c r="C178" s="348" t="n">
        <v>27007</v>
      </c>
      <c r="D178" s="348" t="inlineStr"/>
      <c r="E178" s="348" t="n">
        <v>27007</v>
      </c>
      <c r="F178" s="348" t="inlineStr"/>
      <c r="G178" s="220">
        <f>SUM(C178)-SUM(D178)</f>
        <v/>
      </c>
      <c r="H178" s="220">
        <f>SUM(E178)-SUM(F178)</f>
        <v/>
      </c>
      <c r="I178" s="221">
        <f>IF(A178="Total",VLOOKUP(B178,CORRESPONDANCE[#All],2,FALSE),I179)</f>
        <v/>
      </c>
      <c r="J178" s="350">
        <f>LEFT(A178,1)</f>
        <v/>
      </c>
      <c r="K178" s="347">
        <f>"GLR5"&amp;" - "&amp;A178</f>
        <v/>
      </c>
      <c r="L178" s="347">
        <f>+VLOOKUP(K178,TL[],4,FALSE)</f>
        <v/>
      </c>
    </row>
    <row r="179">
      <c r="A179" s="348" t="inlineStr">
        <is>
          <t>702300</t>
        </is>
      </c>
      <c r="B179" s="348" t="inlineStr">
        <is>
          <t>Ventes non alimentaires</t>
        </is>
      </c>
      <c r="C179" s="348" t="inlineStr"/>
      <c r="D179" s="348" t="n">
        <v>9953.01</v>
      </c>
      <c r="E179" s="348" t="inlineStr"/>
      <c r="F179" s="348" t="n">
        <v>9953.01</v>
      </c>
      <c r="G179" s="220">
        <f>SUM(C179)-SUM(D179)</f>
        <v/>
      </c>
      <c r="H179" s="220">
        <f>SUM(E179)-SUM(F179)</f>
        <v/>
      </c>
      <c r="I179" s="221">
        <f>IF(A179="Total",VLOOKUP(B179,CORRESPONDANCE[#All],2,FALSE),I180)</f>
        <v/>
      </c>
      <c r="J179" s="350">
        <f>LEFT(A179,1)</f>
        <v/>
      </c>
      <c r="K179" s="347">
        <f>"GLR5"&amp;" - "&amp;A179</f>
        <v/>
      </c>
      <c r="L179" s="347">
        <f>+VLOOKUP(K179,TL[],4,FALSE)</f>
        <v/>
      </c>
    </row>
    <row r="180">
      <c r="A180" s="348" t="inlineStr">
        <is>
          <t>Total</t>
        </is>
      </c>
      <c r="B180" s="348" t="inlineStr">
        <is>
          <t>Table n°2  -  Ventes non alimentaires</t>
        </is>
      </c>
      <c r="C180" s="348" t="inlineStr"/>
      <c r="D180" s="348" t="n">
        <v>9953.01</v>
      </c>
      <c r="E180" s="348" t="inlineStr"/>
      <c r="F180" s="348" t="n">
        <v>9953.01</v>
      </c>
      <c r="G180" s="220">
        <f>SUM(C180)-SUM(D180)</f>
        <v/>
      </c>
      <c r="H180" s="220">
        <f>SUM(E180)-SUM(F180)</f>
        <v/>
      </c>
      <c r="I180" s="221">
        <f>IF(A180="Total",VLOOKUP(B180,CORRESPONDANCE[#All],2,FALSE),I181)</f>
        <v/>
      </c>
      <c r="J180" s="350">
        <f>LEFT(A180,1)</f>
        <v/>
      </c>
      <c r="K180" s="347">
        <f>"GLR5"&amp;" - "&amp;A180</f>
        <v/>
      </c>
      <c r="L180" s="347">
        <f>+VLOOKUP(K180,TL[],4,FALSE)</f>
        <v/>
      </c>
    </row>
    <row r="181">
      <c r="A181" s="348" t="inlineStr">
        <is>
          <t>602202</t>
        </is>
      </c>
      <c r="B181" s="348" t="inlineStr">
        <is>
          <t>Jouets</t>
        </is>
      </c>
      <c r="C181" s="348" t="n">
        <v>3112.84</v>
      </c>
      <c r="D181" s="348" t="inlineStr"/>
      <c r="E181" s="348" t="n">
        <v>3112.84</v>
      </c>
      <c r="F181" s="348" t="inlineStr"/>
      <c r="G181" s="220">
        <f>SUM(C181)-SUM(D181)</f>
        <v/>
      </c>
      <c r="H181" s="220">
        <f>SUM(E181)-SUM(F181)</f>
        <v/>
      </c>
      <c r="I181" s="221">
        <f>IF(A181="Total",VLOOKUP(B181,CORRESPONDANCE[#All],2,FALSE),I182)</f>
        <v/>
      </c>
      <c r="J181" s="350">
        <f>LEFT(A181,1)</f>
        <v/>
      </c>
      <c r="K181" s="347">
        <f>"GLR5"&amp;" - "&amp;A181</f>
        <v/>
      </c>
      <c r="L181" s="347">
        <f>+VLOOKUP(K181,TL[],4,FALSE)</f>
        <v/>
      </c>
    </row>
    <row r="182">
      <c r="A182" s="348" t="inlineStr">
        <is>
          <t>603210</t>
        </is>
      </c>
      <c r="B182" s="348" t="inlineStr">
        <is>
          <t>Variation stock pdt non cos</t>
        </is>
      </c>
      <c r="C182" s="348" t="n">
        <v>1875.97</v>
      </c>
      <c r="D182" s="348" t="inlineStr"/>
      <c r="E182" s="348" t="n">
        <v>1875.97</v>
      </c>
      <c r="F182" s="348" t="inlineStr"/>
      <c r="G182" s="220">
        <f>SUM(C182)-SUM(D182)</f>
        <v/>
      </c>
      <c r="H182" s="220">
        <f>SUM(E182)-SUM(F182)</f>
        <v/>
      </c>
      <c r="I182" s="221">
        <f>IF(A182="Total",VLOOKUP(B182,CORRESPONDANCE[#All],2,FALSE),I183)</f>
        <v/>
      </c>
      <c r="J182" s="350">
        <f>LEFT(A182,1)</f>
        <v/>
      </c>
      <c r="K182" s="347">
        <f>"GLR5"&amp;" - "&amp;A182</f>
        <v/>
      </c>
      <c r="L182" s="347">
        <f>+VLOOKUP(K182,TL[],4,FALSE)</f>
        <v/>
      </c>
    </row>
    <row r="183">
      <c r="A183" s="348" t="inlineStr">
        <is>
          <t>628024</t>
        </is>
      </c>
      <c r="B183" s="348" t="inlineStr">
        <is>
          <t>Places cinema</t>
        </is>
      </c>
      <c r="C183" s="348" t="n">
        <v>1041.18</v>
      </c>
      <c r="D183" s="348" t="inlineStr"/>
      <c r="E183" s="348" t="n">
        <v>1041.18</v>
      </c>
      <c r="F183" s="348" t="inlineStr"/>
      <c r="G183" s="220">
        <f>SUM(C183)-SUM(D183)</f>
        <v/>
      </c>
      <c r="H183" s="220">
        <f>SUM(E183)-SUM(F183)</f>
        <v/>
      </c>
      <c r="I183" s="221">
        <f>IF(A183="Total",VLOOKUP(B183,CORRESPONDANCE[#All],2,FALSE),I184)</f>
        <v/>
      </c>
      <c r="J183" s="350">
        <f>LEFT(A183,1)</f>
        <v/>
      </c>
      <c r="K183" s="347">
        <f>"GLR5"&amp;" - "&amp;A183</f>
        <v/>
      </c>
      <c r="L183" s="347">
        <f>+VLOOKUP(K183,TL[],4,FALSE)</f>
        <v/>
      </c>
    </row>
    <row r="184">
      <c r="A184" s="348" t="inlineStr">
        <is>
          <t>628025</t>
        </is>
      </c>
      <c r="B184" s="348" t="inlineStr">
        <is>
          <t>Places Happy city</t>
        </is>
      </c>
      <c r="C184" s="348" t="n">
        <v>152.6</v>
      </c>
      <c r="D184" s="348" t="inlineStr"/>
      <c r="E184" s="348" t="n">
        <v>152.6</v>
      </c>
      <c r="F184" s="348" t="inlineStr"/>
      <c r="G184" s="220">
        <f>SUM(C184)-SUM(D184)</f>
        <v/>
      </c>
      <c r="H184" s="220">
        <f>SUM(E184)-SUM(F184)</f>
        <v/>
      </c>
      <c r="I184" s="221">
        <f>IF(A184="Total",VLOOKUP(B184,CORRESPONDANCE[#All],2,FALSE),I185)</f>
        <v/>
      </c>
      <c r="J184" s="350">
        <f>LEFT(A184,1)</f>
        <v/>
      </c>
      <c r="K184" s="347">
        <f>"GLR5"&amp;" - "&amp;A184</f>
        <v/>
      </c>
      <c r="L184" s="347">
        <f>+VLOOKUP(K184,TL[],4,FALSE)</f>
        <v/>
      </c>
    </row>
    <row r="185">
      <c r="A185" s="348" t="inlineStr">
        <is>
          <t>708880</t>
        </is>
      </c>
      <c r="B185" s="348" t="inlineStr">
        <is>
          <t>Coupons cinéma</t>
        </is>
      </c>
      <c r="C185" s="348" t="inlineStr"/>
      <c r="D185" s="348" t="n">
        <v>938</v>
      </c>
      <c r="E185" s="348" t="inlineStr"/>
      <c r="F185" s="348" t="n">
        <v>938</v>
      </c>
      <c r="G185" s="220">
        <f>SUM(C185)-SUM(D185)</f>
        <v/>
      </c>
      <c r="H185" s="220">
        <f>SUM(E185)-SUM(F185)</f>
        <v/>
      </c>
      <c r="I185" s="221">
        <f>IF(A185="Total",VLOOKUP(B185,CORRESPONDANCE[#All],2,FALSE),I186)</f>
        <v/>
      </c>
      <c r="J185" s="350">
        <f>LEFT(A185,1)</f>
        <v/>
      </c>
      <c r="K185" s="347">
        <f>"GLR5"&amp;" - "&amp;A185</f>
        <v/>
      </c>
      <c r="L185" s="347">
        <f>+VLOOKUP(K185,TL[],4,FALSE)</f>
        <v/>
      </c>
    </row>
    <row r="186">
      <c r="A186" s="348" t="inlineStr">
        <is>
          <t>Total</t>
        </is>
      </c>
      <c r="B186" s="348" t="inlineStr">
        <is>
          <t>Table n°2  -  Coût non alimentaire</t>
        </is>
      </c>
      <c r="C186" s="348" t="n">
        <v>5244.59</v>
      </c>
      <c r="D186" s="348" t="inlineStr"/>
      <c r="E186" s="348" t="n">
        <v>5244.59</v>
      </c>
      <c r="F186" s="348" t="inlineStr"/>
      <c r="G186" s="220">
        <f>SUM(C186)-SUM(D186)</f>
        <v/>
      </c>
      <c r="H186" s="220">
        <f>SUM(E186)-SUM(F186)</f>
        <v/>
      </c>
      <c r="I186" s="221">
        <f>IF(A186="Total",VLOOKUP(B186,CORRESPONDANCE[#All],2,FALSE),I187)</f>
        <v/>
      </c>
      <c r="J186" s="350">
        <f>LEFT(A186,1)</f>
        <v/>
      </c>
      <c r="K186" s="347">
        <f>"GLR5"&amp;" - "&amp;A186</f>
        <v/>
      </c>
      <c r="L186" s="347">
        <f>+VLOOKUP(K186,TL[],4,FALSE)</f>
        <v/>
      </c>
    </row>
    <row r="187">
      <c r="A187" s="348" t="inlineStr"/>
      <c r="B187" s="348" t="inlineStr">
        <is>
          <t>Total général</t>
        </is>
      </c>
      <c r="C187" s="348" t="n">
        <v>448491.52</v>
      </c>
      <c r="D187" s="348" t="n">
        <v>447359.82</v>
      </c>
      <c r="E187" s="348" t="n">
        <v>448491.52</v>
      </c>
      <c r="F187" s="348" t="n">
        <v>447359.82</v>
      </c>
      <c r="G187" s="220">
        <f>SUM(C187)-SUM(D187)</f>
        <v/>
      </c>
      <c r="H187" s="220">
        <f>SUM(E187)-SUM(F187)</f>
        <v/>
      </c>
      <c r="I187" s="221">
        <f>IF(A187="Total",VLOOKUP(B187,CORRESPONDANCE[#All],2,FALSE),I188)</f>
        <v/>
      </c>
      <c r="J187" s="350">
        <f>LEFT(A187,1)</f>
        <v/>
      </c>
      <c r="K187" s="347">
        <f>"GLR5"&amp;" - "&amp;A187</f>
        <v/>
      </c>
      <c r="L187" s="347">
        <f>+VLOOKUP(K187,TL[],4,FALSE)</f>
        <v/>
      </c>
    </row>
    <row r="188">
      <c r="G188" s="220">
        <f>SUM(C188)-SUM(D188)</f>
        <v/>
      </c>
      <c r="H188" s="220">
        <f>SUM(E188)-SUM(F188)</f>
        <v/>
      </c>
      <c r="I188" s="221">
        <f>IF(A188="Total",VLOOKUP(B188,CORRESPONDANCE[#All],2,FALSE),I189)</f>
        <v/>
      </c>
      <c r="J188" s="350">
        <f>LEFT(A188,1)</f>
        <v/>
      </c>
      <c r="K188" s="347">
        <f>"GLR5"&amp;" - "&amp;A188</f>
        <v/>
      </c>
      <c r="L188" s="347">
        <f>+VLOOKUP(K188,TL[],4,FALSE)</f>
        <v/>
      </c>
    </row>
    <row r="189">
      <c r="G189" s="220">
        <f>SUM(C189)-SUM(D189)</f>
        <v/>
      </c>
      <c r="H189" s="220">
        <f>SUM(E189)-SUM(F189)</f>
        <v/>
      </c>
      <c r="I189" s="221">
        <f>IF(A189="Total",VLOOKUP(B189,CORRESPONDANCE[#All],2,FALSE),I190)</f>
        <v/>
      </c>
      <c r="J189" s="350">
        <f>LEFT(A189,1)</f>
        <v/>
      </c>
      <c r="K189" s="347">
        <f>"GLR5"&amp;" - "&amp;A189</f>
        <v/>
      </c>
      <c r="L189" s="347">
        <f>+VLOOKUP(K189,TL[],4,FALSE)</f>
        <v/>
      </c>
    </row>
    <row r="190">
      <c r="G190" s="220">
        <f>SUM(C190)-SUM(D190)</f>
        <v/>
      </c>
      <c r="H190" s="220">
        <f>SUM(E190)-SUM(F190)</f>
        <v/>
      </c>
      <c r="I190" s="221">
        <f>IF(A190="Total",VLOOKUP(B190,CORRESPONDANCE[#All],2,FALSE),I191)</f>
        <v/>
      </c>
      <c r="J190" s="350">
        <f>LEFT(A190,1)</f>
        <v/>
      </c>
      <c r="K190" s="347">
        <f>"GLR5"&amp;" - "&amp;A190</f>
        <v/>
      </c>
      <c r="L190" s="347">
        <f>+VLOOKUP(K190,TL[],4,FALSE)</f>
        <v/>
      </c>
    </row>
    <row r="191">
      <c r="G191" s="220">
        <f>SUM(C191)-SUM(D191)</f>
        <v/>
      </c>
      <c r="H191" s="220">
        <f>SUM(E191)-SUM(F191)</f>
        <v/>
      </c>
      <c r="I191" s="221">
        <f>IF(A191="Total",VLOOKUP(B191,CORRESPONDANCE[#All],2,FALSE),I192)</f>
        <v/>
      </c>
      <c r="J191" s="350">
        <f>LEFT(A191,1)</f>
        <v/>
      </c>
      <c r="K191" s="347">
        <f>"GLR5"&amp;" - "&amp;A191</f>
        <v/>
      </c>
      <c r="L191" s="347">
        <f>+VLOOKUP(K191,TL[],4,FALSE)</f>
        <v/>
      </c>
    </row>
    <row r="192">
      <c r="G192" s="220">
        <f>SUM(C192)-SUM(D192)</f>
        <v/>
      </c>
      <c r="H192" s="220">
        <f>SUM(E192)-SUM(F192)</f>
        <v/>
      </c>
      <c r="I192" s="221">
        <f>IF(A192="Total",VLOOKUP(B192,CORRESPONDANCE[#All],2,FALSE),I193)</f>
        <v/>
      </c>
      <c r="J192" s="350">
        <f>LEFT(A192,1)</f>
        <v/>
      </c>
      <c r="K192" s="347">
        <f>"GLR5"&amp;" - "&amp;A192</f>
        <v/>
      </c>
      <c r="L192" s="347">
        <f>+VLOOKUP(K192,TL[],4,FALSE)</f>
        <v/>
      </c>
    </row>
    <row r="193">
      <c r="G193" s="220">
        <f>SUM(C193)-SUM(D193)</f>
        <v/>
      </c>
      <c r="H193" s="220">
        <f>SUM(E193)-SUM(F193)</f>
        <v/>
      </c>
      <c r="I193" s="221">
        <f>IF(A193="Total",VLOOKUP(B193,CORRESPONDANCE[#All],2,FALSE),I194)</f>
        <v/>
      </c>
      <c r="J193" s="350">
        <f>LEFT(A193,1)</f>
        <v/>
      </c>
      <c r="K193" s="347">
        <f>"GLR5"&amp;" - "&amp;A193</f>
        <v/>
      </c>
      <c r="L193" s="347">
        <f>+VLOOKUP(K193,TL[],4,FALSE)</f>
        <v/>
      </c>
    </row>
    <row r="194">
      <c r="G194" s="220">
        <f>SUM(C194)-SUM(D194)</f>
        <v/>
      </c>
      <c r="H194" s="220">
        <f>SUM(E194)-SUM(F194)</f>
        <v/>
      </c>
      <c r="I194" s="221">
        <f>IF(A194="Total",VLOOKUP(B194,CORRESPONDANCE[#All],2,FALSE),I195)</f>
        <v/>
      </c>
      <c r="J194" s="350">
        <f>LEFT(A194,1)</f>
        <v/>
      </c>
      <c r="K194" s="347">
        <f>"GLR5"&amp;" - "&amp;A194</f>
        <v/>
      </c>
      <c r="L194" s="347">
        <f>+VLOOKUP(K194,TL[],4,FALSE)</f>
        <v/>
      </c>
    </row>
    <row r="195">
      <c r="G195" s="220">
        <f>SUM(C195)-SUM(D195)</f>
        <v/>
      </c>
      <c r="H195" s="220">
        <f>SUM(E195)-SUM(F195)</f>
        <v/>
      </c>
      <c r="I195" s="221">
        <f>IF(A195="Total",VLOOKUP(B195,CORRESPONDANCE[#All],2,FALSE),I196)</f>
        <v/>
      </c>
      <c r="J195" s="350">
        <f>LEFT(A195,1)</f>
        <v/>
      </c>
      <c r="K195" s="347">
        <f>"GLR5"&amp;" - "&amp;A195</f>
        <v/>
      </c>
      <c r="L195" s="347">
        <f>+VLOOKUP(K195,TL[],4,FALSE)</f>
        <v/>
      </c>
    </row>
    <row r="196">
      <c r="G196" s="220">
        <f>SUM(C196)-SUM(D196)</f>
        <v/>
      </c>
      <c r="H196" s="220">
        <f>SUM(E196)-SUM(F196)</f>
        <v/>
      </c>
      <c r="I196" s="221">
        <f>IF(A196="Total",VLOOKUP(B196,CORRESPONDANCE[#All],2,FALSE),I197)</f>
        <v/>
      </c>
      <c r="J196" s="350">
        <f>LEFT(A196,1)</f>
        <v/>
      </c>
      <c r="K196" s="347">
        <f>"GLR5"&amp;" - "&amp;A196</f>
        <v/>
      </c>
      <c r="L196" s="347">
        <f>+VLOOKUP(K196,TL[],4,FALSE)</f>
        <v/>
      </c>
    </row>
    <row r="197">
      <c r="G197" s="220">
        <f>SUM(C197)-SUM(D197)</f>
        <v/>
      </c>
      <c r="H197" s="220">
        <f>SUM(E197)-SUM(F197)</f>
        <v/>
      </c>
      <c r="I197" s="221">
        <f>IF(A197="Total",VLOOKUP(B197,CORRESPONDANCE[#All],2,FALSE),I198)</f>
        <v/>
      </c>
      <c r="J197" s="350">
        <f>LEFT(A197,1)</f>
        <v/>
      </c>
      <c r="K197" s="347">
        <f>"GLR5"&amp;" - "&amp;A197</f>
        <v/>
      </c>
      <c r="L197" s="347">
        <f>+VLOOKUP(K197,TL[],4,FALSE)</f>
        <v/>
      </c>
    </row>
    <row r="198">
      <c r="G198" s="220">
        <f>SUM(C198)-SUM(D198)</f>
        <v/>
      </c>
      <c r="H198" s="220">
        <f>SUM(E198)-SUM(F198)</f>
        <v/>
      </c>
      <c r="I198" s="221">
        <f>IF(A198="Total",VLOOKUP(B198,CORRESPONDANCE[#All],2,FALSE),I199)</f>
        <v/>
      </c>
      <c r="J198" s="350">
        <f>LEFT(A198,1)</f>
        <v/>
      </c>
      <c r="K198" s="347">
        <f>"GLR5"&amp;" - "&amp;A198</f>
        <v/>
      </c>
      <c r="L198" s="347">
        <f>+VLOOKUP(K198,TL[],4,FALSE)</f>
        <v/>
      </c>
    </row>
    <row r="199">
      <c r="G199" s="220">
        <f>SUM(C199)-SUM(D199)</f>
        <v/>
      </c>
      <c r="H199" s="220">
        <f>SUM(E199)-SUM(F199)</f>
        <v/>
      </c>
      <c r="I199" s="221">
        <f>IF(A199="Total",VLOOKUP(B199,CORRESPONDANCE[#All],2,FALSE),I200)</f>
        <v/>
      </c>
      <c r="J199" s="350">
        <f>LEFT(A199,1)</f>
        <v/>
      </c>
      <c r="K199" s="347">
        <f>"GLR5"&amp;" - "&amp;A199</f>
        <v/>
      </c>
      <c r="L199" s="347">
        <f>+VLOOKUP(K199,TL[],4,FALSE)</f>
        <v/>
      </c>
    </row>
    <row r="200">
      <c r="G200" s="220">
        <f>SUM(C200)-SUM(D200)</f>
        <v/>
      </c>
      <c r="H200" s="220">
        <f>SUM(E200)-SUM(F200)</f>
        <v/>
      </c>
      <c r="I200" s="221">
        <f>IF(A200="Total",VLOOKUP(B200,CORRESPONDANCE[#All],2,FALSE),I201)</f>
        <v/>
      </c>
      <c r="J200" s="350">
        <f>LEFT(A200,1)</f>
        <v/>
      </c>
      <c r="K200" s="347">
        <f>"GLR5"&amp;" - "&amp;A200</f>
        <v/>
      </c>
      <c r="L200" s="347">
        <f>+VLOOKUP(K200,TL[],4,FALSE)</f>
        <v/>
      </c>
    </row>
    <row r="201">
      <c r="G201" s="220">
        <f>SUM(C201)-SUM(D201)</f>
        <v/>
      </c>
      <c r="H201" s="220">
        <f>SUM(E201)-SUM(F201)</f>
        <v/>
      </c>
      <c r="I201" s="221">
        <f>IF(A201="Total",VLOOKUP(B201,CORRESPONDANCE[#All],2,FALSE),I202)</f>
        <v/>
      </c>
      <c r="J201" s="350">
        <f>LEFT(A201,1)</f>
        <v/>
      </c>
      <c r="K201" s="347">
        <f>"GLR5"&amp;" - "&amp;A201</f>
        <v/>
      </c>
      <c r="L201" s="347">
        <f>+VLOOKUP(K201,TL[],4,FALSE)</f>
        <v/>
      </c>
    </row>
    <row r="202">
      <c r="G202" s="220">
        <f>SUM(C202)-SUM(D202)</f>
        <v/>
      </c>
      <c r="H202" s="220">
        <f>SUM(E202)-SUM(F202)</f>
        <v/>
      </c>
      <c r="I202" s="221">
        <f>IF(A202="Total",VLOOKUP(B202,CORRESPONDANCE[#All],2,FALSE),I203)</f>
        <v/>
      </c>
      <c r="J202" s="350">
        <f>LEFT(A202,1)</f>
        <v/>
      </c>
      <c r="K202" s="347">
        <f>"GLR5"&amp;" - "&amp;A202</f>
        <v/>
      </c>
      <c r="L202" s="347">
        <f>+VLOOKUP(K202,TL[],4,FALSE)</f>
        <v/>
      </c>
    </row>
    <row r="203">
      <c r="G203" s="220">
        <f>SUM(C203)-SUM(D203)</f>
        <v/>
      </c>
      <c r="H203" s="220">
        <f>SUM(E203)-SUM(F203)</f>
        <v/>
      </c>
      <c r="I203" s="221">
        <f>IF(A203="Total",VLOOKUP(B203,CORRESPONDANCE[#All],2,FALSE),I204)</f>
        <v/>
      </c>
      <c r="J203" s="350">
        <f>LEFT(A203,1)</f>
        <v/>
      </c>
      <c r="K203" s="347">
        <f>"GLR5"&amp;" - "&amp;A203</f>
        <v/>
      </c>
      <c r="L203" s="347">
        <f>+VLOOKUP(K203,TL[],4,FALSE)</f>
        <v/>
      </c>
    </row>
    <row r="204">
      <c r="G204" s="220">
        <f>SUM(C204)-SUM(D204)</f>
        <v/>
      </c>
      <c r="H204" s="220">
        <f>SUM(E204)-SUM(F204)</f>
        <v/>
      </c>
      <c r="I204" s="221">
        <f>IF(A204="Total",VLOOKUP(B204,CORRESPONDANCE[#All],2,FALSE),I205)</f>
        <v/>
      </c>
      <c r="J204" s="350">
        <f>LEFT(A204,1)</f>
        <v/>
      </c>
      <c r="K204" s="347">
        <f>"GLR5"&amp;" - "&amp;A204</f>
        <v/>
      </c>
      <c r="L204" s="347">
        <f>+VLOOKUP(K204,TL[],4,FALSE)</f>
        <v/>
      </c>
    </row>
    <row r="205">
      <c r="G205" s="220">
        <f>SUM(C205)-SUM(D205)</f>
        <v/>
      </c>
      <c r="H205" s="220">
        <f>SUM(E205)-SUM(F205)</f>
        <v/>
      </c>
      <c r="I205" s="221">
        <f>IF(A205="Total",VLOOKUP(B205,CORRESPONDANCE[#All],2,FALSE),I206)</f>
        <v/>
      </c>
      <c r="J205" s="350">
        <f>LEFT(A205,1)</f>
        <v/>
      </c>
      <c r="K205" s="347">
        <f>"GLR5"&amp;" - "&amp;A205</f>
        <v/>
      </c>
      <c r="L205" s="347">
        <f>+VLOOKUP(K205,TL[],4,FALSE)</f>
        <v/>
      </c>
    </row>
    <row r="206">
      <c r="G206" s="220">
        <f>SUM(C206)-SUM(D206)</f>
        <v/>
      </c>
      <c r="H206" s="220">
        <f>SUM(E206)-SUM(F206)</f>
        <v/>
      </c>
      <c r="I206" s="221">
        <f>IF(A206="Total",VLOOKUP(B206,CORRESPONDANCE[#All],2,FALSE),I207)</f>
        <v/>
      </c>
      <c r="J206" s="350">
        <f>LEFT(A206,1)</f>
        <v/>
      </c>
      <c r="K206" s="347">
        <f>"GLR5"&amp;" - "&amp;A206</f>
        <v/>
      </c>
      <c r="L206" s="347">
        <f>+VLOOKUP(K206,TL[],4,FALSE)</f>
        <v/>
      </c>
    </row>
    <row r="207">
      <c r="G207" s="220">
        <f>SUM(C207)-SUM(D207)</f>
        <v/>
      </c>
      <c r="H207" s="220">
        <f>SUM(E207)-SUM(F207)</f>
        <v/>
      </c>
      <c r="I207" s="221">
        <f>IF(A207="Total",VLOOKUP(B207,CORRESPONDANCE[#All],2,FALSE),I208)</f>
        <v/>
      </c>
      <c r="J207" s="350">
        <f>LEFT(A207,1)</f>
        <v/>
      </c>
      <c r="K207" s="347">
        <f>"GLR5"&amp;" - "&amp;A207</f>
        <v/>
      </c>
      <c r="L207" s="347">
        <f>+VLOOKUP(K207,TL[],4,FALSE)</f>
        <v/>
      </c>
    </row>
    <row r="208">
      <c r="G208" s="220">
        <f>SUM(C208)-SUM(D208)</f>
        <v/>
      </c>
      <c r="H208" s="220">
        <f>SUM(E208)-SUM(F208)</f>
        <v/>
      </c>
      <c r="I208" s="221">
        <f>IF(A208="Total",VLOOKUP(B208,CORRESPONDANCE[#All],2,FALSE),I209)</f>
        <v/>
      </c>
      <c r="J208" s="350">
        <f>LEFT(A208,1)</f>
        <v/>
      </c>
      <c r="K208" s="347">
        <f>"GLR5"&amp;" - "&amp;A208</f>
        <v/>
      </c>
      <c r="L208" s="347">
        <f>+VLOOKUP(K208,TL[],4,FALSE)</f>
        <v/>
      </c>
    </row>
    <row r="209">
      <c r="G209" s="220">
        <f>SUM(C209)-SUM(D209)</f>
        <v/>
      </c>
      <c r="H209" s="220">
        <f>SUM(E209)-SUM(F209)</f>
        <v/>
      </c>
      <c r="I209" s="221">
        <f>IF(A209="Total",VLOOKUP(B209,CORRESPONDANCE[#All],2,FALSE),I210)</f>
        <v/>
      </c>
      <c r="J209" s="350">
        <f>LEFT(A209,1)</f>
        <v/>
      </c>
      <c r="K209" s="347">
        <f>"GLR5"&amp;" - "&amp;A209</f>
        <v/>
      </c>
      <c r="L209" s="347">
        <f>+VLOOKUP(K209,TL[],4,FALSE)</f>
        <v/>
      </c>
    </row>
    <row r="210">
      <c r="G210" s="220">
        <f>SUM(C210)-SUM(D210)</f>
        <v/>
      </c>
      <c r="H210" s="220">
        <f>SUM(E210)-SUM(F210)</f>
        <v/>
      </c>
      <c r="I210" s="221">
        <f>IF(A210="Total",VLOOKUP(B210,CORRESPONDANCE[#All],2,FALSE),I211)</f>
        <v/>
      </c>
      <c r="J210" s="350">
        <f>LEFT(A210,1)</f>
        <v/>
      </c>
      <c r="K210" s="347">
        <f>"GLR5"&amp;" - "&amp;A210</f>
        <v/>
      </c>
      <c r="L210" s="347">
        <f>+VLOOKUP(K210,TL[],4,FALSE)</f>
        <v/>
      </c>
    </row>
    <row r="211">
      <c r="G211" s="220">
        <f>SUM(C211)-SUM(D211)</f>
        <v/>
      </c>
      <c r="H211" s="220">
        <f>SUM(E211)-SUM(F211)</f>
        <v/>
      </c>
      <c r="I211" s="221">
        <f>IF(A211="Total",VLOOKUP(B211,CORRESPONDANCE[#All],2,FALSE),I212)</f>
        <v/>
      </c>
      <c r="J211" s="350">
        <f>LEFT(A211,1)</f>
        <v/>
      </c>
      <c r="K211" s="347">
        <f>"GLR5"&amp;" - "&amp;A211</f>
        <v/>
      </c>
      <c r="L211" s="347">
        <f>+VLOOKUP(K211,TL[],4,FALSE)</f>
        <v/>
      </c>
    </row>
    <row r="212">
      <c r="G212" s="220">
        <f>SUM(C212)-SUM(D212)</f>
        <v/>
      </c>
      <c r="H212" s="220">
        <f>SUM(E212)-SUM(F212)</f>
        <v/>
      </c>
      <c r="I212" s="221">
        <f>IF(A212="Total",VLOOKUP(B212,CORRESPONDANCE[#All],2,FALSE),I213)</f>
        <v/>
      </c>
      <c r="J212" s="350">
        <f>LEFT(A212,1)</f>
        <v/>
      </c>
      <c r="K212" s="347">
        <f>"GLR5"&amp;" - "&amp;A212</f>
        <v/>
      </c>
      <c r="L212" s="347">
        <f>+VLOOKUP(K212,TL[],4,FALSE)</f>
        <v/>
      </c>
    </row>
    <row r="213">
      <c r="G213" s="220">
        <f>SUM(C213)-SUM(D213)</f>
        <v/>
      </c>
      <c r="H213" s="220">
        <f>SUM(E213)-SUM(F213)</f>
        <v/>
      </c>
      <c r="I213" s="221">
        <f>IF(A213="Total",VLOOKUP(B213,CORRESPONDANCE[#All],2,FALSE),I214)</f>
        <v/>
      </c>
      <c r="J213" s="350">
        <f>LEFT(A213,1)</f>
        <v/>
      </c>
      <c r="K213" s="347">
        <f>"GLR5"&amp;" - "&amp;A213</f>
        <v/>
      </c>
      <c r="L213" s="347">
        <f>+VLOOKUP(K213,TL[],4,FALSE)</f>
        <v/>
      </c>
    </row>
    <row r="214">
      <c r="G214" s="220">
        <f>SUM(C214)-SUM(D214)</f>
        <v/>
      </c>
      <c r="H214" s="220">
        <f>SUM(E214)-SUM(F214)</f>
        <v/>
      </c>
      <c r="I214" s="221">
        <f>IF(A214="Total",VLOOKUP(B214,CORRESPONDANCE[#All],2,FALSE),I215)</f>
        <v/>
      </c>
      <c r="J214" s="350">
        <f>LEFT(A214,1)</f>
        <v/>
      </c>
      <c r="K214" s="347">
        <f>"GLR5"&amp;" - "&amp;A214</f>
        <v/>
      </c>
      <c r="L214" s="347">
        <f>+VLOOKUP(K214,TL[],4,FALSE)</f>
        <v/>
      </c>
    </row>
    <row r="215">
      <c r="G215" s="220">
        <f>SUM(C215)-SUM(D215)</f>
        <v/>
      </c>
      <c r="H215" s="220">
        <f>SUM(E215)-SUM(F215)</f>
        <v/>
      </c>
      <c r="I215" s="221">
        <f>IF(A215="Total",VLOOKUP(B215,CORRESPONDANCE[#All],2,FALSE),I216)</f>
        <v/>
      </c>
      <c r="J215" s="350">
        <f>LEFT(A215,1)</f>
        <v/>
      </c>
      <c r="K215" s="347">
        <f>"GLR5"&amp;" - "&amp;A215</f>
        <v/>
      </c>
      <c r="L215" s="347">
        <f>+VLOOKUP(K215,TL[],4,FALSE)</f>
        <v/>
      </c>
    </row>
    <row r="216">
      <c r="G216" s="220">
        <f>SUM(C216)-SUM(D216)</f>
        <v/>
      </c>
      <c r="H216" s="220">
        <f>SUM(E216)-SUM(F216)</f>
        <v/>
      </c>
      <c r="I216" s="221">
        <f>IF(A216="Total",VLOOKUP(B216,CORRESPONDANCE[#All],2,FALSE),I217)</f>
        <v/>
      </c>
      <c r="J216" s="350">
        <f>LEFT(A216,1)</f>
        <v/>
      </c>
      <c r="K216" s="347">
        <f>"GLR5"&amp;" - "&amp;A216</f>
        <v/>
      </c>
      <c r="L216" s="347">
        <f>+VLOOKUP(K216,TL[],4,FALSE)</f>
        <v/>
      </c>
    </row>
    <row r="217">
      <c r="G217" s="220">
        <f>SUM(C217)-SUM(D217)</f>
        <v/>
      </c>
      <c r="H217" s="220">
        <f>SUM(E217)-SUM(F217)</f>
        <v/>
      </c>
      <c r="I217" s="221">
        <f>IF(A217="Total",VLOOKUP(B217,CORRESPONDANCE[#All],2,FALSE),I218)</f>
        <v/>
      </c>
      <c r="J217" s="350">
        <f>LEFT(A217,1)</f>
        <v/>
      </c>
      <c r="K217" s="347">
        <f>"GLR5"&amp;" - "&amp;A217</f>
        <v/>
      </c>
      <c r="L217" s="347">
        <f>+VLOOKUP(K217,TL[],4,FALSE)</f>
        <v/>
      </c>
    </row>
    <row r="218">
      <c r="G218" s="220">
        <f>SUM(C218)-SUM(D218)</f>
        <v/>
      </c>
      <c r="H218" s="220">
        <f>SUM(E218)-SUM(F218)</f>
        <v/>
      </c>
      <c r="I218" s="221">
        <f>IF(A218="Total",VLOOKUP(B218,CORRESPONDANCE[#All],2,FALSE),I219)</f>
        <v/>
      </c>
      <c r="J218" s="350">
        <f>LEFT(A218,1)</f>
        <v/>
      </c>
      <c r="K218" s="347">
        <f>"GLR5"&amp;" - "&amp;A218</f>
        <v/>
      </c>
      <c r="L218" s="347">
        <f>+VLOOKUP(K218,TL[],4,FALSE)</f>
        <v/>
      </c>
    </row>
    <row r="219">
      <c r="G219" s="220">
        <f>SUM(C219)-SUM(D219)</f>
        <v/>
      </c>
      <c r="H219" s="220">
        <f>SUM(E219)-SUM(F219)</f>
        <v/>
      </c>
      <c r="I219" s="221">
        <f>IF(A219="Total",VLOOKUP(B219,CORRESPONDANCE[#All],2,FALSE),I220)</f>
        <v/>
      </c>
      <c r="J219" s="350">
        <f>LEFT(A219,1)</f>
        <v/>
      </c>
      <c r="K219" s="347">
        <f>"GLR5"&amp;" - "&amp;A219</f>
        <v/>
      </c>
      <c r="L219" s="347">
        <f>+VLOOKUP(K219,TL[],4,FALSE)</f>
        <v/>
      </c>
    </row>
    <row r="220">
      <c r="G220" s="220">
        <f>SUM(C220)-SUM(D220)</f>
        <v/>
      </c>
      <c r="H220" s="220">
        <f>SUM(E220)-SUM(F220)</f>
        <v/>
      </c>
      <c r="I220" s="221">
        <f>IF(A220="Total",VLOOKUP(B220,CORRESPONDANCE[#All],2,FALSE),I221)</f>
        <v/>
      </c>
      <c r="J220" s="350">
        <f>LEFT(A220,1)</f>
        <v/>
      </c>
      <c r="K220" s="347">
        <f>"GLR5"&amp;" - "&amp;A220</f>
        <v/>
      </c>
      <c r="L220" s="347">
        <f>+VLOOKUP(K220,TL[],4,FALSE)</f>
        <v/>
      </c>
    </row>
    <row r="221">
      <c r="G221" s="220">
        <f>SUM(C221)-SUM(D221)</f>
        <v/>
      </c>
      <c r="H221" s="220">
        <f>SUM(E221)-SUM(F221)</f>
        <v/>
      </c>
      <c r="I221" s="221">
        <f>IF(A221="Total",VLOOKUP(B221,CORRESPONDANCE[#All],2,FALSE),I222)</f>
        <v/>
      </c>
      <c r="J221" s="350">
        <f>LEFT(A221,1)</f>
        <v/>
      </c>
      <c r="K221" s="347">
        <f>"GLR5"&amp;" - "&amp;A221</f>
        <v/>
      </c>
      <c r="L221" s="347">
        <f>+VLOOKUP(K221,TL[],4,FALSE)</f>
        <v/>
      </c>
    </row>
    <row r="222">
      <c r="G222" s="220">
        <f>SUM(C222)-SUM(D222)</f>
        <v/>
      </c>
      <c r="H222" s="220">
        <f>SUM(E222)-SUM(F222)</f>
        <v/>
      </c>
      <c r="I222" s="221">
        <f>IF(A222="Total",VLOOKUP(B222,CORRESPONDANCE[#All],2,FALSE),I223)</f>
        <v/>
      </c>
      <c r="J222" s="350">
        <f>LEFT(A222,1)</f>
        <v/>
      </c>
      <c r="K222" s="347">
        <f>"GLR5"&amp;" - "&amp;A222</f>
        <v/>
      </c>
      <c r="L222" s="347">
        <f>+VLOOKUP(K222,TL[],4,FALSE)</f>
        <v/>
      </c>
    </row>
    <row r="223">
      <c r="G223" s="220">
        <f>SUM(C223)-SUM(D223)</f>
        <v/>
      </c>
      <c r="H223" s="220">
        <f>SUM(E223)-SUM(F223)</f>
        <v/>
      </c>
      <c r="I223" s="221">
        <f>IF(A223="Total",VLOOKUP(B223,CORRESPONDANCE[#All],2,FALSE),I224)</f>
        <v/>
      </c>
      <c r="J223" s="350">
        <f>LEFT(A223,1)</f>
        <v/>
      </c>
      <c r="K223" s="347">
        <f>"GLR5"&amp;" - "&amp;A223</f>
        <v/>
      </c>
      <c r="L223" s="347">
        <f>+VLOOKUP(K223,TL[],4,FALSE)</f>
        <v/>
      </c>
    </row>
    <row r="224">
      <c r="G224" s="220">
        <f>SUM(C224)-SUM(D224)</f>
        <v/>
      </c>
      <c r="H224" s="220">
        <f>SUM(E224)-SUM(F224)</f>
        <v/>
      </c>
      <c r="I224" s="221">
        <f>IF(A224="Total",VLOOKUP(B224,CORRESPONDANCE[#All],2,FALSE),I225)</f>
        <v/>
      </c>
      <c r="J224" s="350">
        <f>LEFT(A224,1)</f>
        <v/>
      </c>
      <c r="K224" s="347">
        <f>"GLR5"&amp;" - "&amp;A224</f>
        <v/>
      </c>
      <c r="L224" s="347">
        <f>+VLOOKUP(K224,TL[],4,FALSE)</f>
        <v/>
      </c>
    </row>
    <row r="225">
      <c r="G225" s="220">
        <f>SUM(C225)-SUM(D225)</f>
        <v/>
      </c>
      <c r="H225" s="220">
        <f>SUM(E225)-SUM(F225)</f>
        <v/>
      </c>
      <c r="I225" s="221">
        <f>IF(A225="Total",VLOOKUP(B225,CORRESPONDANCE[#All],2,FALSE),I226)</f>
        <v/>
      </c>
      <c r="J225" s="350">
        <f>LEFT(A225,1)</f>
        <v/>
      </c>
      <c r="K225" s="347">
        <f>"GLR5"&amp;" - "&amp;A225</f>
        <v/>
      </c>
      <c r="L225" s="347">
        <f>+VLOOKUP(K225,TL[],4,FALSE)</f>
        <v/>
      </c>
    </row>
    <row r="226">
      <c r="G226" s="220">
        <f>SUM(C226)-SUM(D226)</f>
        <v/>
      </c>
      <c r="H226" s="220">
        <f>SUM(E226)-SUM(F226)</f>
        <v/>
      </c>
      <c r="I226" s="221">
        <f>IF(A226="Total",VLOOKUP(B226,CORRESPONDANCE[#All],2,FALSE),I227)</f>
        <v/>
      </c>
      <c r="J226" s="350">
        <f>LEFT(A226,1)</f>
        <v/>
      </c>
      <c r="K226" s="347">
        <f>"GLR5"&amp;" - "&amp;A226</f>
        <v/>
      </c>
      <c r="L226" s="347">
        <f>+VLOOKUP(K226,TL[],4,FALSE)</f>
        <v/>
      </c>
    </row>
    <row r="227">
      <c r="G227" s="220">
        <f>SUM(C227)-SUM(D227)</f>
        <v/>
      </c>
      <c r="H227" s="220">
        <f>SUM(E227)-SUM(F227)</f>
        <v/>
      </c>
      <c r="I227" s="221">
        <f>IF(A227="Total",VLOOKUP(B227,CORRESPONDANCE[#All],2,FALSE),I228)</f>
        <v/>
      </c>
      <c r="J227" s="350">
        <f>LEFT(A227,1)</f>
        <v/>
      </c>
      <c r="K227" s="347">
        <f>"GLR5"&amp;" - "&amp;A227</f>
        <v/>
      </c>
      <c r="L227" s="347">
        <f>+VLOOKUP(K227,TL[],4,FALSE)</f>
        <v/>
      </c>
    </row>
    <row r="228">
      <c r="G228" s="220">
        <f>SUM(C228)-SUM(D228)</f>
        <v/>
      </c>
      <c r="H228" s="220">
        <f>SUM(E228)-SUM(F228)</f>
        <v/>
      </c>
      <c r="I228" s="221">
        <f>IF(A228="Total",VLOOKUP(B228,CORRESPONDANCE[#All],2,FALSE),I229)</f>
        <v/>
      </c>
      <c r="J228" s="350">
        <f>LEFT(A228,1)</f>
        <v/>
      </c>
      <c r="K228" s="347">
        <f>"GLR5"&amp;" - "&amp;A228</f>
        <v/>
      </c>
      <c r="L228" s="347">
        <f>+VLOOKUP(K228,TL[],4,FALSE)</f>
        <v/>
      </c>
    </row>
    <row r="229">
      <c r="G229" s="220">
        <f>SUM(C229)-SUM(D229)</f>
        <v/>
      </c>
      <c r="H229" s="220">
        <f>SUM(E229)-SUM(F229)</f>
        <v/>
      </c>
      <c r="I229" s="221">
        <f>IF(A229="Total",VLOOKUP(B229,CORRESPONDANCE[#All],2,FALSE),I230)</f>
        <v/>
      </c>
      <c r="J229" s="350">
        <f>LEFT(A229,1)</f>
        <v/>
      </c>
      <c r="K229" s="347">
        <f>"GLR5"&amp;" - "&amp;A229</f>
        <v/>
      </c>
      <c r="L229" s="347">
        <f>+VLOOKUP(K229,TL[],4,FALSE)</f>
        <v/>
      </c>
    </row>
    <row r="230">
      <c r="G230" s="220">
        <f>SUM(C230)-SUM(D230)</f>
        <v/>
      </c>
      <c r="H230" s="220">
        <f>SUM(E230)-SUM(F230)</f>
        <v/>
      </c>
      <c r="I230" s="221">
        <f>IF(A230="Total",VLOOKUP(B230,CORRESPONDANCE[#All],2,FALSE),I231)</f>
        <v/>
      </c>
      <c r="J230" s="350">
        <f>LEFT(A230,1)</f>
        <v/>
      </c>
      <c r="K230" s="347">
        <f>"GLR5"&amp;" - "&amp;A230</f>
        <v/>
      </c>
      <c r="L230" s="347">
        <f>+VLOOKUP(K230,TL[],4,FALSE)</f>
        <v/>
      </c>
    </row>
    <row r="231">
      <c r="G231" s="220">
        <f>SUM(C231)-SUM(D231)</f>
        <v/>
      </c>
      <c r="H231" s="220">
        <f>SUM(E231)-SUM(F231)</f>
        <v/>
      </c>
      <c r="I231" s="221">
        <f>IF(A231="Total",VLOOKUP(B231,CORRESPONDANCE[#All],2,FALSE),I232)</f>
        <v/>
      </c>
      <c r="J231" s="350">
        <f>LEFT(A231,1)</f>
        <v/>
      </c>
      <c r="K231" s="347">
        <f>"GLR5"&amp;" - "&amp;A231</f>
        <v/>
      </c>
      <c r="L231" s="347">
        <f>+VLOOKUP(K231,TL[],4,FALSE)</f>
        <v/>
      </c>
    </row>
    <row r="232">
      <c r="G232" s="220">
        <f>SUM(C232)-SUM(D232)</f>
        <v/>
      </c>
      <c r="H232" s="220">
        <f>SUM(E232)-SUM(F232)</f>
        <v/>
      </c>
      <c r="I232" s="221">
        <f>IF(A232="Total",VLOOKUP(B232,CORRESPONDANCE[#All],2,FALSE),I233)</f>
        <v/>
      </c>
      <c r="J232" s="350">
        <f>LEFT(A232,1)</f>
        <v/>
      </c>
      <c r="K232" s="347">
        <f>"GLR5"&amp;" - "&amp;A232</f>
        <v/>
      </c>
      <c r="L232" s="347">
        <f>+VLOOKUP(K232,TL[],4,FALSE)</f>
        <v/>
      </c>
    </row>
    <row r="233">
      <c r="G233" s="220">
        <f>SUM(C233)-SUM(D233)</f>
        <v/>
      </c>
      <c r="H233" s="220">
        <f>SUM(E233)-SUM(F233)</f>
        <v/>
      </c>
      <c r="I233" s="221">
        <f>IF(A233="Total",VLOOKUP(B233,CORRESPONDANCE[#All],2,FALSE),I234)</f>
        <v/>
      </c>
      <c r="J233" s="350">
        <f>LEFT(A233,1)</f>
        <v/>
      </c>
      <c r="K233" s="347">
        <f>"GLR5"&amp;" - "&amp;A233</f>
        <v/>
      </c>
      <c r="L233" s="347">
        <f>+VLOOKUP(K233,TL[],4,FALSE)</f>
        <v/>
      </c>
    </row>
    <row r="234">
      <c r="G234" s="220">
        <f>SUM(C234)-SUM(D234)</f>
        <v/>
      </c>
      <c r="H234" s="220">
        <f>SUM(E234)-SUM(F234)</f>
        <v/>
      </c>
      <c r="I234" s="221">
        <f>IF(A234="Total",VLOOKUP(B234,CORRESPONDANCE[#All],2,FALSE),I235)</f>
        <v/>
      </c>
      <c r="J234" s="350">
        <f>LEFT(A234,1)</f>
        <v/>
      </c>
      <c r="K234" s="347">
        <f>"GLR5"&amp;" - "&amp;A234</f>
        <v/>
      </c>
      <c r="L234" s="347">
        <f>+VLOOKUP(K234,TL[],4,FALSE)</f>
        <v/>
      </c>
    </row>
    <row r="235">
      <c r="G235" s="220">
        <f>SUM(C235)-SUM(D235)</f>
        <v/>
      </c>
      <c r="H235" s="220">
        <f>SUM(E235)-SUM(F235)</f>
        <v/>
      </c>
      <c r="I235" s="221">
        <f>IF(A235="Total",VLOOKUP(B235,CORRESPONDANCE[#All],2,FALSE),I236)</f>
        <v/>
      </c>
      <c r="J235" s="350">
        <f>LEFT(A235,1)</f>
        <v/>
      </c>
      <c r="K235" s="347">
        <f>"GLR5"&amp;" - "&amp;A235</f>
        <v/>
      </c>
      <c r="L235" s="347">
        <f>+VLOOKUP(K235,TL[],4,FALSE)</f>
        <v/>
      </c>
    </row>
    <row r="236">
      <c r="G236" s="220">
        <f>SUM(C236)-SUM(D236)</f>
        <v/>
      </c>
      <c r="H236" s="220">
        <f>SUM(E236)-SUM(F236)</f>
        <v/>
      </c>
      <c r="I236" s="221">
        <f>IF(A236="Total",VLOOKUP(B236,CORRESPONDANCE[#All],2,FALSE),I237)</f>
        <v/>
      </c>
      <c r="J236" s="350">
        <f>LEFT(A236,1)</f>
        <v/>
      </c>
      <c r="K236" s="347">
        <f>"GLR5"&amp;" - "&amp;A236</f>
        <v/>
      </c>
      <c r="L236" s="347">
        <f>+VLOOKUP(K236,TL[],4,FALSE)</f>
        <v/>
      </c>
    </row>
    <row r="237">
      <c r="G237" s="220">
        <f>SUM(C237)-SUM(D237)</f>
        <v/>
      </c>
      <c r="H237" s="220">
        <f>SUM(E237)-SUM(F237)</f>
        <v/>
      </c>
      <c r="I237" s="221">
        <f>IF(A237="Total",VLOOKUP(B237,CORRESPONDANCE[#All],2,FALSE),I238)</f>
        <v/>
      </c>
      <c r="J237" s="350">
        <f>LEFT(A237,1)</f>
        <v/>
      </c>
      <c r="K237" s="347">
        <f>"GLR5"&amp;" - "&amp;A237</f>
        <v/>
      </c>
      <c r="L237" s="347">
        <f>+VLOOKUP(K237,TL[],4,FALSE)</f>
        <v/>
      </c>
    </row>
    <row r="238">
      <c r="G238" s="220">
        <f>SUM(C238)-SUM(D238)</f>
        <v/>
      </c>
      <c r="H238" s="220">
        <f>SUM(E238)-SUM(F238)</f>
        <v/>
      </c>
      <c r="I238" s="221">
        <f>IF(A238="Total",VLOOKUP(B238,CORRESPONDANCE[#All],2,FALSE),I239)</f>
        <v/>
      </c>
      <c r="J238" s="350">
        <f>LEFT(A238,1)</f>
        <v/>
      </c>
      <c r="K238" s="347">
        <f>"GLR5"&amp;" - "&amp;A238</f>
        <v/>
      </c>
      <c r="L238" s="347">
        <f>+VLOOKUP(K238,TL[],4,FALSE)</f>
        <v/>
      </c>
    </row>
    <row r="239">
      <c r="G239" s="220">
        <f>SUM(C239)-SUM(D239)</f>
        <v/>
      </c>
      <c r="H239" s="220">
        <f>SUM(E239)-SUM(F239)</f>
        <v/>
      </c>
      <c r="I239" s="221">
        <f>IF(A239="Total",VLOOKUP(B239,CORRESPONDANCE[#All],2,FALSE),I240)</f>
        <v/>
      </c>
      <c r="J239" s="350">
        <f>LEFT(A239,1)</f>
        <v/>
      </c>
      <c r="K239" s="347">
        <f>"GLR5"&amp;" - "&amp;A239</f>
        <v/>
      </c>
      <c r="L239" s="347">
        <f>+VLOOKUP(K239,TL[],4,FALSE)</f>
        <v/>
      </c>
    </row>
    <row r="240">
      <c r="G240" s="220">
        <f>SUM(C240)-SUM(D240)</f>
        <v/>
      </c>
      <c r="H240" s="220">
        <f>SUM(E240)-SUM(F240)</f>
        <v/>
      </c>
      <c r="I240" s="221">
        <f>IF(A240="Total",VLOOKUP(B240,CORRESPONDANCE[#All],2,FALSE),I241)</f>
        <v/>
      </c>
      <c r="J240" s="350">
        <f>LEFT(A240,1)</f>
        <v/>
      </c>
      <c r="K240" s="347">
        <f>"GLR5"&amp;" - "&amp;A240</f>
        <v/>
      </c>
      <c r="L240" s="347">
        <f>+VLOOKUP(K240,TL[],4,FALSE)</f>
        <v/>
      </c>
    </row>
    <row r="241">
      <c r="G241" s="220">
        <f>SUM(C241)-SUM(D241)</f>
        <v/>
      </c>
      <c r="H241" s="220">
        <f>SUM(E241)-SUM(F241)</f>
        <v/>
      </c>
      <c r="I241" s="221">
        <f>IF(A241="Total",VLOOKUP(B241,CORRESPONDANCE[#All],2,FALSE),I242)</f>
        <v/>
      </c>
      <c r="J241" s="350">
        <f>LEFT(A241,1)</f>
        <v/>
      </c>
      <c r="K241" s="347">
        <f>"GLR5"&amp;" - "&amp;A241</f>
        <v/>
      </c>
      <c r="L241" s="347">
        <f>+VLOOKUP(K241,TL[],4,FALSE)</f>
        <v/>
      </c>
    </row>
    <row r="242">
      <c r="G242" s="220">
        <f>SUM(C242)-SUM(D242)</f>
        <v/>
      </c>
      <c r="H242" s="220">
        <f>SUM(E242)-SUM(F242)</f>
        <v/>
      </c>
      <c r="I242" s="221">
        <f>IF(A242="Total",VLOOKUP(B242,CORRESPONDANCE[#All],2,FALSE),I243)</f>
        <v/>
      </c>
      <c r="J242" s="350">
        <f>LEFT(A242,1)</f>
        <v/>
      </c>
      <c r="K242" s="347">
        <f>"GLR5"&amp;" - "&amp;A242</f>
        <v/>
      </c>
      <c r="L242" s="347">
        <f>+VLOOKUP(K242,TL[],4,FALSE)</f>
        <v/>
      </c>
    </row>
    <row r="243">
      <c r="G243" s="220">
        <f>SUM(C243)-SUM(D243)</f>
        <v/>
      </c>
      <c r="H243" s="220">
        <f>SUM(E243)-SUM(F243)</f>
        <v/>
      </c>
      <c r="I243" s="221">
        <f>IF(A243="Total",VLOOKUP(B243,CORRESPONDANCE[#All],2,FALSE),I244)</f>
        <v/>
      </c>
      <c r="J243" s="350">
        <f>LEFT(A243,1)</f>
        <v/>
      </c>
      <c r="K243" s="347">
        <f>"GLR5"&amp;" - "&amp;A243</f>
        <v/>
      </c>
      <c r="L243" s="347">
        <f>+VLOOKUP(K243,TL[],4,FALSE)</f>
        <v/>
      </c>
    </row>
    <row r="244">
      <c r="G244" s="220">
        <f>SUM(C244)-SUM(D244)</f>
        <v/>
      </c>
      <c r="H244" s="220">
        <f>SUM(E244)-SUM(F244)</f>
        <v/>
      </c>
      <c r="I244" s="221">
        <f>IF(A244="Total",VLOOKUP(B244,CORRESPONDANCE[#All],2,FALSE),I245)</f>
        <v/>
      </c>
      <c r="J244" s="350">
        <f>LEFT(A244,1)</f>
        <v/>
      </c>
      <c r="K244" s="347">
        <f>"GLR5"&amp;" - "&amp;A244</f>
        <v/>
      </c>
      <c r="L244" s="347">
        <f>+VLOOKUP(K244,TL[],4,FALSE)</f>
        <v/>
      </c>
    </row>
    <row r="245">
      <c r="G245" s="220">
        <f>SUM(C245)-SUM(D245)</f>
        <v/>
      </c>
      <c r="H245" s="220">
        <f>SUM(E245)-SUM(F245)</f>
        <v/>
      </c>
      <c r="I245" s="221">
        <f>IF(A245="Total",VLOOKUP(B245,CORRESPONDANCE[#All],2,FALSE),I246)</f>
        <v/>
      </c>
      <c r="J245" s="350">
        <f>LEFT(A245,1)</f>
        <v/>
      </c>
      <c r="K245" s="347">
        <f>"GLR5"&amp;" - "&amp;A245</f>
        <v/>
      </c>
      <c r="L245" s="347">
        <f>+VLOOKUP(K245,TL[],4,FALSE)</f>
        <v/>
      </c>
    </row>
    <row r="246">
      <c r="G246" s="220">
        <f>SUM(C246)-SUM(D246)</f>
        <v/>
      </c>
      <c r="H246" s="220">
        <f>SUM(E246)-SUM(F246)</f>
        <v/>
      </c>
      <c r="I246" s="221">
        <f>IF(A246="Total",VLOOKUP(B246,CORRESPONDANCE[#All],2,FALSE),I247)</f>
        <v/>
      </c>
      <c r="J246" s="350">
        <f>LEFT(A246,1)</f>
        <v/>
      </c>
      <c r="K246" s="347">
        <f>"GLR5"&amp;" - "&amp;A246</f>
        <v/>
      </c>
      <c r="L246" s="347">
        <f>+VLOOKUP(K246,TL[],4,FALSE)</f>
        <v/>
      </c>
    </row>
    <row r="247">
      <c r="G247" s="220">
        <f>SUM(C247)-SUM(D247)</f>
        <v/>
      </c>
      <c r="H247" s="220">
        <f>SUM(E247)-SUM(F247)</f>
        <v/>
      </c>
      <c r="I247" s="221">
        <f>IF(A247="Total",VLOOKUP(B247,CORRESPONDANCE[#All],2,FALSE),I248)</f>
        <v/>
      </c>
      <c r="J247" s="350">
        <f>LEFT(A247,1)</f>
        <v/>
      </c>
      <c r="K247" s="347">
        <f>"GLR5"&amp;" - "&amp;A247</f>
        <v/>
      </c>
      <c r="L247" s="347">
        <f>+VLOOKUP(K247,TL[],4,FALSE)</f>
        <v/>
      </c>
    </row>
    <row r="248">
      <c r="G248" s="220">
        <f>SUM(C248)-SUM(D248)</f>
        <v/>
      </c>
      <c r="H248" s="220">
        <f>SUM(E248)-SUM(F248)</f>
        <v/>
      </c>
      <c r="I248" s="221">
        <f>IF(A248="Total",VLOOKUP(B248,CORRESPONDANCE[#All],2,FALSE),I249)</f>
        <v/>
      </c>
      <c r="J248" s="350">
        <f>LEFT(A248,1)</f>
        <v/>
      </c>
      <c r="K248" s="347">
        <f>"GLR5"&amp;" - "&amp;A248</f>
        <v/>
      </c>
      <c r="L248" s="347">
        <f>+VLOOKUP(K248,TL[],4,FALSE)</f>
        <v/>
      </c>
    </row>
    <row r="249">
      <c r="G249" s="220">
        <f>SUM(C249)-SUM(D249)</f>
        <v/>
      </c>
      <c r="H249" s="220">
        <f>SUM(E249)-SUM(F249)</f>
        <v/>
      </c>
      <c r="I249" s="221">
        <f>IF(A249="Total",VLOOKUP(B249,CORRESPONDANCE[#All],2,FALSE),I250)</f>
        <v/>
      </c>
      <c r="J249" s="350">
        <f>LEFT(A249,1)</f>
        <v/>
      </c>
      <c r="K249" s="347">
        <f>"GLR5"&amp;" - "&amp;A249</f>
        <v/>
      </c>
      <c r="L249" s="347">
        <f>+VLOOKUP(K249,TL[],4,FALSE)</f>
        <v/>
      </c>
    </row>
    <row r="250">
      <c r="G250" s="220">
        <f>SUM(C250)-SUM(D250)</f>
        <v/>
      </c>
      <c r="H250" s="220">
        <f>SUM(E250)-SUM(F250)</f>
        <v/>
      </c>
      <c r="I250" s="221">
        <f>IF(A250="Total",VLOOKUP(B250,CORRESPONDANCE[#All],2,FALSE),I251)</f>
        <v/>
      </c>
      <c r="J250" s="350">
        <f>LEFT(A250,1)</f>
        <v/>
      </c>
      <c r="K250" s="347">
        <f>"GLR5"&amp;" - "&amp;A250</f>
        <v/>
      </c>
      <c r="L250" s="347">
        <f>+VLOOKUP(K250,TL[],4,FALSE)</f>
        <v/>
      </c>
    </row>
    <row r="251">
      <c r="G251" s="220">
        <f>SUM(C251)-SUM(D251)</f>
        <v/>
      </c>
      <c r="H251" s="220">
        <f>SUM(E251)-SUM(F251)</f>
        <v/>
      </c>
      <c r="I251" s="221">
        <f>IF(A251="Total",VLOOKUP(B251,CORRESPONDANCE[#All],2,FALSE),I252)</f>
        <v/>
      </c>
      <c r="J251" s="350">
        <f>LEFT(A251,1)</f>
        <v/>
      </c>
      <c r="K251" s="347">
        <f>"GLR5"&amp;" - "&amp;A251</f>
        <v/>
      </c>
      <c r="L251" s="347">
        <f>+VLOOKUP(K251,TL[],4,FALSE)</f>
        <v/>
      </c>
    </row>
    <row r="252">
      <c r="G252" s="220">
        <f>SUM(C252)-SUM(D252)</f>
        <v/>
      </c>
      <c r="H252" s="220">
        <f>SUM(E252)-SUM(F252)</f>
        <v/>
      </c>
      <c r="I252" s="221">
        <f>IF(A252="Total",VLOOKUP(B252,CORRESPONDANCE[#All],2,FALSE),I253)</f>
        <v/>
      </c>
      <c r="J252" s="350">
        <f>LEFT(A252,1)</f>
        <v/>
      </c>
      <c r="K252" s="347">
        <f>"GLR5"&amp;" - "&amp;A252</f>
        <v/>
      </c>
      <c r="L252" s="347">
        <f>+VLOOKUP(K252,TL[],4,FALSE)</f>
        <v/>
      </c>
    </row>
    <row r="253">
      <c r="G253" s="220">
        <f>SUM(C253)-SUM(D253)</f>
        <v/>
      </c>
      <c r="H253" s="220">
        <f>SUM(E253)-SUM(F253)</f>
        <v/>
      </c>
      <c r="I253" s="221">
        <f>IF(A253="Total",VLOOKUP(B253,CORRESPONDANCE[#All],2,FALSE),I254)</f>
        <v/>
      </c>
      <c r="J253" s="350">
        <f>LEFT(A253,1)</f>
        <v/>
      </c>
      <c r="K253" s="347">
        <f>"GLR5"&amp;" - "&amp;A253</f>
        <v/>
      </c>
      <c r="L253" s="347">
        <f>+VLOOKUP(K253,TL[],4,FALSE)</f>
        <v/>
      </c>
    </row>
    <row r="254">
      <c r="G254" s="220">
        <f>SUM(C254)-SUM(D254)</f>
        <v/>
      </c>
      <c r="H254" s="220">
        <f>SUM(E254)-SUM(F254)</f>
        <v/>
      </c>
      <c r="I254" s="221">
        <f>IF(A254="Total",VLOOKUP(B254,CORRESPONDANCE[#All],2,FALSE),I255)</f>
        <v/>
      </c>
      <c r="J254" s="350">
        <f>LEFT(A254,1)</f>
        <v/>
      </c>
      <c r="K254" s="347">
        <f>"GLR5"&amp;" - "&amp;A254</f>
        <v/>
      </c>
      <c r="L254" s="347">
        <f>+VLOOKUP(K254,TL[],4,FALSE)</f>
        <v/>
      </c>
    </row>
    <row r="255">
      <c r="G255" s="220">
        <f>SUM(C255)-SUM(D255)</f>
        <v/>
      </c>
      <c r="H255" s="220">
        <f>SUM(E255)-SUM(F255)</f>
        <v/>
      </c>
      <c r="I255" s="221">
        <f>IF(A255="Total",VLOOKUP(B255,CORRESPONDANCE[#All],2,FALSE),I256)</f>
        <v/>
      </c>
      <c r="J255" s="350">
        <f>LEFT(A255,1)</f>
        <v/>
      </c>
      <c r="K255" s="347">
        <f>"GLR5"&amp;" - "&amp;A255</f>
        <v/>
      </c>
      <c r="L255" s="347">
        <f>+VLOOKUP(K255,TL[],4,FALSE)</f>
        <v/>
      </c>
    </row>
    <row r="256">
      <c r="G256" s="220">
        <f>SUM(C256)-SUM(D256)</f>
        <v/>
      </c>
      <c r="H256" s="220">
        <f>SUM(E256)-SUM(F256)</f>
        <v/>
      </c>
      <c r="I256" s="221">
        <f>IF(A256="Total",VLOOKUP(B256,CORRESPONDANCE[#All],2,FALSE),I257)</f>
        <v/>
      </c>
      <c r="J256" s="350">
        <f>LEFT(A256,1)</f>
        <v/>
      </c>
      <c r="K256" s="347">
        <f>"GLR5"&amp;" - "&amp;A256</f>
        <v/>
      </c>
      <c r="L256" s="347">
        <f>+VLOOKUP(K256,TL[],4,FALSE)</f>
        <v/>
      </c>
    </row>
    <row r="257">
      <c r="G257" s="220">
        <f>SUM(C257)-SUM(D257)</f>
        <v/>
      </c>
      <c r="H257" s="220">
        <f>SUM(E257)-SUM(F257)</f>
        <v/>
      </c>
      <c r="I257" s="221">
        <f>IF(A257="Total",VLOOKUP(B257,CORRESPONDANCE[#All],2,FALSE),I258)</f>
        <v/>
      </c>
      <c r="J257" s="350">
        <f>LEFT(A257,1)</f>
        <v/>
      </c>
      <c r="K257" s="347">
        <f>"GLR5"&amp;" - "&amp;A257</f>
        <v/>
      </c>
      <c r="L257" s="347">
        <f>+VLOOKUP(K257,TL[],4,FALSE)</f>
        <v/>
      </c>
    </row>
    <row r="258">
      <c r="G258" s="220">
        <f>SUM(C258)-SUM(D258)</f>
        <v/>
      </c>
      <c r="H258" s="220">
        <f>SUM(E258)-SUM(F258)</f>
        <v/>
      </c>
      <c r="I258" s="221">
        <f>IF(A258="Total",VLOOKUP(B258,CORRESPONDANCE[#All],2,FALSE),I259)</f>
        <v/>
      </c>
      <c r="J258" s="350">
        <f>LEFT(A258,1)</f>
        <v/>
      </c>
      <c r="K258" s="347">
        <f>"GLR5"&amp;" - "&amp;A258</f>
        <v/>
      </c>
      <c r="L258" s="347">
        <f>+VLOOKUP(K258,TL[],4,FALSE)</f>
        <v/>
      </c>
    </row>
    <row r="259">
      <c r="G259" s="220">
        <f>SUM(C259)-SUM(D259)</f>
        <v/>
      </c>
      <c r="H259" s="220">
        <f>SUM(E259)-SUM(F259)</f>
        <v/>
      </c>
      <c r="I259" s="221">
        <f>IF(A259="Total",VLOOKUP(B259,CORRESPONDANCE[#All],2,FALSE),I260)</f>
        <v/>
      </c>
      <c r="J259" s="350">
        <f>LEFT(A259,1)</f>
        <v/>
      </c>
      <c r="K259" s="347">
        <f>"GLR5"&amp;" - "&amp;A259</f>
        <v/>
      </c>
      <c r="L259" s="347">
        <f>+VLOOKUP(K259,TL[],4,FALSE)</f>
        <v/>
      </c>
    </row>
    <row r="260">
      <c r="G260" s="220">
        <f>SUM(C260)-SUM(D260)</f>
        <v/>
      </c>
      <c r="H260" s="220">
        <f>SUM(E260)-SUM(F260)</f>
        <v/>
      </c>
      <c r="I260" s="221">
        <f>IF(A260="Total",VLOOKUP(B260,CORRESPONDANCE[#All],2,FALSE),I261)</f>
        <v/>
      </c>
      <c r="J260" s="350">
        <f>LEFT(A260,1)</f>
        <v/>
      </c>
      <c r="K260" s="347">
        <f>"GLR5"&amp;" - "&amp;A260</f>
        <v/>
      </c>
      <c r="L260" s="347">
        <f>+VLOOKUP(K260,TL[],4,FALSE)</f>
        <v/>
      </c>
    </row>
    <row r="261">
      <c r="G261" s="220">
        <f>SUM(C261)-SUM(D261)</f>
        <v/>
      </c>
      <c r="H261" s="220">
        <f>SUM(E261)-SUM(F261)</f>
        <v/>
      </c>
      <c r="I261" s="221">
        <f>IF(A261="Total",VLOOKUP(B261,CORRESPONDANCE[#All],2,FALSE),I262)</f>
        <v/>
      </c>
      <c r="J261" s="350">
        <f>LEFT(A261,1)</f>
        <v/>
      </c>
      <c r="K261" s="347">
        <f>"GLR5"&amp;" - "&amp;A261</f>
        <v/>
      </c>
      <c r="L261" s="347">
        <f>+VLOOKUP(K261,TL[],4,FALSE)</f>
        <v/>
      </c>
    </row>
    <row r="262">
      <c r="G262" s="220">
        <f>SUM(C262)-SUM(D262)</f>
        <v/>
      </c>
      <c r="H262" s="220">
        <f>SUM(E262)-SUM(F262)</f>
        <v/>
      </c>
      <c r="I262" s="221">
        <f>IF(A262="Total",VLOOKUP(B262,CORRESPONDANCE[#All],2,FALSE),I263)</f>
        <v/>
      </c>
      <c r="J262" s="350">
        <f>LEFT(A262,1)</f>
        <v/>
      </c>
      <c r="K262" s="347">
        <f>"GLR5"&amp;" - "&amp;A262</f>
        <v/>
      </c>
      <c r="L262" s="347">
        <f>+VLOOKUP(K262,TL[],4,FALSE)</f>
        <v/>
      </c>
    </row>
    <row r="263">
      <c r="G263" s="220">
        <f>SUM(C263)-SUM(D263)</f>
        <v/>
      </c>
      <c r="H263" s="220">
        <f>SUM(E263)-SUM(F263)</f>
        <v/>
      </c>
      <c r="I263" s="221">
        <f>IF(A263="Total",VLOOKUP(B263,CORRESPONDANCE[#All],2,FALSE),I264)</f>
        <v/>
      </c>
      <c r="J263" s="350">
        <f>LEFT(A263,1)</f>
        <v/>
      </c>
      <c r="K263" s="347">
        <f>"GLR5"&amp;" - "&amp;A263</f>
        <v/>
      </c>
      <c r="L263" s="347">
        <f>+VLOOKUP(K263,TL[],4,FALSE)</f>
        <v/>
      </c>
    </row>
    <row r="264">
      <c r="G264" s="220">
        <f>SUM(C264)-SUM(D264)</f>
        <v/>
      </c>
      <c r="H264" s="220">
        <f>SUM(E264)-SUM(F264)</f>
        <v/>
      </c>
      <c r="I264" s="221">
        <f>IF(A264="Total",VLOOKUP(B264,CORRESPONDANCE[#All],2,FALSE),I265)</f>
        <v/>
      </c>
      <c r="J264" s="350">
        <f>LEFT(A264,1)</f>
        <v/>
      </c>
      <c r="K264" s="347">
        <f>"GLR5"&amp;" - "&amp;A264</f>
        <v/>
      </c>
      <c r="L264" s="347">
        <f>+VLOOKUP(K264,TL[],4,FALSE)</f>
        <v/>
      </c>
    </row>
    <row r="265">
      <c r="G265" s="220">
        <f>SUM(C265)-SUM(D265)</f>
        <v/>
      </c>
      <c r="H265" s="220">
        <f>SUM(E265)-SUM(F265)</f>
        <v/>
      </c>
      <c r="I265" s="221">
        <f>IF(A265="Total",VLOOKUP(B265,CORRESPONDANCE[#All],2,FALSE),I266)</f>
        <v/>
      </c>
      <c r="J265" s="350">
        <f>LEFT(A265,1)</f>
        <v/>
      </c>
      <c r="K265" s="347">
        <f>"GLR5"&amp;" - "&amp;A265</f>
        <v/>
      </c>
      <c r="L265" s="347">
        <f>+VLOOKUP(K265,TL[],4,FALSE)</f>
        <v/>
      </c>
    </row>
    <row r="266">
      <c r="G266" s="220">
        <f>SUM(C266)-SUM(D266)</f>
        <v/>
      </c>
      <c r="H266" s="220">
        <f>SUM(E266)-SUM(F266)</f>
        <v/>
      </c>
      <c r="I266" s="221">
        <f>IF(A266="Total",VLOOKUP(B266,CORRESPONDANCE[#All],2,FALSE),I267)</f>
        <v/>
      </c>
      <c r="J266" s="350">
        <f>LEFT(A266,1)</f>
        <v/>
      </c>
      <c r="K266" s="347">
        <f>"GLR5"&amp;" - "&amp;A266</f>
        <v/>
      </c>
      <c r="L266" s="347">
        <f>+VLOOKUP(K266,TL[],4,FALSE)</f>
        <v/>
      </c>
    </row>
    <row r="267">
      <c r="G267" s="220">
        <f>SUM(C267)-SUM(D267)</f>
        <v/>
      </c>
      <c r="H267" s="220">
        <f>SUM(E267)-SUM(F267)</f>
        <v/>
      </c>
      <c r="I267" s="221">
        <f>IF(A267="Total",VLOOKUP(B267,CORRESPONDANCE[#All],2,FALSE),I268)</f>
        <v/>
      </c>
      <c r="J267" s="350">
        <f>LEFT(A267,1)</f>
        <v/>
      </c>
      <c r="K267" s="347">
        <f>"GLR5"&amp;" - "&amp;A267</f>
        <v/>
      </c>
      <c r="L267" s="347">
        <f>+VLOOKUP(K267,TL[],4,FALSE)</f>
        <v/>
      </c>
    </row>
    <row r="268">
      <c r="G268" s="220">
        <f>SUM(C268)-SUM(D268)</f>
        <v/>
      </c>
      <c r="H268" s="220">
        <f>SUM(E268)-SUM(F268)</f>
        <v/>
      </c>
      <c r="I268" s="221">
        <f>IF(A268="Total",VLOOKUP(B268,CORRESPONDANCE[#All],2,FALSE),I269)</f>
        <v/>
      </c>
      <c r="J268" s="350">
        <f>LEFT(A268,1)</f>
        <v/>
      </c>
      <c r="K268" s="347">
        <f>"GLR5"&amp;" - "&amp;A268</f>
        <v/>
      </c>
      <c r="L268" s="347">
        <f>+VLOOKUP(K268,TL[],4,FALSE)</f>
        <v/>
      </c>
    </row>
    <row r="269">
      <c r="G269" s="220">
        <f>SUM(C269)-SUM(D269)</f>
        <v/>
      </c>
      <c r="H269" s="220">
        <f>SUM(E269)-SUM(F269)</f>
        <v/>
      </c>
      <c r="I269" s="221">
        <f>IF(A269="Total",VLOOKUP(B269,CORRESPONDANCE[#All],2,FALSE),I270)</f>
        <v/>
      </c>
      <c r="J269" s="350">
        <f>LEFT(A269,1)</f>
        <v/>
      </c>
      <c r="K269" s="347">
        <f>"GLR5"&amp;" - "&amp;A269</f>
        <v/>
      </c>
      <c r="L269" s="347">
        <f>+VLOOKUP(K269,TL[],4,FALSE)</f>
        <v/>
      </c>
    </row>
    <row r="270">
      <c r="G270" s="220">
        <f>SUM(C270)-SUM(D270)</f>
        <v/>
      </c>
      <c r="H270" s="220">
        <f>SUM(E270)-SUM(F270)</f>
        <v/>
      </c>
      <c r="I270" s="221">
        <f>IF(A270="Total",VLOOKUP(B270,CORRESPONDANCE[#All],2,FALSE),I271)</f>
        <v/>
      </c>
      <c r="J270" s="350">
        <f>LEFT(A270,1)</f>
        <v/>
      </c>
      <c r="K270" s="347">
        <f>"GLR5"&amp;" - "&amp;A270</f>
        <v/>
      </c>
      <c r="L270" s="347">
        <f>+VLOOKUP(K270,TL[],4,FALSE)</f>
        <v/>
      </c>
    </row>
    <row r="271">
      <c r="G271" s="220">
        <f>SUM(C271)-SUM(D271)</f>
        <v/>
      </c>
      <c r="H271" s="220">
        <f>SUM(E271)-SUM(F271)</f>
        <v/>
      </c>
      <c r="I271" s="221">
        <f>IF(A271="Total",VLOOKUP(B271,CORRESPONDANCE[#All],2,FALSE),I272)</f>
        <v/>
      </c>
      <c r="J271" s="350">
        <f>LEFT(A271,1)</f>
        <v/>
      </c>
      <c r="K271" s="347">
        <f>"GLR5"&amp;" - "&amp;A271</f>
        <v/>
      </c>
      <c r="L271" s="347">
        <f>+VLOOKUP(K271,TL[],4,FALSE)</f>
        <v/>
      </c>
    </row>
    <row r="272">
      <c r="G272" s="220">
        <f>SUM(C272)-SUM(D272)</f>
        <v/>
      </c>
      <c r="H272" s="220">
        <f>SUM(E272)-SUM(F272)</f>
        <v/>
      </c>
      <c r="I272" s="221">
        <f>IF(A272="Total",VLOOKUP(B272,CORRESPONDANCE[#All],2,FALSE),I273)</f>
        <v/>
      </c>
      <c r="J272" s="350">
        <f>LEFT(A272,1)</f>
        <v/>
      </c>
      <c r="K272" s="347">
        <f>"GLR5"&amp;" - "&amp;A272</f>
        <v/>
      </c>
      <c r="L272" s="347">
        <f>+VLOOKUP(K272,TL[],4,FALSE)</f>
        <v/>
      </c>
    </row>
    <row r="273">
      <c r="G273" s="220">
        <f>SUM(C273)-SUM(D273)</f>
        <v/>
      </c>
      <c r="H273" s="220">
        <f>SUM(E273)-SUM(F273)</f>
        <v/>
      </c>
      <c r="I273" s="221">
        <f>IF(A273="Total",VLOOKUP(B273,CORRESPONDANCE[#All],2,FALSE),I274)</f>
        <v/>
      </c>
      <c r="J273" s="350">
        <f>LEFT(A273,1)</f>
        <v/>
      </c>
      <c r="K273" s="347">
        <f>"GLR5"&amp;" - "&amp;A273</f>
        <v/>
      </c>
      <c r="L273" s="347">
        <f>+VLOOKUP(K273,TL[],4,FALSE)</f>
        <v/>
      </c>
    </row>
    <row r="274">
      <c r="G274" s="220">
        <f>SUM(C274)-SUM(D274)</f>
        <v/>
      </c>
      <c r="H274" s="220">
        <f>SUM(E274)-SUM(F274)</f>
        <v/>
      </c>
      <c r="I274" s="221">
        <f>IF(A274="Total",VLOOKUP(B274,CORRESPONDANCE[#All],2,FALSE),I275)</f>
        <v/>
      </c>
      <c r="J274" s="350">
        <f>LEFT(A274,1)</f>
        <v/>
      </c>
      <c r="K274" s="347">
        <f>"GLR5"&amp;" - "&amp;A274</f>
        <v/>
      </c>
      <c r="L274" s="347">
        <f>+VLOOKUP(K274,TL[],4,FALSE)</f>
        <v/>
      </c>
    </row>
    <row r="275">
      <c r="G275" s="220">
        <f>SUM(C275)-SUM(D275)</f>
        <v/>
      </c>
      <c r="H275" s="220">
        <f>SUM(E275)-SUM(F275)</f>
        <v/>
      </c>
      <c r="I275" s="221">
        <f>IF(A275="Total",VLOOKUP(B275,CORRESPONDANCE[#All],2,FALSE),I276)</f>
        <v/>
      </c>
      <c r="J275" s="350">
        <f>LEFT(A275,1)</f>
        <v/>
      </c>
      <c r="K275" s="347">
        <f>"GLR5"&amp;" - "&amp;A275</f>
        <v/>
      </c>
      <c r="L275" s="347">
        <f>+VLOOKUP(K275,TL[],4,FALSE)</f>
        <v/>
      </c>
    </row>
    <row r="276">
      <c r="G276" s="220">
        <f>SUM(C276)-SUM(D276)</f>
        <v/>
      </c>
      <c r="H276" s="220">
        <f>SUM(E276)-SUM(F276)</f>
        <v/>
      </c>
      <c r="I276" s="221">
        <f>IF(A276="Total",VLOOKUP(B276,CORRESPONDANCE[#All],2,FALSE),I277)</f>
        <v/>
      </c>
      <c r="J276" s="350">
        <f>LEFT(A276,1)</f>
        <v/>
      </c>
      <c r="K276" s="347">
        <f>"GLR5"&amp;" - "&amp;A276</f>
        <v/>
      </c>
      <c r="L276" s="347">
        <f>+VLOOKUP(K276,TL[],4,FALSE)</f>
        <v/>
      </c>
    </row>
    <row r="277">
      <c r="G277" s="220">
        <f>SUM(C277)-SUM(D277)</f>
        <v/>
      </c>
      <c r="H277" s="220">
        <f>SUM(E277)-SUM(F277)</f>
        <v/>
      </c>
      <c r="I277" s="221">
        <f>IF(A277="Total",VLOOKUP(B277,CORRESPONDANCE[#All],2,FALSE),I278)</f>
        <v/>
      </c>
      <c r="J277" s="350">
        <f>LEFT(A277,1)</f>
        <v/>
      </c>
      <c r="K277" s="347">
        <f>"GLR5"&amp;" - "&amp;A277</f>
        <v/>
      </c>
      <c r="L277" s="347">
        <f>+VLOOKUP(K277,TL[],4,FALSE)</f>
        <v/>
      </c>
    </row>
    <row r="278">
      <c r="G278" s="220">
        <f>SUM(C278)-SUM(D278)</f>
        <v/>
      </c>
      <c r="H278" s="220">
        <f>SUM(E278)-SUM(F278)</f>
        <v/>
      </c>
      <c r="I278" s="221">
        <f>IF(A278="Total",VLOOKUP(B278,CORRESPONDANCE[#All],2,FALSE),I279)</f>
        <v/>
      </c>
      <c r="J278" s="350">
        <f>LEFT(A278,1)</f>
        <v/>
      </c>
      <c r="K278" s="347">
        <f>"GLR5"&amp;" - "&amp;A278</f>
        <v/>
      </c>
      <c r="L278" s="347">
        <f>+VLOOKUP(K278,TL[],4,FALSE)</f>
        <v/>
      </c>
    </row>
    <row r="279">
      <c r="G279" s="220">
        <f>SUM(C279)-SUM(D279)</f>
        <v/>
      </c>
      <c r="H279" s="220">
        <f>SUM(E279)-SUM(F279)</f>
        <v/>
      </c>
      <c r="I279" s="221">
        <f>IF(A279="Total",VLOOKUP(B279,CORRESPONDANCE[#All],2,FALSE),I280)</f>
        <v/>
      </c>
      <c r="J279" s="350">
        <f>LEFT(A279,1)</f>
        <v/>
      </c>
      <c r="K279" s="347">
        <f>"GLR5"&amp;" - "&amp;A279</f>
        <v/>
      </c>
      <c r="L279" s="347">
        <f>+VLOOKUP(K279,TL[],4,FALSE)</f>
        <v/>
      </c>
    </row>
    <row r="280">
      <c r="G280" s="220">
        <f>SUM(C280)-SUM(D280)</f>
        <v/>
      </c>
      <c r="H280" s="220">
        <f>SUM(E280)-SUM(F280)</f>
        <v/>
      </c>
      <c r="I280" s="221">
        <f>IF(A280="Total",VLOOKUP(B280,CORRESPONDANCE[#All],2,FALSE),I281)</f>
        <v/>
      </c>
      <c r="J280" s="350">
        <f>LEFT(A280,1)</f>
        <v/>
      </c>
      <c r="K280" s="347">
        <f>"GLR5"&amp;" - "&amp;A280</f>
        <v/>
      </c>
      <c r="L280" s="347">
        <f>+VLOOKUP(K280,TL[],4,FALSE)</f>
        <v/>
      </c>
    </row>
    <row r="281">
      <c r="G281" s="220">
        <f>SUM(C281)-SUM(D281)</f>
        <v/>
      </c>
      <c r="H281" s="220">
        <f>SUM(E281)-SUM(F281)</f>
        <v/>
      </c>
      <c r="I281" s="221">
        <f>IF(A281="Total",VLOOKUP(B281,CORRESPONDANCE[#All],2,FALSE),I282)</f>
        <v/>
      </c>
      <c r="J281" s="350">
        <f>LEFT(A281,1)</f>
        <v/>
      </c>
      <c r="K281" s="347">
        <f>"GLR5"&amp;" - "&amp;A281</f>
        <v/>
      </c>
      <c r="L281" s="347">
        <f>+VLOOKUP(K281,TL[],4,FALSE)</f>
        <v/>
      </c>
    </row>
    <row r="282">
      <c r="G282" s="220">
        <f>SUM(C282)-SUM(D282)</f>
        <v/>
      </c>
      <c r="H282" s="220">
        <f>SUM(E282)-SUM(F282)</f>
        <v/>
      </c>
      <c r="I282" s="221">
        <f>IF(A282="Total",VLOOKUP(B282,CORRESPONDANCE[#All],2,FALSE),I283)</f>
        <v/>
      </c>
      <c r="J282" s="350">
        <f>LEFT(A282,1)</f>
        <v/>
      </c>
      <c r="K282" s="347">
        <f>"GLR5"&amp;" - "&amp;A282</f>
        <v/>
      </c>
      <c r="L282" s="347">
        <f>+VLOOKUP(K282,TL[],4,FALSE)</f>
        <v/>
      </c>
    </row>
    <row r="283">
      <c r="G283" s="220">
        <f>SUM(C283)-SUM(D283)</f>
        <v/>
      </c>
      <c r="H283" s="220">
        <f>SUM(E283)-SUM(F283)</f>
        <v/>
      </c>
      <c r="I283" s="221">
        <f>IF(A283="Total",VLOOKUP(B283,CORRESPONDANCE[#All],2,FALSE),I284)</f>
        <v/>
      </c>
      <c r="J283" s="350">
        <f>LEFT(A283,1)</f>
        <v/>
      </c>
      <c r="K283" s="347">
        <f>"GLR5"&amp;" - "&amp;A283</f>
        <v/>
      </c>
      <c r="L283" s="347">
        <f>+VLOOKUP(K283,TL[],4,FALSE)</f>
        <v/>
      </c>
    </row>
    <row r="284">
      <c r="G284" s="220">
        <f>SUM(C284)-SUM(D284)</f>
        <v/>
      </c>
      <c r="H284" s="220">
        <f>SUM(E284)-SUM(F284)</f>
        <v/>
      </c>
      <c r="I284" s="221">
        <f>IF(A284="Total",VLOOKUP(B284,CORRESPONDANCE[#All],2,FALSE),I285)</f>
        <v/>
      </c>
      <c r="J284" s="350">
        <f>LEFT(A284,1)</f>
        <v/>
      </c>
      <c r="K284" s="347">
        <f>"GLR5"&amp;" - "&amp;A284</f>
        <v/>
      </c>
      <c r="L284" s="347">
        <f>+VLOOKUP(K284,TL[],4,FALSE)</f>
        <v/>
      </c>
    </row>
    <row r="285">
      <c r="G285" s="220">
        <f>SUM(C285)-SUM(D285)</f>
        <v/>
      </c>
      <c r="H285" s="220">
        <f>SUM(E285)-SUM(F285)</f>
        <v/>
      </c>
      <c r="I285" s="221">
        <f>IF(A285="Total",VLOOKUP(B285,CORRESPONDANCE[#All],2,FALSE),I286)</f>
        <v/>
      </c>
      <c r="J285" s="350">
        <f>LEFT(A285,1)</f>
        <v/>
      </c>
      <c r="K285" s="347">
        <f>"GLR5"&amp;" - "&amp;A285</f>
        <v/>
      </c>
      <c r="L285" s="347">
        <f>+VLOOKUP(K285,TL[],4,FALSE)</f>
        <v/>
      </c>
    </row>
    <row r="286">
      <c r="G286" s="220">
        <f>SUM(C286)-SUM(D286)</f>
        <v/>
      </c>
      <c r="H286" s="220">
        <f>SUM(E286)-SUM(F286)</f>
        <v/>
      </c>
      <c r="I286" s="221">
        <f>IF(A286="Total",VLOOKUP(B286,CORRESPONDANCE[#All],2,FALSE),I287)</f>
        <v/>
      </c>
      <c r="J286" s="350">
        <f>LEFT(A286,1)</f>
        <v/>
      </c>
      <c r="K286" s="347">
        <f>"GLR5"&amp;" - "&amp;A286</f>
        <v/>
      </c>
      <c r="L286" s="347">
        <f>+VLOOKUP(K286,TL[],4,FALSE)</f>
        <v/>
      </c>
    </row>
    <row r="287">
      <c r="G287" s="220">
        <f>SUM(C287)-SUM(D287)</f>
        <v/>
      </c>
      <c r="H287" s="220">
        <f>SUM(E287)-SUM(F287)</f>
        <v/>
      </c>
      <c r="I287" s="221">
        <f>IF(A287="Total",VLOOKUP(B287,CORRESPONDANCE[#All],2,FALSE),I288)</f>
        <v/>
      </c>
      <c r="J287" s="350">
        <f>LEFT(A287,1)</f>
        <v/>
      </c>
      <c r="K287" s="347">
        <f>"GLR5"&amp;" - "&amp;A287</f>
        <v/>
      </c>
      <c r="L287" s="347">
        <f>+VLOOKUP(K287,TL[],4,FALSE)</f>
        <v/>
      </c>
    </row>
    <row r="288">
      <c r="G288" s="220">
        <f>SUM(C288)-SUM(D288)</f>
        <v/>
      </c>
      <c r="H288" s="220">
        <f>SUM(E288)-SUM(F288)</f>
        <v/>
      </c>
      <c r="I288" s="221">
        <f>IF(A288="Total",VLOOKUP(B288,CORRESPONDANCE[#All],2,FALSE),I289)</f>
        <v/>
      </c>
      <c r="J288" s="350">
        <f>LEFT(A288,1)</f>
        <v/>
      </c>
      <c r="K288" s="347">
        <f>"GLR5"&amp;" - "&amp;A288</f>
        <v/>
      </c>
      <c r="L288" s="347">
        <f>+VLOOKUP(K288,TL[],4,FALSE)</f>
        <v/>
      </c>
    </row>
    <row r="289">
      <c r="G289" s="220">
        <f>SUM(C289)-SUM(D289)</f>
        <v/>
      </c>
      <c r="H289" s="220">
        <f>SUM(E289)-SUM(F289)</f>
        <v/>
      </c>
      <c r="I289" s="221">
        <f>IF(A289="Total",VLOOKUP(B289,CORRESPONDANCE[#All],2,FALSE),I290)</f>
        <v/>
      </c>
      <c r="J289" s="350">
        <f>LEFT(A289,1)</f>
        <v/>
      </c>
      <c r="K289" s="347">
        <f>"GLR5"&amp;" - "&amp;A289</f>
        <v/>
      </c>
      <c r="L289" s="347">
        <f>+VLOOKUP(K289,TL[],4,FALSE)</f>
        <v/>
      </c>
    </row>
    <row r="290">
      <c r="G290" s="220">
        <f>SUM(C290)-SUM(D290)</f>
        <v/>
      </c>
      <c r="H290" s="220">
        <f>SUM(E290)-SUM(F290)</f>
        <v/>
      </c>
      <c r="I290" s="221">
        <f>IF(A290="Total",VLOOKUP(B290,CORRESPONDANCE[#All],2,FALSE),I291)</f>
        <v/>
      </c>
      <c r="J290" s="350">
        <f>LEFT(A290,1)</f>
        <v/>
      </c>
      <c r="K290" s="347">
        <f>"GLR5"&amp;" - "&amp;A290</f>
        <v/>
      </c>
      <c r="L290" s="347">
        <f>+VLOOKUP(K290,TL[],4,FALSE)</f>
        <v/>
      </c>
    </row>
    <row r="291">
      <c r="G291" s="220">
        <f>SUM(C291)-SUM(D291)</f>
        <v/>
      </c>
      <c r="H291" s="220">
        <f>SUM(E291)-SUM(F291)</f>
        <v/>
      </c>
      <c r="I291" s="221">
        <f>IF(A291="Total",VLOOKUP(B291,CORRESPONDANCE[#All],2,FALSE),I292)</f>
        <v/>
      </c>
      <c r="J291" s="350">
        <f>LEFT(A291,1)</f>
        <v/>
      </c>
      <c r="K291" s="347">
        <f>"GLR5"&amp;" - "&amp;A291</f>
        <v/>
      </c>
      <c r="L291" s="347">
        <f>+VLOOKUP(K291,TL[],4,FALSE)</f>
        <v/>
      </c>
    </row>
    <row r="292">
      <c r="G292" s="220">
        <f>SUM(C292)-SUM(D292)</f>
        <v/>
      </c>
      <c r="H292" s="220">
        <f>SUM(E292)-SUM(F292)</f>
        <v/>
      </c>
      <c r="I292" s="221">
        <f>IF(A292="Total",VLOOKUP(B292,CORRESPONDANCE[#All],2,FALSE),I293)</f>
        <v/>
      </c>
      <c r="J292" s="350">
        <f>LEFT(A292,1)</f>
        <v/>
      </c>
      <c r="K292" s="347">
        <f>"GLR5"&amp;" - "&amp;A292</f>
        <v/>
      </c>
      <c r="L292" s="347">
        <f>+VLOOKUP(K292,TL[],4,FALSE)</f>
        <v/>
      </c>
    </row>
    <row r="293">
      <c r="G293" s="220">
        <f>SUM(C293)-SUM(D293)</f>
        <v/>
      </c>
      <c r="H293" s="220">
        <f>SUM(E293)-SUM(F293)</f>
        <v/>
      </c>
      <c r="I293" s="221">
        <f>IF(A293="Total",VLOOKUP(B293,CORRESPONDANCE[#All],2,FALSE),I294)</f>
        <v/>
      </c>
      <c r="J293" s="350">
        <f>LEFT(A293,1)</f>
        <v/>
      </c>
      <c r="K293" s="347">
        <f>"GLR5"&amp;" - "&amp;A293</f>
        <v/>
      </c>
      <c r="L293" s="347">
        <f>+VLOOKUP(K293,TL[],4,FALSE)</f>
        <v/>
      </c>
    </row>
    <row r="294">
      <c r="G294" s="220">
        <f>SUM(C294)-SUM(D294)</f>
        <v/>
      </c>
      <c r="H294" s="220">
        <f>SUM(E294)-SUM(F294)</f>
        <v/>
      </c>
      <c r="I294" s="221">
        <f>IF(A294="Total",VLOOKUP(B294,CORRESPONDANCE[#All],2,FALSE),I295)</f>
        <v/>
      </c>
      <c r="J294" s="350">
        <f>LEFT(A294,1)</f>
        <v/>
      </c>
      <c r="K294" s="347">
        <f>"GLR5"&amp;" - "&amp;A294</f>
        <v/>
      </c>
      <c r="L294" s="347">
        <f>+VLOOKUP(K294,TL[],4,FALSE)</f>
        <v/>
      </c>
    </row>
    <row r="295">
      <c r="G295" s="220">
        <f>SUM(C295)-SUM(D295)</f>
        <v/>
      </c>
      <c r="H295" s="220">
        <f>SUM(E295)-SUM(F295)</f>
        <v/>
      </c>
      <c r="I295" s="221">
        <f>IF(A295="Total",VLOOKUP(B295,CORRESPONDANCE[#All],2,FALSE),I296)</f>
        <v/>
      </c>
      <c r="J295" s="350">
        <f>LEFT(A295,1)</f>
        <v/>
      </c>
      <c r="K295" s="347">
        <f>"GLR5"&amp;" - "&amp;A295</f>
        <v/>
      </c>
      <c r="L295" s="347">
        <f>+VLOOKUP(K295,TL[],4,FALSE)</f>
        <v/>
      </c>
    </row>
    <row r="296">
      <c r="G296" s="220">
        <f>SUM(C296)-SUM(D296)</f>
        <v/>
      </c>
      <c r="H296" s="220">
        <f>SUM(E296)-SUM(F296)</f>
        <v/>
      </c>
      <c r="I296" s="221">
        <f>IF(A296="Total",VLOOKUP(B296,CORRESPONDANCE[#All],2,FALSE),I297)</f>
        <v/>
      </c>
      <c r="J296" s="350">
        <f>LEFT(A296,1)</f>
        <v/>
      </c>
      <c r="K296" s="347">
        <f>"GLR5"&amp;" - "&amp;A296</f>
        <v/>
      </c>
      <c r="L296" s="347">
        <f>+VLOOKUP(K296,TL[],4,FALSE)</f>
        <v/>
      </c>
    </row>
    <row r="297">
      <c r="G297" s="220">
        <f>SUM(C297)-SUM(D297)</f>
        <v/>
      </c>
      <c r="H297" s="220">
        <f>SUM(E297)-SUM(F297)</f>
        <v/>
      </c>
      <c r="I297" s="221">
        <f>IF(A297="Total",VLOOKUP(B297,CORRESPONDANCE[#All],2,FALSE),I298)</f>
        <v/>
      </c>
      <c r="J297" s="350">
        <f>LEFT(A297,1)</f>
        <v/>
      </c>
      <c r="K297" s="347">
        <f>"GLR5"&amp;" - "&amp;A297</f>
        <v/>
      </c>
      <c r="L297" s="347">
        <f>+VLOOKUP(K297,TL[],4,FALSE)</f>
        <v/>
      </c>
    </row>
    <row r="298">
      <c r="G298" s="220">
        <f>SUM(C298)-SUM(D298)</f>
        <v/>
      </c>
      <c r="H298" s="220">
        <f>SUM(E298)-SUM(F298)</f>
        <v/>
      </c>
      <c r="I298" s="221">
        <f>IF(A298="Total",VLOOKUP(B298,CORRESPONDANCE[#All],2,FALSE),I299)</f>
        <v/>
      </c>
      <c r="J298" s="350">
        <f>LEFT(A298,1)</f>
        <v/>
      </c>
      <c r="K298" s="347">
        <f>"GLR5"&amp;" - "&amp;A298</f>
        <v/>
      </c>
      <c r="L298" s="347">
        <f>+VLOOKUP(K298,TL[],4,FALSE)</f>
        <v/>
      </c>
    </row>
    <row r="299">
      <c r="G299" s="220">
        <f>SUM(C299)-SUM(D299)</f>
        <v/>
      </c>
      <c r="H299" s="220">
        <f>SUM(E299)-SUM(F299)</f>
        <v/>
      </c>
      <c r="I299" s="221">
        <f>IF(A299="Total",VLOOKUP(B299,CORRESPONDANCE[#All],2,FALSE),I300)</f>
        <v/>
      </c>
      <c r="J299" s="350">
        <f>LEFT(A299,1)</f>
        <v/>
      </c>
      <c r="K299" s="347">
        <f>"GLR5"&amp;" - "&amp;A299</f>
        <v/>
      </c>
      <c r="L299" s="347">
        <f>+VLOOKUP(K299,TL[],4,FALSE)</f>
        <v/>
      </c>
    </row>
    <row r="300">
      <c r="G300" s="220">
        <f>SUM(C300)-SUM(D300)</f>
        <v/>
      </c>
      <c r="H300" s="220">
        <f>SUM(E300)-SUM(F300)</f>
        <v/>
      </c>
      <c r="I300" s="221">
        <f>IF(A300="Total",VLOOKUP(B300,CORRESPONDANCE[#All],2,FALSE),I301)</f>
        <v/>
      </c>
      <c r="J300" s="350">
        <f>LEFT(A300,1)</f>
        <v/>
      </c>
      <c r="K300" s="347">
        <f>"GLR5"&amp;" - "&amp;A300</f>
        <v/>
      </c>
      <c r="L300" s="347">
        <f>+VLOOKUP(K300,TL[],4,FALSE)</f>
        <v/>
      </c>
    </row>
    <row r="301">
      <c r="G301" s="220">
        <f>SUM(C301)-SUM(D301)</f>
        <v/>
      </c>
      <c r="H301" s="220">
        <f>SUM(E301)-SUM(F301)</f>
        <v/>
      </c>
      <c r="I301" s="221">
        <f>IF(A301="Total",VLOOKUP(B301,CORRESPONDANCE[#All],2,FALSE),I302)</f>
        <v/>
      </c>
      <c r="J301" s="350">
        <f>LEFT(A301,1)</f>
        <v/>
      </c>
      <c r="K301" s="347">
        <f>"GLR5"&amp;" - "&amp;A301</f>
        <v/>
      </c>
      <c r="L301" s="347">
        <f>+VLOOKUP(K301,TL[],4,FALSE)</f>
        <v/>
      </c>
    </row>
    <row r="302">
      <c r="G302" s="220">
        <f>SUM(C302)-SUM(D302)</f>
        <v/>
      </c>
      <c r="H302" s="220">
        <f>SUM(E302)-SUM(F302)</f>
        <v/>
      </c>
      <c r="I302" s="221">
        <f>IF(A302="Total",VLOOKUP(B302,CORRESPONDANCE[#All],2,FALSE),I303)</f>
        <v/>
      </c>
      <c r="J302" s="350">
        <f>LEFT(A302,1)</f>
        <v/>
      </c>
      <c r="K302" s="347">
        <f>"GLR5"&amp;" - "&amp;A302</f>
        <v/>
      </c>
      <c r="L302" s="347">
        <f>+VLOOKUP(K302,TL[],4,FALSE)</f>
        <v/>
      </c>
    </row>
    <row r="303">
      <c r="G303" s="220">
        <f>SUM(C303)-SUM(D303)</f>
        <v/>
      </c>
      <c r="H303" s="220">
        <f>SUM(E303)-SUM(F303)</f>
        <v/>
      </c>
      <c r="I303" s="221">
        <f>IF(A303="Total",VLOOKUP(B303,CORRESPONDANCE[#All],2,FALSE),I304)</f>
        <v/>
      </c>
      <c r="J303" s="350">
        <f>LEFT(A303,1)</f>
        <v/>
      </c>
      <c r="K303" s="347">
        <f>"GLR5"&amp;" - "&amp;A303</f>
        <v/>
      </c>
      <c r="L303" s="347">
        <f>+VLOOKUP(K303,TL[],4,FALSE)</f>
        <v/>
      </c>
    </row>
    <row r="304">
      <c r="G304" s="220">
        <f>SUM(C304)-SUM(D304)</f>
        <v/>
      </c>
      <c r="H304" s="220">
        <f>SUM(E304)-SUM(F304)</f>
        <v/>
      </c>
      <c r="I304" s="221">
        <f>IF(A304="Total",VLOOKUP(B304,CORRESPONDANCE[#All],2,FALSE),I305)</f>
        <v/>
      </c>
      <c r="J304" s="350">
        <f>LEFT(A304,1)</f>
        <v/>
      </c>
      <c r="K304" s="347">
        <f>"GLR5"&amp;" - "&amp;A304</f>
        <v/>
      </c>
      <c r="L304" s="347">
        <f>+VLOOKUP(K304,TL[],4,FALSE)</f>
        <v/>
      </c>
    </row>
    <row r="305">
      <c r="G305" s="220">
        <f>SUM(C305)-SUM(D305)</f>
        <v/>
      </c>
      <c r="H305" s="220">
        <f>SUM(E305)-SUM(F305)</f>
        <v/>
      </c>
      <c r="I305" s="221">
        <f>IF(A305="Total",VLOOKUP(B305,CORRESPONDANCE[#All],2,FALSE),I306)</f>
        <v/>
      </c>
      <c r="J305" s="350">
        <f>LEFT(A305,1)</f>
        <v/>
      </c>
      <c r="K305" s="347">
        <f>"GLR5"&amp;" - "&amp;A305</f>
        <v/>
      </c>
      <c r="L305" s="347">
        <f>+VLOOKUP(K305,TL[],4,FALSE)</f>
        <v/>
      </c>
    </row>
    <row r="306">
      <c r="G306" s="220">
        <f>SUM(C306)-SUM(D306)</f>
        <v/>
      </c>
      <c r="H306" s="220">
        <f>SUM(E306)-SUM(F306)</f>
        <v/>
      </c>
      <c r="I306" s="221">
        <f>IF(A306="Total",VLOOKUP(B306,CORRESPONDANCE[#All],2,FALSE),I307)</f>
        <v/>
      </c>
      <c r="J306" s="350">
        <f>LEFT(A306,1)</f>
        <v/>
      </c>
      <c r="K306" s="347">
        <f>"GLR5"&amp;" - "&amp;A306</f>
        <v/>
      </c>
      <c r="L306" s="347">
        <f>+VLOOKUP(K306,TL[],4,FALSE)</f>
        <v/>
      </c>
    </row>
    <row r="307">
      <c r="G307" s="220">
        <f>SUM(C307)-SUM(D307)</f>
        <v/>
      </c>
      <c r="H307" s="220">
        <f>SUM(E307)-SUM(F307)</f>
        <v/>
      </c>
      <c r="I307" s="221">
        <f>IF(A307="Total",VLOOKUP(B307,CORRESPONDANCE[#All],2,FALSE),I308)</f>
        <v/>
      </c>
      <c r="J307" s="350">
        <f>LEFT(A307,1)</f>
        <v/>
      </c>
      <c r="K307" s="347">
        <f>"GLR5"&amp;" - "&amp;A307</f>
        <v/>
      </c>
      <c r="L307" s="347">
        <f>+VLOOKUP(K307,TL[],4,FALSE)</f>
        <v/>
      </c>
    </row>
  </sheetData>
  <autoFilter ref="A1:L211"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416"/>
  <sheetViews>
    <sheetView zoomScale="85" zoomScaleNormal="85" workbookViewId="0">
      <selection activeCell="A1" sqref="A1:F1048576"/>
    </sheetView>
  </sheetViews>
  <sheetFormatPr baseColWidth="10" defaultColWidth="11.5703125" defaultRowHeight="12.75"/>
  <cols>
    <col width="13.28515625" customWidth="1" style="223" min="7" max="8"/>
    <col width="11.5703125" customWidth="1" style="224" min="9" max="9"/>
    <col width="11.5703125" customWidth="1" style="347" min="10" max="16384"/>
  </cols>
  <sheetData>
    <row r="1">
      <c r="A1" s="348" t="inlineStr">
        <is>
          <t>Compte</t>
        </is>
      </c>
      <c r="B1" s="348" t="inlineStr">
        <is>
          <t>Libellé</t>
        </is>
      </c>
      <c r="C1" s="348" t="inlineStr">
        <is>
          <t>Solde du 01/01/2025 au 31/01/2025 : Débit</t>
        </is>
      </c>
      <c r="D1" s="348" t="inlineStr">
        <is>
          <t>Solde du 01/01/2025 au 31/01/2025 : Crédit</t>
        </is>
      </c>
      <c r="E1" s="348" t="inlineStr">
        <is>
          <t>Solde du 01/01/2025 au 31/01/2025 : Débit</t>
        </is>
      </c>
      <c r="F1" s="348" t="inlineStr">
        <is>
          <t>Solde du 01/01/2025 au 31/01/2025 : Crédit</t>
        </is>
      </c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>
      <c r="A2" s="348" t="inlineStr">
        <is>
          <t>70100100</t>
        </is>
      </c>
      <c r="B2" s="348" t="inlineStr">
        <is>
          <t>Ventes de produits finis</t>
        </is>
      </c>
      <c r="C2" s="348" t="n">
        <v>3530.78</v>
      </c>
      <c r="D2" s="348" t="inlineStr"/>
      <c r="E2" s="348" t="n">
        <v>3530.78</v>
      </c>
      <c r="F2" s="348" t="inlineStr"/>
      <c r="G2" s="220">
        <f>SUM(C2)-SUM(D2)</f>
        <v/>
      </c>
      <c r="H2" s="220">
        <f>SUM(E2)-SUM(F2)</f>
        <v/>
      </c>
      <c r="I2" s="221">
        <f>IF(A2="Total",VLOOKUP(B2,CORRESPONDANCE[#All],2,FALSE),I3)</f>
        <v/>
      </c>
      <c r="J2" s="350">
        <f>LEFT(A2,1)</f>
        <v/>
      </c>
      <c r="K2" s="347">
        <f>"HTR8"&amp;" - "&amp;A2</f>
        <v/>
      </c>
      <c r="L2" s="347">
        <f>+VLOOKUP(K2,TL[],4,FALSE)</f>
        <v/>
      </c>
    </row>
    <row r="3">
      <c r="A3" s="348" t="inlineStr">
        <is>
          <t>70100200</t>
        </is>
      </c>
      <c r="B3" s="348" t="inlineStr">
        <is>
          <t>Ventes a 5.5%</t>
        </is>
      </c>
      <c r="C3" s="348" t="inlineStr"/>
      <c r="D3" s="348" t="n">
        <v>888.9299999999999</v>
      </c>
      <c r="E3" s="348" t="inlineStr"/>
      <c r="F3" s="348" t="n">
        <v>888.9299999999999</v>
      </c>
      <c r="G3" s="220">
        <f>SUM(C3)-SUM(D3)</f>
        <v/>
      </c>
      <c r="H3" s="220">
        <f>SUM(E3)-SUM(F3)</f>
        <v/>
      </c>
      <c r="I3" s="221">
        <f>IF(A3="Total",VLOOKUP(B3,CORRESPONDANCE[#All],2,FALSE),I4)</f>
        <v/>
      </c>
      <c r="J3" s="350">
        <f>LEFT(A3,1)</f>
        <v/>
      </c>
      <c r="K3" s="347">
        <f>"HTR8"&amp;" - "&amp;A3</f>
        <v/>
      </c>
      <c r="L3" s="347">
        <f>+VLOOKUP(K3,TL[],4,FALSE)</f>
        <v/>
      </c>
    </row>
    <row r="4">
      <c r="A4" s="348" t="inlineStr">
        <is>
          <t>70101000</t>
        </is>
      </c>
      <c r="B4" s="348" t="inlineStr">
        <is>
          <t>Ventes à 10%</t>
        </is>
      </c>
      <c r="C4" s="348" t="inlineStr"/>
      <c r="D4" s="348" t="n">
        <v>208990.47</v>
      </c>
      <c r="E4" s="348" t="inlineStr"/>
      <c r="F4" s="348" t="n">
        <v>208990.47</v>
      </c>
      <c r="G4" s="220">
        <f>SUM(C4)-SUM(D4)</f>
        <v/>
      </c>
      <c r="H4" s="220">
        <f>SUM(E4)-SUM(F4)</f>
        <v/>
      </c>
      <c r="I4" s="221">
        <f>IF(A4="Total",VLOOKUP(B4,CORRESPONDANCE[#All],2,FALSE),I5)</f>
        <v/>
      </c>
      <c r="J4" s="350">
        <f>LEFT(A4,1)</f>
        <v/>
      </c>
      <c r="K4" s="347">
        <f>"HTR8"&amp;" - "&amp;A4</f>
        <v/>
      </c>
      <c r="L4" s="347">
        <f>+VLOOKUP(K4,TL[],4,FALSE)</f>
        <v/>
      </c>
    </row>
    <row r="5">
      <c r="A5" s="348" t="inlineStr">
        <is>
          <t>70102000</t>
        </is>
      </c>
      <c r="B5" s="348" t="inlineStr">
        <is>
          <t>Ventes à 20%</t>
        </is>
      </c>
      <c r="C5" s="348" t="inlineStr"/>
      <c r="D5" s="348" t="n">
        <v>446.45</v>
      </c>
      <c r="E5" s="348" t="inlineStr"/>
      <c r="F5" s="348" t="n">
        <v>446.45</v>
      </c>
      <c r="G5" s="220">
        <f>SUM(C5)-SUM(D5)</f>
        <v/>
      </c>
      <c r="H5" s="220">
        <f>SUM(E5)-SUM(F5)</f>
        <v/>
      </c>
      <c r="I5" s="221">
        <f>IF(A5="Total",VLOOKUP(B5,CORRESPONDANCE[#All],2,FALSE),I6)</f>
        <v/>
      </c>
      <c r="J5" s="350">
        <f>LEFT(A5,1)</f>
        <v/>
      </c>
      <c r="K5" s="347">
        <f>"HTR8"&amp;" - "&amp;A5</f>
        <v/>
      </c>
      <c r="L5" s="347">
        <f>+VLOOKUP(K5,TL[],4,FALSE)</f>
        <v/>
      </c>
    </row>
    <row r="6">
      <c r="A6" s="348" t="inlineStr">
        <is>
          <t>Total</t>
        </is>
      </c>
      <c r="B6" s="348" t="inlineStr">
        <is>
          <t>Table n°2  -  Ventes produits alimentaires</t>
        </is>
      </c>
      <c r="C6" s="348" t="inlineStr"/>
      <c r="D6" s="348" t="n">
        <v>206795.07</v>
      </c>
      <c r="E6" s="348" t="inlineStr"/>
      <c r="F6" s="348" t="n">
        <v>206795.07</v>
      </c>
      <c r="G6" s="220">
        <f>SUM(C6)-SUM(D6)</f>
        <v/>
      </c>
      <c r="H6" s="220">
        <f>SUM(E6)-SUM(F6)</f>
        <v/>
      </c>
      <c r="I6" s="221">
        <f>IF(A6="Total",VLOOKUP(B6,CORRESPONDANCE[#All],2,FALSE),I7)</f>
        <v/>
      </c>
      <c r="J6" s="350">
        <f>LEFT(A6,1)</f>
        <v/>
      </c>
      <c r="K6" s="347">
        <f>"HTR8"&amp;" - "&amp;A6</f>
        <v/>
      </c>
      <c r="L6" s="347">
        <f>+VLOOKUP(K6,TL[],4,FALSE)</f>
        <v/>
      </c>
    </row>
    <row r="7">
      <c r="A7" s="348" t="inlineStr">
        <is>
          <t>60110000</t>
        </is>
      </c>
      <c r="B7" s="348" t="inlineStr">
        <is>
          <t>Achats nourriture</t>
        </is>
      </c>
      <c r="C7" s="348" t="n">
        <v>47007.57</v>
      </c>
      <c r="D7" s="348" t="inlineStr"/>
      <c r="E7" s="348" t="n">
        <v>47007.57</v>
      </c>
      <c r="F7" s="348" t="inlineStr"/>
      <c r="G7" s="220">
        <f>SUM(C7)-SUM(D7)</f>
        <v/>
      </c>
      <c r="H7" s="220">
        <f>SUM(E7)-SUM(F7)</f>
        <v/>
      </c>
      <c r="I7" s="221">
        <f>IF(A7="Total",VLOOKUP(B7,CORRESPONDANCE[#All],2,FALSE),I8)</f>
        <v/>
      </c>
      <c r="J7" s="350">
        <f>LEFT(A7,1)</f>
        <v/>
      </c>
      <c r="K7" s="347">
        <f>"HTR8"&amp;" - "&amp;A7</f>
        <v/>
      </c>
      <c r="L7" s="347">
        <f>+VLOOKUP(K7,TL[],4,FALSE)</f>
        <v/>
      </c>
    </row>
    <row r="8">
      <c r="A8" s="348" t="inlineStr">
        <is>
          <t>60310000</t>
        </is>
      </c>
      <c r="B8" s="348" t="inlineStr">
        <is>
          <t>Variat. stocks mat. premières/fourn</t>
        </is>
      </c>
      <c r="C8" s="348" t="n">
        <v>1572.26</v>
      </c>
      <c r="D8" s="348" t="inlineStr"/>
      <c r="E8" s="348" t="n">
        <v>1572.26</v>
      </c>
      <c r="F8" s="348" t="inlineStr"/>
      <c r="G8" s="220">
        <f>SUM(C8)-SUM(D8)</f>
        <v/>
      </c>
      <c r="H8" s="220">
        <f>SUM(E8)-SUM(F8)</f>
        <v/>
      </c>
      <c r="I8" s="221">
        <f>IF(A8="Total",VLOOKUP(B8,CORRESPONDANCE[#All],2,FALSE),I9)</f>
        <v/>
      </c>
      <c r="J8" s="350">
        <f>LEFT(A8,1)</f>
        <v/>
      </c>
      <c r="K8" s="347">
        <f>"HTR8"&amp;" - "&amp;A8</f>
        <v/>
      </c>
      <c r="L8" s="347">
        <f>+VLOOKUP(K8,TL[],4,FALSE)</f>
        <v/>
      </c>
    </row>
    <row r="9">
      <c r="A9" s="348" t="inlineStr">
        <is>
          <t>63551100</t>
        </is>
      </c>
      <c r="B9" s="348" t="inlineStr">
        <is>
          <t>Contribution sur boissons sucrées</t>
        </is>
      </c>
      <c r="C9" s="348" t="n">
        <v>687</v>
      </c>
      <c r="D9" s="348" t="inlineStr"/>
      <c r="E9" s="348" t="n">
        <v>687</v>
      </c>
      <c r="F9" s="348" t="inlineStr"/>
      <c r="G9" s="220">
        <f>SUM(C9)-SUM(D9)</f>
        <v/>
      </c>
      <c r="H9" s="220">
        <f>SUM(E9)-SUM(F9)</f>
        <v/>
      </c>
      <c r="I9" s="221">
        <f>IF(A9="Total",VLOOKUP(B9,CORRESPONDANCE[#All],2,FALSE),I10)</f>
        <v/>
      </c>
      <c r="J9" s="350">
        <f>LEFT(A9,1)</f>
        <v/>
      </c>
      <c r="K9" s="347">
        <f>"HTR8"&amp;" - "&amp;A9</f>
        <v/>
      </c>
      <c r="L9" s="347">
        <f>+VLOOKUP(K9,TL[],4,FALSE)</f>
        <v/>
      </c>
    </row>
    <row r="10">
      <c r="A10" s="348" t="inlineStr">
        <is>
          <t>70800000</t>
        </is>
      </c>
      <c r="B10" s="348" t="inlineStr">
        <is>
          <t>Remise martin brower</t>
        </is>
      </c>
      <c r="C10" s="348" t="inlineStr"/>
      <c r="D10" s="348" t="n">
        <v>1550.08</v>
      </c>
      <c r="E10" s="348" t="inlineStr"/>
      <c r="F10" s="348" t="n">
        <v>1550.08</v>
      </c>
      <c r="G10" s="220">
        <f>SUM(C10)-SUM(D10)</f>
        <v/>
      </c>
      <c r="H10" s="220">
        <f>SUM(E10)-SUM(F10)</f>
        <v/>
      </c>
      <c r="I10" s="221">
        <f>IF(A10="Total",VLOOKUP(B10,CORRESPONDANCE[#All],2,FALSE),I11)</f>
        <v/>
      </c>
      <c r="J10" s="350">
        <f>LEFT(A10,1)</f>
        <v/>
      </c>
      <c r="K10" s="347">
        <f>"HTR8"&amp;" - "&amp;A10</f>
        <v/>
      </c>
      <c r="L10" s="347">
        <f>+VLOOKUP(K10,TL[],4,FALSE)</f>
        <v/>
      </c>
    </row>
    <row r="11">
      <c r="A11" s="348" t="inlineStr">
        <is>
          <t>Total</t>
        </is>
      </c>
      <c r="B11" s="348" t="inlineStr">
        <is>
          <t>Table n°2  -  Coût nourriture : achat nourriture</t>
        </is>
      </c>
      <c r="C11" s="348" t="n">
        <v>47716.75</v>
      </c>
      <c r="D11" s="348" t="inlineStr"/>
      <c r="E11" s="348" t="n">
        <v>47716.75</v>
      </c>
      <c r="F11" s="348" t="inlineStr"/>
      <c r="G11" s="220">
        <f>SUM(C11)-SUM(D11)</f>
        <v/>
      </c>
      <c r="H11" s="220">
        <f>SUM(E11)-SUM(F11)</f>
        <v/>
      </c>
      <c r="I11" s="221">
        <f>IF(A11="Total",VLOOKUP(B11,CORRESPONDANCE[#All],2,FALSE),I12)</f>
        <v/>
      </c>
      <c r="J11" s="350">
        <f>LEFT(A11,1)</f>
        <v/>
      </c>
      <c r="K11" s="347">
        <f>"HTR8"&amp;" - "&amp;A11</f>
        <v/>
      </c>
      <c r="L11" s="347">
        <f>+VLOOKUP(K11,TL[],4,FALSE)</f>
        <v/>
      </c>
    </row>
    <row r="12">
      <c r="A12" s="348" t="inlineStr">
        <is>
          <t>60110300</t>
        </is>
      </c>
      <c r="B12" s="348" t="inlineStr">
        <is>
          <t>Repas employes</t>
        </is>
      </c>
      <c r="C12" s="348" t="n">
        <v>1143.16</v>
      </c>
      <c r="D12" s="348" t="inlineStr"/>
      <c r="E12" s="348" t="n">
        <v>1143.16</v>
      </c>
      <c r="F12" s="348" t="inlineStr"/>
      <c r="G12" s="220">
        <f>SUM(C12)-SUM(D12)</f>
        <v/>
      </c>
      <c r="H12" s="220">
        <f>SUM(E12)-SUM(F12)</f>
        <v/>
      </c>
      <c r="I12" s="221">
        <f>IF(A12="Total",VLOOKUP(B12,CORRESPONDANCE[#All],2,FALSE),I13)</f>
        <v/>
      </c>
      <c r="J12" s="350">
        <f>LEFT(A12,1)</f>
        <v/>
      </c>
      <c r="K12" s="347">
        <f>"HTR8"&amp;" - "&amp;A12</f>
        <v/>
      </c>
      <c r="L12" s="347">
        <f>+VLOOKUP(K12,TL[],4,FALSE)</f>
        <v/>
      </c>
    </row>
    <row r="13">
      <c r="A13" s="348" t="inlineStr">
        <is>
          <t>Total</t>
        </is>
      </c>
      <c r="B13" s="348" t="inlineStr">
        <is>
          <t>Table n°2  -  Repas employés</t>
        </is>
      </c>
      <c r="C13" s="348" t="n">
        <v>1143.16</v>
      </c>
      <c r="D13" s="348" t="inlineStr"/>
      <c r="E13" s="348" t="n">
        <v>1143.16</v>
      </c>
      <c r="F13" s="348" t="inlineStr"/>
      <c r="G13" s="220">
        <f>SUM(C13)-SUM(D13)</f>
        <v/>
      </c>
      <c r="H13" s="220">
        <f>SUM(E13)-SUM(F13)</f>
        <v/>
      </c>
      <c r="I13" s="221">
        <f>IF(A13="Total",VLOOKUP(B13,CORRESPONDANCE[#All],2,FALSE),I14)</f>
        <v/>
      </c>
      <c r="J13" s="350">
        <f>LEFT(A13,1)</f>
        <v/>
      </c>
      <c r="K13" s="347">
        <f>"HTR8"&amp;" - "&amp;A13</f>
        <v/>
      </c>
      <c r="L13" s="347">
        <f>+VLOOKUP(K13,TL[],4,FALSE)</f>
        <v/>
      </c>
    </row>
    <row r="14">
      <c r="A14" s="348" t="inlineStr">
        <is>
          <t>60110200</t>
        </is>
      </c>
      <c r="B14" s="348" t="inlineStr">
        <is>
          <t>Dechets</t>
        </is>
      </c>
      <c r="C14" s="348" t="n">
        <v>1221.5</v>
      </c>
      <c r="D14" s="348" t="inlineStr"/>
      <c r="E14" s="348" t="n">
        <v>1221.5</v>
      </c>
      <c r="F14" s="348" t="inlineStr"/>
      <c r="G14" s="220">
        <f>SUM(C14)-SUM(D14)</f>
        <v/>
      </c>
      <c r="H14" s="220">
        <f>SUM(E14)-SUM(F14)</f>
        <v/>
      </c>
      <c r="I14" s="221">
        <f>IF(A14="Total",VLOOKUP(B14,CORRESPONDANCE[#All],2,FALSE),I15)</f>
        <v/>
      </c>
      <c r="J14" s="350">
        <f>LEFT(A14,1)</f>
        <v/>
      </c>
      <c r="K14" s="347">
        <f>"HTR8"&amp;" - "&amp;A14</f>
        <v/>
      </c>
      <c r="L14" s="347">
        <f>+VLOOKUP(K14,TL[],4,FALSE)</f>
        <v/>
      </c>
    </row>
    <row r="15">
      <c r="A15" s="348" t="inlineStr">
        <is>
          <t>Total</t>
        </is>
      </c>
      <c r="B15" s="348" t="inlineStr">
        <is>
          <t>Table n°2  -  Déchets Pertes</t>
        </is>
      </c>
      <c r="C15" s="348" t="n">
        <v>1221.5</v>
      </c>
      <c r="D15" s="348" t="inlineStr"/>
      <c r="E15" s="348" t="n">
        <v>1221.5</v>
      </c>
      <c r="F15" s="348" t="inlineStr"/>
      <c r="G15" s="220">
        <f>SUM(C15)-SUM(D15)</f>
        <v/>
      </c>
      <c r="H15" s="220">
        <f>SUM(E15)-SUM(F15)</f>
        <v/>
      </c>
      <c r="I15" s="221">
        <f>IF(A15="Total",VLOOKUP(B15,CORRESPONDANCE[#All],2,FALSE),I16)</f>
        <v/>
      </c>
      <c r="J15" s="350">
        <f>LEFT(A15,1)</f>
        <v/>
      </c>
      <c r="K15" s="347">
        <f>"HTR8"&amp;" - "&amp;A15</f>
        <v/>
      </c>
      <c r="L15" s="347">
        <f>+VLOOKUP(K15,TL[],4,FALSE)</f>
        <v/>
      </c>
    </row>
    <row r="16">
      <c r="A16" s="348" t="inlineStr">
        <is>
          <t>60220100</t>
        </is>
      </c>
      <c r="B16" s="348" t="inlineStr">
        <is>
          <t>Achats emballage</t>
        </is>
      </c>
      <c r="C16" s="348" t="n">
        <v>4653.2</v>
      </c>
      <c r="D16" s="348" t="inlineStr"/>
      <c r="E16" s="348" t="n">
        <v>4653.2</v>
      </c>
      <c r="F16" s="348" t="inlineStr"/>
      <c r="G16" s="220">
        <f>SUM(C16)-SUM(D16)</f>
        <v/>
      </c>
      <c r="H16" s="220">
        <f>SUM(E16)-SUM(F16)</f>
        <v/>
      </c>
      <c r="I16" s="221">
        <f>IF(A16="Total",VLOOKUP(B16,CORRESPONDANCE[#All],2,FALSE),I17)</f>
        <v/>
      </c>
      <c r="J16" s="350">
        <f>LEFT(A16,1)</f>
        <v/>
      </c>
      <c r="K16" s="347">
        <f>"HTR8"&amp;" - "&amp;A16</f>
        <v/>
      </c>
      <c r="L16" s="347">
        <f>+VLOOKUP(K16,TL[],4,FALSE)</f>
        <v/>
      </c>
    </row>
    <row r="17">
      <c r="A17" s="348" t="inlineStr">
        <is>
          <t>60320000</t>
        </is>
      </c>
      <c r="B17" s="348" t="inlineStr">
        <is>
          <t>Variat. stocks autres approvist.</t>
        </is>
      </c>
      <c r="C17" s="348" t="n">
        <v>112.91</v>
      </c>
      <c r="D17" s="348" t="inlineStr"/>
      <c r="E17" s="348" t="n">
        <v>112.91</v>
      </c>
      <c r="F17" s="348" t="inlineStr"/>
      <c r="G17" s="220">
        <f>SUM(C17)-SUM(D17)</f>
        <v/>
      </c>
      <c r="H17" s="220">
        <f>SUM(E17)-SUM(F17)</f>
        <v/>
      </c>
      <c r="I17" s="221">
        <f>IF(A17="Total",VLOOKUP(B17,CORRESPONDANCE[#All],2,FALSE),I18)</f>
        <v/>
      </c>
      <c r="J17" s="350">
        <f>LEFT(A17,1)</f>
        <v/>
      </c>
      <c r="K17" s="347">
        <f>"HTR8"&amp;" - "&amp;A17</f>
        <v/>
      </c>
      <c r="L17" s="347">
        <f>+VLOOKUP(K17,TL[],4,FALSE)</f>
        <v/>
      </c>
    </row>
    <row r="18">
      <c r="A18" s="348" t="inlineStr">
        <is>
          <t>Total</t>
        </is>
      </c>
      <c r="B18" s="348" t="inlineStr">
        <is>
          <t>Table n°2  -  Coût emballages</t>
        </is>
      </c>
      <c r="C18" s="348" t="n">
        <v>4766.11</v>
      </c>
      <c r="D18" s="348" t="inlineStr"/>
      <c r="E18" s="348" t="n">
        <v>4766.11</v>
      </c>
      <c r="F18" s="348" t="inlineStr"/>
      <c r="G18" s="220">
        <f>SUM(C18)-SUM(D18)</f>
        <v/>
      </c>
      <c r="H18" s="220">
        <f>SUM(E18)-SUM(F18)</f>
        <v/>
      </c>
      <c r="I18" s="221">
        <f>IF(A18="Total",VLOOKUP(B18,CORRESPONDANCE[#All],2,FALSE),I19)</f>
        <v/>
      </c>
      <c r="J18" s="350">
        <f>LEFT(A18,1)</f>
        <v/>
      </c>
      <c r="K18" s="347">
        <f>"HTR8"&amp;" - "&amp;A18</f>
        <v/>
      </c>
      <c r="L18" s="347">
        <f>+VLOOKUP(K18,TL[],4,FALSE)</f>
        <v/>
      </c>
    </row>
    <row r="19">
      <c r="A19" s="348" t="inlineStr">
        <is>
          <t>60261200</t>
        </is>
      </c>
      <c r="B19" s="348" t="inlineStr">
        <is>
          <t>Vaisselle</t>
        </is>
      </c>
      <c r="C19" s="348" t="n">
        <v>112.86</v>
      </c>
      <c r="D19" s="348" t="inlineStr"/>
      <c r="E19" s="348" t="n">
        <v>112.86</v>
      </c>
      <c r="F19" s="348" t="inlineStr"/>
      <c r="G19" s="220">
        <f>SUM(C19)-SUM(D19)</f>
        <v/>
      </c>
      <c r="H19" s="220">
        <f>SUM(E19)-SUM(F19)</f>
        <v/>
      </c>
      <c r="I19" s="221">
        <f>IF(A19="Total",VLOOKUP(B19,CORRESPONDANCE[#All],2,FALSE),I20)</f>
        <v/>
      </c>
      <c r="J19" s="350">
        <f>LEFT(A19,1)</f>
        <v/>
      </c>
      <c r="K19" s="347">
        <f>"HTR8"&amp;" - "&amp;A19</f>
        <v/>
      </c>
      <c r="L19" s="347">
        <f>+VLOOKUP(K19,TL[],4,FALSE)</f>
        <v/>
      </c>
    </row>
    <row r="20">
      <c r="A20" s="348" t="inlineStr">
        <is>
          <t>Total</t>
        </is>
      </c>
      <c r="B20" s="348" t="inlineStr">
        <is>
          <t>Table n°2  -  Vaisselle réutilisable</t>
        </is>
      </c>
      <c r="C20" s="348" t="n">
        <v>112.86</v>
      </c>
      <c r="D20" s="348" t="inlineStr"/>
      <c r="E20" s="348" t="n">
        <v>112.86</v>
      </c>
      <c r="F20" s="348" t="inlineStr"/>
      <c r="G20" s="220">
        <f>SUM(C20)-SUM(D20)</f>
        <v/>
      </c>
      <c r="H20" s="220">
        <f>SUM(E20)-SUM(F20)</f>
        <v/>
      </c>
      <c r="I20" s="221">
        <f>IF(A20="Total",VLOOKUP(B20,CORRESPONDANCE[#All],2,FALSE),I21)</f>
        <v/>
      </c>
      <c r="J20" s="350">
        <f>LEFT(A20,1)</f>
        <v/>
      </c>
      <c r="K20" s="347">
        <f>"HTR8"&amp;" - "&amp;A20</f>
        <v/>
      </c>
      <c r="L20" s="347">
        <f>+VLOOKUP(K20,TL[],4,FALSE)</f>
        <v/>
      </c>
    </row>
    <row r="21">
      <c r="A21" s="348" t="inlineStr">
        <is>
          <t>62140100</t>
        </is>
      </c>
      <c r="B21" s="348" t="inlineStr">
        <is>
          <t>Prêt personnel équipiers</t>
        </is>
      </c>
      <c r="C21" s="348" t="n">
        <v>47.51</v>
      </c>
      <c r="D21" s="348" t="inlineStr"/>
      <c r="E21" s="348" t="n">
        <v>47.51</v>
      </c>
      <c r="F21" s="348" t="inlineStr"/>
      <c r="G21" s="220">
        <f>SUM(C21)-SUM(D21)</f>
        <v/>
      </c>
      <c r="H21" s="220">
        <f>SUM(E21)-SUM(F21)</f>
        <v/>
      </c>
      <c r="I21" s="221">
        <f>IF(A21="Total",VLOOKUP(B21,CORRESPONDANCE[#All],2,FALSE),I22)</f>
        <v/>
      </c>
      <c r="J21" s="350">
        <f>LEFT(A21,1)</f>
        <v/>
      </c>
      <c r="K21" s="347">
        <f>"HTR8"&amp;" - "&amp;A21</f>
        <v/>
      </c>
      <c r="L21" s="347">
        <f>+VLOOKUP(K21,TL[],4,FALSE)</f>
        <v/>
      </c>
    </row>
    <row r="22">
      <c r="A22" s="348" t="inlineStr">
        <is>
          <t>64110100</t>
        </is>
      </c>
      <c r="B22" s="348" t="inlineStr">
        <is>
          <t>Salaires equipiers</t>
        </is>
      </c>
      <c r="C22" s="348" t="n">
        <v>27420</v>
      </c>
      <c r="D22" s="348" t="inlineStr"/>
      <c r="E22" s="348" t="n">
        <v>27420</v>
      </c>
      <c r="F22" s="348" t="inlineStr"/>
      <c r="G22" s="220">
        <f>SUM(C22)-SUM(D22)</f>
        <v/>
      </c>
      <c r="H22" s="220">
        <f>SUM(E22)-SUM(F22)</f>
        <v/>
      </c>
      <c r="I22" s="221">
        <f>IF(A22="Total",VLOOKUP(B22,CORRESPONDANCE[#All],2,FALSE),I23)</f>
        <v/>
      </c>
      <c r="J22" s="350">
        <f>LEFT(A22,1)</f>
        <v/>
      </c>
      <c r="K22" s="347">
        <f>"HTR8"&amp;" - "&amp;A22</f>
        <v/>
      </c>
      <c r="L22" s="347">
        <f>+VLOOKUP(K22,TL[],4,FALSE)</f>
        <v/>
      </c>
    </row>
    <row r="23">
      <c r="A23" s="348" t="inlineStr">
        <is>
          <t>64120000</t>
        </is>
      </c>
      <c r="B23" s="348" t="inlineStr">
        <is>
          <t>Prov congés payés équipiers</t>
        </is>
      </c>
      <c r="C23" s="348" t="n">
        <v>2462.6</v>
      </c>
      <c r="D23" s="348" t="inlineStr"/>
      <c r="E23" s="348" t="n">
        <v>2462.6</v>
      </c>
      <c r="F23" s="348" t="inlineStr"/>
      <c r="G23" s="220">
        <f>SUM(C23)-SUM(D23)</f>
        <v/>
      </c>
      <c r="H23" s="220">
        <f>SUM(E23)-SUM(F23)</f>
        <v/>
      </c>
      <c r="I23" s="221">
        <f>IF(A23="Total",VLOOKUP(B23,CORRESPONDANCE[#All],2,FALSE),I24)</f>
        <v/>
      </c>
      <c r="J23" s="350">
        <f>LEFT(A23,1)</f>
        <v/>
      </c>
      <c r="K23" s="347">
        <f>"HTR8"&amp;" - "&amp;A23</f>
        <v/>
      </c>
      <c r="L23" s="347">
        <f>+VLOOKUP(K23,TL[],4,FALSE)</f>
        <v/>
      </c>
    </row>
    <row r="24">
      <c r="A24" s="348" t="inlineStr">
        <is>
          <t>64140100</t>
        </is>
      </c>
      <c r="B24" s="348" t="inlineStr">
        <is>
          <t>A.n equipiers</t>
        </is>
      </c>
      <c r="C24" s="348" t="n">
        <v>4.22</v>
      </c>
      <c r="D24" s="348" t="inlineStr"/>
      <c r="E24" s="348" t="n">
        <v>4.22</v>
      </c>
      <c r="F24" s="348" t="inlineStr"/>
      <c r="G24" s="220">
        <f>SUM(C24)-SUM(D24)</f>
        <v/>
      </c>
      <c r="H24" s="220">
        <f>SUM(E24)-SUM(F24)</f>
        <v/>
      </c>
      <c r="I24" s="221">
        <f>IF(A24="Total",VLOOKUP(B24,CORRESPONDANCE[#All],2,FALSE),I25)</f>
        <v/>
      </c>
      <c r="J24" s="350">
        <f>LEFT(A24,1)</f>
        <v/>
      </c>
      <c r="K24" s="347">
        <f>"HTR8"&amp;" - "&amp;A24</f>
        <v/>
      </c>
      <c r="L24" s="347">
        <f>+VLOOKUP(K24,TL[],4,FALSE)</f>
        <v/>
      </c>
    </row>
    <row r="25">
      <c r="A25" s="348" t="inlineStr">
        <is>
          <t>64141100</t>
        </is>
      </c>
      <c r="B25" s="348" t="inlineStr">
        <is>
          <t>Ind. blanchis equipiers</t>
        </is>
      </c>
      <c r="C25" s="348" t="n">
        <v>330.57</v>
      </c>
      <c r="D25" s="348" t="inlineStr"/>
      <c r="E25" s="348" t="n">
        <v>330.57</v>
      </c>
      <c r="F25" s="348" t="inlineStr"/>
      <c r="G25" s="220">
        <f>SUM(C25)-SUM(D25)</f>
        <v/>
      </c>
      <c r="H25" s="220">
        <f>SUM(E25)-SUM(F25)</f>
        <v/>
      </c>
      <c r="I25" s="221">
        <f>IF(A25="Total",VLOOKUP(B25,CORRESPONDANCE[#All],2,FALSE),I26)</f>
        <v/>
      </c>
      <c r="J25" s="350">
        <f>LEFT(A25,1)</f>
        <v/>
      </c>
      <c r="K25" s="347">
        <f>"HTR8"&amp;" - "&amp;A25</f>
        <v/>
      </c>
      <c r="L25" s="347">
        <f>+VLOOKUP(K25,TL[],4,FALSE)</f>
        <v/>
      </c>
    </row>
    <row r="26">
      <c r="A26" s="348" t="inlineStr">
        <is>
          <t>70815000</t>
        </is>
      </c>
      <c r="B26" s="348" t="inlineStr">
        <is>
          <t>Refact salaire equipiers</t>
        </is>
      </c>
      <c r="C26" s="348" t="inlineStr"/>
      <c r="D26" s="348" t="n">
        <v>2514.44</v>
      </c>
      <c r="E26" s="348" t="inlineStr"/>
      <c r="F26" s="348" t="n">
        <v>2514.44</v>
      </c>
      <c r="G26" s="220">
        <f>SUM(C26)-SUM(D26)</f>
        <v/>
      </c>
      <c r="H26" s="220">
        <f>SUM(E26)-SUM(F26)</f>
        <v/>
      </c>
      <c r="I26" s="221">
        <f>IF(A26="Total",VLOOKUP(B26,CORRESPONDANCE[#All],2,FALSE),I27)</f>
        <v/>
      </c>
      <c r="J26" s="350">
        <f>LEFT(A26,1)</f>
        <v/>
      </c>
      <c r="K26" s="347">
        <f>"HTR8"&amp;" - "&amp;A26</f>
        <v/>
      </c>
      <c r="L26" s="347">
        <f>+VLOOKUP(K26,TL[],4,FALSE)</f>
        <v/>
      </c>
    </row>
    <row r="27">
      <c r="A27" s="348" t="inlineStr">
        <is>
          <t>72610000</t>
        </is>
      </c>
      <c r="B27" s="348" t="inlineStr">
        <is>
          <t>Avantages en nature équipier</t>
        </is>
      </c>
      <c r="C27" s="348" t="inlineStr"/>
      <c r="D27" s="348" t="n">
        <v>4.22</v>
      </c>
      <c r="E27" s="348" t="inlineStr"/>
      <c r="F27" s="348" t="n">
        <v>4.22</v>
      </c>
      <c r="G27" s="220">
        <f>SUM(C27)-SUM(D27)</f>
        <v/>
      </c>
      <c r="H27" s="220">
        <f>SUM(E27)-SUM(F27)</f>
        <v/>
      </c>
      <c r="I27" s="221">
        <f>IF(A27="Total",VLOOKUP(B27,CORRESPONDANCE[#All],2,FALSE),I28)</f>
        <v/>
      </c>
      <c r="J27" s="350">
        <f>LEFT(A27,1)</f>
        <v/>
      </c>
      <c r="K27" s="347">
        <f>"HTR8"&amp;" - "&amp;A27</f>
        <v/>
      </c>
      <c r="L27" s="347">
        <f>+VLOOKUP(K27,TL[],4,FALSE)</f>
        <v/>
      </c>
    </row>
    <row r="28">
      <c r="A28" s="348" t="inlineStr">
        <is>
          <t>Total</t>
        </is>
      </c>
      <c r="B28" s="348" t="inlineStr">
        <is>
          <t>Table n°2  -  Main d'œuvre brute équipiers</t>
        </is>
      </c>
      <c r="C28" s="348" t="n">
        <v>27746.24</v>
      </c>
      <c r="D28" s="348" t="inlineStr"/>
      <c r="E28" s="348" t="n">
        <v>27746.24</v>
      </c>
      <c r="F28" s="348" t="inlineStr"/>
      <c r="G28" s="220">
        <f>SUM(C28)-SUM(D28)</f>
        <v/>
      </c>
      <c r="H28" s="220">
        <f>SUM(E28)-SUM(F28)</f>
        <v/>
      </c>
      <c r="I28" s="221">
        <f>IF(A28="Total",VLOOKUP(B28,CORRESPONDANCE[#All],2,FALSE),I29)</f>
        <v/>
      </c>
      <c r="J28" s="350">
        <f>LEFT(A28,1)</f>
        <v/>
      </c>
      <c r="K28" s="347">
        <f>"HTR8"&amp;" - "&amp;A28</f>
        <v/>
      </c>
      <c r="L28" s="347">
        <f>+VLOOKUP(K28,TL[],4,FALSE)</f>
        <v/>
      </c>
    </row>
    <row r="29">
      <c r="A29" s="348" t="inlineStr">
        <is>
          <t>62140800</t>
        </is>
      </c>
      <c r="B29" s="348" t="inlineStr">
        <is>
          <t>Prêt personnel équipiers charges</t>
        </is>
      </c>
      <c r="C29" s="348" t="n">
        <v>10.84</v>
      </c>
      <c r="D29" s="348" t="inlineStr"/>
      <c r="E29" s="348" t="n">
        <v>10.84</v>
      </c>
      <c r="F29" s="348" t="inlineStr"/>
      <c r="G29" s="220">
        <f>SUM(C29)-SUM(D29)</f>
        <v/>
      </c>
      <c r="H29" s="220">
        <f>SUM(E29)-SUM(F29)</f>
        <v/>
      </c>
      <c r="I29" s="221">
        <f>IF(A29="Total",VLOOKUP(B29,CORRESPONDANCE[#All],2,FALSE),I30)</f>
        <v/>
      </c>
      <c r="J29" s="350">
        <f>LEFT(A29,1)</f>
        <v/>
      </c>
      <c r="K29" s="347">
        <f>"HTR8"&amp;" - "&amp;A29</f>
        <v/>
      </c>
      <c r="L29" s="347">
        <f>+VLOOKUP(K29,TL[],4,FALSE)</f>
        <v/>
      </c>
    </row>
    <row r="30">
      <c r="A30" s="348" t="inlineStr">
        <is>
          <t>64510100</t>
        </is>
      </c>
      <c r="B30" s="348" t="inlineStr">
        <is>
          <t>Urssaf equipiers</t>
        </is>
      </c>
      <c r="C30" s="348" t="n">
        <v>1130.51</v>
      </c>
      <c r="D30" s="348" t="inlineStr"/>
      <c r="E30" s="348" t="n">
        <v>1130.51</v>
      </c>
      <c r="F30" s="348" t="inlineStr"/>
      <c r="G30" s="220">
        <f>SUM(C30)-SUM(D30)</f>
        <v/>
      </c>
      <c r="H30" s="220">
        <f>SUM(E30)-SUM(F30)</f>
        <v/>
      </c>
      <c r="I30" s="221">
        <f>IF(A30="Total",VLOOKUP(B30,CORRESPONDANCE[#All],2,FALSE),I31)</f>
        <v/>
      </c>
      <c r="J30" s="350">
        <f>LEFT(A30,1)</f>
        <v/>
      </c>
      <c r="K30" s="347">
        <f>"HTR8"&amp;" - "&amp;A30</f>
        <v/>
      </c>
      <c r="L30" s="347">
        <f>+VLOOKUP(K30,TL[],4,FALSE)</f>
        <v/>
      </c>
    </row>
    <row r="31">
      <c r="A31" s="348" t="inlineStr">
        <is>
          <t>64520100</t>
        </is>
      </c>
      <c r="B31" s="348" t="inlineStr">
        <is>
          <t>Mutuelle equipiers</t>
        </is>
      </c>
      <c r="C31" s="348" t="n">
        <v>268.47</v>
      </c>
      <c r="D31" s="348" t="inlineStr"/>
      <c r="E31" s="348" t="n">
        <v>268.47</v>
      </c>
      <c r="F31" s="348" t="inlineStr"/>
      <c r="G31" s="220">
        <f>SUM(C31)-SUM(D31)</f>
        <v/>
      </c>
      <c r="H31" s="220">
        <f>SUM(E31)-SUM(F31)</f>
        <v/>
      </c>
      <c r="I31" s="221">
        <f>IF(A31="Total",VLOOKUP(B31,CORRESPONDANCE[#All],2,FALSE),I32)</f>
        <v/>
      </c>
      <c r="J31" s="350">
        <f>LEFT(A31,1)</f>
        <v/>
      </c>
      <c r="K31" s="347">
        <f>"HTR8"&amp;" - "&amp;A31</f>
        <v/>
      </c>
      <c r="L31" s="347">
        <f>+VLOOKUP(K31,TL[],4,FALSE)</f>
        <v/>
      </c>
    </row>
    <row r="32">
      <c r="A32" s="348" t="inlineStr">
        <is>
          <t>64530100</t>
        </is>
      </c>
      <c r="B32" s="348" t="inlineStr">
        <is>
          <t>Retraite et prev equipiers</t>
        </is>
      </c>
      <c r="C32" s="348" t="n">
        <v>417.96</v>
      </c>
      <c r="D32" s="348" t="inlineStr"/>
      <c r="E32" s="348" t="n">
        <v>417.96</v>
      </c>
      <c r="F32" s="348" t="inlineStr"/>
      <c r="G32" s="220">
        <f>SUM(C32)-SUM(D32)</f>
        <v/>
      </c>
      <c r="H32" s="220">
        <f>SUM(E32)-SUM(F32)</f>
        <v/>
      </c>
      <c r="I32" s="221">
        <f>IF(A32="Total",VLOOKUP(B32,CORRESPONDANCE[#All],2,FALSE),I33)</f>
        <v/>
      </c>
      <c r="J32" s="350">
        <f>LEFT(A32,1)</f>
        <v/>
      </c>
      <c r="K32" s="347">
        <f>"HTR8"&amp;" - "&amp;A32</f>
        <v/>
      </c>
      <c r="L32" s="347">
        <f>+VLOOKUP(K32,TL[],4,FALSE)</f>
        <v/>
      </c>
    </row>
    <row r="33">
      <c r="A33" s="348" t="inlineStr">
        <is>
          <t>64540100</t>
        </is>
      </c>
      <c r="B33" s="348" t="inlineStr">
        <is>
          <t>Pole emploi equipiers</t>
        </is>
      </c>
      <c r="C33" s="348" t="n">
        <v>1083.88</v>
      </c>
      <c r="D33" s="348" t="inlineStr"/>
      <c r="E33" s="348" t="n">
        <v>1083.88</v>
      </c>
      <c r="F33" s="348" t="inlineStr"/>
      <c r="G33" s="220">
        <f>SUM(C33)-SUM(D33)</f>
        <v/>
      </c>
      <c r="H33" s="220">
        <f>SUM(E33)-SUM(F33)</f>
        <v/>
      </c>
      <c r="I33" s="221">
        <f>IF(A33="Total",VLOOKUP(B33,CORRESPONDANCE[#All],2,FALSE),I34)</f>
        <v/>
      </c>
      <c r="J33" s="350">
        <f>LEFT(A33,1)</f>
        <v/>
      </c>
      <c r="K33" s="347">
        <f>"HTR8"&amp;" - "&amp;A33</f>
        <v/>
      </c>
      <c r="L33" s="347">
        <f>+VLOOKUP(K33,TL[],4,FALSE)</f>
        <v/>
      </c>
    </row>
    <row r="34">
      <c r="A34" s="348" t="inlineStr">
        <is>
          <t>64580000</t>
        </is>
      </c>
      <c r="B34" s="348" t="inlineStr">
        <is>
          <t>Cs/ cp équipiers</t>
        </is>
      </c>
      <c r="C34" s="348" t="n">
        <v>350.6</v>
      </c>
      <c r="D34" s="348" t="inlineStr"/>
      <c r="E34" s="348" t="n">
        <v>350.6</v>
      </c>
      <c r="F34" s="348" t="inlineStr"/>
      <c r="G34" s="220">
        <f>SUM(C34)-SUM(D34)</f>
        <v/>
      </c>
      <c r="H34" s="220">
        <f>SUM(E34)-SUM(F34)</f>
        <v/>
      </c>
      <c r="I34" s="221">
        <f>IF(A34="Total",VLOOKUP(B34,CORRESPONDANCE[#All],2,FALSE),I35)</f>
        <v/>
      </c>
      <c r="J34" s="350">
        <f>LEFT(A34,1)</f>
        <v/>
      </c>
      <c r="K34" s="347">
        <f>"HTR8"&amp;" - "&amp;A34</f>
        <v/>
      </c>
      <c r="L34" s="347">
        <f>+VLOOKUP(K34,TL[],4,FALSE)</f>
        <v/>
      </c>
    </row>
    <row r="35">
      <c r="A35" s="348" t="inlineStr">
        <is>
          <t>70815100</t>
        </is>
      </c>
      <c r="B35" s="348" t="inlineStr">
        <is>
          <t>Refacturation c.s. équipiers</t>
        </is>
      </c>
      <c r="C35" s="348" t="inlineStr"/>
      <c r="D35" s="348" t="n">
        <v>423.18</v>
      </c>
      <c r="E35" s="348" t="inlineStr"/>
      <c r="F35" s="348" t="n">
        <v>423.18</v>
      </c>
      <c r="G35" s="220">
        <f>SUM(C35)-SUM(D35)</f>
        <v/>
      </c>
      <c r="H35" s="220">
        <f>SUM(E35)-SUM(F35)</f>
        <v/>
      </c>
      <c r="I35" s="221">
        <f>IF(A35="Total",VLOOKUP(B35,CORRESPONDANCE[#All],2,FALSE),I36)</f>
        <v/>
      </c>
      <c r="J35" s="350">
        <f>LEFT(A35,1)</f>
        <v/>
      </c>
      <c r="K35" s="347">
        <f>"HTR8"&amp;" - "&amp;A35</f>
        <v/>
      </c>
      <c r="L35" s="347">
        <f>+VLOOKUP(K35,TL[],4,FALSE)</f>
        <v/>
      </c>
    </row>
    <row r="36">
      <c r="A36" s="348" t="inlineStr">
        <is>
          <t>Total</t>
        </is>
      </c>
      <c r="B36" s="348" t="inlineStr">
        <is>
          <t>Table n°2  -  Charges sociales équipiers</t>
        </is>
      </c>
      <c r="C36" s="348" t="n">
        <v>2839.08</v>
      </c>
      <c r="D36" s="348" t="inlineStr"/>
      <c r="E36" s="348" t="n">
        <v>2839.08</v>
      </c>
      <c r="F36" s="348" t="inlineStr"/>
      <c r="G36" s="220">
        <f>SUM(C36)-SUM(D36)</f>
        <v/>
      </c>
      <c r="H36" s="220">
        <f>SUM(E36)-SUM(F36)</f>
        <v/>
      </c>
      <c r="I36" s="221">
        <f>IF(A36="Total",VLOOKUP(B36,CORRESPONDANCE[#All],2,FALSE),I37)</f>
        <v/>
      </c>
      <c r="J36" s="350">
        <f>LEFT(A36,1)</f>
        <v/>
      </c>
      <c r="K36" s="347">
        <f>"HTR8"&amp;" - "&amp;A36</f>
        <v/>
      </c>
      <c r="L36" s="347">
        <f>+VLOOKUP(K36,TL[],4,FALSE)</f>
        <v/>
      </c>
    </row>
    <row r="37">
      <c r="A37" s="348" t="inlineStr">
        <is>
          <t>62140200</t>
        </is>
      </c>
      <c r="B37" s="348" t="inlineStr">
        <is>
          <t>Prêt personnel manager</t>
        </is>
      </c>
      <c r="C37" s="348" t="n">
        <v>2451.88</v>
      </c>
      <c r="D37" s="348" t="inlineStr"/>
      <c r="E37" s="348" t="n">
        <v>2451.88</v>
      </c>
      <c r="F37" s="348" t="inlineStr"/>
      <c r="G37" s="220">
        <f>SUM(C37)-SUM(D37)</f>
        <v/>
      </c>
      <c r="H37" s="220">
        <f>SUM(E37)-SUM(F37)</f>
        <v/>
      </c>
      <c r="I37" s="221">
        <f>IF(A37="Total",VLOOKUP(B37,CORRESPONDANCE[#All],2,FALSE),I38)</f>
        <v/>
      </c>
      <c r="J37" s="350">
        <f>LEFT(A37,1)</f>
        <v/>
      </c>
      <c r="K37" s="347">
        <f>"HTR8"&amp;" - "&amp;A37</f>
        <v/>
      </c>
      <c r="L37" s="347">
        <f>+VLOOKUP(K37,TL[],4,FALSE)</f>
        <v/>
      </c>
    </row>
    <row r="38">
      <c r="A38" s="348" t="inlineStr">
        <is>
          <t>64110400</t>
        </is>
      </c>
      <c r="B38" s="348" t="inlineStr">
        <is>
          <t>Salaires managers</t>
        </is>
      </c>
      <c r="C38" s="348" t="n">
        <v>17217.75</v>
      </c>
      <c r="D38" s="348" t="inlineStr"/>
      <c r="E38" s="348" t="n">
        <v>17217.75</v>
      </c>
      <c r="F38" s="348" t="inlineStr"/>
      <c r="G38" s="220">
        <f>SUM(C38)-SUM(D38)</f>
        <v/>
      </c>
      <c r="H38" s="220">
        <f>SUM(E38)-SUM(F38)</f>
        <v/>
      </c>
      <c r="I38" s="221">
        <f>IF(A38="Total",VLOOKUP(B38,CORRESPONDANCE[#All],2,FALSE),I39)</f>
        <v/>
      </c>
      <c r="J38" s="350">
        <f>LEFT(A38,1)</f>
        <v/>
      </c>
      <c r="K38" s="347">
        <f>"HTR8"&amp;" - "&amp;A38</f>
        <v/>
      </c>
      <c r="L38" s="347">
        <f>+VLOOKUP(K38,TL[],4,FALSE)</f>
        <v/>
      </c>
    </row>
    <row r="39">
      <c r="A39" s="348" t="inlineStr">
        <is>
          <t>64121000</t>
        </is>
      </c>
      <c r="B39" s="348" t="inlineStr">
        <is>
          <t>Prov conges managers</t>
        </is>
      </c>
      <c r="C39" s="348" t="n">
        <v>1463.36</v>
      </c>
      <c r="D39" s="348" t="inlineStr"/>
      <c r="E39" s="348" t="n">
        <v>1463.36</v>
      </c>
      <c r="F39" s="348" t="inlineStr"/>
      <c r="G39" s="220">
        <f>SUM(C39)-SUM(D39)</f>
        <v/>
      </c>
      <c r="H39" s="220">
        <f>SUM(E39)-SUM(F39)</f>
        <v/>
      </c>
      <c r="I39" s="221">
        <f>IF(A39="Total",VLOOKUP(B39,CORRESPONDANCE[#All],2,FALSE),I40)</f>
        <v/>
      </c>
      <c r="J39" s="350">
        <f>LEFT(A39,1)</f>
        <v/>
      </c>
      <c r="K39" s="347">
        <f>"HTR8"&amp;" - "&amp;A39</f>
        <v/>
      </c>
      <c r="L39" s="347">
        <f>+VLOOKUP(K39,TL[],4,FALSE)</f>
        <v/>
      </c>
    </row>
    <row r="40">
      <c r="A40" s="348" t="inlineStr">
        <is>
          <t>64140400</t>
        </is>
      </c>
      <c r="B40" s="348" t="inlineStr">
        <is>
          <t>A.n. managers</t>
        </is>
      </c>
      <c r="C40" s="348" t="n">
        <v>63.3</v>
      </c>
      <c r="D40" s="348" t="inlineStr"/>
      <c r="E40" s="348" t="n">
        <v>63.3</v>
      </c>
      <c r="F40" s="348" t="inlineStr"/>
      <c r="G40" s="220">
        <f>SUM(C40)-SUM(D40)</f>
        <v/>
      </c>
      <c r="H40" s="220">
        <f>SUM(E40)-SUM(F40)</f>
        <v/>
      </c>
      <c r="I40" s="221">
        <f>IF(A40="Total",VLOOKUP(B40,CORRESPONDANCE[#All],2,FALSE),I41)</f>
        <v/>
      </c>
      <c r="J40" s="350">
        <f>LEFT(A40,1)</f>
        <v/>
      </c>
      <c r="K40" s="347">
        <f>"HTR8"&amp;" - "&amp;A40</f>
        <v/>
      </c>
      <c r="L40" s="347">
        <f>+VLOOKUP(K40,TL[],4,FALSE)</f>
        <v/>
      </c>
    </row>
    <row r="41">
      <c r="A41" s="348" t="inlineStr">
        <is>
          <t>64141400</t>
        </is>
      </c>
      <c r="B41" s="348" t="inlineStr">
        <is>
          <t>Ind. blanchissage managers</t>
        </is>
      </c>
      <c r="C41" s="348" t="n">
        <v>180.82</v>
      </c>
      <c r="D41" s="348" t="inlineStr"/>
      <c r="E41" s="348" t="n">
        <v>180.82</v>
      </c>
      <c r="F41" s="348" t="inlineStr"/>
      <c r="G41" s="220">
        <f>SUM(C41)-SUM(D41)</f>
        <v/>
      </c>
      <c r="H41" s="220">
        <f>SUM(E41)-SUM(F41)</f>
        <v/>
      </c>
      <c r="I41" s="221">
        <f>IF(A41="Total",VLOOKUP(B41,CORRESPONDANCE[#All],2,FALSE),I42)</f>
        <v/>
      </c>
      <c r="J41" s="350">
        <f>LEFT(A41,1)</f>
        <v/>
      </c>
      <c r="K41" s="347">
        <f>"HTR8"&amp;" - "&amp;A41</f>
        <v/>
      </c>
      <c r="L41" s="347">
        <f>+VLOOKUP(K41,TL[],4,FALSE)</f>
        <v/>
      </c>
    </row>
    <row r="42">
      <c r="A42" s="348" t="inlineStr">
        <is>
          <t>70810400</t>
        </is>
      </c>
      <c r="B42" s="348" t="inlineStr">
        <is>
          <t>Prêt de personnel managers</t>
        </is>
      </c>
      <c r="C42" s="348" t="inlineStr"/>
      <c r="D42" s="348" t="n">
        <v>3340.99</v>
      </c>
      <c r="E42" s="348" t="inlineStr"/>
      <c r="F42" s="348" t="n">
        <v>3340.99</v>
      </c>
      <c r="G42" s="220">
        <f>SUM(C42)-SUM(D42)</f>
        <v/>
      </c>
      <c r="H42" s="220">
        <f>SUM(E42)-SUM(F42)</f>
        <v/>
      </c>
      <c r="I42" s="221">
        <f>IF(A42="Total",VLOOKUP(B42,CORRESPONDANCE[#All],2,FALSE),I43)</f>
        <v/>
      </c>
      <c r="J42" s="350">
        <f>LEFT(A42,1)</f>
        <v/>
      </c>
      <c r="K42" s="347">
        <f>"HTR8"&amp;" - "&amp;A42</f>
        <v/>
      </c>
      <c r="L42" s="347">
        <f>+VLOOKUP(K42,TL[],4,FALSE)</f>
        <v/>
      </c>
    </row>
    <row r="43">
      <c r="A43" s="348" t="inlineStr">
        <is>
          <t>72611000</t>
        </is>
      </c>
      <c r="B43" s="348" t="inlineStr">
        <is>
          <t>Avantage en nature managers</t>
        </is>
      </c>
      <c r="C43" s="348" t="inlineStr"/>
      <c r="D43" s="348" t="n">
        <v>63.3</v>
      </c>
      <c r="E43" s="348" t="inlineStr"/>
      <c r="F43" s="348" t="n">
        <v>63.3</v>
      </c>
      <c r="G43" s="220">
        <f>SUM(C43)-SUM(D43)</f>
        <v/>
      </c>
      <c r="H43" s="220">
        <f>SUM(E43)-SUM(F43)</f>
        <v/>
      </c>
      <c r="I43" s="221">
        <f>IF(A43="Total",VLOOKUP(B43,CORRESPONDANCE[#All],2,FALSE),I44)</f>
        <v/>
      </c>
      <c r="J43" s="350">
        <f>LEFT(A43,1)</f>
        <v/>
      </c>
      <c r="K43" s="347">
        <f>"HTR8"&amp;" - "&amp;A43</f>
        <v/>
      </c>
      <c r="L43" s="347">
        <f>+VLOOKUP(K43,TL[],4,FALSE)</f>
        <v/>
      </c>
    </row>
    <row r="44">
      <c r="A44" s="348" t="inlineStr">
        <is>
          <t>Total</t>
        </is>
      </c>
      <c r="B44" s="348" t="inlineStr">
        <is>
          <t>Table n°2  -  Main d'œuvre brute équipe de gestio</t>
        </is>
      </c>
      <c r="C44" s="348" t="n">
        <v>17972.82</v>
      </c>
      <c r="D44" s="348" t="inlineStr"/>
      <c r="E44" s="348" t="n">
        <v>17972.82</v>
      </c>
      <c r="F44" s="348" t="inlineStr"/>
      <c r="G44" s="220">
        <f>SUM(C44)-SUM(D44)</f>
        <v/>
      </c>
      <c r="H44" s="220">
        <f>SUM(E44)-SUM(F44)</f>
        <v/>
      </c>
      <c r="I44" s="221">
        <f>IF(A44="Total",VLOOKUP(B44,CORRESPONDANCE[#All],2,FALSE),I45)</f>
        <v/>
      </c>
      <c r="J44" s="350">
        <f>LEFT(A44,1)</f>
        <v/>
      </c>
      <c r="K44" s="347">
        <f>"HTR8"&amp;" - "&amp;A44</f>
        <v/>
      </c>
      <c r="L44" s="347">
        <f>+VLOOKUP(K44,TL[],4,FALSE)</f>
        <v/>
      </c>
    </row>
    <row r="45">
      <c r="A45" s="348" t="inlineStr">
        <is>
          <t>62140700</t>
        </is>
      </c>
      <c r="B45" s="348" t="inlineStr">
        <is>
          <t>Prêt pers.manag.charges</t>
        </is>
      </c>
      <c r="C45" s="348" t="n">
        <v>693.74</v>
      </c>
      <c r="D45" s="348" t="inlineStr"/>
      <c r="E45" s="348" t="n">
        <v>693.74</v>
      </c>
      <c r="F45" s="348" t="inlineStr"/>
      <c r="G45" s="220">
        <f>SUM(C45)-SUM(D45)</f>
        <v/>
      </c>
      <c r="H45" s="220">
        <f>SUM(E45)-SUM(F45)</f>
        <v/>
      </c>
      <c r="I45" s="221">
        <f>IF(A45="Total",VLOOKUP(B45,CORRESPONDANCE[#All],2,FALSE),I46)</f>
        <v/>
      </c>
      <c r="J45" s="350">
        <f>LEFT(A45,1)</f>
        <v/>
      </c>
      <c r="K45" s="347">
        <f>"HTR8"&amp;" - "&amp;A45</f>
        <v/>
      </c>
      <c r="L45" s="347">
        <f>+VLOOKUP(K45,TL[],4,FALSE)</f>
        <v/>
      </c>
    </row>
    <row r="46">
      <c r="A46" s="348" t="inlineStr">
        <is>
          <t>64510400</t>
        </is>
      </c>
      <c r="B46" s="348" t="inlineStr">
        <is>
          <t>Urssaf mgrs</t>
        </is>
      </c>
      <c r="C46" s="348" t="n">
        <v>2074.73</v>
      </c>
      <c r="D46" s="348" t="inlineStr"/>
      <c r="E46" s="348" t="n">
        <v>2074.73</v>
      </c>
      <c r="F46" s="348" t="inlineStr"/>
      <c r="G46" s="220">
        <f>SUM(C46)-SUM(D46)</f>
        <v/>
      </c>
      <c r="H46" s="220">
        <f>SUM(E46)-SUM(F46)</f>
        <v/>
      </c>
      <c r="I46" s="221">
        <f>IF(A46="Total",VLOOKUP(B46,CORRESPONDANCE[#All],2,FALSE),I47)</f>
        <v/>
      </c>
      <c r="J46" s="350">
        <f>LEFT(A46,1)</f>
        <v/>
      </c>
      <c r="K46" s="347">
        <f>"HTR8"&amp;" - "&amp;A46</f>
        <v/>
      </c>
      <c r="L46" s="347">
        <f>+VLOOKUP(K46,TL[],4,FALSE)</f>
        <v/>
      </c>
    </row>
    <row r="47">
      <c r="A47" s="348" t="inlineStr">
        <is>
          <t>64520400</t>
        </is>
      </c>
      <c r="B47" s="348" t="inlineStr">
        <is>
          <t>Mutuelle managers</t>
        </is>
      </c>
      <c r="C47" s="348" t="n">
        <v>127.17</v>
      </c>
      <c r="D47" s="348" t="inlineStr"/>
      <c r="E47" s="348" t="n">
        <v>127.17</v>
      </c>
      <c r="F47" s="348" t="inlineStr"/>
      <c r="G47" s="220">
        <f>SUM(C47)-SUM(D47)</f>
        <v/>
      </c>
      <c r="H47" s="220">
        <f>SUM(E47)-SUM(F47)</f>
        <v/>
      </c>
      <c r="I47" s="221">
        <f>IF(A47="Total",VLOOKUP(B47,CORRESPONDANCE[#All],2,FALSE),I48)</f>
        <v/>
      </c>
      <c r="J47" s="350">
        <f>LEFT(A47,1)</f>
        <v/>
      </c>
      <c r="K47" s="347">
        <f>"HTR8"&amp;" - "&amp;A47</f>
        <v/>
      </c>
      <c r="L47" s="347">
        <f>+VLOOKUP(K47,TL[],4,FALSE)</f>
        <v/>
      </c>
    </row>
    <row r="48">
      <c r="A48" s="348" t="inlineStr">
        <is>
          <t>64530400</t>
        </is>
      </c>
      <c r="B48" s="348" t="inlineStr">
        <is>
          <t>Retraite et prev managers</t>
        </is>
      </c>
      <c r="C48" s="348" t="n">
        <v>593.6900000000001</v>
      </c>
      <c r="D48" s="348" t="inlineStr"/>
      <c r="E48" s="348" t="n">
        <v>593.6900000000001</v>
      </c>
      <c r="F48" s="348" t="inlineStr"/>
      <c r="G48" s="220">
        <f>SUM(C48)-SUM(D48)</f>
        <v/>
      </c>
      <c r="H48" s="220">
        <f>SUM(E48)-SUM(F48)</f>
        <v/>
      </c>
      <c r="I48" s="221">
        <f>IF(A48="Total",VLOOKUP(B48,CORRESPONDANCE[#All],2,FALSE),I49)</f>
        <v/>
      </c>
      <c r="J48" s="350">
        <f>LEFT(A48,1)</f>
        <v/>
      </c>
      <c r="K48" s="347">
        <f>"HTR8"&amp;" - "&amp;A48</f>
        <v/>
      </c>
      <c r="L48" s="347">
        <f>+VLOOKUP(K48,TL[],4,FALSE)</f>
        <v/>
      </c>
    </row>
    <row r="49">
      <c r="A49" s="348" t="inlineStr">
        <is>
          <t>64540400</t>
        </is>
      </c>
      <c r="B49" s="348" t="inlineStr">
        <is>
          <t>Pole emploi managers</t>
        </is>
      </c>
      <c r="C49" s="348" t="n">
        <v>686.42</v>
      </c>
      <c r="D49" s="348" t="inlineStr"/>
      <c r="E49" s="348" t="n">
        <v>686.42</v>
      </c>
      <c r="F49" s="348" t="inlineStr"/>
      <c r="G49" s="220">
        <f>SUM(C49)-SUM(D49)</f>
        <v/>
      </c>
      <c r="H49" s="220">
        <f>SUM(E49)-SUM(F49)</f>
        <v/>
      </c>
      <c r="I49" s="221">
        <f>IF(A49="Total",VLOOKUP(B49,CORRESPONDANCE[#All],2,FALSE),I50)</f>
        <v/>
      </c>
      <c r="J49" s="350">
        <f>LEFT(A49,1)</f>
        <v/>
      </c>
      <c r="K49" s="347">
        <f>"HTR8"&amp;" - "&amp;A49</f>
        <v/>
      </c>
      <c r="L49" s="347">
        <f>+VLOOKUP(K49,TL[],4,FALSE)</f>
        <v/>
      </c>
    </row>
    <row r="50">
      <c r="A50" s="348" t="inlineStr">
        <is>
          <t>64581000</t>
        </is>
      </c>
      <c r="B50" s="348" t="inlineStr">
        <is>
          <t>Cs/cp managers</t>
        </is>
      </c>
      <c r="C50" s="348" t="n">
        <v>351.97</v>
      </c>
      <c r="D50" s="348" t="inlineStr"/>
      <c r="E50" s="348" t="n">
        <v>351.97</v>
      </c>
      <c r="F50" s="348" t="inlineStr"/>
      <c r="G50" s="220">
        <f>SUM(C50)-SUM(D50)</f>
        <v/>
      </c>
      <c r="H50" s="220">
        <f>SUM(E50)-SUM(F50)</f>
        <v/>
      </c>
      <c r="I50" s="221">
        <f>IF(A50="Total",VLOOKUP(B50,CORRESPONDANCE[#All],2,FALSE),I51)</f>
        <v/>
      </c>
      <c r="J50" s="350">
        <f>LEFT(A50,1)</f>
        <v/>
      </c>
      <c r="K50" s="347">
        <f>"HTR8"&amp;" - "&amp;A50</f>
        <v/>
      </c>
      <c r="L50" s="347">
        <f>+VLOOKUP(K50,TL[],4,FALSE)</f>
        <v/>
      </c>
    </row>
    <row r="51">
      <c r="A51" s="348" t="inlineStr">
        <is>
          <t>70810410</t>
        </is>
      </c>
      <c r="B51" s="348" t="inlineStr">
        <is>
          <t>Prêt de personnel manager cotis°</t>
        </is>
      </c>
      <c r="C51" s="348" t="inlineStr"/>
      <c r="D51" s="348" t="n">
        <v>1248.27</v>
      </c>
      <c r="E51" s="348" t="inlineStr"/>
      <c r="F51" s="348" t="n">
        <v>1248.27</v>
      </c>
      <c r="G51" s="220">
        <f>SUM(C51)-SUM(D51)</f>
        <v/>
      </c>
      <c r="H51" s="220">
        <f>SUM(E51)-SUM(F51)</f>
        <v/>
      </c>
      <c r="I51" s="221">
        <f>IF(A51="Total",VLOOKUP(B51,CORRESPONDANCE[#All],2,FALSE),I52)</f>
        <v/>
      </c>
      <c r="J51" s="350">
        <f>LEFT(A51,1)</f>
        <v/>
      </c>
      <c r="K51" s="347">
        <f>"HTR8"&amp;" - "&amp;A51</f>
        <v/>
      </c>
      <c r="L51" s="347">
        <f>+VLOOKUP(K51,TL[],4,FALSE)</f>
        <v/>
      </c>
    </row>
    <row r="52">
      <c r="A52" s="348" t="inlineStr">
        <is>
          <t>Total</t>
        </is>
      </c>
      <c r="B52" s="348" t="inlineStr">
        <is>
          <t>Table n°2  -  Charges sociales équipe de gestion</t>
        </is>
      </c>
      <c r="C52" s="348" t="n">
        <v>3279.45</v>
      </c>
      <c r="D52" s="348" t="inlineStr"/>
      <c r="E52" s="348" t="n">
        <v>3279.45</v>
      </c>
      <c r="F52" s="348" t="inlineStr"/>
      <c r="G52" s="220">
        <f>SUM(C52)-SUM(D52)</f>
        <v/>
      </c>
      <c r="H52" s="220">
        <f>SUM(E52)-SUM(F52)</f>
        <v/>
      </c>
      <c r="I52" s="221">
        <f>IF(A52="Total",VLOOKUP(B52,CORRESPONDANCE[#All],2,FALSE),I53)</f>
        <v/>
      </c>
      <c r="J52" s="350">
        <f>LEFT(A52,1)</f>
        <v/>
      </c>
      <c r="K52" s="347" t="inlineStr">
        <is>
          <t>HTR8 - 64115000</t>
        </is>
      </c>
      <c r="L52" s="347">
        <f>+VLOOKUP(K52,TL[],4,FALSE)</f>
        <v/>
      </c>
    </row>
    <row r="53">
      <c r="A53" s="348" t="inlineStr">
        <is>
          <t>61522000</t>
        </is>
      </c>
      <c r="B53" s="348" t="inlineStr">
        <is>
          <t>Nettoyage restaurant</t>
        </is>
      </c>
      <c r="C53" s="348" t="inlineStr"/>
      <c r="D53" s="348" t="n">
        <v>1</v>
      </c>
      <c r="E53" s="348" t="inlineStr"/>
      <c r="F53" s="348" t="n">
        <v>1</v>
      </c>
      <c r="G53" s="220">
        <f>SUM(C53)-SUM(D53)</f>
        <v/>
      </c>
      <c r="H53" s="220">
        <f>SUM(E53)-SUM(F53)</f>
        <v/>
      </c>
      <c r="I53" s="221">
        <f>IF(A53="Total",VLOOKUP(B53,CORRESPONDANCE[#All],2,FALSE),I54)</f>
        <v/>
      </c>
      <c r="J53" s="350">
        <f>LEFT(A53,1)</f>
        <v/>
      </c>
      <c r="K53" s="347">
        <f>"HTR8"&amp;" - "&amp;A53</f>
        <v/>
      </c>
      <c r="L53" s="347">
        <f>+VLOOKUP(K53,TL[],4,FALSE)</f>
        <v/>
      </c>
    </row>
    <row r="54">
      <c r="A54" s="348" t="inlineStr">
        <is>
          <t>61561500</t>
        </is>
      </c>
      <c r="B54" s="348" t="inlineStr">
        <is>
          <t>Contrat entretien linge</t>
        </is>
      </c>
      <c r="C54" s="348" t="n">
        <v>77.95999999999999</v>
      </c>
      <c r="D54" s="348" t="inlineStr"/>
      <c r="E54" s="348" t="n">
        <v>77.95999999999999</v>
      </c>
      <c r="F54" s="348" t="inlineStr"/>
      <c r="G54" s="220">
        <f>SUM(C54)-SUM(D54)</f>
        <v/>
      </c>
      <c r="H54" s="220">
        <f>SUM(E54)-SUM(F54)</f>
        <v/>
      </c>
      <c r="I54" s="221">
        <f>IF(A54="Total",VLOOKUP(B54,CORRESPONDANCE[#All],2,FALSE),I55)</f>
        <v/>
      </c>
      <c r="J54" s="350">
        <f>LEFT(A54,1)</f>
        <v/>
      </c>
      <c r="K54" s="347">
        <f>"HTR8"&amp;" - "&amp;A54</f>
        <v/>
      </c>
      <c r="L54" s="347">
        <f>+VLOOKUP(K54,TL[],4,FALSE)</f>
        <v/>
      </c>
    </row>
    <row r="55">
      <c r="A55" s="348" t="inlineStr">
        <is>
          <t>Total</t>
        </is>
      </c>
      <c r="B55" s="348" t="inlineStr">
        <is>
          <t>Table n°2  -  Nettoyage</t>
        </is>
      </c>
      <c r="C55" s="348" t="n">
        <v>76.95999999999999</v>
      </c>
      <c r="D55" s="348" t="inlineStr"/>
      <c r="E55" s="348" t="n">
        <v>76.95999999999999</v>
      </c>
      <c r="F55" s="348" t="inlineStr"/>
      <c r="G55" s="220">
        <f>SUM(C55)-SUM(D55)</f>
        <v/>
      </c>
      <c r="H55" s="220">
        <f>SUM(E55)-SUM(F55)</f>
        <v/>
      </c>
      <c r="I55" s="221">
        <f>IF(A55="Total",VLOOKUP(B55,CORRESPONDANCE[#All],2,FALSE),I56)</f>
        <v/>
      </c>
      <c r="J55" s="350">
        <f>LEFT(A55,1)</f>
        <v/>
      </c>
      <c r="K55" s="347">
        <f>"HTR8"&amp;" - "&amp;A55</f>
        <v/>
      </c>
      <c r="L55" s="347">
        <f>+VLOOKUP(K55,TL[],4,FALSE)</f>
        <v/>
      </c>
    </row>
    <row r="56">
      <c r="A56" s="348" t="inlineStr">
        <is>
          <t>61562000</t>
        </is>
      </c>
      <c r="B56" s="348" t="inlineStr">
        <is>
          <t>Contrat telesurveillance</t>
        </is>
      </c>
      <c r="C56" s="348" t="n">
        <v>44.34</v>
      </c>
      <c r="D56" s="348" t="inlineStr"/>
      <c r="E56" s="348" t="n">
        <v>44.34</v>
      </c>
      <c r="F56" s="348" t="inlineStr"/>
      <c r="G56" s="220">
        <f>SUM(C56)-SUM(D56)</f>
        <v/>
      </c>
      <c r="H56" s="220">
        <f>SUM(E56)-SUM(F56)</f>
        <v/>
      </c>
      <c r="I56" s="221">
        <f>IF(A56="Total",VLOOKUP(B56,CORRESPONDANCE[#All],2,FALSE),I57)</f>
        <v/>
      </c>
      <c r="J56" s="350">
        <f>LEFT(A56,1)</f>
        <v/>
      </c>
      <c r="K56" s="347">
        <f>"HTR8"&amp;" - "&amp;A56</f>
        <v/>
      </c>
      <c r="L56" s="347">
        <f>+VLOOKUP(K56,TL[],4,FALSE)</f>
        <v/>
      </c>
    </row>
    <row r="57">
      <c r="A57" s="348" t="inlineStr">
        <is>
          <t>61562400</t>
        </is>
      </c>
      <c r="B57" s="348" t="inlineStr">
        <is>
          <t>Contrat atral alarme</t>
        </is>
      </c>
      <c r="C57" s="348" t="n">
        <v>39</v>
      </c>
      <c r="D57" s="348" t="inlineStr"/>
      <c r="E57" s="348" t="n">
        <v>39</v>
      </c>
      <c r="F57" s="348" t="inlineStr"/>
      <c r="G57" s="220">
        <f>SUM(C57)-SUM(D57)</f>
        <v/>
      </c>
      <c r="H57" s="220">
        <f>SUM(E57)-SUM(F57)</f>
        <v/>
      </c>
      <c r="I57" s="221">
        <f>IF(A57="Total",VLOOKUP(B57,CORRESPONDANCE[#All],2,FALSE),I58)</f>
        <v/>
      </c>
      <c r="J57" s="350">
        <f>LEFT(A57,1)</f>
        <v/>
      </c>
      <c r="K57" s="347">
        <f>"HTR8"&amp;" - "&amp;A57</f>
        <v/>
      </c>
      <c r="L57" s="347">
        <f>+VLOOKUP(K57,TL[],4,FALSE)</f>
        <v/>
      </c>
    </row>
    <row r="58">
      <c r="A58" s="348" t="inlineStr">
        <is>
          <t>Total</t>
        </is>
      </c>
      <c r="B58" s="348" t="inlineStr">
        <is>
          <t>Table n°2  -  Sécurité et Gardiennage</t>
        </is>
      </c>
      <c r="C58" s="348" t="n">
        <v>83.34</v>
      </c>
      <c r="D58" s="348" t="inlineStr"/>
      <c r="E58" s="348" t="n">
        <v>83.34</v>
      </c>
      <c r="F58" s="348" t="inlineStr"/>
      <c r="G58" s="220">
        <f>SUM(C58)-SUM(D58)</f>
        <v/>
      </c>
      <c r="H58" s="220">
        <f>SUM(E58)-SUM(F58)</f>
        <v/>
      </c>
      <c r="I58" s="221">
        <f>IF(A58="Total",VLOOKUP(B58,CORRESPONDANCE[#All],2,FALSE),I59)</f>
        <v/>
      </c>
      <c r="J58" s="350">
        <f>LEFT(A58,1)</f>
        <v/>
      </c>
      <c r="K58" s="347">
        <f>"HTR8"&amp;" - "&amp;A58</f>
        <v/>
      </c>
      <c r="L58" s="347">
        <f>+VLOOKUP(K58,TL[],4,FALSE)</f>
        <v/>
      </c>
    </row>
    <row r="59">
      <c r="A59" s="348" t="inlineStr">
        <is>
          <t>62780100</t>
        </is>
      </c>
      <c r="B59" s="348" t="inlineStr">
        <is>
          <t>Frais et services bancaires</t>
        </is>
      </c>
      <c r="C59" s="348" t="n">
        <v>175.25</v>
      </c>
      <c r="D59" s="348" t="inlineStr"/>
      <c r="E59" s="348" t="n">
        <v>175.25</v>
      </c>
      <c r="F59" s="348" t="inlineStr"/>
      <c r="G59" s="220">
        <f>SUM(C59)-SUM(D59)</f>
        <v/>
      </c>
      <c r="H59" s="220">
        <f>SUM(E59)-SUM(F59)</f>
        <v/>
      </c>
      <c r="I59" s="221">
        <f>IF(A59="Total",VLOOKUP(B59,CORRESPONDANCE[#All],2,FALSE),I60)</f>
        <v/>
      </c>
      <c r="J59" s="350">
        <f>LEFT(A59,1)</f>
        <v/>
      </c>
      <c r="K59" s="347">
        <f>"HTR8"&amp;" - "&amp;A59</f>
        <v/>
      </c>
      <c r="L59" s="347">
        <f>+VLOOKUP(K59,TL[],4,FALSE)</f>
        <v/>
      </c>
    </row>
    <row r="60">
      <c r="A60" s="348" t="inlineStr">
        <is>
          <t>62780200</t>
        </is>
      </c>
      <c r="B60" s="348" t="inlineStr">
        <is>
          <t>Commissions cartes bleues</t>
        </is>
      </c>
      <c r="C60" s="348" t="n">
        <v>985.79</v>
      </c>
      <c r="D60" s="348" t="inlineStr"/>
      <c r="E60" s="348" t="n">
        <v>985.79</v>
      </c>
      <c r="F60" s="348" t="inlineStr"/>
      <c r="G60" s="220">
        <f>SUM(C60)-SUM(D60)</f>
        <v/>
      </c>
      <c r="H60" s="220">
        <f>SUM(E60)-SUM(F60)</f>
        <v/>
      </c>
      <c r="I60" s="221">
        <f>IF(A60="Total",VLOOKUP(B60,CORRESPONDANCE[#All],2,FALSE),I61)</f>
        <v/>
      </c>
      <c r="J60" s="350">
        <f>LEFT(A60,1)</f>
        <v/>
      </c>
      <c r="K60" s="347">
        <f>"HTR8"&amp;" - "&amp;A60</f>
        <v/>
      </c>
      <c r="L60" s="347">
        <f>+VLOOKUP(K60,TL[],4,FALSE)</f>
        <v/>
      </c>
    </row>
    <row r="61">
      <c r="A61" s="348" t="inlineStr">
        <is>
          <t>62780300</t>
        </is>
      </c>
      <c r="B61" s="348" t="inlineStr">
        <is>
          <t>Commissions tr</t>
        </is>
      </c>
      <c r="C61" s="348" t="n">
        <v>846.99</v>
      </c>
      <c r="D61" s="348" t="inlineStr"/>
      <c r="E61" s="348" t="n">
        <v>846.99</v>
      </c>
      <c r="F61" s="348" t="inlineStr"/>
      <c r="G61" s="220">
        <f>SUM(C61)-SUM(D61)</f>
        <v/>
      </c>
      <c r="H61" s="220">
        <f>SUM(E61)-SUM(F61)</f>
        <v/>
      </c>
      <c r="I61" s="221">
        <f>IF(A61="Total",VLOOKUP(B61,CORRESPONDANCE[#All],2,FALSE),I62)</f>
        <v/>
      </c>
      <c r="J61" s="350">
        <f>LEFT(A61,1)</f>
        <v/>
      </c>
      <c r="K61" s="347">
        <f>"HTR8"&amp;" - "&amp;A61</f>
        <v/>
      </c>
      <c r="L61" s="347">
        <f>+VLOOKUP(K61,TL[],4,FALSE)</f>
        <v/>
      </c>
    </row>
    <row r="62">
      <c r="A62" s="348" t="inlineStr">
        <is>
          <t>62780400</t>
        </is>
      </c>
      <c r="B62" s="348" t="inlineStr">
        <is>
          <t>Commissions cv</t>
        </is>
      </c>
      <c r="C62" s="348" t="n">
        <v>137.13</v>
      </c>
      <c r="D62" s="348" t="inlineStr"/>
      <c r="E62" s="348" t="n">
        <v>137.13</v>
      </c>
      <c r="F62" s="348" t="inlineStr"/>
      <c r="G62" s="220">
        <f>SUM(C62)-SUM(D62)</f>
        <v/>
      </c>
      <c r="H62" s="220">
        <f>SUM(E62)-SUM(F62)</f>
        <v/>
      </c>
      <c r="I62" s="221">
        <f>IF(A62="Total",VLOOKUP(B62,CORRESPONDANCE[#All],2,FALSE),I63)</f>
        <v/>
      </c>
      <c r="J62" s="350">
        <f>LEFT(A62,1)</f>
        <v/>
      </c>
      <c r="K62" s="347">
        <f>"HTR8"&amp;" - "&amp;A62</f>
        <v/>
      </c>
      <c r="L62" s="347">
        <f>+VLOOKUP(K62,TL[],4,FALSE)</f>
        <v/>
      </c>
    </row>
    <row r="63">
      <c r="A63" s="348" t="inlineStr">
        <is>
          <t>Total</t>
        </is>
      </c>
      <c r="B63" s="348" t="inlineStr">
        <is>
          <t>Table n°2  -  Frais bancaires</t>
        </is>
      </c>
      <c r="C63" s="348" t="n">
        <v>2145.16</v>
      </c>
      <c r="D63" s="348" t="inlineStr"/>
      <c r="E63" s="348" t="n">
        <v>2145.16</v>
      </c>
      <c r="F63" s="348" t="inlineStr"/>
      <c r="G63" s="220">
        <f>SUM(C63)-SUM(D63)</f>
        <v/>
      </c>
      <c r="H63" s="220">
        <f>SUM(E63)-SUM(F63)</f>
        <v/>
      </c>
      <c r="I63" s="221">
        <f>IF(A63="Total",VLOOKUP(B63,CORRESPONDANCE[#All],2,FALSE),I64)</f>
        <v/>
      </c>
      <c r="J63" s="350">
        <f>LEFT(A63,1)</f>
        <v/>
      </c>
      <c r="K63" s="347">
        <f>"HTR8"&amp;" - "&amp;A63</f>
        <v/>
      </c>
      <c r="L63" s="347">
        <f>+VLOOKUP(K63,TL[],4,FALSE)</f>
        <v/>
      </c>
    </row>
    <row r="64">
      <c r="A64" s="348" t="inlineStr">
        <is>
          <t>60630000</t>
        </is>
      </c>
      <c r="B64" s="348" t="inlineStr">
        <is>
          <t>Petit outillage</t>
        </is>
      </c>
      <c r="C64" s="348" t="n">
        <v>150.06</v>
      </c>
      <c r="D64" s="348" t="inlineStr"/>
      <c r="E64" s="348" t="n">
        <v>150.06</v>
      </c>
      <c r="F64" s="348" t="inlineStr"/>
      <c r="G64" s="220">
        <f>SUM(C64)-SUM(D64)</f>
        <v/>
      </c>
      <c r="H64" s="220">
        <f>SUM(E64)-SUM(F64)</f>
        <v/>
      </c>
      <c r="I64" s="221">
        <f>IF(A64="Total",VLOOKUP(B64,CORRESPONDANCE[#All],2,FALSE),I65)</f>
        <v/>
      </c>
      <c r="J64" s="350">
        <f>LEFT(A64,1)</f>
        <v/>
      </c>
      <c r="K64" s="347">
        <f>"HTR8"&amp;" - "&amp;A64</f>
        <v/>
      </c>
      <c r="L64" s="347">
        <f>+VLOOKUP(K64,TL[],4,FALSE)</f>
        <v/>
      </c>
    </row>
    <row r="65">
      <c r="A65" s="348" t="inlineStr">
        <is>
          <t>Total</t>
        </is>
      </c>
      <c r="B65" s="348" t="inlineStr">
        <is>
          <t>Table n°2  -  Contrats Maintenance et réparations</t>
        </is>
      </c>
      <c r="C65" s="348" t="n">
        <v>150.06</v>
      </c>
      <c r="D65" s="348" t="inlineStr"/>
      <c r="E65" s="348" t="n">
        <v>150.06</v>
      </c>
      <c r="F65" s="348" t="inlineStr"/>
      <c r="G65" s="220">
        <f>SUM(C65)-SUM(D65)</f>
        <v/>
      </c>
      <c r="H65" s="220">
        <f>SUM(E65)-SUM(F65)</f>
        <v/>
      </c>
      <c r="I65" s="221">
        <f>IF(A65="Total",VLOOKUP(B65,CORRESPONDANCE[#All],2,FALSE),I66)</f>
        <v/>
      </c>
      <c r="J65" s="350">
        <f>LEFT(A65,1)</f>
        <v/>
      </c>
      <c r="K65" s="347">
        <f>"HTR8"&amp;" - "&amp;A65</f>
        <v/>
      </c>
      <c r="L65" s="347">
        <f>+VLOOKUP(K65,TL[],4,FALSE)</f>
        <v/>
      </c>
    </row>
    <row r="66">
      <c r="A66" s="348" t="inlineStr">
        <is>
          <t>61101200</t>
        </is>
      </c>
      <c r="B66" s="348" t="inlineStr">
        <is>
          <t>Contrat d'accès sylae</t>
        </is>
      </c>
      <c r="C66" s="348" t="n">
        <v>170</v>
      </c>
      <c r="D66" s="348" t="inlineStr"/>
      <c r="E66" s="348" t="n">
        <v>170</v>
      </c>
      <c r="F66" s="348" t="inlineStr"/>
      <c r="G66" s="220">
        <f>SUM(C66)-SUM(D66)</f>
        <v/>
      </c>
      <c r="H66" s="220">
        <f>SUM(E66)-SUM(F66)</f>
        <v/>
      </c>
      <c r="I66" s="221">
        <f>IF(A66="Total",VLOOKUP(B66,CORRESPONDANCE[#All],2,FALSE),I67)</f>
        <v/>
      </c>
      <c r="J66" s="350">
        <f>LEFT(A66,1)</f>
        <v/>
      </c>
      <c r="K66" s="347">
        <f>"HTR8"&amp;" - "&amp;A66</f>
        <v/>
      </c>
      <c r="L66" s="347">
        <f>+VLOOKUP(K66,TL[],4,FALSE)</f>
        <v/>
      </c>
    </row>
    <row r="67">
      <c r="A67" s="348" t="inlineStr">
        <is>
          <t>61321000</t>
        </is>
      </c>
      <c r="B67" s="348" t="inlineStr">
        <is>
          <t>Locations interway</t>
        </is>
      </c>
      <c r="C67" s="348" t="n">
        <v>192.8</v>
      </c>
      <c r="D67" s="348" t="inlineStr"/>
      <c r="E67" s="348" t="n">
        <v>192.8</v>
      </c>
      <c r="F67" s="348" t="inlineStr"/>
      <c r="G67" s="220">
        <f>SUM(C67)-SUM(D67)</f>
        <v/>
      </c>
      <c r="H67" s="220">
        <f>SUM(E67)-SUM(F67)</f>
        <v/>
      </c>
      <c r="I67" s="221">
        <f>IF(A67="Total",VLOOKUP(B67,CORRESPONDANCE[#All],2,FALSE),I68)</f>
        <v/>
      </c>
      <c r="J67" s="350">
        <f>LEFT(A67,1)</f>
        <v/>
      </c>
      <c r="K67" s="347">
        <f>"HTR8"&amp;" - "&amp;A67</f>
        <v/>
      </c>
      <c r="L67" s="347">
        <f>+VLOOKUP(K67,TL[],4,FALSE)</f>
        <v/>
      </c>
    </row>
    <row r="68">
      <c r="A68" s="348" t="inlineStr">
        <is>
          <t>61323000</t>
        </is>
      </c>
      <c r="B68" s="348" t="inlineStr">
        <is>
          <t>Location paritel</t>
        </is>
      </c>
      <c r="C68" s="348" t="n">
        <v>107.57</v>
      </c>
      <c r="D68" s="348" t="inlineStr"/>
      <c r="E68" s="348" t="n">
        <v>107.57</v>
      </c>
      <c r="F68" s="348" t="inlineStr"/>
      <c r="G68" s="220">
        <f>SUM(C68)-SUM(D68)</f>
        <v/>
      </c>
      <c r="H68" s="220">
        <f>SUM(E68)-SUM(F68)</f>
        <v/>
      </c>
      <c r="I68" s="221">
        <f>IF(A68="Total",VLOOKUP(B68,CORRESPONDANCE[#All],2,FALSE),I69)</f>
        <v/>
      </c>
      <c r="J68" s="350">
        <f>LEFT(A68,1)</f>
        <v/>
      </c>
      <c r="K68" s="347">
        <f>"HTR8"&amp;" - "&amp;A68</f>
        <v/>
      </c>
      <c r="L68" s="347">
        <f>+VLOOKUP(K68,TL[],4,FALSE)</f>
        <v/>
      </c>
    </row>
    <row r="69">
      <c r="A69" s="348" t="inlineStr">
        <is>
          <t>61324000</t>
        </is>
      </c>
      <c r="B69" s="348" t="inlineStr">
        <is>
          <t>Location defibrillateur</t>
        </is>
      </c>
      <c r="C69" s="348" t="n">
        <v>46</v>
      </c>
      <c r="D69" s="348" t="inlineStr"/>
      <c r="E69" s="348" t="n">
        <v>46</v>
      </c>
      <c r="F69" s="348" t="inlineStr"/>
      <c r="G69" s="220">
        <f>SUM(C69)-SUM(D69)</f>
        <v/>
      </c>
      <c r="H69" s="220">
        <f>SUM(E69)-SUM(F69)</f>
        <v/>
      </c>
      <c r="I69" s="221">
        <f>IF(A69="Total",VLOOKUP(B69,CORRESPONDANCE[#All],2,FALSE),I70)</f>
        <v/>
      </c>
      <c r="J69" s="350">
        <f>LEFT(A69,1)</f>
        <v/>
      </c>
      <c r="K69" s="347">
        <f>"HTR8"&amp;" - "&amp;A69</f>
        <v/>
      </c>
      <c r="L69" s="347">
        <f>+VLOOKUP(K69,TL[],4,FALSE)</f>
        <v/>
      </c>
    </row>
    <row r="70">
      <c r="A70" s="348" t="inlineStr">
        <is>
          <t>61560000</t>
        </is>
      </c>
      <c r="B70" s="348" t="inlineStr">
        <is>
          <t>Maintenance mc do</t>
        </is>
      </c>
      <c r="C70" s="348" t="n">
        <v>485</v>
      </c>
      <c r="D70" s="348" t="inlineStr"/>
      <c r="E70" s="348" t="n">
        <v>485</v>
      </c>
      <c r="F70" s="348" t="inlineStr"/>
      <c r="G70" s="220">
        <f>SUM(C70)-SUM(D70)</f>
        <v/>
      </c>
      <c r="H70" s="220">
        <f>SUM(E70)-SUM(F70)</f>
        <v/>
      </c>
      <c r="I70" s="221">
        <f>IF(A70="Total",VLOOKUP(B70,CORRESPONDANCE[#All],2,FALSE),I71)</f>
        <v/>
      </c>
      <c r="J70" s="350">
        <f>LEFT(A70,1)</f>
        <v/>
      </c>
      <c r="K70" s="347">
        <f>"HTR8"&amp;" - "&amp;A70</f>
        <v/>
      </c>
      <c r="L70" s="347">
        <f>+VLOOKUP(K70,TL[],4,FALSE)</f>
        <v/>
      </c>
    </row>
    <row r="71">
      <c r="A71" s="348" t="inlineStr">
        <is>
          <t>61561000</t>
        </is>
      </c>
      <c r="B71" s="348" t="inlineStr">
        <is>
          <t>Contrat iron mountain</t>
        </is>
      </c>
      <c r="C71" s="348" t="n">
        <v>27.5</v>
      </c>
      <c r="D71" s="348" t="inlineStr"/>
      <c r="E71" s="348" t="n">
        <v>27.5</v>
      </c>
      <c r="F71" s="348" t="inlineStr"/>
      <c r="G71" s="220">
        <f>SUM(C71)-SUM(D71)</f>
        <v/>
      </c>
      <c r="H71" s="220">
        <f>SUM(E71)-SUM(F71)</f>
        <v/>
      </c>
      <c r="I71" s="221">
        <f>IF(A71="Total",VLOOKUP(B71,CORRESPONDANCE[#All],2,FALSE),I72)</f>
        <v/>
      </c>
      <c r="J71" s="350">
        <f>LEFT(A71,1)</f>
        <v/>
      </c>
      <c r="K71" s="347">
        <f>"HTR8"&amp;" - "&amp;A71</f>
        <v/>
      </c>
      <c r="L71" s="347">
        <f>+VLOOKUP(K71,TL[],4,FALSE)</f>
        <v/>
      </c>
    </row>
    <row r="72">
      <c r="A72" s="348" t="inlineStr">
        <is>
          <t>61561100</t>
        </is>
      </c>
      <c r="B72" s="348" t="inlineStr">
        <is>
          <t>Contrat ramassage espèces</t>
        </is>
      </c>
      <c r="C72" s="348" t="n">
        <v>349</v>
      </c>
      <c r="D72" s="348" t="inlineStr"/>
      <c r="E72" s="348" t="n">
        <v>349</v>
      </c>
      <c r="F72" s="348" t="inlineStr"/>
      <c r="G72" s="220">
        <f>SUM(C72)-SUM(D72)</f>
        <v/>
      </c>
      <c r="H72" s="220">
        <f>SUM(E72)-SUM(F72)</f>
        <v/>
      </c>
      <c r="I72" s="221">
        <f>IF(A72="Total",VLOOKUP(B72,CORRESPONDANCE[#All],2,FALSE),I73)</f>
        <v/>
      </c>
      <c r="J72" s="350">
        <f>LEFT(A72,1)</f>
        <v/>
      </c>
      <c r="K72" s="347">
        <f>"HTR8"&amp;" - "&amp;A72</f>
        <v/>
      </c>
      <c r="L72" s="347">
        <f>+VLOOKUP(K72,TL[],4,FALSE)</f>
        <v/>
      </c>
    </row>
    <row r="73">
      <c r="A73" s="348" t="inlineStr">
        <is>
          <t>61561200</t>
        </is>
      </c>
      <c r="B73" s="348" t="inlineStr">
        <is>
          <t>Contrat ramassage huiles usagées</t>
        </is>
      </c>
      <c r="C73" s="348" t="n">
        <v>119</v>
      </c>
      <c r="D73" s="348" t="inlineStr"/>
      <c r="E73" s="348" t="n">
        <v>119</v>
      </c>
      <c r="F73" s="348" t="inlineStr"/>
      <c r="G73" s="220">
        <f>SUM(C73)-SUM(D73)</f>
        <v/>
      </c>
      <c r="H73" s="220">
        <f>SUM(E73)-SUM(F73)</f>
        <v/>
      </c>
      <c r="I73" s="221">
        <f>IF(A73="Total",VLOOKUP(B73,CORRESPONDANCE[#All],2,FALSE),I74)</f>
        <v/>
      </c>
      <c r="J73" s="350">
        <f>LEFT(A73,1)</f>
        <v/>
      </c>
      <c r="K73" s="347">
        <f>"HTR8"&amp;" - "&amp;A73</f>
        <v/>
      </c>
      <c r="L73" s="347">
        <f>+VLOOKUP(K73,TL[],4,FALSE)</f>
        <v/>
      </c>
    </row>
    <row r="74">
      <c r="A74" s="348" t="inlineStr">
        <is>
          <t>61561300</t>
        </is>
      </c>
      <c r="B74" s="348" t="inlineStr">
        <is>
          <t>Contrat reflex services</t>
        </is>
      </c>
      <c r="C74" s="348" t="n">
        <v>349</v>
      </c>
      <c r="D74" s="348" t="inlineStr"/>
      <c r="E74" s="348" t="n">
        <v>349</v>
      </c>
      <c r="F74" s="348" t="inlineStr"/>
      <c r="G74" s="220">
        <f>SUM(C74)-SUM(D74)</f>
        <v/>
      </c>
      <c r="H74" s="220">
        <f>SUM(E74)-SUM(F74)</f>
        <v/>
      </c>
      <c r="I74" s="221">
        <f>IF(A74="Total",VLOOKUP(B74,CORRESPONDANCE[#All],2,FALSE),I75)</f>
        <v/>
      </c>
      <c r="J74" s="350">
        <f>LEFT(A74,1)</f>
        <v/>
      </c>
      <c r="K74" s="347">
        <f>"HTR8"&amp;" - "&amp;A74</f>
        <v/>
      </c>
      <c r="L74" s="347">
        <f>+VLOOKUP(K74,TL[],4,FALSE)</f>
        <v/>
      </c>
    </row>
    <row r="75">
      <c r="A75" s="348" t="inlineStr">
        <is>
          <t>61561600</t>
        </is>
      </c>
      <c r="B75" s="348" t="inlineStr">
        <is>
          <t>Contrat acrelec</t>
        </is>
      </c>
      <c r="C75" s="348" t="n">
        <v>350</v>
      </c>
      <c r="D75" s="348" t="inlineStr"/>
      <c r="E75" s="348" t="n">
        <v>350</v>
      </c>
      <c r="F75" s="348" t="inlineStr"/>
      <c r="G75" s="220">
        <f>SUM(C75)-SUM(D75)</f>
        <v/>
      </c>
      <c r="H75" s="220">
        <f>SUM(E75)-SUM(F75)</f>
        <v/>
      </c>
      <c r="I75" s="221">
        <f>IF(A75="Total",VLOOKUP(B75,CORRESPONDANCE[#All],2,FALSE),I76)</f>
        <v/>
      </c>
      <c r="J75" s="350">
        <f>LEFT(A75,1)</f>
        <v/>
      </c>
      <c r="K75" s="347">
        <f>"HTR8"&amp;" - "&amp;A75</f>
        <v/>
      </c>
      <c r="L75" s="347">
        <f>+VLOOKUP(K75,TL[],4,FALSE)</f>
        <v/>
      </c>
    </row>
    <row r="76">
      <c r="A76" s="348" t="inlineStr">
        <is>
          <t>61561800</t>
        </is>
      </c>
      <c r="B76" s="348" t="inlineStr">
        <is>
          <t>Contrat wifi</t>
        </is>
      </c>
      <c r="C76" s="348" t="n">
        <v>67.2</v>
      </c>
      <c r="D76" s="348" t="inlineStr"/>
      <c r="E76" s="348" t="n">
        <v>67.2</v>
      </c>
      <c r="F76" s="348" t="inlineStr"/>
      <c r="G76" s="220">
        <f>SUM(C76)-SUM(D76)</f>
        <v/>
      </c>
      <c r="H76" s="220">
        <f>SUM(E76)-SUM(F76)</f>
        <v/>
      </c>
      <c r="I76" s="221">
        <f>IF(A76="Total",VLOOKUP(B76,CORRESPONDANCE[#All],2,FALSE),I77)</f>
        <v/>
      </c>
      <c r="J76" s="350">
        <f>LEFT(A76,1)</f>
        <v/>
      </c>
      <c r="K76" s="347">
        <f>"HTR8"&amp;" - "&amp;A76</f>
        <v/>
      </c>
      <c r="L76" s="347">
        <f>+VLOOKUP(K76,TL[],4,FALSE)</f>
        <v/>
      </c>
    </row>
    <row r="77">
      <c r="A77" s="348" t="inlineStr">
        <is>
          <t>61562100</t>
        </is>
      </c>
      <c r="B77" s="348" t="inlineStr">
        <is>
          <t>Contrat ramassage dechet</t>
        </is>
      </c>
      <c r="C77" s="348" t="n">
        <v>1210</v>
      </c>
      <c r="D77" s="348" t="inlineStr"/>
      <c r="E77" s="348" t="n">
        <v>1210</v>
      </c>
      <c r="F77" s="348" t="inlineStr"/>
      <c r="G77" s="220">
        <f>SUM(C77)-SUM(D77)</f>
        <v/>
      </c>
      <c r="H77" s="220">
        <f>SUM(E77)-SUM(F77)</f>
        <v/>
      </c>
      <c r="I77" s="221">
        <f>IF(A77="Total",VLOOKUP(B77,CORRESPONDANCE[#All],2,FALSE),I78)</f>
        <v/>
      </c>
      <c r="J77" s="350">
        <f>LEFT(A77,1)</f>
        <v/>
      </c>
      <c r="K77" s="347">
        <f>"HTR8"&amp;" - "&amp;A77</f>
        <v/>
      </c>
      <c r="L77" s="347">
        <f>+VLOOKUP(K77,TL[],4,FALSE)</f>
        <v/>
      </c>
    </row>
    <row r="78">
      <c r="A78" s="348" t="inlineStr">
        <is>
          <t>61562200</t>
        </is>
      </c>
      <c r="B78" s="348" t="inlineStr">
        <is>
          <t>Contrat silliker</t>
        </is>
      </c>
      <c r="C78" s="348" t="n">
        <v>99</v>
      </c>
      <c r="D78" s="348" t="inlineStr"/>
      <c r="E78" s="348" t="n">
        <v>99</v>
      </c>
      <c r="F78" s="348" t="inlineStr"/>
      <c r="G78" s="220">
        <f>SUM(C78)-SUM(D78)</f>
        <v/>
      </c>
      <c r="H78" s="220">
        <f>SUM(E78)-SUM(F78)</f>
        <v/>
      </c>
      <c r="I78" s="221">
        <f>IF(A78="Total",VLOOKUP(B78,CORRESPONDANCE[#All],2,FALSE),I79)</f>
        <v/>
      </c>
      <c r="J78" s="350">
        <f>LEFT(A78,1)</f>
        <v/>
      </c>
      <c r="K78" s="347">
        <f>"HTR8"&amp;" - "&amp;A78</f>
        <v/>
      </c>
      <c r="L78" s="347">
        <f>+VLOOKUP(K78,TL[],4,FALSE)</f>
        <v/>
      </c>
    </row>
    <row r="79">
      <c r="A79" s="348" t="inlineStr">
        <is>
          <t>61562300</t>
        </is>
      </c>
      <c r="B79" s="348" t="inlineStr">
        <is>
          <t>Contrat maint.caisses</t>
        </is>
      </c>
      <c r="C79" s="348" t="n">
        <v>668.42</v>
      </c>
      <c r="D79" s="348" t="inlineStr"/>
      <c r="E79" s="348" t="n">
        <v>668.42</v>
      </c>
      <c r="F79" s="348" t="inlineStr"/>
      <c r="G79" s="220">
        <f>SUM(C79)-SUM(D79)</f>
        <v/>
      </c>
      <c r="H79" s="220">
        <f>SUM(E79)-SUM(F79)</f>
        <v/>
      </c>
      <c r="I79" s="221">
        <f>IF(A79="Total",VLOOKUP(B79,CORRESPONDANCE[#All],2,FALSE),I80)</f>
        <v/>
      </c>
      <c r="J79" s="350">
        <f>LEFT(A79,1)</f>
        <v/>
      </c>
      <c r="K79" s="347">
        <f>"HTR8"&amp;" - "&amp;A79</f>
        <v/>
      </c>
      <c r="L79" s="347">
        <f>+VLOOKUP(K79,TL[],4,FALSE)</f>
        <v/>
      </c>
    </row>
    <row r="80">
      <c r="A80" s="348" t="inlineStr">
        <is>
          <t>61562500</t>
        </is>
      </c>
      <c r="B80" s="348" t="inlineStr">
        <is>
          <t>Contrat guldagil (adoucisseur)</t>
        </is>
      </c>
      <c r="C80" s="348" t="n">
        <v>63.12</v>
      </c>
      <c r="D80" s="348" t="inlineStr"/>
      <c r="E80" s="348" t="n">
        <v>63.12</v>
      </c>
      <c r="F80" s="348" t="inlineStr"/>
      <c r="G80" s="220">
        <f>SUM(C80)-SUM(D80)</f>
        <v/>
      </c>
      <c r="H80" s="220">
        <f>SUM(E80)-SUM(F80)</f>
        <v/>
      </c>
      <c r="I80" s="221">
        <f>IF(A80="Total",VLOOKUP(B80,CORRESPONDANCE[#All],2,FALSE),I81)</f>
        <v/>
      </c>
      <c r="J80" s="350">
        <f>LEFT(A80,1)</f>
        <v/>
      </c>
      <c r="K80" s="347">
        <f>"HTR8"&amp;" - "&amp;A80</f>
        <v/>
      </c>
      <c r="L80" s="347">
        <f>+VLOOKUP(K80,TL[],4,FALSE)</f>
        <v/>
      </c>
    </row>
    <row r="81">
      <c r="A81" s="348" t="inlineStr">
        <is>
          <t>61562800</t>
        </is>
      </c>
      <c r="B81" s="348" t="inlineStr">
        <is>
          <t>Contrat dératisation</t>
        </is>
      </c>
      <c r="C81" s="348" t="n">
        <v>61.5</v>
      </c>
      <c r="D81" s="348" t="inlineStr"/>
      <c r="E81" s="348" t="n">
        <v>61.5</v>
      </c>
      <c r="F81" s="348" t="inlineStr"/>
      <c r="G81" s="220">
        <f>SUM(C81)-SUM(D81)</f>
        <v/>
      </c>
      <c r="H81" s="220">
        <f>SUM(E81)-SUM(F81)</f>
        <v/>
      </c>
      <c r="I81" s="221">
        <f>IF(A81="Total",VLOOKUP(B81,CORRESPONDANCE[#All],2,FALSE),I82)</f>
        <v/>
      </c>
      <c r="J81" s="350">
        <f>LEFT(A81,1)</f>
        <v/>
      </c>
      <c r="K81" s="347">
        <f>"HTR8"&amp;" - "&amp;A81</f>
        <v/>
      </c>
      <c r="L81" s="347">
        <f>+VLOOKUP(K81,TL[],4,FALSE)</f>
        <v/>
      </c>
    </row>
    <row r="82">
      <c r="A82" s="348" t="inlineStr">
        <is>
          <t>61563000</t>
        </is>
      </c>
      <c r="B82" s="348" t="inlineStr">
        <is>
          <t>Contrat maintenace coca</t>
        </is>
      </c>
      <c r="C82" s="348" t="n">
        <v>120</v>
      </c>
      <c r="D82" s="348" t="inlineStr"/>
      <c r="E82" s="348" t="n">
        <v>120</v>
      </c>
      <c r="F82" s="348" t="inlineStr"/>
      <c r="G82" s="220">
        <f>SUM(C82)-SUM(D82)</f>
        <v/>
      </c>
      <c r="H82" s="220">
        <f>SUM(E82)-SUM(F82)</f>
        <v/>
      </c>
      <c r="I82" s="221">
        <f>IF(A82="Total",VLOOKUP(B82,CORRESPONDANCE[#All],2,FALSE),I83)</f>
        <v/>
      </c>
      <c r="J82" s="350">
        <f>LEFT(A82,1)</f>
        <v/>
      </c>
      <c r="K82" s="347">
        <f>"HTR8"&amp;" - "&amp;A82</f>
        <v/>
      </c>
      <c r="L82" s="347">
        <f>+VLOOKUP(K82,TL[],4,FALSE)</f>
        <v/>
      </c>
    </row>
    <row r="83">
      <c r="A83" s="348" t="inlineStr">
        <is>
          <t>61563200</t>
        </is>
      </c>
      <c r="B83" s="348" t="inlineStr">
        <is>
          <t>Contrat abo recru net</t>
        </is>
      </c>
      <c r="C83" s="348" t="n">
        <v>20</v>
      </c>
      <c r="D83" s="348" t="inlineStr"/>
      <c r="E83" s="348" t="n">
        <v>20</v>
      </c>
      <c r="F83" s="348" t="inlineStr"/>
      <c r="G83" s="220">
        <f>SUM(C83)-SUM(D83)</f>
        <v/>
      </c>
      <c r="H83" s="220">
        <f>SUM(E83)-SUM(F83)</f>
        <v/>
      </c>
      <c r="I83" s="221">
        <f>IF(A83="Total",VLOOKUP(B83,CORRESPONDANCE[#All],2,FALSE),I84)</f>
        <v/>
      </c>
      <c r="J83" s="350">
        <f>LEFT(A83,1)</f>
        <v/>
      </c>
      <c r="K83" s="347">
        <f>"HTR8"&amp;" - "&amp;A83</f>
        <v/>
      </c>
      <c r="L83" s="347">
        <f>+VLOOKUP(K83,TL[],4,FALSE)</f>
        <v/>
      </c>
    </row>
    <row r="84">
      <c r="A84" s="348" t="inlineStr">
        <is>
          <t>61563500</t>
        </is>
      </c>
      <c r="B84" s="348" t="inlineStr">
        <is>
          <t>Contrat majie</t>
        </is>
      </c>
      <c r="C84" s="348" t="n">
        <v>137.33</v>
      </c>
      <c r="D84" s="348" t="inlineStr"/>
      <c r="E84" s="348" t="n">
        <v>137.33</v>
      </c>
      <c r="F84" s="348" t="inlineStr"/>
      <c r="G84" s="220">
        <f>SUM(C84)-SUM(D84)</f>
        <v/>
      </c>
      <c r="H84" s="220">
        <f>SUM(E84)-SUM(F84)</f>
        <v/>
      </c>
      <c r="I84" s="221">
        <f>IF(A84="Total",VLOOKUP(B84,CORRESPONDANCE[#All],2,FALSE),I85)</f>
        <v/>
      </c>
      <c r="J84" s="350">
        <f>LEFT(A84,1)</f>
        <v/>
      </c>
      <c r="K84" s="347">
        <f>"HTR8"&amp;" - "&amp;A84</f>
        <v/>
      </c>
      <c r="L84" s="347">
        <f>+VLOOKUP(K84,TL[],4,FALSE)</f>
        <v/>
      </c>
    </row>
    <row r="85">
      <c r="A85" s="348" t="inlineStr">
        <is>
          <t>61563600</t>
        </is>
      </c>
      <c r="B85" s="348" t="inlineStr">
        <is>
          <t>Contrat arrosea - entretien jardin</t>
        </is>
      </c>
      <c r="C85" s="348" t="n">
        <v>479</v>
      </c>
      <c r="D85" s="348" t="inlineStr"/>
      <c r="E85" s="348" t="n">
        <v>479</v>
      </c>
      <c r="F85" s="348" t="inlineStr"/>
      <c r="G85" s="220">
        <f>SUM(C85)-SUM(D85)</f>
        <v/>
      </c>
      <c r="H85" s="220">
        <f>SUM(E85)-SUM(F85)</f>
        <v/>
      </c>
      <c r="I85" s="221">
        <f>IF(A85="Total",VLOOKUP(B85,CORRESPONDANCE[#All],2,FALSE),I86)</f>
        <v/>
      </c>
      <c r="J85" s="350">
        <f>LEFT(A85,1)</f>
        <v/>
      </c>
      <c r="K85" s="347">
        <f>"HTR8"&amp;" - "&amp;A85</f>
        <v/>
      </c>
      <c r="L85" s="347">
        <f>+VLOOKUP(K85,TL[],4,FALSE)</f>
        <v/>
      </c>
    </row>
    <row r="86">
      <c r="A86" s="348" t="inlineStr">
        <is>
          <t>61563700</t>
        </is>
      </c>
      <c r="B86" s="348" t="inlineStr">
        <is>
          <t>Contrat iss - entretien installat°</t>
        </is>
      </c>
      <c r="C86" s="348" t="n">
        <v>240</v>
      </c>
      <c r="D86" s="348" t="inlineStr"/>
      <c r="E86" s="348" t="n">
        <v>240</v>
      </c>
      <c r="F86" s="348" t="inlineStr"/>
      <c r="G86" s="220">
        <f>SUM(C86)-SUM(D86)</f>
        <v/>
      </c>
      <c r="H86" s="220">
        <f>SUM(E86)-SUM(F86)</f>
        <v/>
      </c>
      <c r="I86" s="221">
        <f>IF(A86="Total",VLOOKUP(B86,CORRESPONDANCE[#All],2,FALSE),I87)</f>
        <v/>
      </c>
      <c r="J86" s="350">
        <f>LEFT(A86,1)</f>
        <v/>
      </c>
      <c r="K86" s="347">
        <f>"HTR8"&amp;" - "&amp;A86</f>
        <v/>
      </c>
      <c r="L86" s="347">
        <f>+VLOOKUP(K86,TL[],4,FALSE)</f>
        <v/>
      </c>
    </row>
    <row r="87">
      <c r="A87" s="348" t="inlineStr">
        <is>
          <t>61563800</t>
        </is>
      </c>
      <c r="B87" s="348" t="inlineStr">
        <is>
          <t>Abonnement bornes recharge</t>
        </is>
      </c>
      <c r="C87" s="348" t="n">
        <v>25</v>
      </c>
      <c r="D87" s="348" t="inlineStr"/>
      <c r="E87" s="348" t="n">
        <v>25</v>
      </c>
      <c r="F87" s="348" t="inlineStr"/>
      <c r="G87" s="220">
        <f>SUM(C87)-SUM(D87)</f>
        <v/>
      </c>
      <c r="H87" s="220">
        <f>SUM(E87)-SUM(F87)</f>
        <v/>
      </c>
      <c r="I87" s="221">
        <f>IF(A87="Total",VLOOKUP(B87,CORRESPONDANCE[#All],2,FALSE),I88)</f>
        <v/>
      </c>
      <c r="J87" s="350">
        <f>LEFT(A87,1)</f>
        <v/>
      </c>
      <c r="K87" s="347">
        <f>"HTR8"&amp;" - "&amp;A87</f>
        <v/>
      </c>
      <c r="L87" s="347">
        <f>+VLOOKUP(K87,TL[],4,FALSE)</f>
        <v/>
      </c>
    </row>
    <row r="88">
      <c r="A88" s="348" t="inlineStr">
        <is>
          <t>61563900</t>
        </is>
      </c>
      <c r="B88" s="348" t="inlineStr">
        <is>
          <t>Contrat primobox</t>
        </is>
      </c>
      <c r="C88" s="348" t="n">
        <v>30</v>
      </c>
      <c r="D88" s="348" t="inlineStr"/>
      <c r="E88" s="348" t="n">
        <v>30</v>
      </c>
      <c r="F88" s="348" t="inlineStr"/>
      <c r="G88" s="220">
        <f>SUM(C88)-SUM(D88)</f>
        <v/>
      </c>
      <c r="H88" s="220">
        <f>SUM(E88)-SUM(F88)</f>
        <v/>
      </c>
      <c r="I88" s="221">
        <f>IF(A88="Total",VLOOKUP(B88,CORRESPONDANCE[#All],2,FALSE),I89)</f>
        <v/>
      </c>
      <c r="J88" s="350">
        <f>LEFT(A88,1)</f>
        <v/>
      </c>
      <c r="K88" s="347">
        <f>"HTR8"&amp;" - "&amp;A88</f>
        <v/>
      </c>
      <c r="L88" s="347">
        <f>+VLOOKUP(K88,TL[],4,FALSE)</f>
        <v/>
      </c>
    </row>
    <row r="89">
      <c r="A89" s="348" t="inlineStr">
        <is>
          <t>61564100</t>
        </is>
      </c>
      <c r="B89" s="348" t="inlineStr">
        <is>
          <t>Contrat jri</t>
        </is>
      </c>
      <c r="C89" s="348" t="n">
        <v>120</v>
      </c>
      <c r="D89" s="348" t="inlineStr"/>
      <c r="E89" s="348" t="n">
        <v>120</v>
      </c>
      <c r="F89" s="348" t="inlineStr"/>
      <c r="G89" s="220">
        <f>SUM(C89)-SUM(D89)</f>
        <v/>
      </c>
      <c r="H89" s="220">
        <f>SUM(E89)-SUM(F89)</f>
        <v/>
      </c>
      <c r="I89" s="221">
        <f>IF(A89="Total",VLOOKUP(B89,CORRESPONDANCE[#All],2,FALSE),I90)</f>
        <v/>
      </c>
      <c r="J89" s="350">
        <f>LEFT(A89,1)</f>
        <v/>
      </c>
      <c r="K89" s="347">
        <f>"HTR8"&amp;" - "&amp;A89</f>
        <v/>
      </c>
      <c r="L89" s="347">
        <f>+VLOOKUP(K89,TL[],4,FALSE)</f>
        <v/>
      </c>
    </row>
    <row r="90">
      <c r="A90" s="348" t="inlineStr">
        <is>
          <t>61564300</t>
        </is>
      </c>
      <c r="B90" s="348" t="inlineStr">
        <is>
          <t>Contrat socotec</t>
        </is>
      </c>
      <c r="C90" s="348" t="n">
        <v>119</v>
      </c>
      <c r="D90" s="348" t="inlineStr"/>
      <c r="E90" s="348" t="n">
        <v>119</v>
      </c>
      <c r="F90" s="348" t="inlineStr"/>
      <c r="G90" s="220">
        <f>SUM(C90)-SUM(D90)</f>
        <v/>
      </c>
      <c r="H90" s="220">
        <f>SUM(E90)-SUM(F90)</f>
        <v/>
      </c>
      <c r="I90" s="221">
        <f>IF(A90="Total",VLOOKUP(B90,CORRESPONDANCE[#All],2,FALSE),I91)</f>
        <v/>
      </c>
      <c r="J90" s="350">
        <f>LEFT(A90,1)</f>
        <v/>
      </c>
      <c r="K90" s="347">
        <f>"HTR8"&amp;" - "&amp;A90</f>
        <v/>
      </c>
      <c r="L90" s="347">
        <f>+VLOOKUP(K90,TL[],4,FALSE)</f>
        <v/>
      </c>
    </row>
    <row r="91">
      <c r="A91" s="348" t="inlineStr">
        <is>
          <t>61564600</t>
        </is>
      </c>
      <c r="B91" s="348" t="inlineStr">
        <is>
          <t>Contrat mood</t>
        </is>
      </c>
      <c r="C91" s="348" t="n">
        <v>19</v>
      </c>
      <c r="D91" s="348" t="inlineStr"/>
      <c r="E91" s="348" t="n">
        <v>19</v>
      </c>
      <c r="F91" s="348" t="inlineStr"/>
      <c r="G91" s="220">
        <f>SUM(C91)-SUM(D91)</f>
        <v/>
      </c>
      <c r="H91" s="220">
        <f>SUM(E91)-SUM(F91)</f>
        <v/>
      </c>
      <c r="I91" s="221">
        <f>IF(A91="Total",VLOOKUP(B91,CORRESPONDANCE[#All],2,FALSE),I92)</f>
        <v/>
      </c>
      <c r="J91" s="350">
        <f>LEFT(A91,1)</f>
        <v/>
      </c>
      <c r="K91" s="347">
        <f>"HTR8"&amp;" - "&amp;A91</f>
        <v/>
      </c>
      <c r="L91" s="347">
        <f>+VLOOKUP(K91,TL[],4,FALSE)</f>
        <v/>
      </c>
    </row>
    <row r="92">
      <c r="A92" s="348" t="inlineStr">
        <is>
          <t>61564700</t>
        </is>
      </c>
      <c r="B92" s="348" t="inlineStr">
        <is>
          <t>Contrat steeple</t>
        </is>
      </c>
      <c r="C92" s="348" t="n">
        <v>73.16</v>
      </c>
      <c r="D92" s="348" t="inlineStr"/>
      <c r="E92" s="348" t="n">
        <v>73.16</v>
      </c>
      <c r="F92" s="348" t="inlineStr"/>
      <c r="G92" s="220">
        <f>SUM(C92)-SUM(D92)</f>
        <v/>
      </c>
      <c r="H92" s="220">
        <f>SUM(E92)-SUM(F92)</f>
        <v/>
      </c>
      <c r="I92" s="221">
        <f>IF(A92="Total",VLOOKUP(B92,CORRESPONDANCE[#All],2,FALSE),I93)</f>
        <v/>
      </c>
      <c r="J92" s="350">
        <f>LEFT(A92,1)</f>
        <v/>
      </c>
      <c r="K92" s="347">
        <f>"HTR8"&amp;" - "&amp;A92</f>
        <v/>
      </c>
      <c r="L92" s="347">
        <f>+VLOOKUP(K92,TL[],4,FALSE)</f>
        <v/>
      </c>
    </row>
    <row r="93">
      <c r="A93" s="348" t="inlineStr">
        <is>
          <t>61564800</t>
        </is>
      </c>
      <c r="B93" s="348" t="inlineStr">
        <is>
          <t>Contrat perf mgr</t>
        </is>
      </c>
      <c r="C93" s="348" t="n">
        <v>168</v>
      </c>
      <c r="D93" s="348" t="inlineStr"/>
      <c r="E93" s="348" t="n">
        <v>168</v>
      </c>
      <c r="F93" s="348" t="inlineStr"/>
      <c r="G93" s="220">
        <f>SUM(C93)-SUM(D93)</f>
        <v/>
      </c>
      <c r="H93" s="220">
        <f>SUM(E93)-SUM(F93)</f>
        <v/>
      </c>
      <c r="I93" s="221">
        <f>IF(A93="Total",VLOOKUP(B93,CORRESPONDANCE[#All],2,FALSE),I94)</f>
        <v/>
      </c>
      <c r="J93" s="350">
        <f>LEFT(A93,1)</f>
        <v/>
      </c>
      <c r="K93" s="347">
        <f>"HTR8"&amp;" - "&amp;A93</f>
        <v/>
      </c>
      <c r="L93" s="347">
        <f>+VLOOKUP(K93,TL[],4,FALSE)</f>
        <v/>
      </c>
    </row>
    <row r="94">
      <c r="A94" s="348" t="inlineStr">
        <is>
          <t>61564900</t>
        </is>
      </c>
      <c r="B94" s="348" t="inlineStr">
        <is>
          <t>Contrat incendie</t>
        </is>
      </c>
      <c r="C94" s="348" t="n">
        <v>46.67</v>
      </c>
      <c r="D94" s="348" t="inlineStr"/>
      <c r="E94" s="348" t="n">
        <v>46.67</v>
      </c>
      <c r="F94" s="348" t="inlineStr"/>
      <c r="G94" s="220">
        <f>SUM(C94)-SUM(D94)</f>
        <v/>
      </c>
      <c r="H94" s="220">
        <f>SUM(E94)-SUM(F94)</f>
        <v/>
      </c>
      <c r="I94" s="221">
        <f>IF(A94="Total",VLOOKUP(B94,CORRESPONDANCE[#All],2,FALSE),I95)</f>
        <v/>
      </c>
      <c r="J94" s="350">
        <f>LEFT(A94,1)</f>
        <v/>
      </c>
      <c r="K94" s="347">
        <f>"HTR8"&amp;" - "&amp;A94</f>
        <v/>
      </c>
      <c r="L94" s="347">
        <f>+VLOOKUP(K94,TL[],4,FALSE)</f>
        <v/>
      </c>
    </row>
    <row r="95">
      <c r="A95" s="348" t="inlineStr">
        <is>
          <t>61565100</t>
        </is>
      </c>
      <c r="B95" s="348" t="inlineStr">
        <is>
          <t>Contrat coates</t>
        </is>
      </c>
      <c r="C95" s="348" t="n">
        <v>76.7</v>
      </c>
      <c r="D95" s="348" t="inlineStr"/>
      <c r="E95" s="348" t="n">
        <v>76.7</v>
      </c>
      <c r="F95" s="348" t="inlineStr"/>
      <c r="G95" s="220">
        <f>SUM(C95)-SUM(D95)</f>
        <v/>
      </c>
      <c r="H95" s="220">
        <f>SUM(E95)-SUM(F95)</f>
        <v/>
      </c>
      <c r="I95" s="221">
        <f>IF(A95="Total",VLOOKUP(B95,CORRESPONDANCE[#All],2,FALSE),I96)</f>
        <v/>
      </c>
      <c r="J95" s="350">
        <f>LEFT(A95,1)</f>
        <v/>
      </c>
      <c r="K95" s="347">
        <f>"HTR8"&amp;" - "&amp;A95</f>
        <v/>
      </c>
      <c r="L95" s="347">
        <f>+VLOOKUP(K95,TL[],4,FALSE)</f>
        <v/>
      </c>
    </row>
    <row r="96">
      <c r="A96" s="348" t="inlineStr">
        <is>
          <t>61565200</t>
        </is>
      </c>
      <c r="B96" s="348" t="inlineStr">
        <is>
          <t>Entretien Interway</t>
        </is>
      </c>
      <c r="C96" s="348" t="n">
        <v>162.67</v>
      </c>
      <c r="D96" s="348" t="inlineStr"/>
      <c r="E96" s="348" t="n">
        <v>162.67</v>
      </c>
      <c r="F96" s="348" t="inlineStr"/>
      <c r="G96" s="220">
        <f>SUM(C96)-SUM(D96)</f>
        <v/>
      </c>
      <c r="H96" s="220">
        <f>SUM(E96)-SUM(F96)</f>
        <v/>
      </c>
      <c r="I96" s="221">
        <f>IF(A96="Total",VLOOKUP(B96,CORRESPONDANCE[#All],2,FALSE),I97)</f>
        <v/>
      </c>
      <c r="J96" s="350">
        <f>LEFT(A96,1)</f>
        <v/>
      </c>
      <c r="K96" s="347">
        <f>"HTR8"&amp;" - "&amp;A96</f>
        <v/>
      </c>
      <c r="L96" s="347">
        <f>+VLOOKUP(K96,TL[],4,FALSE)</f>
        <v/>
      </c>
    </row>
    <row r="97">
      <c r="A97" s="348" t="inlineStr">
        <is>
          <t>62630000</t>
        </is>
      </c>
      <c r="B97" s="348" t="inlineStr">
        <is>
          <t>Connexion TPE</t>
        </is>
      </c>
      <c r="C97" s="348" t="n">
        <v>15.66</v>
      </c>
      <c r="D97" s="348" t="inlineStr"/>
      <c r="E97" s="348" t="n">
        <v>15.66</v>
      </c>
      <c r="F97" s="348" t="inlineStr"/>
      <c r="G97" s="220">
        <f>SUM(C97)-SUM(D97)</f>
        <v/>
      </c>
      <c r="H97" s="220">
        <f>SUM(E97)-SUM(F97)</f>
        <v/>
      </c>
      <c r="I97" s="221">
        <f>IF(A97="Total",VLOOKUP(B97,CORRESPONDANCE[#All],2,FALSE),I98)</f>
        <v/>
      </c>
      <c r="J97" s="350">
        <f>LEFT(A97,1)</f>
        <v/>
      </c>
      <c r="K97" s="347">
        <f>"HTR8"&amp;" - "&amp;A97</f>
        <v/>
      </c>
      <c r="L97" s="347">
        <f>+VLOOKUP(K97,TL[],4,FALSE)</f>
        <v/>
      </c>
    </row>
    <row r="98">
      <c r="A98" s="348" t="inlineStr">
        <is>
          <t>64750000</t>
        </is>
      </c>
      <c r="B98" s="348" t="inlineStr">
        <is>
          <t>Médecine du travail et pharmacie</t>
        </is>
      </c>
      <c r="C98" s="348" t="n">
        <v>275</v>
      </c>
      <c r="D98" s="348" t="inlineStr"/>
      <c r="E98" s="348" t="n">
        <v>275</v>
      </c>
      <c r="F98" s="348" t="inlineStr"/>
      <c r="G98" s="220">
        <f>SUM(C98)-SUM(D98)</f>
        <v/>
      </c>
      <c r="H98" s="220">
        <f>SUM(E98)-SUM(F98)</f>
        <v/>
      </c>
      <c r="I98" s="221">
        <f>IF(A98="Total",VLOOKUP(B98,CORRESPONDANCE[#All],2,FALSE),I99)</f>
        <v/>
      </c>
      <c r="J98" s="350">
        <f>LEFT(A98,1)</f>
        <v/>
      </c>
      <c r="K98" s="347">
        <f>"HTR8"&amp;" - "&amp;A98</f>
        <v/>
      </c>
      <c r="L98" s="347">
        <f>+VLOOKUP(K98,TL[],4,FALSE)</f>
        <v/>
      </c>
    </row>
    <row r="99">
      <c r="A99" s="348" t="inlineStr">
        <is>
          <t>65170000</t>
        </is>
      </c>
      <c r="B99" s="348" t="inlineStr">
        <is>
          <t>Redevance interway</t>
        </is>
      </c>
      <c r="C99" s="348" t="n">
        <v>226.05</v>
      </c>
      <c r="D99" s="348" t="inlineStr"/>
      <c r="E99" s="348" t="n">
        <v>226.05</v>
      </c>
      <c r="F99" s="348" t="inlineStr"/>
      <c r="G99" s="220">
        <f>SUM(C99)-SUM(D99)</f>
        <v/>
      </c>
      <c r="H99" s="220">
        <f>SUM(E99)-SUM(F99)</f>
        <v/>
      </c>
      <c r="I99" s="221">
        <f>IF(A99="Total",VLOOKUP(B99,CORRESPONDANCE[#All],2,FALSE),I100)</f>
        <v/>
      </c>
      <c r="J99" s="350">
        <f>LEFT(A99,1)</f>
        <v/>
      </c>
      <c r="K99" s="347">
        <f>"HTR8"&amp;" - "&amp;A99</f>
        <v/>
      </c>
      <c r="L99" s="347">
        <f>+VLOOKUP(K99,TL[],4,FALSE)</f>
        <v/>
      </c>
    </row>
    <row r="100">
      <c r="A100" s="348" t="inlineStr">
        <is>
          <t>70811000</t>
        </is>
      </c>
      <c r="B100" s="348" t="inlineStr">
        <is>
          <t>Refacturations huiles</t>
        </is>
      </c>
      <c r="C100" s="348" t="n">
        <v>1</v>
      </c>
      <c r="D100" s="348" t="inlineStr"/>
      <c r="E100" s="348" t="n">
        <v>1</v>
      </c>
      <c r="F100" s="348" t="inlineStr"/>
      <c r="G100" s="220">
        <f>SUM(C100)-SUM(D100)</f>
        <v/>
      </c>
      <c r="H100" s="220">
        <f>SUM(E100)-SUM(F100)</f>
        <v/>
      </c>
      <c r="I100" s="221">
        <f>IF(A100="Total",VLOOKUP(B100,CORRESPONDANCE[#All],2,FALSE),I101)</f>
        <v/>
      </c>
      <c r="J100" s="350">
        <f>LEFT(A100,1)</f>
        <v/>
      </c>
      <c r="K100" s="347">
        <f>"HTR8"&amp;" - "&amp;A100</f>
        <v/>
      </c>
      <c r="L100" s="347">
        <f>+VLOOKUP(K100,TL[],4,FALSE)</f>
        <v/>
      </c>
    </row>
    <row r="101">
      <c r="A101" s="348" t="inlineStr">
        <is>
          <t>Total</t>
        </is>
      </c>
      <c r="B101" s="348" t="inlineStr">
        <is>
          <t>Table n°2  -  Autres Services Extérieurs</t>
        </is>
      </c>
      <c r="C101" s="348" t="n">
        <v>6719.35</v>
      </c>
      <c r="D101" s="348" t="inlineStr"/>
      <c r="E101" s="348" t="n">
        <v>6719.35</v>
      </c>
      <c r="F101" s="348" t="inlineStr"/>
      <c r="G101" s="220">
        <f>SUM(C101)-SUM(D101)</f>
        <v/>
      </c>
      <c r="H101" s="220">
        <f>SUM(E101)-SUM(F101)</f>
        <v/>
      </c>
      <c r="I101" s="221">
        <f>IF(A101="Total",VLOOKUP(B101,CORRESPONDANCE[#All],2,FALSE),I102)</f>
        <v/>
      </c>
      <c r="J101" s="350">
        <f>LEFT(A101,1)</f>
        <v/>
      </c>
      <c r="K101" s="347">
        <f>"HTR8"&amp;" - "&amp;A101</f>
        <v/>
      </c>
      <c r="L101" s="347">
        <f>+VLOOKUP(K101,TL[],4,FALSE)</f>
        <v/>
      </c>
    </row>
    <row r="102">
      <c r="A102" s="348" t="inlineStr">
        <is>
          <t>62280000</t>
        </is>
      </c>
      <c r="B102" s="348" t="inlineStr">
        <is>
          <t>Commissions uber</t>
        </is>
      </c>
      <c r="C102" s="348" t="n">
        <v>1882.72</v>
      </c>
      <c r="D102" s="348" t="inlineStr"/>
      <c r="E102" s="348" t="n">
        <v>1882.72</v>
      </c>
      <c r="F102" s="348" t="inlineStr"/>
      <c r="G102" s="220">
        <f>SUM(C102)-SUM(D102)</f>
        <v/>
      </c>
      <c r="H102" s="220">
        <f>SUM(E102)-SUM(F102)</f>
        <v/>
      </c>
      <c r="I102" s="221">
        <f>IF(A102="Total",VLOOKUP(B102,CORRESPONDANCE[#All],2,FALSE),I103)</f>
        <v/>
      </c>
      <c r="J102" s="350">
        <f>LEFT(A102,1)</f>
        <v/>
      </c>
      <c r="K102" s="347">
        <f>"HTR8"&amp;" - "&amp;A102</f>
        <v/>
      </c>
      <c r="L102" s="347">
        <f>+VLOOKUP(K102,TL[],4,FALSE)</f>
        <v/>
      </c>
    </row>
    <row r="103">
      <c r="A103" s="348" t="inlineStr">
        <is>
          <t>Total</t>
        </is>
      </c>
      <c r="B103" s="348" t="inlineStr">
        <is>
          <t>Table n°2  -  Commissions Food Tech</t>
        </is>
      </c>
      <c r="C103" s="348" t="n">
        <v>1882.72</v>
      </c>
      <c r="D103" s="348" t="inlineStr"/>
      <c r="E103" s="348" t="n">
        <v>1882.72</v>
      </c>
      <c r="F103" s="348" t="inlineStr"/>
      <c r="G103" s="220">
        <f>SUM(C103)-SUM(D103)</f>
        <v/>
      </c>
      <c r="H103" s="220">
        <f>SUM(E103)-SUM(F103)</f>
        <v/>
      </c>
      <c r="I103" s="221">
        <f>IF(A103="Total",VLOOKUP(B103,CORRESPONDANCE[#All],2,FALSE),I104)</f>
        <v/>
      </c>
      <c r="J103" s="350">
        <f>LEFT(A103,1)</f>
        <v/>
      </c>
      <c r="K103" s="347">
        <f>"HTR8"&amp;" - "&amp;A103</f>
        <v/>
      </c>
      <c r="L103" s="347">
        <f>+VLOOKUP(K103,TL[],4,FALSE)</f>
        <v/>
      </c>
    </row>
    <row r="104">
      <c r="A104" s="348" t="inlineStr">
        <is>
          <t>62300000</t>
        </is>
      </c>
      <c r="B104" s="348" t="inlineStr">
        <is>
          <t>Publicité gie mc do force</t>
        </is>
      </c>
      <c r="C104" s="348" t="n">
        <v>8325.16</v>
      </c>
      <c r="D104" s="348" t="inlineStr"/>
      <c r="E104" s="348" t="n">
        <v>8325.16</v>
      </c>
      <c r="F104" s="348" t="inlineStr"/>
      <c r="G104" s="220">
        <f>SUM(C104)-SUM(D104)</f>
        <v/>
      </c>
      <c r="H104" s="220">
        <f>SUM(E104)-SUM(F104)</f>
        <v/>
      </c>
      <c r="I104" s="221">
        <f>IF(A104="Total",VLOOKUP(B104,CORRESPONDANCE[#All],2,FALSE),I105)</f>
        <v/>
      </c>
      <c r="J104" s="350">
        <f>LEFT(A104,1)</f>
        <v/>
      </c>
      <c r="K104" s="347">
        <f>"HTR8"&amp;" - "&amp;A104</f>
        <v/>
      </c>
      <c r="L104" s="347">
        <f>+VLOOKUP(K104,TL[],4,FALSE)</f>
        <v/>
      </c>
    </row>
    <row r="105">
      <c r="A105" s="348" t="inlineStr">
        <is>
          <t>Total</t>
        </is>
      </c>
      <c r="B105" s="348" t="inlineStr">
        <is>
          <t>Table n°2  -  Publicité GIE</t>
        </is>
      </c>
      <c r="C105" s="348" t="n">
        <v>8325.16</v>
      </c>
      <c r="D105" s="348" t="inlineStr"/>
      <c r="E105" s="348" t="n">
        <v>8325.16</v>
      </c>
      <c r="F105" s="348" t="inlineStr"/>
      <c r="G105" s="220">
        <f>SUM(C105)-SUM(D105)</f>
        <v/>
      </c>
      <c r="H105" s="220">
        <f>SUM(E105)-SUM(F105)</f>
        <v/>
      </c>
      <c r="I105" s="221">
        <f>IF(A105="Total",VLOOKUP(B105,CORRESPONDANCE[#All],2,FALSE),I106)</f>
        <v/>
      </c>
      <c r="J105" s="350">
        <f>LEFT(A105,1)</f>
        <v/>
      </c>
      <c r="K105" s="347">
        <f>"HTR8"&amp;" - "&amp;A105</f>
        <v/>
      </c>
      <c r="L105" s="347">
        <f>+VLOOKUP(K105,TL[],4,FALSE)</f>
        <v/>
      </c>
    </row>
    <row r="106">
      <c r="A106" s="348" t="inlineStr">
        <is>
          <t>62300200</t>
        </is>
      </c>
      <c r="B106" s="348" t="inlineStr">
        <is>
          <t>Promotion locale</t>
        </is>
      </c>
      <c r="C106" s="348" t="n">
        <v>2700</v>
      </c>
      <c r="D106" s="348" t="inlineStr"/>
      <c r="E106" s="348" t="n">
        <v>2700</v>
      </c>
      <c r="F106" s="348" t="inlineStr"/>
      <c r="G106" s="220">
        <f>SUM(C106)-SUM(D106)</f>
        <v/>
      </c>
      <c r="H106" s="220">
        <f>SUM(E106)-SUM(F106)</f>
        <v/>
      </c>
      <c r="I106" s="221">
        <f>IF(A106="Total",VLOOKUP(B106,CORRESPONDANCE[#All],2,FALSE),I107)</f>
        <v/>
      </c>
      <c r="J106" s="350">
        <f>LEFT(A106,1)</f>
        <v/>
      </c>
      <c r="K106" s="347">
        <f>"HTR8"&amp;" - "&amp;A106</f>
        <v/>
      </c>
      <c r="L106" s="347">
        <f>+VLOOKUP(K106,TL[],4,FALSE)</f>
        <v/>
      </c>
    </row>
    <row r="107">
      <c r="A107" s="348" t="inlineStr">
        <is>
          <t>62340100</t>
        </is>
      </c>
      <c r="B107" s="348" t="inlineStr">
        <is>
          <t>Promotions</t>
        </is>
      </c>
      <c r="C107" s="348" t="n">
        <v>1626.33</v>
      </c>
      <c r="D107" s="348" t="inlineStr"/>
      <c r="E107" s="348" t="n">
        <v>1626.33</v>
      </c>
      <c r="F107" s="348" t="inlineStr"/>
      <c r="G107" s="220">
        <f>SUM(C107)-SUM(D107)</f>
        <v/>
      </c>
      <c r="H107" s="220">
        <f>SUM(E107)-SUM(F107)</f>
        <v/>
      </c>
      <c r="I107" s="221">
        <f>IF(A107="Total",VLOOKUP(B107,CORRESPONDANCE[#All],2,FALSE),I108)</f>
        <v/>
      </c>
      <c r="J107" s="350">
        <f>LEFT(A107,1)</f>
        <v/>
      </c>
      <c r="K107" s="347">
        <f>"HTR8"&amp;" - "&amp;A107</f>
        <v/>
      </c>
      <c r="L107" s="347">
        <f>+VLOOKUP(K107,TL[],4,FALSE)</f>
        <v/>
      </c>
    </row>
    <row r="108">
      <c r="A108" s="348" t="inlineStr">
        <is>
          <t>62341500</t>
        </is>
      </c>
      <c r="B108" s="348" t="inlineStr">
        <is>
          <t>Premium</t>
        </is>
      </c>
      <c r="C108" s="348" t="inlineStr"/>
      <c r="D108" s="348" t="n">
        <v>213.34</v>
      </c>
      <c r="E108" s="348" t="inlineStr"/>
      <c r="F108" s="348" t="n">
        <v>213.34</v>
      </c>
      <c r="G108" s="220">
        <f>SUM(C108)-SUM(D108)</f>
        <v/>
      </c>
      <c r="H108" s="220">
        <f>SUM(E108)-SUM(F108)</f>
        <v/>
      </c>
      <c r="I108" s="221">
        <f>IF(A108="Total",VLOOKUP(B108,CORRESPONDANCE[#All],2,FALSE),I109)</f>
        <v/>
      </c>
      <c r="J108" s="350">
        <f>LEFT(A108,1)</f>
        <v/>
      </c>
      <c r="K108" s="347">
        <f>"HTR8"&amp;" - "&amp;A108</f>
        <v/>
      </c>
      <c r="L108" s="347">
        <f>+VLOOKUP(K108,TL[],4,FALSE)</f>
        <v/>
      </c>
    </row>
    <row r="109">
      <c r="A109" s="348" t="inlineStr">
        <is>
          <t>Total</t>
        </is>
      </c>
      <c r="B109" s="348" t="inlineStr">
        <is>
          <t>Table n°2  -  Promotion locale</t>
        </is>
      </c>
      <c r="C109" s="348" t="n">
        <v>4112.99</v>
      </c>
      <c r="D109" s="348" t="inlineStr"/>
      <c r="E109" s="348" t="n">
        <v>4112.99</v>
      </c>
      <c r="F109" s="348" t="inlineStr"/>
      <c r="G109" s="220">
        <f>SUM(C109)-SUM(D109)</f>
        <v/>
      </c>
      <c r="H109" s="220">
        <f>SUM(E109)-SUM(F109)</f>
        <v/>
      </c>
      <c r="I109" s="221">
        <f>IF(A109="Total",VLOOKUP(B109,CORRESPONDANCE[#All],2,FALSE),I110)</f>
        <v/>
      </c>
      <c r="J109" s="350">
        <f>LEFT(A109,1)</f>
        <v/>
      </c>
      <c r="K109" s="347">
        <f>"HTR8"&amp;" - "&amp;A109</f>
        <v/>
      </c>
      <c r="L109" s="347">
        <f>+VLOOKUP(K109,TL[],4,FALSE)</f>
        <v/>
      </c>
    </row>
    <row r="110">
      <c r="A110" s="348" t="inlineStr">
        <is>
          <t>60610100</t>
        </is>
      </c>
      <c r="B110" s="348" t="inlineStr">
        <is>
          <t>Eau restaurant</t>
        </is>
      </c>
      <c r="C110" s="348" t="n">
        <v>369</v>
      </c>
      <c r="D110" s="348" t="inlineStr"/>
      <c r="E110" s="348" t="n">
        <v>369</v>
      </c>
      <c r="F110" s="348" t="inlineStr"/>
      <c r="G110" s="220">
        <f>SUM(C110)-SUM(D110)</f>
        <v/>
      </c>
      <c r="H110" s="220">
        <f>SUM(E110)-SUM(F110)</f>
        <v/>
      </c>
      <c r="I110" s="221">
        <f>IF(A110="Total",VLOOKUP(B110,CORRESPONDANCE[#All],2,FALSE),I111)</f>
        <v/>
      </c>
      <c r="J110" s="350">
        <f>LEFT(A110,1)</f>
        <v/>
      </c>
      <c r="K110" s="347">
        <f>"HTR8"&amp;" - "&amp;A110</f>
        <v/>
      </c>
      <c r="L110" s="347">
        <f>+VLOOKUP(K110,TL[],4,FALSE)</f>
        <v/>
      </c>
    </row>
    <row r="111">
      <c r="A111" s="348" t="inlineStr">
        <is>
          <t>60610300</t>
        </is>
      </c>
      <c r="B111" s="348" t="inlineStr">
        <is>
          <t>Electricite restaurant</t>
        </is>
      </c>
      <c r="C111" s="348" t="n">
        <v>8173</v>
      </c>
      <c r="D111" s="348" t="inlineStr"/>
      <c r="E111" s="348" t="n">
        <v>8173</v>
      </c>
      <c r="F111" s="348" t="inlineStr"/>
      <c r="G111" s="220">
        <f>SUM(C111)-SUM(D111)</f>
        <v/>
      </c>
      <c r="H111" s="220">
        <f>SUM(E111)-SUM(F111)</f>
        <v/>
      </c>
      <c r="I111" s="221">
        <f>IF(A111="Total",VLOOKUP(B111,CORRESPONDANCE[#All],2,FALSE),I112)</f>
        <v/>
      </c>
      <c r="J111" s="350">
        <f>LEFT(A111,1)</f>
        <v/>
      </c>
      <c r="K111" s="347">
        <f>"HTR8"&amp;" - "&amp;A111</f>
        <v/>
      </c>
      <c r="L111" s="347">
        <f>+VLOOKUP(K111,TL[],4,FALSE)</f>
        <v/>
      </c>
    </row>
    <row r="112">
      <c r="A112" s="348" t="inlineStr">
        <is>
          <t>62620000</t>
        </is>
      </c>
      <c r="B112" s="348" t="inlineStr">
        <is>
          <t>Telephone</t>
        </is>
      </c>
      <c r="C112" s="348" t="n">
        <v>346.9</v>
      </c>
      <c r="D112" s="348" t="inlineStr"/>
      <c r="E112" s="348" t="n">
        <v>346.9</v>
      </c>
      <c r="F112" s="348" t="inlineStr"/>
      <c r="G112" s="220">
        <f>SUM(C112)-SUM(D112)</f>
        <v/>
      </c>
      <c r="H112" s="220">
        <f>SUM(E112)-SUM(F112)</f>
        <v/>
      </c>
      <c r="I112" s="221">
        <f>IF(A112="Total",VLOOKUP(B112,CORRESPONDANCE[#All],2,FALSE),I113)</f>
        <v/>
      </c>
      <c r="J112" s="350">
        <f>LEFT(A112,1)</f>
        <v/>
      </c>
      <c r="K112" s="347">
        <f>"HTR8"&amp;" - "&amp;A112</f>
        <v/>
      </c>
      <c r="L112" s="347">
        <f>+VLOOKUP(K112,TL[],4,FALSE)</f>
        <v/>
      </c>
    </row>
    <row r="113">
      <c r="A113" s="348" t="inlineStr">
        <is>
          <t>Total</t>
        </is>
      </c>
      <c r="B113" s="348" t="inlineStr">
        <is>
          <t>Table n°2  -  Electricité, eau, gaz, téléphone</t>
        </is>
      </c>
      <c r="C113" s="348" t="n">
        <v>8888.9</v>
      </c>
      <c r="D113" s="348" t="inlineStr"/>
      <c r="E113" s="348" t="n">
        <v>8888.9</v>
      </c>
      <c r="F113" s="348" t="inlineStr"/>
      <c r="G113" s="220">
        <f>SUM(C113)-SUM(D113)</f>
        <v/>
      </c>
      <c r="H113" s="220">
        <f>SUM(E113)-SUM(F113)</f>
        <v/>
      </c>
      <c r="I113" s="221">
        <f>IF(A113="Total",VLOOKUP(B113,CORRESPONDANCE[#All],2,FALSE),I114)</f>
        <v/>
      </c>
      <c r="J113" s="350">
        <f>LEFT(A113,1)</f>
        <v/>
      </c>
      <c r="K113" s="347">
        <f>"HTR8"&amp;" - "&amp;A113</f>
        <v/>
      </c>
      <c r="L113" s="347">
        <f>+VLOOKUP(K113,TL[],4,FALSE)</f>
        <v/>
      </c>
    </row>
    <row r="114">
      <c r="A114" s="348" t="inlineStr">
        <is>
          <t>60261000</t>
        </is>
      </c>
      <c r="B114" s="348" t="inlineStr">
        <is>
          <t>Cartons collectes</t>
        </is>
      </c>
      <c r="C114" s="348" t="n">
        <v>87.95999999999999</v>
      </c>
      <c r="D114" s="348" t="inlineStr"/>
      <c r="E114" s="348" t="n">
        <v>87.95999999999999</v>
      </c>
      <c r="F114" s="348" t="inlineStr"/>
      <c r="G114" s="220">
        <f>SUM(C114)-SUM(D114)</f>
        <v/>
      </c>
      <c r="H114" s="220">
        <f>SUM(E114)-SUM(F114)</f>
        <v/>
      </c>
      <c r="I114" s="221">
        <f>IF(A114="Total",VLOOKUP(B114,CORRESPONDANCE[#All],2,FALSE),I115)</f>
        <v/>
      </c>
      <c r="J114" s="350">
        <f>LEFT(A114,1)</f>
        <v/>
      </c>
      <c r="K114" s="347">
        <f>"HTR8"&amp;" - "&amp;A114</f>
        <v/>
      </c>
      <c r="L114" s="347">
        <f>+VLOOKUP(K114,TL[],4,FALSE)</f>
        <v/>
      </c>
    </row>
    <row r="115">
      <c r="A115" s="348" t="inlineStr">
        <is>
          <t>60630200</t>
        </is>
      </c>
      <c r="B115" s="348" t="inlineStr">
        <is>
          <t>Fournit d'exploit et pdts entretien</t>
        </is>
      </c>
      <c r="C115" s="348" t="n">
        <v>1819.72</v>
      </c>
      <c r="D115" s="348" t="inlineStr"/>
      <c r="E115" s="348" t="n">
        <v>1819.72</v>
      </c>
      <c r="F115" s="348" t="inlineStr"/>
      <c r="G115" s="220">
        <f>SUM(C115)-SUM(D115)</f>
        <v/>
      </c>
      <c r="H115" s="220">
        <f>SUM(E115)-SUM(F115)</f>
        <v/>
      </c>
      <c r="I115" s="221">
        <f>IF(A115="Total",VLOOKUP(B115,CORRESPONDANCE[#All],2,FALSE),I116)</f>
        <v/>
      </c>
      <c r="J115" s="350">
        <f>LEFT(A115,1)</f>
        <v/>
      </c>
      <c r="K115" s="347">
        <f>"HTR8"&amp;" - "&amp;A115</f>
        <v/>
      </c>
      <c r="L115" s="347">
        <f>+VLOOKUP(K115,TL[],4,FALSE)</f>
        <v/>
      </c>
    </row>
    <row r="116">
      <c r="A116" s="348" t="inlineStr">
        <is>
          <t>60640100</t>
        </is>
      </c>
      <c r="B116" s="348" t="inlineStr">
        <is>
          <t>Fourni. bureau restaurant</t>
        </is>
      </c>
      <c r="C116" s="348" t="n">
        <v>517.66</v>
      </c>
      <c r="D116" s="348" t="inlineStr"/>
      <c r="E116" s="348" t="n">
        <v>517.66</v>
      </c>
      <c r="F116" s="348" t="inlineStr"/>
      <c r="G116" s="220">
        <f>SUM(C116)-SUM(D116)</f>
        <v/>
      </c>
      <c r="H116" s="220">
        <f>SUM(E116)-SUM(F116)</f>
        <v/>
      </c>
      <c r="I116" s="221">
        <f>IF(A116="Total",VLOOKUP(B116,CORRESPONDANCE[#All],2,FALSE),I117)</f>
        <v/>
      </c>
      <c r="J116" s="350">
        <f>LEFT(A116,1)</f>
        <v/>
      </c>
      <c r="K116" s="347">
        <f>"HTR8"&amp;" - "&amp;A116</f>
        <v/>
      </c>
      <c r="L116" s="347">
        <f>+VLOOKUP(K116,TL[],4,FALSE)</f>
        <v/>
      </c>
    </row>
    <row r="117">
      <c r="A117" s="348" t="inlineStr">
        <is>
          <t>Total</t>
        </is>
      </c>
      <c r="B117" s="348" t="inlineStr">
        <is>
          <t>Table n°2  -  Fournitures exploitation et bureau</t>
        </is>
      </c>
      <c r="C117" s="348" t="n">
        <v>2425.34</v>
      </c>
      <c r="D117" s="348" t="inlineStr"/>
      <c r="E117" s="348" t="n">
        <v>2425.34</v>
      </c>
      <c r="F117" s="348" t="inlineStr"/>
      <c r="G117" s="220">
        <f>SUM(C117)-SUM(D117)</f>
        <v/>
      </c>
      <c r="H117" s="220">
        <f>SUM(E117)-SUM(F117)</f>
        <v/>
      </c>
      <c r="I117" s="221">
        <f>IF(A117="Total",VLOOKUP(B117,CORRESPONDANCE[#All],2,FALSE),I118)</f>
        <v/>
      </c>
      <c r="J117" s="350">
        <f>LEFT(A117,1)</f>
        <v/>
      </c>
      <c r="K117" s="347">
        <f>"HTR8"&amp;" - "&amp;A117</f>
        <v/>
      </c>
      <c r="L117" s="347">
        <f>+VLOOKUP(K117,TL[],4,FALSE)</f>
        <v/>
      </c>
    </row>
    <row r="118">
      <c r="A118" s="348" t="inlineStr">
        <is>
          <t>62520400</t>
        </is>
      </c>
      <c r="B118" s="348" t="inlineStr">
        <is>
          <t>Frais de deplacement</t>
        </is>
      </c>
      <c r="C118" s="348" t="n">
        <v>163.22</v>
      </c>
      <c r="D118" s="348" t="inlineStr"/>
      <c r="E118" s="348" t="n">
        <v>163.22</v>
      </c>
      <c r="F118" s="348" t="inlineStr"/>
      <c r="G118" s="220">
        <f>SUM(C118)-SUM(D118)</f>
        <v/>
      </c>
      <c r="H118" s="220">
        <f>SUM(E118)-SUM(F118)</f>
        <v/>
      </c>
      <c r="I118" s="221">
        <f>IF(A118="Total",VLOOKUP(B118,CORRESPONDANCE[#All],2,FALSE),I119)</f>
        <v/>
      </c>
      <c r="J118" s="350">
        <f>LEFT(A118,1)</f>
        <v/>
      </c>
      <c r="K118" s="347">
        <f>"HTR8"&amp;" - "&amp;A118</f>
        <v/>
      </c>
      <c r="L118" s="347">
        <f>+VLOOKUP(K118,TL[],4,FALSE)</f>
        <v/>
      </c>
    </row>
    <row r="119">
      <c r="A119" s="348" t="inlineStr">
        <is>
          <t>Total</t>
        </is>
      </c>
      <c r="B119" s="348" t="inlineStr">
        <is>
          <t>Table n°2  -  Frais de déplacements et Evènements</t>
        </is>
      </c>
      <c r="C119" s="348" t="n">
        <v>163.22</v>
      </c>
      <c r="D119" s="348" t="inlineStr"/>
      <c r="E119" s="348" t="n">
        <v>163.22</v>
      </c>
      <c r="F119" s="348" t="inlineStr"/>
      <c r="G119" s="220">
        <f>SUM(C119)-SUM(D119)</f>
        <v/>
      </c>
      <c r="H119" s="220">
        <f>SUM(E119)-SUM(F119)</f>
        <v/>
      </c>
      <c r="I119" s="221">
        <f>IF(A119="Total",VLOOKUP(B119,CORRESPONDANCE[#All],2,FALSE),I120)</f>
        <v/>
      </c>
      <c r="J119" s="350">
        <f>LEFT(A119,1)</f>
        <v/>
      </c>
      <c r="K119" s="347">
        <f>"HTR8"&amp;" - "&amp;A119</f>
        <v/>
      </c>
      <c r="L119" s="347">
        <f>+VLOOKUP(K119,TL[],4,FALSE)</f>
        <v/>
      </c>
    </row>
    <row r="120">
      <c r="A120" s="348" t="inlineStr">
        <is>
          <t>62570000</t>
        </is>
      </c>
      <c r="B120" s="348" t="inlineStr">
        <is>
          <t>Receptions</t>
        </is>
      </c>
      <c r="C120" s="348" t="n">
        <v>209</v>
      </c>
      <c r="D120" s="348" t="inlineStr"/>
      <c r="E120" s="348" t="n">
        <v>209</v>
      </c>
      <c r="F120" s="348" t="inlineStr"/>
      <c r="G120" s="220">
        <f>SUM(C120)-SUM(D120)</f>
        <v/>
      </c>
      <c r="H120" s="220">
        <f>SUM(E120)-SUM(F120)</f>
        <v/>
      </c>
      <c r="I120" s="221">
        <f>IF(A120="Total",VLOOKUP(B120,CORRESPONDANCE[#All],2,FALSE),I121)</f>
        <v/>
      </c>
      <c r="J120" s="350">
        <f>LEFT(A120,1)</f>
        <v/>
      </c>
      <c r="K120" s="347">
        <f>"HTR8"&amp;" - "&amp;A120</f>
        <v/>
      </c>
      <c r="L120" s="347">
        <f>+VLOOKUP(K120,TL[],4,FALSE)</f>
        <v/>
      </c>
    </row>
    <row r="121">
      <c r="A121" s="348" t="inlineStr">
        <is>
          <t>62802300</t>
        </is>
      </c>
      <c r="B121" s="348" t="inlineStr">
        <is>
          <t>Divers</t>
        </is>
      </c>
      <c r="C121" s="348" t="n">
        <v>286</v>
      </c>
      <c r="D121" s="348" t="inlineStr"/>
      <c r="E121" s="348" t="n">
        <v>286</v>
      </c>
      <c r="F121" s="348" t="inlineStr"/>
      <c r="G121" s="220">
        <f>SUM(C121)-SUM(D121)</f>
        <v/>
      </c>
      <c r="H121" s="220">
        <f>SUM(E121)-SUM(F121)</f>
        <v/>
      </c>
      <c r="I121" s="221">
        <f>IF(A121="Total",VLOOKUP(B121,CORRESPONDANCE[#All],2,FALSE),I122)</f>
        <v/>
      </c>
      <c r="J121" s="350">
        <f>LEFT(A121,1)</f>
        <v/>
      </c>
      <c r="K121" s="347">
        <f>"HTR8"&amp;" - "&amp;A121</f>
        <v/>
      </c>
      <c r="L121" s="347">
        <f>+VLOOKUP(K121,TL[],4,FALSE)</f>
        <v/>
      </c>
    </row>
    <row r="122">
      <c r="A122" s="348" t="inlineStr">
        <is>
          <t>67110000</t>
        </is>
      </c>
      <c r="B122" s="348" t="inlineStr">
        <is>
          <t>Ecart caisse</t>
        </is>
      </c>
      <c r="C122" s="348" t="n">
        <v>90.31999999999999</v>
      </c>
      <c r="D122" s="348" t="inlineStr"/>
      <c r="E122" s="348" t="n">
        <v>90.31999999999999</v>
      </c>
      <c r="F122" s="348" t="inlineStr"/>
      <c r="G122" s="220">
        <f>SUM(C122)-SUM(D122)</f>
        <v/>
      </c>
      <c r="H122" s="220">
        <f>SUM(E122)-SUM(F122)</f>
        <v/>
      </c>
      <c r="I122" s="221">
        <f>IF(A122="Total",VLOOKUP(B122,CORRESPONDANCE[#All],2,FALSE),I123)</f>
        <v/>
      </c>
      <c r="J122" s="350">
        <f>LEFT(A122,1)</f>
        <v/>
      </c>
      <c r="K122" s="347">
        <f>"HTR8"&amp;" - "&amp;A122</f>
        <v/>
      </c>
      <c r="L122" s="347">
        <f>+VLOOKUP(K122,TL[],4,FALSE)</f>
        <v/>
      </c>
    </row>
    <row r="123">
      <c r="A123" s="348" t="inlineStr">
        <is>
          <t>77110000</t>
        </is>
      </c>
      <c r="B123" s="348" t="inlineStr">
        <is>
          <t>Ecarts de caisse</t>
        </is>
      </c>
      <c r="C123" s="348" t="inlineStr"/>
      <c r="D123" s="348" t="n">
        <v>45.15</v>
      </c>
      <c r="E123" s="348" t="inlineStr"/>
      <c r="F123" s="348" t="n">
        <v>45.15</v>
      </c>
      <c r="G123" s="220">
        <f>SUM(C123)-SUM(D123)</f>
        <v/>
      </c>
      <c r="H123" s="220">
        <f>SUM(E123)-SUM(F123)</f>
        <v/>
      </c>
      <c r="I123" s="221">
        <f>IF(A123="Total",VLOOKUP(B123,CORRESPONDANCE[#All],2,FALSE),I124)</f>
        <v/>
      </c>
      <c r="J123" s="350">
        <f>LEFT(A123,1)</f>
        <v/>
      </c>
      <c r="K123" s="347">
        <f>"HTR8"&amp;" - "&amp;A123</f>
        <v/>
      </c>
      <c r="L123" s="347">
        <f>+VLOOKUP(K123,TL[],4,FALSE)</f>
        <v/>
      </c>
    </row>
    <row r="124">
      <c r="A124" s="348" t="inlineStr">
        <is>
          <t>Total</t>
        </is>
      </c>
      <c r="B124" s="348" t="inlineStr">
        <is>
          <t>Table n°2  -  Divers</t>
        </is>
      </c>
      <c r="C124" s="348" t="n">
        <v>540.17</v>
      </c>
      <c r="D124" s="348" t="inlineStr"/>
      <c r="E124" s="348" t="n">
        <v>540.17</v>
      </c>
      <c r="F124" s="348" t="inlineStr"/>
      <c r="G124" s="220">
        <f>SUM(C124)-SUM(D124)</f>
        <v/>
      </c>
      <c r="H124" s="220">
        <f>SUM(E124)-SUM(F124)</f>
        <v/>
      </c>
      <c r="I124" s="221">
        <f>IF(A124="Total",VLOOKUP(B124,CORRESPONDANCE[#All],2,FALSE),I125)</f>
        <v/>
      </c>
      <c r="J124" s="350">
        <f>LEFT(A124,1)</f>
        <v/>
      </c>
      <c r="K124" s="347">
        <f>"HTR8"&amp;" - "&amp;A124</f>
        <v/>
      </c>
      <c r="L124" s="347">
        <f>+VLOOKUP(K124,TL[],4,FALSE)</f>
        <v/>
      </c>
    </row>
    <row r="125">
      <c r="A125" s="348" t="inlineStr">
        <is>
          <t>61320000</t>
        </is>
      </c>
      <c r="B125" s="348" t="inlineStr">
        <is>
          <t>Loyer 16.50%</t>
        </is>
      </c>
      <c r="C125" s="348" t="n">
        <v>34702.77</v>
      </c>
      <c r="D125" s="348" t="inlineStr"/>
      <c r="E125" s="348" t="n">
        <v>34702.77</v>
      </c>
      <c r="F125" s="348" t="inlineStr"/>
      <c r="G125" s="220">
        <f>SUM(C125)-SUM(D125)</f>
        <v/>
      </c>
      <c r="H125" s="220">
        <f>SUM(E125)-SUM(F125)</f>
        <v/>
      </c>
      <c r="I125" s="221">
        <f>IF(A125="Total",VLOOKUP(B125,CORRESPONDANCE[#All],2,FALSE),I126)</f>
        <v/>
      </c>
      <c r="J125" s="350">
        <f>LEFT(A125,1)</f>
        <v/>
      </c>
      <c r="K125" s="347">
        <f>"HTR8"&amp;" - "&amp;A125</f>
        <v/>
      </c>
      <c r="L125" s="347">
        <f>+VLOOKUP(K125,TL[],4,FALSE)</f>
        <v/>
      </c>
    </row>
    <row r="126">
      <c r="A126" s="348" t="inlineStr">
        <is>
          <t>Total</t>
        </is>
      </c>
      <c r="B126" s="348" t="inlineStr">
        <is>
          <t>Table n°2  -  Redevance standard</t>
        </is>
      </c>
      <c r="C126" s="348" t="n">
        <v>34702.77</v>
      </c>
      <c r="D126" s="348" t="inlineStr"/>
      <c r="E126" s="348" t="n">
        <v>34702.77</v>
      </c>
      <c r="F126" s="348" t="inlineStr"/>
      <c r="G126" s="220">
        <f>SUM(C126)-SUM(D126)</f>
        <v/>
      </c>
      <c r="H126" s="220">
        <f>SUM(E126)-SUM(F126)</f>
        <v/>
      </c>
      <c r="I126" s="221">
        <f>IF(A126="Total",VLOOKUP(B126,CORRESPONDANCE[#All],2,FALSE),I127)</f>
        <v/>
      </c>
      <c r="J126" s="350">
        <f>LEFT(A126,1)</f>
        <v/>
      </c>
      <c r="K126" s="347">
        <f>"HTR8"&amp;" - "&amp;A126</f>
        <v/>
      </c>
      <c r="L126" s="347">
        <f>+VLOOKUP(K126,TL[],4,FALSE)</f>
        <v/>
      </c>
    </row>
    <row r="127">
      <c r="A127" s="348" t="inlineStr">
        <is>
          <t>61320100</t>
        </is>
      </c>
      <c r="B127" s="348" t="inlineStr">
        <is>
          <t>Indexation loyer</t>
        </is>
      </c>
      <c r="C127" s="348" t="n">
        <v>616.76</v>
      </c>
      <c r="D127" s="348" t="inlineStr"/>
      <c r="E127" s="348" t="n">
        <v>616.76</v>
      </c>
      <c r="F127" s="348" t="inlineStr"/>
      <c r="G127" s="220">
        <f>SUM(C127)-SUM(D127)</f>
        <v/>
      </c>
      <c r="H127" s="220">
        <f>SUM(E127)-SUM(F127)</f>
        <v/>
      </c>
      <c r="I127" s="221">
        <f>IF(A127="Total",VLOOKUP(B127,CORRESPONDANCE[#All],2,FALSE),I128)</f>
        <v/>
      </c>
      <c r="J127" s="350">
        <f>LEFT(A127,1)</f>
        <v/>
      </c>
      <c r="K127" s="347">
        <f>"HTR8"&amp;" - "&amp;A127</f>
        <v/>
      </c>
      <c r="L127" s="347">
        <f>+VLOOKUP(K127,TL[],4,FALSE)</f>
        <v/>
      </c>
    </row>
    <row r="128">
      <c r="A128" s="348" t="inlineStr">
        <is>
          <t>Total</t>
        </is>
      </c>
      <c r="B128" s="348" t="inlineStr">
        <is>
          <t>Table n°2  -  Indexation loyer externe</t>
        </is>
      </c>
      <c r="C128" s="348" t="n">
        <v>616.76</v>
      </c>
      <c r="D128" s="348" t="inlineStr"/>
      <c r="E128" s="348" t="n">
        <v>616.76</v>
      </c>
      <c r="F128" s="348" t="inlineStr"/>
      <c r="G128" s="220">
        <f>SUM(C128)-SUM(D128)</f>
        <v/>
      </c>
      <c r="H128" s="220">
        <f>SUM(E128)-SUM(F128)</f>
        <v/>
      </c>
      <c r="I128" s="221">
        <f>IF(A128="Total",VLOOKUP(B128,CORRESPONDANCE[#All],2,FALSE),I129)</f>
        <v/>
      </c>
      <c r="J128" s="350">
        <f>LEFT(A128,1)</f>
        <v/>
      </c>
      <c r="K128" s="347">
        <f>"HTR8"&amp;" - "&amp;A128</f>
        <v/>
      </c>
      <c r="L128" s="347">
        <f>+VLOOKUP(K128,TL[],4,FALSE)</f>
        <v/>
      </c>
    </row>
    <row r="129">
      <c r="A129" s="348" t="inlineStr">
        <is>
          <t>65120000</t>
        </is>
      </c>
      <c r="B129" s="348" t="inlineStr">
        <is>
          <t>Avoir hm 16.50 %</t>
        </is>
      </c>
      <c r="C129" s="348" t="inlineStr"/>
      <c r="D129" s="348" t="n">
        <v>361.46</v>
      </c>
      <c r="E129" s="348" t="inlineStr"/>
      <c r="F129" s="348" t="n">
        <v>361.46</v>
      </c>
      <c r="G129" s="220">
        <f>SUM(C129)-SUM(D129)</f>
        <v/>
      </c>
      <c r="H129" s="220">
        <f>SUM(E129)-SUM(F129)</f>
        <v/>
      </c>
      <c r="I129" s="221">
        <f>IF(A129="Total",VLOOKUP(B129,CORRESPONDANCE[#All],2,FALSE),I130)</f>
        <v/>
      </c>
      <c r="J129" s="350">
        <f>LEFT(A129,1)</f>
        <v/>
      </c>
      <c r="K129" s="347">
        <f>"HTR8"&amp;" - "&amp;A129</f>
        <v/>
      </c>
      <c r="L129" s="347">
        <f>+VLOOKUP(K129,TL[],4,FALSE)</f>
        <v/>
      </c>
    </row>
    <row r="130">
      <c r="A130" s="348" t="inlineStr">
        <is>
          <t>65121000</t>
        </is>
      </c>
      <c r="B130" s="348" t="inlineStr">
        <is>
          <t>Avoir hm 5%</t>
        </is>
      </c>
      <c r="C130" s="348" t="inlineStr"/>
      <c r="D130" s="348" t="n">
        <v>108.84</v>
      </c>
      <c r="E130" s="348" t="inlineStr"/>
      <c r="F130" s="348" t="n">
        <v>108.84</v>
      </c>
      <c r="G130" s="220">
        <f>SUM(C130)-SUM(D130)</f>
        <v/>
      </c>
      <c r="H130" s="220">
        <f>SUM(E130)-SUM(F130)</f>
        <v/>
      </c>
      <c r="I130" s="221">
        <f>IF(A130="Total",VLOOKUP(B130,CORRESPONDANCE[#All],2,FALSE),I131)</f>
        <v/>
      </c>
      <c r="J130" s="350">
        <f>LEFT(A130,1)</f>
        <v/>
      </c>
      <c r="K130" s="347">
        <f>"HTR8"&amp;" - "&amp;A130</f>
        <v/>
      </c>
      <c r="L130" s="347">
        <f>+VLOOKUP(K130,TL[],4,FALSE)</f>
        <v/>
      </c>
    </row>
    <row r="131">
      <c r="A131" s="348" t="inlineStr">
        <is>
          <t>Total</t>
        </is>
      </c>
      <c r="B131" s="348" t="inlineStr">
        <is>
          <t>Table n°2  -  Incentives et Avoirs de redevance</t>
        </is>
      </c>
      <c r="C131" s="348" t="inlineStr"/>
      <c r="D131" s="348" t="n">
        <v>470.3</v>
      </c>
      <c r="E131" s="348" t="inlineStr"/>
      <c r="F131" s="348" t="n">
        <v>470.3</v>
      </c>
      <c r="G131" s="220">
        <f>SUM(C131)-SUM(D131)</f>
        <v/>
      </c>
      <c r="H131" s="220">
        <f>SUM(E131)-SUM(F131)</f>
        <v/>
      </c>
      <c r="I131" s="221">
        <f>IF(A131="Total",VLOOKUP(B131,CORRESPONDANCE[#All],2,FALSE),I132)</f>
        <v/>
      </c>
      <c r="J131" s="350">
        <f>LEFT(A131,1)</f>
        <v/>
      </c>
      <c r="K131" s="347">
        <f>"HTR8"&amp;" - "&amp;A131</f>
        <v/>
      </c>
      <c r="L131" s="347">
        <f>+VLOOKUP(K131,TL[],4,FALSE)</f>
        <v/>
      </c>
    </row>
    <row r="132">
      <c r="A132" s="348" t="inlineStr">
        <is>
          <t>61410000</t>
        </is>
      </c>
      <c r="B132" s="348" t="inlineStr">
        <is>
          <t>Charges locat.mc do france</t>
        </is>
      </c>
      <c r="C132" s="348" t="n">
        <v>465</v>
      </c>
      <c r="D132" s="348" t="inlineStr"/>
      <c r="E132" s="348" t="n">
        <v>465</v>
      </c>
      <c r="F132" s="348" t="inlineStr"/>
      <c r="G132" s="220">
        <f>SUM(C132)-SUM(D132)</f>
        <v/>
      </c>
      <c r="H132" s="220">
        <f>SUM(E132)-SUM(F132)</f>
        <v/>
      </c>
      <c r="I132" s="221">
        <f>IF(A132="Total",VLOOKUP(B132,CORRESPONDANCE[#All],2,FALSE),I133)</f>
        <v/>
      </c>
      <c r="J132" s="350">
        <f>LEFT(A132,1)</f>
        <v/>
      </c>
      <c r="K132" s="347">
        <f>"HTR8"&amp;" - "&amp;A132</f>
        <v/>
      </c>
      <c r="L132" s="347">
        <f>+VLOOKUP(K132,TL[],4,FALSE)</f>
        <v/>
      </c>
    </row>
    <row r="133">
      <c r="A133" s="348" t="inlineStr">
        <is>
          <t>Total</t>
        </is>
      </c>
      <c r="B133" s="348" t="inlineStr">
        <is>
          <t>Table n°2  -  Charges locatives et copro</t>
        </is>
      </c>
      <c r="C133" s="348" t="n">
        <v>465</v>
      </c>
      <c r="D133" s="348" t="inlineStr"/>
      <c r="E133" s="348" t="n">
        <v>465</v>
      </c>
      <c r="F133" s="348" t="inlineStr"/>
      <c r="G133" s="220">
        <f>SUM(C133)-SUM(D133)</f>
        <v/>
      </c>
      <c r="H133" s="220">
        <f>SUM(E133)-SUM(F133)</f>
        <v/>
      </c>
      <c r="I133" s="221">
        <f>IF(A133="Total",VLOOKUP(B133,CORRESPONDANCE[#All],2,FALSE),I134)</f>
        <v/>
      </c>
      <c r="J133" s="350">
        <f>LEFT(A133,1)</f>
        <v/>
      </c>
      <c r="K133" s="347">
        <f>"HTR8"&amp;" - "&amp;A133</f>
        <v/>
      </c>
      <c r="L133" s="347">
        <f>+VLOOKUP(K133,TL[],4,FALSE)</f>
        <v/>
      </c>
    </row>
    <row r="134">
      <c r="A134" s="348" t="inlineStr">
        <is>
          <t>65100100</t>
        </is>
      </c>
      <c r="B134" s="348" t="inlineStr">
        <is>
          <t>Redevance service 5%</t>
        </is>
      </c>
      <c r="C134" s="348" t="n">
        <v>10515.29</v>
      </c>
      <c r="D134" s="348" t="inlineStr"/>
      <c r="E134" s="348" t="n">
        <v>10515.29</v>
      </c>
      <c r="F134" s="348" t="inlineStr"/>
      <c r="G134" s="220">
        <f>SUM(C134)-SUM(D134)</f>
        <v/>
      </c>
      <c r="H134" s="220">
        <f>SUM(E134)-SUM(F134)</f>
        <v/>
      </c>
      <c r="I134" s="221">
        <f>IF(A134="Total",VLOOKUP(B134,CORRESPONDANCE[#All],2,FALSE),I135)</f>
        <v/>
      </c>
      <c r="J134" s="350">
        <f>LEFT(A134,1)</f>
        <v/>
      </c>
      <c r="K134" s="347">
        <f>"HTR8"&amp;" - "&amp;A134</f>
        <v/>
      </c>
      <c r="L134" s="347">
        <f>+VLOOKUP(K134,TL[],4,FALSE)</f>
        <v/>
      </c>
    </row>
    <row r="135">
      <c r="A135" s="348" t="inlineStr">
        <is>
          <t>Total</t>
        </is>
      </c>
      <c r="B135" s="348" t="inlineStr">
        <is>
          <t>Table n°2  -  Redevance service 5%</t>
        </is>
      </c>
      <c r="C135" s="348" t="n">
        <v>10515.29</v>
      </c>
      <c r="D135" s="348" t="inlineStr"/>
      <c r="E135" s="348" t="n">
        <v>10515.29</v>
      </c>
      <c r="F135" s="348" t="inlineStr"/>
      <c r="G135" s="220">
        <f>SUM(C135)-SUM(D135)</f>
        <v/>
      </c>
      <c r="H135" s="220">
        <f>SUM(E135)-SUM(F135)</f>
        <v/>
      </c>
      <c r="I135" s="221">
        <f>IF(A135="Total",VLOOKUP(B135,CORRESPONDANCE[#All],2,FALSE),I136)</f>
        <v/>
      </c>
      <c r="J135" s="350">
        <f>LEFT(A135,1)</f>
        <v/>
      </c>
      <c r="K135" s="347">
        <f>"HTR8"&amp;" - "&amp;A135</f>
        <v/>
      </c>
      <c r="L135" s="347">
        <f>+VLOOKUP(K135,TL[],4,FALSE)</f>
        <v/>
      </c>
    </row>
    <row r="136">
      <c r="A136" s="348" t="inlineStr">
        <is>
          <t>62260000</t>
        </is>
      </c>
      <c r="B136" s="348" t="inlineStr">
        <is>
          <t>Honoraires comptables</t>
        </is>
      </c>
      <c r="C136" s="348" t="n">
        <v>860</v>
      </c>
      <c r="D136" s="348" t="inlineStr"/>
      <c r="E136" s="348" t="n">
        <v>860</v>
      </c>
      <c r="F136" s="348" t="inlineStr"/>
      <c r="G136" s="220">
        <f>SUM(C136)-SUM(D136)</f>
        <v/>
      </c>
      <c r="H136" s="220">
        <f>SUM(E136)-SUM(F136)</f>
        <v/>
      </c>
      <c r="I136" s="221">
        <f>IF(A136="Total",VLOOKUP(B136,CORRESPONDANCE[#All],2,FALSE),#REF!)</f>
        <v/>
      </c>
      <c r="J136" s="350">
        <f>LEFT(A136,1)</f>
        <v/>
      </c>
      <c r="K136" s="347">
        <f>"HTR8"&amp;" - "&amp;A136</f>
        <v/>
      </c>
      <c r="L136" s="347">
        <f>+VLOOKUP(K136,TL[],4,FALSE)</f>
        <v/>
      </c>
    </row>
    <row r="137">
      <c r="A137" s="348" t="inlineStr">
        <is>
          <t>62261000</t>
        </is>
      </c>
      <c r="B137" s="348" t="inlineStr">
        <is>
          <t>Honoraires juridiques</t>
        </is>
      </c>
      <c r="C137" s="348" t="n">
        <v>42</v>
      </c>
      <c r="D137" s="348" t="inlineStr"/>
      <c r="E137" s="348" t="n">
        <v>42</v>
      </c>
      <c r="F137" s="348" t="inlineStr"/>
      <c r="G137" s="220">
        <f>SUM(C137)-SUM(D137)</f>
        <v/>
      </c>
      <c r="H137" s="220">
        <f>SUM(E137)-SUM(F137)</f>
        <v/>
      </c>
      <c r="I137" s="221">
        <f>IF(A137="Total",VLOOKUP(B137,CORRESPONDANCE[#All],2,FALSE),I138)</f>
        <v/>
      </c>
      <c r="J137" s="350">
        <f>LEFT(A137,1)</f>
        <v/>
      </c>
      <c r="K137" s="347">
        <f>"HTR8"&amp;" - "&amp;A137</f>
        <v/>
      </c>
      <c r="L137" s="347">
        <f>+VLOOKUP(K137,TL[],4,FALSE)</f>
        <v/>
      </c>
    </row>
    <row r="138">
      <c r="A138" s="348" t="inlineStr">
        <is>
          <t>62263000</t>
        </is>
      </c>
      <c r="B138" s="348" t="inlineStr">
        <is>
          <t>Honoraires divers</t>
        </is>
      </c>
      <c r="C138" s="348" t="n">
        <v>127.09</v>
      </c>
      <c r="D138" s="348" t="inlineStr"/>
      <c r="E138" s="348" t="n">
        <v>127.09</v>
      </c>
      <c r="F138" s="348" t="inlineStr"/>
      <c r="G138" s="220">
        <f>SUM(C138)-SUM(D138)</f>
        <v/>
      </c>
      <c r="H138" s="220">
        <f>SUM(E138)-SUM(F138)</f>
        <v/>
      </c>
      <c r="I138" s="221">
        <f>IF(A138="Total",VLOOKUP(B138,CORRESPONDANCE[#All],2,FALSE),I139)</f>
        <v/>
      </c>
      <c r="J138" s="350">
        <f>LEFT(A138,1)</f>
        <v/>
      </c>
      <c r="K138" s="347">
        <f>"HTR8"&amp;" - "&amp;A138</f>
        <v/>
      </c>
      <c r="L138" s="347">
        <f>+VLOOKUP(K138,TL[],4,FALSE)</f>
        <v/>
      </c>
    </row>
    <row r="139">
      <c r="A139" s="348" t="inlineStr">
        <is>
          <t>Total</t>
        </is>
      </c>
      <c r="B139" s="348" t="inlineStr">
        <is>
          <t>Table n°2  -  Frais comptables et juridiques</t>
        </is>
      </c>
      <c r="C139" s="348" t="n">
        <v>1029.09</v>
      </c>
      <c r="D139" s="348" t="inlineStr"/>
      <c r="E139" s="348" t="n">
        <v>1029.09</v>
      </c>
      <c r="F139" s="348" t="inlineStr"/>
      <c r="G139" s="220">
        <f>SUM(C139)-SUM(D139)</f>
        <v/>
      </c>
      <c r="H139" s="220">
        <f>SUM(E139)-SUM(F139)</f>
        <v/>
      </c>
      <c r="I139" s="221">
        <f>IF(A139="Total",VLOOKUP(B139,CORRESPONDANCE[#All],2,FALSE),I140)</f>
        <v/>
      </c>
      <c r="J139" s="350">
        <f>LEFT(A139,1)</f>
        <v/>
      </c>
      <c r="K139" s="347">
        <f>"HTR8"&amp;" - "&amp;A139</f>
        <v/>
      </c>
      <c r="L139" s="347">
        <f>+VLOOKUP(K139,TL[],4,FALSE)</f>
        <v/>
      </c>
    </row>
    <row r="140">
      <c r="A140" s="348" t="inlineStr">
        <is>
          <t>61600100</t>
        </is>
      </c>
      <c r="B140" s="348" t="inlineStr">
        <is>
          <t>Assurances restaurant</t>
        </is>
      </c>
      <c r="C140" s="348" t="n">
        <v>1000</v>
      </c>
      <c r="D140" s="348" t="inlineStr"/>
      <c r="E140" s="348" t="n">
        <v>1000</v>
      </c>
      <c r="F140" s="348" t="inlineStr"/>
      <c r="G140" s="220">
        <f>SUM(C140)-SUM(D140)</f>
        <v/>
      </c>
      <c r="H140" s="220">
        <f>SUM(E140)-SUM(F140)</f>
        <v/>
      </c>
      <c r="I140" s="221">
        <f>IF(A140="Total",VLOOKUP(B140,CORRESPONDANCE[#All],2,FALSE),I141)</f>
        <v/>
      </c>
      <c r="J140" s="350">
        <f>LEFT(A140,1)</f>
        <v/>
      </c>
      <c r="K140" s="347">
        <f>"HTR8"&amp;" - "&amp;A140</f>
        <v/>
      </c>
      <c r="L140" s="347">
        <f>+VLOOKUP(K140,TL[],4,FALSE)</f>
        <v/>
      </c>
    </row>
    <row r="141">
      <c r="A141" s="348" t="inlineStr">
        <is>
          <t>Total</t>
        </is>
      </c>
      <c r="B141" s="348" t="inlineStr">
        <is>
          <t>Table n°2  -  Assurances</t>
        </is>
      </c>
      <c r="C141" s="348" t="n">
        <v>1000</v>
      </c>
      <c r="D141" s="348" t="inlineStr"/>
      <c r="E141" s="348" t="n">
        <v>1000</v>
      </c>
      <c r="F141" s="348" t="inlineStr"/>
      <c r="G141" s="220">
        <f>SUM(C141)-SUM(D141)</f>
        <v/>
      </c>
      <c r="H141" s="220">
        <f>SUM(E141)-SUM(F141)</f>
        <v/>
      </c>
      <c r="I141" s="221">
        <f>IF(A141="Total",VLOOKUP(B141,CORRESPONDANCE[#All],2,FALSE),I142)</f>
        <v/>
      </c>
      <c r="J141" s="350">
        <f>LEFT(A141,1)</f>
        <v/>
      </c>
      <c r="K141" s="347">
        <f>"HTR8"&amp;" - "&amp;A141</f>
        <v/>
      </c>
      <c r="L141" s="347">
        <f>+VLOOKUP(K141,TL[],4,FALSE)</f>
        <v/>
      </c>
    </row>
    <row r="142">
      <c r="A142" s="348" t="inlineStr">
        <is>
          <t>63330000</t>
        </is>
      </c>
      <c r="B142" s="348" t="inlineStr">
        <is>
          <t>Formation continue</t>
        </is>
      </c>
      <c r="C142" s="348" t="n">
        <v>449.1</v>
      </c>
      <c r="D142" s="348" t="inlineStr"/>
      <c r="E142" s="348" t="n">
        <v>449.1</v>
      </c>
      <c r="F142" s="348" t="inlineStr"/>
      <c r="G142" s="220">
        <f>SUM(C142)-SUM(D142)</f>
        <v/>
      </c>
      <c r="H142" s="220">
        <f>SUM(E142)-SUM(F142)</f>
        <v/>
      </c>
      <c r="I142" s="221">
        <f>IF(A142="Total",VLOOKUP(B142,CORRESPONDANCE[#All],2,FALSE),I143)</f>
        <v/>
      </c>
      <c r="J142" s="350">
        <f>LEFT(A142,1)</f>
        <v/>
      </c>
      <c r="K142" s="347">
        <f>"HTR8"&amp;" - "&amp;A142</f>
        <v/>
      </c>
      <c r="L142" s="347">
        <f>+VLOOKUP(K142,TL[],4,FALSE)</f>
        <v/>
      </c>
    </row>
    <row r="143">
      <c r="A143" s="348" t="inlineStr">
        <is>
          <t>63350000</t>
        </is>
      </c>
      <c r="B143" s="348" t="inlineStr">
        <is>
          <t>Taxe d'apprentissage</t>
        </is>
      </c>
      <c r="C143" s="348" t="n">
        <v>301.73</v>
      </c>
      <c r="D143" s="348" t="inlineStr"/>
      <c r="E143" s="348" t="n">
        <v>301.73</v>
      </c>
      <c r="F143" s="348" t="inlineStr"/>
      <c r="G143" s="220">
        <f>SUM(C143)-SUM(D143)</f>
        <v/>
      </c>
      <c r="H143" s="220">
        <f>SUM(E143)-SUM(F143)</f>
        <v/>
      </c>
      <c r="I143" s="221">
        <f>IF(A143="Total",VLOOKUP(B143,CORRESPONDANCE[#All],2,FALSE),I144)</f>
        <v/>
      </c>
      <c r="J143" s="350">
        <f>LEFT(A143,1)</f>
        <v/>
      </c>
      <c r="K143" s="347">
        <f>"HTR8"&amp;" - "&amp;A143</f>
        <v/>
      </c>
      <c r="L143" s="347">
        <f>+VLOOKUP(K143,TL[],4,FALSE)</f>
        <v/>
      </c>
    </row>
    <row r="144">
      <c r="A144" s="348" t="inlineStr">
        <is>
          <t>63511100</t>
        </is>
      </c>
      <c r="B144" s="348" t="inlineStr">
        <is>
          <t>Contribution foncière entreprises</t>
        </is>
      </c>
      <c r="C144" s="348" t="n">
        <v>185</v>
      </c>
      <c r="D144" s="348" t="inlineStr"/>
      <c r="E144" s="348" t="n">
        <v>185</v>
      </c>
      <c r="F144" s="348" t="inlineStr"/>
      <c r="G144" s="220">
        <f>SUM(C144)-SUM(D144)</f>
        <v/>
      </c>
      <c r="H144" s="220">
        <f>SUM(E144)-SUM(F144)</f>
        <v/>
      </c>
      <c r="I144" s="221">
        <f>IF(A144="Total",VLOOKUP(B144,CORRESPONDANCE[#All],2,FALSE),I145)</f>
        <v/>
      </c>
      <c r="J144" s="350">
        <f>LEFT(A144,1)</f>
        <v/>
      </c>
      <c r="K144" s="347">
        <f>"HTR8"&amp;" - "&amp;A144</f>
        <v/>
      </c>
      <c r="L144" s="347">
        <f>+VLOOKUP(K144,TL[],4,FALSE)</f>
        <v/>
      </c>
    </row>
    <row r="145">
      <c r="A145" s="348" t="inlineStr">
        <is>
          <t>63511200</t>
        </is>
      </c>
      <c r="B145" s="348" t="inlineStr">
        <is>
          <t>Contrib. valeur ajoutée entreprises</t>
        </is>
      </c>
      <c r="C145" s="348" t="n">
        <v>285</v>
      </c>
      <c r="D145" s="348" t="inlineStr"/>
      <c r="E145" s="348" t="n">
        <v>285</v>
      </c>
      <c r="F145" s="348" t="inlineStr"/>
      <c r="G145" s="220">
        <f>SUM(C145)-SUM(D145)</f>
        <v/>
      </c>
      <c r="H145" s="220">
        <f>SUM(E145)-SUM(F145)</f>
        <v/>
      </c>
      <c r="I145" s="221">
        <f>IF(A145="Total",VLOOKUP(B145,CORRESPONDANCE[#All],2,FALSE),I146)</f>
        <v/>
      </c>
      <c r="J145" s="350">
        <f>LEFT(A145,1)</f>
        <v/>
      </c>
      <c r="K145" s="347">
        <f>"HTR8"&amp;" - "&amp;A145</f>
        <v/>
      </c>
      <c r="L145" s="347">
        <f>+VLOOKUP(K145,TL[],4,FALSE)</f>
        <v/>
      </c>
    </row>
    <row r="146">
      <c r="A146" s="348" t="inlineStr">
        <is>
          <t>63553000</t>
        </is>
      </c>
      <c r="B146" s="348" t="inlineStr">
        <is>
          <t>Taxe publicite exterieure</t>
        </is>
      </c>
      <c r="C146" s="348" t="n">
        <v>127</v>
      </c>
      <c r="D146" s="348" t="inlineStr"/>
      <c r="E146" s="348" t="n">
        <v>127</v>
      </c>
      <c r="F146" s="348" t="inlineStr"/>
      <c r="G146" s="220">
        <f>SUM(C146)-SUM(D146)</f>
        <v/>
      </c>
      <c r="H146" s="220">
        <f>SUM(E146)-SUM(F146)</f>
        <v/>
      </c>
      <c r="I146" s="221">
        <f>IF(A146="Total",VLOOKUP(B146,CORRESPONDANCE[#All],2,FALSE),I147)</f>
        <v/>
      </c>
      <c r="J146" s="350">
        <f>LEFT(A146,1)</f>
        <v/>
      </c>
      <c r="K146" s="347">
        <f>"HTR8"&amp;" - "&amp;A146</f>
        <v/>
      </c>
      <c r="L146" s="347">
        <f>+VLOOKUP(K146,TL[],4,FALSE)</f>
        <v/>
      </c>
    </row>
    <row r="147">
      <c r="A147" s="348" t="inlineStr">
        <is>
          <t>63730000</t>
        </is>
      </c>
      <c r="B147" s="348" t="inlineStr">
        <is>
          <t>Agefiph</t>
        </is>
      </c>
      <c r="C147" s="348" t="n">
        <v>500</v>
      </c>
      <c r="D147" s="348" t="inlineStr"/>
      <c r="E147" s="348" t="n">
        <v>500</v>
      </c>
      <c r="F147" s="348" t="inlineStr"/>
      <c r="G147" s="220">
        <f>SUM(C147)-SUM(D147)</f>
        <v/>
      </c>
      <c r="H147" s="220">
        <f>SUM(E147)-SUM(F147)</f>
        <v/>
      </c>
      <c r="I147" s="221">
        <f>IF(A147="Total",VLOOKUP(B147,CORRESPONDANCE[#All],2,FALSE),I148)</f>
        <v/>
      </c>
      <c r="J147" s="350">
        <f>LEFT(A147,1)</f>
        <v/>
      </c>
      <c r="K147" s="347">
        <f>"HTR8"&amp;" - "&amp;A147</f>
        <v/>
      </c>
      <c r="L147" s="347">
        <f>+VLOOKUP(K147,TL[],4,FALSE)</f>
        <v/>
      </c>
    </row>
    <row r="148">
      <c r="A148" s="348" t="inlineStr">
        <is>
          <t>Total</t>
        </is>
      </c>
      <c r="B148" s="348" t="inlineStr">
        <is>
          <t>Table n°2  -  Taxes</t>
        </is>
      </c>
      <c r="C148" s="348" t="n">
        <v>1847.83</v>
      </c>
      <c r="D148" s="348" t="inlineStr"/>
      <c r="E148" s="348" t="n">
        <v>1847.83</v>
      </c>
      <c r="F148" s="348" t="inlineStr"/>
      <c r="G148" s="220">
        <f>SUM(C148)-SUM(D148)</f>
        <v/>
      </c>
      <c r="H148" s="220">
        <f>SUM(E148)-SUM(F148)</f>
        <v/>
      </c>
      <c r="I148" s="221">
        <f>IF(A148="Total",VLOOKUP(B148,CORRESPONDANCE[#All],2,FALSE),I149)</f>
        <v/>
      </c>
      <c r="J148" s="350">
        <f>LEFT(A148,1)</f>
        <v/>
      </c>
      <c r="K148" s="347">
        <f>"HTR8"&amp;" - "&amp;A148</f>
        <v/>
      </c>
      <c r="L148" s="347">
        <f>+VLOOKUP(K148,TL[],4,FALSE)</f>
        <v/>
      </c>
    </row>
    <row r="149">
      <c r="A149" s="348" t="inlineStr">
        <is>
          <t>68111000</t>
        </is>
      </c>
      <c r="B149" s="348" t="inlineStr">
        <is>
          <t>Dot. amort. s/immobil. incorporel.</t>
        </is>
      </c>
      <c r="C149" s="348" t="n">
        <v>5500</v>
      </c>
      <c r="D149" s="348" t="inlineStr"/>
      <c r="E149" s="348" t="n">
        <v>5500</v>
      </c>
      <c r="F149" s="348" t="inlineStr"/>
      <c r="G149" s="220">
        <f>SUM(C149)-SUM(D149)</f>
        <v/>
      </c>
      <c r="H149" s="220">
        <f>SUM(E149)-SUM(F149)</f>
        <v/>
      </c>
      <c r="I149" s="221">
        <f>IF(A149="Total",VLOOKUP(B149,CORRESPONDANCE[#All],2,FALSE),I150)</f>
        <v/>
      </c>
      <c r="J149" s="350">
        <f>LEFT(A149,1)</f>
        <v/>
      </c>
      <c r="K149" s="347">
        <f>"HTR8"&amp;" - "&amp;A149</f>
        <v/>
      </c>
      <c r="L149" s="347">
        <f>+VLOOKUP(K149,TL[],4,FALSE)</f>
        <v/>
      </c>
    </row>
    <row r="150">
      <c r="A150" s="348" t="inlineStr">
        <is>
          <t>Total</t>
        </is>
      </c>
      <c r="B150" s="348" t="inlineStr">
        <is>
          <t>Table n°2  -  Dépréciations amortissements</t>
        </is>
      </c>
      <c r="C150" s="348" t="n">
        <v>5500</v>
      </c>
      <c r="D150" s="348" t="inlineStr"/>
      <c r="E150" s="348" t="n">
        <v>5500</v>
      </c>
      <c r="F150" s="348" t="inlineStr"/>
      <c r="G150" s="220">
        <f>SUM(C150)-SUM(D150)</f>
        <v/>
      </c>
      <c r="H150" s="220">
        <f>SUM(E150)-SUM(F150)</f>
        <v/>
      </c>
      <c r="I150" s="221">
        <f>IF(A150="Total",VLOOKUP(B150,CORRESPONDANCE[#All],2,FALSE),I151)</f>
        <v/>
      </c>
      <c r="J150" s="350">
        <f>LEFT(A150,1)</f>
        <v/>
      </c>
      <c r="K150" s="347">
        <f>"HTR8"&amp;" - "&amp;A150</f>
        <v/>
      </c>
      <c r="L150" s="347">
        <f>+VLOOKUP(K150,TL[],4,FALSE)</f>
        <v/>
      </c>
    </row>
    <row r="151">
      <c r="A151" s="348" t="inlineStr">
        <is>
          <t>61301900</t>
        </is>
      </c>
      <c r="B151" s="348" t="inlineStr">
        <is>
          <t>Location grenke</t>
        </is>
      </c>
      <c r="C151" s="348" t="n">
        <v>541.09</v>
      </c>
      <c r="D151" s="348" t="inlineStr"/>
      <c r="E151" s="348" t="n">
        <v>541.09</v>
      </c>
      <c r="F151" s="348" t="inlineStr"/>
      <c r="G151" s="220">
        <f>SUM(C151)-SUM(D151)</f>
        <v/>
      </c>
      <c r="H151" s="220">
        <f>SUM(E151)-SUM(F151)</f>
        <v/>
      </c>
      <c r="I151" s="221">
        <f>IF(A151="Total",VLOOKUP(B151,CORRESPONDANCE[#All],2,FALSE),I152)</f>
        <v/>
      </c>
      <c r="J151" s="350">
        <f>LEFT(A151,1)</f>
        <v/>
      </c>
      <c r="K151" s="347">
        <f>"HTR8"&amp;" - "&amp;A151</f>
        <v/>
      </c>
      <c r="L151" s="347">
        <f>+VLOOKUP(K151,TL[],4,FALSE)</f>
        <v/>
      </c>
    </row>
    <row r="152">
      <c r="A152" s="348" t="inlineStr">
        <is>
          <t>61325000</t>
        </is>
      </c>
      <c r="B152" s="348" t="inlineStr">
        <is>
          <t>Location leasecom</t>
        </is>
      </c>
      <c r="C152" s="348" t="n">
        <v>135.29</v>
      </c>
      <c r="D152" s="348" t="inlineStr"/>
      <c r="E152" s="348" t="n">
        <v>135.29</v>
      </c>
      <c r="F152" s="348" t="inlineStr"/>
      <c r="G152" s="220">
        <f>SUM(C152)-SUM(D152)</f>
        <v/>
      </c>
      <c r="H152" s="220">
        <f>SUM(E152)-SUM(F152)</f>
        <v/>
      </c>
      <c r="I152" s="221">
        <f>IF(A152="Total",VLOOKUP(B152,CORRESPONDANCE[#All],2,FALSE),I153)</f>
        <v/>
      </c>
      <c r="J152" s="350">
        <f>LEFT(A152,1)</f>
        <v/>
      </c>
      <c r="K152" s="347">
        <f>"HTR8"&amp;" - "&amp;A152</f>
        <v/>
      </c>
      <c r="L152" s="347">
        <f>+VLOOKUP(K152,TL[],4,FALSE)</f>
        <v/>
      </c>
    </row>
    <row r="153">
      <c r="A153" s="348" t="inlineStr">
        <is>
          <t>Total</t>
        </is>
      </c>
      <c r="B153" s="348" t="inlineStr">
        <is>
          <t>Table n°2  -  Crédit bail</t>
        </is>
      </c>
      <c r="C153" s="348" t="n">
        <v>676.38</v>
      </c>
      <c r="D153" s="348" t="inlineStr"/>
      <c r="E153" s="348" t="n">
        <v>676.38</v>
      </c>
      <c r="F153" s="348" t="inlineStr"/>
      <c r="G153" s="220">
        <f>SUM(C153)-SUM(D153)</f>
        <v/>
      </c>
      <c r="H153" s="220">
        <f>SUM(E153)-SUM(F153)</f>
        <v/>
      </c>
      <c r="I153" s="221">
        <f>IF(A153="Total",VLOOKUP(B153,CORRESPONDANCE[#All],2,FALSE),I154)</f>
        <v/>
      </c>
      <c r="J153" s="350">
        <f>LEFT(A153,1)</f>
        <v/>
      </c>
      <c r="K153" s="347">
        <f>"HTR8"&amp;" - "&amp;A153</f>
        <v/>
      </c>
      <c r="L153" s="347">
        <f>+VLOOKUP(K153,TL[],4,FALSE)</f>
        <v/>
      </c>
    </row>
    <row r="154">
      <c r="A154" s="348" t="inlineStr">
        <is>
          <t>61301700</t>
        </is>
      </c>
      <c r="B154" s="348" t="inlineStr">
        <is>
          <t>Loyer GM-935-JM - b. rath</t>
        </is>
      </c>
      <c r="C154" s="348" t="n">
        <v>564.75</v>
      </c>
      <c r="D154" s="348" t="inlineStr"/>
      <c r="E154" s="348" t="n">
        <v>564.75</v>
      </c>
      <c r="F154" s="348" t="inlineStr"/>
      <c r="G154" s="220">
        <f>SUM(C154)-SUM(D154)</f>
        <v/>
      </c>
      <c r="H154" s="220">
        <f>SUM(E154)-SUM(F154)</f>
        <v/>
      </c>
      <c r="I154" s="221">
        <f>IF(A154="Total",VLOOKUP(B154,CORRESPONDANCE[#All],2,FALSE),I155)</f>
        <v/>
      </c>
      <c r="J154" s="350">
        <f>LEFT(A154,1)</f>
        <v/>
      </c>
      <c r="K154" s="347">
        <f>"HTR8"&amp;" - "&amp;A154</f>
        <v/>
      </c>
      <c r="L154" s="347">
        <f>+VLOOKUP(K154,TL[],4,FALSE)</f>
        <v/>
      </c>
    </row>
    <row r="155">
      <c r="A155" s="348" t="inlineStr">
        <is>
          <t>61302200</t>
        </is>
      </c>
      <c r="B155" s="348" t="inlineStr">
        <is>
          <t>Loyer gd-151-sq - m. lanos</t>
        </is>
      </c>
      <c r="C155" s="348" t="n">
        <v>259.58</v>
      </c>
      <c r="D155" s="348" t="inlineStr"/>
      <c r="E155" s="348" t="n">
        <v>259.58</v>
      </c>
      <c r="F155" s="348" t="inlineStr"/>
      <c r="G155" s="220">
        <f>SUM(C155)-SUM(D155)</f>
        <v/>
      </c>
      <c r="H155" s="220">
        <f>SUM(E155)-SUM(F155)</f>
        <v/>
      </c>
      <c r="I155" s="221">
        <f>IF(A155="Total",VLOOKUP(B155,CORRESPONDANCE[#All],2,FALSE),I156)</f>
        <v/>
      </c>
      <c r="J155" s="350">
        <f>LEFT(A155,1)</f>
        <v/>
      </c>
      <c r="K155" s="347">
        <f>"HTR8"&amp;" - "&amp;A155</f>
        <v/>
      </c>
      <c r="L155" s="347">
        <f>+VLOOKUP(K155,TL[],4,FALSE)</f>
        <v/>
      </c>
    </row>
    <row r="156">
      <c r="A156" s="348" t="inlineStr">
        <is>
          <t>61302500</t>
        </is>
      </c>
      <c r="B156" s="348" t="inlineStr">
        <is>
          <t>Loyer GQ-226-PL</t>
        </is>
      </c>
      <c r="C156" s="348" t="n">
        <v>411.97</v>
      </c>
      <c r="D156" s="348" t="inlineStr"/>
      <c r="E156" s="348" t="n">
        <v>411.97</v>
      </c>
      <c r="F156" s="348" t="inlineStr"/>
      <c r="G156" s="220">
        <f>SUM(C156)-SUM(D156)</f>
        <v/>
      </c>
      <c r="H156" s="220">
        <f>SUM(E156)-SUM(F156)</f>
        <v/>
      </c>
      <c r="I156" s="221">
        <f>IF(A156="Total",VLOOKUP(B156,CORRESPONDANCE[#All],2,FALSE),I157)</f>
        <v/>
      </c>
      <c r="J156" s="350">
        <f>LEFT(A156,1)</f>
        <v/>
      </c>
      <c r="K156" s="347">
        <f>"HTR8"&amp;" - "&amp;A156</f>
        <v/>
      </c>
      <c r="L156" s="347">
        <f>+VLOOKUP(K156,TL[],4,FALSE)</f>
        <v/>
      </c>
    </row>
    <row r="157">
      <c r="A157" s="348" t="inlineStr">
        <is>
          <t>62140300</t>
        </is>
      </c>
      <c r="B157" s="348" t="inlineStr">
        <is>
          <t>Prêt personnel refac.</t>
        </is>
      </c>
      <c r="C157" s="348" t="n">
        <v>429.58</v>
      </c>
      <c r="D157" s="348" t="inlineStr"/>
      <c r="E157" s="348" t="n">
        <v>429.58</v>
      </c>
      <c r="F157" s="348" t="inlineStr"/>
      <c r="G157" s="220">
        <f>SUM(C157)-SUM(D157)</f>
        <v/>
      </c>
      <c r="H157" s="220">
        <f>SUM(E157)-SUM(F157)</f>
        <v/>
      </c>
      <c r="I157" s="221">
        <f>IF(A157="Total",VLOOKUP(B157,CORRESPONDANCE[#All],2,FALSE),I158)</f>
        <v/>
      </c>
      <c r="J157" s="350">
        <f>LEFT(A157,1)</f>
        <v/>
      </c>
      <c r="K157" s="347">
        <f>"HTR8"&amp;" - "&amp;A157</f>
        <v/>
      </c>
      <c r="L157" s="347">
        <f>+VLOOKUP(K157,TL[],4,FALSE)</f>
        <v/>
      </c>
    </row>
    <row r="158">
      <c r="A158" s="348" t="inlineStr">
        <is>
          <t>65800000</t>
        </is>
      </c>
      <c r="B158" s="348" t="inlineStr">
        <is>
          <t>Charges diverses gestion courante</t>
        </is>
      </c>
      <c r="C158" s="348" t="n">
        <v>0.01</v>
      </c>
      <c r="D158" s="348" t="inlineStr"/>
      <c r="E158" s="348" t="n">
        <v>0.01</v>
      </c>
      <c r="F158" s="348" t="inlineStr"/>
      <c r="G158" s="220">
        <f>SUM(C158)-SUM(D158)</f>
        <v/>
      </c>
      <c r="H158" s="220">
        <f>SUM(E158)-SUM(F158)</f>
        <v/>
      </c>
      <c r="I158" s="221">
        <f>IF(A158="Total",VLOOKUP(B158,CORRESPONDANCE[#All],2,FALSE),I159)</f>
        <v/>
      </c>
      <c r="J158" s="350">
        <f>LEFT(A158,1)</f>
        <v/>
      </c>
      <c r="K158" s="347">
        <f>"HTR8"&amp;" - "&amp;A158</f>
        <v/>
      </c>
      <c r="L158" s="347">
        <f>+VLOOKUP(K158,TL[],4,FALSE)</f>
        <v/>
      </c>
    </row>
    <row r="159">
      <c r="A159" s="348" t="inlineStr">
        <is>
          <t>70811200</t>
        </is>
      </c>
      <c r="B159" s="348" t="inlineStr">
        <is>
          <t>Refacturation vehicule</t>
        </is>
      </c>
      <c r="C159" s="348" t="inlineStr"/>
      <c r="D159" s="348" t="n">
        <v>1238.3</v>
      </c>
      <c r="E159" s="348" t="inlineStr"/>
      <c r="F159" s="348" t="n">
        <v>1238.3</v>
      </c>
      <c r="G159" s="220">
        <f>SUM(C159)-SUM(D159)</f>
        <v/>
      </c>
      <c r="H159" s="220">
        <f>SUM(E159)-SUM(F159)</f>
        <v/>
      </c>
      <c r="I159" s="221">
        <f>IF(A159="Total",VLOOKUP(B159,CORRESPONDANCE[#All],2,FALSE),I160)</f>
        <v/>
      </c>
      <c r="J159" s="350">
        <f>LEFT(A159,1)</f>
        <v/>
      </c>
      <c r="K159" s="347">
        <f>"HTR8"&amp;" - "&amp;A159</f>
        <v/>
      </c>
      <c r="L159" s="347">
        <f>+VLOOKUP(K159,TL[],4,FALSE)</f>
        <v/>
      </c>
    </row>
    <row r="160">
      <c r="A160" s="348" t="inlineStr">
        <is>
          <t>Total</t>
        </is>
      </c>
      <c r="B160" s="348" t="inlineStr">
        <is>
          <t>Table n°2  -  Dépenses / Revenus divers</t>
        </is>
      </c>
      <c r="C160" s="348" t="n">
        <v>427.59</v>
      </c>
      <c r="D160" s="348" t="inlineStr"/>
      <c r="E160" s="348" t="n">
        <v>427.59</v>
      </c>
      <c r="F160" s="348" t="inlineStr"/>
      <c r="G160" s="220">
        <f>SUM(C160)-SUM(D160)</f>
        <v/>
      </c>
      <c r="H160" s="220">
        <f>SUM(E160)-SUM(F160)</f>
        <v/>
      </c>
      <c r="I160" s="221">
        <f>IF(A160="Total",VLOOKUP(B160,CORRESPONDANCE[#All],2,FALSE),I161)</f>
        <v/>
      </c>
      <c r="J160" s="350">
        <f>LEFT(A160,1)</f>
        <v/>
      </c>
      <c r="K160" s="347">
        <f>"HTR8"&amp;" - "&amp;A160</f>
        <v/>
      </c>
      <c r="L160" s="347">
        <f>+VLOOKUP(K160,TL[],4,FALSE)</f>
        <v/>
      </c>
    </row>
    <row r="161">
      <c r="A161" s="348" t="inlineStr">
        <is>
          <t>62821000</t>
        </is>
      </c>
      <c r="B161" s="348" t="inlineStr">
        <is>
          <t>Fact gth 14 frais fonctionnement gt</t>
        </is>
      </c>
      <c r="C161" s="348" t="n">
        <v>14101</v>
      </c>
      <c r="D161" s="348" t="inlineStr"/>
      <c r="E161" s="348" t="n">
        <v>14101</v>
      </c>
      <c r="F161" s="348" t="inlineStr"/>
      <c r="G161" s="220">
        <f>SUM(C161)-SUM(D161)</f>
        <v/>
      </c>
      <c r="H161" s="220">
        <f>SUM(E161)-SUM(F161)</f>
        <v/>
      </c>
      <c r="I161" s="221">
        <f>IF(A161="Total",VLOOKUP(B161,CORRESPONDANCE[#All],2,FALSE),I162)</f>
        <v/>
      </c>
      <c r="J161" s="350">
        <f>LEFT(A161,1)</f>
        <v/>
      </c>
      <c r="K161" s="347">
        <f>"HTR8"&amp;" - "&amp;A161</f>
        <v/>
      </c>
      <c r="L161" s="347">
        <f>+VLOOKUP(K161,TL[],4,FALSE)</f>
        <v/>
      </c>
    </row>
    <row r="162">
      <c r="A162" s="348" t="inlineStr">
        <is>
          <t>62850000</t>
        </is>
      </c>
      <c r="B162" s="348" t="inlineStr">
        <is>
          <t>Redevance mungu</t>
        </is>
      </c>
      <c r="C162" s="348" t="n">
        <v>833.33</v>
      </c>
      <c r="D162" s="348" t="inlineStr"/>
      <c r="E162" s="348" t="n">
        <v>833.33</v>
      </c>
      <c r="F162" s="348" t="inlineStr"/>
      <c r="G162" s="220">
        <f>SUM(C162)-SUM(D162)</f>
        <v/>
      </c>
      <c r="H162" s="220">
        <f>SUM(E162)-SUM(F162)</f>
        <v/>
      </c>
      <c r="I162" s="221">
        <f>IF(A162="Total",VLOOKUP(B162,CORRESPONDANCE[#All],2,FALSE),I163)</f>
        <v/>
      </c>
      <c r="J162" s="350">
        <f>LEFT(A162,1)</f>
        <v/>
      </c>
      <c r="K162" s="347">
        <f>"HTR8"&amp;" - "&amp;A162</f>
        <v/>
      </c>
      <c r="L162" s="347">
        <f>+VLOOKUP(K162,TL[],4,FALSE)</f>
        <v/>
      </c>
    </row>
    <row r="163">
      <c r="A163" s="348" t="inlineStr">
        <is>
          <t>Total</t>
        </is>
      </c>
      <c r="B163" s="348" t="inlineStr">
        <is>
          <t>Table n°2  -  G&amp;A (Frais administratifs)</t>
        </is>
      </c>
      <c r="C163" s="348" t="n">
        <v>14934.33</v>
      </c>
      <c r="D163" s="348" t="inlineStr"/>
      <c r="E163" s="348" t="n">
        <v>14934.33</v>
      </c>
      <c r="F163" s="348" t="inlineStr"/>
      <c r="G163" s="220">
        <f>SUM(C163)-SUM(D163)</f>
        <v/>
      </c>
      <c r="H163" s="220">
        <f>SUM(E163)-SUM(F163)</f>
        <v/>
      </c>
      <c r="I163" s="221">
        <f>IF(A163="Total",VLOOKUP(B163,CORRESPONDANCE[#All],2,FALSE),I164)</f>
        <v/>
      </c>
      <c r="J163" s="350">
        <f>LEFT(A163,1)</f>
        <v/>
      </c>
      <c r="K163" s="347">
        <f>"HTR8"&amp;" - "&amp;A163</f>
        <v/>
      </c>
      <c r="L163" s="347">
        <f>+VLOOKUP(K163,TL[],4,FALSE)</f>
        <v/>
      </c>
    </row>
    <row r="164">
      <c r="A164" s="348" t="inlineStr">
        <is>
          <t>70230000</t>
        </is>
      </c>
      <c r="B164" s="348" t="inlineStr">
        <is>
          <t>Ventes de produits interm</t>
        </is>
      </c>
      <c r="C164" s="348" t="inlineStr"/>
      <c r="D164" s="348" t="n">
        <v>3530.78</v>
      </c>
      <c r="E164" s="348" t="inlineStr"/>
      <c r="F164" s="348" t="n">
        <v>3530.78</v>
      </c>
      <c r="G164" s="220">
        <f>SUM(C164)-SUM(D164)</f>
        <v/>
      </c>
      <c r="H164" s="220">
        <f>SUM(E164)-SUM(F164)</f>
        <v/>
      </c>
      <c r="I164" s="221">
        <f>IF(A164="Total",VLOOKUP(B164,CORRESPONDANCE[#All],2,FALSE),I165)</f>
        <v/>
      </c>
      <c r="J164" s="350">
        <f>LEFT(A164,1)</f>
        <v/>
      </c>
      <c r="K164" s="347">
        <f>"HTR8"&amp;" - "&amp;A164</f>
        <v/>
      </c>
      <c r="L164" s="347">
        <f>+VLOOKUP(K164,TL[],4,FALSE)</f>
        <v/>
      </c>
    </row>
    <row r="165">
      <c r="A165" s="348" t="inlineStr">
        <is>
          <t>Total</t>
        </is>
      </c>
      <c r="B165" s="348" t="inlineStr">
        <is>
          <t>Table n°2  -  Ventes non alimentaires</t>
        </is>
      </c>
      <c r="C165" s="348" t="inlineStr"/>
      <c r="D165" s="348" t="n">
        <v>3530.78</v>
      </c>
      <c r="E165" s="348" t="inlineStr"/>
      <c r="F165" s="348" t="n">
        <v>3530.78</v>
      </c>
      <c r="G165" s="220">
        <f>SUM(C165)-SUM(D165)</f>
        <v/>
      </c>
      <c r="H165" s="220">
        <f>SUM(E165)-SUM(F165)</f>
        <v/>
      </c>
      <c r="I165" s="221">
        <f>IF(A165="Total",VLOOKUP(B165,CORRESPONDANCE[#All],2,FALSE),I166)</f>
        <v/>
      </c>
      <c r="J165" s="350">
        <f>LEFT(A165,1)</f>
        <v/>
      </c>
      <c r="K165" s="347">
        <f>"HTR8"&amp;" - "&amp;A165</f>
        <v/>
      </c>
      <c r="L165" s="347">
        <f>+VLOOKUP(K165,TL[],4,FALSE)</f>
        <v/>
      </c>
    </row>
    <row r="166">
      <c r="A166" s="348" t="inlineStr">
        <is>
          <t>60220200</t>
        </is>
      </c>
      <c r="B166" s="348" t="inlineStr">
        <is>
          <t>Achats happy meal</t>
        </is>
      </c>
      <c r="C166" s="348" t="n">
        <v>1627.81</v>
      </c>
      <c r="D166" s="348" t="inlineStr"/>
      <c r="E166" s="348" t="n">
        <v>1627.81</v>
      </c>
      <c r="F166" s="348" t="inlineStr"/>
      <c r="G166" s="220">
        <f>SUM(C166)-SUM(D166)</f>
        <v/>
      </c>
      <c r="H166" s="220">
        <f>SUM(E166)-SUM(F166)</f>
        <v/>
      </c>
      <c r="I166" s="221">
        <f>IF(A166="Total",VLOOKUP(B166,CORRESPONDANCE[#All],2,FALSE),I167)</f>
        <v/>
      </c>
      <c r="J166" s="350">
        <f>LEFT(A166,1)</f>
        <v/>
      </c>
      <c r="K166" s="347">
        <f>"HTR8"&amp;" - "&amp;A166</f>
        <v/>
      </c>
      <c r="L166" s="347">
        <f>+VLOOKUP(K166,TL[],4,FALSE)</f>
        <v/>
      </c>
    </row>
    <row r="167">
      <c r="A167" s="348" t="inlineStr">
        <is>
          <t>60320100</t>
        </is>
      </c>
      <c r="B167" s="348" t="inlineStr">
        <is>
          <t>Variat° stock hm</t>
        </is>
      </c>
      <c r="C167" s="348" t="n">
        <v>2237.55</v>
      </c>
      <c r="D167" s="348" t="inlineStr"/>
      <c r="E167" s="348" t="n">
        <v>2237.55</v>
      </c>
      <c r="F167" s="348" t="inlineStr"/>
      <c r="G167" s="220">
        <f>SUM(C167)-SUM(D167)</f>
        <v/>
      </c>
      <c r="H167" s="220">
        <f>SUM(E167)-SUM(F167)</f>
        <v/>
      </c>
      <c r="I167" s="221">
        <f>IF(A167="Total",VLOOKUP(B167,CORRESPONDANCE[#All],2,FALSE),I168)</f>
        <v/>
      </c>
      <c r="J167" s="350">
        <f>LEFT(A167,1)</f>
        <v/>
      </c>
      <c r="K167" s="347">
        <f>"HTR8"&amp;" - "&amp;A167</f>
        <v/>
      </c>
      <c r="L167" s="347">
        <f>+VLOOKUP(K167,TL[],4,FALSE)</f>
        <v/>
      </c>
    </row>
    <row r="168">
      <c r="A168" s="348" t="inlineStr">
        <is>
          <t>62802400</t>
        </is>
      </c>
      <c r="B168" s="348" t="inlineStr">
        <is>
          <t>Achat coupons cinema</t>
        </is>
      </c>
      <c r="C168" s="348" t="n">
        <v>56.28</v>
      </c>
      <c r="D168" s="348" t="inlineStr"/>
      <c r="E168" s="348" t="n">
        <v>56.28</v>
      </c>
      <c r="F168" s="348" t="inlineStr"/>
      <c r="G168" s="220">
        <f>SUM(C168)-SUM(D168)</f>
        <v/>
      </c>
      <c r="H168" s="220">
        <f>SUM(E168)-SUM(F168)</f>
        <v/>
      </c>
      <c r="I168" s="221">
        <f>IF(A168="Total",VLOOKUP(B168,CORRESPONDANCE[#All],2,FALSE),I169)</f>
        <v/>
      </c>
      <c r="J168" s="350">
        <f>LEFT(A168,1)</f>
        <v/>
      </c>
      <c r="K168" s="347">
        <f>"HTR8"&amp;" - "&amp;A168</f>
        <v/>
      </c>
      <c r="L168" s="347">
        <f>+VLOOKUP(K168,TL[],4,FALSE)</f>
        <v/>
      </c>
    </row>
    <row r="169">
      <c r="A169" s="348" t="inlineStr">
        <is>
          <t>62802500</t>
        </is>
      </c>
      <c r="B169" s="348" t="inlineStr">
        <is>
          <t>Achats places happy city</t>
        </is>
      </c>
      <c r="C169" s="348" t="n">
        <v>10.9</v>
      </c>
      <c r="D169" s="348" t="inlineStr"/>
      <c r="E169" s="348" t="n">
        <v>10.9</v>
      </c>
      <c r="F169" s="348" t="inlineStr"/>
      <c r="G169" s="220">
        <f>SUM(C169)-SUM(D169)</f>
        <v/>
      </c>
      <c r="H169" s="220">
        <f>SUM(E169)-SUM(F169)</f>
        <v/>
      </c>
      <c r="I169" s="221">
        <f>IF(A169="Total",VLOOKUP(B169,CORRESPONDANCE[#All],2,FALSE),I170)</f>
        <v/>
      </c>
      <c r="J169" s="350">
        <f>LEFT(A169,1)</f>
        <v/>
      </c>
      <c r="K169" s="347">
        <f>"HTR8"&amp;" - "&amp;A169</f>
        <v/>
      </c>
      <c r="L169" s="347">
        <f>+VLOOKUP(K169,TL[],4,FALSE)</f>
        <v/>
      </c>
    </row>
    <row r="170">
      <c r="A170" s="348" t="inlineStr">
        <is>
          <t>Total</t>
        </is>
      </c>
      <c r="B170" s="348" t="inlineStr">
        <is>
          <t>Table n°2  -  Coût non alimentaire</t>
        </is>
      </c>
      <c r="C170" s="348" t="n">
        <v>3932.54</v>
      </c>
      <c r="D170" s="348" t="inlineStr"/>
      <c r="E170" s="348" t="n">
        <v>3932.54</v>
      </c>
      <c r="F170" s="348" t="inlineStr"/>
      <c r="G170" s="220">
        <f>SUM(C170)-SUM(D170)</f>
        <v/>
      </c>
      <c r="H170" s="220">
        <f>SUM(E170)-SUM(F170)</f>
        <v/>
      </c>
      <c r="I170" s="221">
        <f>IF(A170="Total",VLOOKUP(B170,CORRESPONDANCE[#All],2,FALSE),I171)</f>
        <v/>
      </c>
      <c r="J170" s="350">
        <f>LEFT(A170,1)</f>
        <v/>
      </c>
      <c r="K170" s="347">
        <f>"HTR8"&amp;" - "&amp;A170</f>
        <v/>
      </c>
      <c r="L170" s="347">
        <f>+VLOOKUP(K170,TL[],4,FALSE)</f>
        <v/>
      </c>
    </row>
    <row r="171">
      <c r="A171" s="348" t="inlineStr"/>
      <c r="B171" s="348" t="inlineStr">
        <is>
          <t>Total général</t>
        </is>
      </c>
      <c r="C171" s="348" t="n">
        <v>232131.97</v>
      </c>
      <c r="D171" s="348" t="n">
        <v>224969.2</v>
      </c>
      <c r="E171" s="348" t="n">
        <v>232131.97</v>
      </c>
      <c r="F171" s="348" t="n">
        <v>224969.2</v>
      </c>
      <c r="G171" s="220">
        <f>SUM(C171)-SUM(D171)</f>
        <v/>
      </c>
      <c r="H171" s="220">
        <f>SUM(E171)-SUM(F171)</f>
        <v/>
      </c>
      <c r="I171" s="221">
        <f>IF(A171="Total",VLOOKUP(B171,CORRESPONDANCE[#All],2,FALSE),I172)</f>
        <v/>
      </c>
      <c r="J171" s="350">
        <f>LEFT(A171,1)</f>
        <v/>
      </c>
      <c r="K171" s="347">
        <f>"HTR8"&amp;" - "&amp;A171</f>
        <v/>
      </c>
      <c r="L171" s="347">
        <f>+VLOOKUP(K171,TL[],4,FALSE)</f>
        <v/>
      </c>
    </row>
    <row r="172">
      <c r="G172" s="220">
        <f>SUM(C172)-SUM(D172)</f>
        <v/>
      </c>
      <c r="H172" s="220">
        <f>SUM(E172)-SUM(F172)</f>
        <v/>
      </c>
      <c r="I172" s="221">
        <f>IF(A172="Total",VLOOKUP(B172,CORRESPONDANCE[#All],2,FALSE),I173)</f>
        <v/>
      </c>
      <c r="J172" s="350">
        <f>LEFT(A172,1)</f>
        <v/>
      </c>
      <c r="K172" s="347">
        <f>"HTR8"&amp;" - "&amp;A172</f>
        <v/>
      </c>
      <c r="L172" s="347">
        <f>+VLOOKUP(K172,TL[],4,FALSE)</f>
        <v/>
      </c>
    </row>
    <row r="173">
      <c r="G173" s="220">
        <f>SUM(C173)-SUM(D173)</f>
        <v/>
      </c>
      <c r="H173" s="220">
        <f>SUM(E173)-SUM(F173)</f>
        <v/>
      </c>
      <c r="I173" s="221">
        <f>IF(A173="Total",VLOOKUP(B173,CORRESPONDANCE[#All],2,FALSE),I174)</f>
        <v/>
      </c>
      <c r="J173" s="350">
        <f>LEFT(A173,1)</f>
        <v/>
      </c>
      <c r="K173" s="347">
        <f>"HTR8"&amp;" - "&amp;A173</f>
        <v/>
      </c>
      <c r="L173" s="347">
        <f>+VLOOKUP(K173,TL[],4,FALSE)</f>
        <v/>
      </c>
    </row>
    <row r="174">
      <c r="G174" s="220">
        <f>SUM(C174)-SUM(D174)</f>
        <v/>
      </c>
      <c r="H174" s="220">
        <f>SUM(E174)-SUM(F174)</f>
        <v/>
      </c>
      <c r="I174" s="221">
        <f>IF(A174="Total",VLOOKUP(B174,CORRESPONDANCE[#All],2,FALSE),I175)</f>
        <v/>
      </c>
      <c r="J174" s="350">
        <f>LEFT(A174,1)</f>
        <v/>
      </c>
      <c r="K174" s="347">
        <f>"HTR8"&amp;" - "&amp;A174</f>
        <v/>
      </c>
      <c r="L174" s="347">
        <f>+VLOOKUP(K174,TL[],4,FALSE)</f>
        <v/>
      </c>
    </row>
    <row r="175">
      <c r="G175" s="220">
        <f>SUM(C175)-SUM(D175)</f>
        <v/>
      </c>
      <c r="H175" s="220">
        <f>SUM(E175)-SUM(F175)</f>
        <v/>
      </c>
      <c r="I175" s="221">
        <f>IF(A175="Total",VLOOKUP(B175,CORRESPONDANCE[#All],2,FALSE),I176)</f>
        <v/>
      </c>
      <c r="J175" s="350">
        <f>LEFT(A175,1)</f>
        <v/>
      </c>
      <c r="K175" s="347">
        <f>"HTR8"&amp;" - "&amp;A175</f>
        <v/>
      </c>
      <c r="L175" s="347">
        <f>+VLOOKUP(K175,TL[],4,FALSE)</f>
        <v/>
      </c>
    </row>
    <row r="176">
      <c r="G176" s="220">
        <f>SUM(C176)-SUM(D176)</f>
        <v/>
      </c>
      <c r="H176" s="220">
        <f>SUM(E176)-SUM(F176)</f>
        <v/>
      </c>
      <c r="I176" s="221">
        <f>IF(A176="Total",VLOOKUP(B176,CORRESPONDANCE[#All],2,FALSE),I177)</f>
        <v/>
      </c>
      <c r="J176" s="350">
        <f>LEFT(A176,1)</f>
        <v/>
      </c>
      <c r="K176" s="347">
        <f>"HTR8"&amp;" - "&amp;A176</f>
        <v/>
      </c>
      <c r="L176" s="347">
        <f>+VLOOKUP(K176,TL[],4,FALSE)</f>
        <v/>
      </c>
    </row>
    <row r="177">
      <c r="G177" s="220">
        <f>SUM(C177)-SUM(D177)</f>
        <v/>
      </c>
      <c r="H177" s="220">
        <f>SUM(E177)-SUM(F177)</f>
        <v/>
      </c>
      <c r="I177" s="221">
        <f>IF(A177="Total",VLOOKUP(B177,CORRESPONDANCE[#All],2,FALSE),I178)</f>
        <v/>
      </c>
      <c r="J177" s="350">
        <f>LEFT(A177,1)</f>
        <v/>
      </c>
      <c r="K177" s="347">
        <f>"HTR8"&amp;" - "&amp;A177</f>
        <v/>
      </c>
      <c r="L177" s="347">
        <f>+VLOOKUP(K177,TL[],4,FALSE)</f>
        <v/>
      </c>
    </row>
    <row r="178">
      <c r="G178" s="220">
        <f>SUM(C178)-SUM(D178)</f>
        <v/>
      </c>
      <c r="H178" s="220">
        <f>SUM(E178)-SUM(F178)</f>
        <v/>
      </c>
      <c r="I178" s="221">
        <f>IF(A178="Total",VLOOKUP(B178,CORRESPONDANCE[#All],2,FALSE),I179)</f>
        <v/>
      </c>
      <c r="J178" s="350">
        <f>LEFT(A178,1)</f>
        <v/>
      </c>
      <c r="K178" s="347">
        <f>"HTR8"&amp;" - "&amp;A178</f>
        <v/>
      </c>
      <c r="L178" s="347">
        <f>+VLOOKUP(K178,TL[],4,FALSE)</f>
        <v/>
      </c>
    </row>
    <row r="179">
      <c r="G179" s="220">
        <f>SUM(C179)-SUM(D179)</f>
        <v/>
      </c>
      <c r="H179" s="220">
        <f>SUM(E179)-SUM(F179)</f>
        <v/>
      </c>
      <c r="I179" s="221">
        <f>IF(A179="Total",VLOOKUP(B179,CORRESPONDANCE[#All],2,FALSE),I180)</f>
        <v/>
      </c>
      <c r="J179" s="350">
        <f>LEFT(A179,1)</f>
        <v/>
      </c>
      <c r="K179" s="347">
        <f>"HTR8"&amp;" - "&amp;A179</f>
        <v/>
      </c>
      <c r="L179" s="347">
        <f>+VLOOKUP(K179,TL[],4,FALSE)</f>
        <v/>
      </c>
    </row>
    <row r="180">
      <c r="G180" s="220">
        <f>SUM(C180)-SUM(D180)</f>
        <v/>
      </c>
      <c r="H180" s="220">
        <f>SUM(E180)-SUM(F180)</f>
        <v/>
      </c>
      <c r="I180" s="221">
        <f>IF(A180="Total",VLOOKUP(B180,CORRESPONDANCE[#All],2,FALSE),I181)</f>
        <v/>
      </c>
      <c r="J180" s="350">
        <f>LEFT(A180,1)</f>
        <v/>
      </c>
      <c r="K180" s="347">
        <f>"HTR8"&amp;" - "&amp;A180</f>
        <v/>
      </c>
      <c r="L180" s="347">
        <f>+VLOOKUP(K180,TL[],4,FALSE)</f>
        <v/>
      </c>
    </row>
    <row r="181">
      <c r="G181" s="220">
        <f>SUM(C181)-SUM(D181)</f>
        <v/>
      </c>
      <c r="H181" s="220">
        <f>SUM(E181)-SUM(F181)</f>
        <v/>
      </c>
      <c r="I181" s="221">
        <f>IF(A181="Total",VLOOKUP(B181,CORRESPONDANCE[#All],2,FALSE),I182)</f>
        <v/>
      </c>
      <c r="J181" s="350">
        <f>LEFT(A181,1)</f>
        <v/>
      </c>
      <c r="K181" s="347">
        <f>"HTR8"&amp;" - "&amp;A181</f>
        <v/>
      </c>
      <c r="L181" s="347">
        <f>+VLOOKUP(K181,TL[],4,FALSE)</f>
        <v/>
      </c>
    </row>
    <row r="182">
      <c r="G182" s="220">
        <f>SUM(C182)-SUM(D182)</f>
        <v/>
      </c>
      <c r="H182" s="220">
        <f>SUM(E182)-SUM(F182)</f>
        <v/>
      </c>
      <c r="I182" s="221">
        <f>IF(A182="Total",VLOOKUP(B182,CORRESPONDANCE[#All],2,FALSE),I183)</f>
        <v/>
      </c>
      <c r="J182" s="350">
        <f>LEFT(A182,1)</f>
        <v/>
      </c>
      <c r="K182" s="347">
        <f>"HTR8"&amp;" - "&amp;A182</f>
        <v/>
      </c>
      <c r="L182" s="347">
        <f>+VLOOKUP(K182,TL[],4,FALSE)</f>
        <v/>
      </c>
    </row>
    <row r="183">
      <c r="G183" s="220">
        <f>SUM(C183)-SUM(D183)</f>
        <v/>
      </c>
      <c r="H183" s="220">
        <f>SUM(E183)-SUM(F183)</f>
        <v/>
      </c>
      <c r="I183" s="221">
        <f>IF(A183="Total",VLOOKUP(B183,CORRESPONDANCE[#All],2,FALSE),I184)</f>
        <v/>
      </c>
      <c r="J183" s="350">
        <f>LEFT(A183,1)</f>
        <v/>
      </c>
      <c r="K183" s="347">
        <f>"HTR8"&amp;" - "&amp;A183</f>
        <v/>
      </c>
      <c r="L183" s="347">
        <f>+VLOOKUP(K183,TL[],4,FALSE)</f>
        <v/>
      </c>
    </row>
    <row r="184">
      <c r="G184" s="220">
        <f>SUM(C184)-SUM(D184)</f>
        <v/>
      </c>
      <c r="H184" s="220">
        <f>SUM(E184)-SUM(F184)</f>
        <v/>
      </c>
      <c r="I184" s="221">
        <f>IF(A184="Total",VLOOKUP(B184,CORRESPONDANCE[#All],2,FALSE),I185)</f>
        <v/>
      </c>
      <c r="J184" s="350">
        <f>LEFT(A184,1)</f>
        <v/>
      </c>
      <c r="K184" s="347">
        <f>"HTR8"&amp;" - "&amp;A184</f>
        <v/>
      </c>
      <c r="L184" s="347">
        <f>+VLOOKUP(K184,TL[],4,FALSE)</f>
        <v/>
      </c>
    </row>
    <row r="185">
      <c r="G185" s="220">
        <f>SUM(C185)-SUM(D185)</f>
        <v/>
      </c>
      <c r="H185" s="220">
        <f>SUM(E185)-SUM(F185)</f>
        <v/>
      </c>
      <c r="I185" s="221">
        <f>IF(A185="Total",VLOOKUP(B185,CORRESPONDANCE[#All],2,FALSE),I186)</f>
        <v/>
      </c>
      <c r="J185" s="350">
        <f>LEFT(A185,1)</f>
        <v/>
      </c>
      <c r="K185" s="347">
        <f>"HTR8"&amp;" - "&amp;A185</f>
        <v/>
      </c>
      <c r="L185" s="347">
        <f>+VLOOKUP(K185,TL[],4,FALSE)</f>
        <v/>
      </c>
    </row>
    <row r="186">
      <c r="G186" s="220">
        <f>SUM(C186)-SUM(D186)</f>
        <v/>
      </c>
      <c r="H186" s="220">
        <f>SUM(E186)-SUM(F186)</f>
        <v/>
      </c>
      <c r="I186" s="221">
        <f>IF(A186="Total",VLOOKUP(B186,CORRESPONDANCE[#All],2,FALSE),I187)</f>
        <v/>
      </c>
      <c r="J186" s="350">
        <f>LEFT(A186,1)</f>
        <v/>
      </c>
      <c r="K186" s="347">
        <f>"HTR8"&amp;" - "&amp;A186</f>
        <v/>
      </c>
      <c r="L186" s="347">
        <f>+VLOOKUP(K186,TL[],4,FALSE)</f>
        <v/>
      </c>
    </row>
    <row r="187">
      <c r="G187" s="220">
        <f>SUM(C187)-SUM(D187)</f>
        <v/>
      </c>
      <c r="H187" s="220">
        <f>SUM(E187)-SUM(F187)</f>
        <v/>
      </c>
      <c r="I187" s="221">
        <f>IF(A187="Total",VLOOKUP(B187,CORRESPONDANCE[#All],2,FALSE),I188)</f>
        <v/>
      </c>
      <c r="J187" s="350">
        <f>LEFT(A187,1)</f>
        <v/>
      </c>
      <c r="K187" s="347">
        <f>"HTR8"&amp;" - "&amp;A187</f>
        <v/>
      </c>
      <c r="L187" s="347">
        <f>+VLOOKUP(K187,TL[],4,FALSE)</f>
        <v/>
      </c>
    </row>
    <row r="188">
      <c r="G188" s="220">
        <f>SUM(C188)-SUM(D188)</f>
        <v/>
      </c>
      <c r="H188" s="220">
        <f>SUM(E188)-SUM(F188)</f>
        <v/>
      </c>
      <c r="I188" s="221">
        <f>IF(A188="Total",VLOOKUP(B188,CORRESPONDANCE[#All],2,FALSE),I189)</f>
        <v/>
      </c>
      <c r="J188" s="350">
        <f>LEFT(A188,1)</f>
        <v/>
      </c>
      <c r="K188" s="347">
        <f>"HTR8"&amp;" - "&amp;A188</f>
        <v/>
      </c>
      <c r="L188" s="347">
        <f>+VLOOKUP(K188,TL[],4,FALSE)</f>
        <v/>
      </c>
    </row>
    <row r="189">
      <c r="G189" s="220">
        <f>SUM(C189)-SUM(D189)</f>
        <v/>
      </c>
      <c r="H189" s="220">
        <f>SUM(E189)-SUM(F189)</f>
        <v/>
      </c>
      <c r="I189" s="221">
        <f>IF(A189="Total",VLOOKUP(B189,CORRESPONDANCE[#All],2,FALSE),I190)</f>
        <v/>
      </c>
      <c r="J189" s="350">
        <f>LEFT(A189,1)</f>
        <v/>
      </c>
      <c r="K189" s="347">
        <f>"HTR8"&amp;" - "&amp;A189</f>
        <v/>
      </c>
      <c r="L189" s="347">
        <f>+VLOOKUP(K189,TL[],4,FALSE)</f>
        <v/>
      </c>
    </row>
    <row r="190">
      <c r="G190" s="220">
        <f>SUM(C190)-SUM(D190)</f>
        <v/>
      </c>
      <c r="H190" s="220">
        <f>SUM(E190)-SUM(F190)</f>
        <v/>
      </c>
      <c r="I190" s="221">
        <f>IF(A190="Total",VLOOKUP(B190,CORRESPONDANCE[#All],2,FALSE),I191)</f>
        <v/>
      </c>
      <c r="J190" s="350">
        <f>LEFT(A190,1)</f>
        <v/>
      </c>
      <c r="K190" s="347">
        <f>"HTR8"&amp;" - "&amp;A190</f>
        <v/>
      </c>
      <c r="L190" s="347">
        <f>+VLOOKUP(K190,TL[],4,FALSE)</f>
        <v/>
      </c>
    </row>
    <row r="191">
      <c r="G191" s="220">
        <f>SUM(C191)-SUM(D191)</f>
        <v/>
      </c>
      <c r="H191" s="220">
        <f>SUM(E191)-SUM(F191)</f>
        <v/>
      </c>
      <c r="I191" s="221">
        <f>IF(A191="Total",VLOOKUP(B191,CORRESPONDANCE[#All],2,FALSE),I192)</f>
        <v/>
      </c>
      <c r="J191" s="350">
        <f>LEFT(A191,1)</f>
        <v/>
      </c>
      <c r="K191" s="347">
        <f>"HTR8"&amp;" - "&amp;A191</f>
        <v/>
      </c>
      <c r="L191" s="347">
        <f>+VLOOKUP(K191,TL[],4,FALSE)</f>
        <v/>
      </c>
    </row>
    <row r="192">
      <c r="G192" s="220">
        <f>SUM(C192)-SUM(D192)</f>
        <v/>
      </c>
      <c r="H192" s="220">
        <f>SUM(E192)-SUM(F192)</f>
        <v/>
      </c>
      <c r="I192" s="221">
        <f>IF(A192="Total",VLOOKUP(B192,CORRESPONDANCE[#All],2,FALSE),I193)</f>
        <v/>
      </c>
      <c r="J192" s="350">
        <f>LEFT(A192,1)</f>
        <v/>
      </c>
      <c r="K192" s="347">
        <f>"HTR8"&amp;" - "&amp;A192</f>
        <v/>
      </c>
      <c r="L192" s="347">
        <f>+VLOOKUP(K192,TL[],4,FALSE)</f>
        <v/>
      </c>
    </row>
    <row r="193">
      <c r="G193" s="220">
        <f>SUM(C193)-SUM(D193)</f>
        <v/>
      </c>
      <c r="H193" s="220">
        <f>SUM(E193)-SUM(F193)</f>
        <v/>
      </c>
      <c r="I193" s="221">
        <f>IF(A193="Total",VLOOKUP(B193,CORRESPONDANCE[#All],2,FALSE),I194)</f>
        <v/>
      </c>
      <c r="J193" s="350">
        <f>LEFT(A193,1)</f>
        <v/>
      </c>
      <c r="K193" s="347">
        <f>"HTR8"&amp;" - "&amp;A193</f>
        <v/>
      </c>
      <c r="L193" s="347">
        <f>+VLOOKUP(K193,TL[],4,FALSE)</f>
        <v/>
      </c>
    </row>
    <row r="194">
      <c r="G194" s="220">
        <f>SUM(C194)-SUM(D194)</f>
        <v/>
      </c>
      <c r="H194" s="220">
        <f>SUM(E194)-SUM(F194)</f>
        <v/>
      </c>
      <c r="I194" s="221">
        <f>IF(A194="Total",VLOOKUP(B194,CORRESPONDANCE[#All],2,FALSE),I195)</f>
        <v/>
      </c>
      <c r="J194" s="350">
        <f>LEFT(A194,1)</f>
        <v/>
      </c>
      <c r="K194" s="347">
        <f>"HTR8"&amp;" - "&amp;A194</f>
        <v/>
      </c>
      <c r="L194" s="347">
        <f>+VLOOKUP(K194,TL[],4,FALSE)</f>
        <v/>
      </c>
    </row>
    <row r="195">
      <c r="G195" s="220">
        <f>SUM(C195)-SUM(D195)</f>
        <v/>
      </c>
      <c r="H195" s="220">
        <f>SUM(E195)-SUM(F195)</f>
        <v/>
      </c>
      <c r="I195" s="221">
        <f>IF(A195="Total",VLOOKUP(B195,CORRESPONDANCE[#All],2,FALSE),I196)</f>
        <v/>
      </c>
      <c r="J195" s="350">
        <f>LEFT(A195,1)</f>
        <v/>
      </c>
      <c r="K195" s="347">
        <f>"HTR8"&amp;" - "&amp;A195</f>
        <v/>
      </c>
      <c r="L195" s="347">
        <f>+VLOOKUP(K195,TL[],4,FALSE)</f>
        <v/>
      </c>
    </row>
    <row r="196">
      <c r="G196" s="220">
        <f>SUM(C196)-SUM(D196)</f>
        <v/>
      </c>
      <c r="H196" s="220">
        <f>SUM(E196)-SUM(F196)</f>
        <v/>
      </c>
      <c r="I196" s="221">
        <f>IF(A196="Total",VLOOKUP(B196,CORRESPONDANCE[#All],2,FALSE),I197)</f>
        <v/>
      </c>
      <c r="J196" s="350">
        <f>LEFT(A196,1)</f>
        <v/>
      </c>
      <c r="K196" s="347">
        <f>"HTR8"&amp;" - "&amp;A196</f>
        <v/>
      </c>
      <c r="L196" s="347">
        <f>+VLOOKUP(K196,TL[],4,FALSE)</f>
        <v/>
      </c>
    </row>
    <row r="197">
      <c r="G197" s="220">
        <f>SUM(C197)-SUM(D197)</f>
        <v/>
      </c>
      <c r="H197" s="220">
        <f>SUM(E197)-SUM(F197)</f>
        <v/>
      </c>
      <c r="I197" s="221">
        <f>IF(A197="Total",VLOOKUP(B197,CORRESPONDANCE[#All],2,FALSE),I198)</f>
        <v/>
      </c>
      <c r="J197" s="350">
        <f>LEFT(A197,1)</f>
        <v/>
      </c>
      <c r="K197" s="347">
        <f>"HTR8"&amp;" - "&amp;A197</f>
        <v/>
      </c>
      <c r="L197" s="347">
        <f>+VLOOKUP(K197,TL[],4,FALSE)</f>
        <v/>
      </c>
    </row>
    <row r="198">
      <c r="G198" s="220">
        <f>SUM(C198)-SUM(D198)</f>
        <v/>
      </c>
      <c r="H198" s="220">
        <f>SUM(E198)-SUM(F198)</f>
        <v/>
      </c>
      <c r="I198" s="221">
        <f>IF(A198="Total",VLOOKUP(B198,CORRESPONDANCE[#All],2,FALSE),I199)</f>
        <v/>
      </c>
      <c r="J198" s="350">
        <f>LEFT(A198,1)</f>
        <v/>
      </c>
      <c r="K198" s="347">
        <f>"HTR8"&amp;" - "&amp;A198</f>
        <v/>
      </c>
      <c r="L198" s="347">
        <f>+VLOOKUP(K198,TL[],4,FALSE)</f>
        <v/>
      </c>
    </row>
    <row r="199">
      <c r="G199" s="220">
        <f>SUM(C199)-SUM(D199)</f>
        <v/>
      </c>
      <c r="H199" s="220">
        <f>SUM(E199)-SUM(F199)</f>
        <v/>
      </c>
      <c r="I199" s="221">
        <f>IF(A199="Total",VLOOKUP(B199,CORRESPONDANCE[#All],2,FALSE),I200)</f>
        <v/>
      </c>
      <c r="J199" s="350">
        <f>LEFT(A199,1)</f>
        <v/>
      </c>
      <c r="K199" s="347">
        <f>"HTR8"&amp;" - "&amp;A199</f>
        <v/>
      </c>
      <c r="L199" s="347">
        <f>+VLOOKUP(K199,TL[],4,FALSE)</f>
        <v/>
      </c>
    </row>
    <row r="200">
      <c r="G200" s="220">
        <f>SUM(C200)-SUM(D200)</f>
        <v/>
      </c>
      <c r="H200" s="220">
        <f>SUM(E200)-SUM(F200)</f>
        <v/>
      </c>
      <c r="I200" s="221">
        <f>IF(A200="Total",VLOOKUP(B200,CORRESPONDANCE[#All],2,FALSE),I201)</f>
        <v/>
      </c>
      <c r="J200" s="350">
        <f>LEFT(A200,1)</f>
        <v/>
      </c>
      <c r="K200" s="347">
        <f>"HTR8"&amp;" - "&amp;A200</f>
        <v/>
      </c>
      <c r="L200" s="347">
        <f>+VLOOKUP(K200,TL[],4,FALSE)</f>
        <v/>
      </c>
    </row>
    <row r="201">
      <c r="G201" s="220">
        <f>SUM(C201)-SUM(D201)</f>
        <v/>
      </c>
      <c r="H201" s="220">
        <f>SUM(E201)-SUM(F201)</f>
        <v/>
      </c>
      <c r="I201" s="221">
        <f>IF(A201="Total",VLOOKUP(B201,CORRESPONDANCE[#All],2,FALSE),I202)</f>
        <v/>
      </c>
      <c r="J201" s="350">
        <f>LEFT(A201,1)</f>
        <v/>
      </c>
      <c r="K201" s="347">
        <f>"HTR8"&amp;" - "&amp;A201</f>
        <v/>
      </c>
      <c r="L201" s="347">
        <f>+VLOOKUP(K201,TL[],4,FALSE)</f>
        <v/>
      </c>
    </row>
    <row r="202">
      <c r="G202" s="220">
        <f>SUM(C202)-SUM(D202)</f>
        <v/>
      </c>
      <c r="H202" s="220">
        <f>SUM(E202)-SUM(F202)</f>
        <v/>
      </c>
      <c r="I202" s="221">
        <f>IF(A202="Total",VLOOKUP(B202,CORRESPONDANCE[#All],2,FALSE),I203)</f>
        <v/>
      </c>
      <c r="J202" s="350">
        <f>LEFT(A202,1)</f>
        <v/>
      </c>
      <c r="K202" s="347">
        <f>"HTR8"&amp;" - "&amp;A202</f>
        <v/>
      </c>
      <c r="L202" s="347">
        <f>+VLOOKUP(K202,TL[],4,FALSE)</f>
        <v/>
      </c>
    </row>
    <row r="203">
      <c r="G203" s="220">
        <f>SUM(C203)-SUM(D203)</f>
        <v/>
      </c>
      <c r="H203" s="220">
        <f>SUM(E203)-SUM(F203)</f>
        <v/>
      </c>
      <c r="I203" s="221">
        <f>IF(A203="Total",VLOOKUP(B203,CORRESPONDANCE[#All],2,FALSE),I204)</f>
        <v/>
      </c>
      <c r="J203" s="350">
        <f>LEFT(A203,1)</f>
        <v/>
      </c>
      <c r="K203" s="347">
        <f>"HTR8"&amp;" - "&amp;A203</f>
        <v/>
      </c>
      <c r="L203" s="347">
        <f>+VLOOKUP(K203,TL[],4,FALSE)</f>
        <v/>
      </c>
    </row>
    <row r="204">
      <c r="G204" s="220">
        <f>SUM(C204)-SUM(D204)</f>
        <v/>
      </c>
      <c r="H204" s="220">
        <f>SUM(E204)-SUM(F204)</f>
        <v/>
      </c>
      <c r="I204" s="221">
        <f>IF(A204="Total",VLOOKUP(B204,CORRESPONDANCE[#All],2,FALSE),I205)</f>
        <v/>
      </c>
      <c r="J204" s="350">
        <f>LEFT(A204,1)</f>
        <v/>
      </c>
      <c r="K204" s="347">
        <f>"HTR8"&amp;" - "&amp;A204</f>
        <v/>
      </c>
      <c r="L204" s="347">
        <f>+VLOOKUP(K204,TL[],4,FALSE)</f>
        <v/>
      </c>
    </row>
    <row r="205">
      <c r="G205" s="220">
        <f>SUM(C205)-SUM(D205)</f>
        <v/>
      </c>
      <c r="H205" s="220">
        <f>SUM(E205)-SUM(F205)</f>
        <v/>
      </c>
      <c r="I205" s="221">
        <f>IF(A205="Total",VLOOKUP(B205,CORRESPONDANCE[#All],2,FALSE),I206)</f>
        <v/>
      </c>
      <c r="J205" s="350">
        <f>LEFT(A205,1)</f>
        <v/>
      </c>
      <c r="K205" s="347">
        <f>"HTR8"&amp;" - "&amp;A205</f>
        <v/>
      </c>
      <c r="L205" s="347">
        <f>+VLOOKUP(K205,TL[],4,FALSE)</f>
        <v/>
      </c>
    </row>
    <row r="206">
      <c r="G206" s="220">
        <f>SUM(C206)-SUM(D206)</f>
        <v/>
      </c>
      <c r="H206" s="220">
        <f>SUM(E206)-SUM(F206)</f>
        <v/>
      </c>
      <c r="I206" s="221">
        <f>IF(A206="Total",VLOOKUP(B206,CORRESPONDANCE[#All],2,FALSE),I207)</f>
        <v/>
      </c>
      <c r="J206" s="350">
        <f>LEFT(A206,1)</f>
        <v/>
      </c>
      <c r="K206" s="347">
        <f>"HTR8"&amp;" - "&amp;A206</f>
        <v/>
      </c>
      <c r="L206" s="347">
        <f>+VLOOKUP(K206,TL[],4,FALSE)</f>
        <v/>
      </c>
    </row>
    <row r="207">
      <c r="G207" s="220">
        <f>SUM(C207)-SUM(D207)</f>
        <v/>
      </c>
      <c r="H207" s="220">
        <f>SUM(E207)-SUM(F207)</f>
        <v/>
      </c>
      <c r="I207" s="221">
        <f>IF(A207="Total",VLOOKUP(B207,CORRESPONDANCE[#All],2,FALSE),I208)</f>
        <v/>
      </c>
      <c r="J207" s="350">
        <f>LEFT(A207,1)</f>
        <v/>
      </c>
      <c r="K207" s="347">
        <f>"HTR8"&amp;" - "&amp;A207</f>
        <v/>
      </c>
      <c r="L207" s="347">
        <f>+VLOOKUP(K207,TL[],4,FALSE)</f>
        <v/>
      </c>
    </row>
    <row r="208">
      <c r="G208" s="220">
        <f>SUM(C208)-SUM(D208)</f>
        <v/>
      </c>
      <c r="H208" s="220">
        <f>SUM(E208)-SUM(F208)</f>
        <v/>
      </c>
      <c r="I208" s="221">
        <f>IF(A208="Total",VLOOKUP(B208,CORRESPONDANCE[#All],2,FALSE),I209)</f>
        <v/>
      </c>
      <c r="J208" s="350">
        <f>LEFT(A208,1)</f>
        <v/>
      </c>
      <c r="K208" s="347">
        <f>"HTR8"&amp;" - "&amp;A208</f>
        <v/>
      </c>
      <c r="L208" s="347">
        <f>+VLOOKUP(K208,TL[],4,FALSE)</f>
        <v/>
      </c>
    </row>
    <row r="209">
      <c r="G209" s="220">
        <f>SUM(C209)-SUM(D209)</f>
        <v/>
      </c>
      <c r="H209" s="220">
        <f>SUM(E209)-SUM(F209)</f>
        <v/>
      </c>
      <c r="I209" s="221">
        <f>IF(A209="Total",VLOOKUP(B209,CORRESPONDANCE[#All],2,FALSE),I210)</f>
        <v/>
      </c>
      <c r="J209" s="350">
        <f>LEFT(A209,1)</f>
        <v/>
      </c>
      <c r="K209" s="347">
        <f>"HTR8"&amp;" - "&amp;A209</f>
        <v/>
      </c>
      <c r="L209" s="347">
        <f>+VLOOKUP(K209,TL[],4,FALSE)</f>
        <v/>
      </c>
    </row>
    <row r="210">
      <c r="G210" s="220">
        <f>SUM(C210)-SUM(D210)</f>
        <v/>
      </c>
      <c r="H210" s="220">
        <f>SUM(E210)-SUM(F210)</f>
        <v/>
      </c>
      <c r="I210" s="221">
        <f>IF(A210="Total",VLOOKUP(B210,CORRESPONDANCE[#All],2,FALSE),I211)</f>
        <v/>
      </c>
      <c r="J210" s="350">
        <f>LEFT(A210,1)</f>
        <v/>
      </c>
      <c r="K210" s="347">
        <f>"HTR8"&amp;" - "&amp;A210</f>
        <v/>
      </c>
      <c r="L210" s="347">
        <f>+VLOOKUP(K210,TL[],4,FALSE)</f>
        <v/>
      </c>
    </row>
    <row r="211">
      <c r="G211" s="220">
        <f>SUM(C211)-SUM(D211)</f>
        <v/>
      </c>
      <c r="H211" s="220">
        <f>SUM(E211)-SUM(F211)</f>
        <v/>
      </c>
      <c r="I211" s="221">
        <f>IF(A211="Total",VLOOKUP(B211,CORRESPONDANCE[#All],2,FALSE),I212)</f>
        <v/>
      </c>
      <c r="J211" s="350">
        <f>LEFT(A211,1)</f>
        <v/>
      </c>
      <c r="K211" s="347">
        <f>"HTR8"&amp;" - "&amp;A211</f>
        <v/>
      </c>
      <c r="L211" s="347">
        <f>+VLOOKUP(K211,TL[],4,FALSE)</f>
        <v/>
      </c>
    </row>
    <row r="212">
      <c r="G212" s="220">
        <f>SUM(C212)-SUM(D212)</f>
        <v/>
      </c>
      <c r="H212" s="220">
        <f>SUM(E212)-SUM(F212)</f>
        <v/>
      </c>
      <c r="I212" s="221">
        <f>IF(A212="Total",VLOOKUP(B212,CORRESPONDANCE[#All],2,FALSE),I213)</f>
        <v/>
      </c>
      <c r="J212" s="350">
        <f>LEFT(A212,1)</f>
        <v/>
      </c>
      <c r="K212" s="347">
        <f>"HTR8"&amp;" - "&amp;A212</f>
        <v/>
      </c>
      <c r="L212" s="347">
        <f>+VLOOKUP(K212,TL[],4,FALSE)</f>
        <v/>
      </c>
    </row>
    <row r="213">
      <c r="G213" s="220">
        <f>SUM(C213)-SUM(D213)</f>
        <v/>
      </c>
      <c r="H213" s="220">
        <f>SUM(E213)-SUM(F213)</f>
        <v/>
      </c>
      <c r="I213" s="221">
        <f>IF(A213="Total",VLOOKUP(B213,CORRESPONDANCE[#All],2,FALSE),I214)</f>
        <v/>
      </c>
      <c r="J213" s="350">
        <f>LEFT(A213,1)</f>
        <v/>
      </c>
      <c r="K213" s="347">
        <f>"HTR8"&amp;" - "&amp;A213</f>
        <v/>
      </c>
      <c r="L213" s="347">
        <f>+VLOOKUP(K213,TL[],4,FALSE)</f>
        <v/>
      </c>
    </row>
    <row r="214">
      <c r="G214" s="220">
        <f>SUM(C214)-SUM(D214)</f>
        <v/>
      </c>
      <c r="H214" s="220">
        <f>SUM(E214)-SUM(F214)</f>
        <v/>
      </c>
      <c r="I214" s="221">
        <f>IF(A214="Total",VLOOKUP(B214,CORRESPONDANCE[#All],2,FALSE),I215)</f>
        <v/>
      </c>
      <c r="J214" s="350">
        <f>LEFT(A214,1)</f>
        <v/>
      </c>
      <c r="K214" s="347">
        <f>"HTR8"&amp;" - "&amp;A214</f>
        <v/>
      </c>
      <c r="L214" s="347">
        <f>+VLOOKUP(K214,TL[],4,FALSE)</f>
        <v/>
      </c>
    </row>
    <row r="215">
      <c r="G215" s="220">
        <f>SUM(C215)-SUM(D215)</f>
        <v/>
      </c>
      <c r="H215" s="220">
        <f>SUM(E215)-SUM(F215)</f>
        <v/>
      </c>
      <c r="I215" s="221">
        <f>IF(A215="Total",VLOOKUP(B215,CORRESPONDANCE[#All],2,FALSE),I216)</f>
        <v/>
      </c>
      <c r="J215" s="350">
        <f>LEFT(A215,1)</f>
        <v/>
      </c>
      <c r="K215" s="347">
        <f>"HTR8"&amp;" - "&amp;A215</f>
        <v/>
      </c>
      <c r="L215" s="347">
        <f>+VLOOKUP(K215,TL[],4,FALSE)</f>
        <v/>
      </c>
    </row>
    <row r="216">
      <c r="G216" s="220">
        <f>SUM(C216)-SUM(D216)</f>
        <v/>
      </c>
      <c r="H216" s="220">
        <f>SUM(E216)-SUM(F216)</f>
        <v/>
      </c>
      <c r="I216" s="221">
        <f>IF(A216="Total",VLOOKUP(B216,CORRESPONDANCE[#All],2,FALSE),I217)</f>
        <v/>
      </c>
      <c r="J216" s="350">
        <f>LEFT(A216,1)</f>
        <v/>
      </c>
      <c r="K216" s="347">
        <f>"HTR8"&amp;" - "&amp;A216</f>
        <v/>
      </c>
      <c r="L216" s="347">
        <f>+VLOOKUP(K216,TL[],4,FALSE)</f>
        <v/>
      </c>
    </row>
    <row r="217">
      <c r="G217" s="220">
        <f>SUM(C217)-SUM(D217)</f>
        <v/>
      </c>
      <c r="H217" s="220">
        <f>SUM(E217)-SUM(F217)</f>
        <v/>
      </c>
      <c r="I217" s="221">
        <f>IF(A217="Total",VLOOKUP(B217,CORRESPONDANCE[#All],2,FALSE),I218)</f>
        <v/>
      </c>
      <c r="J217" s="350">
        <f>LEFT(A217,1)</f>
        <v/>
      </c>
      <c r="K217" s="347">
        <f>"HTR8"&amp;" - "&amp;A217</f>
        <v/>
      </c>
      <c r="L217" s="347">
        <f>+VLOOKUP(K217,TL[],4,FALSE)</f>
        <v/>
      </c>
    </row>
    <row r="218">
      <c r="G218" s="220">
        <f>SUM(C218)-SUM(D218)</f>
        <v/>
      </c>
      <c r="H218" s="220">
        <f>SUM(E218)-SUM(F218)</f>
        <v/>
      </c>
      <c r="I218" s="221">
        <f>IF(A218="Total",VLOOKUP(B218,CORRESPONDANCE[#All],2,FALSE),I219)</f>
        <v/>
      </c>
      <c r="J218" s="350">
        <f>LEFT(A218,1)</f>
        <v/>
      </c>
      <c r="K218" s="347">
        <f>"HTR8"&amp;" - "&amp;A218</f>
        <v/>
      </c>
      <c r="L218" s="347">
        <f>+VLOOKUP(K218,TL[],4,FALSE)</f>
        <v/>
      </c>
    </row>
    <row r="219">
      <c r="G219" s="220">
        <f>SUM(C219)-SUM(D219)</f>
        <v/>
      </c>
      <c r="H219" s="220">
        <f>SUM(E219)-SUM(F219)</f>
        <v/>
      </c>
      <c r="I219" s="221">
        <f>IF(A219="Total",VLOOKUP(B219,CORRESPONDANCE[#All],2,FALSE),I220)</f>
        <v/>
      </c>
      <c r="J219" s="350">
        <f>LEFT(A219,1)</f>
        <v/>
      </c>
      <c r="K219" s="347">
        <f>"HTR8"&amp;" - "&amp;A219</f>
        <v/>
      </c>
      <c r="L219" s="347">
        <f>+VLOOKUP(K219,TL[],4,FALSE)</f>
        <v/>
      </c>
    </row>
    <row r="220">
      <c r="G220" s="220">
        <f>SUM(C220)-SUM(D220)</f>
        <v/>
      </c>
      <c r="H220" s="220">
        <f>SUM(E220)-SUM(F220)</f>
        <v/>
      </c>
      <c r="I220" s="221">
        <f>IF(A220="Total",VLOOKUP(B220,CORRESPONDANCE[#All],2,FALSE),I221)</f>
        <v/>
      </c>
      <c r="J220" s="350">
        <f>LEFT(A220,1)</f>
        <v/>
      </c>
      <c r="K220" s="347">
        <f>"HTR8"&amp;" - "&amp;A220</f>
        <v/>
      </c>
      <c r="L220" s="347">
        <f>+VLOOKUP(K220,TL[],4,FALSE)</f>
        <v/>
      </c>
    </row>
    <row r="221">
      <c r="G221" s="220">
        <f>SUM(C221)-SUM(D221)</f>
        <v/>
      </c>
      <c r="H221" s="220">
        <f>SUM(E221)-SUM(F221)</f>
        <v/>
      </c>
      <c r="I221" s="221">
        <f>IF(A221="Total",VLOOKUP(B221,CORRESPONDANCE[#All],2,FALSE),I222)</f>
        <v/>
      </c>
      <c r="J221" s="350">
        <f>LEFT(A221,1)</f>
        <v/>
      </c>
      <c r="K221" s="347">
        <f>"HTR8"&amp;" - "&amp;A221</f>
        <v/>
      </c>
      <c r="L221" s="347">
        <f>+VLOOKUP(K221,TL[],4,FALSE)</f>
        <v/>
      </c>
    </row>
    <row r="222">
      <c r="G222" s="220">
        <f>SUM(C222)-SUM(D222)</f>
        <v/>
      </c>
      <c r="H222" s="220">
        <f>SUM(E222)-SUM(F222)</f>
        <v/>
      </c>
      <c r="I222" s="221">
        <f>IF(A222="Total",VLOOKUP(B222,CORRESPONDANCE[#All],2,FALSE),I223)</f>
        <v/>
      </c>
      <c r="J222" s="350">
        <f>LEFT(A222,1)</f>
        <v/>
      </c>
      <c r="K222" s="347">
        <f>"HTR8"&amp;" - "&amp;A222</f>
        <v/>
      </c>
      <c r="L222" s="347">
        <f>+VLOOKUP(K222,TL[],4,FALSE)</f>
        <v/>
      </c>
    </row>
    <row r="223">
      <c r="G223" s="220">
        <f>SUM(C223)-SUM(D223)</f>
        <v/>
      </c>
      <c r="H223" s="220">
        <f>SUM(E223)-SUM(F223)</f>
        <v/>
      </c>
      <c r="I223" s="221">
        <f>IF(A223="Total",VLOOKUP(B223,CORRESPONDANCE[#All],2,FALSE),I224)</f>
        <v/>
      </c>
      <c r="J223" s="350">
        <f>LEFT(A223,1)</f>
        <v/>
      </c>
      <c r="K223" s="347">
        <f>"HTR8"&amp;" - "&amp;A223</f>
        <v/>
      </c>
      <c r="L223" s="347">
        <f>+VLOOKUP(K223,TL[],4,FALSE)</f>
        <v/>
      </c>
    </row>
    <row r="224">
      <c r="G224" s="220">
        <f>SUM(C224)-SUM(D224)</f>
        <v/>
      </c>
      <c r="H224" s="220">
        <f>SUM(E224)-SUM(F224)</f>
        <v/>
      </c>
      <c r="I224" s="221">
        <f>IF(A224="Total",VLOOKUP(B224,CORRESPONDANCE[#All],2,FALSE),I225)</f>
        <v/>
      </c>
      <c r="J224" s="350">
        <f>LEFT(A224,1)</f>
        <v/>
      </c>
      <c r="K224" s="347">
        <f>"HTR8"&amp;" - "&amp;A224</f>
        <v/>
      </c>
      <c r="L224" s="347">
        <f>+VLOOKUP(K224,TL[],4,FALSE)</f>
        <v/>
      </c>
    </row>
    <row r="225">
      <c r="G225" s="220">
        <f>SUM(C225)-SUM(D225)</f>
        <v/>
      </c>
      <c r="H225" s="220">
        <f>SUM(E225)-SUM(F225)</f>
        <v/>
      </c>
      <c r="I225" s="221">
        <f>IF(A225="Total",VLOOKUP(B225,CORRESPONDANCE[#All],2,FALSE),I226)</f>
        <v/>
      </c>
      <c r="J225" s="350">
        <f>LEFT(A225,1)</f>
        <v/>
      </c>
      <c r="K225" s="347">
        <f>"HTR8"&amp;" - "&amp;A225</f>
        <v/>
      </c>
      <c r="L225" s="347">
        <f>+VLOOKUP(K225,TL[],4,FALSE)</f>
        <v/>
      </c>
    </row>
    <row r="226">
      <c r="G226" s="220">
        <f>SUM(C226)-SUM(D226)</f>
        <v/>
      </c>
      <c r="H226" s="220">
        <f>SUM(E226)-SUM(F226)</f>
        <v/>
      </c>
      <c r="I226" s="221">
        <f>IF(A226="Total",VLOOKUP(B226,CORRESPONDANCE[#All],2,FALSE),I227)</f>
        <v/>
      </c>
      <c r="J226" s="350">
        <f>LEFT(A226,1)</f>
        <v/>
      </c>
      <c r="K226" s="347">
        <f>"HTR8"&amp;" - "&amp;A226</f>
        <v/>
      </c>
      <c r="L226" s="347">
        <f>+VLOOKUP(K226,TL[],4,FALSE)</f>
        <v/>
      </c>
    </row>
    <row r="227">
      <c r="G227" s="220">
        <f>SUM(C227)-SUM(D227)</f>
        <v/>
      </c>
      <c r="H227" s="220">
        <f>SUM(E227)-SUM(F227)</f>
        <v/>
      </c>
      <c r="I227" s="221">
        <f>IF(A227="Total",VLOOKUP(B227,CORRESPONDANCE[#All],2,FALSE),I228)</f>
        <v/>
      </c>
      <c r="J227" s="350">
        <f>LEFT(A227,1)</f>
        <v/>
      </c>
      <c r="K227" s="347">
        <f>"HTR8"&amp;" - "&amp;A227</f>
        <v/>
      </c>
      <c r="L227" s="347">
        <f>+VLOOKUP(K227,TL[],4,FALSE)</f>
        <v/>
      </c>
    </row>
    <row r="228">
      <c r="G228" s="220">
        <f>SUM(C228)-SUM(D228)</f>
        <v/>
      </c>
      <c r="H228" s="220">
        <f>SUM(E228)-SUM(F228)</f>
        <v/>
      </c>
      <c r="I228" s="221">
        <f>IF(A228="Total",VLOOKUP(B228,CORRESPONDANCE[#All],2,FALSE),I229)</f>
        <v/>
      </c>
      <c r="J228" s="350">
        <f>LEFT(A228,1)</f>
        <v/>
      </c>
      <c r="K228" s="347">
        <f>"HTR8"&amp;" - "&amp;A228</f>
        <v/>
      </c>
      <c r="L228" s="347">
        <f>+VLOOKUP(K228,TL[],4,FALSE)</f>
        <v/>
      </c>
    </row>
    <row r="229">
      <c r="G229" s="220">
        <f>SUM(C229)-SUM(D229)</f>
        <v/>
      </c>
      <c r="H229" s="220">
        <f>SUM(E229)-SUM(F229)</f>
        <v/>
      </c>
      <c r="I229" s="221">
        <f>IF(A229="Total",VLOOKUP(B229,CORRESPONDANCE[#All],2,FALSE),I230)</f>
        <v/>
      </c>
      <c r="J229" s="350">
        <f>LEFT(A229,1)</f>
        <v/>
      </c>
      <c r="K229" s="347">
        <f>"HTR8"&amp;" - "&amp;A229</f>
        <v/>
      </c>
      <c r="L229" s="347">
        <f>+VLOOKUP(K229,TL[],4,FALSE)</f>
        <v/>
      </c>
    </row>
    <row r="230">
      <c r="G230" s="220">
        <f>SUM(C230)-SUM(D230)</f>
        <v/>
      </c>
      <c r="H230" s="220">
        <f>SUM(E230)-SUM(F230)</f>
        <v/>
      </c>
      <c r="I230" s="221">
        <f>IF(A230="Total",VLOOKUP(B230,CORRESPONDANCE[#All],2,FALSE),I231)</f>
        <v/>
      </c>
      <c r="J230" s="350">
        <f>LEFT(A230,1)</f>
        <v/>
      </c>
      <c r="K230" s="347">
        <f>"HTR8"&amp;" - "&amp;A230</f>
        <v/>
      </c>
      <c r="L230" s="347">
        <f>+VLOOKUP(K230,TL[],4,FALSE)</f>
        <v/>
      </c>
    </row>
    <row r="231">
      <c r="G231" s="220">
        <f>SUM(C231)-SUM(D231)</f>
        <v/>
      </c>
      <c r="H231" s="220">
        <f>SUM(E231)-SUM(F231)</f>
        <v/>
      </c>
      <c r="I231" s="221">
        <f>IF(A231="Total",VLOOKUP(B231,CORRESPONDANCE[#All],2,FALSE),I232)</f>
        <v/>
      </c>
      <c r="J231" s="350">
        <f>LEFT(A231,1)</f>
        <v/>
      </c>
      <c r="K231" s="347">
        <f>"HTR8"&amp;" - "&amp;A231</f>
        <v/>
      </c>
      <c r="L231" s="347">
        <f>+VLOOKUP(K231,TL[],4,FALSE)</f>
        <v/>
      </c>
    </row>
    <row r="232">
      <c r="G232" s="220">
        <f>SUM(C232)-SUM(D232)</f>
        <v/>
      </c>
      <c r="H232" s="220">
        <f>SUM(E232)-SUM(F232)</f>
        <v/>
      </c>
      <c r="I232" s="221">
        <f>IF(A232="Total",VLOOKUP(B232,CORRESPONDANCE[#All],2,FALSE),I233)</f>
        <v/>
      </c>
      <c r="J232" s="350">
        <f>LEFT(A232,1)</f>
        <v/>
      </c>
      <c r="K232" s="347">
        <f>"HTR8"&amp;" - "&amp;A232</f>
        <v/>
      </c>
      <c r="L232" s="347">
        <f>+VLOOKUP(K232,TL[],4,FALSE)</f>
        <v/>
      </c>
    </row>
    <row r="233">
      <c r="G233" s="220">
        <f>SUM(C233)-SUM(D233)</f>
        <v/>
      </c>
      <c r="H233" s="220">
        <f>SUM(E233)-SUM(F233)</f>
        <v/>
      </c>
      <c r="I233" s="221">
        <f>IF(A233="Total",VLOOKUP(B233,CORRESPONDANCE[#All],2,FALSE),I234)</f>
        <v/>
      </c>
      <c r="J233" s="350">
        <f>LEFT(A233,1)</f>
        <v/>
      </c>
      <c r="K233" s="347">
        <f>"HTR8"&amp;" - "&amp;A233</f>
        <v/>
      </c>
      <c r="L233" s="347">
        <f>+VLOOKUP(K233,TL[],4,FALSE)</f>
        <v/>
      </c>
    </row>
    <row r="234">
      <c r="G234" s="220">
        <f>SUM(C234)-SUM(D234)</f>
        <v/>
      </c>
      <c r="H234" s="220">
        <f>SUM(E234)-SUM(F234)</f>
        <v/>
      </c>
      <c r="I234" s="221">
        <f>IF(A234="Total",VLOOKUP(B234,CORRESPONDANCE[#All],2,FALSE),I235)</f>
        <v/>
      </c>
      <c r="J234" s="350">
        <f>LEFT(A234,1)</f>
        <v/>
      </c>
      <c r="K234" s="347">
        <f>"HTR8"&amp;" - "&amp;A234</f>
        <v/>
      </c>
      <c r="L234" s="347">
        <f>+VLOOKUP(K234,TL[],4,FALSE)</f>
        <v/>
      </c>
    </row>
    <row r="235">
      <c r="G235" s="220">
        <f>SUM(C235)-SUM(D235)</f>
        <v/>
      </c>
      <c r="H235" s="220">
        <f>SUM(E235)-SUM(F235)</f>
        <v/>
      </c>
      <c r="I235" s="221">
        <f>IF(A235="Total",VLOOKUP(B235,CORRESPONDANCE[#All],2,FALSE),I236)</f>
        <v/>
      </c>
      <c r="J235" s="350">
        <f>LEFT(A235,1)</f>
        <v/>
      </c>
      <c r="K235" s="347">
        <f>"HTR8"&amp;" - "&amp;A235</f>
        <v/>
      </c>
      <c r="L235" s="347">
        <f>+VLOOKUP(K235,TL[],4,FALSE)</f>
        <v/>
      </c>
    </row>
    <row r="236">
      <c r="G236" s="220">
        <f>SUM(C236)-SUM(D236)</f>
        <v/>
      </c>
      <c r="H236" s="220">
        <f>SUM(E236)-SUM(F236)</f>
        <v/>
      </c>
      <c r="I236" s="221">
        <f>IF(A236="Total",VLOOKUP(B236,CORRESPONDANCE[#All],2,FALSE),I237)</f>
        <v/>
      </c>
      <c r="J236" s="350">
        <f>LEFT(A236,1)</f>
        <v/>
      </c>
      <c r="K236" s="347">
        <f>"HTR8"&amp;" - "&amp;A236</f>
        <v/>
      </c>
      <c r="L236" s="347">
        <f>+VLOOKUP(K236,TL[],4,FALSE)</f>
        <v/>
      </c>
    </row>
    <row r="237">
      <c r="G237" s="220">
        <f>SUM(C237)-SUM(D237)</f>
        <v/>
      </c>
      <c r="H237" s="220">
        <f>SUM(E237)-SUM(F237)</f>
        <v/>
      </c>
      <c r="I237" s="221">
        <f>IF(A237="Total",VLOOKUP(B237,CORRESPONDANCE[#All],2,FALSE),I238)</f>
        <v/>
      </c>
      <c r="J237" s="350">
        <f>LEFT(A237,1)</f>
        <v/>
      </c>
      <c r="K237" s="347">
        <f>"HTR8"&amp;" - "&amp;A237</f>
        <v/>
      </c>
      <c r="L237" s="347">
        <f>+VLOOKUP(K237,TL[],4,FALSE)</f>
        <v/>
      </c>
    </row>
    <row r="238">
      <c r="G238" s="220">
        <f>SUM(C238)-SUM(D238)</f>
        <v/>
      </c>
      <c r="H238" s="220">
        <f>SUM(E238)-SUM(F238)</f>
        <v/>
      </c>
      <c r="I238" s="221">
        <f>IF(A238="Total",VLOOKUP(B238,CORRESPONDANCE[#All],2,FALSE),I239)</f>
        <v/>
      </c>
      <c r="J238" s="350">
        <f>LEFT(A238,1)</f>
        <v/>
      </c>
      <c r="K238" s="347">
        <f>"HTR8"&amp;" - "&amp;A238</f>
        <v/>
      </c>
      <c r="L238" s="347">
        <f>+VLOOKUP(K238,TL[],4,FALSE)</f>
        <v/>
      </c>
    </row>
    <row r="239">
      <c r="G239" s="220">
        <f>SUM(C239)-SUM(D239)</f>
        <v/>
      </c>
      <c r="H239" s="220">
        <f>SUM(E239)-SUM(F239)</f>
        <v/>
      </c>
      <c r="I239" s="221">
        <f>IF(A239="Total",VLOOKUP(B239,CORRESPONDANCE[#All],2,FALSE),I240)</f>
        <v/>
      </c>
      <c r="J239" s="350">
        <f>LEFT(A239,1)</f>
        <v/>
      </c>
      <c r="K239" s="347">
        <f>"HTR8"&amp;" - "&amp;A239</f>
        <v/>
      </c>
      <c r="L239" s="347">
        <f>+VLOOKUP(K239,TL[],4,FALSE)</f>
        <v/>
      </c>
    </row>
    <row r="240">
      <c r="G240" s="220">
        <f>SUM(C240)-SUM(D240)</f>
        <v/>
      </c>
      <c r="H240" s="220">
        <f>SUM(E240)-SUM(F240)</f>
        <v/>
      </c>
      <c r="I240" s="221">
        <f>IF(A240="Total",VLOOKUP(B240,CORRESPONDANCE[#All],2,FALSE),I241)</f>
        <v/>
      </c>
      <c r="J240" s="350">
        <f>LEFT(A240,1)</f>
        <v/>
      </c>
      <c r="K240" s="347">
        <f>"HTR8"&amp;" - "&amp;A240</f>
        <v/>
      </c>
      <c r="L240" s="347">
        <f>+VLOOKUP(K240,TL[],4,FALSE)</f>
        <v/>
      </c>
    </row>
    <row r="241">
      <c r="G241" s="220">
        <f>SUM(C241)-SUM(D241)</f>
        <v/>
      </c>
      <c r="H241" s="220">
        <f>SUM(E241)-SUM(F241)</f>
        <v/>
      </c>
      <c r="I241" s="221">
        <f>IF(A241="Total",VLOOKUP(B241,CORRESPONDANCE[#All],2,FALSE),I242)</f>
        <v/>
      </c>
      <c r="J241" s="350">
        <f>LEFT(A241,1)</f>
        <v/>
      </c>
      <c r="K241" s="347">
        <f>"HTR8"&amp;" - "&amp;A241</f>
        <v/>
      </c>
      <c r="L241" s="347">
        <f>+VLOOKUP(K241,TL[],4,FALSE)</f>
        <v/>
      </c>
    </row>
    <row r="242">
      <c r="G242" s="220">
        <f>SUM(C242)-SUM(D242)</f>
        <v/>
      </c>
      <c r="H242" s="220">
        <f>SUM(E242)-SUM(F242)</f>
        <v/>
      </c>
      <c r="I242" s="221">
        <f>IF(A242="Total",VLOOKUP(B242,CORRESPONDANCE[#All],2,FALSE),I243)</f>
        <v/>
      </c>
      <c r="J242" s="350">
        <f>LEFT(A242,1)</f>
        <v/>
      </c>
      <c r="K242" s="347">
        <f>"HTR8"&amp;" - "&amp;A242</f>
        <v/>
      </c>
      <c r="L242" s="347">
        <f>+VLOOKUP(K242,TL[],4,FALSE)</f>
        <v/>
      </c>
    </row>
    <row r="243">
      <c r="G243" s="220">
        <f>SUM(C243)-SUM(D243)</f>
        <v/>
      </c>
      <c r="H243" s="220">
        <f>SUM(E243)-SUM(F243)</f>
        <v/>
      </c>
      <c r="I243" s="221">
        <f>IF(A243="Total",VLOOKUP(B243,CORRESPONDANCE[#All],2,FALSE),I244)</f>
        <v/>
      </c>
      <c r="J243" s="350">
        <f>LEFT(A243,1)</f>
        <v/>
      </c>
      <c r="K243" s="347">
        <f>"HTR8"&amp;" - "&amp;A243</f>
        <v/>
      </c>
      <c r="L243" s="347">
        <f>+VLOOKUP(K243,TL[],4,FALSE)</f>
        <v/>
      </c>
    </row>
    <row r="244">
      <c r="G244" s="220">
        <f>SUM(C244)-SUM(D244)</f>
        <v/>
      </c>
      <c r="H244" s="220">
        <f>SUM(E244)-SUM(F244)</f>
        <v/>
      </c>
      <c r="I244" s="221">
        <f>IF(A244="Total",VLOOKUP(B244,CORRESPONDANCE[#All],2,FALSE),I245)</f>
        <v/>
      </c>
      <c r="J244" s="350">
        <f>LEFT(A244,1)</f>
        <v/>
      </c>
      <c r="K244" s="347">
        <f>"HTR8"&amp;" - "&amp;A244</f>
        <v/>
      </c>
      <c r="L244" s="347">
        <f>+VLOOKUP(K244,TL[],4,FALSE)</f>
        <v/>
      </c>
    </row>
    <row r="245">
      <c r="G245" s="220">
        <f>SUM(C245)-SUM(D245)</f>
        <v/>
      </c>
      <c r="H245" s="220">
        <f>SUM(E245)-SUM(F245)</f>
        <v/>
      </c>
      <c r="I245" s="221">
        <f>IF(A245="Total",VLOOKUP(B245,CORRESPONDANCE[#All],2,FALSE),I246)</f>
        <v/>
      </c>
      <c r="J245" s="350">
        <f>LEFT(A245,1)</f>
        <v/>
      </c>
      <c r="K245" s="347">
        <f>"HTR8"&amp;" - "&amp;A245</f>
        <v/>
      </c>
      <c r="L245" s="347">
        <f>+VLOOKUP(K245,TL[],4,FALSE)</f>
        <v/>
      </c>
    </row>
    <row r="246">
      <c r="G246" s="220">
        <f>SUM(C246)-SUM(D246)</f>
        <v/>
      </c>
      <c r="H246" s="220">
        <f>SUM(E246)-SUM(F246)</f>
        <v/>
      </c>
      <c r="I246" s="221">
        <f>IF(A246="Total",VLOOKUP(B246,CORRESPONDANCE[#All],2,FALSE),I247)</f>
        <v/>
      </c>
      <c r="J246" s="350">
        <f>LEFT(A246,1)</f>
        <v/>
      </c>
      <c r="K246" s="347">
        <f>"HTR8"&amp;" - "&amp;A246</f>
        <v/>
      </c>
      <c r="L246" s="347">
        <f>+VLOOKUP(K246,TL[],4,FALSE)</f>
        <v/>
      </c>
    </row>
    <row r="247">
      <c r="G247" s="220">
        <f>SUM(C247)-SUM(D247)</f>
        <v/>
      </c>
      <c r="H247" s="220">
        <f>SUM(E247)-SUM(F247)</f>
        <v/>
      </c>
      <c r="I247" s="221">
        <f>IF(A247="Total",VLOOKUP(B247,CORRESPONDANCE[#All],2,FALSE),I248)</f>
        <v/>
      </c>
      <c r="J247" s="350">
        <f>LEFT(A247,1)</f>
        <v/>
      </c>
      <c r="K247" s="347">
        <f>"HTR8"&amp;" - "&amp;A247</f>
        <v/>
      </c>
      <c r="L247" s="347">
        <f>+VLOOKUP(K247,TL[],4,FALSE)</f>
        <v/>
      </c>
    </row>
    <row r="248">
      <c r="G248" s="220">
        <f>SUM(C248)-SUM(D248)</f>
        <v/>
      </c>
      <c r="H248" s="220">
        <f>SUM(E248)-SUM(F248)</f>
        <v/>
      </c>
      <c r="I248" s="221">
        <f>IF(A248="Total",VLOOKUP(B248,CORRESPONDANCE[#All],2,FALSE),I249)</f>
        <v/>
      </c>
      <c r="J248" s="350">
        <f>LEFT(A248,1)</f>
        <v/>
      </c>
      <c r="K248" s="347">
        <f>"HTR8"&amp;" - "&amp;A248</f>
        <v/>
      </c>
      <c r="L248" s="347">
        <f>+VLOOKUP(K248,TL[],4,FALSE)</f>
        <v/>
      </c>
    </row>
    <row r="249">
      <c r="G249" s="220">
        <f>SUM(C249)-SUM(D249)</f>
        <v/>
      </c>
      <c r="H249" s="220">
        <f>SUM(E249)-SUM(F249)</f>
        <v/>
      </c>
      <c r="I249" s="221">
        <f>IF(A249="Total",VLOOKUP(B249,CORRESPONDANCE[#All],2,FALSE),I250)</f>
        <v/>
      </c>
      <c r="J249" s="350">
        <f>LEFT(A249,1)</f>
        <v/>
      </c>
      <c r="K249" s="347">
        <f>"HTR8"&amp;" - "&amp;A249</f>
        <v/>
      </c>
      <c r="L249" s="347">
        <f>+VLOOKUP(K249,TL[],4,FALSE)</f>
        <v/>
      </c>
    </row>
    <row r="250">
      <c r="G250" s="220">
        <f>SUM(C250)-SUM(D250)</f>
        <v/>
      </c>
      <c r="H250" s="220">
        <f>SUM(E250)-SUM(F250)</f>
        <v/>
      </c>
      <c r="I250" s="221">
        <f>IF(A250="Total",VLOOKUP(B250,CORRESPONDANCE[#All],2,FALSE),I251)</f>
        <v/>
      </c>
      <c r="J250" s="350">
        <f>LEFT(A250,1)</f>
        <v/>
      </c>
      <c r="K250" s="347">
        <f>"HTR8"&amp;" - "&amp;A250</f>
        <v/>
      </c>
      <c r="L250" s="347">
        <f>+VLOOKUP(K250,TL[],4,FALSE)</f>
        <v/>
      </c>
    </row>
    <row r="251">
      <c r="G251" s="220">
        <f>SUM(C251)-SUM(D251)</f>
        <v/>
      </c>
      <c r="H251" s="220">
        <f>SUM(E251)-SUM(F251)</f>
        <v/>
      </c>
      <c r="I251" s="221">
        <f>IF(A251="Total",VLOOKUP(B251,CORRESPONDANCE[#All],2,FALSE),I252)</f>
        <v/>
      </c>
      <c r="J251" s="350">
        <f>LEFT(A251,1)</f>
        <v/>
      </c>
      <c r="K251" s="347">
        <f>"HTR8"&amp;" - "&amp;A251</f>
        <v/>
      </c>
      <c r="L251" s="347">
        <f>+VLOOKUP(K251,TL[],4,FALSE)</f>
        <v/>
      </c>
    </row>
    <row r="252">
      <c r="G252" s="220">
        <f>SUM(C252)-SUM(D252)</f>
        <v/>
      </c>
      <c r="H252" s="220">
        <f>SUM(E252)-SUM(F252)</f>
        <v/>
      </c>
      <c r="I252" s="221">
        <f>IF(A252="Total",VLOOKUP(B252,CORRESPONDANCE[#All],2,FALSE),I253)</f>
        <v/>
      </c>
      <c r="J252" s="350">
        <f>LEFT(A252,1)</f>
        <v/>
      </c>
      <c r="K252" s="347">
        <f>"HTR8"&amp;" - "&amp;A252</f>
        <v/>
      </c>
      <c r="L252" s="347">
        <f>+VLOOKUP(K252,TL[],4,FALSE)</f>
        <v/>
      </c>
    </row>
    <row r="253">
      <c r="G253" s="220">
        <f>SUM(C253)-SUM(D253)</f>
        <v/>
      </c>
      <c r="H253" s="220">
        <f>SUM(E253)-SUM(F253)</f>
        <v/>
      </c>
      <c r="I253" s="221">
        <f>IF(A253="Total",VLOOKUP(B253,CORRESPONDANCE[#All],2,FALSE),I254)</f>
        <v/>
      </c>
      <c r="J253" s="350">
        <f>LEFT(A253,1)</f>
        <v/>
      </c>
      <c r="K253" s="347">
        <f>"HTR8"&amp;" - "&amp;A253</f>
        <v/>
      </c>
      <c r="L253" s="347">
        <f>+VLOOKUP(K253,TL[],4,FALSE)</f>
        <v/>
      </c>
    </row>
    <row r="254">
      <c r="G254" s="220">
        <f>SUM(C254)-SUM(D254)</f>
        <v/>
      </c>
      <c r="H254" s="220">
        <f>SUM(E254)-SUM(F254)</f>
        <v/>
      </c>
      <c r="I254" s="221">
        <f>IF(A254="Total",VLOOKUP(B254,CORRESPONDANCE[#All],2,FALSE),I255)</f>
        <v/>
      </c>
      <c r="J254" s="350">
        <f>LEFT(A254,1)</f>
        <v/>
      </c>
      <c r="K254" s="347">
        <f>"HTR8"&amp;" - "&amp;A254</f>
        <v/>
      </c>
      <c r="L254" s="347">
        <f>+VLOOKUP(K254,TL[],4,FALSE)</f>
        <v/>
      </c>
    </row>
    <row r="255">
      <c r="G255" s="220">
        <f>SUM(C255)-SUM(D255)</f>
        <v/>
      </c>
      <c r="H255" s="220">
        <f>SUM(E255)-SUM(F255)</f>
        <v/>
      </c>
      <c r="I255" s="221">
        <f>IF(A255="Total",VLOOKUP(B255,CORRESPONDANCE[#All],2,FALSE),I256)</f>
        <v/>
      </c>
      <c r="J255" s="350">
        <f>LEFT(A255,1)</f>
        <v/>
      </c>
      <c r="K255" s="347">
        <f>"HTR8"&amp;" - "&amp;A255</f>
        <v/>
      </c>
      <c r="L255" s="347">
        <f>+VLOOKUP(K255,TL[],4,FALSE)</f>
        <v/>
      </c>
    </row>
    <row r="256">
      <c r="G256" s="220">
        <f>SUM(C256)-SUM(D256)</f>
        <v/>
      </c>
      <c r="H256" s="220">
        <f>SUM(E256)-SUM(F256)</f>
        <v/>
      </c>
      <c r="I256" s="221">
        <f>IF(A256="Total",VLOOKUP(B256,CORRESPONDANCE[#All],2,FALSE),I257)</f>
        <v/>
      </c>
      <c r="J256" s="350">
        <f>LEFT(A256,1)</f>
        <v/>
      </c>
      <c r="K256" s="347">
        <f>"HTR8"&amp;" - "&amp;A256</f>
        <v/>
      </c>
      <c r="L256" s="347">
        <f>+VLOOKUP(K256,TL[],4,FALSE)</f>
        <v/>
      </c>
    </row>
    <row r="257">
      <c r="G257" s="220">
        <f>SUM(C257)-SUM(D257)</f>
        <v/>
      </c>
      <c r="H257" s="220">
        <f>SUM(E257)-SUM(F257)</f>
        <v/>
      </c>
      <c r="I257" s="221">
        <f>IF(A257="Total",VLOOKUP(B257,CORRESPONDANCE[#All],2,FALSE),I258)</f>
        <v/>
      </c>
      <c r="J257" s="350">
        <f>LEFT(A257,1)</f>
        <v/>
      </c>
      <c r="K257" s="347">
        <f>"HTR8"&amp;" - "&amp;A257</f>
        <v/>
      </c>
      <c r="L257" s="347">
        <f>+VLOOKUP(K257,TL[],4,FALSE)</f>
        <v/>
      </c>
    </row>
    <row r="258">
      <c r="G258" s="220">
        <f>SUM(C258)-SUM(D258)</f>
        <v/>
      </c>
      <c r="H258" s="220">
        <f>SUM(E258)-SUM(F258)</f>
        <v/>
      </c>
      <c r="I258" s="221">
        <f>IF(A258="Total",VLOOKUP(B258,CORRESPONDANCE[#All],2,FALSE),I259)</f>
        <v/>
      </c>
      <c r="J258" s="350">
        <f>LEFT(A258,1)</f>
        <v/>
      </c>
      <c r="K258" s="347">
        <f>"HTR8"&amp;" - "&amp;A258</f>
        <v/>
      </c>
      <c r="L258" s="347">
        <f>+VLOOKUP(K258,TL[],4,FALSE)</f>
        <v/>
      </c>
    </row>
    <row r="259">
      <c r="G259" s="220">
        <f>SUM(C259)-SUM(D259)</f>
        <v/>
      </c>
      <c r="H259" s="220">
        <f>SUM(E259)-SUM(F259)</f>
        <v/>
      </c>
      <c r="I259" s="221">
        <f>IF(A259="Total",VLOOKUP(B259,CORRESPONDANCE[#All],2,FALSE),I260)</f>
        <v/>
      </c>
      <c r="J259" s="350">
        <f>LEFT(A259,1)</f>
        <v/>
      </c>
      <c r="K259" s="347">
        <f>"HTR8"&amp;" - "&amp;A259</f>
        <v/>
      </c>
      <c r="L259" s="347">
        <f>+VLOOKUP(K259,TL[],4,FALSE)</f>
        <v/>
      </c>
    </row>
    <row r="260">
      <c r="G260" s="220">
        <f>SUM(C260)-SUM(D260)</f>
        <v/>
      </c>
      <c r="H260" s="220">
        <f>SUM(E260)-SUM(F260)</f>
        <v/>
      </c>
      <c r="I260" s="221">
        <f>IF(A260="Total",VLOOKUP(B260,CORRESPONDANCE[#All],2,FALSE),I261)</f>
        <v/>
      </c>
      <c r="J260" s="350">
        <f>LEFT(A260,1)</f>
        <v/>
      </c>
      <c r="K260" s="347">
        <f>"HTR8"&amp;" - "&amp;A260</f>
        <v/>
      </c>
      <c r="L260" s="347">
        <f>+VLOOKUP(K260,TL[],4,FALSE)</f>
        <v/>
      </c>
    </row>
    <row r="261">
      <c r="G261" s="220">
        <f>SUM(C261)-SUM(D261)</f>
        <v/>
      </c>
      <c r="H261" s="220">
        <f>SUM(E261)-SUM(F261)</f>
        <v/>
      </c>
      <c r="I261" s="221">
        <f>IF(A261="Total",VLOOKUP(B261,CORRESPONDANCE[#All],2,FALSE),I262)</f>
        <v/>
      </c>
      <c r="J261" s="350">
        <f>LEFT(A261,1)</f>
        <v/>
      </c>
      <c r="K261" s="347">
        <f>"HTR8"&amp;" - "&amp;A261</f>
        <v/>
      </c>
      <c r="L261" s="347">
        <f>+VLOOKUP(K261,TL[],4,FALSE)</f>
        <v/>
      </c>
    </row>
    <row r="262">
      <c r="G262" s="220">
        <f>SUM(C262)-SUM(D262)</f>
        <v/>
      </c>
      <c r="H262" s="220">
        <f>SUM(E262)-SUM(F262)</f>
        <v/>
      </c>
      <c r="I262" s="221">
        <f>IF(A262="Total",VLOOKUP(B262,CORRESPONDANCE[#All],2,FALSE),I263)</f>
        <v/>
      </c>
      <c r="J262" s="350">
        <f>LEFT(A262,1)</f>
        <v/>
      </c>
      <c r="K262" s="347">
        <f>"HTR8"&amp;" - "&amp;A262</f>
        <v/>
      </c>
      <c r="L262" s="347">
        <f>+VLOOKUP(K262,TL[],4,FALSE)</f>
        <v/>
      </c>
    </row>
    <row r="263">
      <c r="G263" s="220">
        <f>SUM(C263)-SUM(D263)</f>
        <v/>
      </c>
      <c r="H263" s="220">
        <f>SUM(E263)-SUM(F263)</f>
        <v/>
      </c>
      <c r="I263" s="221">
        <f>IF(A263="Total",VLOOKUP(B263,CORRESPONDANCE[#All],2,FALSE),I264)</f>
        <v/>
      </c>
      <c r="J263" s="350">
        <f>LEFT(A263,1)</f>
        <v/>
      </c>
      <c r="K263" s="347">
        <f>"HTR8"&amp;" - "&amp;A263</f>
        <v/>
      </c>
      <c r="L263" s="347">
        <f>+VLOOKUP(K263,TL[],4,FALSE)</f>
        <v/>
      </c>
    </row>
    <row r="264">
      <c r="G264" s="220">
        <f>SUM(C264)-SUM(D264)</f>
        <v/>
      </c>
      <c r="H264" s="220">
        <f>SUM(E264)-SUM(F264)</f>
        <v/>
      </c>
      <c r="I264" s="221">
        <f>IF(A264="Total",VLOOKUP(B264,CORRESPONDANCE[#All],2,FALSE),I265)</f>
        <v/>
      </c>
      <c r="J264" s="350">
        <f>LEFT(A264,1)</f>
        <v/>
      </c>
      <c r="K264" s="347">
        <f>"HTR8"&amp;" - "&amp;A264</f>
        <v/>
      </c>
      <c r="L264" s="347">
        <f>+VLOOKUP(K264,TL[],4,FALSE)</f>
        <v/>
      </c>
    </row>
    <row r="265">
      <c r="G265" s="220">
        <f>SUM(C265)-SUM(D265)</f>
        <v/>
      </c>
      <c r="H265" s="220">
        <f>SUM(E265)-SUM(F265)</f>
        <v/>
      </c>
      <c r="I265" s="221">
        <f>IF(A265="Total",VLOOKUP(B265,CORRESPONDANCE[#All],2,FALSE),I266)</f>
        <v/>
      </c>
      <c r="J265" s="350">
        <f>LEFT(A265,1)</f>
        <v/>
      </c>
      <c r="K265" s="347">
        <f>"HTR8"&amp;" - "&amp;A265</f>
        <v/>
      </c>
      <c r="L265" s="347">
        <f>+VLOOKUP(K265,TL[],4,FALSE)</f>
        <v/>
      </c>
    </row>
    <row r="266">
      <c r="G266" s="220">
        <f>SUM(C266)-SUM(D266)</f>
        <v/>
      </c>
      <c r="H266" s="220">
        <f>SUM(E266)-SUM(F266)</f>
        <v/>
      </c>
      <c r="I266" s="221">
        <f>IF(A266="Total",VLOOKUP(B266,CORRESPONDANCE[#All],2,FALSE),I267)</f>
        <v/>
      </c>
      <c r="J266" s="350">
        <f>LEFT(A266,1)</f>
        <v/>
      </c>
      <c r="K266" s="347">
        <f>"HTR8"&amp;" - "&amp;A266</f>
        <v/>
      </c>
      <c r="L266" s="347">
        <f>+VLOOKUP(K266,TL[],4,FALSE)</f>
        <v/>
      </c>
    </row>
    <row r="267">
      <c r="G267" s="220">
        <f>SUM(C267)-SUM(D267)</f>
        <v/>
      </c>
      <c r="H267" s="220">
        <f>SUM(E267)-SUM(F267)</f>
        <v/>
      </c>
      <c r="I267" s="221">
        <f>IF(A267="Total",VLOOKUP(B267,CORRESPONDANCE[#All],2,FALSE),I268)</f>
        <v/>
      </c>
      <c r="J267" s="350">
        <f>LEFT(A267,1)</f>
        <v/>
      </c>
      <c r="K267" s="347">
        <f>"HTR8"&amp;" - "&amp;A267</f>
        <v/>
      </c>
      <c r="L267" s="347">
        <f>+VLOOKUP(K267,TL[],4,FALSE)</f>
        <v/>
      </c>
    </row>
    <row r="268">
      <c r="G268" s="220">
        <f>SUM(C268)-SUM(D268)</f>
        <v/>
      </c>
      <c r="H268" s="220">
        <f>SUM(E268)-SUM(F268)</f>
        <v/>
      </c>
      <c r="I268" s="221">
        <f>IF(A268="Total",VLOOKUP(B268,CORRESPONDANCE[#All],2,FALSE),I269)</f>
        <v/>
      </c>
      <c r="J268" s="350">
        <f>LEFT(A268,1)</f>
        <v/>
      </c>
      <c r="K268" s="347">
        <f>"HTR8"&amp;" - "&amp;A268</f>
        <v/>
      </c>
      <c r="L268" s="347">
        <f>+VLOOKUP(K268,TL[],4,FALSE)</f>
        <v/>
      </c>
    </row>
    <row r="269">
      <c r="G269" s="220">
        <f>SUM(C269)-SUM(D269)</f>
        <v/>
      </c>
      <c r="H269" s="220">
        <f>SUM(E269)-SUM(F269)</f>
        <v/>
      </c>
      <c r="I269" s="221">
        <f>IF(A269="Total",VLOOKUP(B269,CORRESPONDANCE[#All],2,FALSE),I270)</f>
        <v/>
      </c>
      <c r="J269" s="350">
        <f>LEFT(A269,1)</f>
        <v/>
      </c>
      <c r="K269" s="347">
        <f>"HTR8"&amp;" - "&amp;A269</f>
        <v/>
      </c>
      <c r="L269" s="347">
        <f>+VLOOKUP(K269,TL[],4,FALSE)</f>
        <v/>
      </c>
    </row>
    <row r="270">
      <c r="G270" s="220">
        <f>SUM(C270)-SUM(D270)</f>
        <v/>
      </c>
      <c r="H270" s="220">
        <f>SUM(E270)-SUM(F270)</f>
        <v/>
      </c>
      <c r="I270" s="221">
        <f>IF(A270="Total",VLOOKUP(B270,CORRESPONDANCE[#All],2,FALSE),I271)</f>
        <v/>
      </c>
      <c r="J270" s="350">
        <f>LEFT(A270,1)</f>
        <v/>
      </c>
      <c r="K270" s="347">
        <f>"HTR8"&amp;" - "&amp;A270</f>
        <v/>
      </c>
      <c r="L270" s="347">
        <f>+VLOOKUP(K270,TL[],4,FALSE)</f>
        <v/>
      </c>
    </row>
    <row r="271">
      <c r="G271" s="220">
        <f>SUM(C271)-SUM(D271)</f>
        <v/>
      </c>
      <c r="H271" s="220">
        <f>SUM(E271)-SUM(F271)</f>
        <v/>
      </c>
      <c r="I271" s="221">
        <f>IF(A271="Total",VLOOKUP(B271,CORRESPONDANCE[#All],2,FALSE),I272)</f>
        <v/>
      </c>
      <c r="J271" s="350">
        <f>LEFT(A271,1)</f>
        <v/>
      </c>
      <c r="K271" s="347">
        <f>"HTR8"&amp;" - "&amp;A271</f>
        <v/>
      </c>
      <c r="L271" s="347">
        <f>+VLOOKUP(K271,TL[],4,FALSE)</f>
        <v/>
      </c>
    </row>
    <row r="272">
      <c r="G272" s="220">
        <f>SUM(C272)-SUM(D272)</f>
        <v/>
      </c>
      <c r="H272" s="220">
        <f>SUM(E272)-SUM(F272)</f>
        <v/>
      </c>
      <c r="I272" s="221">
        <f>IF(A272="Total",VLOOKUP(B272,CORRESPONDANCE[#All],2,FALSE),I273)</f>
        <v/>
      </c>
      <c r="J272" s="350">
        <f>LEFT(A272,1)</f>
        <v/>
      </c>
      <c r="K272" s="347">
        <f>"HTR8"&amp;" - "&amp;A272</f>
        <v/>
      </c>
      <c r="L272" s="347">
        <f>+VLOOKUP(K272,TL[],4,FALSE)</f>
        <v/>
      </c>
    </row>
    <row r="273">
      <c r="G273" s="220">
        <f>SUM(C273)-SUM(D273)</f>
        <v/>
      </c>
      <c r="H273" s="220">
        <f>SUM(E273)-SUM(F273)</f>
        <v/>
      </c>
      <c r="I273" s="221">
        <f>IF(A273="Total",VLOOKUP(B273,CORRESPONDANCE[#All],2,FALSE),I274)</f>
        <v/>
      </c>
      <c r="J273" s="350">
        <f>LEFT(A273,1)</f>
        <v/>
      </c>
      <c r="K273" s="347">
        <f>"HTR8"&amp;" - "&amp;A273</f>
        <v/>
      </c>
      <c r="L273" s="347">
        <f>+VLOOKUP(K273,TL[],4,FALSE)</f>
        <v/>
      </c>
    </row>
    <row r="274">
      <c r="G274" s="220">
        <f>SUM(C274)-SUM(D274)</f>
        <v/>
      </c>
      <c r="H274" s="220">
        <f>SUM(E274)-SUM(F274)</f>
        <v/>
      </c>
      <c r="I274" s="221">
        <f>IF(A274="Total",VLOOKUP(B274,CORRESPONDANCE[#All],2,FALSE),I275)</f>
        <v/>
      </c>
      <c r="J274" s="350">
        <f>LEFT(A274,1)</f>
        <v/>
      </c>
      <c r="K274" s="347">
        <f>"HTR8"&amp;" - "&amp;A274</f>
        <v/>
      </c>
      <c r="L274" s="347">
        <f>+VLOOKUP(K274,TL[],4,FALSE)</f>
        <v/>
      </c>
    </row>
    <row r="275">
      <c r="G275" s="220">
        <f>SUM(C275)-SUM(D275)</f>
        <v/>
      </c>
      <c r="H275" s="220">
        <f>SUM(E275)-SUM(F275)</f>
        <v/>
      </c>
      <c r="I275" s="221">
        <f>IF(A275="Total",VLOOKUP(B275,CORRESPONDANCE[#All],2,FALSE),I276)</f>
        <v/>
      </c>
      <c r="J275" s="350">
        <f>LEFT(A275,1)</f>
        <v/>
      </c>
      <c r="K275" s="347">
        <f>"HTR8"&amp;" - "&amp;A275</f>
        <v/>
      </c>
      <c r="L275" s="347">
        <f>+VLOOKUP(K275,TL[],4,FALSE)</f>
        <v/>
      </c>
    </row>
    <row r="276">
      <c r="G276" s="220">
        <f>SUM(C276)-SUM(D276)</f>
        <v/>
      </c>
      <c r="H276" s="220">
        <f>SUM(E276)-SUM(F276)</f>
        <v/>
      </c>
      <c r="I276" s="221">
        <f>IF(A276="Total",VLOOKUP(B276,CORRESPONDANCE[#All],2,FALSE),I277)</f>
        <v/>
      </c>
      <c r="J276" s="350">
        <f>LEFT(A276,1)</f>
        <v/>
      </c>
      <c r="K276" s="347">
        <f>"HTR8"&amp;" - "&amp;A276</f>
        <v/>
      </c>
      <c r="L276" s="347">
        <f>+VLOOKUP(K276,TL[],4,FALSE)</f>
        <v/>
      </c>
    </row>
    <row r="277">
      <c r="G277" s="220">
        <f>SUM(C277)-SUM(D277)</f>
        <v/>
      </c>
      <c r="H277" s="220">
        <f>SUM(E277)-SUM(F277)</f>
        <v/>
      </c>
      <c r="I277" s="221">
        <f>IF(A277="Total",VLOOKUP(B277,CORRESPONDANCE[#All],2,FALSE),I278)</f>
        <v/>
      </c>
      <c r="J277" s="350">
        <f>LEFT(A277,1)</f>
        <v/>
      </c>
      <c r="K277" s="347">
        <f>"HTR8"&amp;" - "&amp;A277</f>
        <v/>
      </c>
      <c r="L277" s="347">
        <f>+VLOOKUP(K277,TL[],4,FALSE)</f>
        <v/>
      </c>
    </row>
    <row r="278">
      <c r="G278" s="220">
        <f>SUM(C278)-SUM(D278)</f>
        <v/>
      </c>
      <c r="H278" s="220">
        <f>SUM(E278)-SUM(F278)</f>
        <v/>
      </c>
      <c r="I278" s="221">
        <f>IF(A278="Total",VLOOKUP(B278,CORRESPONDANCE[#All],2,FALSE),I279)</f>
        <v/>
      </c>
      <c r="J278" s="350">
        <f>LEFT(A278,1)</f>
        <v/>
      </c>
      <c r="K278" s="347">
        <f>"HTR8"&amp;" - "&amp;A278</f>
        <v/>
      </c>
      <c r="L278" s="347">
        <f>+VLOOKUP(K278,TL[],4,FALSE)</f>
        <v/>
      </c>
    </row>
    <row r="279">
      <c r="G279" s="220">
        <f>SUM(C279)-SUM(D279)</f>
        <v/>
      </c>
      <c r="H279" s="220">
        <f>SUM(E279)-SUM(F279)</f>
        <v/>
      </c>
      <c r="I279" s="221">
        <f>IF(A279="Total",VLOOKUP(B279,CORRESPONDANCE[#All],2,FALSE),I280)</f>
        <v/>
      </c>
      <c r="J279" s="350">
        <f>LEFT(A279,1)</f>
        <v/>
      </c>
      <c r="K279" s="347">
        <f>"HTR8"&amp;" - "&amp;A279</f>
        <v/>
      </c>
      <c r="L279" s="347">
        <f>+VLOOKUP(K279,TL[],4,FALSE)</f>
        <v/>
      </c>
    </row>
    <row r="280">
      <c r="G280" s="220">
        <f>SUM(C280)-SUM(D280)</f>
        <v/>
      </c>
      <c r="H280" s="220">
        <f>SUM(E280)-SUM(F280)</f>
        <v/>
      </c>
      <c r="I280" s="221">
        <f>IF(A280="Total",VLOOKUP(B280,CORRESPONDANCE[#All],2,FALSE),I281)</f>
        <v/>
      </c>
      <c r="J280" s="350">
        <f>LEFT(A280,1)</f>
        <v/>
      </c>
      <c r="K280" s="347">
        <f>"HTR8"&amp;" - "&amp;A280</f>
        <v/>
      </c>
      <c r="L280" s="347">
        <f>+VLOOKUP(K280,TL[],4,FALSE)</f>
        <v/>
      </c>
    </row>
    <row r="281">
      <c r="G281" s="220">
        <f>SUM(C281)-SUM(D281)</f>
        <v/>
      </c>
      <c r="H281" s="220">
        <f>SUM(E281)-SUM(F281)</f>
        <v/>
      </c>
      <c r="I281" s="221">
        <f>IF(A281="Total",VLOOKUP(B281,CORRESPONDANCE[#All],2,FALSE),I282)</f>
        <v/>
      </c>
      <c r="J281" s="350">
        <f>LEFT(A281,1)</f>
        <v/>
      </c>
      <c r="K281" s="347">
        <f>"HTR8"&amp;" - "&amp;A281</f>
        <v/>
      </c>
      <c r="L281" s="347">
        <f>+VLOOKUP(K281,TL[],4,FALSE)</f>
        <v/>
      </c>
    </row>
    <row r="282">
      <c r="G282" s="220">
        <f>SUM(C282)-SUM(D282)</f>
        <v/>
      </c>
      <c r="H282" s="220">
        <f>SUM(E282)-SUM(F282)</f>
        <v/>
      </c>
      <c r="I282" s="221">
        <f>IF(A282="Total",VLOOKUP(B282,CORRESPONDANCE[#All],2,FALSE),I283)</f>
        <v/>
      </c>
      <c r="J282" s="350">
        <f>LEFT(A282,1)</f>
        <v/>
      </c>
      <c r="K282" s="347">
        <f>"HTR8"&amp;" - "&amp;A282</f>
        <v/>
      </c>
      <c r="L282" s="347">
        <f>+VLOOKUP(K282,TL[],4,FALSE)</f>
        <v/>
      </c>
    </row>
    <row r="283">
      <c r="G283" s="220">
        <f>SUM(C283)-SUM(D283)</f>
        <v/>
      </c>
      <c r="H283" s="220">
        <f>SUM(E283)-SUM(F283)</f>
        <v/>
      </c>
      <c r="I283" s="221">
        <f>IF(A283="Total",VLOOKUP(B283,CORRESPONDANCE[#All],2,FALSE),I284)</f>
        <v/>
      </c>
      <c r="J283" s="350">
        <f>LEFT(A283,1)</f>
        <v/>
      </c>
      <c r="K283" s="347">
        <f>"HTR8"&amp;" - "&amp;A283</f>
        <v/>
      </c>
      <c r="L283" s="347">
        <f>+VLOOKUP(K283,TL[],4,FALSE)</f>
        <v/>
      </c>
    </row>
    <row r="284">
      <c r="G284" s="220">
        <f>SUM(C284)-SUM(D284)</f>
        <v/>
      </c>
      <c r="H284" s="220">
        <f>SUM(E284)-SUM(F284)</f>
        <v/>
      </c>
      <c r="I284" s="221">
        <f>IF(A284="Total",VLOOKUP(B284,CORRESPONDANCE[#All],2,FALSE),I285)</f>
        <v/>
      </c>
      <c r="J284" s="350">
        <f>LEFT(A284,1)</f>
        <v/>
      </c>
      <c r="K284" s="347">
        <f>"HTR8"&amp;" - "&amp;A284</f>
        <v/>
      </c>
      <c r="L284" s="347">
        <f>+VLOOKUP(K284,TL[],4,FALSE)</f>
        <v/>
      </c>
    </row>
    <row r="285">
      <c r="G285" s="220">
        <f>SUM(C285)-SUM(D285)</f>
        <v/>
      </c>
      <c r="H285" s="220">
        <f>SUM(E285)-SUM(F285)</f>
        <v/>
      </c>
      <c r="I285" s="221">
        <f>IF(A285="Total",VLOOKUP(B285,CORRESPONDANCE[#All],2,FALSE),I286)</f>
        <v/>
      </c>
      <c r="J285" s="350">
        <f>LEFT(A285,1)</f>
        <v/>
      </c>
      <c r="K285" s="347">
        <f>"HTR8"&amp;" - "&amp;A285</f>
        <v/>
      </c>
      <c r="L285" s="347">
        <f>+VLOOKUP(K285,TL[],4,FALSE)</f>
        <v/>
      </c>
    </row>
    <row r="286">
      <c r="G286" s="220">
        <f>SUM(C286)-SUM(D286)</f>
        <v/>
      </c>
      <c r="H286" s="220">
        <f>SUM(E286)-SUM(F286)</f>
        <v/>
      </c>
      <c r="I286" s="221">
        <f>IF(A286="Total",VLOOKUP(B286,CORRESPONDANCE[#All],2,FALSE),I287)</f>
        <v/>
      </c>
      <c r="J286" s="350">
        <f>LEFT(A286,1)</f>
        <v/>
      </c>
      <c r="K286" s="347">
        <f>"HTR8"&amp;" - "&amp;A286</f>
        <v/>
      </c>
      <c r="L286" s="347">
        <f>+VLOOKUP(K286,TL[],4,FALSE)</f>
        <v/>
      </c>
    </row>
    <row r="287">
      <c r="G287" s="220">
        <f>SUM(C287)-SUM(D287)</f>
        <v/>
      </c>
      <c r="H287" s="220">
        <f>SUM(E287)-SUM(F287)</f>
        <v/>
      </c>
      <c r="I287" s="221">
        <f>IF(A287="Total",VLOOKUP(B287,CORRESPONDANCE[#All],2,FALSE),I288)</f>
        <v/>
      </c>
      <c r="J287" s="350">
        <f>LEFT(A287,1)</f>
        <v/>
      </c>
      <c r="K287" s="347">
        <f>"HTR8"&amp;" - "&amp;A287</f>
        <v/>
      </c>
      <c r="L287" s="347">
        <f>+VLOOKUP(K287,TL[],4,FALSE)</f>
        <v/>
      </c>
    </row>
    <row r="288">
      <c r="G288" s="220">
        <f>SUM(C288)-SUM(D288)</f>
        <v/>
      </c>
      <c r="H288" s="220">
        <f>SUM(E288)-SUM(F288)</f>
        <v/>
      </c>
      <c r="I288" s="221">
        <f>IF(A288="Total",VLOOKUP(B288,CORRESPONDANCE[#All],2,FALSE),I289)</f>
        <v/>
      </c>
      <c r="J288" s="350">
        <f>LEFT(A288,1)</f>
        <v/>
      </c>
      <c r="K288" s="347">
        <f>"HTR8"&amp;" - "&amp;A288</f>
        <v/>
      </c>
      <c r="L288" s="347">
        <f>+VLOOKUP(K288,TL[],4,FALSE)</f>
        <v/>
      </c>
    </row>
    <row r="289">
      <c r="G289" s="220">
        <f>SUM(C289)-SUM(D289)</f>
        <v/>
      </c>
      <c r="H289" s="220">
        <f>SUM(E289)-SUM(F289)</f>
        <v/>
      </c>
      <c r="I289" s="221">
        <f>IF(A289="Total",VLOOKUP(B289,CORRESPONDANCE[#All],2,FALSE),I290)</f>
        <v/>
      </c>
      <c r="J289" s="350">
        <f>LEFT(A289,1)</f>
        <v/>
      </c>
      <c r="K289" s="347">
        <f>"HTR8"&amp;" - "&amp;A289</f>
        <v/>
      </c>
      <c r="L289" s="347">
        <f>+VLOOKUP(K289,TL[],4,FALSE)</f>
        <v/>
      </c>
    </row>
    <row r="290">
      <c r="G290" s="220">
        <f>SUM(C290)-SUM(D290)</f>
        <v/>
      </c>
      <c r="H290" s="220">
        <f>SUM(E290)-SUM(F290)</f>
        <v/>
      </c>
      <c r="I290" s="221">
        <f>IF(A290="Total",VLOOKUP(B290,CORRESPONDANCE[#All],2,FALSE),I291)</f>
        <v/>
      </c>
      <c r="J290" s="350">
        <f>LEFT(A290,1)</f>
        <v/>
      </c>
      <c r="K290" s="347">
        <f>"HTR8"&amp;" - "&amp;A290</f>
        <v/>
      </c>
      <c r="L290" s="347">
        <f>+VLOOKUP(K290,TL[],4,FALSE)</f>
        <v/>
      </c>
    </row>
    <row r="291">
      <c r="G291" s="220">
        <f>SUM(C291)-SUM(D291)</f>
        <v/>
      </c>
      <c r="H291" s="220">
        <f>SUM(E291)-SUM(F291)</f>
        <v/>
      </c>
      <c r="I291" s="221">
        <f>IF(A291="Total",VLOOKUP(B291,CORRESPONDANCE[#All],2,FALSE),I292)</f>
        <v/>
      </c>
      <c r="J291" s="350">
        <f>LEFT(A291,1)</f>
        <v/>
      </c>
      <c r="K291" s="347">
        <f>"HTR8"&amp;" - "&amp;A291</f>
        <v/>
      </c>
      <c r="L291" s="347">
        <f>+VLOOKUP(K291,TL[],4,FALSE)</f>
        <v/>
      </c>
    </row>
    <row r="292">
      <c r="G292" s="220">
        <f>SUM(C292)-SUM(D292)</f>
        <v/>
      </c>
      <c r="H292" s="220">
        <f>SUM(E292)-SUM(F292)</f>
        <v/>
      </c>
      <c r="I292" s="221">
        <f>IF(A292="Total",VLOOKUP(B292,CORRESPONDANCE[#All],2,FALSE),I293)</f>
        <v/>
      </c>
      <c r="J292" s="350">
        <f>LEFT(A292,1)</f>
        <v/>
      </c>
      <c r="K292" s="347">
        <f>"HTR8"&amp;" - "&amp;A292</f>
        <v/>
      </c>
      <c r="L292" s="347">
        <f>+VLOOKUP(K292,TL[],4,FALSE)</f>
        <v/>
      </c>
    </row>
    <row r="293">
      <c r="G293" s="220">
        <f>SUM(C293)-SUM(D293)</f>
        <v/>
      </c>
      <c r="H293" s="220">
        <f>SUM(E293)-SUM(F293)</f>
        <v/>
      </c>
      <c r="I293" s="221">
        <f>IF(A293="Total",VLOOKUP(B293,CORRESPONDANCE[#All],2,FALSE),I294)</f>
        <v/>
      </c>
      <c r="J293" s="350">
        <f>LEFT(A293,1)</f>
        <v/>
      </c>
      <c r="K293" s="347">
        <f>"HTR8"&amp;" - "&amp;A293</f>
        <v/>
      </c>
      <c r="L293" s="347">
        <f>+VLOOKUP(K293,TL[],4,FALSE)</f>
        <v/>
      </c>
    </row>
    <row r="294">
      <c r="G294" s="220">
        <f>SUM(C294)-SUM(D294)</f>
        <v/>
      </c>
      <c r="H294" s="220">
        <f>SUM(E294)-SUM(F294)</f>
        <v/>
      </c>
      <c r="I294" s="221">
        <f>IF(A294="Total",VLOOKUP(B294,CORRESPONDANCE[#All],2,FALSE),I295)</f>
        <v/>
      </c>
      <c r="J294" s="350">
        <f>LEFT(A294,1)</f>
        <v/>
      </c>
      <c r="K294" s="347">
        <f>"HTR8"&amp;" - "&amp;A294</f>
        <v/>
      </c>
      <c r="L294" s="347">
        <f>+VLOOKUP(K294,TL[],4,FALSE)</f>
        <v/>
      </c>
    </row>
    <row r="295">
      <c r="G295" s="220">
        <f>SUM(C295)-SUM(D295)</f>
        <v/>
      </c>
      <c r="H295" s="220">
        <f>SUM(E295)-SUM(F295)</f>
        <v/>
      </c>
      <c r="I295" s="221">
        <f>IF(A295="Total",VLOOKUP(B295,CORRESPONDANCE[#All],2,FALSE),I296)</f>
        <v/>
      </c>
      <c r="J295" s="350">
        <f>LEFT(A295,1)</f>
        <v/>
      </c>
      <c r="K295" s="347">
        <f>"HTR8"&amp;" - "&amp;A295</f>
        <v/>
      </c>
      <c r="L295" s="347">
        <f>+VLOOKUP(K295,TL[],4,FALSE)</f>
        <v/>
      </c>
    </row>
    <row r="296">
      <c r="G296" s="220">
        <f>SUM(C296)-SUM(D296)</f>
        <v/>
      </c>
      <c r="H296" s="220">
        <f>SUM(E296)-SUM(F296)</f>
        <v/>
      </c>
      <c r="I296" s="221">
        <f>IF(A296="Total",VLOOKUP(B296,CORRESPONDANCE[#All],2,FALSE),I297)</f>
        <v/>
      </c>
      <c r="J296" s="350">
        <f>LEFT(A296,1)</f>
        <v/>
      </c>
      <c r="K296" s="347">
        <f>"HTR8"&amp;" - "&amp;A296</f>
        <v/>
      </c>
      <c r="L296" s="347">
        <f>+VLOOKUP(K296,TL[],4,FALSE)</f>
        <v/>
      </c>
    </row>
    <row r="297">
      <c r="G297" s="220">
        <f>SUM(C297)-SUM(D297)</f>
        <v/>
      </c>
      <c r="H297" s="220">
        <f>SUM(E297)-SUM(F297)</f>
        <v/>
      </c>
      <c r="I297" s="221">
        <f>IF(A297="Total",VLOOKUP(B297,CORRESPONDANCE[#All],2,FALSE),I298)</f>
        <v/>
      </c>
      <c r="J297" s="350">
        <f>LEFT(A297,1)</f>
        <v/>
      </c>
      <c r="K297" s="347">
        <f>"HTR8"&amp;" - "&amp;A297</f>
        <v/>
      </c>
      <c r="L297" s="347">
        <f>+VLOOKUP(K297,TL[],4,FALSE)</f>
        <v/>
      </c>
    </row>
    <row r="298">
      <c r="G298" s="220">
        <f>SUM(C298)-SUM(D298)</f>
        <v/>
      </c>
      <c r="H298" s="220">
        <f>SUM(E298)-SUM(F298)</f>
        <v/>
      </c>
      <c r="I298" s="221">
        <f>IF(A298="Total",VLOOKUP(B298,CORRESPONDANCE[#All],2,FALSE),I299)</f>
        <v/>
      </c>
      <c r="J298" s="350">
        <f>LEFT(A298,1)</f>
        <v/>
      </c>
      <c r="K298" s="347">
        <f>"HTR8"&amp;" - "&amp;A298</f>
        <v/>
      </c>
      <c r="L298" s="347">
        <f>+VLOOKUP(K298,TL[],4,FALSE)</f>
        <v/>
      </c>
    </row>
    <row r="299">
      <c r="G299" s="220">
        <f>SUM(C299)-SUM(D299)</f>
        <v/>
      </c>
      <c r="H299" s="220">
        <f>SUM(E299)-SUM(F299)</f>
        <v/>
      </c>
      <c r="I299" s="221">
        <f>IF(A299="Total",VLOOKUP(B299,CORRESPONDANCE[#All],2,FALSE),I300)</f>
        <v/>
      </c>
      <c r="J299" s="350">
        <f>LEFT(A299,1)</f>
        <v/>
      </c>
      <c r="K299" s="347">
        <f>"HTR8"&amp;" - "&amp;A299</f>
        <v/>
      </c>
      <c r="L299" s="347">
        <f>+VLOOKUP(K299,TL[],4,FALSE)</f>
        <v/>
      </c>
    </row>
    <row r="300">
      <c r="G300" s="220">
        <f>SUM(C300)-SUM(D300)</f>
        <v/>
      </c>
      <c r="H300" s="220">
        <f>SUM(E300)-SUM(F300)</f>
        <v/>
      </c>
      <c r="I300" s="221">
        <f>IF(A300="Total",VLOOKUP(B300,CORRESPONDANCE[#All],2,FALSE),I301)</f>
        <v/>
      </c>
      <c r="J300" s="350">
        <f>LEFT(A300,1)</f>
        <v/>
      </c>
      <c r="K300" s="347">
        <f>"HTR8"&amp;" - "&amp;A300</f>
        <v/>
      </c>
      <c r="L300" s="347">
        <f>+VLOOKUP(K300,TL[],4,FALSE)</f>
        <v/>
      </c>
    </row>
    <row r="301">
      <c r="G301" s="220">
        <f>SUM(C301)-SUM(D301)</f>
        <v/>
      </c>
      <c r="H301" s="220">
        <f>SUM(E301)-SUM(F301)</f>
        <v/>
      </c>
      <c r="I301" s="221">
        <f>IF(A301="Total",VLOOKUP(B301,CORRESPONDANCE[#All],2,FALSE),I302)</f>
        <v/>
      </c>
      <c r="J301" s="350">
        <f>LEFT(A301,1)</f>
        <v/>
      </c>
      <c r="K301" s="347">
        <f>"HTR8"&amp;" - "&amp;A301</f>
        <v/>
      </c>
      <c r="L301" s="347">
        <f>+VLOOKUP(K301,TL[],4,FALSE)</f>
        <v/>
      </c>
    </row>
    <row r="302">
      <c r="G302" s="220">
        <f>SUM(C302)-SUM(D302)</f>
        <v/>
      </c>
      <c r="H302" s="220">
        <f>SUM(E302)-SUM(F302)</f>
        <v/>
      </c>
      <c r="I302" s="221">
        <f>IF(A302="Total",VLOOKUP(B302,CORRESPONDANCE[#All],2,FALSE),I303)</f>
        <v/>
      </c>
      <c r="J302" s="350">
        <f>LEFT(A302,1)</f>
        <v/>
      </c>
      <c r="K302" s="347">
        <f>"HTR8"&amp;" - "&amp;A302</f>
        <v/>
      </c>
      <c r="L302" s="347">
        <f>+VLOOKUP(K302,TL[],4,FALSE)</f>
        <v/>
      </c>
    </row>
    <row r="303">
      <c r="G303" s="220">
        <f>SUM(C303)-SUM(D303)</f>
        <v/>
      </c>
      <c r="H303" s="220">
        <f>SUM(E303)-SUM(F303)</f>
        <v/>
      </c>
      <c r="I303" s="221">
        <f>IF(A303="Total",VLOOKUP(B303,CORRESPONDANCE[#All],2,FALSE),I304)</f>
        <v/>
      </c>
      <c r="J303" s="350">
        <f>LEFT(A303,1)</f>
        <v/>
      </c>
      <c r="K303" s="347">
        <f>"HTR8"&amp;" - "&amp;A303</f>
        <v/>
      </c>
      <c r="L303" s="347">
        <f>+VLOOKUP(K303,TL[],4,FALSE)</f>
        <v/>
      </c>
    </row>
    <row r="304">
      <c r="G304" s="220">
        <f>SUM(C304)-SUM(D304)</f>
        <v/>
      </c>
      <c r="H304" s="220">
        <f>SUM(E304)-SUM(F304)</f>
        <v/>
      </c>
      <c r="I304" s="221">
        <f>IF(A304="Total",VLOOKUP(B304,CORRESPONDANCE[#All],2,FALSE),I305)</f>
        <v/>
      </c>
      <c r="J304" s="350">
        <f>LEFT(A304,1)</f>
        <v/>
      </c>
      <c r="K304" s="347">
        <f>"HTR8"&amp;" - "&amp;A304</f>
        <v/>
      </c>
      <c r="L304" s="347">
        <f>+VLOOKUP(K304,TL[],4,FALSE)</f>
        <v/>
      </c>
    </row>
    <row r="305">
      <c r="G305" s="220">
        <f>SUM(C305)-SUM(D305)</f>
        <v/>
      </c>
      <c r="H305" s="220">
        <f>SUM(E305)-SUM(F305)</f>
        <v/>
      </c>
      <c r="I305" s="221">
        <f>IF(A305="Total",VLOOKUP(B305,CORRESPONDANCE[#All],2,FALSE),I306)</f>
        <v/>
      </c>
      <c r="J305" s="350">
        <f>LEFT(A305,1)</f>
        <v/>
      </c>
      <c r="K305" s="347">
        <f>"HTR8"&amp;" - "&amp;A305</f>
        <v/>
      </c>
      <c r="L305" s="347">
        <f>+VLOOKUP(K305,TL[],4,FALSE)</f>
        <v/>
      </c>
    </row>
    <row r="306">
      <c r="G306" s="220">
        <f>SUM(C306)-SUM(D306)</f>
        <v/>
      </c>
      <c r="H306" s="220">
        <f>SUM(E306)-SUM(F306)</f>
        <v/>
      </c>
      <c r="I306" s="221">
        <f>IF(A306="Total",VLOOKUP(B306,CORRESPONDANCE[#All],2,FALSE),I307)</f>
        <v/>
      </c>
      <c r="J306" s="350">
        <f>LEFT(A306,1)</f>
        <v/>
      </c>
      <c r="K306" s="347">
        <f>"HTR8"&amp;" - "&amp;A306</f>
        <v/>
      </c>
      <c r="L306" s="347">
        <f>+VLOOKUP(K306,TL[],4,FALSE)</f>
        <v/>
      </c>
    </row>
    <row r="307">
      <c r="G307" s="220">
        <f>SUM(C307)-SUM(D307)</f>
        <v/>
      </c>
      <c r="H307" s="220">
        <f>SUM(E307)-SUM(F307)</f>
        <v/>
      </c>
      <c r="I307" s="221">
        <f>IF(A307="Total",VLOOKUP(B307,CORRESPONDANCE[#All],2,FALSE),I308)</f>
        <v/>
      </c>
      <c r="J307" s="350">
        <f>LEFT(A307,1)</f>
        <v/>
      </c>
      <c r="K307" s="347">
        <f>"HTR8"&amp;" - "&amp;A307</f>
        <v/>
      </c>
      <c r="L307" s="347">
        <f>+VLOOKUP(K307,TL[],4,FALSE)</f>
        <v/>
      </c>
    </row>
    <row r="308">
      <c r="G308" s="220" t="n"/>
      <c r="H308" s="220" t="n"/>
      <c r="I308" s="221" t="n"/>
      <c r="J308" s="350" t="n"/>
    </row>
    <row r="309">
      <c r="G309" s="220" t="n"/>
      <c r="H309" s="220" t="n"/>
      <c r="I309" s="221" t="n"/>
      <c r="J309" s="350" t="n"/>
    </row>
    <row r="310">
      <c r="G310" s="220" t="n"/>
      <c r="H310" s="220" t="n"/>
      <c r="I310" s="221" t="n"/>
      <c r="J310" s="350" t="n"/>
    </row>
    <row r="311">
      <c r="G311" s="220" t="n"/>
      <c r="H311" s="220" t="n"/>
      <c r="I311" s="221" t="n"/>
      <c r="J311" s="350" t="n"/>
    </row>
    <row r="312">
      <c r="G312" s="220" t="n"/>
      <c r="H312" s="220" t="n"/>
      <c r="I312" s="221" t="n"/>
      <c r="J312" s="350" t="n"/>
    </row>
    <row r="313">
      <c r="G313" s="220" t="n"/>
      <c r="H313" s="220" t="n"/>
      <c r="I313" s="221" t="n"/>
      <c r="J313" s="350" t="n"/>
    </row>
    <row r="314">
      <c r="G314" s="220" t="n"/>
      <c r="H314" s="220" t="n"/>
      <c r="I314" s="221" t="n"/>
      <c r="J314" s="350" t="n"/>
    </row>
    <row r="315">
      <c r="G315" s="220" t="n"/>
      <c r="H315" s="220" t="n"/>
      <c r="I315" s="221" t="n"/>
      <c r="J315" s="350" t="n"/>
    </row>
    <row r="316">
      <c r="G316" s="220" t="n"/>
      <c r="H316" s="220" t="n"/>
      <c r="I316" s="221" t="n"/>
      <c r="J316" s="350" t="n"/>
    </row>
    <row r="317">
      <c r="G317" s="220" t="n"/>
      <c r="H317" s="220" t="n"/>
      <c r="I317" s="221" t="n"/>
      <c r="J317" s="350" t="n"/>
    </row>
    <row r="318">
      <c r="G318" s="220" t="n"/>
      <c r="H318" s="220" t="n"/>
      <c r="I318" s="221" t="n"/>
      <c r="J318" s="350" t="n"/>
    </row>
    <row r="319">
      <c r="G319" s="220" t="n"/>
      <c r="H319" s="220" t="n"/>
      <c r="I319" s="221" t="n"/>
      <c r="J319" s="350" t="n"/>
    </row>
    <row r="320">
      <c r="G320" s="220" t="n"/>
      <c r="H320" s="220" t="n"/>
      <c r="I320" s="221" t="n"/>
      <c r="J320" s="350" t="n"/>
    </row>
    <row r="321">
      <c r="G321" s="220" t="n"/>
      <c r="H321" s="220" t="n"/>
      <c r="I321" s="221" t="n"/>
      <c r="J321" s="350" t="n"/>
    </row>
    <row r="322">
      <c r="G322" s="220" t="n"/>
      <c r="H322" s="220" t="n"/>
      <c r="I322" s="221" t="n"/>
      <c r="J322" s="350" t="n"/>
    </row>
    <row r="323">
      <c r="G323" s="220" t="n"/>
      <c r="H323" s="220" t="n"/>
      <c r="I323" s="221" t="n"/>
      <c r="J323" s="350" t="n"/>
    </row>
    <row r="324">
      <c r="G324" s="220" t="n"/>
      <c r="H324" s="220" t="n"/>
      <c r="I324" s="221" t="n"/>
      <c r="J324" s="350" t="n"/>
    </row>
    <row r="325">
      <c r="G325" s="220" t="n"/>
      <c r="H325" s="220" t="n"/>
      <c r="I325" s="221" t="n"/>
      <c r="J325" s="350" t="n"/>
    </row>
    <row r="326">
      <c r="G326" s="220" t="n"/>
      <c r="H326" s="220" t="n"/>
      <c r="I326" s="221" t="n"/>
      <c r="J326" s="350" t="n"/>
    </row>
    <row r="327">
      <c r="G327" s="220" t="n"/>
      <c r="H327" s="220" t="n"/>
      <c r="I327" s="221" t="n"/>
      <c r="J327" s="350" t="n"/>
    </row>
    <row r="328">
      <c r="G328" s="220" t="n"/>
      <c r="H328" s="220" t="n"/>
      <c r="I328" s="221" t="n"/>
      <c r="J328" s="350" t="n"/>
    </row>
    <row r="329">
      <c r="G329" s="220" t="n"/>
      <c r="H329" s="220" t="n"/>
      <c r="I329" s="221" t="n"/>
      <c r="J329" s="350" t="n"/>
    </row>
    <row r="330">
      <c r="G330" s="220" t="n"/>
      <c r="H330" s="220" t="n"/>
      <c r="I330" s="221" t="n"/>
      <c r="J330" s="350" t="n"/>
    </row>
    <row r="331">
      <c r="G331" s="220" t="n"/>
      <c r="H331" s="220" t="n"/>
      <c r="I331" s="221" t="n"/>
      <c r="J331" s="350" t="n"/>
    </row>
    <row r="332">
      <c r="G332" s="220" t="n"/>
      <c r="H332" s="220" t="n"/>
      <c r="I332" s="221" t="n"/>
      <c r="J332" s="350" t="n"/>
    </row>
    <row r="333">
      <c r="G333" s="220" t="n"/>
      <c r="H333" s="220" t="n"/>
      <c r="I333" s="221" t="n"/>
      <c r="J333" s="350" t="n"/>
    </row>
    <row r="334">
      <c r="G334" s="220" t="n"/>
      <c r="H334" s="220" t="n"/>
      <c r="I334" s="221" t="n"/>
      <c r="J334" s="350" t="n"/>
    </row>
    <row r="335">
      <c r="G335" s="220" t="n"/>
      <c r="H335" s="220" t="n"/>
      <c r="I335" s="221" t="n"/>
      <c r="J335" s="350" t="n"/>
    </row>
    <row r="336">
      <c r="G336" s="220" t="n"/>
      <c r="H336" s="220" t="n"/>
      <c r="I336" s="221" t="n"/>
      <c r="J336" s="350" t="n"/>
    </row>
    <row r="337">
      <c r="G337" s="220" t="n"/>
      <c r="H337" s="220" t="n"/>
      <c r="I337" s="221" t="n"/>
      <c r="J337" s="350" t="n"/>
    </row>
    <row r="338">
      <c r="G338" s="220" t="n"/>
      <c r="H338" s="220" t="n"/>
      <c r="I338" s="221" t="n"/>
      <c r="J338" s="350" t="n"/>
    </row>
    <row r="339">
      <c r="G339" s="220" t="n"/>
      <c r="H339" s="220" t="n"/>
      <c r="I339" s="221" t="n"/>
      <c r="J339" s="350" t="n"/>
    </row>
    <row r="340">
      <c r="G340" s="220" t="n"/>
      <c r="H340" s="220" t="n"/>
      <c r="I340" s="221" t="n"/>
      <c r="J340" s="350" t="n"/>
    </row>
    <row r="341">
      <c r="G341" s="220" t="n"/>
      <c r="H341" s="220" t="n"/>
      <c r="I341" s="221" t="n"/>
      <c r="J341" s="350" t="n"/>
    </row>
    <row r="342">
      <c r="G342" s="220" t="n"/>
      <c r="H342" s="220" t="n"/>
      <c r="I342" s="221" t="n"/>
      <c r="J342" s="350" t="n"/>
    </row>
    <row r="343">
      <c r="G343" s="220" t="n"/>
      <c r="H343" s="220" t="n"/>
      <c r="I343" s="221" t="n"/>
      <c r="J343" s="350" t="n"/>
    </row>
    <row r="344">
      <c r="G344" s="220" t="n"/>
      <c r="H344" s="220" t="n"/>
      <c r="I344" s="221" t="n"/>
      <c r="J344" s="350" t="n"/>
    </row>
    <row r="345">
      <c r="G345" s="220" t="n"/>
      <c r="H345" s="220" t="n"/>
      <c r="I345" s="221" t="n"/>
      <c r="J345" s="350" t="n"/>
    </row>
    <row r="346">
      <c r="G346" s="220" t="n"/>
      <c r="H346" s="220" t="n"/>
      <c r="I346" s="221" t="n"/>
      <c r="J346" s="350" t="n"/>
    </row>
    <row r="347">
      <c r="G347" s="220" t="n"/>
      <c r="H347" s="220" t="n"/>
      <c r="I347" s="221" t="n"/>
      <c r="J347" s="350" t="n"/>
    </row>
    <row r="348">
      <c r="G348" s="220" t="n"/>
      <c r="H348" s="220" t="n"/>
      <c r="I348" s="221" t="n"/>
      <c r="J348" s="350" t="n"/>
    </row>
    <row r="349">
      <c r="G349" s="220" t="n"/>
      <c r="H349" s="220" t="n"/>
      <c r="I349" s="221" t="n"/>
      <c r="J349" s="350" t="n"/>
    </row>
    <row r="350">
      <c r="G350" s="220" t="n"/>
      <c r="H350" s="220" t="n"/>
      <c r="I350" s="221" t="n"/>
      <c r="J350" s="350" t="n"/>
    </row>
    <row r="351">
      <c r="G351" s="220" t="n"/>
      <c r="H351" s="220" t="n"/>
      <c r="I351" s="221" t="n"/>
      <c r="J351" s="350" t="n"/>
    </row>
    <row r="352">
      <c r="G352" s="220" t="n"/>
      <c r="H352" s="220" t="n"/>
      <c r="I352" s="221" t="n"/>
      <c r="J352" s="350" t="n"/>
    </row>
    <row r="353">
      <c r="G353" s="220" t="n"/>
      <c r="H353" s="220" t="n"/>
      <c r="I353" s="221" t="n"/>
      <c r="J353" s="350" t="n"/>
    </row>
    <row r="354">
      <c r="G354" s="220" t="n"/>
      <c r="H354" s="220" t="n"/>
      <c r="I354" s="221" t="n"/>
      <c r="J354" s="350" t="n"/>
    </row>
    <row r="355">
      <c r="G355" s="220" t="n"/>
      <c r="H355" s="220" t="n"/>
      <c r="I355" s="221" t="n"/>
      <c r="J355" s="350" t="n"/>
    </row>
    <row r="356">
      <c r="G356" s="220" t="n"/>
      <c r="H356" s="220" t="n"/>
      <c r="I356" s="221" t="n"/>
      <c r="J356" s="350" t="n"/>
    </row>
    <row r="357">
      <c r="G357" s="220" t="n"/>
      <c r="H357" s="220" t="n"/>
      <c r="I357" s="221" t="n"/>
      <c r="J357" s="350" t="n"/>
    </row>
    <row r="358">
      <c r="G358" s="220" t="n"/>
      <c r="H358" s="220" t="n"/>
      <c r="I358" s="221" t="n"/>
      <c r="J358" s="350" t="n"/>
    </row>
    <row r="359">
      <c r="G359" s="220" t="n"/>
      <c r="H359" s="220" t="n"/>
      <c r="I359" s="221" t="n"/>
      <c r="J359" s="350" t="n"/>
    </row>
    <row r="360">
      <c r="G360" s="220" t="n"/>
      <c r="H360" s="220" t="n"/>
      <c r="I360" s="221" t="n"/>
      <c r="J360" s="350" t="n"/>
    </row>
    <row r="361">
      <c r="G361" s="220" t="n"/>
      <c r="H361" s="220" t="n"/>
      <c r="I361" s="221" t="n"/>
      <c r="J361" s="350" t="n"/>
    </row>
    <row r="362">
      <c r="G362" s="220" t="n"/>
      <c r="H362" s="220" t="n"/>
      <c r="I362" s="221" t="n"/>
      <c r="J362" s="350" t="n"/>
    </row>
    <row r="363">
      <c r="G363" s="220" t="n"/>
      <c r="H363" s="220" t="n"/>
      <c r="I363" s="221" t="n"/>
      <c r="J363" s="350" t="n"/>
    </row>
    <row r="364">
      <c r="G364" s="220" t="n"/>
      <c r="H364" s="220" t="n"/>
      <c r="I364" s="221" t="n"/>
      <c r="J364" s="350" t="n"/>
    </row>
    <row r="365">
      <c r="G365" s="220" t="n"/>
      <c r="H365" s="220" t="n"/>
      <c r="I365" s="221" t="n"/>
      <c r="J365" s="350" t="n"/>
    </row>
    <row r="366">
      <c r="G366" s="220" t="n"/>
      <c r="H366" s="220" t="n"/>
      <c r="I366" s="221" t="n"/>
      <c r="J366" s="350" t="n"/>
    </row>
    <row r="367">
      <c r="G367" s="220" t="n"/>
      <c r="H367" s="220" t="n"/>
      <c r="I367" s="221" t="n"/>
      <c r="J367" s="350" t="n"/>
    </row>
    <row r="368">
      <c r="G368" s="220" t="n"/>
      <c r="H368" s="220" t="n"/>
      <c r="I368" s="221" t="n"/>
      <c r="J368" s="350" t="n"/>
    </row>
    <row r="369">
      <c r="G369" s="220" t="n"/>
      <c r="H369" s="220" t="n"/>
      <c r="I369" s="221" t="n"/>
      <c r="J369" s="350" t="n"/>
    </row>
    <row r="370">
      <c r="G370" s="220" t="n"/>
      <c r="H370" s="220" t="n"/>
      <c r="I370" s="221" t="n"/>
      <c r="J370" s="350" t="n"/>
    </row>
    <row r="371">
      <c r="G371" s="220" t="n"/>
      <c r="H371" s="220" t="n"/>
      <c r="I371" s="221" t="n"/>
      <c r="J371" s="350" t="n"/>
    </row>
    <row r="372">
      <c r="G372" s="220" t="n"/>
      <c r="H372" s="220" t="n"/>
      <c r="I372" s="221" t="n"/>
      <c r="J372" s="350" t="n"/>
    </row>
    <row r="373">
      <c r="G373" s="220" t="n"/>
      <c r="H373" s="220" t="n"/>
      <c r="I373" s="221" t="n"/>
      <c r="J373" s="350" t="n"/>
    </row>
    <row r="374">
      <c r="G374" s="220" t="n"/>
      <c r="H374" s="220" t="n"/>
      <c r="I374" s="221" t="n"/>
      <c r="J374" s="350" t="n"/>
    </row>
    <row r="375">
      <c r="G375" s="220" t="n"/>
      <c r="H375" s="220" t="n"/>
      <c r="I375" s="221" t="n"/>
      <c r="J375" s="350" t="n"/>
    </row>
    <row r="376">
      <c r="G376" s="220" t="n"/>
      <c r="H376" s="220" t="n"/>
      <c r="I376" s="221" t="n"/>
      <c r="J376" s="350" t="n"/>
    </row>
    <row r="377">
      <c r="G377" s="220" t="n"/>
      <c r="H377" s="220" t="n"/>
      <c r="I377" s="221" t="n"/>
      <c r="J377" s="350" t="n"/>
    </row>
    <row r="378">
      <c r="G378" s="220" t="n"/>
      <c r="H378" s="220" t="n"/>
      <c r="I378" s="221" t="n"/>
      <c r="J378" s="350" t="n"/>
    </row>
    <row r="379">
      <c r="G379" s="220" t="n"/>
      <c r="H379" s="220" t="n"/>
      <c r="I379" s="221" t="n"/>
      <c r="J379" s="350" t="n"/>
    </row>
    <row r="380">
      <c r="G380" s="220" t="n"/>
      <c r="H380" s="220" t="n"/>
      <c r="I380" s="221" t="n"/>
      <c r="J380" s="350" t="n"/>
    </row>
    <row r="381">
      <c r="G381" s="220" t="n"/>
      <c r="H381" s="220" t="n"/>
      <c r="I381" s="221" t="n"/>
      <c r="J381" s="350" t="n"/>
    </row>
    <row r="382">
      <c r="G382" s="220" t="n"/>
      <c r="H382" s="220" t="n"/>
      <c r="I382" s="221" t="n"/>
      <c r="J382" s="350" t="n"/>
    </row>
    <row r="383">
      <c r="G383" s="220" t="n"/>
      <c r="H383" s="220" t="n"/>
      <c r="I383" s="221" t="n"/>
      <c r="J383" s="350" t="n"/>
    </row>
    <row r="384">
      <c r="G384" s="220" t="n"/>
      <c r="H384" s="220" t="n"/>
      <c r="I384" s="221" t="n"/>
      <c r="J384" s="350" t="n"/>
    </row>
    <row r="385">
      <c r="G385" s="220" t="n"/>
      <c r="H385" s="220" t="n"/>
      <c r="I385" s="221" t="n"/>
      <c r="J385" s="350" t="n"/>
    </row>
    <row r="386">
      <c r="G386" s="220" t="n"/>
      <c r="H386" s="220" t="n"/>
      <c r="I386" s="221" t="n"/>
      <c r="J386" s="350" t="n"/>
    </row>
    <row r="387">
      <c r="G387" s="220" t="n"/>
      <c r="H387" s="220" t="n"/>
      <c r="I387" s="221" t="n"/>
      <c r="J387" s="350" t="n"/>
    </row>
    <row r="388">
      <c r="G388" s="220" t="n"/>
      <c r="H388" s="220" t="n"/>
      <c r="I388" s="221" t="n"/>
      <c r="J388" s="350" t="n"/>
    </row>
    <row r="389">
      <c r="G389" s="220" t="n"/>
      <c r="H389" s="220" t="n"/>
      <c r="I389" s="221" t="n"/>
      <c r="J389" s="350" t="n"/>
    </row>
    <row r="390">
      <c r="G390" s="220" t="n"/>
      <c r="H390" s="220" t="n"/>
      <c r="I390" s="221" t="n"/>
      <c r="J390" s="350" t="n"/>
    </row>
    <row r="391">
      <c r="G391" s="220" t="n"/>
      <c r="H391" s="220" t="n"/>
      <c r="I391" s="221" t="n"/>
      <c r="J391" s="350" t="n"/>
    </row>
    <row r="392">
      <c r="G392" s="220" t="n"/>
      <c r="H392" s="220" t="n"/>
      <c r="I392" s="221" t="n"/>
      <c r="J392" s="350" t="n"/>
    </row>
    <row r="393">
      <c r="G393" s="220" t="n"/>
      <c r="H393" s="220" t="n"/>
      <c r="I393" s="221" t="n"/>
      <c r="J393" s="350" t="n"/>
    </row>
    <row r="394">
      <c r="G394" s="220" t="n"/>
      <c r="H394" s="220" t="n"/>
      <c r="I394" s="221" t="n"/>
      <c r="J394" s="350" t="n"/>
    </row>
    <row r="395">
      <c r="G395" s="220" t="n"/>
      <c r="H395" s="220" t="n"/>
      <c r="I395" s="221" t="n"/>
      <c r="J395" s="350" t="n"/>
    </row>
    <row r="396">
      <c r="G396" s="220" t="n"/>
      <c r="H396" s="220" t="n"/>
      <c r="I396" s="221" t="n"/>
      <c r="J396" s="350" t="n"/>
    </row>
    <row r="397">
      <c r="G397" s="220" t="n"/>
      <c r="H397" s="220" t="n"/>
      <c r="I397" s="221" t="n"/>
      <c r="J397" s="350" t="n"/>
    </row>
    <row r="398">
      <c r="G398" s="220" t="n"/>
      <c r="H398" s="220" t="n"/>
      <c r="I398" s="221" t="n"/>
      <c r="J398" s="350" t="n"/>
    </row>
    <row r="399">
      <c r="G399" s="220" t="n"/>
      <c r="H399" s="220" t="n"/>
      <c r="I399" s="221" t="n"/>
      <c r="J399" s="350" t="n"/>
    </row>
    <row r="400">
      <c r="G400" s="220" t="n"/>
      <c r="H400" s="220" t="n"/>
      <c r="I400" s="221" t="n"/>
      <c r="J400" s="350" t="n"/>
    </row>
    <row r="401">
      <c r="G401" s="220" t="n"/>
      <c r="H401" s="220" t="n"/>
      <c r="I401" s="221" t="n"/>
      <c r="J401" s="350" t="n"/>
    </row>
    <row r="402">
      <c r="G402" s="220" t="n"/>
      <c r="H402" s="220" t="n"/>
      <c r="I402" s="221" t="n"/>
      <c r="J402" s="350" t="n"/>
    </row>
    <row r="403">
      <c r="G403" s="220" t="n"/>
      <c r="H403" s="220" t="n"/>
      <c r="I403" s="221" t="n"/>
      <c r="J403" s="350" t="n"/>
    </row>
    <row r="404">
      <c r="G404" s="220" t="n"/>
      <c r="H404" s="220" t="n"/>
      <c r="I404" s="221" t="n"/>
      <c r="J404" s="350" t="n"/>
    </row>
    <row r="405">
      <c r="G405" s="220" t="n"/>
      <c r="H405" s="220" t="n"/>
      <c r="I405" s="221" t="n"/>
      <c r="J405" s="350" t="n"/>
    </row>
    <row r="406">
      <c r="G406" s="220" t="n"/>
      <c r="H406" s="220" t="n"/>
      <c r="I406" s="221" t="n"/>
      <c r="J406" s="350" t="n"/>
    </row>
    <row r="407">
      <c r="G407" s="220" t="n"/>
      <c r="H407" s="220" t="n"/>
      <c r="I407" s="221" t="n"/>
      <c r="J407" s="350" t="n"/>
    </row>
    <row r="408">
      <c r="G408" s="220" t="n"/>
      <c r="H408" s="220" t="n"/>
      <c r="I408" s="221" t="n"/>
      <c r="J408" s="350" t="n"/>
    </row>
    <row r="409">
      <c r="G409" s="220" t="n"/>
      <c r="H409" s="220" t="n"/>
      <c r="I409" s="221" t="n"/>
      <c r="J409" s="350" t="n"/>
    </row>
    <row r="410">
      <c r="G410" s="220" t="n"/>
      <c r="H410" s="220" t="n"/>
      <c r="I410" s="221" t="n"/>
      <c r="J410" s="350" t="n"/>
    </row>
    <row r="411">
      <c r="G411" s="220" t="n"/>
      <c r="H411" s="220" t="n"/>
      <c r="I411" s="221" t="n"/>
      <c r="J411" s="350" t="n"/>
    </row>
    <row r="412">
      <c r="G412" s="220" t="n"/>
      <c r="H412" s="220" t="n"/>
      <c r="I412" s="221" t="n"/>
      <c r="J412" s="350" t="n"/>
    </row>
    <row r="413">
      <c r="G413" s="220" t="n"/>
      <c r="H413" s="220" t="n"/>
      <c r="I413" s="221" t="n"/>
      <c r="J413" s="350" t="n"/>
    </row>
    <row r="414">
      <c r="G414" s="220" t="n"/>
      <c r="H414" s="220" t="n"/>
      <c r="I414" s="221" t="n"/>
      <c r="J414" s="350" t="n"/>
    </row>
    <row r="415">
      <c r="G415" s="220" t="n"/>
      <c r="H415" s="220" t="n"/>
      <c r="I415" s="221" t="n"/>
      <c r="J415" s="350" t="n"/>
    </row>
    <row r="416">
      <c r="G416" s="220" t="n"/>
      <c r="H416" s="220" t="n"/>
      <c r="I416" s="221" t="n"/>
      <c r="J416" s="350" t="n"/>
    </row>
  </sheetData>
  <autoFilter ref="A1:L196"/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297"/>
  <sheetViews>
    <sheetView zoomScale="85" zoomScaleNormal="85" workbookViewId="0">
      <selection activeCell="A1" sqref="A1:F1048576"/>
    </sheetView>
  </sheetViews>
  <sheetFormatPr baseColWidth="10" defaultColWidth="11.5703125" defaultRowHeight="12.75"/>
  <cols>
    <col width="13.28515625" customWidth="1" style="223" min="7" max="8"/>
    <col width="11.5703125" customWidth="1" style="224" min="9" max="9"/>
    <col width="11.5703125" customWidth="1" style="347" min="10" max="16384"/>
  </cols>
  <sheetData>
    <row r="1">
      <c r="A1" s="348" t="inlineStr">
        <is>
          <t>Compte</t>
        </is>
      </c>
      <c r="B1" s="348" t="inlineStr">
        <is>
          <t>Libellé</t>
        </is>
      </c>
      <c r="C1" s="348" t="inlineStr">
        <is>
          <t>Solde du 01/01/2025 au 31/01/2025 : Débit</t>
        </is>
      </c>
      <c r="D1" s="348" t="inlineStr">
        <is>
          <t>Solde du 01/01/2025 au 31/01/2025 : Crédit</t>
        </is>
      </c>
      <c r="E1" s="348" t="inlineStr">
        <is>
          <t>Solde du 01/01/2025 au 31/01/2025 : Débit</t>
        </is>
      </c>
      <c r="F1" s="348" t="inlineStr">
        <is>
          <t>Solde du 01/01/2025 au 31/01/2025 : Crédit</t>
        </is>
      </c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>
      <c r="A2" s="348" t="inlineStr">
        <is>
          <t>701001</t>
        </is>
      </c>
      <c r="B2" s="348" t="inlineStr">
        <is>
          <t>Ventes non alimentaires</t>
        </is>
      </c>
      <c r="C2" s="348" t="n">
        <v>5710.64</v>
      </c>
      <c r="D2" s="348" t="inlineStr"/>
      <c r="E2" s="348" t="n">
        <v>5710.64</v>
      </c>
      <c r="F2" s="348" t="inlineStr"/>
      <c r="G2" s="220">
        <f>SUM(C2)-SUM(D2)</f>
        <v/>
      </c>
      <c r="H2" s="220">
        <f>SUM(E2)-SUM(F2)</f>
        <v/>
      </c>
      <c r="I2" s="221">
        <f>IF(A2="Total",VLOOKUP(B2,CORRESPONDANCE[#All],2,FALSE),I3)</f>
        <v/>
      </c>
      <c r="J2" s="350">
        <f>LEFT(A2,1)</f>
        <v/>
      </c>
      <c r="K2" s="347">
        <f>"TIRR"&amp;" - "&amp;A2</f>
        <v/>
      </c>
      <c r="L2" s="347">
        <f>+VLOOKUP(K2,TL[],4,FALSE)</f>
        <v/>
      </c>
    </row>
    <row r="3">
      <c r="A3" s="348" t="inlineStr">
        <is>
          <t>701010</t>
        </is>
      </c>
      <c r="B3" s="348" t="inlineStr">
        <is>
          <t>Ventes 10%</t>
        </is>
      </c>
      <c r="C3" s="348" t="inlineStr"/>
      <c r="D3" s="348" t="n">
        <v>264906.75</v>
      </c>
      <c r="E3" s="348" t="inlineStr"/>
      <c r="F3" s="348" t="n">
        <v>264906.75</v>
      </c>
      <c r="G3" s="220">
        <f>SUM(C3)-SUM(D3)</f>
        <v/>
      </c>
      <c r="H3" s="220">
        <f>SUM(E3)-SUM(F3)</f>
        <v/>
      </c>
      <c r="I3" s="221">
        <f>IF(A3="Total",VLOOKUP(B3,CORRESPONDANCE[#All],2,FALSE),I4)</f>
        <v/>
      </c>
      <c r="J3" s="350">
        <f>LEFT(A3,1)</f>
        <v/>
      </c>
      <c r="K3" s="347">
        <f>"TIRR"&amp;" - "&amp;A3</f>
        <v/>
      </c>
      <c r="L3" s="347">
        <f>+VLOOKUP(K3,TL[],4,FALSE)</f>
        <v/>
      </c>
    </row>
    <row r="4">
      <c r="A4" s="348" t="inlineStr">
        <is>
          <t>701011</t>
        </is>
      </c>
      <c r="B4" s="348" t="inlineStr">
        <is>
          <t>Ventes ciné</t>
        </is>
      </c>
      <c r="C4" s="348" t="inlineStr"/>
      <c r="D4" s="348" t="n">
        <v>9.52</v>
      </c>
      <c r="E4" s="348" t="inlineStr"/>
      <c r="F4" s="348" t="n">
        <v>9.52</v>
      </c>
      <c r="G4" s="220">
        <f>SUM(C4)-SUM(D4)</f>
        <v/>
      </c>
      <c r="H4" s="220">
        <f>SUM(E4)-SUM(F4)</f>
        <v/>
      </c>
      <c r="I4" s="221">
        <f>IF(A4="Total",VLOOKUP(B4,CORRESPONDANCE[#All],2,FALSE),I5)</f>
        <v/>
      </c>
      <c r="J4" s="350">
        <f>LEFT(A4,1)</f>
        <v/>
      </c>
      <c r="K4" s="347">
        <f>"TIRR"&amp;" - "&amp;A4</f>
        <v/>
      </c>
      <c r="L4" s="347">
        <f>+VLOOKUP(K4,TL[],4,FALSE)</f>
        <v/>
      </c>
    </row>
    <row r="5">
      <c r="A5" s="348" t="inlineStr">
        <is>
          <t>701100</t>
        </is>
      </c>
      <c r="B5" s="348" t="inlineStr">
        <is>
          <t>Ventes 5,5 %</t>
        </is>
      </c>
      <c r="C5" s="348" t="inlineStr"/>
      <c r="D5" s="348" t="n">
        <v>1338.27</v>
      </c>
      <c r="E5" s="348" t="inlineStr"/>
      <c r="F5" s="348" t="n">
        <v>1338.27</v>
      </c>
      <c r="G5" s="220">
        <f>SUM(C5)-SUM(D5)</f>
        <v/>
      </c>
      <c r="H5" s="220">
        <f>SUM(E5)-SUM(F5)</f>
        <v/>
      </c>
      <c r="I5" s="221">
        <f>IF(A5="Total",VLOOKUP(B5,CORRESPONDANCE[#All],2,FALSE),I6)</f>
        <v/>
      </c>
      <c r="J5" s="350">
        <f>LEFT(A5,1)</f>
        <v/>
      </c>
      <c r="K5" s="347">
        <f>"TIRR"&amp;" - "&amp;A5</f>
        <v/>
      </c>
      <c r="L5" s="347">
        <f>+VLOOKUP(K5,TL[],4,FALSE)</f>
        <v/>
      </c>
    </row>
    <row r="6">
      <c r="A6" s="348" t="inlineStr">
        <is>
          <t>701220</t>
        </is>
      </c>
      <c r="B6" s="348" t="inlineStr">
        <is>
          <t>Ventes 20%</t>
        </is>
      </c>
      <c r="C6" s="348" t="inlineStr"/>
      <c r="D6" s="348" t="n">
        <v>583.09</v>
      </c>
      <c r="E6" s="348" t="inlineStr"/>
      <c r="F6" s="348" t="n">
        <v>583.09</v>
      </c>
      <c r="G6" s="220">
        <f>SUM(C6)-SUM(D6)</f>
        <v/>
      </c>
      <c r="H6" s="220">
        <f>SUM(E6)-SUM(F6)</f>
        <v/>
      </c>
      <c r="I6" s="221">
        <f>IF(A6="Total",VLOOKUP(B6,CORRESPONDANCE[#All],2,FALSE),I7)</f>
        <v/>
      </c>
      <c r="J6" s="350">
        <f>LEFT(A6,1)</f>
        <v/>
      </c>
      <c r="K6" s="347">
        <f>"TIRR"&amp;" - "&amp;A6</f>
        <v/>
      </c>
      <c r="L6" s="347">
        <f>+VLOOKUP(K6,TL[],4,FALSE)</f>
        <v/>
      </c>
    </row>
    <row r="7">
      <c r="A7" s="348" t="inlineStr">
        <is>
          <t>Total</t>
        </is>
      </c>
      <c r="B7" s="348" t="inlineStr">
        <is>
          <t>Table n°2  -  Ventes produits alimentaires</t>
        </is>
      </c>
      <c r="C7" s="348" t="inlineStr"/>
      <c r="D7" s="348" t="n">
        <v>261126.99</v>
      </c>
      <c r="E7" s="348" t="inlineStr"/>
      <c r="F7" s="348" t="n">
        <v>261126.99</v>
      </c>
      <c r="G7" s="220">
        <f>SUM(C7)-SUM(D7)</f>
        <v/>
      </c>
      <c r="H7" s="220">
        <f>SUM(E7)-SUM(F7)</f>
        <v/>
      </c>
      <c r="I7" s="221">
        <f>IF(A7="Total",VLOOKUP(B7,CORRESPONDANCE[#All],2,FALSE),I8)</f>
        <v/>
      </c>
      <c r="J7" s="350">
        <f>LEFT(A7,1)</f>
        <v/>
      </c>
      <c r="K7" s="347">
        <f>"TIRR"&amp;" - "&amp;A7</f>
        <v/>
      </c>
      <c r="L7" s="347">
        <f>+VLOOKUP(K7,TL[],4,FALSE)</f>
        <v/>
      </c>
    </row>
    <row r="8">
      <c r="A8" s="348" t="inlineStr">
        <is>
          <t>601100</t>
        </is>
      </c>
      <c r="B8" s="348" t="inlineStr">
        <is>
          <t>Achats nourriture</t>
        </is>
      </c>
      <c r="C8" s="348" t="n">
        <v>59340.3</v>
      </c>
      <c r="D8" s="348" t="inlineStr"/>
      <c r="E8" s="348" t="n">
        <v>59340.3</v>
      </c>
      <c r="F8" s="348" t="inlineStr"/>
      <c r="G8" s="220">
        <f>SUM(C8)-SUM(D8)</f>
        <v/>
      </c>
      <c r="H8" s="220">
        <f>SUM(E8)-SUM(F8)</f>
        <v/>
      </c>
      <c r="I8" s="221">
        <f>IF(A8="Total",VLOOKUP(B8,CORRESPONDANCE[#All],2,FALSE),I9)</f>
        <v/>
      </c>
      <c r="J8" s="350">
        <f>LEFT(A8,1)</f>
        <v/>
      </c>
      <c r="K8" s="347">
        <f>"TIRR"&amp;" - "&amp;A8</f>
        <v/>
      </c>
      <c r="L8" s="347">
        <f>+VLOOKUP(K8,TL[],4,FALSE)</f>
        <v/>
      </c>
    </row>
    <row r="9">
      <c r="A9" s="348" t="inlineStr">
        <is>
          <t>603100</t>
        </is>
      </c>
      <c r="B9" s="348" t="inlineStr">
        <is>
          <t>Variat. stocks mat. premières/fourn</t>
        </is>
      </c>
      <c r="C9" s="348" t="n">
        <v>119.78</v>
      </c>
      <c r="D9" s="348" t="inlineStr"/>
      <c r="E9" s="348" t="n">
        <v>119.78</v>
      </c>
      <c r="F9" s="348" t="inlineStr"/>
      <c r="G9" s="220">
        <f>SUM(C9)-SUM(D9)</f>
        <v/>
      </c>
      <c r="H9" s="220">
        <f>SUM(E9)-SUM(F9)</f>
        <v/>
      </c>
      <c r="I9" s="221">
        <f>IF(A9="Total",VLOOKUP(B9,CORRESPONDANCE[#All],2,FALSE),I10)</f>
        <v/>
      </c>
      <c r="J9" s="350">
        <f>LEFT(A9,1)</f>
        <v/>
      </c>
      <c r="K9" s="347">
        <f>"TIRR"&amp;" - "&amp;A9</f>
        <v/>
      </c>
      <c r="L9" s="347">
        <f>+VLOOKUP(K9,TL[],4,FALSE)</f>
        <v/>
      </c>
    </row>
    <row r="10">
      <c r="A10" s="348" t="inlineStr">
        <is>
          <t>637810</t>
        </is>
      </c>
      <c r="B10" s="348" t="inlineStr">
        <is>
          <t>Contribution boissons sucrées</t>
        </is>
      </c>
      <c r="C10" s="348" t="n">
        <v>875</v>
      </c>
      <c r="D10" s="348" t="inlineStr"/>
      <c r="E10" s="348" t="n">
        <v>875</v>
      </c>
      <c r="F10" s="348" t="inlineStr"/>
      <c r="G10" s="220">
        <f>SUM(C10)-SUM(D10)</f>
        <v/>
      </c>
      <c r="H10" s="220">
        <f>SUM(E10)-SUM(F10)</f>
        <v/>
      </c>
      <c r="I10" s="221">
        <f>IF(A10="Total",VLOOKUP(B10,CORRESPONDANCE[#All],2,FALSE),I11)</f>
        <v/>
      </c>
      <c r="J10" s="350">
        <f>LEFT(A10,1)</f>
        <v/>
      </c>
      <c r="K10" s="347">
        <f>"TIRR"&amp;" - "&amp;A10</f>
        <v/>
      </c>
      <c r="L10" s="347">
        <f>+VLOOKUP(K10,TL[],4,FALSE)</f>
        <v/>
      </c>
    </row>
    <row r="11">
      <c r="A11" s="348" t="inlineStr">
        <is>
          <t>708000</t>
        </is>
      </c>
      <c r="B11" s="348" t="inlineStr">
        <is>
          <t>Remises Martin Brower</t>
        </is>
      </c>
      <c r="C11" s="348" t="inlineStr"/>
      <c r="D11" s="348" t="n">
        <v>2202.59</v>
      </c>
      <c r="E11" s="348" t="inlineStr"/>
      <c r="F11" s="348" t="n">
        <v>2202.59</v>
      </c>
      <c r="G11" s="220">
        <f>SUM(C11)-SUM(D11)</f>
        <v/>
      </c>
      <c r="H11" s="220">
        <f>SUM(E11)-SUM(F11)</f>
        <v/>
      </c>
      <c r="I11" s="221">
        <f>IF(A11="Total",VLOOKUP(B11,CORRESPONDANCE[#All],2,FALSE),I12)</f>
        <v/>
      </c>
      <c r="J11" s="350">
        <f>LEFT(A11,1)</f>
        <v/>
      </c>
      <c r="K11" s="347">
        <f>"TIRR"&amp;" - "&amp;A11</f>
        <v/>
      </c>
      <c r="L11" s="347">
        <f>+VLOOKUP(K11,TL[],4,FALSE)</f>
        <v/>
      </c>
    </row>
    <row r="12">
      <c r="A12" s="348" t="inlineStr">
        <is>
          <t>Total</t>
        </is>
      </c>
      <c r="B12" s="348" t="inlineStr">
        <is>
          <t>Table n°2  -  Coût nourriture : achat nourriture</t>
        </is>
      </c>
      <c r="C12" s="348" t="n">
        <v>58132.49</v>
      </c>
      <c r="D12" s="348" t="inlineStr"/>
      <c r="E12" s="348" t="n">
        <v>58132.49</v>
      </c>
      <c r="F12" s="348" t="inlineStr"/>
      <c r="G12" s="220">
        <f>SUM(C12)-SUM(D12)</f>
        <v/>
      </c>
      <c r="H12" s="220">
        <f>SUM(E12)-SUM(F12)</f>
        <v/>
      </c>
      <c r="I12" s="221">
        <f>IF(A12="Total",VLOOKUP(B12,CORRESPONDANCE[#All],2,FALSE),I13)</f>
        <v/>
      </c>
      <c r="J12" s="350">
        <f>LEFT(A12,1)</f>
        <v/>
      </c>
      <c r="K12" s="347">
        <f>"TIRR"&amp;" - "&amp;A12</f>
        <v/>
      </c>
      <c r="L12" s="347">
        <f>+VLOOKUP(K12,TL[],4,FALSE)</f>
        <v/>
      </c>
    </row>
    <row r="13">
      <c r="A13" s="348" t="inlineStr">
        <is>
          <t>601103</t>
        </is>
      </c>
      <c r="B13" s="348" t="inlineStr">
        <is>
          <t>Repas employes</t>
        </is>
      </c>
      <c r="C13" s="348" t="n">
        <v>832.65</v>
      </c>
      <c r="D13" s="348" t="inlineStr"/>
      <c r="E13" s="348" t="n">
        <v>832.65</v>
      </c>
      <c r="F13" s="348" t="inlineStr"/>
      <c r="G13" s="220">
        <f>SUM(C13)-SUM(D13)</f>
        <v/>
      </c>
      <c r="H13" s="220">
        <f>SUM(E13)-SUM(F13)</f>
        <v/>
      </c>
      <c r="I13" s="221">
        <f>IF(A13="Total",VLOOKUP(B13,CORRESPONDANCE[#All],2,FALSE),I14)</f>
        <v/>
      </c>
      <c r="J13" s="350">
        <f>LEFT(A13,1)</f>
        <v/>
      </c>
      <c r="K13" s="347">
        <f>"TIRR"&amp;" - "&amp;A13</f>
        <v/>
      </c>
      <c r="L13" s="347">
        <f>+VLOOKUP(K13,TL[],4,FALSE)</f>
        <v/>
      </c>
    </row>
    <row r="14">
      <c r="A14" s="348" t="inlineStr">
        <is>
          <t>Total</t>
        </is>
      </c>
      <c r="B14" s="348" t="inlineStr">
        <is>
          <t>Table n°2  -  Repas employés</t>
        </is>
      </c>
      <c r="C14" s="348" t="n">
        <v>832.65</v>
      </c>
      <c r="D14" s="348" t="inlineStr"/>
      <c r="E14" s="348" t="n">
        <v>832.65</v>
      </c>
      <c r="F14" s="348" t="inlineStr"/>
      <c r="G14" s="220">
        <f>SUM(C14)-SUM(D14)</f>
        <v/>
      </c>
      <c r="H14" s="220">
        <f>SUM(E14)-SUM(F14)</f>
        <v/>
      </c>
      <c r="I14" s="221">
        <f>IF(A14="Total",VLOOKUP(B14,CORRESPONDANCE[#All],2,FALSE),I15)</f>
        <v/>
      </c>
      <c r="J14" s="350">
        <f>LEFT(A14,1)</f>
        <v/>
      </c>
      <c r="K14" s="347">
        <f>"TIRR"&amp;" - "&amp;A14</f>
        <v/>
      </c>
      <c r="L14" s="347">
        <f>+VLOOKUP(K14,TL[],4,FALSE)</f>
        <v/>
      </c>
    </row>
    <row r="15">
      <c r="A15" s="348" t="inlineStr">
        <is>
          <t>601102</t>
        </is>
      </c>
      <c r="B15" s="348" t="inlineStr">
        <is>
          <t>Dechets</t>
        </is>
      </c>
      <c r="C15" s="348" t="n">
        <v>1711.68</v>
      </c>
      <c r="D15" s="348" t="inlineStr"/>
      <c r="E15" s="348" t="n">
        <v>1711.68</v>
      </c>
      <c r="F15" s="348" t="inlineStr"/>
      <c r="G15" s="220">
        <f>SUM(C15)-SUM(D15)</f>
        <v/>
      </c>
      <c r="H15" s="220">
        <f>SUM(E15)-SUM(F15)</f>
        <v/>
      </c>
      <c r="I15" s="221">
        <f>IF(A15="Total",VLOOKUP(B15,CORRESPONDANCE[#All],2,FALSE),I16)</f>
        <v/>
      </c>
      <c r="J15" s="350">
        <f>LEFT(A15,1)</f>
        <v/>
      </c>
      <c r="K15" s="347">
        <f>"TIRR"&amp;" - "&amp;A15</f>
        <v/>
      </c>
      <c r="L15" s="347">
        <f>+VLOOKUP(K15,TL[],4,FALSE)</f>
        <v/>
      </c>
    </row>
    <row r="16">
      <c r="A16" s="348" t="inlineStr">
        <is>
          <t>Total</t>
        </is>
      </c>
      <c r="B16" s="348" t="inlineStr">
        <is>
          <t>Table n°2  -  Déchets Pertes</t>
        </is>
      </c>
      <c r="C16" s="348" t="n">
        <v>1711.68</v>
      </c>
      <c r="D16" s="348" t="inlineStr"/>
      <c r="E16" s="348" t="n">
        <v>1711.68</v>
      </c>
      <c r="F16" s="348" t="inlineStr"/>
      <c r="G16" s="220">
        <f>SUM(C16)-SUM(D16)</f>
        <v/>
      </c>
      <c r="H16" s="220">
        <f>SUM(E16)-SUM(F16)</f>
        <v/>
      </c>
      <c r="I16" s="221">
        <f>IF(A16="Total",VLOOKUP(B16,CORRESPONDANCE[#All],2,FALSE),I17)</f>
        <v/>
      </c>
      <c r="J16" s="350">
        <f>LEFT(A16,1)</f>
        <v/>
      </c>
      <c r="K16" s="347">
        <f>"TIRR"&amp;" - "&amp;A16</f>
        <v/>
      </c>
      <c r="L16" s="347">
        <f>+VLOOKUP(K16,TL[],4,FALSE)</f>
        <v/>
      </c>
    </row>
    <row r="17">
      <c r="A17" s="348" t="inlineStr">
        <is>
          <t>602201</t>
        </is>
      </c>
      <c r="B17" s="348" t="inlineStr">
        <is>
          <t>Achat papier</t>
        </is>
      </c>
      <c r="C17" s="348" t="n">
        <v>6151.98</v>
      </c>
      <c r="D17" s="348" t="inlineStr"/>
      <c r="E17" s="348" t="n">
        <v>6151.98</v>
      </c>
      <c r="F17" s="348" t="inlineStr"/>
      <c r="G17" s="220">
        <f>SUM(C17)-SUM(D17)</f>
        <v/>
      </c>
      <c r="H17" s="220">
        <f>SUM(E17)-SUM(F17)</f>
        <v/>
      </c>
      <c r="I17" s="221">
        <f>IF(A17="Total",VLOOKUP(B17,CORRESPONDANCE[#All],2,FALSE),I18)</f>
        <v/>
      </c>
      <c r="J17" s="350">
        <f>LEFT(A17,1)</f>
        <v/>
      </c>
      <c r="K17" s="347">
        <f>"TIRR"&amp;" - "&amp;A17</f>
        <v/>
      </c>
      <c r="L17" s="347">
        <f>+VLOOKUP(K17,TL[],4,FALSE)</f>
        <v/>
      </c>
    </row>
    <row r="18">
      <c r="A18" s="348" t="inlineStr">
        <is>
          <t>603200</t>
        </is>
      </c>
      <c r="B18" s="348" t="inlineStr">
        <is>
          <t>Variat. stocks papier</t>
        </is>
      </c>
      <c r="C18" s="348" t="inlineStr"/>
      <c r="D18" s="348" t="n">
        <v>352.08</v>
      </c>
      <c r="E18" s="348" t="inlineStr"/>
      <c r="F18" s="348" t="n">
        <v>352.08</v>
      </c>
      <c r="G18" s="220">
        <f>SUM(C18)-SUM(D18)</f>
        <v/>
      </c>
      <c r="H18" s="220">
        <f>SUM(E18)-SUM(F18)</f>
        <v/>
      </c>
      <c r="I18" s="221">
        <f>IF(A18="Total",VLOOKUP(B18,CORRESPONDANCE[#All],2,FALSE),I19)</f>
        <v/>
      </c>
      <c r="J18" s="350">
        <f>LEFT(A18,1)</f>
        <v/>
      </c>
      <c r="K18" s="347">
        <f>"TIRR"&amp;" - "&amp;A18</f>
        <v/>
      </c>
      <c r="L18" s="347">
        <f>+VLOOKUP(K18,TL[],4,FALSE)</f>
        <v/>
      </c>
    </row>
    <row r="19">
      <c r="A19" s="348" t="inlineStr">
        <is>
          <t>Total</t>
        </is>
      </c>
      <c r="B19" s="348" t="inlineStr">
        <is>
          <t>Table n°2  -  Coût emballages</t>
        </is>
      </c>
      <c r="C19" s="348" t="n">
        <v>5799.9</v>
      </c>
      <c r="D19" s="348" t="inlineStr"/>
      <c r="E19" s="348" t="n">
        <v>5799.9</v>
      </c>
      <c r="F19" s="348" t="inlineStr"/>
      <c r="G19" s="220">
        <f>SUM(C19)-SUM(D19)</f>
        <v/>
      </c>
      <c r="H19" s="220">
        <f>SUM(E19)-SUM(F19)</f>
        <v/>
      </c>
      <c r="I19" s="221">
        <f>IF(A19="Total",VLOOKUP(B19,CORRESPONDANCE[#All],2,FALSE),I20)</f>
        <v/>
      </c>
      <c r="J19" s="350">
        <f>LEFT(A19,1)</f>
        <v/>
      </c>
      <c r="K19" s="347">
        <f>"TIRR"&amp;" - "&amp;A19</f>
        <v/>
      </c>
      <c r="L19" s="347">
        <f>+VLOOKUP(K19,TL[],4,FALSE)</f>
        <v/>
      </c>
    </row>
    <row r="20">
      <c r="A20" s="348" t="inlineStr">
        <is>
          <t>602612</t>
        </is>
      </c>
      <c r="B20" s="348" t="inlineStr">
        <is>
          <t>Vaisselle</t>
        </is>
      </c>
      <c r="C20" s="348" t="n">
        <v>440.51</v>
      </c>
      <c r="D20" s="348" t="inlineStr"/>
      <c r="E20" s="348" t="n">
        <v>440.51</v>
      </c>
      <c r="F20" s="348" t="inlineStr"/>
      <c r="G20" s="220">
        <f>SUM(C20)-SUM(D20)</f>
        <v/>
      </c>
      <c r="H20" s="220">
        <f>SUM(E20)-SUM(F20)</f>
        <v/>
      </c>
      <c r="I20" s="221">
        <f>IF(A20="Total",VLOOKUP(B20,CORRESPONDANCE[#All],2,FALSE),I21)</f>
        <v/>
      </c>
      <c r="J20" s="350">
        <f>LEFT(A20,1)</f>
        <v/>
      </c>
      <c r="K20" s="347">
        <f>"TIRR"&amp;" - "&amp;A20</f>
        <v/>
      </c>
      <c r="L20" s="347">
        <f>+VLOOKUP(K20,TL[],4,FALSE)</f>
        <v/>
      </c>
    </row>
    <row r="21">
      <c r="A21" s="348" t="inlineStr">
        <is>
          <t>Total</t>
        </is>
      </c>
      <c r="B21" s="348" t="inlineStr">
        <is>
          <t>Table n°2  -  Vaisselle réutilisable</t>
        </is>
      </c>
      <c r="C21" s="348" t="n">
        <v>440.51</v>
      </c>
      <c r="D21" s="348" t="inlineStr"/>
      <c r="E21" s="348" t="n">
        <v>440.51</v>
      </c>
      <c r="F21" s="348" t="inlineStr"/>
      <c r="G21" s="220">
        <f>SUM(C21)-SUM(D21)</f>
        <v/>
      </c>
      <c r="H21" s="220">
        <f>SUM(E21)-SUM(F21)</f>
        <v/>
      </c>
      <c r="I21" s="221">
        <f>IF(A21="Total",VLOOKUP(B21,CORRESPONDANCE[#All],2,FALSE),I22)</f>
        <v/>
      </c>
      <c r="J21" s="350">
        <f>LEFT(A21,1)</f>
        <v/>
      </c>
      <c r="K21" s="347">
        <f>"TIRR"&amp;" - "&amp;A21</f>
        <v/>
      </c>
      <c r="L21" s="347">
        <f>+VLOOKUP(K21,TL[],4,FALSE)</f>
        <v/>
      </c>
    </row>
    <row r="22">
      <c r="A22" s="348" t="inlineStr">
        <is>
          <t>641101</t>
        </is>
      </c>
      <c r="B22" s="348" t="inlineStr">
        <is>
          <t>Rémunération équipiers</t>
        </is>
      </c>
      <c r="C22" s="348" t="n">
        <v>29290.74</v>
      </c>
      <c r="D22" s="348" t="inlineStr"/>
      <c r="E22" s="348" t="n">
        <v>29290.74</v>
      </c>
      <c r="F22" s="348" t="inlineStr"/>
      <c r="G22" s="220">
        <f>SUM(C22)-SUM(D22)</f>
        <v/>
      </c>
      <c r="H22" s="220">
        <f>SUM(E22)-SUM(F22)</f>
        <v/>
      </c>
      <c r="I22" s="221">
        <f>IF(A22="Total",VLOOKUP(B22,CORRESPONDANCE[#All],2,FALSE),I23)</f>
        <v/>
      </c>
      <c r="J22" s="350">
        <f>LEFT(A22,1)</f>
        <v/>
      </c>
      <c r="K22" s="347">
        <f>"TIRR"&amp;" - "&amp;A22</f>
        <v/>
      </c>
      <c r="L22" s="347">
        <f>+VLOOKUP(K22,TL[],4,FALSE)</f>
        <v/>
      </c>
    </row>
    <row r="23">
      <c r="A23" s="348" t="inlineStr">
        <is>
          <t>641230</t>
        </is>
      </c>
      <c r="B23" s="348" t="inlineStr">
        <is>
          <t>Provisions congés payés équipiers</t>
        </is>
      </c>
      <c r="C23" s="348" t="n">
        <v>1099.05</v>
      </c>
      <c r="D23" s="348" t="inlineStr"/>
      <c r="E23" s="348" t="n">
        <v>1099.05</v>
      </c>
      <c r="F23" s="348" t="inlineStr"/>
      <c r="G23" s="220">
        <f>SUM(C23)-SUM(D23)</f>
        <v/>
      </c>
      <c r="H23" s="220">
        <f>SUM(E23)-SUM(F23)</f>
        <v/>
      </c>
      <c r="I23" s="221">
        <f>IF(A23="Total",VLOOKUP(B23,CORRESPONDANCE[#All],2,FALSE),I24)</f>
        <v/>
      </c>
      <c r="J23" s="350">
        <f>LEFT(A23,1)</f>
        <v/>
      </c>
      <c r="K23" s="347">
        <f>"TIRR"&amp;" - "&amp;A23</f>
        <v/>
      </c>
      <c r="L23" s="347">
        <f>+VLOOKUP(K23,TL[],4,FALSE)</f>
        <v/>
      </c>
    </row>
    <row r="24">
      <c r="A24" s="348" t="inlineStr">
        <is>
          <t>641401</t>
        </is>
      </c>
      <c r="B24" s="348" t="inlineStr">
        <is>
          <t>An équipiers</t>
        </is>
      </c>
      <c r="C24" s="348" t="n">
        <v>1122.52</v>
      </c>
      <c r="D24" s="348" t="inlineStr"/>
      <c r="E24" s="348" t="n">
        <v>1122.52</v>
      </c>
      <c r="F24" s="348" t="inlineStr"/>
      <c r="G24" s="220">
        <f>SUM(C24)-SUM(D24)</f>
        <v/>
      </c>
      <c r="H24" s="220">
        <f>SUM(E24)-SUM(F24)</f>
        <v/>
      </c>
      <c r="I24" s="221">
        <f>IF(A24="Total",VLOOKUP(B24,CORRESPONDANCE[#All],2,FALSE),I25)</f>
        <v/>
      </c>
      <c r="J24" s="350">
        <f>LEFT(A24,1)</f>
        <v/>
      </c>
      <c r="K24" s="347">
        <f>"TIRR"&amp;" - "&amp;A24</f>
        <v/>
      </c>
      <c r="L24" s="347">
        <f>+VLOOKUP(K24,TL[],4,FALSE)</f>
        <v/>
      </c>
    </row>
    <row r="25">
      <c r="A25" s="348" t="inlineStr">
        <is>
          <t>641410</t>
        </is>
      </c>
      <c r="B25" s="348" t="inlineStr">
        <is>
          <t>Ind blanchisserie équipiers</t>
        </is>
      </c>
      <c r="C25" s="348" t="n">
        <v>328.45</v>
      </c>
      <c r="D25" s="348" t="inlineStr"/>
      <c r="E25" s="348" t="n">
        <v>328.45</v>
      </c>
      <c r="F25" s="348" t="inlineStr"/>
      <c r="G25" s="220">
        <f>SUM(C25)-SUM(D25)</f>
        <v/>
      </c>
      <c r="H25" s="220">
        <f>SUM(E25)-SUM(F25)</f>
        <v/>
      </c>
      <c r="I25" s="221">
        <f>IF(A25="Total",VLOOKUP(B25,CORRESPONDANCE[#All],2,FALSE),I26)</f>
        <v/>
      </c>
      <c r="J25" s="350">
        <f>LEFT(A25,1)</f>
        <v/>
      </c>
      <c r="K25" s="347">
        <f>"TIRR"&amp;" - "&amp;A25</f>
        <v/>
      </c>
      <c r="L25" s="347">
        <f>+VLOOKUP(K25,TL[],4,FALSE)</f>
        <v/>
      </c>
    </row>
    <row r="26">
      <c r="A26" s="348" t="inlineStr">
        <is>
          <t>726100</t>
        </is>
      </c>
      <c r="B26" s="348" t="inlineStr">
        <is>
          <t>AN Nourriture Equipiers</t>
        </is>
      </c>
      <c r="C26" s="348" t="inlineStr"/>
      <c r="D26" s="348" t="n">
        <v>1122.52</v>
      </c>
      <c r="E26" s="348" t="inlineStr"/>
      <c r="F26" s="348" t="n">
        <v>1122.52</v>
      </c>
      <c r="G26" s="220">
        <f>SUM(C26)-SUM(D26)</f>
        <v/>
      </c>
      <c r="H26" s="220">
        <f>SUM(E26)-SUM(F26)</f>
        <v/>
      </c>
      <c r="I26" s="221">
        <f>IF(A26="Total",VLOOKUP(B26,CORRESPONDANCE[#All],2,FALSE),I27)</f>
        <v/>
      </c>
      <c r="J26" s="350">
        <f>LEFT(A26,1)</f>
        <v/>
      </c>
      <c r="K26" s="347">
        <f>"TIRR"&amp;" - "&amp;A26</f>
        <v/>
      </c>
      <c r="L26" s="347">
        <f>+VLOOKUP(K26,TL[],4,FALSE)</f>
        <v/>
      </c>
    </row>
    <row r="27">
      <c r="A27" s="348" t="inlineStr">
        <is>
          <t>Total</t>
        </is>
      </c>
      <c r="B27" s="348" t="inlineStr">
        <is>
          <t>Table n°2  -  Main d'œuvre brute équipiers</t>
        </is>
      </c>
      <c r="C27" s="348" t="n">
        <v>30718.24</v>
      </c>
      <c r="D27" s="348" t="inlineStr"/>
      <c r="E27" s="348" t="n">
        <v>30718.24</v>
      </c>
      <c r="F27" s="348" t="inlineStr"/>
      <c r="G27" s="220">
        <f>SUM(C27)-SUM(D27)</f>
        <v/>
      </c>
      <c r="H27" s="220">
        <f>SUM(E27)-SUM(F27)</f>
        <v/>
      </c>
      <c r="I27" s="221">
        <f>IF(A27="Total",VLOOKUP(B27,CORRESPONDANCE[#All],2,FALSE),I28)</f>
        <v/>
      </c>
      <c r="J27" s="350">
        <f>LEFT(A27,1)</f>
        <v/>
      </c>
      <c r="K27" s="347">
        <f>"TIRR"&amp;" - "&amp;A27</f>
        <v/>
      </c>
      <c r="L27" s="347">
        <f>+VLOOKUP(K27,TL[],4,FALSE)</f>
        <v/>
      </c>
    </row>
    <row r="28">
      <c r="A28" s="348" t="inlineStr">
        <is>
          <t>645101</t>
        </is>
      </c>
      <c r="B28" s="348" t="inlineStr">
        <is>
          <t>Urssaf équipiers</t>
        </is>
      </c>
      <c r="C28" s="348" t="n">
        <v>2476.07</v>
      </c>
      <c r="D28" s="348" t="inlineStr"/>
      <c r="E28" s="348" t="n">
        <v>2476.07</v>
      </c>
      <c r="F28" s="348" t="inlineStr"/>
      <c r="G28" s="220">
        <f>SUM(C28)-SUM(D28)</f>
        <v/>
      </c>
      <c r="H28" s="220">
        <f>SUM(E28)-SUM(F28)</f>
        <v/>
      </c>
      <c r="I28" s="221">
        <f>IF(A28="Total",VLOOKUP(B28,CORRESPONDANCE[#All],2,FALSE),I29)</f>
        <v/>
      </c>
      <c r="J28" s="350">
        <f>LEFT(A28,1)</f>
        <v/>
      </c>
      <c r="K28" s="347">
        <f>"TIRR"&amp;" - "&amp;A28</f>
        <v/>
      </c>
      <c r="L28" s="347">
        <f>+VLOOKUP(K28,TL[],4,FALSE)</f>
        <v/>
      </c>
    </row>
    <row r="29">
      <c r="A29" s="348" t="inlineStr">
        <is>
          <t>645301</t>
        </is>
      </c>
      <c r="B29" s="348" t="inlineStr">
        <is>
          <t>Retraite équipiers</t>
        </is>
      </c>
      <c r="C29" s="348" t="n">
        <v>593.0700000000001</v>
      </c>
      <c r="D29" s="348" t="inlineStr"/>
      <c r="E29" s="348" t="n">
        <v>593.0700000000001</v>
      </c>
      <c r="F29" s="348" t="inlineStr"/>
      <c r="G29" s="220">
        <f>SUM(C29)-SUM(D29)</f>
        <v/>
      </c>
      <c r="H29" s="220">
        <f>SUM(E29)-SUM(F29)</f>
        <v/>
      </c>
      <c r="I29" s="221">
        <f>IF(A29="Total",VLOOKUP(B29,CORRESPONDANCE[#All],2,FALSE),I30)</f>
        <v/>
      </c>
      <c r="J29" s="350">
        <f>LEFT(A29,1)</f>
        <v/>
      </c>
      <c r="K29" s="347">
        <f>"TIRR"&amp;" - "&amp;A29</f>
        <v/>
      </c>
      <c r="L29" s="347">
        <f>+VLOOKUP(K29,TL[],4,FALSE)</f>
        <v/>
      </c>
    </row>
    <row r="30">
      <c r="A30" s="348" t="inlineStr">
        <is>
          <t>645401</t>
        </is>
      </c>
      <c r="B30" s="348" t="inlineStr">
        <is>
          <t>Pôle emploi équipiers</t>
        </is>
      </c>
      <c r="C30" s="348" t="n">
        <v>979.72</v>
      </c>
      <c r="D30" s="348" t="inlineStr"/>
      <c r="E30" s="348" t="n">
        <v>979.72</v>
      </c>
      <c r="F30" s="348" t="inlineStr"/>
      <c r="G30" s="220">
        <f>SUM(C30)-SUM(D30)</f>
        <v/>
      </c>
      <c r="H30" s="220">
        <f>SUM(E30)-SUM(F30)</f>
        <v/>
      </c>
      <c r="I30" s="221">
        <f>IF(A30="Total",VLOOKUP(B30,CORRESPONDANCE[#All],2,FALSE),I31)</f>
        <v/>
      </c>
      <c r="J30" s="350">
        <f>LEFT(A30,1)</f>
        <v/>
      </c>
      <c r="K30" s="347">
        <f>"TIRR"&amp;" - "&amp;A30</f>
        <v/>
      </c>
      <c r="L30" s="347">
        <f>+VLOOKUP(K30,TL[],4,FALSE)</f>
        <v/>
      </c>
    </row>
    <row r="31">
      <c r="A31" s="348" t="inlineStr">
        <is>
          <t>645530</t>
        </is>
      </c>
      <c r="B31" s="348" t="inlineStr">
        <is>
          <t>Mutuelle équipiers</t>
        </is>
      </c>
      <c r="C31" s="348" t="n">
        <v>254.34</v>
      </c>
      <c r="D31" s="348" t="inlineStr"/>
      <c r="E31" s="348" t="n">
        <v>254.34</v>
      </c>
      <c r="F31" s="348" t="inlineStr"/>
      <c r="G31" s="220">
        <f>SUM(C31)-SUM(D31)</f>
        <v/>
      </c>
      <c r="H31" s="220">
        <f>SUM(E31)-SUM(F31)</f>
        <v/>
      </c>
      <c r="I31" s="221">
        <f>IF(A31="Total",VLOOKUP(B31,CORRESPONDANCE[#All],2,FALSE),I32)</f>
        <v/>
      </c>
      <c r="J31" s="350">
        <f>LEFT(A31,1)</f>
        <v/>
      </c>
      <c r="K31" s="347">
        <f>"TIRR"&amp;" - "&amp;A31</f>
        <v/>
      </c>
      <c r="L31" s="347">
        <f>+VLOOKUP(K31,TL[],4,FALSE)</f>
        <v/>
      </c>
    </row>
    <row r="32">
      <c r="A32" s="348" t="inlineStr">
        <is>
          <t>645810</t>
        </is>
      </c>
      <c r="B32" s="348" t="inlineStr">
        <is>
          <t>Charges sur cp prov équipiers</t>
        </is>
      </c>
      <c r="C32" s="348" t="n">
        <v>184</v>
      </c>
      <c r="D32" s="348" t="inlineStr"/>
      <c r="E32" s="348" t="n">
        <v>184</v>
      </c>
      <c r="F32" s="348" t="inlineStr"/>
      <c r="G32" s="220">
        <f>SUM(C32)-SUM(D32)</f>
        <v/>
      </c>
      <c r="H32" s="220">
        <f>SUM(E32)-SUM(F32)</f>
        <v/>
      </c>
      <c r="I32" s="221">
        <f>IF(A32="Total",VLOOKUP(B32,CORRESPONDANCE[#All],2,FALSE),I33)</f>
        <v/>
      </c>
      <c r="J32" s="350">
        <f>LEFT(A32,1)</f>
        <v/>
      </c>
      <c r="K32" s="347">
        <f>"TIRR"&amp;" - "&amp;A32</f>
        <v/>
      </c>
      <c r="L32" s="347">
        <f>+VLOOKUP(K32,TL[],4,FALSE)</f>
        <v/>
      </c>
    </row>
    <row r="33">
      <c r="A33" s="348" t="inlineStr">
        <is>
          <t>645930</t>
        </is>
      </c>
      <c r="B33" s="348" t="inlineStr">
        <is>
          <t>Prévoyance équipiers</t>
        </is>
      </c>
      <c r="C33" s="348" t="n">
        <v>141.62</v>
      </c>
      <c r="D33" s="348" t="inlineStr"/>
      <c r="E33" s="348" t="n">
        <v>141.62</v>
      </c>
      <c r="F33" s="348" t="inlineStr"/>
      <c r="G33" s="220">
        <f>SUM(C33)-SUM(D33)</f>
        <v/>
      </c>
      <c r="H33" s="220">
        <f>SUM(E33)-SUM(F33)</f>
        <v/>
      </c>
      <c r="I33" s="221">
        <f>IF(A33="Total",VLOOKUP(B33,CORRESPONDANCE[#All],2,FALSE),I34)</f>
        <v/>
      </c>
      <c r="J33" s="350">
        <f>LEFT(A33,1)</f>
        <v/>
      </c>
      <c r="K33" s="347">
        <f>"TIRR"&amp;" - "&amp;A33</f>
        <v/>
      </c>
      <c r="L33" s="347">
        <f>+VLOOKUP(K33,TL[],4,FALSE)</f>
        <v/>
      </c>
    </row>
    <row r="34">
      <c r="A34" s="348" t="inlineStr">
        <is>
          <t>Total</t>
        </is>
      </c>
      <c r="B34" s="348" t="inlineStr">
        <is>
          <t>Table n°2  -  Charges sociales équipiers</t>
        </is>
      </c>
      <c r="C34" s="348" t="n">
        <v>4628.82</v>
      </c>
      <c r="D34" s="348" t="inlineStr"/>
      <c r="E34" s="348" t="n">
        <v>4628.82</v>
      </c>
      <c r="F34" s="348" t="inlineStr"/>
      <c r="G34" s="220">
        <f>SUM(C34)-SUM(D34)</f>
        <v/>
      </c>
      <c r="H34" s="220">
        <f>SUM(E34)-SUM(F34)</f>
        <v/>
      </c>
      <c r="I34" s="221">
        <f>IF(A34="Total",VLOOKUP(B34,CORRESPONDANCE[#All],2,FALSE),I35)</f>
        <v/>
      </c>
      <c r="J34" s="350">
        <f>LEFT(A34,1)</f>
        <v/>
      </c>
      <c r="K34" s="347">
        <f>"TIRR"&amp;" - "&amp;A34</f>
        <v/>
      </c>
      <c r="L34" s="347">
        <f>+VLOOKUP(K34,TL[],4,FALSE)</f>
        <v/>
      </c>
    </row>
    <row r="35">
      <c r="A35" s="348" t="inlineStr">
        <is>
          <t>621402</t>
        </is>
      </c>
      <c r="B35" s="348" t="inlineStr">
        <is>
          <t>Personnel ext assistants</t>
        </is>
      </c>
      <c r="C35" s="348" t="n">
        <v>3340.99</v>
      </c>
      <c r="D35" s="348" t="inlineStr"/>
      <c r="E35" s="348" t="n">
        <v>3340.99</v>
      </c>
      <c r="F35" s="348" t="inlineStr"/>
      <c r="G35" s="220">
        <f>SUM(C35)-SUM(D35)</f>
        <v/>
      </c>
      <c r="H35" s="220">
        <f>SUM(E35)-SUM(F35)</f>
        <v/>
      </c>
      <c r="I35" s="221">
        <f>IF(A35="Total",VLOOKUP(B35,CORRESPONDANCE[#All],2,FALSE),I36)</f>
        <v/>
      </c>
      <c r="J35" s="350">
        <f>LEFT(A35,1)</f>
        <v/>
      </c>
      <c r="K35" s="347">
        <f>"TIRR"&amp;" - "&amp;A35</f>
        <v/>
      </c>
      <c r="L35" s="347">
        <f>+VLOOKUP(K35,TL[],4,FALSE)</f>
        <v/>
      </c>
    </row>
    <row r="36">
      <c r="A36" s="348" t="inlineStr">
        <is>
          <t>641104</t>
        </is>
      </c>
      <c r="B36" s="348" t="inlineStr">
        <is>
          <t>Rémunération assistants</t>
        </is>
      </c>
      <c r="C36" s="348" t="n">
        <v>11562.13</v>
      </c>
      <c r="D36" s="348" t="inlineStr"/>
      <c r="E36" s="348" t="n">
        <v>11562.13</v>
      </c>
      <c r="F36" s="348" t="inlineStr"/>
      <c r="G36" s="220">
        <f>SUM(C36)-SUM(D36)</f>
        <v/>
      </c>
      <c r="H36" s="220">
        <f>SUM(E36)-SUM(F36)</f>
        <v/>
      </c>
      <c r="I36" s="221">
        <f>IF(A36="Total",VLOOKUP(B36,CORRESPONDANCE[#All],2,FALSE),I37)</f>
        <v/>
      </c>
      <c r="J36" s="350">
        <f>LEFT(A36,1)</f>
        <v/>
      </c>
      <c r="K36" s="347">
        <f>"TIRR"&amp;" - "&amp;A36</f>
        <v/>
      </c>
      <c r="L36" s="347">
        <f>+VLOOKUP(K36,TL[],4,FALSE)</f>
        <v/>
      </c>
    </row>
    <row r="37">
      <c r="A37" s="348" t="inlineStr">
        <is>
          <t>641220</t>
        </is>
      </c>
      <c r="B37" s="348" t="inlineStr">
        <is>
          <t>Provisions congés payés assistants</t>
        </is>
      </c>
      <c r="C37" s="348" t="n">
        <v>276.02</v>
      </c>
      <c r="D37" s="348" t="inlineStr"/>
      <c r="E37" s="348" t="n">
        <v>276.02</v>
      </c>
      <c r="F37" s="348" t="inlineStr"/>
      <c r="G37" s="220">
        <f>SUM(C37)-SUM(D37)</f>
        <v/>
      </c>
      <c r="H37" s="220">
        <f>SUM(E37)-SUM(F37)</f>
        <v/>
      </c>
      <c r="I37" s="221">
        <f>IF(A37="Total",VLOOKUP(B37,CORRESPONDANCE[#All],2,FALSE),I38)</f>
        <v/>
      </c>
      <c r="J37" s="350">
        <f>LEFT(A37,1)</f>
        <v/>
      </c>
      <c r="K37" s="347">
        <f>"TIRR"&amp;" - "&amp;A37</f>
        <v/>
      </c>
      <c r="L37" s="347">
        <f>+VLOOKUP(K37,TL[],4,FALSE)</f>
        <v/>
      </c>
    </row>
    <row r="38">
      <c r="A38" s="348" t="inlineStr">
        <is>
          <t>641404</t>
        </is>
      </c>
      <c r="B38" s="348" t="inlineStr">
        <is>
          <t>An assistants</t>
        </is>
      </c>
      <c r="C38" s="348" t="n">
        <v>400.9</v>
      </c>
      <c r="D38" s="348" t="inlineStr"/>
      <c r="E38" s="348" t="n">
        <v>400.9</v>
      </c>
      <c r="F38" s="348" t="inlineStr"/>
      <c r="G38" s="220">
        <f>SUM(C38)-SUM(D38)</f>
        <v/>
      </c>
      <c r="H38" s="220">
        <f>SUM(E38)-SUM(F38)</f>
        <v/>
      </c>
      <c r="I38" s="221">
        <f>IF(A38="Total",VLOOKUP(B38,CORRESPONDANCE[#All],2,FALSE),I39)</f>
        <v/>
      </c>
      <c r="J38" s="350">
        <f>LEFT(A38,1)</f>
        <v/>
      </c>
      <c r="K38" s="347">
        <f>"TIRR"&amp;" - "&amp;A38</f>
        <v/>
      </c>
      <c r="L38" s="347">
        <f>+VLOOKUP(K38,TL[],4,FALSE)</f>
        <v/>
      </c>
    </row>
    <row r="39">
      <c r="A39" s="348" t="inlineStr">
        <is>
          <t>641414</t>
        </is>
      </c>
      <c r="B39" s="348" t="inlineStr">
        <is>
          <t>Ind blanchissage managers</t>
        </is>
      </c>
      <c r="C39" s="348" t="n">
        <v>101.05</v>
      </c>
      <c r="D39" s="348" t="inlineStr"/>
      <c r="E39" s="348" t="n">
        <v>101.05</v>
      </c>
      <c r="F39" s="348" t="inlineStr"/>
      <c r="G39" s="220">
        <f>SUM(C39)-SUM(D39)</f>
        <v/>
      </c>
      <c r="H39" s="220">
        <f>SUM(E39)-SUM(F39)</f>
        <v/>
      </c>
      <c r="I39" s="221">
        <f>IF(A39="Total",VLOOKUP(B39,CORRESPONDANCE[#All],2,FALSE),I40)</f>
        <v/>
      </c>
      <c r="J39" s="350">
        <f>LEFT(A39,1)</f>
        <v/>
      </c>
      <c r="K39" s="347">
        <f>"TIRR"&amp;" - "&amp;A39</f>
        <v/>
      </c>
      <c r="L39" s="347">
        <f>+VLOOKUP(K39,TL[],4,FALSE)</f>
        <v/>
      </c>
    </row>
    <row r="40">
      <c r="A40" s="348" t="inlineStr">
        <is>
          <t>726110</t>
        </is>
      </c>
      <c r="B40" s="348" t="inlineStr">
        <is>
          <t>AN Nourriture Managers</t>
        </is>
      </c>
      <c r="C40" s="348" t="inlineStr"/>
      <c r="D40" s="348" t="n">
        <v>400.9</v>
      </c>
      <c r="E40" s="348" t="inlineStr"/>
      <c r="F40" s="348" t="n">
        <v>400.9</v>
      </c>
      <c r="G40" s="220">
        <f>SUM(C40)-SUM(D40)</f>
        <v/>
      </c>
      <c r="H40" s="220">
        <f>SUM(E40)-SUM(F40)</f>
        <v/>
      </c>
      <c r="I40" s="221">
        <f>IF(A40="Total",VLOOKUP(B40,CORRESPONDANCE[#All],2,FALSE),I41)</f>
        <v/>
      </c>
      <c r="J40" s="350">
        <f>LEFT(A40,1)</f>
        <v/>
      </c>
      <c r="K40" s="347">
        <f>"TIRR"&amp;" - "&amp;A40</f>
        <v/>
      </c>
      <c r="L40" s="347">
        <f>+VLOOKUP(K40,TL[],4,FALSE)</f>
        <v/>
      </c>
    </row>
    <row r="41">
      <c r="A41" s="348" t="inlineStr">
        <is>
          <t>Total</t>
        </is>
      </c>
      <c r="B41" s="348" t="inlineStr">
        <is>
          <t>Table n°2  -  Main d'œuvre brute équipe de gestio</t>
        </is>
      </c>
      <c r="C41" s="348" t="n">
        <v>15280.19</v>
      </c>
      <c r="D41" s="348" t="inlineStr"/>
      <c r="E41" s="348" t="n">
        <v>15280.19</v>
      </c>
      <c r="F41" s="348" t="inlineStr"/>
      <c r="G41" s="220">
        <f>SUM(C41)-SUM(D41)</f>
        <v/>
      </c>
      <c r="H41" s="220">
        <f>SUM(E41)-SUM(F41)</f>
        <v/>
      </c>
      <c r="I41" s="221">
        <f>IF(A41="Total",VLOOKUP(B41,CORRESPONDANCE[#All],2,FALSE),I42)</f>
        <v/>
      </c>
      <c r="J41" s="350">
        <f>LEFT(A41,1)</f>
        <v/>
      </c>
      <c r="K41" s="347">
        <f>"TIRR"&amp;" - "&amp;A41</f>
        <v/>
      </c>
      <c r="L41" s="347">
        <f>+VLOOKUP(K41,TL[],4,FALSE)</f>
        <v/>
      </c>
    </row>
    <row r="42">
      <c r="A42" s="348" t="inlineStr">
        <is>
          <t>621405</t>
        </is>
      </c>
      <c r="B42" s="348" t="inlineStr">
        <is>
          <t>Personnel ext cs assistants</t>
        </is>
      </c>
      <c r="C42" s="348" t="n">
        <v>1248.27</v>
      </c>
      <c r="D42" s="348" t="inlineStr"/>
      <c r="E42" s="348" t="n">
        <v>1248.27</v>
      </c>
      <c r="F42" s="348" t="inlineStr"/>
      <c r="G42" s="220">
        <f>SUM(C42)-SUM(D42)</f>
        <v/>
      </c>
      <c r="H42" s="220">
        <f>SUM(E42)-SUM(F42)</f>
        <v/>
      </c>
      <c r="I42" s="221">
        <f>IF(A42="Total",VLOOKUP(B42,CORRESPONDANCE[#All],2,FALSE),I43)</f>
        <v/>
      </c>
      <c r="J42" s="350">
        <f>LEFT(A42,1)</f>
        <v/>
      </c>
      <c r="K42" s="347">
        <f>"TIRR"&amp;" - "&amp;A42</f>
        <v/>
      </c>
      <c r="L42" s="347">
        <f>+VLOOKUP(K42,TL[],4,FALSE)</f>
        <v/>
      </c>
    </row>
    <row r="43">
      <c r="A43" s="348" t="inlineStr">
        <is>
          <t>645104</t>
        </is>
      </c>
      <c r="B43" s="348" t="inlineStr">
        <is>
          <t>Urssaf assistants</t>
        </is>
      </c>
      <c r="C43" s="348" t="n">
        <v>1756.51</v>
      </c>
      <c r="D43" s="348" t="inlineStr"/>
      <c r="E43" s="348" t="n">
        <v>1756.51</v>
      </c>
      <c r="F43" s="348" t="inlineStr"/>
      <c r="G43" s="220">
        <f>SUM(C43)-SUM(D43)</f>
        <v/>
      </c>
      <c r="H43" s="220">
        <f>SUM(E43)-SUM(F43)</f>
        <v/>
      </c>
      <c r="I43" s="221">
        <f>IF(A43="Total",VLOOKUP(B43,CORRESPONDANCE[#All],2,FALSE),I44)</f>
        <v/>
      </c>
      <c r="J43" s="350">
        <f>LEFT(A43,1)</f>
        <v/>
      </c>
      <c r="K43" s="347">
        <f>"TIRR"&amp;" - "&amp;A43</f>
        <v/>
      </c>
      <c r="L43" s="347">
        <f>+VLOOKUP(K43,TL[],4,FALSE)</f>
        <v/>
      </c>
    </row>
    <row r="44">
      <c r="A44" s="348" t="inlineStr">
        <is>
          <t>645304</t>
        </is>
      </c>
      <c r="B44" s="348" t="inlineStr">
        <is>
          <t>Retraite assistants</t>
        </is>
      </c>
      <c r="C44" s="348" t="n">
        <v>374.56</v>
      </c>
      <c r="D44" s="348" t="inlineStr"/>
      <c r="E44" s="348" t="n">
        <v>374.56</v>
      </c>
      <c r="F44" s="348" t="inlineStr"/>
      <c r="G44" s="220">
        <f>SUM(C44)-SUM(D44)</f>
        <v/>
      </c>
      <c r="H44" s="220">
        <f>SUM(E44)-SUM(F44)</f>
        <v/>
      </c>
      <c r="I44" s="221">
        <f>IF(A44="Total",VLOOKUP(B44,CORRESPONDANCE[#All],2,FALSE),I45)</f>
        <v/>
      </c>
      <c r="J44" s="350">
        <f>LEFT(A44,1)</f>
        <v/>
      </c>
      <c r="K44" s="347">
        <f>"TIRR"&amp;" - "&amp;A44</f>
        <v/>
      </c>
      <c r="L44" s="347">
        <f>+VLOOKUP(K44,TL[],4,FALSE)</f>
        <v/>
      </c>
    </row>
    <row r="45">
      <c r="A45" s="348" t="inlineStr">
        <is>
          <t>645404</t>
        </is>
      </c>
      <c r="B45" s="348" t="inlineStr">
        <is>
          <t>Pôle emploi assistants</t>
        </is>
      </c>
      <c r="C45" s="348" t="n">
        <v>381.3</v>
      </c>
      <c r="D45" s="348" t="inlineStr"/>
      <c r="E45" s="348" t="n">
        <v>381.3</v>
      </c>
      <c r="F45" s="348" t="inlineStr"/>
      <c r="G45" s="220">
        <f>SUM(C45)-SUM(D45)</f>
        <v/>
      </c>
      <c r="H45" s="220">
        <f>SUM(E45)-SUM(F45)</f>
        <v/>
      </c>
      <c r="I45" s="221">
        <f>IF(A45="Total",VLOOKUP(B45,CORRESPONDANCE[#All],2,FALSE),I46)</f>
        <v/>
      </c>
      <c r="J45" s="350">
        <f>LEFT(A45,1)</f>
        <v/>
      </c>
      <c r="K45" s="347">
        <f>"TIRR"&amp;" - "&amp;A45</f>
        <v/>
      </c>
      <c r="L45" s="347">
        <f>+VLOOKUP(K45,TL[],4,FALSE)</f>
        <v/>
      </c>
    </row>
    <row r="46">
      <c r="A46" s="348" t="inlineStr">
        <is>
          <t>645520</t>
        </is>
      </c>
      <c r="B46" s="348" t="inlineStr">
        <is>
          <t>Mutuelle assistants</t>
        </is>
      </c>
      <c r="C46" s="348" t="n">
        <v>84.78</v>
      </c>
      <c r="D46" s="348" t="inlineStr"/>
      <c r="E46" s="348" t="n">
        <v>84.78</v>
      </c>
      <c r="F46" s="348" t="inlineStr"/>
      <c r="G46" s="220">
        <f>SUM(C46)-SUM(D46)</f>
        <v/>
      </c>
      <c r="H46" s="220">
        <f>SUM(E46)-SUM(F46)</f>
        <v/>
      </c>
      <c r="I46" s="221">
        <f>IF(A46="Total",VLOOKUP(B46,CORRESPONDANCE[#All],2,FALSE),I47)</f>
        <v/>
      </c>
      <c r="J46" s="350">
        <f>LEFT(A46,1)</f>
        <v/>
      </c>
      <c r="K46" s="347">
        <f>"TIRR"&amp;" - "&amp;A46</f>
        <v/>
      </c>
      <c r="L46" s="347">
        <f>+VLOOKUP(K46,TL[],4,FALSE)</f>
        <v/>
      </c>
    </row>
    <row r="47">
      <c r="A47" s="348" t="inlineStr">
        <is>
          <t>645800</t>
        </is>
      </c>
      <c r="B47" s="348" t="inlineStr">
        <is>
          <t>Charges sur cp prov assistants</t>
        </is>
      </c>
      <c r="C47" s="348" t="n">
        <v>76.84</v>
      </c>
      <c r="D47" s="348" t="inlineStr"/>
      <c r="E47" s="348" t="n">
        <v>76.84</v>
      </c>
      <c r="F47" s="348" t="inlineStr"/>
      <c r="G47" s="220">
        <f>SUM(C47)-SUM(D47)</f>
        <v/>
      </c>
      <c r="H47" s="220">
        <f>SUM(E47)-SUM(F47)</f>
        <v/>
      </c>
      <c r="I47" s="221">
        <f>IF(A47="Total",VLOOKUP(B47,CORRESPONDANCE[#All],2,FALSE),I48)</f>
        <v/>
      </c>
      <c r="J47" s="350">
        <f>LEFT(A47,1)</f>
        <v/>
      </c>
      <c r="K47" s="347">
        <f>"TIRR"&amp;" - "&amp;A47</f>
        <v/>
      </c>
      <c r="L47" s="347">
        <f>+VLOOKUP(K47,TL[],4,FALSE)</f>
        <v/>
      </c>
    </row>
    <row r="48">
      <c r="A48" s="348" t="inlineStr">
        <is>
          <t>645920</t>
        </is>
      </c>
      <c r="B48" s="348" t="inlineStr">
        <is>
          <t>Prévoyance assistants</t>
        </is>
      </c>
      <c r="C48" s="348" t="n">
        <v>55.14</v>
      </c>
      <c r="D48" s="348" t="inlineStr"/>
      <c r="E48" s="348" t="n">
        <v>55.14</v>
      </c>
      <c r="F48" s="348" t="inlineStr"/>
      <c r="G48" s="220">
        <f>SUM(C48)-SUM(D48)</f>
        <v/>
      </c>
      <c r="H48" s="220">
        <f>SUM(E48)-SUM(F48)</f>
        <v/>
      </c>
      <c r="I48" s="221">
        <f>IF(A48="Total",VLOOKUP(B48,CORRESPONDANCE[#All],2,FALSE),I49)</f>
        <v/>
      </c>
      <c r="J48" s="350">
        <f>LEFT(A48,1)</f>
        <v/>
      </c>
      <c r="K48" s="347">
        <f>"TIRR"&amp;" - "&amp;A48</f>
        <v/>
      </c>
      <c r="L48" s="347">
        <f>+VLOOKUP(K48,TL[],4,FALSE)</f>
        <v/>
      </c>
    </row>
    <row r="49">
      <c r="A49" s="348" t="inlineStr">
        <is>
          <t>Total</t>
        </is>
      </c>
      <c r="B49" s="348" t="inlineStr">
        <is>
          <t>Table n°2  -  Charges sociales équipe de gestion</t>
        </is>
      </c>
      <c r="C49" s="348" t="n">
        <v>3977.4</v>
      </c>
      <c r="D49" s="348" t="inlineStr"/>
      <c r="E49" s="348" t="n">
        <v>3977.4</v>
      </c>
      <c r="F49" s="348" t="inlineStr"/>
      <c r="G49" s="220">
        <f>SUM(C49)-SUM(D49)</f>
        <v/>
      </c>
      <c r="H49" s="220">
        <f>SUM(E49)-SUM(F49)</f>
        <v/>
      </c>
      <c r="I49" s="221">
        <f>IF(A49="Total",VLOOKUP(B49,CORRESPONDANCE[#All],2,FALSE),I50)</f>
        <v/>
      </c>
      <c r="J49" s="350">
        <f>LEFT(A49,1)</f>
        <v/>
      </c>
      <c r="K49" s="347">
        <f>"TIRR"&amp;" - "&amp;A49</f>
        <v/>
      </c>
      <c r="L49" s="347">
        <f>+VLOOKUP(K49,TL[],4,FALSE)</f>
        <v/>
      </c>
    </row>
    <row r="50">
      <c r="A50" s="348" t="inlineStr">
        <is>
          <t>615210</t>
        </is>
      </c>
      <c r="B50" s="348" t="inlineStr">
        <is>
          <t>Entretien vitres</t>
        </is>
      </c>
      <c r="C50" s="348" t="inlineStr"/>
      <c r="D50" s="348" t="inlineStr"/>
      <c r="E50" s="348" t="inlineStr"/>
      <c r="F50" s="348" t="inlineStr"/>
      <c r="G50" s="220">
        <f>SUM(C50)-SUM(D50)</f>
        <v/>
      </c>
      <c r="H50" s="220">
        <f>SUM(E50)-SUM(F50)</f>
        <v/>
      </c>
      <c r="I50" s="221">
        <f>IF(A50="Total",VLOOKUP(B50,CORRESPONDANCE[#All],2,FALSE),I51)</f>
        <v/>
      </c>
      <c r="J50" s="350">
        <f>LEFT(A50,1)</f>
        <v/>
      </c>
      <c r="K50" s="347">
        <f>"TIRR"&amp;" - "&amp;A50</f>
        <v/>
      </c>
      <c r="L50" s="347">
        <f>+VLOOKUP(K50,TL[],4,FALSE)</f>
        <v/>
      </c>
    </row>
    <row r="51">
      <c r="A51" s="348" t="inlineStr">
        <is>
          <t>615220</t>
        </is>
      </c>
      <c r="B51" s="348" t="inlineStr">
        <is>
          <t>Nettoyage restaurant</t>
        </is>
      </c>
      <c r="C51" s="348" t="n">
        <v>9100</v>
      </c>
      <c r="D51" s="348" t="inlineStr"/>
      <c r="E51" s="348" t="n">
        <v>9100</v>
      </c>
      <c r="F51" s="348" t="inlineStr"/>
      <c r="G51" s="220">
        <f>SUM(C51)-SUM(D51)</f>
        <v/>
      </c>
      <c r="H51" s="220">
        <f>SUM(E51)-SUM(F51)</f>
        <v/>
      </c>
      <c r="I51" s="221">
        <f>IF(A51="Total",VLOOKUP(B51,CORRESPONDANCE[#All],2,FALSE),I52)</f>
        <v/>
      </c>
      <c r="J51" s="350">
        <f>LEFT(A51,1)</f>
        <v/>
      </c>
      <c r="K51" s="347">
        <f>"TIRR"&amp;" - "&amp;A51</f>
        <v/>
      </c>
      <c r="L51" s="347">
        <f>+VLOOKUP(K51,TL[],4,FALSE)</f>
        <v/>
      </c>
    </row>
    <row r="52">
      <c r="A52" s="348" t="inlineStr">
        <is>
          <t>615615</t>
        </is>
      </c>
      <c r="B52" s="348" t="inlineStr">
        <is>
          <t>Contrat entretien linge</t>
        </is>
      </c>
      <c r="C52" s="348" t="n">
        <v>118.47</v>
      </c>
      <c r="D52" s="348" t="inlineStr"/>
      <c r="E52" s="348" t="n">
        <v>118.47</v>
      </c>
      <c r="F52" s="348" t="inlineStr"/>
      <c r="G52" s="220">
        <f>SUM(C52)-SUM(D52)</f>
        <v/>
      </c>
      <c r="H52" s="220">
        <f>SUM(E52)-SUM(F52)</f>
        <v/>
      </c>
      <c r="I52" s="221">
        <f>IF(A52="Total",VLOOKUP(B52,CORRESPONDANCE[#All],2,FALSE),I53)</f>
        <v/>
      </c>
      <c r="J52" s="350">
        <f>LEFT(A52,1)</f>
        <v/>
      </c>
      <c r="K52" s="347">
        <f>"TIRR"&amp;" - "&amp;A52</f>
        <v/>
      </c>
      <c r="L52" s="347">
        <f>+VLOOKUP(K52,TL[],4,FALSE)</f>
        <v/>
      </c>
    </row>
    <row r="53">
      <c r="A53" s="348" t="inlineStr">
        <is>
          <t>615652</t>
        </is>
      </c>
      <c r="B53" s="348" t="inlineStr">
        <is>
          <t>Contrat entretien jardin</t>
        </is>
      </c>
      <c r="C53" s="348" t="n">
        <v>169</v>
      </c>
      <c r="D53" s="348" t="inlineStr"/>
      <c r="E53" s="348" t="n">
        <v>169</v>
      </c>
      <c r="F53" s="348" t="inlineStr"/>
      <c r="G53" s="220">
        <f>SUM(C53)-SUM(D53)</f>
        <v/>
      </c>
      <c r="H53" s="220">
        <f>SUM(E53)-SUM(F53)</f>
        <v/>
      </c>
      <c r="I53" s="221">
        <f>IF(A53="Total",VLOOKUP(B53,CORRESPONDANCE[#All],2,FALSE),I54)</f>
        <v/>
      </c>
      <c r="J53" s="350">
        <f>LEFT(A53,1)</f>
        <v/>
      </c>
      <c r="K53" s="347">
        <f>"TIRR"&amp;" - "&amp;A53</f>
        <v/>
      </c>
      <c r="L53" s="347">
        <f>+VLOOKUP(K53,TL[],4,FALSE)</f>
        <v/>
      </c>
    </row>
    <row r="54">
      <c r="A54" s="348" t="inlineStr">
        <is>
          <t>Total</t>
        </is>
      </c>
      <c r="B54" s="348" t="inlineStr">
        <is>
          <t>Table n°2  -  Nettoyage</t>
        </is>
      </c>
      <c r="C54" s="348" t="n">
        <v>9387.469999999999</v>
      </c>
      <c r="D54" s="348" t="inlineStr"/>
      <c r="E54" s="348" t="n">
        <v>9387.469999999999</v>
      </c>
      <c r="F54" s="348" t="inlineStr"/>
      <c r="G54" s="220">
        <f>SUM(C54)-SUM(D54)</f>
        <v/>
      </c>
      <c r="H54" s="220">
        <f>SUM(E54)-SUM(F54)</f>
        <v/>
      </c>
      <c r="I54" s="221">
        <f>IF(A54="Total",VLOOKUP(B54,CORRESPONDANCE[#All],2,FALSE),I55)</f>
        <v/>
      </c>
      <c r="J54" s="350">
        <f>LEFT(A54,1)</f>
        <v/>
      </c>
      <c r="K54" s="347">
        <f>"TIRR"&amp;" - "&amp;A54</f>
        <v/>
      </c>
      <c r="L54" s="347">
        <f>+VLOOKUP(K54,TL[],4,FALSE)</f>
        <v/>
      </c>
    </row>
    <row r="55">
      <c r="A55" s="348" t="inlineStr">
        <is>
          <t>615616</t>
        </is>
      </c>
      <c r="B55" s="348" t="inlineStr">
        <is>
          <t>Contrat télésurveillance</t>
        </is>
      </c>
      <c r="C55" s="348" t="n">
        <v>36.47</v>
      </c>
      <c r="D55" s="348" t="inlineStr"/>
      <c r="E55" s="348" t="n">
        <v>36.47</v>
      </c>
      <c r="F55" s="348" t="inlineStr"/>
      <c r="G55" s="220">
        <f>SUM(C55)-SUM(D55)</f>
        <v/>
      </c>
      <c r="H55" s="220">
        <f>SUM(E55)-SUM(F55)</f>
        <v/>
      </c>
      <c r="I55" s="221">
        <f>IF(A55="Total",VLOOKUP(B55,CORRESPONDANCE[#All],2,FALSE),I56)</f>
        <v/>
      </c>
      <c r="J55" s="350">
        <f>LEFT(A55,1)</f>
        <v/>
      </c>
      <c r="K55" s="347">
        <f>"TIRR"&amp;" - "&amp;A55</f>
        <v/>
      </c>
      <c r="L55" s="347">
        <f>+VLOOKUP(K55,TL[],4,FALSE)</f>
        <v/>
      </c>
    </row>
    <row r="56">
      <c r="A56" s="348" t="inlineStr">
        <is>
          <t>Total</t>
        </is>
      </c>
      <c r="B56" s="348" t="inlineStr">
        <is>
          <t>Table n°2  -  Sécurité et Gardiennage</t>
        </is>
      </c>
      <c r="C56" s="348" t="n">
        <v>36.47</v>
      </c>
      <c r="D56" s="348" t="inlineStr"/>
      <c r="E56" s="348" t="n">
        <v>36.47</v>
      </c>
      <c r="F56" s="348" t="inlineStr"/>
      <c r="G56" s="220">
        <f>SUM(C56)-SUM(D56)</f>
        <v/>
      </c>
      <c r="H56" s="220">
        <f>SUM(E56)-SUM(F56)</f>
        <v/>
      </c>
      <c r="I56" s="221">
        <f>IF(A56="Total",VLOOKUP(B56,CORRESPONDANCE[#All],2,FALSE),I57)</f>
        <v/>
      </c>
      <c r="J56" s="350">
        <f>LEFT(A56,1)</f>
        <v/>
      </c>
      <c r="K56" s="347">
        <f>"TIRR"&amp;" - "&amp;A56</f>
        <v/>
      </c>
      <c r="L56" s="347">
        <f>+VLOOKUP(K56,TL[],4,FALSE)</f>
        <v/>
      </c>
    </row>
    <row r="57">
      <c r="A57" s="348" t="inlineStr">
        <is>
          <t>627801</t>
        </is>
      </c>
      <c r="B57" s="348" t="inlineStr">
        <is>
          <t>Commissions bancaires</t>
        </is>
      </c>
      <c r="C57" s="348" t="n">
        <v>158.61</v>
      </c>
      <c r="D57" s="348" t="inlineStr"/>
      <c r="E57" s="348" t="n">
        <v>158.61</v>
      </c>
      <c r="F57" s="348" t="inlineStr"/>
      <c r="G57" s="220">
        <f>SUM(C57)-SUM(D57)</f>
        <v/>
      </c>
      <c r="H57" s="220">
        <f>SUM(E57)-SUM(F57)</f>
        <v/>
      </c>
      <c r="I57" s="221">
        <f>IF(A57="Total",VLOOKUP(B57,CORRESPONDANCE[#All],2,FALSE),I58)</f>
        <v/>
      </c>
      <c r="J57" s="350">
        <f>LEFT(A57,1)</f>
        <v/>
      </c>
      <c r="K57" s="347">
        <f>"TIRR"&amp;" - "&amp;A57</f>
        <v/>
      </c>
      <c r="L57" s="347">
        <f>+VLOOKUP(K57,TL[],4,FALSE)</f>
        <v/>
      </c>
    </row>
    <row r="58">
      <c r="A58" s="348" t="inlineStr">
        <is>
          <t>627802</t>
        </is>
      </c>
      <c r="B58" s="348" t="inlineStr">
        <is>
          <t>Commissions cb</t>
        </is>
      </c>
      <c r="C58" s="348" t="n">
        <v>1202.22</v>
      </c>
      <c r="D58" s="348" t="inlineStr"/>
      <c r="E58" s="348" t="n">
        <v>1202.22</v>
      </c>
      <c r="F58" s="348" t="inlineStr"/>
      <c r="G58" s="220">
        <f>SUM(C58)-SUM(D58)</f>
        <v/>
      </c>
      <c r="H58" s="220">
        <f>SUM(E58)-SUM(F58)</f>
        <v/>
      </c>
      <c r="I58" s="221">
        <f>IF(A58="Total",VLOOKUP(B58,CORRESPONDANCE[#All],2,FALSE),I59)</f>
        <v/>
      </c>
      <c r="J58" s="350">
        <f>LEFT(A58,1)</f>
        <v/>
      </c>
      <c r="K58" s="347">
        <f>"TIRR"&amp;" - "&amp;A58</f>
        <v/>
      </c>
      <c r="L58" s="347">
        <f>+VLOOKUP(K58,TL[],4,FALSE)</f>
        <v/>
      </c>
    </row>
    <row r="59">
      <c r="A59" s="348" t="inlineStr">
        <is>
          <t>627803</t>
        </is>
      </c>
      <c r="B59" s="348" t="inlineStr">
        <is>
          <t>Commissions tr</t>
        </is>
      </c>
      <c r="C59" s="348" t="n">
        <v>1031.3</v>
      </c>
      <c r="D59" s="348" t="inlineStr"/>
      <c r="E59" s="348" t="n">
        <v>1031.3</v>
      </c>
      <c r="F59" s="348" t="inlineStr"/>
      <c r="G59" s="220">
        <f>SUM(C59)-SUM(D59)</f>
        <v/>
      </c>
      <c r="H59" s="220">
        <f>SUM(E59)-SUM(F59)</f>
        <v/>
      </c>
      <c r="I59" s="221">
        <f>IF(A59="Total",VLOOKUP(B59,CORRESPONDANCE[#All],2,FALSE),I60)</f>
        <v/>
      </c>
      <c r="J59" s="350">
        <f>LEFT(A59,1)</f>
        <v/>
      </c>
      <c r="K59" s="347">
        <f>"TIRR"&amp;" - "&amp;A59</f>
        <v/>
      </c>
      <c r="L59" s="347">
        <f>+VLOOKUP(K59,TL[],4,FALSE)</f>
        <v/>
      </c>
    </row>
    <row r="60">
      <c r="A60" s="348" t="inlineStr">
        <is>
          <t>627805</t>
        </is>
      </c>
      <c r="B60" s="348" t="inlineStr">
        <is>
          <t>Commissions cv</t>
        </is>
      </c>
      <c r="C60" s="348" t="n">
        <v>248.79</v>
      </c>
      <c r="D60" s="348" t="inlineStr"/>
      <c r="E60" s="348" t="n">
        <v>248.79</v>
      </c>
      <c r="F60" s="348" t="inlineStr"/>
      <c r="G60" s="220">
        <f>SUM(C60)-SUM(D60)</f>
        <v/>
      </c>
      <c r="H60" s="220">
        <f>SUM(E60)-SUM(F60)</f>
        <v/>
      </c>
      <c r="I60" s="221">
        <f>IF(A60="Total",VLOOKUP(B60,CORRESPONDANCE[#All],2,FALSE),I61)</f>
        <v/>
      </c>
      <c r="J60" s="350">
        <f>LEFT(A60,1)</f>
        <v/>
      </c>
      <c r="K60" s="347">
        <f>"TIRR"&amp;" - "&amp;A60</f>
        <v/>
      </c>
      <c r="L60" s="347">
        <f>+VLOOKUP(K60,TL[],4,FALSE)</f>
        <v/>
      </c>
    </row>
    <row r="61">
      <c r="A61" s="348" t="inlineStr">
        <is>
          <t>Total</t>
        </is>
      </c>
      <c r="B61" s="348" t="inlineStr">
        <is>
          <t>Table n°2  -  Frais bancaires</t>
        </is>
      </c>
      <c r="C61" s="348" t="n">
        <v>2640.92</v>
      </c>
      <c r="D61" s="348" t="inlineStr"/>
      <c r="E61" s="348" t="n">
        <v>2640.92</v>
      </c>
      <c r="F61" s="348" t="inlineStr"/>
      <c r="G61" s="220">
        <f>SUM(C61)-SUM(D61)</f>
        <v/>
      </c>
      <c r="H61" s="220">
        <f>SUM(E61)-SUM(F61)</f>
        <v/>
      </c>
      <c r="I61" s="221">
        <f>IF(A61="Total",VLOOKUP(B61,CORRESPONDANCE[#All],2,FALSE),I62)</f>
        <v/>
      </c>
      <c r="J61" s="350">
        <f>LEFT(A61,1)</f>
        <v/>
      </c>
      <c r="K61" s="347">
        <f>"TIRR"&amp;" - "&amp;A61</f>
        <v/>
      </c>
      <c r="L61" s="347">
        <f>+VLOOKUP(K61,TL[],4,FALSE)</f>
        <v/>
      </c>
    </row>
    <row r="62">
      <c r="A62" s="348" t="inlineStr">
        <is>
          <t>606300</t>
        </is>
      </c>
      <c r="B62" s="348" t="inlineStr">
        <is>
          <t>Petit equipement</t>
        </is>
      </c>
      <c r="C62" s="348" t="n">
        <v>1267.84</v>
      </c>
      <c r="D62" s="348" t="inlineStr"/>
      <c r="E62" s="348" t="n">
        <v>1267.84</v>
      </c>
      <c r="F62" s="348" t="inlineStr"/>
      <c r="G62" s="220">
        <f>SUM(C62)-SUM(D62)</f>
        <v/>
      </c>
      <c r="H62" s="220">
        <f>SUM(E62)-SUM(F62)</f>
        <v/>
      </c>
      <c r="I62" s="221">
        <f>IF(A62="Total",VLOOKUP(B62,CORRESPONDANCE[#All],2,FALSE),I63)</f>
        <v/>
      </c>
      <c r="J62" s="350">
        <f>LEFT(A62,1)</f>
        <v/>
      </c>
      <c r="K62" s="347">
        <f>"TIRR"&amp;" - "&amp;A62</f>
        <v/>
      </c>
      <c r="L62" s="347">
        <f>+VLOOKUP(K62,TL[],4,FALSE)</f>
        <v/>
      </c>
    </row>
    <row r="63">
      <c r="A63" s="348" t="inlineStr">
        <is>
          <t>615500</t>
        </is>
      </c>
      <c r="B63" s="348" t="inlineStr">
        <is>
          <t>Entretien sur biens mobiliers</t>
        </is>
      </c>
      <c r="C63" s="348" t="n">
        <v>1319.15</v>
      </c>
      <c r="D63" s="348" t="inlineStr"/>
      <c r="E63" s="348" t="n">
        <v>1319.15</v>
      </c>
      <c r="F63" s="348" t="inlineStr"/>
      <c r="G63" s="220">
        <f>SUM(C63)-SUM(D63)</f>
        <v/>
      </c>
      <c r="H63" s="220">
        <f>SUM(E63)-SUM(F63)</f>
        <v/>
      </c>
      <c r="I63" s="221">
        <f>IF(A63="Total",VLOOKUP(B63,CORRESPONDANCE[#All],2,FALSE),I64)</f>
        <v/>
      </c>
      <c r="J63" s="350">
        <f>LEFT(A63,1)</f>
        <v/>
      </c>
      <c r="K63" s="347">
        <f>"TIRR"&amp;" - "&amp;A63</f>
        <v/>
      </c>
      <c r="L63" s="347">
        <f>+VLOOKUP(K63,TL[],4,FALSE)</f>
        <v/>
      </c>
    </row>
    <row r="64">
      <c r="A64" s="348" t="inlineStr">
        <is>
          <t>Total</t>
        </is>
      </c>
      <c r="B64" s="348" t="inlineStr">
        <is>
          <t>Table n°2  -  Contrats Maintenance et réparations</t>
        </is>
      </c>
      <c r="C64" s="348" t="n">
        <v>2586.99</v>
      </c>
      <c r="D64" s="348" t="inlineStr"/>
      <c r="E64" s="348" t="n">
        <v>2586.99</v>
      </c>
      <c r="F64" s="348" t="inlineStr"/>
      <c r="G64" s="220">
        <f>SUM(C64)-SUM(D64)</f>
        <v/>
      </c>
      <c r="H64" s="220">
        <f>SUM(E64)-SUM(F64)</f>
        <v/>
      </c>
      <c r="I64" s="221">
        <f>IF(A64="Total",VLOOKUP(B64,CORRESPONDANCE[#All],2,FALSE),I65)</f>
        <v/>
      </c>
      <c r="J64" s="350">
        <f>LEFT(A64,1)</f>
        <v/>
      </c>
      <c r="K64" s="347">
        <f>"TIRR"&amp;" - "&amp;A64</f>
        <v/>
      </c>
      <c r="L64" s="347">
        <f>+VLOOKUP(K64,TL[],4,FALSE)</f>
        <v/>
      </c>
    </row>
    <row r="65">
      <c r="A65" s="348" t="inlineStr">
        <is>
          <t>611100</t>
        </is>
      </c>
      <c r="B65" s="348" t="inlineStr">
        <is>
          <t>Contrat accès Silae</t>
        </is>
      </c>
      <c r="C65" s="348" t="n">
        <v>165</v>
      </c>
      <c r="D65" s="348" t="inlineStr"/>
      <c r="E65" s="348" t="n">
        <v>165</v>
      </c>
      <c r="F65" s="348" t="inlineStr"/>
      <c r="G65" s="220">
        <f>SUM(C65)-SUM(D65)</f>
        <v/>
      </c>
      <c r="H65" s="220">
        <f>SUM(E65)-SUM(F65)</f>
        <v/>
      </c>
      <c r="I65" s="221">
        <f>IF(A65="Total",VLOOKUP(B65,CORRESPONDANCE[#All],2,FALSE),I66)</f>
        <v/>
      </c>
      <c r="J65" s="350">
        <f>LEFT(A65,1)</f>
        <v/>
      </c>
      <c r="K65" s="347">
        <f>"TIRR"&amp;" - "&amp;A65</f>
        <v/>
      </c>
      <c r="L65" s="347">
        <f>+VLOOKUP(K65,TL[],4,FALSE)</f>
        <v/>
      </c>
    </row>
    <row r="66">
      <c r="A66" s="348" t="inlineStr">
        <is>
          <t>613200</t>
        </is>
      </c>
      <c r="B66" s="348" t="inlineStr">
        <is>
          <t>Locations interway</t>
        </is>
      </c>
      <c r="C66" s="348" t="n">
        <v>208.59</v>
      </c>
      <c r="D66" s="348" t="inlineStr"/>
      <c r="E66" s="348" t="n">
        <v>208.59</v>
      </c>
      <c r="F66" s="348" t="inlineStr"/>
      <c r="G66" s="220">
        <f>SUM(C66)-SUM(D66)</f>
        <v/>
      </c>
      <c r="H66" s="220">
        <f>SUM(E66)-SUM(F66)</f>
        <v/>
      </c>
      <c r="I66" s="221">
        <f>IF(A66="Total",VLOOKUP(B66,CORRESPONDANCE[#All],2,FALSE),I67)</f>
        <v/>
      </c>
      <c r="J66" s="350">
        <f>LEFT(A66,1)</f>
        <v/>
      </c>
      <c r="K66" s="347">
        <f>"TIRR"&amp;" - "&amp;A66</f>
        <v/>
      </c>
      <c r="L66" s="347">
        <f>+VLOOKUP(K66,TL[],4,FALSE)</f>
        <v/>
      </c>
    </row>
    <row r="67">
      <c r="A67" s="348" t="inlineStr">
        <is>
          <t>613519</t>
        </is>
      </c>
      <c r="B67" s="348" t="inlineStr">
        <is>
          <t>Location defibrillateur</t>
        </is>
      </c>
      <c r="C67" s="348" t="n">
        <v>46</v>
      </c>
      <c r="D67" s="348" t="inlineStr"/>
      <c r="E67" s="348" t="n">
        <v>46</v>
      </c>
      <c r="F67" s="348" t="inlineStr"/>
      <c r="G67" s="220">
        <f>SUM(C67)-SUM(D67)</f>
        <v/>
      </c>
      <c r="H67" s="220">
        <f>SUM(E67)-SUM(F67)</f>
        <v/>
      </c>
      <c r="I67" s="221">
        <f>IF(A67="Total",VLOOKUP(B67,CORRESPONDANCE[#All],2,FALSE),#REF!)</f>
        <v/>
      </c>
      <c r="J67" s="350">
        <f>LEFT(A67,1)</f>
        <v/>
      </c>
      <c r="K67" s="347">
        <f>"TIRR"&amp;" - "&amp;A67</f>
        <v/>
      </c>
      <c r="L67" s="347">
        <f>+VLOOKUP(K67,TL[],4,FALSE)</f>
        <v/>
      </c>
    </row>
    <row r="68">
      <c r="A68" s="348" t="inlineStr">
        <is>
          <t>615610</t>
        </is>
      </c>
      <c r="B68" s="348" t="inlineStr">
        <is>
          <t>Contrat Interway</t>
        </is>
      </c>
      <c r="C68" s="348" t="n">
        <v>162.67</v>
      </c>
      <c r="D68" s="348" t="inlineStr"/>
      <c r="E68" s="348" t="n">
        <v>162.67</v>
      </c>
      <c r="F68" s="348" t="inlineStr"/>
      <c r="G68" s="220">
        <f>SUM(C68)-SUM(D68)</f>
        <v/>
      </c>
      <c r="H68" s="220">
        <f>SUM(E68)-SUM(F68)</f>
        <v/>
      </c>
      <c r="I68" s="221">
        <f>IF(A68="Total",VLOOKUP(B68,CORRESPONDANCE[#All],2,FALSE),I69)</f>
        <v/>
      </c>
      <c r="J68" s="350">
        <f>LEFT(A68,1)</f>
        <v/>
      </c>
      <c r="K68" s="347">
        <f>"TIRR"&amp;" - "&amp;A68</f>
        <v/>
      </c>
      <c r="L68" s="347">
        <f>+VLOOKUP(K68,TL[],4,FALSE)</f>
        <v/>
      </c>
    </row>
    <row r="69">
      <c r="A69" s="348" t="inlineStr">
        <is>
          <t>615611</t>
        </is>
      </c>
      <c r="B69" s="348" t="inlineStr">
        <is>
          <t>Contrat ramassage espèces</t>
        </is>
      </c>
      <c r="C69" s="348" t="n">
        <v>334</v>
      </c>
      <c r="D69" s="348" t="inlineStr"/>
      <c r="E69" s="348" t="n">
        <v>334</v>
      </c>
      <c r="F69" s="348" t="inlineStr"/>
      <c r="G69" s="220">
        <f>SUM(C69)-SUM(D69)</f>
        <v/>
      </c>
      <c r="H69" s="220">
        <f>SUM(E69)-SUM(F69)</f>
        <v/>
      </c>
      <c r="I69" s="221">
        <f>IF(A69="Total",VLOOKUP(B69,CORRESPONDANCE[#All],2,FALSE),I70)</f>
        <v/>
      </c>
      <c r="J69" s="350">
        <f>LEFT(A69,1)</f>
        <v/>
      </c>
      <c r="K69" s="347">
        <f>"TIRR"&amp;" - "&amp;A69</f>
        <v/>
      </c>
      <c r="L69" s="347">
        <f>+VLOOKUP(K69,TL[],4,FALSE)</f>
        <v/>
      </c>
    </row>
    <row r="70">
      <c r="A70" s="348" t="inlineStr">
        <is>
          <t>615612</t>
        </is>
      </c>
      <c r="B70" s="348" t="inlineStr">
        <is>
          <t>Contrat ramassage huiles usagées</t>
        </is>
      </c>
      <c r="C70" s="348" t="n">
        <v>134</v>
      </c>
      <c r="D70" s="348" t="inlineStr"/>
      <c r="E70" s="348" t="n">
        <v>134</v>
      </c>
      <c r="F70" s="348" t="inlineStr"/>
      <c r="G70" s="220">
        <f>SUM(C70)-SUM(D70)</f>
        <v/>
      </c>
      <c r="H70" s="220">
        <f>SUM(E70)-SUM(F70)</f>
        <v/>
      </c>
      <c r="I70" s="221">
        <f>IF(A70="Total",VLOOKUP(B70,CORRESPONDANCE[#All],2,FALSE),I71)</f>
        <v/>
      </c>
      <c r="J70" s="350">
        <f>LEFT(A70,1)</f>
        <v/>
      </c>
      <c r="K70" s="347">
        <f>"TIRR"&amp;" - "&amp;A70</f>
        <v/>
      </c>
      <c r="L70" s="347">
        <f>+VLOOKUP(K70,TL[],4,FALSE)</f>
        <v/>
      </c>
    </row>
    <row r="71">
      <c r="A71" s="348" t="inlineStr">
        <is>
          <t>615613</t>
        </is>
      </c>
      <c r="B71" s="348" t="inlineStr">
        <is>
          <t>Contratreflex services</t>
        </is>
      </c>
      <c r="C71" s="348" t="n">
        <v>324</v>
      </c>
      <c r="D71" s="348" t="inlineStr"/>
      <c r="E71" s="348" t="n">
        <v>324</v>
      </c>
      <c r="F71" s="348" t="inlineStr"/>
      <c r="G71" s="220">
        <f>SUM(C71)-SUM(D71)</f>
        <v/>
      </c>
      <c r="H71" s="220">
        <f>SUM(E71)-SUM(F71)</f>
        <v/>
      </c>
      <c r="I71" s="221">
        <f>IF(A71="Total",VLOOKUP(B71,CORRESPONDANCE[#All],2,FALSE),I72)</f>
        <v/>
      </c>
      <c r="J71" s="350">
        <f>LEFT(A71,1)</f>
        <v/>
      </c>
      <c r="K71" s="347">
        <f>"TIRR"&amp;" - "&amp;A71</f>
        <v/>
      </c>
      <c r="L71" s="347">
        <f>+VLOOKUP(K71,TL[],4,FALSE)</f>
        <v/>
      </c>
    </row>
    <row r="72">
      <c r="A72" s="348" t="inlineStr">
        <is>
          <t>615614</t>
        </is>
      </c>
      <c r="B72" s="348" t="inlineStr">
        <is>
          <t>Contrat mc do maintenance</t>
        </is>
      </c>
      <c r="C72" s="348" t="n">
        <v>485</v>
      </c>
      <c r="D72" s="348" t="inlineStr"/>
      <c r="E72" s="348" t="n">
        <v>485</v>
      </c>
      <c r="F72" s="348" t="inlineStr"/>
      <c r="G72" s="220">
        <f>SUM(C72)-SUM(D72)</f>
        <v/>
      </c>
      <c r="H72" s="220">
        <f>SUM(E72)-SUM(F72)</f>
        <v/>
      </c>
      <c r="I72" s="221">
        <f>IF(A72="Total",VLOOKUP(B72,CORRESPONDANCE[#All],2,FALSE),I73)</f>
        <v/>
      </c>
      <c r="J72" s="350">
        <f>LEFT(A72,1)</f>
        <v/>
      </c>
      <c r="K72" s="347">
        <f>"TIRR"&amp;" - "&amp;A72</f>
        <v/>
      </c>
      <c r="L72" s="347">
        <f>+VLOOKUP(K72,TL[],4,FALSE)</f>
        <v/>
      </c>
    </row>
    <row r="73">
      <c r="A73" s="348" t="inlineStr">
        <is>
          <t>615619</t>
        </is>
      </c>
      <c r="B73" s="348" t="inlineStr">
        <is>
          <t>Contrat ecolab antiparasite</t>
        </is>
      </c>
      <c r="C73" s="348" t="n">
        <v>61.5</v>
      </c>
      <c r="D73" s="348" t="inlineStr"/>
      <c r="E73" s="348" t="n">
        <v>61.5</v>
      </c>
      <c r="F73" s="348" t="inlineStr"/>
      <c r="G73" s="220">
        <f>SUM(C73)-SUM(D73)</f>
        <v/>
      </c>
      <c r="H73" s="220">
        <f>SUM(E73)-SUM(F73)</f>
        <v/>
      </c>
      <c r="I73" s="221">
        <f>IF(A73="Total",VLOOKUP(B73,CORRESPONDANCE[#All],2,FALSE),I74)</f>
        <v/>
      </c>
      <c r="J73" s="350">
        <f>LEFT(A73,1)</f>
        <v/>
      </c>
      <c r="K73" s="347">
        <f>"TIRR"&amp;" - "&amp;A73</f>
        <v/>
      </c>
      <c r="L73" s="347">
        <f>+VLOOKUP(K73,TL[],4,FALSE)</f>
        <v/>
      </c>
    </row>
    <row r="74">
      <c r="A74" s="348" t="inlineStr">
        <is>
          <t>615620</t>
        </is>
      </c>
      <c r="B74" s="348" t="inlineStr">
        <is>
          <t>Contrat intrusion, incendie</t>
        </is>
      </c>
      <c r="C74" s="348" t="n">
        <v>46.67</v>
      </c>
      <c r="D74" s="348" t="inlineStr"/>
      <c r="E74" s="348" t="n">
        <v>46.67</v>
      </c>
      <c r="F74" s="348" t="inlineStr"/>
      <c r="G74" s="220">
        <f>SUM(C74)-SUM(D74)</f>
        <v/>
      </c>
      <c r="H74" s="220">
        <f>SUM(E74)-SUM(F74)</f>
        <v/>
      </c>
      <c r="I74" s="221">
        <f>IF(A74="Total",VLOOKUP(B74,CORRESPONDANCE[#All],2,FALSE),I75)</f>
        <v/>
      </c>
      <c r="J74" s="350">
        <f>LEFT(A74,1)</f>
        <v/>
      </c>
      <c r="K74" s="347">
        <f>"TIRR"&amp;" - "&amp;A74</f>
        <v/>
      </c>
      <c r="L74" s="347">
        <f>+VLOOKUP(K74,TL[],4,FALSE)</f>
        <v/>
      </c>
    </row>
    <row r="75">
      <c r="A75" s="348" t="inlineStr">
        <is>
          <t>615621</t>
        </is>
      </c>
      <c r="B75" s="348" t="inlineStr">
        <is>
          <t>Abo recru net</t>
        </is>
      </c>
      <c r="C75" s="348" t="n">
        <v>20</v>
      </c>
      <c r="D75" s="348" t="inlineStr"/>
      <c r="E75" s="348" t="n">
        <v>20</v>
      </c>
      <c r="F75" s="348" t="inlineStr"/>
      <c r="G75" s="220">
        <f>SUM(C75)-SUM(D75)</f>
        <v/>
      </c>
      <c r="H75" s="220">
        <f>SUM(E75)-SUM(F75)</f>
        <v/>
      </c>
      <c r="I75" s="221">
        <f>IF(A75="Total",VLOOKUP(B75,CORRESPONDANCE[#All],2,FALSE),I76)</f>
        <v/>
      </c>
      <c r="J75" s="350">
        <f>LEFT(A75,1)</f>
        <v/>
      </c>
      <c r="K75" s="347">
        <f>"TIRR"&amp;" - "&amp;A75</f>
        <v/>
      </c>
      <c r="L75" s="347">
        <f>+VLOOKUP(K75,TL[],4,FALSE)</f>
        <v/>
      </c>
    </row>
    <row r="76">
      <c r="A76" s="348" t="inlineStr">
        <is>
          <t>615623</t>
        </is>
      </c>
      <c r="B76" s="348" t="inlineStr">
        <is>
          <t>Contrat Helpline</t>
        </is>
      </c>
      <c r="C76" s="348" t="n">
        <v>668.42</v>
      </c>
      <c r="D76" s="348" t="inlineStr"/>
      <c r="E76" s="348" t="n">
        <v>668.42</v>
      </c>
      <c r="F76" s="348" t="inlineStr"/>
      <c r="G76" s="220">
        <f>SUM(C76)-SUM(D76)</f>
        <v/>
      </c>
      <c r="H76" s="220">
        <f>SUM(E76)-SUM(F76)</f>
        <v/>
      </c>
      <c r="I76" s="221">
        <f>IF(A76="Total",VLOOKUP(B76,CORRESPONDANCE[#All],2,FALSE),I77)</f>
        <v/>
      </c>
      <c r="J76" s="350">
        <f>LEFT(A76,1)</f>
        <v/>
      </c>
      <c r="K76" s="347">
        <f>"TIRR"&amp;" - "&amp;A76</f>
        <v/>
      </c>
      <c r="L76" s="347">
        <f>+VLOOKUP(K76,TL[],4,FALSE)</f>
        <v/>
      </c>
    </row>
    <row r="77">
      <c r="A77" s="348" t="inlineStr">
        <is>
          <t>615629</t>
        </is>
      </c>
      <c r="B77" s="348" t="inlineStr">
        <is>
          <t>Contrat bachelet bac à graisse</t>
        </is>
      </c>
      <c r="C77" s="348" t="n">
        <v>233.4</v>
      </c>
      <c r="D77" s="348" t="inlineStr"/>
      <c r="E77" s="348" t="n">
        <v>233.4</v>
      </c>
      <c r="F77" s="348" t="inlineStr"/>
      <c r="G77" s="220">
        <f>SUM(C77)-SUM(D77)</f>
        <v/>
      </c>
      <c r="H77" s="220">
        <f>SUM(E77)-SUM(F77)</f>
        <v/>
      </c>
      <c r="I77" s="221">
        <f>IF(A77="Total",VLOOKUP(B77,CORRESPONDANCE[#All],2,FALSE),I78)</f>
        <v/>
      </c>
      <c r="J77" s="350">
        <f>LEFT(A77,1)</f>
        <v/>
      </c>
      <c r="K77" s="347">
        <f>"TIRR"&amp;" - "&amp;A77</f>
        <v/>
      </c>
      <c r="L77" s="347">
        <f>+VLOOKUP(K77,TL[],4,FALSE)</f>
        <v/>
      </c>
    </row>
    <row r="78">
      <c r="A78" s="348" t="inlineStr">
        <is>
          <t>615630</t>
        </is>
      </c>
      <c r="B78" s="348" t="inlineStr">
        <is>
          <t>Contrat maintenance coca</t>
        </is>
      </c>
      <c r="C78" s="348" t="n">
        <v>120.83</v>
      </c>
      <c r="D78" s="348" t="inlineStr"/>
      <c r="E78" s="348" t="n">
        <v>120.83</v>
      </c>
      <c r="F78" s="348" t="inlineStr"/>
      <c r="G78" s="220">
        <f>SUM(C78)-SUM(D78)</f>
        <v/>
      </c>
      <c r="H78" s="220">
        <f>SUM(E78)-SUM(F78)</f>
        <v/>
      </c>
      <c r="I78" s="221">
        <f>IF(A78="Total",VLOOKUP(B78,CORRESPONDANCE[#All],2,FALSE),I79)</f>
        <v/>
      </c>
      <c r="J78" s="350">
        <f>LEFT(A78,1)</f>
        <v/>
      </c>
      <c r="K78" s="347">
        <f>"TIRR"&amp;" - "&amp;A78</f>
        <v/>
      </c>
      <c r="L78" s="347">
        <f>+VLOOKUP(K78,TL[],4,FALSE)</f>
        <v/>
      </c>
    </row>
    <row r="79">
      <c r="A79" s="348" t="inlineStr">
        <is>
          <t>615632</t>
        </is>
      </c>
      <c r="B79" s="348" t="inlineStr">
        <is>
          <t>Contrat iron mountain</t>
        </is>
      </c>
      <c r="C79" s="348" t="n">
        <v>27.5</v>
      </c>
      <c r="D79" s="348" t="inlineStr"/>
      <c r="E79" s="348" t="n">
        <v>27.5</v>
      </c>
      <c r="F79" s="348" t="inlineStr"/>
      <c r="G79" s="220">
        <f>SUM(C79)-SUM(D79)</f>
        <v/>
      </c>
      <c r="H79" s="220">
        <f>SUM(E79)-SUM(F79)</f>
        <v/>
      </c>
      <c r="I79" s="221">
        <f>IF(A79="Total",VLOOKUP(B79,CORRESPONDANCE[#All],2,FALSE),I80)</f>
        <v/>
      </c>
      <c r="J79" s="350">
        <f>LEFT(A79,1)</f>
        <v/>
      </c>
      <c r="K79" s="347">
        <f>"TIRR"&amp;" - "&amp;A79</f>
        <v/>
      </c>
      <c r="L79" s="347">
        <f>+VLOOKUP(K79,TL[],4,FALSE)</f>
        <v/>
      </c>
    </row>
    <row r="80">
      <c r="A80" s="348" t="inlineStr">
        <is>
          <t>615633</t>
        </is>
      </c>
      <c r="B80" s="348" t="inlineStr">
        <is>
          <t>Contrat ercem silliker</t>
        </is>
      </c>
      <c r="C80" s="348" t="n">
        <v>165</v>
      </c>
      <c r="D80" s="348" t="inlineStr"/>
      <c r="E80" s="348" t="n">
        <v>165</v>
      </c>
      <c r="F80" s="348" t="inlineStr"/>
      <c r="G80" s="220">
        <f>SUM(C80)-SUM(D80)</f>
        <v/>
      </c>
      <c r="H80" s="220">
        <f>SUM(E80)-SUM(F80)</f>
        <v/>
      </c>
      <c r="I80" s="221">
        <f>IF(A80="Total",VLOOKUP(B80,CORRESPONDANCE[#All],2,FALSE),I81)</f>
        <v/>
      </c>
      <c r="J80" s="350">
        <f>LEFT(A80,1)</f>
        <v/>
      </c>
      <c r="K80" s="347">
        <f>"TIRR"&amp;" - "&amp;A80</f>
        <v/>
      </c>
      <c r="L80" s="347">
        <f>+VLOOKUP(K80,TL[],4,FALSE)</f>
        <v/>
      </c>
    </row>
    <row r="81">
      <c r="A81" s="348" t="inlineStr">
        <is>
          <t>615634</t>
        </is>
      </c>
      <c r="B81" s="348" t="inlineStr">
        <is>
          <t>Contrat wifi</t>
        </is>
      </c>
      <c r="C81" s="348" t="n">
        <v>67.2</v>
      </c>
      <c r="D81" s="348" t="inlineStr"/>
      <c r="E81" s="348" t="n">
        <v>67.2</v>
      </c>
      <c r="F81" s="348" t="inlineStr"/>
      <c r="G81" s="220">
        <f>SUM(C81)-SUM(D81)</f>
        <v/>
      </c>
      <c r="H81" s="220">
        <f>SUM(E81)-SUM(F81)</f>
        <v/>
      </c>
      <c r="I81" s="221">
        <f>IF(A81="Total",VLOOKUP(B81,CORRESPONDANCE[#All],2,FALSE),I82)</f>
        <v/>
      </c>
      <c r="J81" s="350">
        <f>LEFT(A81,1)</f>
        <v/>
      </c>
      <c r="K81" s="347">
        <f>"TIRR"&amp;" - "&amp;A81</f>
        <v/>
      </c>
      <c r="L81" s="347">
        <f>+VLOOKUP(K81,TL[],4,FALSE)</f>
        <v/>
      </c>
    </row>
    <row r="82">
      <c r="A82" s="348" t="inlineStr">
        <is>
          <t>615639</t>
        </is>
      </c>
      <c r="B82" s="348" t="inlineStr">
        <is>
          <t>Contrat traitement eaux usées</t>
        </is>
      </c>
      <c r="C82" s="348" t="n">
        <v>61.37</v>
      </c>
      <c r="D82" s="348" t="inlineStr"/>
      <c r="E82" s="348" t="n">
        <v>61.37</v>
      </c>
      <c r="F82" s="348" t="inlineStr"/>
      <c r="G82" s="220">
        <f>SUM(C82)-SUM(D82)</f>
        <v/>
      </c>
      <c r="H82" s="220">
        <f>SUM(E82)-SUM(F82)</f>
        <v/>
      </c>
      <c r="I82" s="221">
        <f>IF(A82="Total",VLOOKUP(B82,CORRESPONDANCE[#All],2,FALSE),I83)</f>
        <v/>
      </c>
      <c r="J82" s="350">
        <f>LEFT(A82,1)</f>
        <v/>
      </c>
      <c r="K82" s="347">
        <f>"TIRR"&amp;" - "&amp;A82</f>
        <v/>
      </c>
      <c r="L82" s="347">
        <f>+VLOOKUP(K82,TL[],4,FALSE)</f>
        <v/>
      </c>
    </row>
    <row r="83">
      <c r="A83" s="348" t="inlineStr">
        <is>
          <t>615649</t>
        </is>
      </c>
      <c r="B83" s="348" t="inlineStr">
        <is>
          <t>Contrat ville de rouen déchets</t>
        </is>
      </c>
      <c r="C83" s="348" t="n">
        <v>1450</v>
      </c>
      <c r="D83" s="348" t="inlineStr"/>
      <c r="E83" s="348" t="n">
        <v>1450</v>
      </c>
      <c r="F83" s="348" t="inlineStr"/>
      <c r="G83" s="220">
        <f>SUM(C83)-SUM(D83)</f>
        <v/>
      </c>
      <c r="H83" s="220">
        <f>SUM(E83)-SUM(F83)</f>
        <v/>
      </c>
      <c r="I83" s="221">
        <f>IF(A83="Total",VLOOKUP(B83,CORRESPONDANCE[#All],2,FALSE),I84)</f>
        <v/>
      </c>
      <c r="J83" s="350">
        <f>LEFT(A83,1)</f>
        <v/>
      </c>
      <c r="K83" s="347">
        <f>"TIRR"&amp;" - "&amp;A83</f>
        <v/>
      </c>
      <c r="L83" s="347">
        <f>+VLOOKUP(K83,TL[],4,FALSE)</f>
        <v/>
      </c>
    </row>
    <row r="84">
      <c r="A84" s="348" t="inlineStr">
        <is>
          <t>615650</t>
        </is>
      </c>
      <c r="B84" s="348" t="inlineStr">
        <is>
          <t>Contrat acrelec</t>
        </is>
      </c>
      <c r="C84" s="348" t="n">
        <v>370</v>
      </c>
      <c r="D84" s="348" t="inlineStr"/>
      <c r="E84" s="348" t="n">
        <v>370</v>
      </c>
      <c r="F84" s="348" t="inlineStr"/>
      <c r="G84" s="220">
        <f>SUM(C84)-SUM(D84)</f>
        <v/>
      </c>
      <c r="H84" s="220">
        <f>SUM(E84)-SUM(F84)</f>
        <v/>
      </c>
      <c r="I84" s="221">
        <f>IF(A84="Total",VLOOKUP(B84,CORRESPONDANCE[#All],2,FALSE),I85)</f>
        <v/>
      </c>
      <c r="J84" s="350">
        <f>LEFT(A84,1)</f>
        <v/>
      </c>
      <c r="K84" s="347">
        <f>"TIRR"&amp;" - "&amp;A84</f>
        <v/>
      </c>
      <c r="L84" s="347">
        <f>+VLOOKUP(K84,TL[],4,FALSE)</f>
        <v/>
      </c>
    </row>
    <row r="85">
      <c r="A85" s="348" t="inlineStr">
        <is>
          <t>615651</t>
        </is>
      </c>
      <c r="B85" s="348" t="inlineStr">
        <is>
          <t>Contrat socotec</t>
        </is>
      </c>
      <c r="C85" s="348" t="n">
        <v>154</v>
      </c>
      <c r="D85" s="348" t="inlineStr"/>
      <c r="E85" s="348" t="n">
        <v>154</v>
      </c>
      <c r="F85" s="348" t="inlineStr"/>
      <c r="G85" s="220">
        <f>SUM(C85)-SUM(D85)</f>
        <v/>
      </c>
      <c r="H85" s="220">
        <f>SUM(E85)-SUM(F85)</f>
        <v/>
      </c>
      <c r="I85" s="221">
        <f>IF(A85="Total",VLOOKUP(B85,CORRESPONDANCE[#All],2,FALSE),I86)</f>
        <v/>
      </c>
      <c r="J85" s="350">
        <f>LEFT(A85,1)</f>
        <v/>
      </c>
      <c r="K85" s="347">
        <f>"TIRR"&amp;" - "&amp;A85</f>
        <v/>
      </c>
      <c r="L85" s="347">
        <f>+VLOOKUP(K85,TL[],4,FALSE)</f>
        <v/>
      </c>
    </row>
    <row r="86">
      <c r="A86" s="348" t="inlineStr">
        <is>
          <t>615655</t>
        </is>
      </c>
      <c r="B86" s="348" t="inlineStr">
        <is>
          <t>Contrat majie</t>
        </is>
      </c>
      <c r="C86" s="348" t="n">
        <v>102.33</v>
      </c>
      <c r="D86" s="348" t="inlineStr"/>
      <c r="E86" s="348" t="n">
        <v>102.33</v>
      </c>
      <c r="F86" s="348" t="inlineStr"/>
      <c r="G86" s="220">
        <f>SUM(C86)-SUM(D86)</f>
        <v/>
      </c>
      <c r="H86" s="220">
        <f>SUM(E86)-SUM(F86)</f>
        <v/>
      </c>
      <c r="I86" s="221">
        <f>IF(A86="Total",VLOOKUP(B86,CORRESPONDANCE[#All],2,FALSE),I87)</f>
        <v/>
      </c>
      <c r="J86" s="350">
        <f>LEFT(A86,1)</f>
        <v/>
      </c>
      <c r="K86" s="347">
        <f>"TIRR"&amp;" - "&amp;A86</f>
        <v/>
      </c>
      <c r="L86" s="347">
        <f>+VLOOKUP(K86,TL[],4,FALSE)</f>
        <v/>
      </c>
    </row>
    <row r="87">
      <c r="A87" s="348" t="inlineStr">
        <is>
          <t>615660</t>
        </is>
      </c>
      <c r="B87" s="348" t="inlineStr">
        <is>
          <t>Contrat jri</t>
        </is>
      </c>
      <c r="C87" s="348" t="n">
        <v>82.08</v>
      </c>
      <c r="D87" s="348" t="inlineStr"/>
      <c r="E87" s="348" t="n">
        <v>82.08</v>
      </c>
      <c r="F87" s="348" t="inlineStr"/>
      <c r="G87" s="220">
        <f>SUM(C87)-SUM(D87)</f>
        <v/>
      </c>
      <c r="H87" s="220">
        <f>SUM(E87)-SUM(F87)</f>
        <v/>
      </c>
      <c r="I87" s="221">
        <f>IF(A87="Total",VLOOKUP(B87,CORRESPONDANCE[#All],2,FALSE),I88)</f>
        <v/>
      </c>
      <c r="J87" s="350">
        <f>LEFT(A87,1)</f>
        <v/>
      </c>
      <c r="K87" s="347">
        <f>"TIRR"&amp;" - "&amp;A87</f>
        <v/>
      </c>
      <c r="L87" s="347">
        <f>+VLOOKUP(K87,TL[],4,FALSE)</f>
        <v/>
      </c>
    </row>
    <row r="88">
      <c r="A88" s="348" t="inlineStr">
        <is>
          <t>615661</t>
        </is>
      </c>
      <c r="B88" s="348" t="inlineStr">
        <is>
          <t>Contrat mood</t>
        </is>
      </c>
      <c r="C88" s="348" t="n">
        <v>19</v>
      </c>
      <c r="D88" s="348" t="inlineStr"/>
      <c r="E88" s="348" t="n">
        <v>19</v>
      </c>
      <c r="F88" s="348" t="inlineStr"/>
      <c r="G88" s="220">
        <f>SUM(C88)-SUM(D88)</f>
        <v/>
      </c>
      <c r="H88" s="220">
        <f>SUM(E88)-SUM(F88)</f>
        <v/>
      </c>
      <c r="I88" s="221">
        <f>IF(A88="Total",VLOOKUP(B88,CORRESPONDANCE[#All],2,FALSE),I89)</f>
        <v/>
      </c>
      <c r="J88" s="350">
        <f>LEFT(A88,1)</f>
        <v/>
      </c>
      <c r="K88" s="347">
        <f>"TIRR"&amp;" - "&amp;A88</f>
        <v/>
      </c>
      <c r="L88" s="347">
        <f>+VLOOKUP(K88,TL[],4,FALSE)</f>
        <v/>
      </c>
    </row>
    <row r="89">
      <c r="A89" s="348" t="inlineStr">
        <is>
          <t>615662</t>
        </is>
      </c>
      <c r="B89" s="348" t="inlineStr">
        <is>
          <t>Contrat iss</t>
        </is>
      </c>
      <c r="C89" s="348" t="n">
        <v>224.86</v>
      </c>
      <c r="D89" s="348" t="inlineStr"/>
      <c r="E89" s="348" t="n">
        <v>224.86</v>
      </c>
      <c r="F89" s="348" t="inlineStr"/>
      <c r="G89" s="220">
        <f>SUM(C89)-SUM(D89)</f>
        <v/>
      </c>
      <c r="H89" s="220">
        <f>SUM(E89)-SUM(F89)</f>
        <v/>
      </c>
      <c r="I89" s="221">
        <f>IF(A89="Total",VLOOKUP(B89,CORRESPONDANCE[#All],2,FALSE),I90)</f>
        <v/>
      </c>
      <c r="J89" s="350">
        <f>LEFT(A89,1)</f>
        <v/>
      </c>
      <c r="K89" s="347">
        <f>"TIRR"&amp;" - "&amp;A89</f>
        <v/>
      </c>
      <c r="L89" s="347">
        <f>+VLOOKUP(K89,TL[],4,FALSE)</f>
        <v/>
      </c>
    </row>
    <row r="90">
      <c r="A90" s="348" t="inlineStr">
        <is>
          <t>615664</t>
        </is>
      </c>
      <c r="B90" s="348" t="inlineStr">
        <is>
          <t>contrat steeple</t>
        </is>
      </c>
      <c r="C90" s="348" t="n">
        <v>73.17</v>
      </c>
      <c r="D90" s="348" t="inlineStr"/>
      <c r="E90" s="348" t="n">
        <v>73.17</v>
      </c>
      <c r="F90" s="348" t="inlineStr"/>
      <c r="G90" s="220">
        <f>SUM(C90)-SUM(D90)</f>
        <v/>
      </c>
      <c r="H90" s="220">
        <f>SUM(E90)-SUM(F90)</f>
        <v/>
      </c>
      <c r="I90" s="221">
        <f>IF(A90="Total",VLOOKUP(B90,CORRESPONDANCE[#All],2,FALSE),I91)</f>
        <v/>
      </c>
      <c r="J90" s="350">
        <f>LEFT(A90,1)</f>
        <v/>
      </c>
      <c r="K90" s="347">
        <f>"TIRR"&amp;" - "&amp;A90</f>
        <v/>
      </c>
      <c r="L90" s="347">
        <f>+VLOOKUP(K90,TL[],4,FALSE)</f>
        <v/>
      </c>
    </row>
    <row r="91">
      <c r="A91" s="348" t="inlineStr">
        <is>
          <t>615665</t>
        </is>
      </c>
      <c r="B91" s="348" t="inlineStr">
        <is>
          <t>Appli suivi performance</t>
        </is>
      </c>
      <c r="C91" s="348" t="n">
        <v>168</v>
      </c>
      <c r="D91" s="348" t="inlineStr"/>
      <c r="E91" s="348" t="n">
        <v>168</v>
      </c>
      <c r="F91" s="348" t="inlineStr"/>
      <c r="G91" s="220">
        <f>SUM(C91)-SUM(D91)</f>
        <v/>
      </c>
      <c r="H91" s="220">
        <f>SUM(E91)-SUM(F91)</f>
        <v/>
      </c>
      <c r="I91" s="221">
        <f>IF(A91="Total",VLOOKUP(B91,CORRESPONDANCE[#All],2,FALSE),I92)</f>
        <v/>
      </c>
      <c r="J91" s="350">
        <f>LEFT(A91,1)</f>
        <v/>
      </c>
      <c r="K91" s="347">
        <f>"TIRR"&amp;" - "&amp;A91</f>
        <v/>
      </c>
      <c r="L91" s="347">
        <f>+VLOOKUP(K91,TL[],4,FALSE)</f>
        <v/>
      </c>
    </row>
    <row r="92">
      <c r="A92" s="348" t="inlineStr">
        <is>
          <t>615668</t>
        </is>
      </c>
      <c r="B92" s="348" t="inlineStr">
        <is>
          <t>Contrat coates</t>
        </is>
      </c>
      <c r="C92" s="348" t="n">
        <v>76.7</v>
      </c>
      <c r="D92" s="348" t="inlineStr"/>
      <c r="E92" s="348" t="n">
        <v>76.7</v>
      </c>
      <c r="F92" s="348" t="inlineStr"/>
      <c r="G92" s="220">
        <f>SUM(C92)-SUM(D92)</f>
        <v/>
      </c>
      <c r="H92" s="220">
        <f>SUM(E92)-SUM(F92)</f>
        <v/>
      </c>
      <c r="I92" s="221">
        <f>IF(A92="Total",VLOOKUP(B92,CORRESPONDANCE[#All],2,FALSE),I93)</f>
        <v/>
      </c>
      <c r="J92" s="350">
        <f>LEFT(A92,1)</f>
        <v/>
      </c>
      <c r="K92" s="347">
        <f>"TIRR"&amp;" - "&amp;A92</f>
        <v/>
      </c>
      <c r="L92" s="347">
        <f>+VLOOKUP(K92,TL[],4,FALSE)</f>
        <v/>
      </c>
    </row>
    <row r="93">
      <c r="A93" s="348" t="inlineStr">
        <is>
          <t>626300</t>
        </is>
      </c>
      <c r="B93" s="348" t="inlineStr">
        <is>
          <t>Connexion TPE</t>
        </is>
      </c>
      <c r="C93" s="348" t="n">
        <v>12.36</v>
      </c>
      <c r="D93" s="348" t="inlineStr"/>
      <c r="E93" s="348" t="n">
        <v>12.36</v>
      </c>
      <c r="F93" s="348" t="inlineStr"/>
      <c r="G93" s="220">
        <f>SUM(C93)-SUM(D93)</f>
        <v/>
      </c>
      <c r="H93" s="220">
        <f>SUM(E93)-SUM(F93)</f>
        <v/>
      </c>
      <c r="I93" s="221">
        <f>IF(A93="Total",VLOOKUP(B93,CORRESPONDANCE[#All],2,FALSE),I94)</f>
        <v/>
      </c>
      <c r="J93" s="350">
        <f>LEFT(A93,1)</f>
        <v/>
      </c>
      <c r="K93" s="347">
        <f>"TIRR"&amp;" - "&amp;A93</f>
        <v/>
      </c>
      <c r="L93" s="347">
        <f>+VLOOKUP(K93,TL[],4,FALSE)</f>
        <v/>
      </c>
    </row>
    <row r="94">
      <c r="A94" s="348" t="inlineStr">
        <is>
          <t>647516</t>
        </is>
      </c>
      <c r="B94" s="348" t="inlineStr">
        <is>
          <t>Médecine du travail</t>
        </is>
      </c>
      <c r="C94" s="348" t="n">
        <v>310</v>
      </c>
      <c r="D94" s="348" t="inlineStr"/>
      <c r="E94" s="348" t="n">
        <v>310</v>
      </c>
      <c r="F94" s="348" t="inlineStr"/>
      <c r="G94" s="220">
        <f>SUM(C94)-SUM(D94)</f>
        <v/>
      </c>
      <c r="H94" s="220">
        <f>SUM(E94)-SUM(F94)</f>
        <v/>
      </c>
      <c r="I94" s="221">
        <f>IF(A94="Total",VLOOKUP(B94,CORRESPONDANCE[#All],2,FALSE),I95)</f>
        <v/>
      </c>
      <c r="J94" s="350">
        <f>LEFT(A94,1)</f>
        <v/>
      </c>
      <c r="K94" s="347">
        <f>"TIRR"&amp;" - "&amp;A94</f>
        <v/>
      </c>
      <c r="L94" s="347">
        <f>+VLOOKUP(K94,TL[],4,FALSE)</f>
        <v/>
      </c>
    </row>
    <row r="95">
      <c r="A95" s="348" t="inlineStr">
        <is>
          <t>651003</t>
        </is>
      </c>
      <c r="B95" s="348" t="inlineStr">
        <is>
          <t>Redevance sacem - spré</t>
        </is>
      </c>
      <c r="C95" s="348" t="n">
        <v>111.29</v>
      </c>
      <c r="D95" s="348" t="inlineStr"/>
      <c r="E95" s="348" t="n">
        <v>111.29</v>
      </c>
      <c r="F95" s="348" t="inlineStr"/>
      <c r="G95" s="220">
        <f>SUM(C95)-SUM(D95)</f>
        <v/>
      </c>
      <c r="H95" s="220">
        <f>SUM(E95)-SUM(F95)</f>
        <v/>
      </c>
      <c r="I95" s="221">
        <f>IF(A95="Total",VLOOKUP(B95,CORRESPONDANCE[#All],2,FALSE),I96)</f>
        <v/>
      </c>
      <c r="J95" s="350">
        <f>LEFT(A95,1)</f>
        <v/>
      </c>
      <c r="K95" s="347">
        <f>"TIRR"&amp;" - "&amp;A95</f>
        <v/>
      </c>
      <c r="L95" s="347">
        <f>+VLOOKUP(K95,TL[],4,FALSE)</f>
        <v/>
      </c>
    </row>
    <row r="96">
      <c r="A96" s="348" t="inlineStr">
        <is>
          <t>651700</t>
        </is>
      </c>
      <c r="B96" s="348" t="inlineStr">
        <is>
          <t>Redevances Interway</t>
        </is>
      </c>
      <c r="C96" s="348" t="n">
        <v>267.55</v>
      </c>
      <c r="D96" s="348" t="inlineStr"/>
      <c r="E96" s="348" t="n">
        <v>267.55</v>
      </c>
      <c r="F96" s="348" t="inlineStr"/>
      <c r="G96" s="220">
        <f>SUM(C96)-SUM(D96)</f>
        <v/>
      </c>
      <c r="H96" s="220">
        <f>SUM(E96)-SUM(F96)</f>
        <v/>
      </c>
      <c r="I96" s="221">
        <f>IF(A96="Total",VLOOKUP(B96,CORRESPONDANCE[#All],2,FALSE),I97)</f>
        <v/>
      </c>
      <c r="J96" s="350">
        <f>LEFT(A96,1)</f>
        <v/>
      </c>
      <c r="K96" s="347">
        <f>"TIRR"&amp;" - "&amp;A96</f>
        <v/>
      </c>
      <c r="L96" s="347">
        <f>+VLOOKUP(K96,TL[],4,FALSE)</f>
        <v/>
      </c>
    </row>
    <row r="97">
      <c r="A97" s="348" t="inlineStr">
        <is>
          <t>703100</t>
        </is>
      </c>
      <c r="B97" s="348" t="inlineStr">
        <is>
          <t>Refacturation huiles usagées</t>
        </is>
      </c>
      <c r="C97" s="348" t="n">
        <v>1</v>
      </c>
      <c r="D97" s="348" t="inlineStr"/>
      <c r="E97" s="348" t="n">
        <v>1</v>
      </c>
      <c r="F97" s="348" t="inlineStr"/>
      <c r="G97" s="220">
        <f>SUM(C97)-SUM(D97)</f>
        <v/>
      </c>
      <c r="H97" s="220">
        <f>SUM(E97)-SUM(F97)</f>
        <v/>
      </c>
      <c r="I97" s="221">
        <f>IF(A97="Total",VLOOKUP(B97,CORRESPONDANCE[#All],2,FALSE),I98)</f>
        <v/>
      </c>
      <c r="J97" s="350">
        <f>LEFT(A97,1)</f>
        <v/>
      </c>
      <c r="K97" s="347">
        <f>"TIRR"&amp;" - "&amp;A97</f>
        <v/>
      </c>
      <c r="L97" s="347">
        <f>+VLOOKUP(K97,TL[],4,FALSE)</f>
        <v/>
      </c>
    </row>
    <row r="98">
      <c r="A98" s="348" t="inlineStr">
        <is>
          <t>Total</t>
        </is>
      </c>
      <c r="B98" s="348" t="inlineStr">
        <is>
          <t>Table n°2  -  Autres Services Extérieurs</t>
        </is>
      </c>
      <c r="C98" s="348" t="n">
        <v>6753.49</v>
      </c>
      <c r="D98" s="348" t="inlineStr"/>
      <c r="E98" s="348" t="n">
        <v>6753.49</v>
      </c>
      <c r="F98" s="348" t="inlineStr"/>
      <c r="G98" s="220">
        <f>SUM(C98)-SUM(D98)</f>
        <v/>
      </c>
      <c r="H98" s="220">
        <f>SUM(E98)-SUM(F98)</f>
        <v/>
      </c>
      <c r="I98" s="221">
        <f>IF(A98="Total",VLOOKUP(B98,CORRESPONDANCE[#All],2,FALSE),I99)</f>
        <v/>
      </c>
      <c r="J98" s="350">
        <f>LEFT(A98,1)</f>
        <v/>
      </c>
      <c r="K98" s="347">
        <f>"TIRR"&amp;" - "&amp;A98</f>
        <v/>
      </c>
      <c r="L98" s="347">
        <f>+VLOOKUP(K98,TL[],4,FALSE)</f>
        <v/>
      </c>
    </row>
    <row r="99">
      <c r="A99" s="348" t="inlineStr">
        <is>
          <t>622800</t>
        </is>
      </c>
      <c r="B99" s="348" t="inlineStr">
        <is>
          <t>Commissions Uber</t>
        </is>
      </c>
      <c r="C99" s="348" t="n">
        <v>6100.67</v>
      </c>
      <c r="D99" s="348" t="inlineStr"/>
      <c r="E99" s="348" t="n">
        <v>6100.67</v>
      </c>
      <c r="F99" s="348" t="inlineStr"/>
      <c r="G99" s="220">
        <f>SUM(C99)-SUM(D99)</f>
        <v/>
      </c>
      <c r="H99" s="220">
        <f>SUM(E99)-SUM(F99)</f>
        <v/>
      </c>
      <c r="I99" s="221">
        <f>IF(A99="Total",VLOOKUP(B99,CORRESPONDANCE[#All],2,FALSE),I100)</f>
        <v/>
      </c>
      <c r="J99" s="350">
        <f>LEFT(A99,1)</f>
        <v/>
      </c>
      <c r="K99" s="347">
        <f>"TIRR"&amp;" - "&amp;A99</f>
        <v/>
      </c>
      <c r="L99" s="347">
        <f>+VLOOKUP(K99,TL[],4,FALSE)</f>
        <v/>
      </c>
    </row>
    <row r="100">
      <c r="A100" s="348" t="inlineStr">
        <is>
          <t>622810</t>
        </is>
      </c>
      <c r="B100" s="348" t="inlineStr">
        <is>
          <t>Commission Deliveroo</t>
        </is>
      </c>
      <c r="C100" s="348" t="n">
        <v>273.31</v>
      </c>
      <c r="D100" s="348" t="inlineStr"/>
      <c r="E100" s="348" t="n">
        <v>273.31</v>
      </c>
      <c r="F100" s="348" t="inlineStr"/>
      <c r="G100" s="220">
        <f>SUM(C100)-SUM(D100)</f>
        <v/>
      </c>
      <c r="H100" s="220">
        <f>SUM(E100)-SUM(F100)</f>
        <v/>
      </c>
      <c r="I100" s="221">
        <f>IF(A100="Total",VLOOKUP(B100,CORRESPONDANCE[#All],2,FALSE),I101)</f>
        <v/>
      </c>
      <c r="J100" s="350">
        <f>LEFT(A100,1)</f>
        <v/>
      </c>
      <c r="K100" s="347">
        <f>"TIRR"&amp;" - "&amp;A100</f>
        <v/>
      </c>
      <c r="L100" s="347">
        <f>+VLOOKUP(K100,TL[],4,FALSE)</f>
        <v/>
      </c>
    </row>
    <row r="101">
      <c r="A101" s="348" t="inlineStr">
        <is>
          <t>Total</t>
        </is>
      </c>
      <c r="B101" s="348" t="inlineStr">
        <is>
          <t>Table n°2  -  Commissions Food Tech</t>
        </is>
      </c>
      <c r="C101" s="348" t="n">
        <v>6373.98</v>
      </c>
      <c r="D101" s="348" t="inlineStr"/>
      <c r="E101" s="348" t="n">
        <v>6373.98</v>
      </c>
      <c r="F101" s="348" t="inlineStr"/>
      <c r="G101" s="220">
        <f>SUM(C101)-SUM(D101)</f>
        <v/>
      </c>
      <c r="H101" s="220">
        <f>SUM(E101)-SUM(F101)</f>
        <v/>
      </c>
      <c r="I101" s="221">
        <f>IF(A101="Total",VLOOKUP(B101,CORRESPONDANCE[#All],2,FALSE),I102)</f>
        <v/>
      </c>
      <c r="J101" s="350">
        <f>LEFT(A101,1)</f>
        <v/>
      </c>
      <c r="K101" s="347">
        <f>"TIRR"&amp;" - "&amp;A101</f>
        <v/>
      </c>
      <c r="L101" s="347">
        <f>+VLOOKUP(K101,TL[],4,FALSE)</f>
        <v/>
      </c>
    </row>
    <row r="102">
      <c r="A102" s="348" t="inlineStr">
        <is>
          <t>623000</t>
        </is>
      </c>
      <c r="B102" s="348" t="inlineStr">
        <is>
          <t>Publicité</t>
        </is>
      </c>
      <c r="C102" s="348" t="n">
        <v>10534.83</v>
      </c>
      <c r="D102" s="348" t="inlineStr"/>
      <c r="E102" s="348" t="n">
        <v>10534.83</v>
      </c>
      <c r="F102" s="348" t="inlineStr"/>
      <c r="G102" s="220">
        <f>SUM(C102)-SUM(D102)</f>
        <v/>
      </c>
      <c r="H102" s="220">
        <f>SUM(E102)-SUM(F102)</f>
        <v/>
      </c>
      <c r="I102" s="221">
        <f>IF(A102="Total",VLOOKUP(B102,CORRESPONDANCE[#All],2,FALSE),I103)</f>
        <v/>
      </c>
      <c r="J102" s="350">
        <f>LEFT(A102,1)</f>
        <v/>
      </c>
      <c r="K102" s="347">
        <f>"TIRR"&amp;" - "&amp;A102</f>
        <v/>
      </c>
      <c r="L102" s="347">
        <f>+VLOOKUP(K102,TL[],4,FALSE)</f>
        <v/>
      </c>
    </row>
    <row r="103">
      <c r="A103" s="348" t="inlineStr">
        <is>
          <t>Total</t>
        </is>
      </c>
      <c r="B103" s="348" t="inlineStr">
        <is>
          <t>Table n°2  -  Publicité GIE</t>
        </is>
      </c>
      <c r="C103" s="348" t="n">
        <v>10534.83</v>
      </c>
      <c r="D103" s="348" t="inlineStr"/>
      <c r="E103" s="348" t="n">
        <v>10534.83</v>
      </c>
      <c r="F103" s="348" t="inlineStr"/>
      <c r="G103" s="220">
        <f>SUM(C103)-SUM(D103)</f>
        <v/>
      </c>
      <c r="H103" s="220">
        <f>SUM(E103)-SUM(F103)</f>
        <v/>
      </c>
      <c r="I103" s="221">
        <f>IF(A103="Total",VLOOKUP(B103,CORRESPONDANCE[#All],2,FALSE),I104)</f>
        <v/>
      </c>
      <c r="J103" s="350">
        <f>LEFT(A103,1)</f>
        <v/>
      </c>
      <c r="K103" s="347">
        <f>"TIRR"&amp;" - "&amp;A103</f>
        <v/>
      </c>
      <c r="L103" s="347">
        <f>+VLOOKUP(K103,TL[],4,FALSE)</f>
        <v/>
      </c>
    </row>
    <row r="104">
      <c r="A104" s="348" t="inlineStr">
        <is>
          <t>623002</t>
        </is>
      </c>
      <c r="B104" s="348" t="inlineStr">
        <is>
          <t>Promotion locale</t>
        </is>
      </c>
      <c r="C104" s="348" t="n">
        <v>2700</v>
      </c>
      <c r="D104" s="348" t="inlineStr"/>
      <c r="E104" s="348" t="n">
        <v>2700</v>
      </c>
      <c r="F104" s="348" t="inlineStr"/>
      <c r="G104" s="220">
        <f>SUM(C104)-SUM(D104)</f>
        <v/>
      </c>
      <c r="H104" s="220">
        <f>SUM(E104)-SUM(F104)</f>
        <v/>
      </c>
      <c r="I104" s="221">
        <f>IF(A104="Total",VLOOKUP(B104,CORRESPONDANCE[#All],2,FALSE),I105)</f>
        <v/>
      </c>
      <c r="J104" s="350">
        <f>LEFT(A104,1)</f>
        <v/>
      </c>
      <c r="K104" s="347">
        <f>"TIRR"&amp;" - "&amp;A104</f>
        <v/>
      </c>
      <c r="L104" s="347">
        <f>+VLOOKUP(K104,TL[],4,FALSE)</f>
        <v/>
      </c>
    </row>
    <row r="105">
      <c r="A105" s="348" t="inlineStr">
        <is>
          <t>623401</t>
        </is>
      </c>
      <c r="B105" s="348" t="inlineStr">
        <is>
          <t>Promotions</t>
        </is>
      </c>
      <c r="C105" s="348" t="n">
        <v>2239.11</v>
      </c>
      <c r="D105" s="348" t="inlineStr"/>
      <c r="E105" s="348" t="n">
        <v>2239.11</v>
      </c>
      <c r="F105" s="348" t="inlineStr"/>
      <c r="G105" s="220">
        <f>SUM(C105)-SUM(D105)</f>
        <v/>
      </c>
      <c r="H105" s="220">
        <f>SUM(E105)-SUM(F105)</f>
        <v/>
      </c>
      <c r="I105" s="221">
        <f>IF(A105="Total",VLOOKUP(B105,CORRESPONDANCE[#All],2,FALSE),I106)</f>
        <v/>
      </c>
      <c r="J105" s="350">
        <f>LEFT(A105,1)</f>
        <v/>
      </c>
      <c r="K105" s="347">
        <f>"TIRR"&amp;" - "&amp;A105</f>
        <v/>
      </c>
      <c r="L105" s="347">
        <f>+VLOOKUP(K105,TL[],4,FALSE)</f>
        <v/>
      </c>
    </row>
    <row r="106">
      <c r="A106" s="348" t="inlineStr">
        <is>
          <t>623415</t>
        </is>
      </c>
      <c r="B106" s="348" t="inlineStr">
        <is>
          <t>Premium</t>
        </is>
      </c>
      <c r="C106" s="348" t="n">
        <v>977.23</v>
      </c>
      <c r="D106" s="348" t="inlineStr"/>
      <c r="E106" s="348" t="n">
        <v>977.23</v>
      </c>
      <c r="F106" s="348" t="inlineStr"/>
      <c r="G106" s="220">
        <f>SUM(C106)-SUM(D106)</f>
        <v/>
      </c>
      <c r="H106" s="220">
        <f>SUM(E106)-SUM(F106)</f>
        <v/>
      </c>
      <c r="I106" s="221">
        <f>IF(A106="Total",VLOOKUP(B106,CORRESPONDANCE[#All],2,FALSE),I107)</f>
        <v/>
      </c>
      <c r="J106" s="350">
        <f>LEFT(A106,1)</f>
        <v/>
      </c>
      <c r="K106" s="347">
        <f>"TIRR"&amp;" - "&amp;A106</f>
        <v/>
      </c>
      <c r="L106" s="347">
        <f>+VLOOKUP(K106,TL[],4,FALSE)</f>
        <v/>
      </c>
    </row>
    <row r="107">
      <c r="A107" s="348" t="inlineStr">
        <is>
          <t>708610</t>
        </is>
      </c>
      <c r="B107" s="348" t="inlineStr">
        <is>
          <t>Refacturation pub locale</t>
        </is>
      </c>
      <c r="C107" s="348" t="inlineStr"/>
      <c r="D107" s="348" t="inlineStr"/>
      <c r="E107" s="348" t="inlineStr"/>
      <c r="F107" s="348" t="inlineStr"/>
      <c r="G107" s="220">
        <f>SUM(C107)-SUM(D107)</f>
        <v/>
      </c>
      <c r="H107" s="220">
        <f>SUM(E107)-SUM(F107)</f>
        <v/>
      </c>
      <c r="I107" s="221">
        <f>IF(A107="Total",VLOOKUP(B107,CORRESPONDANCE[#All],2,FALSE),I108)</f>
        <v/>
      </c>
      <c r="J107" s="350">
        <f>LEFT(A107,1)</f>
        <v/>
      </c>
      <c r="K107" s="347">
        <f>"TIRR"&amp;" - "&amp;A107</f>
        <v/>
      </c>
      <c r="L107" s="347">
        <f>+VLOOKUP(K107,TL[],4,FALSE)</f>
        <v/>
      </c>
    </row>
    <row r="108">
      <c r="A108" s="348" t="inlineStr">
        <is>
          <t>708880</t>
        </is>
      </c>
      <c r="B108" s="348" t="inlineStr">
        <is>
          <t>Refacturation pub</t>
        </is>
      </c>
      <c r="C108" s="348" t="n">
        <v>1</v>
      </c>
      <c r="D108" s="348" t="inlineStr"/>
      <c r="E108" s="348" t="n">
        <v>1</v>
      </c>
      <c r="F108" s="348" t="inlineStr"/>
      <c r="G108" s="220">
        <f>SUM(C108)-SUM(D108)</f>
        <v/>
      </c>
      <c r="H108" s="220">
        <f>SUM(E108)-SUM(F108)</f>
        <v/>
      </c>
      <c r="I108" s="221">
        <f>IF(A108="Total",VLOOKUP(B108,CORRESPONDANCE[#All],2,FALSE),I109)</f>
        <v/>
      </c>
      <c r="J108" s="350">
        <f>LEFT(A108,1)</f>
        <v/>
      </c>
      <c r="K108" s="347">
        <f>"TIRR"&amp;" - "&amp;A108</f>
        <v/>
      </c>
      <c r="L108" s="347">
        <f>+VLOOKUP(K108,TL[],4,FALSE)</f>
        <v/>
      </c>
    </row>
    <row r="109">
      <c r="A109" s="348" t="inlineStr">
        <is>
          <t>Total</t>
        </is>
      </c>
      <c r="B109" s="348" t="inlineStr">
        <is>
          <t>Table n°2  -  Promotion locale</t>
        </is>
      </c>
      <c r="C109" s="348" t="n">
        <v>5917.34</v>
      </c>
      <c r="D109" s="348" t="inlineStr"/>
      <c r="E109" s="348" t="n">
        <v>5917.34</v>
      </c>
      <c r="F109" s="348" t="inlineStr"/>
      <c r="G109" s="220">
        <f>SUM(C109)-SUM(D109)</f>
        <v/>
      </c>
      <c r="H109" s="220">
        <f>SUM(E109)-SUM(F109)</f>
        <v/>
      </c>
      <c r="I109" s="221">
        <f>IF(A109="Total",VLOOKUP(B109,CORRESPONDANCE[#All],2,FALSE),I110)</f>
        <v/>
      </c>
      <c r="J109" s="350">
        <f>LEFT(A109,1)</f>
        <v/>
      </c>
      <c r="K109" s="347">
        <f>"TIRR"&amp;" - "&amp;A109</f>
        <v/>
      </c>
      <c r="L109" s="347">
        <f>+VLOOKUP(K109,TL[],4,FALSE)</f>
        <v/>
      </c>
    </row>
    <row r="110">
      <c r="A110" s="348" t="inlineStr">
        <is>
          <t>606110</t>
        </is>
      </c>
      <c r="B110" s="348" t="inlineStr">
        <is>
          <t>Fournitures eau</t>
        </is>
      </c>
      <c r="C110" s="348" t="n">
        <v>670</v>
      </c>
      <c r="D110" s="348" t="inlineStr"/>
      <c r="E110" s="348" t="n">
        <v>670</v>
      </c>
      <c r="F110" s="348" t="inlineStr"/>
      <c r="G110" s="220">
        <f>SUM(C110)-SUM(D110)</f>
        <v/>
      </c>
      <c r="H110" s="220">
        <f>SUM(E110)-SUM(F110)</f>
        <v/>
      </c>
      <c r="I110" s="221">
        <f>IF(A110="Total",VLOOKUP(B110,CORRESPONDANCE[#All],2,FALSE),I111)</f>
        <v/>
      </c>
      <c r="J110" s="350">
        <f>LEFT(A110,1)</f>
        <v/>
      </c>
      <c r="K110" s="347">
        <f>"TIRR"&amp;" - "&amp;A110</f>
        <v/>
      </c>
      <c r="L110" s="347">
        <f>+VLOOKUP(K110,TL[],4,FALSE)</f>
        <v/>
      </c>
    </row>
    <row r="111">
      <c r="A111" s="348" t="inlineStr">
        <is>
          <t>606120</t>
        </is>
      </c>
      <c r="B111" s="348" t="inlineStr">
        <is>
          <t>Fournitures électricité</t>
        </is>
      </c>
      <c r="C111" s="348" t="n">
        <v>7590</v>
      </c>
      <c r="D111" s="348" t="inlineStr"/>
      <c r="E111" s="348" t="n">
        <v>7590</v>
      </c>
      <c r="F111" s="348" t="inlineStr"/>
      <c r="G111" s="220">
        <f>SUM(C111)-SUM(D111)</f>
        <v/>
      </c>
      <c r="H111" s="220">
        <f>SUM(E111)-SUM(F111)</f>
        <v/>
      </c>
      <c r="I111" s="221">
        <f>IF(A111="Total",VLOOKUP(B111,CORRESPONDANCE[#All],2,FALSE),I112)</f>
        <v/>
      </c>
      <c r="J111" s="350">
        <f>LEFT(A111,1)</f>
        <v/>
      </c>
      <c r="K111" s="347">
        <f>"TIRR"&amp;" - "&amp;A111</f>
        <v/>
      </c>
      <c r="L111" s="347">
        <f>+VLOOKUP(K111,TL[],4,FALSE)</f>
        <v/>
      </c>
    </row>
    <row r="112">
      <c r="A112" s="348" t="inlineStr">
        <is>
          <t>626200</t>
        </is>
      </c>
      <c r="B112" s="348" t="inlineStr">
        <is>
          <t>Frais telephone</t>
        </is>
      </c>
      <c r="C112" s="348" t="n">
        <v>300</v>
      </c>
      <c r="D112" s="348" t="inlineStr"/>
      <c r="E112" s="348" t="n">
        <v>300</v>
      </c>
      <c r="F112" s="348" t="inlineStr"/>
      <c r="G112" s="220">
        <f>SUM(C112)-SUM(D112)</f>
        <v/>
      </c>
      <c r="H112" s="220">
        <f>SUM(E112)-SUM(F112)</f>
        <v/>
      </c>
      <c r="I112" s="221">
        <f>IF(A112="Total",VLOOKUP(B112,CORRESPONDANCE[#All],2,FALSE),I113)</f>
        <v/>
      </c>
      <c r="J112" s="350">
        <f>LEFT(A112,1)</f>
        <v/>
      </c>
      <c r="K112" s="347">
        <f>"TIRR"&amp;" - "&amp;A112</f>
        <v/>
      </c>
      <c r="L112" s="347">
        <f>+VLOOKUP(K112,TL[],4,FALSE)</f>
        <v/>
      </c>
    </row>
    <row r="113">
      <c r="A113" s="348" t="inlineStr">
        <is>
          <t>Total</t>
        </is>
      </c>
      <c r="B113" s="348" t="inlineStr">
        <is>
          <t>Table n°2  -  Electricité, eau, gaz, téléphone</t>
        </is>
      </c>
      <c r="C113" s="348" t="n">
        <v>8560</v>
      </c>
      <c r="D113" s="348" t="inlineStr"/>
      <c r="E113" s="348" t="n">
        <v>8560</v>
      </c>
      <c r="F113" s="348" t="inlineStr"/>
      <c r="G113" s="220">
        <f>SUM(C113)-SUM(D113)</f>
        <v/>
      </c>
      <c r="H113" s="220">
        <f>SUM(E113)-SUM(F113)</f>
        <v/>
      </c>
      <c r="I113" s="221">
        <f>IF(A113="Total",VLOOKUP(B113,CORRESPONDANCE[#All],2,FALSE),I114)</f>
        <v/>
      </c>
      <c r="J113" s="350">
        <f>LEFT(A113,1)</f>
        <v/>
      </c>
      <c r="K113" s="347">
        <f>"TIRR"&amp;" - "&amp;A113</f>
        <v/>
      </c>
      <c r="L113" s="347">
        <f>+VLOOKUP(K113,TL[],4,FALSE)</f>
        <v/>
      </c>
    </row>
    <row r="114">
      <c r="A114" s="348" t="inlineStr">
        <is>
          <t>602610</t>
        </is>
      </c>
      <c r="B114" s="348" t="inlineStr">
        <is>
          <t>Emballages perdus</t>
        </is>
      </c>
      <c r="C114" s="348" t="n">
        <v>87.95999999999999</v>
      </c>
      <c r="D114" s="348" t="inlineStr"/>
      <c r="E114" s="348" t="n">
        <v>87.95999999999999</v>
      </c>
      <c r="F114" s="348" t="inlineStr"/>
      <c r="G114" s="220">
        <f>SUM(C114)-SUM(D114)</f>
        <v/>
      </c>
      <c r="H114" s="220">
        <f>SUM(E114)-SUM(F114)</f>
        <v/>
      </c>
      <c r="I114" s="221">
        <f>IF(A114="Total",VLOOKUP(B114,CORRESPONDANCE[#All],2,FALSE),I115)</f>
        <v/>
      </c>
      <c r="J114" s="350">
        <f>LEFT(A114,1)</f>
        <v/>
      </c>
      <c r="K114" s="347">
        <f>"TIRR"&amp;" - "&amp;A114</f>
        <v/>
      </c>
      <c r="L114" s="347">
        <f>+VLOOKUP(K114,TL[],4,FALSE)</f>
        <v/>
      </c>
    </row>
    <row r="115">
      <c r="A115" s="348" t="inlineStr">
        <is>
          <t>606302</t>
        </is>
      </c>
      <c r="B115" s="348" t="inlineStr">
        <is>
          <t>Fournitures d'exploitation</t>
        </is>
      </c>
      <c r="C115" s="348" t="n">
        <v>1419.71</v>
      </c>
      <c r="D115" s="348" t="inlineStr"/>
      <c r="E115" s="348" t="n">
        <v>1419.71</v>
      </c>
      <c r="F115" s="348" t="inlineStr"/>
      <c r="G115" s="220">
        <f>SUM(C115)-SUM(D115)</f>
        <v/>
      </c>
      <c r="H115" s="220">
        <f>SUM(E115)-SUM(F115)</f>
        <v/>
      </c>
      <c r="I115" s="221">
        <f>IF(A115="Total",VLOOKUP(B115,CORRESPONDANCE[#All],2,FALSE),I116)</f>
        <v/>
      </c>
      <c r="J115" s="350">
        <f>LEFT(A115,1)</f>
        <v/>
      </c>
      <c r="K115" s="347">
        <f>"TIRR"&amp;" - "&amp;A115</f>
        <v/>
      </c>
      <c r="L115" s="347">
        <f>+VLOOKUP(K115,TL[],4,FALSE)</f>
        <v/>
      </c>
    </row>
    <row r="116">
      <c r="A116" s="348" t="inlineStr">
        <is>
          <t>606401</t>
        </is>
      </c>
      <c r="B116" s="348" t="inlineStr">
        <is>
          <t>Achats fournitures administratives</t>
        </is>
      </c>
      <c r="C116" s="348" t="n">
        <v>567.25</v>
      </c>
      <c r="D116" s="348" t="inlineStr"/>
      <c r="E116" s="348" t="n">
        <v>567.25</v>
      </c>
      <c r="F116" s="348" t="inlineStr"/>
      <c r="G116" s="220">
        <f>SUM(C116)-SUM(D116)</f>
        <v/>
      </c>
      <c r="H116" s="220">
        <f>SUM(E116)-SUM(F116)</f>
        <v/>
      </c>
      <c r="I116" s="221">
        <f>IF(A116="Total",VLOOKUP(B116,CORRESPONDANCE[#All],2,FALSE),I117)</f>
        <v/>
      </c>
      <c r="J116" s="350">
        <f>LEFT(A116,1)</f>
        <v/>
      </c>
      <c r="K116" s="347">
        <f>"TIRR"&amp;" - "&amp;A116</f>
        <v/>
      </c>
      <c r="L116" s="347">
        <f>+VLOOKUP(K116,TL[],4,FALSE)</f>
        <v/>
      </c>
    </row>
    <row r="117">
      <c r="A117" s="348" t="inlineStr">
        <is>
          <t>Total</t>
        </is>
      </c>
      <c r="B117" s="348" t="inlineStr">
        <is>
          <t>Table n°2  -  Fournitures exploitation et bureau</t>
        </is>
      </c>
      <c r="C117" s="348" t="n">
        <v>2074.92</v>
      </c>
      <c r="D117" s="348" t="inlineStr"/>
      <c r="E117" s="348" t="n">
        <v>2074.92</v>
      </c>
      <c r="F117" s="348" t="inlineStr"/>
      <c r="G117" s="220">
        <f>SUM(C117)-SUM(D117)</f>
        <v/>
      </c>
      <c r="H117" s="220">
        <f>SUM(E117)-SUM(F117)</f>
        <v/>
      </c>
      <c r="I117" s="221">
        <f>IF(A117="Total",VLOOKUP(B117,CORRESPONDANCE[#All],2,FALSE),I118)</f>
        <v/>
      </c>
      <c r="J117" s="350">
        <f>LEFT(A117,1)</f>
        <v/>
      </c>
      <c r="K117" s="347">
        <f>"TIRR"&amp;" - "&amp;A117</f>
        <v/>
      </c>
      <c r="L117" s="347">
        <f>+VLOOKUP(K117,TL[],4,FALSE)</f>
        <v/>
      </c>
    </row>
    <row r="118">
      <c r="A118" s="348" t="inlineStr">
        <is>
          <t>625210</t>
        </is>
      </c>
      <c r="B118" s="348" t="inlineStr">
        <is>
          <t>Frais de déplacement</t>
        </is>
      </c>
      <c r="C118" s="348" t="n">
        <v>10.92</v>
      </c>
      <c r="D118" s="348" t="inlineStr"/>
      <c r="E118" s="348" t="n">
        <v>10.92</v>
      </c>
      <c r="F118" s="348" t="inlineStr"/>
      <c r="G118" s="220">
        <f>SUM(C118)-SUM(D118)</f>
        <v/>
      </c>
      <c r="H118" s="220">
        <f>SUM(E118)-SUM(F118)</f>
        <v/>
      </c>
      <c r="I118" s="221">
        <f>IF(A118="Total",VLOOKUP(B118,CORRESPONDANCE[#All],2,FALSE),I119)</f>
        <v/>
      </c>
      <c r="J118" s="350">
        <f>LEFT(A118,1)</f>
        <v/>
      </c>
      <c r="K118" s="347">
        <f>"TIRR"&amp;" - "&amp;A118</f>
        <v/>
      </c>
      <c r="L118" s="347">
        <f>+VLOOKUP(K118,TL[],4,FALSE)</f>
        <v/>
      </c>
    </row>
    <row r="119">
      <c r="A119" s="348" t="inlineStr">
        <is>
          <t>Total</t>
        </is>
      </c>
      <c r="B119" s="348" t="inlineStr">
        <is>
          <t>Table n°2  -  Frais de déplacements et Evènements</t>
        </is>
      </c>
      <c r="C119" s="348" t="n">
        <v>10.92</v>
      </c>
      <c r="D119" s="348" t="inlineStr"/>
      <c r="E119" s="348" t="n">
        <v>10.92</v>
      </c>
      <c r="F119" s="348" t="inlineStr"/>
      <c r="G119" s="220">
        <f>SUM(C119)-SUM(D119)</f>
        <v/>
      </c>
      <c r="H119" s="220">
        <f>SUM(E119)-SUM(F119)</f>
        <v/>
      </c>
      <c r="I119" s="221">
        <f>IF(A119="Total",VLOOKUP(B119,CORRESPONDANCE[#All],2,FALSE),I120)</f>
        <v/>
      </c>
      <c r="J119" s="350">
        <f>LEFT(A119,1)</f>
        <v/>
      </c>
      <c r="K119" s="347">
        <f>"TIRR"&amp;" - "&amp;A119</f>
        <v/>
      </c>
      <c r="L119" s="347">
        <f>+VLOOKUP(K119,TL[],4,FALSE)</f>
        <v/>
      </c>
    </row>
    <row r="120">
      <c r="A120" s="348" t="inlineStr">
        <is>
          <t>606303</t>
        </is>
      </c>
      <c r="B120" s="348" t="inlineStr">
        <is>
          <t>Uniformes</t>
        </is>
      </c>
      <c r="C120" s="348" t="n">
        <v>49.37</v>
      </c>
      <c r="D120" s="348" t="inlineStr"/>
      <c r="E120" s="348" t="n">
        <v>49.37</v>
      </c>
      <c r="F120" s="348" t="inlineStr"/>
      <c r="G120" s="220">
        <f>SUM(C120)-SUM(D120)</f>
        <v/>
      </c>
      <c r="H120" s="220">
        <f>SUM(E120)-SUM(F120)</f>
        <v/>
      </c>
      <c r="I120" s="221">
        <f>IF(A120="Total",VLOOKUP(B120,CORRESPONDANCE[#All],2,FALSE),I121)</f>
        <v/>
      </c>
      <c r="J120" s="350">
        <f>LEFT(A120,1)</f>
        <v/>
      </c>
      <c r="K120" s="347">
        <f>"TIRR"&amp;" - "&amp;A120</f>
        <v/>
      </c>
      <c r="L120" s="347">
        <f>+VLOOKUP(K120,TL[],4,FALSE)</f>
        <v/>
      </c>
    </row>
    <row r="121">
      <c r="A121" s="348" t="inlineStr">
        <is>
          <t>625200</t>
        </is>
      </c>
      <c r="B121" s="348" t="inlineStr">
        <is>
          <t>Frais de réception</t>
        </is>
      </c>
      <c r="C121" s="348" t="n">
        <v>290</v>
      </c>
      <c r="D121" s="348" t="inlineStr"/>
      <c r="E121" s="348" t="n">
        <v>290</v>
      </c>
      <c r="F121" s="348" t="inlineStr"/>
      <c r="G121" s="220">
        <f>SUM(C121)-SUM(D121)</f>
        <v/>
      </c>
      <c r="H121" s="220">
        <f>SUM(E121)-SUM(F121)</f>
        <v/>
      </c>
      <c r="I121" s="221">
        <f>IF(A121="Total",VLOOKUP(B121,CORRESPONDANCE[#All],2,FALSE),I122)</f>
        <v/>
      </c>
      <c r="J121" s="350">
        <f>LEFT(A121,1)</f>
        <v/>
      </c>
      <c r="K121" s="347">
        <f>"TIRR"&amp;" - "&amp;A121</f>
        <v/>
      </c>
      <c r="L121" s="347">
        <f>+VLOOKUP(K121,TL[],4,FALSE)</f>
        <v/>
      </c>
    </row>
    <row r="122">
      <c r="A122" s="348" t="inlineStr">
        <is>
          <t>628023</t>
        </is>
      </c>
      <c r="B122" s="348" t="inlineStr">
        <is>
          <t>Divers</t>
        </is>
      </c>
      <c r="C122" s="348" t="n">
        <v>286</v>
      </c>
      <c r="D122" s="348" t="inlineStr"/>
      <c r="E122" s="348" t="n">
        <v>286</v>
      </c>
      <c r="F122" s="348" t="inlineStr"/>
      <c r="G122" s="220">
        <f>SUM(C122)-SUM(D122)</f>
        <v/>
      </c>
      <c r="H122" s="220">
        <f>SUM(E122)-SUM(F122)</f>
        <v/>
      </c>
      <c r="I122" s="221">
        <f>IF(A122="Total",VLOOKUP(B122,CORRESPONDANCE[#All],2,FALSE),I123)</f>
        <v/>
      </c>
      <c r="J122" s="350">
        <f>LEFT(A122,1)</f>
        <v/>
      </c>
      <c r="K122" s="347">
        <f>"TIRR"&amp;" - "&amp;A122</f>
        <v/>
      </c>
      <c r="L122" s="347">
        <f>+VLOOKUP(K122,TL[],4,FALSE)</f>
        <v/>
      </c>
    </row>
    <row r="123">
      <c r="A123" s="348" t="inlineStr">
        <is>
          <t>671100</t>
        </is>
      </c>
      <c r="B123" s="348" t="inlineStr">
        <is>
          <t>Ecarts de caisse</t>
        </is>
      </c>
      <c r="C123" s="348" t="n">
        <v>160.33</v>
      </c>
      <c r="D123" s="348" t="inlineStr"/>
      <c r="E123" s="348" t="n">
        <v>160.33</v>
      </c>
      <c r="F123" s="348" t="inlineStr"/>
      <c r="G123" s="220">
        <f>SUM(C123)-SUM(D123)</f>
        <v/>
      </c>
      <c r="H123" s="220">
        <f>SUM(E123)-SUM(F123)</f>
        <v/>
      </c>
      <c r="I123" s="221">
        <f>IF(A123="Total",VLOOKUP(B123,CORRESPONDANCE[#All],2,FALSE),I124)</f>
        <v/>
      </c>
      <c r="J123" s="350">
        <f>LEFT(A123,1)</f>
        <v/>
      </c>
      <c r="K123" s="347">
        <f>"TIRR"&amp;" - "&amp;A123</f>
        <v/>
      </c>
      <c r="L123" s="347">
        <f>+VLOOKUP(K123,TL[],4,FALSE)</f>
        <v/>
      </c>
    </row>
    <row r="124">
      <c r="A124" s="348" t="inlineStr">
        <is>
          <t>708889</t>
        </is>
      </c>
      <c r="B124" s="348" t="inlineStr">
        <is>
          <t>Refacturation uniformes</t>
        </is>
      </c>
      <c r="C124" s="348" t="n">
        <v>1</v>
      </c>
      <c r="D124" s="348" t="inlineStr"/>
      <c r="E124" s="348" t="n">
        <v>1</v>
      </c>
      <c r="F124" s="348" t="inlineStr"/>
      <c r="G124" s="220">
        <f>SUM(C124)-SUM(D124)</f>
        <v/>
      </c>
      <c r="H124" s="220">
        <f>SUM(E124)-SUM(F124)</f>
        <v/>
      </c>
      <c r="I124" s="221">
        <f>IF(A124="Total",VLOOKUP(B124,CORRESPONDANCE[#All],2,FALSE),I125)</f>
        <v/>
      </c>
      <c r="J124" s="350">
        <f>LEFT(A124,1)</f>
        <v/>
      </c>
      <c r="K124" s="347">
        <f>"TIRR"&amp;" - "&amp;A124</f>
        <v/>
      </c>
      <c r="L124" s="347">
        <f>+VLOOKUP(K124,TL[],4,FALSE)</f>
        <v/>
      </c>
    </row>
    <row r="125">
      <c r="A125" s="348" t="inlineStr">
        <is>
          <t>771100</t>
        </is>
      </c>
      <c r="B125" s="348" t="inlineStr">
        <is>
          <t>Ecarts de caisse</t>
        </is>
      </c>
      <c r="C125" s="348" t="inlineStr"/>
      <c r="D125" s="348" t="n">
        <v>71.40000000000001</v>
      </c>
      <c r="E125" s="348" t="inlineStr"/>
      <c r="F125" s="348" t="n">
        <v>71.40000000000001</v>
      </c>
      <c r="G125" s="220">
        <f>SUM(C125)-SUM(D125)</f>
        <v/>
      </c>
      <c r="H125" s="220">
        <f>SUM(E125)-SUM(F125)</f>
        <v/>
      </c>
      <c r="I125" s="221">
        <f>IF(A125="Total",VLOOKUP(B125,CORRESPONDANCE[#All],2,FALSE),I126)</f>
        <v/>
      </c>
      <c r="J125" s="350">
        <f>LEFT(A125,1)</f>
        <v/>
      </c>
      <c r="K125" s="347">
        <f>"TIRR"&amp;" - "&amp;A125</f>
        <v/>
      </c>
      <c r="L125" s="347">
        <f>+VLOOKUP(K125,TL[],4,FALSE)</f>
        <v/>
      </c>
    </row>
    <row r="126">
      <c r="A126" s="348" t="inlineStr">
        <is>
          <t>Total</t>
        </is>
      </c>
      <c r="B126" s="348" t="inlineStr">
        <is>
          <t>Table n°2  -  Divers</t>
        </is>
      </c>
      <c r="C126" s="348" t="n">
        <v>715.3</v>
      </c>
      <c r="D126" s="348" t="inlineStr"/>
      <c r="E126" s="348" t="n">
        <v>715.3</v>
      </c>
      <c r="F126" s="348" t="inlineStr"/>
      <c r="G126" s="220">
        <f>SUM(C126)-SUM(D126)</f>
        <v/>
      </c>
      <c r="H126" s="220">
        <f>SUM(E126)-SUM(F126)</f>
        <v/>
      </c>
      <c r="I126" s="221">
        <f>IF(A126="Total",VLOOKUP(B126,CORRESPONDANCE[#All],2,FALSE),I127)</f>
        <v/>
      </c>
      <c r="J126" s="350">
        <f>LEFT(A126,1)</f>
        <v/>
      </c>
      <c r="K126" s="347">
        <f>"TIRR"&amp;" - "&amp;A126</f>
        <v/>
      </c>
      <c r="L126" s="347">
        <f>+VLOOKUP(K126,TL[],4,FALSE)</f>
        <v/>
      </c>
    </row>
    <row r="127">
      <c r="A127" s="348" t="inlineStr">
        <is>
          <t>613000</t>
        </is>
      </c>
      <c r="B127" s="348" t="inlineStr">
        <is>
          <t>Redevance standard location</t>
        </is>
      </c>
      <c r="C127" s="348" t="n">
        <v>38690.46</v>
      </c>
      <c r="D127" s="348" t="inlineStr"/>
      <c r="E127" s="348" t="n">
        <v>38690.46</v>
      </c>
      <c r="F127" s="348" t="inlineStr"/>
      <c r="G127" s="220">
        <f>SUM(C127)-SUM(D127)</f>
        <v/>
      </c>
      <c r="H127" s="220">
        <f>SUM(E127)-SUM(F127)</f>
        <v/>
      </c>
      <c r="I127" s="221">
        <f>IF(A127="Total",VLOOKUP(B127,CORRESPONDANCE[#All],2,FALSE),I128)</f>
        <v/>
      </c>
      <c r="J127" s="350">
        <f>LEFT(A127,1)</f>
        <v/>
      </c>
      <c r="K127" s="347">
        <f>"TIRR"&amp;" - "&amp;A127</f>
        <v/>
      </c>
      <c r="L127" s="347">
        <f>+VLOOKUP(K127,TL[],4,FALSE)</f>
        <v/>
      </c>
    </row>
    <row r="128">
      <c r="A128" s="348" t="inlineStr">
        <is>
          <t>Total</t>
        </is>
      </c>
      <c r="B128" s="348" t="inlineStr">
        <is>
          <t>Table n°2  -  Redevance standard</t>
        </is>
      </c>
      <c r="C128" s="348" t="n">
        <v>38690.46</v>
      </c>
      <c r="D128" s="348" t="inlineStr"/>
      <c r="E128" s="348" t="n">
        <v>38690.46</v>
      </c>
      <c r="F128" s="348" t="inlineStr"/>
      <c r="G128" s="220">
        <f>SUM(C128)-SUM(D128)</f>
        <v/>
      </c>
      <c r="H128" s="220">
        <f>SUM(E128)-SUM(F128)</f>
        <v/>
      </c>
      <c r="I128" s="221">
        <f>IF(A128="Total",VLOOKUP(B128,CORRESPONDANCE[#All],2,FALSE),I129)</f>
        <v/>
      </c>
      <c r="J128" s="350">
        <f>LEFT(A128,1)</f>
        <v/>
      </c>
      <c r="K128" s="347">
        <f>"TIRR"&amp;" - "&amp;A128</f>
        <v/>
      </c>
      <c r="L128" s="347">
        <f>+VLOOKUP(K128,TL[],4,FALSE)</f>
        <v/>
      </c>
    </row>
    <row r="129">
      <c r="A129" s="348" t="inlineStr">
        <is>
          <t>651200</t>
        </is>
      </c>
      <c r="B129" s="348" t="inlineStr">
        <is>
          <t>Avoirs happy meals (14.5%)</t>
        </is>
      </c>
      <c r="C129" s="348" t="inlineStr"/>
      <c r="D129" s="348" t="n">
        <v>501.75</v>
      </c>
      <c r="E129" s="348" t="inlineStr"/>
      <c r="F129" s="348" t="n">
        <v>501.75</v>
      </c>
      <c r="G129" s="220">
        <f>SUM(C129)-SUM(D129)</f>
        <v/>
      </c>
      <c r="H129" s="220">
        <f>SUM(E129)-SUM(F129)</f>
        <v/>
      </c>
      <c r="I129" s="221">
        <f>IF(A129="Total",VLOOKUP(B129,CORRESPONDANCE[#All],2,FALSE),I130)</f>
        <v/>
      </c>
      <c r="J129" s="350">
        <f>LEFT(A129,1)</f>
        <v/>
      </c>
      <c r="K129" s="347">
        <f>"TIRR"&amp;" - "&amp;A129</f>
        <v/>
      </c>
      <c r="L129" s="347">
        <f>+VLOOKUP(K129,TL[],4,FALSE)</f>
        <v/>
      </c>
    </row>
    <row r="130">
      <c r="A130" s="348" t="inlineStr">
        <is>
          <t>651210</t>
        </is>
      </c>
      <c r="B130" s="348" t="inlineStr">
        <is>
          <t>Avoirs happy meals (5%)</t>
        </is>
      </c>
      <c r="C130" s="348" t="inlineStr"/>
      <c r="D130" s="348" t="n">
        <v>172.36</v>
      </c>
      <c r="E130" s="348" t="inlineStr"/>
      <c r="F130" s="348" t="n">
        <v>172.36</v>
      </c>
      <c r="G130" s="220">
        <f>SUM(C130)-SUM(D130)</f>
        <v/>
      </c>
      <c r="H130" s="220">
        <f>SUM(E130)-SUM(F130)</f>
        <v/>
      </c>
      <c r="I130" s="221">
        <f>IF(A130="Total",VLOOKUP(B130,CORRESPONDANCE[#All],2,FALSE),I131)</f>
        <v/>
      </c>
      <c r="J130" s="350">
        <f>LEFT(A130,1)</f>
        <v/>
      </c>
      <c r="K130" s="347">
        <f>"TIRR"&amp;" - "&amp;A130</f>
        <v/>
      </c>
      <c r="L130" s="347">
        <f>+VLOOKUP(K130,TL[],4,FALSE)</f>
        <v/>
      </c>
    </row>
    <row r="131">
      <c r="A131" s="348" t="inlineStr">
        <is>
          <t>Total</t>
        </is>
      </c>
      <c r="B131" s="348" t="inlineStr">
        <is>
          <t>Table n°2  -  Incentives et Avoirs de redevance</t>
        </is>
      </c>
      <c r="C131" s="348" t="inlineStr"/>
      <c r="D131" s="348" t="n">
        <v>674.11</v>
      </c>
      <c r="E131" s="348" t="inlineStr"/>
      <c r="F131" s="348" t="n">
        <v>674.11</v>
      </c>
      <c r="G131" s="220">
        <f>SUM(C131)-SUM(D131)</f>
        <v/>
      </c>
      <c r="H131" s="220">
        <f>SUM(E131)-SUM(F131)</f>
        <v/>
      </c>
      <c r="I131" s="221">
        <f>IF(A131="Total",VLOOKUP(B131,CORRESPONDANCE[#All],2,FALSE),I132)</f>
        <v/>
      </c>
      <c r="J131" s="350">
        <f>LEFT(A131,1)</f>
        <v/>
      </c>
      <c r="K131" s="347">
        <f>"TIRR"&amp;" - "&amp;A131</f>
        <v/>
      </c>
      <c r="L131" s="347">
        <f>+VLOOKUP(K131,TL[],4,FALSE)</f>
        <v/>
      </c>
    </row>
    <row r="132">
      <c r="A132" s="348" t="inlineStr">
        <is>
          <t>614100</t>
        </is>
      </c>
      <c r="B132" s="348" t="inlineStr">
        <is>
          <t>Charges locat.mc do france</t>
        </is>
      </c>
      <c r="C132" s="348" t="n">
        <v>690</v>
      </c>
      <c r="D132" s="348" t="inlineStr"/>
      <c r="E132" s="348" t="n">
        <v>690</v>
      </c>
      <c r="F132" s="348" t="inlineStr"/>
      <c r="G132" s="220">
        <f>SUM(C132)-SUM(D132)</f>
        <v/>
      </c>
      <c r="H132" s="220">
        <f>SUM(E132)-SUM(F132)</f>
        <v/>
      </c>
      <c r="I132" s="221">
        <f>IF(A132="Total",VLOOKUP(B132,CORRESPONDANCE[#All],2,FALSE),I133)</f>
        <v/>
      </c>
      <c r="J132" s="350">
        <f>LEFT(A132,1)</f>
        <v/>
      </c>
      <c r="K132" s="347">
        <f>"TIRR"&amp;" - "&amp;A132</f>
        <v/>
      </c>
      <c r="L132" s="347">
        <f>+VLOOKUP(K132,TL[],4,FALSE)</f>
        <v/>
      </c>
    </row>
    <row r="133">
      <c r="A133" s="348" t="inlineStr">
        <is>
          <t>Total</t>
        </is>
      </c>
      <c r="B133" s="348" t="inlineStr">
        <is>
          <t>Table n°2  -  Charges locatives et copro</t>
        </is>
      </c>
      <c r="C133" s="348" t="n">
        <v>690</v>
      </c>
      <c r="D133" s="348" t="inlineStr"/>
      <c r="E133" s="348" t="n">
        <v>690</v>
      </c>
      <c r="F133" s="348" t="inlineStr"/>
      <c r="G133" s="220">
        <f>SUM(C133)-SUM(D133)</f>
        <v/>
      </c>
      <c r="H133" s="220">
        <f>SUM(E133)-SUM(F133)</f>
        <v/>
      </c>
      <c r="I133" s="221">
        <f>IF(A133="Total",VLOOKUP(B133,CORRESPONDANCE[#All],2,FALSE),I134)</f>
        <v/>
      </c>
      <c r="J133" s="350">
        <f>LEFT(A133,1)</f>
        <v/>
      </c>
      <c r="K133" s="347">
        <f>"TIRR"&amp;" - "&amp;A133</f>
        <v/>
      </c>
      <c r="L133" s="347">
        <f>+VLOOKUP(K133,TL[],4,FALSE)</f>
        <v/>
      </c>
    </row>
    <row r="134">
      <c r="A134" s="348" t="inlineStr">
        <is>
          <t>651031</t>
        </is>
      </c>
      <c r="B134" s="348" t="inlineStr">
        <is>
          <t>Redevance service</t>
        </is>
      </c>
      <c r="C134" s="348" t="n">
        <v>13340.88</v>
      </c>
      <c r="D134" s="348" t="inlineStr"/>
      <c r="E134" s="348" t="n">
        <v>13340.88</v>
      </c>
      <c r="F134" s="348" t="inlineStr"/>
      <c r="G134" s="220">
        <f>SUM(C134)-SUM(D134)</f>
        <v/>
      </c>
      <c r="H134" s="220">
        <f>SUM(E134)-SUM(F134)</f>
        <v/>
      </c>
      <c r="I134" s="221">
        <f>IF(A134="Total",VLOOKUP(B134,CORRESPONDANCE[#All],2,FALSE),I135)</f>
        <v/>
      </c>
      <c r="J134" s="350">
        <f>LEFT(A134,1)</f>
        <v/>
      </c>
      <c r="K134" s="347">
        <f>"TIRR"&amp;" - "&amp;A134</f>
        <v/>
      </c>
      <c r="L134" s="347">
        <f>+VLOOKUP(K134,TL[],4,FALSE)</f>
        <v/>
      </c>
    </row>
    <row r="135">
      <c r="A135" s="348" t="inlineStr">
        <is>
          <t>Total</t>
        </is>
      </c>
      <c r="B135" s="348" t="inlineStr">
        <is>
          <t>Table n°2  -  Redevance service 5%</t>
        </is>
      </c>
      <c r="C135" s="348" t="n">
        <v>13340.88</v>
      </c>
      <c r="D135" s="348" t="inlineStr"/>
      <c r="E135" s="348" t="n">
        <v>13340.88</v>
      </c>
      <c r="F135" s="348" t="inlineStr"/>
      <c r="G135" s="220">
        <f>SUM(C135)-SUM(D135)</f>
        <v/>
      </c>
      <c r="H135" s="220">
        <f>SUM(E135)-SUM(F135)</f>
        <v/>
      </c>
      <c r="I135" s="221">
        <f>IF(A135="Total",VLOOKUP(B135,CORRESPONDANCE[#All],2,FALSE),I136)</f>
        <v/>
      </c>
      <c r="J135" s="350">
        <f>LEFT(A135,1)</f>
        <v/>
      </c>
      <c r="K135" s="347">
        <f>"TIRR"&amp;" - "&amp;A135</f>
        <v/>
      </c>
      <c r="L135" s="347">
        <f>+VLOOKUP(K135,TL[],4,FALSE)</f>
        <v/>
      </c>
    </row>
    <row r="136">
      <c r="A136" s="348" t="inlineStr">
        <is>
          <t>622600</t>
        </is>
      </c>
      <c r="B136" s="348" t="inlineStr">
        <is>
          <t>Honoraires comptables</t>
        </is>
      </c>
      <c r="C136" s="348" t="n">
        <v>860</v>
      </c>
      <c r="D136" s="348" t="inlineStr"/>
      <c r="E136" s="348" t="n">
        <v>860</v>
      </c>
      <c r="F136" s="348" t="inlineStr"/>
      <c r="G136" s="220">
        <f>SUM(C136)-SUM(D136)</f>
        <v/>
      </c>
      <c r="H136" s="220">
        <f>SUM(E136)-SUM(F136)</f>
        <v/>
      </c>
      <c r="I136" s="221">
        <f>IF(A136="Total",VLOOKUP(B136,CORRESPONDANCE[#All],2,FALSE),I137)</f>
        <v/>
      </c>
      <c r="J136" s="350">
        <f>LEFT(A136,1)</f>
        <v/>
      </c>
      <c r="K136" s="347">
        <f>"TIRR"&amp;" - "&amp;A136</f>
        <v/>
      </c>
      <c r="L136" s="347">
        <f>+VLOOKUP(K136,TL[],4,FALSE)</f>
        <v/>
      </c>
    </row>
    <row r="137">
      <c r="A137" s="348" t="inlineStr">
        <is>
          <t>622610</t>
        </is>
      </c>
      <c r="B137" s="348" t="inlineStr">
        <is>
          <t>Honoraires divers</t>
        </is>
      </c>
      <c r="C137" s="348" t="n">
        <v>160.69</v>
      </c>
      <c r="D137" s="348" t="inlineStr"/>
      <c r="E137" s="348" t="n">
        <v>160.69</v>
      </c>
      <c r="F137" s="348" t="inlineStr"/>
      <c r="G137" s="220">
        <f>SUM(C137)-SUM(D137)</f>
        <v/>
      </c>
      <c r="H137" s="220">
        <f>SUM(E137)-SUM(F137)</f>
        <v/>
      </c>
      <c r="I137" s="221">
        <f>IF(A137="Total",VLOOKUP(B137,CORRESPONDANCE[#All],2,FALSE),I138)</f>
        <v/>
      </c>
      <c r="J137" s="350">
        <f>LEFT(A137,1)</f>
        <v/>
      </c>
      <c r="K137" s="347">
        <f>"TIRR"&amp;" - "&amp;A137</f>
        <v/>
      </c>
      <c r="L137" s="347">
        <f>+VLOOKUP(K137,TL[],4,FALSE)</f>
        <v/>
      </c>
    </row>
    <row r="138">
      <c r="A138" s="348" t="inlineStr">
        <is>
          <t>622620</t>
        </is>
      </c>
      <c r="B138" s="348" t="inlineStr">
        <is>
          <t>Honoraires juridiques</t>
        </is>
      </c>
      <c r="C138" s="348" t="n">
        <v>33</v>
      </c>
      <c r="D138" s="348" t="inlineStr"/>
      <c r="E138" s="348" t="n">
        <v>33</v>
      </c>
      <c r="F138" s="348" t="inlineStr"/>
      <c r="G138" s="220">
        <f>SUM(C138)-SUM(D138)</f>
        <v/>
      </c>
      <c r="H138" s="220">
        <f>SUM(E138)-SUM(F138)</f>
        <v/>
      </c>
      <c r="I138" s="221">
        <f>IF(A138="Total",VLOOKUP(B138,CORRESPONDANCE[#All],2,FALSE),I139)</f>
        <v/>
      </c>
      <c r="J138" s="350">
        <f>LEFT(A138,1)</f>
        <v/>
      </c>
      <c r="K138" s="347">
        <f>"TIRR"&amp;" - "&amp;A138</f>
        <v/>
      </c>
      <c r="L138" s="347">
        <f>+VLOOKUP(K138,TL[],4,FALSE)</f>
        <v/>
      </c>
    </row>
    <row r="139">
      <c r="A139" s="348" t="inlineStr">
        <is>
          <t>Total</t>
        </is>
      </c>
      <c r="B139" s="348" t="inlineStr">
        <is>
          <t>Table n°2  -  Frais comptables et juridiques</t>
        </is>
      </c>
      <c r="C139" s="348" t="n">
        <v>1053.69</v>
      </c>
      <c r="D139" s="348" t="inlineStr"/>
      <c r="E139" s="348" t="n">
        <v>1053.69</v>
      </c>
      <c r="F139" s="348" t="inlineStr"/>
      <c r="G139" s="220">
        <f>SUM(C139)-SUM(D139)</f>
        <v/>
      </c>
      <c r="H139" s="220">
        <f>SUM(E139)-SUM(F139)</f>
        <v/>
      </c>
      <c r="I139" s="221">
        <f>IF(A139="Total",VLOOKUP(B139,CORRESPONDANCE[#All],2,FALSE),I140)</f>
        <v/>
      </c>
      <c r="J139" s="350">
        <f>LEFT(A139,1)</f>
        <v/>
      </c>
      <c r="K139" s="347">
        <f>"TIRR"&amp;" - "&amp;A139</f>
        <v/>
      </c>
      <c r="L139" s="347">
        <f>+VLOOKUP(K139,TL[],4,FALSE)</f>
        <v/>
      </c>
    </row>
    <row r="140">
      <c r="A140" s="348" t="inlineStr">
        <is>
          <t>616200</t>
        </is>
      </c>
      <c r="B140" s="348" t="inlineStr">
        <is>
          <t>Assurances multirisques</t>
        </is>
      </c>
      <c r="C140" s="348" t="n">
        <v>1150</v>
      </c>
      <c r="D140" s="348" t="inlineStr"/>
      <c r="E140" s="348" t="n">
        <v>1150</v>
      </c>
      <c r="F140" s="348" t="inlineStr"/>
      <c r="G140" s="220">
        <f>SUM(C140)-SUM(D140)</f>
        <v/>
      </c>
      <c r="H140" s="220">
        <f>SUM(E140)-SUM(F140)</f>
        <v/>
      </c>
      <c r="I140" s="221">
        <f>IF(A140="Total",VLOOKUP(B140,CORRESPONDANCE[#All],2,FALSE),I141)</f>
        <v/>
      </c>
      <c r="J140" s="350">
        <f>LEFT(A140,1)</f>
        <v/>
      </c>
      <c r="K140" s="347">
        <f>"TIRR"&amp;" - "&amp;A140</f>
        <v/>
      </c>
      <c r="L140" s="347">
        <f>+VLOOKUP(K140,TL[],4,FALSE)</f>
        <v/>
      </c>
    </row>
    <row r="141">
      <c r="A141" s="348" t="inlineStr">
        <is>
          <t>616300</t>
        </is>
      </c>
      <c r="B141" s="348" t="inlineStr">
        <is>
          <t>Assurances diverses</t>
        </is>
      </c>
      <c r="C141" s="348" t="n">
        <v>100</v>
      </c>
      <c r="D141" s="348" t="inlineStr"/>
      <c r="E141" s="348" t="n">
        <v>100</v>
      </c>
      <c r="F141" s="348" t="inlineStr"/>
      <c r="G141" s="220">
        <f>SUM(C141)-SUM(D141)</f>
        <v/>
      </c>
      <c r="H141" s="220">
        <f>SUM(E141)-SUM(F141)</f>
        <v/>
      </c>
      <c r="I141" s="221">
        <f>IF(A141="Total",VLOOKUP(B141,CORRESPONDANCE[#All],2,FALSE),I142)</f>
        <v/>
      </c>
      <c r="J141" s="350">
        <f>LEFT(A141,1)</f>
        <v/>
      </c>
      <c r="K141" s="347">
        <f>"TIRR"&amp;" - "&amp;A141</f>
        <v/>
      </c>
      <c r="L141" s="347">
        <f>+VLOOKUP(K141,TL[],4,FALSE)</f>
        <v/>
      </c>
    </row>
    <row r="142">
      <c r="A142" s="348" t="inlineStr">
        <is>
          <t>Total</t>
        </is>
      </c>
      <c r="B142" s="348" t="inlineStr">
        <is>
          <t>Table n°2  -  Assurances</t>
        </is>
      </c>
      <c r="C142" s="348" t="n">
        <v>1250</v>
      </c>
      <c r="D142" s="348" t="inlineStr"/>
      <c r="E142" s="348" t="n">
        <v>1250</v>
      </c>
      <c r="F142" s="348" t="inlineStr"/>
      <c r="G142" s="220">
        <f>SUM(C142)-SUM(D142)</f>
        <v/>
      </c>
      <c r="H142" s="220">
        <f>SUM(E142)-SUM(F142)</f>
        <v/>
      </c>
      <c r="I142" s="221">
        <f>IF(A142="Total",VLOOKUP(B142,CORRESPONDANCE[#All],2,FALSE),#REF!)</f>
        <v/>
      </c>
      <c r="J142" s="350">
        <f>LEFT(A142,1)</f>
        <v/>
      </c>
      <c r="K142" s="347">
        <f>"TIRR"&amp;" - "&amp;A142</f>
        <v/>
      </c>
      <c r="L142" s="347">
        <f>+VLOOKUP(K142,TL[],4,FALSE)</f>
        <v/>
      </c>
    </row>
    <row r="143">
      <c r="A143" s="348" t="inlineStr">
        <is>
          <t>633300</t>
        </is>
      </c>
      <c r="B143" s="348" t="inlineStr">
        <is>
          <t>Formation continue (organisme)</t>
        </is>
      </c>
      <c r="C143" s="348" t="n">
        <v>443.24</v>
      </c>
      <c r="D143" s="348" t="inlineStr"/>
      <c r="E143" s="348" t="n">
        <v>443.24</v>
      </c>
      <c r="F143" s="348" t="inlineStr"/>
      <c r="G143" s="220">
        <f>SUM(C143)-SUM(D143)</f>
        <v/>
      </c>
      <c r="H143" s="220">
        <f>SUM(E143)-SUM(F143)</f>
        <v/>
      </c>
      <c r="I143" s="221">
        <f>IF(A143="Total",VLOOKUP(B143,CORRESPONDANCE[#All],2,FALSE),I144)</f>
        <v/>
      </c>
      <c r="J143" s="350">
        <f>LEFT(A143,1)</f>
        <v/>
      </c>
      <c r="K143" s="347">
        <f>"TIRR"&amp;" - "&amp;A143</f>
        <v/>
      </c>
      <c r="L143" s="347">
        <f>+VLOOKUP(K143,TL[],4,FALSE)</f>
        <v/>
      </c>
    </row>
    <row r="144">
      <c r="A144" s="348" t="inlineStr">
        <is>
          <t>633500</t>
        </is>
      </c>
      <c r="B144" s="348" t="inlineStr">
        <is>
          <t>Taxe d'apprentissage (verst libér.)</t>
        </is>
      </c>
      <c r="C144" s="348" t="n">
        <v>284.79</v>
      </c>
      <c r="D144" s="348" t="inlineStr"/>
      <c r="E144" s="348" t="n">
        <v>284.79</v>
      </c>
      <c r="F144" s="348" t="inlineStr"/>
      <c r="G144" s="220">
        <f>SUM(C144)-SUM(D144)</f>
        <v/>
      </c>
      <c r="H144" s="220">
        <f>SUM(E144)-SUM(F144)</f>
        <v/>
      </c>
      <c r="I144" s="221">
        <f>IF(A144="Total",VLOOKUP(B144,CORRESPONDANCE[#All],2,FALSE),I145)</f>
        <v/>
      </c>
      <c r="J144" s="350">
        <f>LEFT(A144,1)</f>
        <v/>
      </c>
      <c r="K144" s="347">
        <f>"TIRR"&amp;" - "&amp;A144</f>
        <v/>
      </c>
      <c r="L144" s="347">
        <f>+VLOOKUP(K144,TL[],4,FALSE)</f>
        <v/>
      </c>
    </row>
    <row r="145">
      <c r="A145" s="348" t="inlineStr">
        <is>
          <t>635111</t>
        </is>
      </c>
      <c r="B145" s="348" t="inlineStr">
        <is>
          <t>Contribution foncière entreprises</t>
        </is>
      </c>
      <c r="C145" s="348" t="n">
        <v>270</v>
      </c>
      <c r="D145" s="348" t="inlineStr"/>
      <c r="E145" s="348" t="n">
        <v>270</v>
      </c>
      <c r="F145" s="348" t="inlineStr"/>
      <c r="G145" s="220">
        <f>SUM(C145)-SUM(D145)</f>
        <v/>
      </c>
      <c r="H145" s="220">
        <f>SUM(E145)-SUM(F145)</f>
        <v/>
      </c>
      <c r="I145" s="221">
        <f>IF(A145="Total",VLOOKUP(B145,CORRESPONDANCE[#All],2,FALSE),I146)</f>
        <v/>
      </c>
      <c r="J145" s="350">
        <f>LEFT(A145,1)</f>
        <v/>
      </c>
      <c r="K145" s="347">
        <f>"TIRR"&amp;" - "&amp;A145</f>
        <v/>
      </c>
      <c r="L145" s="347">
        <f>+VLOOKUP(K145,TL[],4,FALSE)</f>
        <v/>
      </c>
    </row>
    <row r="146">
      <c r="A146" s="348" t="inlineStr">
        <is>
          <t>635112</t>
        </is>
      </c>
      <c r="B146" s="348" t="inlineStr">
        <is>
          <t>Contrib. valeur ajoutée entreprises</t>
        </is>
      </c>
      <c r="C146" s="348" t="n">
        <v>400</v>
      </c>
      <c r="D146" s="348" t="inlineStr"/>
      <c r="E146" s="348" t="n">
        <v>400</v>
      </c>
      <c r="F146" s="348" t="inlineStr"/>
      <c r="G146" s="220">
        <f>SUM(C146)-SUM(D146)</f>
        <v/>
      </c>
      <c r="H146" s="220">
        <f>SUM(E146)-SUM(F146)</f>
        <v/>
      </c>
      <c r="I146" s="221">
        <f>IF(A146="Total",VLOOKUP(B146,CORRESPONDANCE[#All],2,FALSE),I147)</f>
        <v/>
      </c>
      <c r="J146" s="350">
        <f>LEFT(A146,1)</f>
        <v/>
      </c>
      <c r="K146" s="347">
        <f>"TIRR"&amp;" - "&amp;A146</f>
        <v/>
      </c>
      <c r="L146" s="347">
        <f>+VLOOKUP(K146,TL[],4,FALSE)</f>
        <v/>
      </c>
    </row>
    <row r="147">
      <c r="A147" s="348" t="inlineStr">
        <is>
          <t>635820</t>
        </is>
      </c>
      <c r="B147" s="348" t="inlineStr">
        <is>
          <t>Taxe sur la publicité</t>
        </is>
      </c>
      <c r="C147" s="348" t="n">
        <v>350</v>
      </c>
      <c r="D147" s="348" t="inlineStr"/>
      <c r="E147" s="348" t="n">
        <v>350</v>
      </c>
      <c r="F147" s="348" t="inlineStr"/>
      <c r="G147" s="220">
        <f>SUM(C147)-SUM(D147)</f>
        <v/>
      </c>
      <c r="H147" s="220">
        <f>SUM(E147)-SUM(F147)</f>
        <v/>
      </c>
      <c r="I147" s="221">
        <f>IF(A147="Total",VLOOKUP(B147,CORRESPONDANCE[#All],2,FALSE),I148)</f>
        <v/>
      </c>
      <c r="J147" s="350">
        <f>LEFT(A147,1)</f>
        <v/>
      </c>
      <c r="K147" s="347">
        <f>"TIRR"&amp;" - "&amp;A147</f>
        <v/>
      </c>
      <c r="L147" s="347">
        <f>+VLOOKUP(K147,TL[],4,FALSE)</f>
        <v/>
      </c>
    </row>
    <row r="148">
      <c r="A148" s="348" t="inlineStr">
        <is>
          <t>637800</t>
        </is>
      </c>
      <c r="B148" s="348" t="inlineStr">
        <is>
          <t>Agefip</t>
        </is>
      </c>
      <c r="C148" s="348" t="n">
        <v>200</v>
      </c>
      <c r="D148" s="348" t="inlineStr"/>
      <c r="E148" s="348" t="n">
        <v>200</v>
      </c>
      <c r="F148" s="348" t="inlineStr"/>
      <c r="G148" s="220">
        <f>SUM(C148)-SUM(D148)</f>
        <v/>
      </c>
      <c r="H148" s="220">
        <f>SUM(E148)-SUM(F148)</f>
        <v/>
      </c>
      <c r="I148" s="221">
        <f>IF(A148="Total",VLOOKUP(B148,CORRESPONDANCE[#All],2,FALSE),I149)</f>
        <v/>
      </c>
      <c r="J148" s="350">
        <f>LEFT(A148,1)</f>
        <v/>
      </c>
      <c r="K148" s="347">
        <f>"TIRR"&amp;" - "&amp;A148</f>
        <v/>
      </c>
      <c r="L148" s="347">
        <f>+VLOOKUP(K148,TL[],4,FALSE)</f>
        <v/>
      </c>
    </row>
    <row r="149">
      <c r="A149" s="348" t="inlineStr">
        <is>
          <t>Total</t>
        </is>
      </c>
      <c r="B149" s="348" t="inlineStr">
        <is>
          <t>Table n°2  -  Taxes</t>
        </is>
      </c>
      <c r="C149" s="348" t="n">
        <v>1948.03</v>
      </c>
      <c r="D149" s="348" t="inlineStr"/>
      <c r="E149" s="348" t="n">
        <v>1948.03</v>
      </c>
      <c r="F149" s="348" t="inlineStr"/>
      <c r="G149" s="220">
        <f>SUM(C149)-SUM(D149)</f>
        <v/>
      </c>
      <c r="H149" s="220">
        <f>SUM(E149)-SUM(F149)</f>
        <v/>
      </c>
      <c r="I149" s="221">
        <f>IF(A149="Total",VLOOKUP(B149,CORRESPONDANCE[#All],2,FALSE),I150)</f>
        <v/>
      </c>
      <c r="J149" s="350">
        <f>LEFT(A149,1)</f>
        <v/>
      </c>
      <c r="K149" s="347">
        <f>"TIRR"&amp;" - "&amp;A149</f>
        <v/>
      </c>
      <c r="L149" s="347">
        <f>+VLOOKUP(K149,TL[],4,FALSE)</f>
        <v/>
      </c>
    </row>
    <row r="150">
      <c r="A150" s="348" t="inlineStr">
        <is>
          <t>681110</t>
        </is>
      </c>
      <c r="B150" s="348" t="inlineStr">
        <is>
          <t>Dot. amort. s/immobil. incorporel.</t>
        </is>
      </c>
      <c r="C150" s="348" t="n">
        <v>11675</v>
      </c>
      <c r="D150" s="348" t="inlineStr"/>
      <c r="E150" s="348" t="n">
        <v>11675</v>
      </c>
      <c r="F150" s="348" t="inlineStr"/>
      <c r="G150" s="220">
        <f>SUM(C150)-SUM(D150)</f>
        <v/>
      </c>
      <c r="H150" s="220">
        <f>SUM(E150)-SUM(F150)</f>
        <v/>
      </c>
      <c r="I150" s="221">
        <f>IF(A150="Total",VLOOKUP(B150,CORRESPONDANCE[#All],2,FALSE),I151)</f>
        <v/>
      </c>
      <c r="J150" s="350">
        <f>LEFT(A150,1)</f>
        <v/>
      </c>
      <c r="K150" s="347">
        <f>"TIRR"&amp;" - "&amp;A150</f>
        <v/>
      </c>
      <c r="L150" s="347">
        <f>+VLOOKUP(K150,TL[],4,FALSE)</f>
        <v/>
      </c>
    </row>
    <row r="151">
      <c r="A151" s="348" t="inlineStr">
        <is>
          <t>Total</t>
        </is>
      </c>
      <c r="B151" s="348" t="inlineStr">
        <is>
          <t>Table n°2  -  Dépréciations amortissements</t>
        </is>
      </c>
      <c r="C151" s="348" t="n">
        <v>11675</v>
      </c>
      <c r="D151" s="348" t="inlineStr"/>
      <c r="E151" s="348" t="n">
        <v>11675</v>
      </c>
      <c r="F151" s="348" t="inlineStr"/>
      <c r="G151" s="220">
        <f>SUM(C151)-SUM(D151)</f>
        <v/>
      </c>
      <c r="H151" s="220">
        <f>SUM(E151)-SUM(F151)</f>
        <v/>
      </c>
      <c r="I151" s="221">
        <f>IF(A151="Total",VLOOKUP(B151,CORRESPONDANCE[#All],2,FALSE),I152)</f>
        <v/>
      </c>
      <c r="J151" s="350">
        <f>LEFT(A151,1)</f>
        <v/>
      </c>
      <c r="K151" s="347">
        <f>"TIRR"&amp;" - "&amp;A151</f>
        <v/>
      </c>
      <c r="L151" s="347">
        <f>+VLOOKUP(K151,TL[],4,FALSE)</f>
        <v/>
      </c>
    </row>
    <row r="152">
      <c r="A152" s="348" t="inlineStr">
        <is>
          <t>613530</t>
        </is>
      </c>
      <c r="B152" s="348" t="inlineStr">
        <is>
          <t>Location leasecom</t>
        </is>
      </c>
      <c r="C152" s="348" t="n">
        <v>87</v>
      </c>
      <c r="D152" s="348" t="inlineStr"/>
      <c r="E152" s="348" t="n">
        <v>87</v>
      </c>
      <c r="F152" s="348" t="inlineStr"/>
      <c r="G152" s="220">
        <f>SUM(C152)-SUM(D152)</f>
        <v/>
      </c>
      <c r="H152" s="220">
        <f>SUM(E152)-SUM(F152)</f>
        <v/>
      </c>
      <c r="I152" s="221">
        <f>IF(A152="Total",VLOOKUP(B152,CORRESPONDANCE[#All],2,FALSE),I153)</f>
        <v/>
      </c>
      <c r="J152" s="350">
        <f>LEFT(A152,1)</f>
        <v/>
      </c>
      <c r="K152" s="347">
        <f>"TIRR"&amp;" - "&amp;A152</f>
        <v/>
      </c>
      <c r="L152" s="347">
        <f>+VLOOKUP(K152,TL[],4,FALSE)</f>
        <v/>
      </c>
    </row>
    <row r="153">
      <c r="A153" s="348" t="inlineStr">
        <is>
          <t>615663</t>
        </is>
      </c>
      <c r="B153" s="348" t="inlineStr">
        <is>
          <t>Contrat grenke refresh parc</t>
        </is>
      </c>
      <c r="C153" s="348" t="n">
        <v>671.22</v>
      </c>
      <c r="D153" s="348" t="inlineStr"/>
      <c r="E153" s="348" t="n">
        <v>671.22</v>
      </c>
      <c r="F153" s="348" t="inlineStr"/>
      <c r="G153" s="220">
        <f>SUM(C153)-SUM(D153)</f>
        <v/>
      </c>
      <c r="H153" s="220">
        <f>SUM(E153)-SUM(F153)</f>
        <v/>
      </c>
      <c r="I153" s="221">
        <f>IF(A153="Total",VLOOKUP(B153,CORRESPONDANCE[#All],2,FALSE),I154)</f>
        <v/>
      </c>
      <c r="J153" s="350">
        <f>LEFT(A153,1)</f>
        <v/>
      </c>
      <c r="K153" s="347">
        <f>"TIRR"&amp;" - "&amp;A153</f>
        <v/>
      </c>
      <c r="L153" s="347">
        <f>+VLOOKUP(K153,TL[],4,FALSE)</f>
        <v/>
      </c>
    </row>
    <row r="154">
      <c r="A154" s="348" t="inlineStr">
        <is>
          <t>Total</t>
        </is>
      </c>
      <c r="B154" s="348" t="inlineStr">
        <is>
          <t>Table n°2  -  Crédit bail</t>
        </is>
      </c>
      <c r="C154" s="348" t="n">
        <v>758.22</v>
      </c>
      <c r="D154" s="348" t="inlineStr"/>
      <c r="E154" s="348" t="n">
        <v>758.22</v>
      </c>
      <c r="F154" s="348" t="inlineStr"/>
      <c r="G154" s="220">
        <f>SUM(C154)-SUM(D154)</f>
        <v/>
      </c>
      <c r="H154" s="220">
        <f>SUM(E154)-SUM(F154)</f>
        <v/>
      </c>
      <c r="I154" s="221">
        <f>IF(A154="Total",VLOOKUP(B154,CORRESPONDANCE[#All],2,FALSE),I155)</f>
        <v/>
      </c>
      <c r="J154" s="350">
        <f>LEFT(A154,1)</f>
        <v/>
      </c>
      <c r="K154" s="347">
        <f>"TIRR"&amp;" - "&amp;A154</f>
        <v/>
      </c>
      <c r="L154" s="347">
        <f>+VLOOKUP(K154,TL[],4,FALSE)</f>
        <v/>
      </c>
    </row>
    <row r="155">
      <c r="A155" s="348" t="inlineStr">
        <is>
          <t>613525</t>
        </is>
      </c>
      <c r="B155" s="348" t="inlineStr">
        <is>
          <t>Loyer véhicule Sandrine GP-090-LW</t>
        </is>
      </c>
      <c r="C155" s="348" t="n">
        <v>455.85</v>
      </c>
      <c r="D155" s="348" t="inlineStr"/>
      <c r="E155" s="348" t="n">
        <v>455.85</v>
      </c>
      <c r="F155" s="348" t="inlineStr"/>
      <c r="G155" s="220">
        <f>SUM(C155)-SUM(D155)</f>
        <v/>
      </c>
      <c r="H155" s="220">
        <f>SUM(E155)-SUM(F155)</f>
        <v/>
      </c>
      <c r="I155" s="221">
        <f>IF(A155="Total",VLOOKUP(B155,CORRESPONDANCE[#All],2,FALSE),I156)</f>
        <v/>
      </c>
      <c r="J155" s="350">
        <f>LEFT(A155,1)</f>
        <v/>
      </c>
      <c r="K155" s="347">
        <f>"TIRR"&amp;" - "&amp;A155</f>
        <v/>
      </c>
      <c r="L155" s="347">
        <f>+VLOOKUP(K155,TL[],4,FALSE)</f>
        <v/>
      </c>
    </row>
    <row r="156">
      <c r="A156" s="348" t="inlineStr">
        <is>
          <t>621403</t>
        </is>
      </c>
      <c r="B156" s="348" t="inlineStr">
        <is>
          <t>Personnel ext refac</t>
        </is>
      </c>
      <c r="C156" s="348" t="n">
        <v>429.58</v>
      </c>
      <c r="D156" s="348" t="inlineStr"/>
      <c r="E156" s="348" t="n">
        <v>429.58</v>
      </c>
      <c r="F156" s="348" t="inlineStr"/>
      <c r="G156" s="220">
        <f>SUM(C156)-SUM(D156)</f>
        <v/>
      </c>
      <c r="H156" s="220">
        <f>SUM(E156)-SUM(F156)</f>
        <v/>
      </c>
      <c r="I156" s="221">
        <f>IF(A156="Total",VLOOKUP(B156,CORRESPONDANCE[#All],2,FALSE),I157)</f>
        <v/>
      </c>
      <c r="J156" s="350">
        <f>LEFT(A156,1)</f>
        <v/>
      </c>
      <c r="K156" s="347">
        <f>"TIRR"&amp;" - "&amp;A156</f>
        <v/>
      </c>
      <c r="L156" s="347">
        <f>+VLOOKUP(K156,TL[],4,FALSE)</f>
        <v/>
      </c>
    </row>
    <row r="157">
      <c r="A157" s="348" t="inlineStr">
        <is>
          <t>658000</t>
        </is>
      </c>
      <c r="B157" s="348" t="inlineStr">
        <is>
          <t>Charges diverses gestion courante</t>
        </is>
      </c>
      <c r="C157" s="348" t="n">
        <v>0.04</v>
      </c>
      <c r="D157" s="348" t="inlineStr"/>
      <c r="E157" s="348" t="n">
        <v>0.04</v>
      </c>
      <c r="F157" s="348" t="inlineStr"/>
      <c r="G157" s="220">
        <f>SUM(C157)-SUM(D157)</f>
        <v/>
      </c>
      <c r="H157" s="220">
        <f>SUM(E157)-SUM(F157)</f>
        <v/>
      </c>
      <c r="I157" s="221">
        <f>IF(A157="Total",VLOOKUP(B157,CORRESPONDANCE[#All],2,FALSE),I158)</f>
        <v/>
      </c>
      <c r="J157" s="350">
        <f>LEFT(A157,1)</f>
        <v/>
      </c>
      <c r="K157" s="347">
        <f>"TIRR"&amp;" - "&amp;A157</f>
        <v/>
      </c>
      <c r="L157" s="347">
        <f>+VLOOKUP(K157,TL[],4,FALSE)</f>
        <v/>
      </c>
    </row>
    <row r="158">
      <c r="A158" s="348" t="inlineStr">
        <is>
          <t>708882</t>
        </is>
      </c>
      <c r="B158" s="348" t="inlineStr">
        <is>
          <t>Refact loyer vehicule</t>
        </is>
      </c>
      <c r="C158" s="348" t="inlineStr"/>
      <c r="D158" s="348" t="n">
        <v>455.85</v>
      </c>
      <c r="E158" s="348" t="inlineStr"/>
      <c r="F158" s="348" t="n">
        <v>455.85</v>
      </c>
      <c r="G158" s="220">
        <f>SUM(C158)-SUM(D158)</f>
        <v/>
      </c>
      <c r="H158" s="220">
        <f>SUM(E158)-SUM(F158)</f>
        <v/>
      </c>
      <c r="I158" s="221">
        <f>IF(A158="Total",VLOOKUP(B158,CORRESPONDANCE[#All],2,FALSE),I159)</f>
        <v/>
      </c>
      <c r="J158" s="350">
        <f>LEFT(A158,1)</f>
        <v/>
      </c>
      <c r="K158" s="347">
        <f>"TIRR"&amp;" - "&amp;A158</f>
        <v/>
      </c>
      <c r="L158" s="347">
        <f>+VLOOKUP(K158,TL[],4,FALSE)</f>
        <v/>
      </c>
    </row>
    <row r="159">
      <c r="A159" s="348" t="inlineStr">
        <is>
          <t>708887</t>
        </is>
      </c>
      <c r="B159" s="348" t="inlineStr">
        <is>
          <t>Refacturations diverses</t>
        </is>
      </c>
      <c r="C159" s="348" t="n">
        <v>1</v>
      </c>
      <c r="D159" s="348" t="inlineStr"/>
      <c r="E159" s="348" t="n">
        <v>1</v>
      </c>
      <c r="F159" s="348" t="inlineStr"/>
      <c r="G159" s="220">
        <f>SUM(C159)-SUM(D159)</f>
        <v/>
      </c>
      <c r="H159" s="220">
        <f>SUM(E159)-SUM(F159)</f>
        <v/>
      </c>
      <c r="I159" s="221">
        <f>IF(A159="Total",VLOOKUP(B159,CORRESPONDANCE[#All],2,FALSE),I160)</f>
        <v/>
      </c>
      <c r="J159" s="350">
        <f>LEFT(A159,1)</f>
        <v/>
      </c>
      <c r="K159" s="347">
        <f>"TIRR"&amp;" - "&amp;A159</f>
        <v/>
      </c>
      <c r="L159" s="347">
        <f>+VLOOKUP(K159,TL[],4,FALSE)</f>
        <v/>
      </c>
    </row>
    <row r="160">
      <c r="A160" s="348" t="inlineStr">
        <is>
          <t>Total</t>
        </is>
      </c>
      <c r="B160" s="348" t="inlineStr">
        <is>
          <t>Table n°2  -  Dépenses / Revenus divers</t>
        </is>
      </c>
      <c r="C160" s="348" t="n">
        <v>430.62</v>
      </c>
      <c r="D160" s="348" t="inlineStr"/>
      <c r="E160" s="348" t="n">
        <v>430.62</v>
      </c>
      <c r="F160" s="348" t="inlineStr"/>
      <c r="G160" s="220">
        <f>SUM(C160)-SUM(D160)</f>
        <v/>
      </c>
      <c r="H160" s="220">
        <f>SUM(E160)-SUM(F160)</f>
        <v/>
      </c>
      <c r="I160" s="221">
        <f>IF(A160="Total",VLOOKUP(B160,CORRESPONDANCE[#All],2,FALSE),I161)</f>
        <v/>
      </c>
      <c r="J160" s="350">
        <f>LEFT(A160,1)</f>
        <v/>
      </c>
      <c r="K160" s="347">
        <f>"TIRR"&amp;" - "&amp;A160</f>
        <v/>
      </c>
      <c r="L160" s="347">
        <f>+VLOOKUP(K160,TL[],4,FALSE)</f>
        <v/>
      </c>
    </row>
    <row r="161">
      <c r="A161" s="348" t="inlineStr">
        <is>
          <t>661100</t>
        </is>
      </c>
      <c r="B161" s="348" t="inlineStr">
        <is>
          <t>Intérêts emprunt CRCA</t>
        </is>
      </c>
      <c r="C161" s="348" t="n">
        <v>3.34</v>
      </c>
      <c r="D161" s="348" t="inlineStr"/>
      <c r="E161" s="348" t="n">
        <v>3.34</v>
      </c>
      <c r="F161" s="348" t="inlineStr"/>
      <c r="G161" s="220">
        <f>SUM(C161)-SUM(D161)</f>
        <v/>
      </c>
      <c r="H161" s="220">
        <f>SUM(E161)-SUM(F161)</f>
        <v/>
      </c>
      <c r="I161" s="221">
        <f>IF(A161="Total",VLOOKUP(B161,CORRESPONDANCE[#All],2,FALSE),I162)</f>
        <v/>
      </c>
      <c r="J161" s="350">
        <f>LEFT(A161,1)</f>
        <v/>
      </c>
      <c r="K161" s="347">
        <f>"TIRR"&amp;" - "&amp;A161</f>
        <v/>
      </c>
      <c r="L161" s="347">
        <f>+VLOOKUP(K161,TL[],4,FALSE)</f>
        <v/>
      </c>
    </row>
    <row r="162">
      <c r="A162" s="348" t="inlineStr">
        <is>
          <t>Total</t>
        </is>
      </c>
      <c r="B162" s="348" t="inlineStr">
        <is>
          <t>Table n°2  -  Charges / Revenus financiers</t>
        </is>
      </c>
      <c r="C162" s="348" t="n">
        <v>3.34</v>
      </c>
      <c r="D162" s="348" t="inlineStr"/>
      <c r="E162" s="348" t="n">
        <v>3.34</v>
      </c>
      <c r="F162" s="348" t="inlineStr"/>
      <c r="G162" s="220">
        <f>SUM(C162)-SUM(D162)</f>
        <v/>
      </c>
      <c r="H162" s="220">
        <f>SUM(E162)-SUM(F162)</f>
        <v/>
      </c>
      <c r="I162" s="221">
        <f>IF(A162="Total",VLOOKUP(B162,CORRESPONDANCE[#All],2,FALSE),I163)</f>
        <v/>
      </c>
      <c r="J162" s="350">
        <f>LEFT(A162,1)</f>
        <v/>
      </c>
      <c r="K162" s="347">
        <f>"TIRR"&amp;" - "&amp;A162</f>
        <v/>
      </c>
      <c r="L162" s="347">
        <f>+VLOOKUP(K162,TL[],4,FALSE)</f>
        <v/>
      </c>
    </row>
    <row r="163">
      <c r="A163" s="348" t="inlineStr">
        <is>
          <t>671300</t>
        </is>
      </c>
      <c r="B163" s="348" t="inlineStr">
        <is>
          <t>Dons et libéralités</t>
        </is>
      </c>
      <c r="C163" s="348" t="n">
        <v>18.46</v>
      </c>
      <c r="D163" s="348" t="inlineStr"/>
      <c r="E163" s="348" t="n">
        <v>18.46</v>
      </c>
      <c r="F163" s="348" t="inlineStr"/>
      <c r="G163" s="220">
        <f>SUM(C163)-SUM(D163)</f>
        <v/>
      </c>
      <c r="H163" s="220">
        <f>SUM(E163)-SUM(F163)</f>
        <v/>
      </c>
      <c r="I163" s="221">
        <f>IF(A163="Total",VLOOKUP(B163,CORRESPONDANCE[#All],2,FALSE),I164)</f>
        <v/>
      </c>
      <c r="J163" s="350">
        <f>LEFT(A163,1)</f>
        <v/>
      </c>
      <c r="K163" s="347">
        <f>"TIRR"&amp;" - "&amp;A163</f>
        <v/>
      </c>
      <c r="L163" s="347">
        <f>+VLOOKUP(K163,TL[],4,FALSE)</f>
        <v/>
      </c>
    </row>
    <row r="164">
      <c r="A164" s="348" t="inlineStr">
        <is>
          <t>Total</t>
        </is>
      </c>
      <c r="B164" s="348" t="inlineStr">
        <is>
          <t>Table n°2  -  Charges et produits exceptionnels</t>
        </is>
      </c>
      <c r="C164" s="348" t="n">
        <v>18.46</v>
      </c>
      <c r="D164" s="348" t="inlineStr"/>
      <c r="E164" s="348" t="n">
        <v>18.46</v>
      </c>
      <c r="F164" s="348" t="inlineStr"/>
      <c r="G164" s="220">
        <f>SUM(C164)-SUM(D164)</f>
        <v/>
      </c>
      <c r="H164" s="220">
        <f>SUM(E164)-SUM(F164)</f>
        <v/>
      </c>
      <c r="I164" s="221">
        <f>IF(A164="Total",VLOOKUP(B164,CORRESPONDANCE[#All],2,FALSE),I165)</f>
        <v/>
      </c>
      <c r="J164" s="350">
        <f>LEFT(A164,1)</f>
        <v/>
      </c>
      <c r="K164" s="347">
        <f>"TIRR"&amp;" - "&amp;A164</f>
        <v/>
      </c>
      <c r="L164" s="347">
        <f>+VLOOKUP(K164,TL[],4,FALSE)</f>
        <v/>
      </c>
    </row>
    <row r="165">
      <c r="A165" s="348" t="inlineStr">
        <is>
          <t>628210</t>
        </is>
      </c>
      <c r="B165" s="348" t="inlineStr">
        <is>
          <t>Redevance gth14</t>
        </is>
      </c>
      <c r="C165" s="348" t="n">
        <v>17278</v>
      </c>
      <c r="D165" s="348" t="inlineStr"/>
      <c r="E165" s="348" t="n">
        <v>17278</v>
      </c>
      <c r="F165" s="348" t="inlineStr"/>
      <c r="G165" s="220">
        <f>SUM(C165)-SUM(D165)</f>
        <v/>
      </c>
      <c r="H165" s="220">
        <f>SUM(E165)-SUM(F165)</f>
        <v/>
      </c>
      <c r="I165" s="221">
        <f>IF(A165="Total",VLOOKUP(B165,CORRESPONDANCE[#All],2,FALSE),I166)</f>
        <v/>
      </c>
      <c r="J165" s="350">
        <f>LEFT(A165,1)</f>
        <v/>
      </c>
      <c r="K165" s="347">
        <f>"TIRR"&amp;" - "&amp;A165</f>
        <v/>
      </c>
      <c r="L165" s="347">
        <f>+VLOOKUP(K165,TL[],4,FALSE)</f>
        <v/>
      </c>
    </row>
    <row r="166">
      <c r="A166" s="348" t="inlineStr">
        <is>
          <t>628240</t>
        </is>
      </c>
      <c r="B166" s="348" t="inlineStr">
        <is>
          <t>Redevance MUNGU</t>
        </is>
      </c>
      <c r="C166" s="348" t="n">
        <v>833.33</v>
      </c>
      <c r="D166" s="348" t="inlineStr"/>
      <c r="E166" s="348" t="n">
        <v>833.33</v>
      </c>
      <c r="F166" s="348" t="inlineStr"/>
      <c r="G166" s="220">
        <f>SUM(C166)-SUM(D166)</f>
        <v/>
      </c>
      <c r="H166" s="220">
        <f>SUM(E166)-SUM(F166)</f>
        <v/>
      </c>
      <c r="I166" s="221">
        <f>IF(A166="Total",VLOOKUP(B166,CORRESPONDANCE[#All],2,FALSE),I167)</f>
        <v/>
      </c>
      <c r="J166" s="350">
        <f>LEFT(A166,1)</f>
        <v/>
      </c>
      <c r="K166" s="347">
        <f>"TIRR"&amp;" - "&amp;A166</f>
        <v/>
      </c>
      <c r="L166" s="347">
        <f>+VLOOKUP(K166,TL[],4,FALSE)</f>
        <v/>
      </c>
    </row>
    <row r="167">
      <c r="A167" s="348" t="inlineStr">
        <is>
          <t>Total</t>
        </is>
      </c>
      <c r="B167" s="348" t="inlineStr">
        <is>
          <t>Table n°2  -  G&amp;A (Frais administratifs)</t>
        </is>
      </c>
      <c r="C167" s="348" t="n">
        <v>18111.33</v>
      </c>
      <c r="D167" s="348" t="inlineStr"/>
      <c r="E167" s="348" t="n">
        <v>18111.33</v>
      </c>
      <c r="F167" s="348" t="inlineStr"/>
      <c r="G167" s="220">
        <f>SUM(C167)-SUM(D167)</f>
        <v/>
      </c>
      <c r="H167" s="220">
        <f>SUM(E167)-SUM(F167)</f>
        <v/>
      </c>
      <c r="I167" s="221">
        <f>IF(A167="Total",VLOOKUP(B167,CORRESPONDANCE[#All],2,FALSE),I168)</f>
        <v/>
      </c>
      <c r="J167" s="350">
        <f>LEFT(A167,1)</f>
        <v/>
      </c>
      <c r="K167" s="347">
        <f>"TIRR"&amp;" - "&amp;A167</f>
        <v/>
      </c>
      <c r="L167" s="347">
        <f>+VLOOKUP(K167,TL[],4,FALSE)</f>
        <v/>
      </c>
    </row>
    <row r="168">
      <c r="A168" s="348" t="inlineStr">
        <is>
          <t>702300</t>
        </is>
      </c>
      <c r="B168" s="348" t="inlineStr">
        <is>
          <t>Produits non alimentaires</t>
        </is>
      </c>
      <c r="C168" s="348" t="inlineStr"/>
      <c r="D168" s="348" t="n">
        <v>5710.64</v>
      </c>
      <c r="E168" s="348" t="inlineStr"/>
      <c r="F168" s="348" t="n">
        <v>5710.64</v>
      </c>
      <c r="G168" s="220">
        <f>SUM(C168)-SUM(D168)</f>
        <v/>
      </c>
      <c r="H168" s="220">
        <f>SUM(E168)-SUM(F168)</f>
        <v/>
      </c>
      <c r="I168" s="221">
        <f>IF(A168="Total",VLOOKUP(B168,CORRESPONDANCE[#All],2,FALSE),I169)</f>
        <v/>
      </c>
      <c r="J168" s="350">
        <f>LEFT(A168,1)</f>
        <v/>
      </c>
      <c r="K168" s="347">
        <f>"TIRR"&amp;" - "&amp;A168</f>
        <v/>
      </c>
      <c r="L168" s="347">
        <f>+VLOOKUP(K168,TL[],4,FALSE)</f>
        <v/>
      </c>
    </row>
    <row r="169">
      <c r="A169" s="348" t="inlineStr">
        <is>
          <t>Total</t>
        </is>
      </c>
      <c r="B169" s="348" t="inlineStr">
        <is>
          <t>Table n°2  -  Ventes non alimentaires</t>
        </is>
      </c>
      <c r="C169" s="348" t="inlineStr"/>
      <c r="D169" s="348" t="n">
        <v>5710.64</v>
      </c>
      <c r="E169" s="348" t="inlineStr"/>
      <c r="F169" s="348" t="n">
        <v>5710.64</v>
      </c>
      <c r="G169" s="220">
        <f>SUM(C169)-SUM(D169)</f>
        <v/>
      </c>
      <c r="H169" s="220">
        <f>SUM(E169)-SUM(F169)</f>
        <v/>
      </c>
      <c r="I169" s="221">
        <f>IF(A169="Total",VLOOKUP(B169,CORRESPONDANCE[#All],2,FALSE),I170)</f>
        <v/>
      </c>
      <c r="J169" s="350">
        <f>LEFT(A169,1)</f>
        <v/>
      </c>
      <c r="K169" s="347">
        <f>"TIRR"&amp;" - "&amp;A169</f>
        <v/>
      </c>
      <c r="L169" s="347">
        <f>+VLOOKUP(K169,TL[],4,FALSE)</f>
        <v/>
      </c>
    </row>
    <row r="170">
      <c r="A170" s="348" t="inlineStr">
        <is>
          <t>602202</t>
        </is>
      </c>
      <c r="B170" s="348" t="inlineStr">
        <is>
          <t>Jouets</t>
        </is>
      </c>
      <c r="C170" s="348" t="n">
        <v>1860.56</v>
      </c>
      <c r="D170" s="348" t="inlineStr"/>
      <c r="E170" s="348" t="n">
        <v>1860.56</v>
      </c>
      <c r="F170" s="348" t="inlineStr"/>
      <c r="G170" s="220">
        <f>SUM(C170)-SUM(D170)</f>
        <v/>
      </c>
      <c r="H170" s="220">
        <f>SUM(E170)-SUM(F170)</f>
        <v/>
      </c>
      <c r="I170" s="221">
        <f>IF(A170="Total",VLOOKUP(B170,CORRESPONDANCE[#All],2,FALSE),I171)</f>
        <v/>
      </c>
      <c r="J170" s="350">
        <f>LEFT(A170,1)</f>
        <v/>
      </c>
      <c r="K170" s="347">
        <f>"TIRR"&amp;" - "&amp;A170</f>
        <v/>
      </c>
      <c r="L170" s="347">
        <f>+VLOOKUP(K170,TL[],4,FALSE)</f>
        <v/>
      </c>
    </row>
    <row r="171">
      <c r="A171" s="348" t="inlineStr">
        <is>
          <t>603210</t>
        </is>
      </c>
      <c r="B171" s="348" t="inlineStr">
        <is>
          <t>Var stocks pdts non alim.</t>
        </is>
      </c>
      <c r="C171" s="348" t="n">
        <v>1607.17</v>
      </c>
      <c r="D171" s="348" t="inlineStr"/>
      <c r="E171" s="348" t="n">
        <v>1607.17</v>
      </c>
      <c r="F171" s="348" t="inlineStr"/>
      <c r="G171" s="220">
        <f>SUM(C171)-SUM(D171)</f>
        <v/>
      </c>
      <c r="H171" s="220">
        <f>SUM(E171)-SUM(F171)</f>
        <v/>
      </c>
      <c r="I171" s="221">
        <f>IF(A171="Total",VLOOKUP(B171,CORRESPONDANCE[#All],2,FALSE),I172)</f>
        <v/>
      </c>
      <c r="J171" s="350">
        <f>LEFT(A171,1)</f>
        <v/>
      </c>
      <c r="K171" s="347">
        <f>"TIRR"&amp;" - "&amp;A171</f>
        <v/>
      </c>
      <c r="L171" s="347">
        <f>+VLOOKUP(K171,TL[],4,FALSE)</f>
        <v/>
      </c>
    </row>
    <row r="172">
      <c r="A172" s="348" t="inlineStr">
        <is>
          <t>628024</t>
        </is>
      </c>
      <c r="B172" s="348" t="inlineStr">
        <is>
          <t>Places de cinéma</t>
        </is>
      </c>
      <c r="C172" s="348" t="n">
        <v>553.42</v>
      </c>
      <c r="D172" s="348" t="inlineStr"/>
      <c r="E172" s="348" t="n">
        <v>553.42</v>
      </c>
      <c r="F172" s="348" t="inlineStr"/>
      <c r="G172" s="220">
        <f>SUM(C172)-SUM(D172)</f>
        <v/>
      </c>
      <c r="H172" s="220">
        <f>SUM(E172)-SUM(F172)</f>
        <v/>
      </c>
      <c r="I172" s="221">
        <f>IF(A172="Total",VLOOKUP(B172,CORRESPONDANCE[#All],2,FALSE),I173)</f>
        <v/>
      </c>
      <c r="J172" s="350">
        <f>LEFT(A172,1)</f>
        <v/>
      </c>
      <c r="K172" s="347">
        <f>"TIRR"&amp;" - "&amp;A172</f>
        <v/>
      </c>
      <c r="L172" s="347">
        <f>+VLOOKUP(K172,TL[],4,FALSE)</f>
        <v/>
      </c>
    </row>
    <row r="173">
      <c r="A173" s="348" t="inlineStr">
        <is>
          <t>628025</t>
        </is>
      </c>
      <c r="B173" s="348" t="inlineStr">
        <is>
          <t>Places happy city</t>
        </is>
      </c>
      <c r="C173" s="348" t="n">
        <v>16.35</v>
      </c>
      <c r="D173" s="348" t="inlineStr"/>
      <c r="E173" s="348" t="n">
        <v>16.35</v>
      </c>
      <c r="F173" s="348" t="inlineStr"/>
      <c r="G173" s="220">
        <f>SUM(C173)-SUM(D173)</f>
        <v/>
      </c>
      <c r="H173" s="220">
        <f>SUM(E173)-SUM(F173)</f>
        <v/>
      </c>
      <c r="I173" s="221">
        <f>IF(A173="Total",VLOOKUP(B173,CORRESPONDANCE[#All],2,FALSE),I174)</f>
        <v/>
      </c>
      <c r="J173" s="350">
        <f>LEFT(A173,1)</f>
        <v/>
      </c>
      <c r="K173" s="347">
        <f>"TIRR"&amp;" - "&amp;A173</f>
        <v/>
      </c>
      <c r="L173" s="347">
        <f>+VLOOKUP(K173,TL[],4,FALSE)</f>
        <v/>
      </c>
    </row>
    <row r="174">
      <c r="A174" s="348" t="inlineStr">
        <is>
          <t>Total</t>
        </is>
      </c>
      <c r="B174" s="348" t="inlineStr">
        <is>
          <t>Table n°2  -  Coût non alimentaire</t>
        </is>
      </c>
      <c r="C174" s="348" t="n">
        <v>4037.5</v>
      </c>
      <c r="D174" s="348" t="inlineStr"/>
      <c r="E174" s="348" t="n">
        <v>4037.5</v>
      </c>
      <c r="F174" s="348" t="inlineStr"/>
      <c r="G174" s="220">
        <f>SUM(C174)-SUM(D174)</f>
        <v/>
      </c>
      <c r="H174" s="220">
        <f>SUM(E174)-SUM(F174)</f>
        <v/>
      </c>
      <c r="I174" s="221">
        <f>IF(A174="Total",VLOOKUP(B174,CORRESPONDANCE[#All],2,FALSE),I175)</f>
        <v/>
      </c>
      <c r="J174" s="350">
        <f>LEFT(A174,1)</f>
        <v/>
      </c>
      <c r="K174" s="347">
        <f>"TIRR"&amp;" - "&amp;A174</f>
        <v/>
      </c>
      <c r="L174" s="347">
        <f>+VLOOKUP(K174,TL[],4,FALSE)</f>
        <v/>
      </c>
    </row>
    <row r="175">
      <c r="A175" s="348" t="inlineStr"/>
      <c r="B175" s="348" t="inlineStr">
        <is>
          <t>Total général</t>
        </is>
      </c>
      <c r="C175" s="348" t="n">
        <v>279438.02</v>
      </c>
      <c r="D175" s="348" t="n">
        <v>277827.72</v>
      </c>
      <c r="E175" s="348" t="n">
        <v>279438.02</v>
      </c>
      <c r="F175" s="348" t="n">
        <v>277827.72</v>
      </c>
      <c r="G175" s="220">
        <f>SUM(C175)-SUM(D175)</f>
        <v/>
      </c>
      <c r="H175" s="220">
        <f>SUM(E175)-SUM(F175)</f>
        <v/>
      </c>
      <c r="I175" s="221">
        <f>IF(A175="Total",VLOOKUP(B175,CORRESPONDANCE[#All],2,FALSE),I176)</f>
        <v/>
      </c>
      <c r="J175" s="350">
        <f>LEFT(A175,1)</f>
        <v/>
      </c>
      <c r="K175" s="347">
        <f>"TIRR"&amp;" - "&amp;A175</f>
        <v/>
      </c>
      <c r="L175" s="347">
        <f>+VLOOKUP(K175,TL[],4,FALSE)</f>
        <v/>
      </c>
    </row>
    <row r="176">
      <c r="G176" s="220">
        <f>SUM(C176)-SUM(D176)</f>
        <v/>
      </c>
      <c r="H176" s="220">
        <f>SUM(E176)-SUM(F176)</f>
        <v/>
      </c>
      <c r="I176" s="221">
        <f>IF(A176="Total",VLOOKUP(B176,CORRESPONDANCE[#All],2,FALSE),I177)</f>
        <v/>
      </c>
      <c r="J176" s="350">
        <f>LEFT(A176,1)</f>
        <v/>
      </c>
      <c r="K176" s="347">
        <f>"TIRR"&amp;" - "&amp;A176</f>
        <v/>
      </c>
      <c r="L176" s="347">
        <f>+VLOOKUP(K176,TL[],4,FALSE)</f>
        <v/>
      </c>
    </row>
    <row r="177">
      <c r="G177" s="220">
        <f>SUM(C177)-SUM(D177)</f>
        <v/>
      </c>
      <c r="H177" s="220">
        <f>SUM(E177)-SUM(F177)</f>
        <v/>
      </c>
      <c r="I177" s="221">
        <f>IF(A177="Total",VLOOKUP(B177,CORRESPONDANCE[#All],2,FALSE),I178)</f>
        <v/>
      </c>
      <c r="J177" s="350">
        <f>LEFT(A177,1)</f>
        <v/>
      </c>
      <c r="K177" s="347">
        <f>"TIRR"&amp;" - "&amp;A177</f>
        <v/>
      </c>
      <c r="L177" s="347">
        <f>+VLOOKUP(K177,TL[],4,FALSE)</f>
        <v/>
      </c>
    </row>
    <row r="178">
      <c r="G178" s="220">
        <f>SUM(C178)-SUM(D178)</f>
        <v/>
      </c>
      <c r="H178" s="220">
        <f>SUM(E178)-SUM(F178)</f>
        <v/>
      </c>
      <c r="I178" s="221">
        <f>IF(A178="Total",VLOOKUP(B178,CORRESPONDANCE[#All],2,FALSE),I179)</f>
        <v/>
      </c>
      <c r="J178" s="350">
        <f>LEFT(A178,1)</f>
        <v/>
      </c>
      <c r="K178" s="347">
        <f>"TIRR"&amp;" - "&amp;A178</f>
        <v/>
      </c>
      <c r="L178" s="347">
        <f>+VLOOKUP(K178,TL[],4,FALSE)</f>
        <v/>
      </c>
    </row>
    <row r="179">
      <c r="G179" s="220">
        <f>SUM(C179)-SUM(D179)</f>
        <v/>
      </c>
      <c r="H179" s="220">
        <f>SUM(E179)-SUM(F179)</f>
        <v/>
      </c>
      <c r="I179" s="221">
        <f>IF(A179="Total",VLOOKUP(B179,CORRESPONDANCE[#All],2,FALSE),I180)</f>
        <v/>
      </c>
      <c r="J179" s="350">
        <f>LEFT(A179,1)</f>
        <v/>
      </c>
      <c r="K179" s="347">
        <f>"TIRR"&amp;" - "&amp;A179</f>
        <v/>
      </c>
      <c r="L179" s="347">
        <f>+VLOOKUP(K179,TL[],4,FALSE)</f>
        <v/>
      </c>
    </row>
    <row r="180">
      <c r="G180" s="220">
        <f>SUM(C180)-SUM(D180)</f>
        <v/>
      </c>
      <c r="H180" s="220">
        <f>SUM(E180)-SUM(F180)</f>
        <v/>
      </c>
      <c r="I180" s="221">
        <f>IF(A180="Total",VLOOKUP(B180,CORRESPONDANCE[#All],2,FALSE),I181)</f>
        <v/>
      </c>
      <c r="J180" s="350">
        <f>LEFT(A180,1)</f>
        <v/>
      </c>
      <c r="K180" s="347">
        <f>"TIRR"&amp;" - "&amp;A180</f>
        <v/>
      </c>
      <c r="L180" s="347">
        <f>+VLOOKUP(K180,TL[],4,FALSE)</f>
        <v/>
      </c>
    </row>
    <row r="181">
      <c r="G181" s="220">
        <f>SUM(C181)-SUM(D181)</f>
        <v/>
      </c>
      <c r="H181" s="220">
        <f>SUM(E181)-SUM(F181)</f>
        <v/>
      </c>
      <c r="I181" s="221">
        <f>IF(A181="Total",VLOOKUP(B181,CORRESPONDANCE[#All],2,FALSE),I182)</f>
        <v/>
      </c>
      <c r="J181" s="350">
        <f>LEFT(A181,1)</f>
        <v/>
      </c>
      <c r="K181" s="347">
        <f>"TIRR"&amp;" - "&amp;A181</f>
        <v/>
      </c>
      <c r="L181" s="347">
        <f>+VLOOKUP(K181,TL[],4,FALSE)</f>
        <v/>
      </c>
    </row>
    <row r="182">
      <c r="G182" s="220">
        <f>SUM(C182)-SUM(D182)</f>
        <v/>
      </c>
      <c r="H182" s="220">
        <f>SUM(E182)-SUM(F182)</f>
        <v/>
      </c>
      <c r="I182" s="221">
        <f>IF(A182="Total",VLOOKUP(B182,CORRESPONDANCE[#All],2,FALSE),I183)</f>
        <v/>
      </c>
      <c r="J182" s="350">
        <f>LEFT(A182,1)</f>
        <v/>
      </c>
      <c r="K182" s="347">
        <f>"TIRR"&amp;" - "&amp;A182</f>
        <v/>
      </c>
      <c r="L182" s="347">
        <f>+VLOOKUP(K182,TL[],4,FALSE)</f>
        <v/>
      </c>
    </row>
    <row r="183">
      <c r="G183" s="220">
        <f>SUM(C183)-SUM(D183)</f>
        <v/>
      </c>
      <c r="H183" s="220">
        <f>SUM(E183)-SUM(F183)</f>
        <v/>
      </c>
      <c r="I183" s="221">
        <f>IF(A183="Total",VLOOKUP(B183,CORRESPONDANCE[#All],2,FALSE),I184)</f>
        <v/>
      </c>
      <c r="J183" s="350">
        <f>LEFT(A183,1)</f>
        <v/>
      </c>
      <c r="K183" s="347">
        <f>"TIRR"&amp;" - "&amp;A183</f>
        <v/>
      </c>
      <c r="L183" s="347">
        <f>+VLOOKUP(K183,TL[],4,FALSE)</f>
        <v/>
      </c>
    </row>
    <row r="184">
      <c r="G184" s="220">
        <f>SUM(C184)-SUM(D184)</f>
        <v/>
      </c>
      <c r="H184" s="220">
        <f>SUM(E184)-SUM(F184)</f>
        <v/>
      </c>
      <c r="I184" s="221">
        <f>IF(A184="Total",VLOOKUP(B184,CORRESPONDANCE[#All],2,FALSE),I185)</f>
        <v/>
      </c>
      <c r="J184" s="350">
        <f>LEFT(A184,1)</f>
        <v/>
      </c>
      <c r="K184" s="347">
        <f>"TIRR"&amp;" - "&amp;A184</f>
        <v/>
      </c>
      <c r="L184" s="347">
        <f>+VLOOKUP(K184,TL[],4,FALSE)</f>
        <v/>
      </c>
    </row>
    <row r="185">
      <c r="G185" s="220">
        <f>SUM(C185)-SUM(D185)</f>
        <v/>
      </c>
      <c r="H185" s="220">
        <f>SUM(E185)-SUM(F185)</f>
        <v/>
      </c>
      <c r="I185" s="221">
        <f>IF(A185="Total",VLOOKUP(B185,CORRESPONDANCE[#All],2,FALSE),I186)</f>
        <v/>
      </c>
      <c r="J185" s="350">
        <f>LEFT(A185,1)</f>
        <v/>
      </c>
      <c r="K185" s="347">
        <f>"TIRR"&amp;" - "&amp;A185</f>
        <v/>
      </c>
      <c r="L185" s="347">
        <f>+VLOOKUP(K185,TL[],4,FALSE)</f>
        <v/>
      </c>
    </row>
    <row r="186">
      <c r="G186" s="220">
        <f>SUM(C186)-SUM(D186)</f>
        <v/>
      </c>
      <c r="H186" s="220">
        <f>SUM(E186)-SUM(F186)</f>
        <v/>
      </c>
      <c r="I186" s="221">
        <f>IF(A186="Total",VLOOKUP(B186,CORRESPONDANCE[#All],2,FALSE),I187)</f>
        <v/>
      </c>
      <c r="J186" s="350">
        <f>LEFT(A186,1)</f>
        <v/>
      </c>
      <c r="K186" s="347">
        <f>"TIRR"&amp;" - "&amp;A186</f>
        <v/>
      </c>
      <c r="L186" s="347">
        <f>+VLOOKUP(K186,TL[],4,FALSE)</f>
        <v/>
      </c>
    </row>
    <row r="187">
      <c r="G187" s="220">
        <f>SUM(C187)-SUM(D187)</f>
        <v/>
      </c>
      <c r="H187" s="220">
        <f>SUM(E187)-SUM(F187)</f>
        <v/>
      </c>
      <c r="I187" s="221">
        <f>IF(A187="Total",VLOOKUP(B187,CORRESPONDANCE[#All],2,FALSE),I188)</f>
        <v/>
      </c>
      <c r="J187" s="350">
        <f>LEFT(A187,1)</f>
        <v/>
      </c>
      <c r="K187" s="347">
        <f>"TIRR"&amp;" - "&amp;A187</f>
        <v/>
      </c>
      <c r="L187" s="347">
        <f>+VLOOKUP(K187,TL[],4,FALSE)</f>
        <v/>
      </c>
    </row>
    <row r="188">
      <c r="G188" s="220">
        <f>SUM(C188)-SUM(D188)</f>
        <v/>
      </c>
      <c r="H188" s="220">
        <f>SUM(E188)-SUM(F188)</f>
        <v/>
      </c>
      <c r="I188" s="221">
        <f>IF(A188="Total",VLOOKUP(B188,CORRESPONDANCE[#All],2,FALSE),I189)</f>
        <v/>
      </c>
      <c r="J188" s="350">
        <f>LEFT(A188,1)</f>
        <v/>
      </c>
      <c r="K188" s="347">
        <f>"TIRR"&amp;" - "&amp;A188</f>
        <v/>
      </c>
      <c r="L188" s="347">
        <f>+VLOOKUP(K188,TL[],4,FALSE)</f>
        <v/>
      </c>
    </row>
    <row r="189">
      <c r="G189" s="220">
        <f>SUM(C189)-SUM(D189)</f>
        <v/>
      </c>
      <c r="H189" s="220">
        <f>SUM(E189)-SUM(F189)</f>
        <v/>
      </c>
      <c r="I189" s="221">
        <f>IF(A189="Total",VLOOKUP(B189,CORRESPONDANCE[#All],2,FALSE),I190)</f>
        <v/>
      </c>
      <c r="J189" s="350">
        <f>LEFT(A189,1)</f>
        <v/>
      </c>
      <c r="K189" s="347">
        <f>"TIRR"&amp;" - "&amp;A189</f>
        <v/>
      </c>
      <c r="L189" s="347">
        <f>+VLOOKUP(K189,TL[],4,FALSE)</f>
        <v/>
      </c>
    </row>
    <row r="190">
      <c r="G190" s="220">
        <f>SUM(C190)-SUM(D190)</f>
        <v/>
      </c>
      <c r="H190" s="220">
        <f>SUM(E190)-SUM(F190)</f>
        <v/>
      </c>
      <c r="I190" s="221">
        <f>IF(A190="Total",VLOOKUP(B190,CORRESPONDANCE[#All],2,FALSE),I191)</f>
        <v/>
      </c>
      <c r="J190" s="350">
        <f>LEFT(A190,1)</f>
        <v/>
      </c>
      <c r="K190" s="347">
        <f>"TIRR"&amp;" - "&amp;A190</f>
        <v/>
      </c>
      <c r="L190" s="347">
        <f>+VLOOKUP(K190,TL[],4,FALSE)</f>
        <v/>
      </c>
    </row>
    <row r="191">
      <c r="G191" s="220">
        <f>SUM(C191)-SUM(D191)</f>
        <v/>
      </c>
      <c r="H191" s="220">
        <f>SUM(E191)-SUM(F191)</f>
        <v/>
      </c>
      <c r="I191" s="221">
        <f>IF(A191="Total",VLOOKUP(B191,CORRESPONDANCE[#All],2,FALSE),I192)</f>
        <v/>
      </c>
      <c r="J191" s="350">
        <f>LEFT(A191,1)</f>
        <v/>
      </c>
      <c r="K191" s="347">
        <f>"TIRR"&amp;" - "&amp;A191</f>
        <v/>
      </c>
      <c r="L191" s="347">
        <f>+VLOOKUP(K191,TL[],4,FALSE)</f>
        <v/>
      </c>
    </row>
    <row r="192">
      <c r="G192" s="220">
        <f>SUM(C192)-SUM(D192)</f>
        <v/>
      </c>
      <c r="H192" s="220">
        <f>SUM(E192)-SUM(F192)</f>
        <v/>
      </c>
      <c r="I192" s="221">
        <f>IF(A192="Total",VLOOKUP(B192,CORRESPONDANCE[#All],2,FALSE),I193)</f>
        <v/>
      </c>
      <c r="J192" s="350">
        <f>LEFT(A192,1)</f>
        <v/>
      </c>
      <c r="K192" s="347">
        <f>"TIRR"&amp;" - "&amp;A192</f>
        <v/>
      </c>
      <c r="L192" s="347">
        <f>+VLOOKUP(K192,TL[],4,FALSE)</f>
        <v/>
      </c>
    </row>
    <row r="193">
      <c r="G193" s="220">
        <f>SUM(C193)-SUM(D193)</f>
        <v/>
      </c>
      <c r="H193" s="220">
        <f>SUM(E193)-SUM(F193)</f>
        <v/>
      </c>
      <c r="I193" s="221">
        <f>IF(A193="Total",VLOOKUP(B193,CORRESPONDANCE[#All],2,FALSE),I194)</f>
        <v/>
      </c>
      <c r="J193" s="350">
        <f>LEFT(A193,1)</f>
        <v/>
      </c>
      <c r="K193" s="347">
        <f>"TIRR"&amp;" - "&amp;A193</f>
        <v/>
      </c>
      <c r="L193" s="347">
        <f>+VLOOKUP(K193,TL[],4,FALSE)</f>
        <v/>
      </c>
    </row>
    <row r="194">
      <c r="G194" s="220">
        <f>SUM(C194)-SUM(D194)</f>
        <v/>
      </c>
      <c r="H194" s="220">
        <f>SUM(E194)-SUM(F194)</f>
        <v/>
      </c>
      <c r="I194" s="221">
        <f>IF(A194="Total",VLOOKUP(B194,CORRESPONDANCE[#All],2,FALSE),I195)</f>
        <v/>
      </c>
      <c r="J194" s="350">
        <f>LEFT(A194,1)</f>
        <v/>
      </c>
      <c r="K194" s="347">
        <f>"TIRR"&amp;" - "&amp;A194</f>
        <v/>
      </c>
      <c r="L194" s="347">
        <f>+VLOOKUP(K194,TL[],4,FALSE)</f>
        <v/>
      </c>
    </row>
    <row r="195">
      <c r="G195" s="220">
        <f>SUM(C195)-SUM(D195)</f>
        <v/>
      </c>
      <c r="H195" s="220">
        <f>SUM(E195)-SUM(F195)</f>
        <v/>
      </c>
      <c r="I195" s="221">
        <f>IF(A195="Total",VLOOKUP(B195,CORRESPONDANCE[#All],2,FALSE),I196)</f>
        <v/>
      </c>
      <c r="J195" s="350">
        <f>LEFT(A195,1)</f>
        <v/>
      </c>
      <c r="K195" s="347">
        <f>"TIRR"&amp;" - "&amp;A195</f>
        <v/>
      </c>
      <c r="L195" s="347">
        <f>+VLOOKUP(K195,TL[],4,FALSE)</f>
        <v/>
      </c>
    </row>
    <row r="196">
      <c r="G196" s="220">
        <f>SUM(C196)-SUM(D196)</f>
        <v/>
      </c>
      <c r="H196" s="220">
        <f>SUM(E196)-SUM(F196)</f>
        <v/>
      </c>
      <c r="I196" s="221">
        <f>IF(A196="Total",VLOOKUP(B196,CORRESPONDANCE[#All],2,FALSE),I197)</f>
        <v/>
      </c>
      <c r="J196" s="350">
        <f>LEFT(A196,1)</f>
        <v/>
      </c>
      <c r="K196" s="347">
        <f>"TIRR"&amp;" - "&amp;A196</f>
        <v/>
      </c>
      <c r="L196" s="347">
        <f>+VLOOKUP(K196,TL[],4,FALSE)</f>
        <v/>
      </c>
    </row>
    <row r="197">
      <c r="G197" s="220">
        <f>SUM(C197)-SUM(D197)</f>
        <v/>
      </c>
      <c r="H197" s="220">
        <f>SUM(E197)-SUM(F197)</f>
        <v/>
      </c>
      <c r="I197" s="221">
        <f>IF(A197="Total",VLOOKUP(B197,CORRESPONDANCE[#All],2,FALSE),I198)</f>
        <v/>
      </c>
      <c r="J197" s="350">
        <f>LEFT(A197,1)</f>
        <v/>
      </c>
      <c r="K197" s="347">
        <f>"TIRR"&amp;" - "&amp;A197</f>
        <v/>
      </c>
      <c r="L197" s="347">
        <f>+VLOOKUP(K197,TL[],4,FALSE)</f>
        <v/>
      </c>
    </row>
    <row r="198">
      <c r="G198" s="220">
        <f>SUM(C198)-SUM(D198)</f>
        <v/>
      </c>
      <c r="H198" s="220">
        <f>SUM(E198)-SUM(F198)</f>
        <v/>
      </c>
      <c r="I198" s="221">
        <f>IF(A198="Total",VLOOKUP(B198,CORRESPONDANCE[#All],2,FALSE),I199)</f>
        <v/>
      </c>
      <c r="J198" s="350">
        <f>LEFT(A198,1)</f>
        <v/>
      </c>
      <c r="K198" s="347">
        <f>"TIRR"&amp;" - "&amp;A198</f>
        <v/>
      </c>
      <c r="L198" s="347">
        <f>+VLOOKUP(K198,TL[],4,FALSE)</f>
        <v/>
      </c>
    </row>
    <row r="199">
      <c r="G199" s="220">
        <f>SUM(C199)-SUM(D199)</f>
        <v/>
      </c>
      <c r="H199" s="220">
        <f>SUM(E199)-SUM(F199)</f>
        <v/>
      </c>
      <c r="I199" s="221">
        <f>IF(A199="Total",VLOOKUP(B199,CORRESPONDANCE[#All],2,FALSE),I200)</f>
        <v/>
      </c>
      <c r="J199" s="350">
        <f>LEFT(A199,1)</f>
        <v/>
      </c>
      <c r="K199" s="347">
        <f>"TIRR"&amp;" - "&amp;A199</f>
        <v/>
      </c>
      <c r="L199" s="347">
        <f>+VLOOKUP(K199,TL[],4,FALSE)</f>
        <v/>
      </c>
    </row>
    <row r="200">
      <c r="G200" s="220">
        <f>SUM(C200)-SUM(D200)</f>
        <v/>
      </c>
      <c r="H200" s="220">
        <f>SUM(E200)-SUM(F200)</f>
        <v/>
      </c>
      <c r="I200" s="221">
        <f>IF(A200="Total",VLOOKUP(B200,CORRESPONDANCE[#All],2,FALSE),I201)</f>
        <v/>
      </c>
      <c r="J200" s="350">
        <f>LEFT(A200,1)</f>
        <v/>
      </c>
      <c r="K200" s="347">
        <f>"TIRR"&amp;" - "&amp;A200</f>
        <v/>
      </c>
      <c r="L200" s="347">
        <f>+VLOOKUP(K200,TL[],4,FALSE)</f>
        <v/>
      </c>
    </row>
    <row r="201">
      <c r="G201" s="220">
        <f>SUM(C201)-SUM(D201)</f>
        <v/>
      </c>
      <c r="H201" s="220">
        <f>SUM(E201)-SUM(F201)</f>
        <v/>
      </c>
      <c r="I201" s="221">
        <f>IF(A201="Total",VLOOKUP(B201,CORRESPONDANCE[#All],2,FALSE),I202)</f>
        <v/>
      </c>
      <c r="J201" s="350">
        <f>LEFT(A201,1)</f>
        <v/>
      </c>
      <c r="K201" s="347">
        <f>"TIRR"&amp;" - "&amp;A201</f>
        <v/>
      </c>
      <c r="L201" s="347">
        <f>+VLOOKUP(K201,TL[],4,FALSE)</f>
        <v/>
      </c>
    </row>
    <row r="202">
      <c r="G202" s="220">
        <f>SUM(C202)-SUM(D202)</f>
        <v/>
      </c>
      <c r="H202" s="220">
        <f>SUM(E202)-SUM(F202)</f>
        <v/>
      </c>
      <c r="I202" s="221">
        <f>IF(A202="Total",VLOOKUP(B202,CORRESPONDANCE[#All],2,FALSE),I203)</f>
        <v/>
      </c>
      <c r="J202" s="350">
        <f>LEFT(A202,1)</f>
        <v/>
      </c>
      <c r="K202" s="347">
        <f>"TIRR"&amp;" - "&amp;A202</f>
        <v/>
      </c>
      <c r="L202" s="347">
        <f>+VLOOKUP(K202,TL[],4,FALSE)</f>
        <v/>
      </c>
    </row>
    <row r="203">
      <c r="G203" s="220">
        <f>SUM(C203)-SUM(D203)</f>
        <v/>
      </c>
      <c r="H203" s="220">
        <f>SUM(E203)-SUM(F203)</f>
        <v/>
      </c>
      <c r="I203" s="221">
        <f>IF(A203="Total",VLOOKUP(B203,CORRESPONDANCE[#All],2,FALSE),I204)</f>
        <v/>
      </c>
      <c r="J203" s="350">
        <f>LEFT(A203,1)</f>
        <v/>
      </c>
      <c r="K203" s="347">
        <f>"TIRR"&amp;" - "&amp;A203</f>
        <v/>
      </c>
      <c r="L203" s="347">
        <f>+VLOOKUP(K203,TL[],4,FALSE)</f>
        <v/>
      </c>
    </row>
    <row r="204">
      <c r="G204" s="220">
        <f>SUM(C204)-SUM(D204)</f>
        <v/>
      </c>
      <c r="H204" s="220">
        <f>SUM(E204)-SUM(F204)</f>
        <v/>
      </c>
      <c r="I204" s="221">
        <f>IF(A204="Total",VLOOKUP(B204,CORRESPONDANCE[#All],2,FALSE),I205)</f>
        <v/>
      </c>
      <c r="J204" s="350">
        <f>LEFT(A204,1)</f>
        <v/>
      </c>
      <c r="K204" s="347">
        <f>"TIRR"&amp;" - "&amp;A204</f>
        <v/>
      </c>
      <c r="L204" s="347">
        <f>+VLOOKUP(K204,TL[],4,FALSE)</f>
        <v/>
      </c>
    </row>
    <row r="205">
      <c r="G205" s="220">
        <f>SUM(C205)-SUM(D205)</f>
        <v/>
      </c>
      <c r="H205" s="220">
        <f>SUM(E205)-SUM(F205)</f>
        <v/>
      </c>
      <c r="I205" s="221">
        <f>IF(A205="Total",VLOOKUP(B205,CORRESPONDANCE[#All],2,FALSE),I206)</f>
        <v/>
      </c>
      <c r="J205" s="350">
        <f>LEFT(A205,1)</f>
        <v/>
      </c>
      <c r="K205" s="347">
        <f>"TIRR"&amp;" - "&amp;A205</f>
        <v/>
      </c>
      <c r="L205" s="347">
        <f>+VLOOKUP(K205,TL[],4,FALSE)</f>
        <v/>
      </c>
    </row>
    <row r="206">
      <c r="G206" s="220">
        <f>SUM(C206)-SUM(D206)</f>
        <v/>
      </c>
      <c r="H206" s="220">
        <f>SUM(E206)-SUM(F206)</f>
        <v/>
      </c>
      <c r="I206" s="221">
        <f>IF(A206="Total",VLOOKUP(B206,CORRESPONDANCE[#All],2,FALSE),I207)</f>
        <v/>
      </c>
      <c r="J206" s="350">
        <f>LEFT(A206,1)</f>
        <v/>
      </c>
      <c r="K206" s="347">
        <f>"TIRR"&amp;" - "&amp;A206</f>
        <v/>
      </c>
      <c r="L206" s="347">
        <f>+VLOOKUP(K206,TL[],4,FALSE)</f>
        <v/>
      </c>
    </row>
    <row r="207">
      <c r="G207" s="220">
        <f>SUM(C207)-SUM(D207)</f>
        <v/>
      </c>
      <c r="H207" s="220">
        <f>SUM(E207)-SUM(F207)</f>
        <v/>
      </c>
      <c r="I207" s="221">
        <f>IF(A207="Total",VLOOKUP(B207,CORRESPONDANCE[#All],2,FALSE),I208)</f>
        <v/>
      </c>
      <c r="J207" s="350">
        <f>LEFT(A207,1)</f>
        <v/>
      </c>
      <c r="K207" s="347">
        <f>"TIRR"&amp;" - "&amp;A207</f>
        <v/>
      </c>
      <c r="L207" s="347">
        <f>+VLOOKUP(K207,TL[],4,FALSE)</f>
        <v/>
      </c>
    </row>
    <row r="208">
      <c r="G208" s="220">
        <f>SUM(C208)-SUM(D208)</f>
        <v/>
      </c>
      <c r="H208" s="220">
        <f>SUM(E208)-SUM(F208)</f>
        <v/>
      </c>
      <c r="I208" s="221">
        <f>IF(A208="Total",VLOOKUP(B208,CORRESPONDANCE[#All],2,FALSE),I209)</f>
        <v/>
      </c>
      <c r="J208" s="350">
        <f>LEFT(A208,1)</f>
        <v/>
      </c>
      <c r="K208" s="347">
        <f>"TIRR"&amp;" - "&amp;A208</f>
        <v/>
      </c>
      <c r="L208" s="347">
        <f>+VLOOKUP(K208,TL[],4,FALSE)</f>
        <v/>
      </c>
    </row>
    <row r="209">
      <c r="G209" s="220">
        <f>SUM(C209)-SUM(D209)</f>
        <v/>
      </c>
      <c r="H209" s="220">
        <f>SUM(E209)-SUM(F209)</f>
        <v/>
      </c>
      <c r="I209" s="221">
        <f>IF(A209="Total",VLOOKUP(B209,CORRESPONDANCE[#All],2,FALSE),I210)</f>
        <v/>
      </c>
      <c r="J209" s="350">
        <f>LEFT(A209,1)</f>
        <v/>
      </c>
      <c r="K209" s="347">
        <f>"TIRR"&amp;" - "&amp;A209</f>
        <v/>
      </c>
      <c r="L209" s="347">
        <f>+VLOOKUP(K209,TL[],4,FALSE)</f>
        <v/>
      </c>
    </row>
    <row r="210">
      <c r="G210" s="220">
        <f>SUM(C210)-SUM(D210)</f>
        <v/>
      </c>
      <c r="H210" s="220">
        <f>SUM(E210)-SUM(F210)</f>
        <v/>
      </c>
      <c r="I210" s="221">
        <f>IF(A210="Total",VLOOKUP(B210,CORRESPONDANCE[#All],2,FALSE),I211)</f>
        <v/>
      </c>
      <c r="J210" s="350">
        <f>LEFT(A210,1)</f>
        <v/>
      </c>
      <c r="K210" s="347">
        <f>"TIRR"&amp;" - "&amp;A210</f>
        <v/>
      </c>
      <c r="L210" s="347">
        <f>+VLOOKUP(K210,TL[],4,FALSE)</f>
        <v/>
      </c>
    </row>
    <row r="211">
      <c r="G211" s="220">
        <f>SUM(C211)-SUM(D211)</f>
        <v/>
      </c>
      <c r="H211" s="220">
        <f>SUM(E211)-SUM(F211)</f>
        <v/>
      </c>
      <c r="I211" s="221">
        <f>IF(A211="Total",VLOOKUP(B211,CORRESPONDANCE[#All],2,FALSE),I212)</f>
        <v/>
      </c>
      <c r="J211" s="350">
        <f>LEFT(A211,1)</f>
        <v/>
      </c>
      <c r="K211" s="347">
        <f>"TIRR"&amp;" - "&amp;A211</f>
        <v/>
      </c>
      <c r="L211" s="347">
        <f>+VLOOKUP(K211,TL[],4,FALSE)</f>
        <v/>
      </c>
    </row>
    <row r="212">
      <c r="G212" s="220">
        <f>SUM(C212)-SUM(D212)</f>
        <v/>
      </c>
      <c r="H212" s="220">
        <f>SUM(E212)-SUM(F212)</f>
        <v/>
      </c>
      <c r="I212" s="221">
        <f>IF(A212="Total",VLOOKUP(B212,CORRESPONDANCE[#All],2,FALSE),I213)</f>
        <v/>
      </c>
      <c r="J212" s="350">
        <f>LEFT(A212,1)</f>
        <v/>
      </c>
      <c r="K212" s="347">
        <f>"TIRR"&amp;" - "&amp;A212</f>
        <v/>
      </c>
      <c r="L212" s="347">
        <f>+VLOOKUP(K212,TL[],4,FALSE)</f>
        <v/>
      </c>
    </row>
    <row r="213">
      <c r="G213" s="220">
        <f>SUM(C213)-SUM(D213)</f>
        <v/>
      </c>
      <c r="H213" s="220">
        <f>SUM(E213)-SUM(F213)</f>
        <v/>
      </c>
      <c r="I213" s="221">
        <f>IF(A213="Total",VLOOKUP(B213,CORRESPONDANCE[#All],2,FALSE),I214)</f>
        <v/>
      </c>
      <c r="J213" s="350">
        <f>LEFT(A213,1)</f>
        <v/>
      </c>
      <c r="K213" s="347">
        <f>"TIRR"&amp;" - "&amp;A213</f>
        <v/>
      </c>
      <c r="L213" s="347">
        <f>+VLOOKUP(K213,TL[],4,FALSE)</f>
        <v/>
      </c>
    </row>
    <row r="214">
      <c r="G214" s="220">
        <f>SUM(C214)-SUM(D214)</f>
        <v/>
      </c>
      <c r="H214" s="220">
        <f>SUM(E214)-SUM(F214)</f>
        <v/>
      </c>
      <c r="I214" s="221">
        <f>IF(A214="Total",VLOOKUP(B214,CORRESPONDANCE[#All],2,FALSE),I215)</f>
        <v/>
      </c>
      <c r="J214" s="350">
        <f>LEFT(A214,1)</f>
        <v/>
      </c>
      <c r="K214" s="347">
        <f>"TIRR"&amp;" - "&amp;A214</f>
        <v/>
      </c>
      <c r="L214" s="347">
        <f>+VLOOKUP(K214,TL[],4,FALSE)</f>
        <v/>
      </c>
    </row>
    <row r="215">
      <c r="G215" s="220">
        <f>SUM(C215)-SUM(D215)</f>
        <v/>
      </c>
      <c r="H215" s="220">
        <f>SUM(E215)-SUM(F215)</f>
        <v/>
      </c>
      <c r="I215" s="221">
        <f>IF(A215="Total",VLOOKUP(B215,CORRESPONDANCE[#All],2,FALSE),I216)</f>
        <v/>
      </c>
      <c r="J215" s="350">
        <f>LEFT(A215,1)</f>
        <v/>
      </c>
      <c r="K215" s="347">
        <f>"TIRR"&amp;" - "&amp;A215</f>
        <v/>
      </c>
      <c r="L215" s="347">
        <f>+VLOOKUP(K215,TL[],4,FALSE)</f>
        <v/>
      </c>
    </row>
    <row r="216">
      <c r="G216" s="220">
        <f>SUM(C216)-SUM(D216)</f>
        <v/>
      </c>
      <c r="H216" s="220">
        <f>SUM(E216)-SUM(F216)</f>
        <v/>
      </c>
      <c r="I216" s="221">
        <f>IF(A216="Total",VLOOKUP(B216,CORRESPONDANCE[#All],2,FALSE),I217)</f>
        <v/>
      </c>
      <c r="J216" s="350">
        <f>LEFT(A216,1)</f>
        <v/>
      </c>
      <c r="K216" s="347">
        <f>"TIRR"&amp;" - "&amp;A216</f>
        <v/>
      </c>
      <c r="L216" s="347">
        <f>+VLOOKUP(K216,TL[],4,FALSE)</f>
        <v/>
      </c>
    </row>
    <row r="217">
      <c r="G217" s="220">
        <f>SUM(C217)-SUM(D217)</f>
        <v/>
      </c>
      <c r="H217" s="220">
        <f>SUM(E217)-SUM(F217)</f>
        <v/>
      </c>
      <c r="I217" s="221">
        <f>IF(A217="Total",VLOOKUP(B217,CORRESPONDANCE[#All],2,FALSE),I218)</f>
        <v/>
      </c>
      <c r="J217" s="350">
        <f>LEFT(A217,1)</f>
        <v/>
      </c>
      <c r="K217" s="347">
        <f>"TIRR"&amp;" - "&amp;A217</f>
        <v/>
      </c>
      <c r="L217" s="347">
        <f>+VLOOKUP(K217,TL[],4,FALSE)</f>
        <v/>
      </c>
    </row>
    <row r="218">
      <c r="G218" s="220">
        <f>SUM(C218)-SUM(D218)</f>
        <v/>
      </c>
      <c r="H218" s="220">
        <f>SUM(E218)-SUM(F218)</f>
        <v/>
      </c>
      <c r="I218" s="221">
        <f>IF(A218="Total",VLOOKUP(B218,CORRESPONDANCE[#All],2,FALSE),I219)</f>
        <v/>
      </c>
      <c r="J218" s="350">
        <f>LEFT(A218,1)</f>
        <v/>
      </c>
      <c r="K218" s="347">
        <f>"TIRR"&amp;" - "&amp;A218</f>
        <v/>
      </c>
      <c r="L218" s="347">
        <f>+VLOOKUP(K218,TL[],4,FALSE)</f>
        <v/>
      </c>
    </row>
    <row r="219">
      <c r="G219" s="220">
        <f>SUM(C219)-SUM(D219)</f>
        <v/>
      </c>
      <c r="H219" s="220">
        <f>SUM(E219)-SUM(F219)</f>
        <v/>
      </c>
      <c r="I219" s="221">
        <f>IF(A219="Total",VLOOKUP(B219,CORRESPONDANCE[#All],2,FALSE),I220)</f>
        <v/>
      </c>
      <c r="J219" s="350">
        <f>LEFT(A219,1)</f>
        <v/>
      </c>
      <c r="K219" s="347">
        <f>"TIRR"&amp;" - "&amp;A219</f>
        <v/>
      </c>
      <c r="L219" s="347">
        <f>+VLOOKUP(K219,TL[],4,FALSE)</f>
        <v/>
      </c>
    </row>
    <row r="220">
      <c r="G220" s="220">
        <f>SUM(C220)-SUM(D220)</f>
        <v/>
      </c>
      <c r="H220" s="220">
        <f>SUM(E220)-SUM(F220)</f>
        <v/>
      </c>
      <c r="I220" s="221">
        <f>IF(A220="Total",VLOOKUP(B220,CORRESPONDANCE[#All],2,FALSE),I221)</f>
        <v/>
      </c>
      <c r="J220" s="350">
        <f>LEFT(A220,1)</f>
        <v/>
      </c>
      <c r="K220" s="347">
        <f>"TIRR"&amp;" - "&amp;A220</f>
        <v/>
      </c>
      <c r="L220" s="347">
        <f>+VLOOKUP(K220,TL[],4,FALSE)</f>
        <v/>
      </c>
    </row>
    <row r="221">
      <c r="G221" s="220">
        <f>SUM(C221)-SUM(D221)</f>
        <v/>
      </c>
      <c r="H221" s="220">
        <f>SUM(E221)-SUM(F221)</f>
        <v/>
      </c>
      <c r="I221" s="221">
        <f>IF(A221="Total",VLOOKUP(B221,CORRESPONDANCE[#All],2,FALSE),I222)</f>
        <v/>
      </c>
      <c r="J221" s="350">
        <f>LEFT(A221,1)</f>
        <v/>
      </c>
      <c r="K221" s="347">
        <f>"TIRR"&amp;" - "&amp;A221</f>
        <v/>
      </c>
      <c r="L221" s="347">
        <f>+VLOOKUP(K221,TL[],4,FALSE)</f>
        <v/>
      </c>
    </row>
    <row r="222">
      <c r="G222" s="220">
        <f>SUM(C222)-SUM(D222)</f>
        <v/>
      </c>
      <c r="H222" s="220">
        <f>SUM(E222)-SUM(F222)</f>
        <v/>
      </c>
      <c r="I222" s="221">
        <f>IF(A222="Total",VLOOKUP(B222,CORRESPONDANCE[#All],2,FALSE),I223)</f>
        <v/>
      </c>
      <c r="J222" s="350">
        <f>LEFT(A222,1)</f>
        <v/>
      </c>
      <c r="K222" s="347">
        <f>"TIRR"&amp;" - "&amp;A222</f>
        <v/>
      </c>
      <c r="L222" s="347">
        <f>+VLOOKUP(K222,TL[],4,FALSE)</f>
        <v/>
      </c>
    </row>
    <row r="223">
      <c r="G223" s="220">
        <f>SUM(C223)-SUM(D223)</f>
        <v/>
      </c>
      <c r="H223" s="220">
        <f>SUM(E223)-SUM(F223)</f>
        <v/>
      </c>
      <c r="I223" s="221">
        <f>IF(A223="Total",VLOOKUP(B223,CORRESPONDANCE[#All],2,FALSE),I224)</f>
        <v/>
      </c>
      <c r="J223" s="350">
        <f>LEFT(A223,1)</f>
        <v/>
      </c>
      <c r="K223" s="347">
        <f>"TIRR"&amp;" - "&amp;A223</f>
        <v/>
      </c>
      <c r="L223" s="347">
        <f>+VLOOKUP(K223,TL[],4,FALSE)</f>
        <v/>
      </c>
    </row>
    <row r="224">
      <c r="G224" s="220">
        <f>SUM(C224)-SUM(D224)</f>
        <v/>
      </c>
      <c r="H224" s="220">
        <f>SUM(E224)-SUM(F224)</f>
        <v/>
      </c>
      <c r="I224" s="221">
        <f>IF(A224="Total",VLOOKUP(B224,CORRESPONDANCE[#All],2,FALSE),I225)</f>
        <v/>
      </c>
      <c r="J224" s="350">
        <f>LEFT(A224,1)</f>
        <v/>
      </c>
      <c r="K224" s="347">
        <f>"TIRR"&amp;" - "&amp;A224</f>
        <v/>
      </c>
      <c r="L224" s="347">
        <f>+VLOOKUP(K224,TL[],4,FALSE)</f>
        <v/>
      </c>
    </row>
    <row r="225">
      <c r="G225" s="220">
        <f>SUM(C225)-SUM(D225)</f>
        <v/>
      </c>
      <c r="H225" s="220">
        <f>SUM(E225)-SUM(F225)</f>
        <v/>
      </c>
      <c r="I225" s="221">
        <f>IF(A225="Total",VLOOKUP(B225,CORRESPONDANCE[#All],2,FALSE),I226)</f>
        <v/>
      </c>
      <c r="J225" s="350">
        <f>LEFT(A225,1)</f>
        <v/>
      </c>
      <c r="K225" s="347">
        <f>"TIRR"&amp;" - "&amp;A225</f>
        <v/>
      </c>
      <c r="L225" s="347">
        <f>+VLOOKUP(K225,TL[],4,FALSE)</f>
        <v/>
      </c>
    </row>
    <row r="226">
      <c r="G226" s="220">
        <f>SUM(C226)-SUM(D226)</f>
        <v/>
      </c>
      <c r="H226" s="220">
        <f>SUM(E226)-SUM(F226)</f>
        <v/>
      </c>
      <c r="I226" s="221">
        <f>IF(A226="Total",VLOOKUP(B226,CORRESPONDANCE[#All],2,FALSE),I227)</f>
        <v/>
      </c>
      <c r="J226" s="350">
        <f>LEFT(A226,1)</f>
        <v/>
      </c>
      <c r="K226" s="347">
        <f>"TIRR"&amp;" - "&amp;A226</f>
        <v/>
      </c>
      <c r="L226" s="347">
        <f>+VLOOKUP(K226,TL[],4,FALSE)</f>
        <v/>
      </c>
    </row>
    <row r="227">
      <c r="G227" s="220">
        <f>SUM(C227)-SUM(D227)</f>
        <v/>
      </c>
      <c r="H227" s="220">
        <f>SUM(E227)-SUM(F227)</f>
        <v/>
      </c>
      <c r="I227" s="221">
        <f>IF(A227="Total",VLOOKUP(B227,CORRESPONDANCE[#All],2,FALSE),I228)</f>
        <v/>
      </c>
      <c r="J227" s="350">
        <f>LEFT(A227,1)</f>
        <v/>
      </c>
      <c r="K227" s="347">
        <f>"TIRR"&amp;" - "&amp;A227</f>
        <v/>
      </c>
      <c r="L227" s="347">
        <f>+VLOOKUP(K227,TL[],4,FALSE)</f>
        <v/>
      </c>
    </row>
    <row r="228">
      <c r="G228" s="220">
        <f>SUM(C228)-SUM(D228)</f>
        <v/>
      </c>
      <c r="H228" s="220">
        <f>SUM(E228)-SUM(F228)</f>
        <v/>
      </c>
      <c r="I228" s="221">
        <f>IF(A228="Total",VLOOKUP(B228,CORRESPONDANCE[#All],2,FALSE),I229)</f>
        <v/>
      </c>
      <c r="J228" s="350">
        <f>LEFT(A228,1)</f>
        <v/>
      </c>
      <c r="K228" s="347">
        <f>"TIRR"&amp;" - "&amp;A228</f>
        <v/>
      </c>
      <c r="L228" s="347">
        <f>+VLOOKUP(K228,TL[],4,FALSE)</f>
        <v/>
      </c>
    </row>
    <row r="229">
      <c r="G229" s="220">
        <f>SUM(C229)-SUM(D229)</f>
        <v/>
      </c>
      <c r="H229" s="220">
        <f>SUM(E229)-SUM(F229)</f>
        <v/>
      </c>
      <c r="I229" s="221">
        <f>IF(A229="Total",VLOOKUP(B229,CORRESPONDANCE[#All],2,FALSE),I230)</f>
        <v/>
      </c>
      <c r="J229" s="350">
        <f>LEFT(A229,1)</f>
        <v/>
      </c>
      <c r="K229" s="347">
        <f>"TIRR"&amp;" - "&amp;A229</f>
        <v/>
      </c>
      <c r="L229" s="347">
        <f>+VLOOKUP(K229,TL[],4,FALSE)</f>
        <v/>
      </c>
    </row>
    <row r="230">
      <c r="G230" s="220">
        <f>SUM(C230)-SUM(D230)</f>
        <v/>
      </c>
      <c r="H230" s="220">
        <f>SUM(E230)-SUM(F230)</f>
        <v/>
      </c>
      <c r="I230" s="221">
        <f>IF(A230="Total",VLOOKUP(B230,CORRESPONDANCE[#All],2,FALSE),I231)</f>
        <v/>
      </c>
      <c r="J230" s="350">
        <f>LEFT(A230,1)</f>
        <v/>
      </c>
      <c r="K230" s="347">
        <f>"TIRR"&amp;" - "&amp;A230</f>
        <v/>
      </c>
      <c r="L230" s="347">
        <f>+VLOOKUP(K230,TL[],4,FALSE)</f>
        <v/>
      </c>
    </row>
    <row r="231">
      <c r="G231" s="220">
        <f>SUM(C231)-SUM(D231)</f>
        <v/>
      </c>
      <c r="H231" s="220">
        <f>SUM(E231)-SUM(F231)</f>
        <v/>
      </c>
      <c r="I231" s="221">
        <f>IF(A231="Total",VLOOKUP(B231,CORRESPONDANCE[#All],2,FALSE),I232)</f>
        <v/>
      </c>
      <c r="J231" s="350">
        <f>LEFT(A231,1)</f>
        <v/>
      </c>
      <c r="K231" s="347">
        <f>"TIRR"&amp;" - "&amp;A231</f>
        <v/>
      </c>
      <c r="L231" s="347">
        <f>+VLOOKUP(K231,TL[],4,FALSE)</f>
        <v/>
      </c>
    </row>
    <row r="232">
      <c r="G232" s="220">
        <f>SUM(C232)-SUM(D232)</f>
        <v/>
      </c>
      <c r="H232" s="220">
        <f>SUM(E232)-SUM(F232)</f>
        <v/>
      </c>
      <c r="I232" s="221">
        <f>IF(A232="Total",VLOOKUP(B232,CORRESPONDANCE[#All],2,FALSE),I233)</f>
        <v/>
      </c>
      <c r="J232" s="350">
        <f>LEFT(A232,1)</f>
        <v/>
      </c>
      <c r="K232" s="347">
        <f>"TIRR"&amp;" - "&amp;A232</f>
        <v/>
      </c>
      <c r="L232" s="347">
        <f>+VLOOKUP(K232,TL[],4,FALSE)</f>
        <v/>
      </c>
    </row>
    <row r="233">
      <c r="G233" s="220">
        <f>SUM(C233)-SUM(D233)</f>
        <v/>
      </c>
      <c r="H233" s="220">
        <f>SUM(E233)-SUM(F233)</f>
        <v/>
      </c>
      <c r="I233" s="221">
        <f>IF(A233="Total",VLOOKUP(B233,CORRESPONDANCE[#All],2,FALSE),I234)</f>
        <v/>
      </c>
      <c r="J233" s="350">
        <f>LEFT(A233,1)</f>
        <v/>
      </c>
      <c r="K233" s="347">
        <f>"TIRR"&amp;" - "&amp;A233</f>
        <v/>
      </c>
      <c r="L233" s="347">
        <f>+VLOOKUP(K233,TL[],4,FALSE)</f>
        <v/>
      </c>
    </row>
    <row r="234">
      <c r="G234" s="220">
        <f>SUM(C234)-SUM(D234)</f>
        <v/>
      </c>
      <c r="H234" s="220">
        <f>SUM(E234)-SUM(F234)</f>
        <v/>
      </c>
      <c r="I234" s="221">
        <f>IF(A234="Total",VLOOKUP(B234,CORRESPONDANCE[#All],2,FALSE),I235)</f>
        <v/>
      </c>
      <c r="J234" s="350">
        <f>LEFT(A234,1)</f>
        <v/>
      </c>
      <c r="K234" s="347">
        <f>"TIRR"&amp;" - "&amp;A234</f>
        <v/>
      </c>
      <c r="L234" s="347">
        <f>+VLOOKUP(K234,TL[],4,FALSE)</f>
        <v/>
      </c>
    </row>
    <row r="235">
      <c r="G235" s="220">
        <f>SUM(C235)-SUM(D235)</f>
        <v/>
      </c>
      <c r="H235" s="220">
        <f>SUM(E235)-SUM(F235)</f>
        <v/>
      </c>
      <c r="I235" s="221">
        <f>IF(A235="Total",VLOOKUP(B235,CORRESPONDANCE[#All],2,FALSE),I236)</f>
        <v/>
      </c>
      <c r="J235" s="350">
        <f>LEFT(A235,1)</f>
        <v/>
      </c>
      <c r="K235" s="347">
        <f>"TIRR"&amp;" - "&amp;A235</f>
        <v/>
      </c>
      <c r="L235" s="347">
        <f>+VLOOKUP(K235,TL[],4,FALSE)</f>
        <v/>
      </c>
    </row>
    <row r="236">
      <c r="G236" s="220">
        <f>SUM(C236)-SUM(D236)</f>
        <v/>
      </c>
      <c r="H236" s="220">
        <f>SUM(E236)-SUM(F236)</f>
        <v/>
      </c>
      <c r="I236" s="221">
        <f>IF(A236="Total",VLOOKUP(B236,CORRESPONDANCE[#All],2,FALSE),I237)</f>
        <v/>
      </c>
      <c r="J236" s="350">
        <f>LEFT(A236,1)</f>
        <v/>
      </c>
      <c r="K236" s="347">
        <f>"TIRR"&amp;" - "&amp;A236</f>
        <v/>
      </c>
      <c r="L236" s="347">
        <f>+VLOOKUP(K236,TL[],4,FALSE)</f>
        <v/>
      </c>
    </row>
    <row r="237">
      <c r="G237" s="220">
        <f>SUM(C237)-SUM(D237)</f>
        <v/>
      </c>
      <c r="H237" s="220">
        <f>SUM(E237)-SUM(F237)</f>
        <v/>
      </c>
      <c r="I237" s="221">
        <f>IF(A237="Total",VLOOKUP(B237,CORRESPONDANCE[#All],2,FALSE),I238)</f>
        <v/>
      </c>
      <c r="J237" s="350">
        <f>LEFT(A237,1)</f>
        <v/>
      </c>
      <c r="K237" s="347">
        <f>"TIRR"&amp;" - "&amp;A237</f>
        <v/>
      </c>
      <c r="L237" s="347">
        <f>+VLOOKUP(K237,TL[],4,FALSE)</f>
        <v/>
      </c>
    </row>
    <row r="238">
      <c r="G238" s="220">
        <f>SUM(C238)-SUM(D238)</f>
        <v/>
      </c>
      <c r="H238" s="220">
        <f>SUM(E238)-SUM(F238)</f>
        <v/>
      </c>
      <c r="I238" s="221">
        <f>IF(A238="Total",VLOOKUP(B238,CORRESPONDANCE[#All],2,FALSE),I239)</f>
        <v/>
      </c>
      <c r="J238" s="350">
        <f>LEFT(A238,1)</f>
        <v/>
      </c>
      <c r="K238" s="347">
        <f>"TIRR"&amp;" - "&amp;A238</f>
        <v/>
      </c>
      <c r="L238" s="347">
        <f>+VLOOKUP(K238,TL[],4,FALSE)</f>
        <v/>
      </c>
    </row>
    <row r="239">
      <c r="G239" s="220">
        <f>SUM(C239)-SUM(D239)</f>
        <v/>
      </c>
      <c r="H239" s="220">
        <f>SUM(E239)-SUM(F239)</f>
        <v/>
      </c>
      <c r="I239" s="221">
        <f>IF(A239="Total",VLOOKUP(B239,CORRESPONDANCE[#All],2,FALSE),I240)</f>
        <v/>
      </c>
      <c r="J239" s="350">
        <f>LEFT(A239,1)</f>
        <v/>
      </c>
      <c r="K239" s="347">
        <f>"TIRR"&amp;" - "&amp;A239</f>
        <v/>
      </c>
      <c r="L239" s="347">
        <f>+VLOOKUP(K239,TL[],4,FALSE)</f>
        <v/>
      </c>
    </row>
    <row r="240">
      <c r="G240" s="220">
        <f>SUM(C240)-SUM(D240)</f>
        <v/>
      </c>
      <c r="H240" s="220">
        <f>SUM(E240)-SUM(F240)</f>
        <v/>
      </c>
      <c r="I240" s="221">
        <f>IF(A240="Total",VLOOKUP(B240,CORRESPONDANCE[#All],2,FALSE),I241)</f>
        <v/>
      </c>
      <c r="J240" s="350">
        <f>LEFT(A240,1)</f>
        <v/>
      </c>
      <c r="K240" s="347">
        <f>"TIRR"&amp;" - "&amp;A240</f>
        <v/>
      </c>
      <c r="L240" s="347">
        <f>+VLOOKUP(K240,TL[],4,FALSE)</f>
        <v/>
      </c>
    </row>
    <row r="241">
      <c r="G241" s="220">
        <f>SUM(C241)-SUM(D241)</f>
        <v/>
      </c>
      <c r="H241" s="220">
        <f>SUM(E241)-SUM(F241)</f>
        <v/>
      </c>
      <c r="I241" s="221">
        <f>IF(A241="Total",VLOOKUP(B241,CORRESPONDANCE[#All],2,FALSE),I242)</f>
        <v/>
      </c>
      <c r="J241" s="350">
        <f>LEFT(A241,1)</f>
        <v/>
      </c>
      <c r="K241" s="347">
        <f>"TIRR"&amp;" - "&amp;A241</f>
        <v/>
      </c>
      <c r="L241" s="347">
        <f>+VLOOKUP(K241,TL[],4,FALSE)</f>
        <v/>
      </c>
    </row>
    <row r="242">
      <c r="G242" s="220">
        <f>SUM(C242)-SUM(D242)</f>
        <v/>
      </c>
      <c r="H242" s="220">
        <f>SUM(E242)-SUM(F242)</f>
        <v/>
      </c>
      <c r="I242" s="221">
        <f>IF(A242="Total",VLOOKUP(B242,CORRESPONDANCE[#All],2,FALSE),I243)</f>
        <v/>
      </c>
      <c r="J242" s="350">
        <f>LEFT(A242,1)</f>
        <v/>
      </c>
      <c r="K242" s="347">
        <f>"TIRR"&amp;" - "&amp;A242</f>
        <v/>
      </c>
      <c r="L242" s="347">
        <f>+VLOOKUP(K242,TL[],4,FALSE)</f>
        <v/>
      </c>
    </row>
    <row r="243">
      <c r="G243" s="220">
        <f>SUM(C243)-SUM(D243)</f>
        <v/>
      </c>
      <c r="H243" s="220">
        <f>SUM(E243)-SUM(F243)</f>
        <v/>
      </c>
      <c r="I243" s="221">
        <f>IF(A243="Total",VLOOKUP(B243,CORRESPONDANCE[#All],2,FALSE),I244)</f>
        <v/>
      </c>
      <c r="J243" s="350">
        <f>LEFT(A243,1)</f>
        <v/>
      </c>
      <c r="K243" s="347">
        <f>"TIRR"&amp;" - "&amp;A243</f>
        <v/>
      </c>
      <c r="L243" s="347">
        <f>+VLOOKUP(K243,TL[],4,FALSE)</f>
        <v/>
      </c>
    </row>
    <row r="244">
      <c r="G244" s="220">
        <f>SUM(C244)-SUM(D244)</f>
        <v/>
      </c>
      <c r="H244" s="220">
        <f>SUM(E244)-SUM(F244)</f>
        <v/>
      </c>
      <c r="I244" s="221">
        <f>IF(A244="Total",VLOOKUP(B244,CORRESPONDANCE[#All],2,FALSE),I245)</f>
        <v/>
      </c>
      <c r="J244" s="350">
        <f>LEFT(A244,1)</f>
        <v/>
      </c>
      <c r="K244" s="347">
        <f>"TIRR"&amp;" - "&amp;A244</f>
        <v/>
      </c>
      <c r="L244" s="347">
        <f>+VLOOKUP(K244,TL[],4,FALSE)</f>
        <v/>
      </c>
    </row>
    <row r="245">
      <c r="G245" s="220">
        <f>SUM(C245)-SUM(D245)</f>
        <v/>
      </c>
      <c r="H245" s="220">
        <f>SUM(E245)-SUM(F245)</f>
        <v/>
      </c>
      <c r="I245" s="221">
        <f>IF(A245="Total",VLOOKUP(B245,CORRESPONDANCE[#All],2,FALSE),I246)</f>
        <v/>
      </c>
      <c r="J245" s="350">
        <f>LEFT(A245,1)</f>
        <v/>
      </c>
      <c r="K245" s="347">
        <f>"TIRR"&amp;" - "&amp;A245</f>
        <v/>
      </c>
      <c r="L245" s="347">
        <f>+VLOOKUP(K245,TL[],4,FALSE)</f>
        <v/>
      </c>
    </row>
    <row r="246">
      <c r="G246" s="220">
        <f>SUM(C246)-SUM(D246)</f>
        <v/>
      </c>
      <c r="H246" s="220">
        <f>SUM(E246)-SUM(F246)</f>
        <v/>
      </c>
      <c r="I246" s="221">
        <f>IF(A246="Total",VLOOKUP(B246,CORRESPONDANCE[#All],2,FALSE),I247)</f>
        <v/>
      </c>
      <c r="J246" s="350">
        <f>LEFT(A246,1)</f>
        <v/>
      </c>
      <c r="K246" s="347">
        <f>"TIRR"&amp;" - "&amp;A246</f>
        <v/>
      </c>
      <c r="L246" s="347">
        <f>+VLOOKUP(K246,TL[],4,FALSE)</f>
        <v/>
      </c>
    </row>
    <row r="247">
      <c r="G247" s="220">
        <f>SUM(C247)-SUM(D247)</f>
        <v/>
      </c>
      <c r="H247" s="220">
        <f>SUM(E247)-SUM(F247)</f>
        <v/>
      </c>
      <c r="I247" s="221">
        <f>IF(A247="Total",VLOOKUP(B247,CORRESPONDANCE[#All],2,FALSE),I248)</f>
        <v/>
      </c>
      <c r="J247" s="350">
        <f>LEFT(A247,1)</f>
        <v/>
      </c>
      <c r="K247" s="347">
        <f>"TIRR"&amp;" - "&amp;A247</f>
        <v/>
      </c>
      <c r="L247" s="347">
        <f>+VLOOKUP(K247,TL[],4,FALSE)</f>
        <v/>
      </c>
    </row>
    <row r="248">
      <c r="G248" s="220">
        <f>SUM(C248)-SUM(D248)</f>
        <v/>
      </c>
      <c r="H248" s="220">
        <f>SUM(E248)-SUM(F248)</f>
        <v/>
      </c>
      <c r="I248" s="221">
        <f>IF(A248="Total",VLOOKUP(B248,CORRESPONDANCE[#All],2,FALSE),I249)</f>
        <v/>
      </c>
      <c r="J248" s="350">
        <f>LEFT(A248,1)</f>
        <v/>
      </c>
      <c r="K248" s="347">
        <f>"TIRR"&amp;" - "&amp;A248</f>
        <v/>
      </c>
      <c r="L248" s="347">
        <f>+VLOOKUP(K248,TL[],4,FALSE)</f>
        <v/>
      </c>
    </row>
    <row r="249">
      <c r="G249" s="220">
        <f>SUM(C249)-SUM(D249)</f>
        <v/>
      </c>
      <c r="H249" s="220">
        <f>SUM(E249)-SUM(F249)</f>
        <v/>
      </c>
      <c r="I249" s="221">
        <f>IF(A249="Total",VLOOKUP(B249,CORRESPONDANCE[#All],2,FALSE),I250)</f>
        <v/>
      </c>
      <c r="J249" s="350">
        <f>LEFT(A249,1)</f>
        <v/>
      </c>
      <c r="K249" s="347">
        <f>"TIRR"&amp;" - "&amp;A249</f>
        <v/>
      </c>
      <c r="L249" s="347">
        <f>+VLOOKUP(K249,TL[],4,FALSE)</f>
        <v/>
      </c>
    </row>
    <row r="250">
      <c r="G250" s="220">
        <f>SUM(C250)-SUM(D250)</f>
        <v/>
      </c>
      <c r="H250" s="220">
        <f>SUM(E250)-SUM(F250)</f>
        <v/>
      </c>
      <c r="I250" s="221">
        <f>IF(A250="Total",VLOOKUP(B250,CORRESPONDANCE[#All],2,FALSE),I251)</f>
        <v/>
      </c>
      <c r="J250" s="350">
        <f>LEFT(A250,1)</f>
        <v/>
      </c>
      <c r="K250" s="347">
        <f>"TIRR"&amp;" - "&amp;A250</f>
        <v/>
      </c>
      <c r="L250" s="347">
        <f>+VLOOKUP(K250,TL[],4,FALSE)</f>
        <v/>
      </c>
    </row>
    <row r="251">
      <c r="G251" s="220">
        <f>SUM(C251)-SUM(D251)</f>
        <v/>
      </c>
      <c r="H251" s="220">
        <f>SUM(E251)-SUM(F251)</f>
        <v/>
      </c>
      <c r="I251" s="221">
        <f>IF(A251="Total",VLOOKUP(B251,CORRESPONDANCE[#All],2,FALSE),I252)</f>
        <v/>
      </c>
      <c r="J251" s="350">
        <f>LEFT(A251,1)</f>
        <v/>
      </c>
      <c r="K251" s="347">
        <f>"TIRR"&amp;" - "&amp;A251</f>
        <v/>
      </c>
      <c r="L251" s="347">
        <f>+VLOOKUP(K251,TL[],4,FALSE)</f>
        <v/>
      </c>
    </row>
    <row r="252">
      <c r="G252" s="220">
        <f>SUM(C252)-SUM(D252)</f>
        <v/>
      </c>
      <c r="H252" s="220">
        <f>SUM(E252)-SUM(F252)</f>
        <v/>
      </c>
      <c r="I252" s="221">
        <f>IF(A252="Total",VLOOKUP(B252,CORRESPONDANCE[#All],2,FALSE),I253)</f>
        <v/>
      </c>
      <c r="J252" s="350">
        <f>LEFT(A252,1)</f>
        <v/>
      </c>
      <c r="K252" s="347">
        <f>"TIRR"&amp;" - "&amp;A252</f>
        <v/>
      </c>
      <c r="L252" s="347">
        <f>+VLOOKUP(K252,TL[],4,FALSE)</f>
        <v/>
      </c>
    </row>
    <row r="253">
      <c r="G253" s="220">
        <f>SUM(C253)-SUM(D253)</f>
        <v/>
      </c>
      <c r="H253" s="220">
        <f>SUM(E253)-SUM(F253)</f>
        <v/>
      </c>
      <c r="I253" s="221">
        <f>IF(A253="Total",VLOOKUP(B253,CORRESPONDANCE[#All],2,FALSE),I254)</f>
        <v/>
      </c>
      <c r="J253" s="350">
        <f>LEFT(A253,1)</f>
        <v/>
      </c>
      <c r="K253" s="347">
        <f>"TIRR"&amp;" - "&amp;A253</f>
        <v/>
      </c>
      <c r="L253" s="347">
        <f>+VLOOKUP(K253,TL[],4,FALSE)</f>
        <v/>
      </c>
    </row>
    <row r="254">
      <c r="G254" s="220">
        <f>SUM(C254)-SUM(D254)</f>
        <v/>
      </c>
      <c r="H254" s="220">
        <f>SUM(E254)-SUM(F254)</f>
        <v/>
      </c>
      <c r="I254" s="221">
        <f>IF(A254="Total",VLOOKUP(B254,CORRESPONDANCE[#All],2,FALSE),I255)</f>
        <v/>
      </c>
      <c r="J254" s="350">
        <f>LEFT(A254,1)</f>
        <v/>
      </c>
      <c r="K254" s="347">
        <f>"TIRR"&amp;" - "&amp;A254</f>
        <v/>
      </c>
      <c r="L254" s="347">
        <f>+VLOOKUP(K254,TL[],4,FALSE)</f>
        <v/>
      </c>
    </row>
    <row r="255">
      <c r="G255" s="220">
        <f>SUM(C255)-SUM(D255)</f>
        <v/>
      </c>
      <c r="H255" s="220">
        <f>SUM(E255)-SUM(F255)</f>
        <v/>
      </c>
      <c r="I255" s="221">
        <f>IF(A255="Total",VLOOKUP(B255,CORRESPONDANCE[#All],2,FALSE),I256)</f>
        <v/>
      </c>
      <c r="J255" s="350">
        <f>LEFT(A255,1)</f>
        <v/>
      </c>
      <c r="K255" s="347">
        <f>"TIRR"&amp;" - "&amp;A255</f>
        <v/>
      </c>
      <c r="L255" s="347">
        <f>+VLOOKUP(K255,TL[],4,FALSE)</f>
        <v/>
      </c>
    </row>
    <row r="256">
      <c r="G256" s="220">
        <f>SUM(C256)-SUM(D256)</f>
        <v/>
      </c>
      <c r="H256" s="220">
        <f>SUM(E256)-SUM(F256)</f>
        <v/>
      </c>
      <c r="I256" s="221">
        <f>IF(A256="Total",VLOOKUP(B256,CORRESPONDANCE[#All],2,FALSE),I257)</f>
        <v/>
      </c>
      <c r="J256" s="350">
        <f>LEFT(A256,1)</f>
        <v/>
      </c>
      <c r="K256" s="347">
        <f>"TIRR"&amp;" - "&amp;A256</f>
        <v/>
      </c>
      <c r="L256" s="347">
        <f>+VLOOKUP(K256,TL[],4,FALSE)</f>
        <v/>
      </c>
    </row>
    <row r="257">
      <c r="G257" s="220">
        <f>SUM(C257)-SUM(D257)</f>
        <v/>
      </c>
      <c r="H257" s="220">
        <f>SUM(E257)-SUM(F257)</f>
        <v/>
      </c>
      <c r="I257" s="221">
        <f>IF(A257="Total",VLOOKUP(B257,CORRESPONDANCE[#All],2,FALSE),I258)</f>
        <v/>
      </c>
      <c r="J257" s="350">
        <f>LEFT(A257,1)</f>
        <v/>
      </c>
      <c r="K257" s="347">
        <f>"TIRR"&amp;" - "&amp;A257</f>
        <v/>
      </c>
      <c r="L257" s="347">
        <f>+VLOOKUP(K257,TL[],4,FALSE)</f>
        <v/>
      </c>
    </row>
    <row r="258">
      <c r="G258" s="220">
        <f>SUM(C258)-SUM(D258)</f>
        <v/>
      </c>
      <c r="H258" s="220">
        <f>SUM(E258)-SUM(F258)</f>
        <v/>
      </c>
      <c r="I258" s="221">
        <f>IF(A258="Total",VLOOKUP(B258,CORRESPONDANCE[#All],2,FALSE),I259)</f>
        <v/>
      </c>
      <c r="J258" s="350">
        <f>LEFT(A258,1)</f>
        <v/>
      </c>
      <c r="K258" s="347">
        <f>"TIRR"&amp;" - "&amp;A258</f>
        <v/>
      </c>
      <c r="L258" s="347">
        <f>+VLOOKUP(K258,TL[],4,FALSE)</f>
        <v/>
      </c>
    </row>
    <row r="259">
      <c r="G259" s="220">
        <f>SUM(C259)-SUM(D259)</f>
        <v/>
      </c>
      <c r="H259" s="220">
        <f>SUM(E259)-SUM(F259)</f>
        <v/>
      </c>
      <c r="I259" s="221">
        <f>IF(A259="Total",VLOOKUP(B259,CORRESPONDANCE[#All],2,FALSE),I260)</f>
        <v/>
      </c>
      <c r="J259" s="350">
        <f>LEFT(A259,1)</f>
        <v/>
      </c>
      <c r="K259" s="347">
        <f>"TIRR"&amp;" - "&amp;A259</f>
        <v/>
      </c>
      <c r="L259" s="347">
        <f>+VLOOKUP(K259,TL[],4,FALSE)</f>
        <v/>
      </c>
    </row>
    <row r="260">
      <c r="G260" s="220">
        <f>SUM(C260)-SUM(D260)</f>
        <v/>
      </c>
      <c r="H260" s="220">
        <f>SUM(E260)-SUM(F260)</f>
        <v/>
      </c>
      <c r="I260" s="221">
        <f>IF(A260="Total",VLOOKUP(B260,CORRESPONDANCE[#All],2,FALSE),I261)</f>
        <v/>
      </c>
      <c r="J260" s="350">
        <f>LEFT(A260,1)</f>
        <v/>
      </c>
      <c r="K260" s="347">
        <f>"TIRR"&amp;" - "&amp;A260</f>
        <v/>
      </c>
      <c r="L260" s="347">
        <f>+VLOOKUP(K260,TL[],4,FALSE)</f>
        <v/>
      </c>
    </row>
    <row r="261">
      <c r="G261" s="220">
        <f>SUM(C261)-SUM(D261)</f>
        <v/>
      </c>
      <c r="H261" s="220">
        <f>SUM(E261)-SUM(F261)</f>
        <v/>
      </c>
      <c r="I261" s="221">
        <f>IF(A261="Total",VLOOKUP(B261,CORRESPONDANCE[#All],2,FALSE),I262)</f>
        <v/>
      </c>
      <c r="J261" s="350">
        <f>LEFT(A261,1)</f>
        <v/>
      </c>
      <c r="K261" s="347">
        <f>"TIRR"&amp;" - "&amp;A261</f>
        <v/>
      </c>
      <c r="L261" s="347">
        <f>+VLOOKUP(K261,TL[],4,FALSE)</f>
        <v/>
      </c>
    </row>
    <row r="262">
      <c r="G262" s="220">
        <f>SUM(C262)-SUM(D262)</f>
        <v/>
      </c>
      <c r="H262" s="220">
        <f>SUM(E262)-SUM(F262)</f>
        <v/>
      </c>
      <c r="I262" s="221">
        <f>IF(A262="Total",VLOOKUP(B262,CORRESPONDANCE[#All],2,FALSE),I263)</f>
        <v/>
      </c>
      <c r="J262" s="350">
        <f>LEFT(A262,1)</f>
        <v/>
      </c>
      <c r="K262" s="347">
        <f>"TIRR"&amp;" - "&amp;A262</f>
        <v/>
      </c>
      <c r="L262" s="347">
        <f>+VLOOKUP(K262,TL[],4,FALSE)</f>
        <v/>
      </c>
    </row>
    <row r="263">
      <c r="G263" s="220">
        <f>SUM(C263)-SUM(D263)</f>
        <v/>
      </c>
      <c r="H263" s="220">
        <f>SUM(E263)-SUM(F263)</f>
        <v/>
      </c>
      <c r="I263" s="221">
        <f>IF(A263="Total",VLOOKUP(B263,CORRESPONDANCE[#All],2,FALSE),I264)</f>
        <v/>
      </c>
      <c r="J263" s="350">
        <f>LEFT(A263,1)</f>
        <v/>
      </c>
      <c r="K263" s="347">
        <f>"TIRR"&amp;" - "&amp;A263</f>
        <v/>
      </c>
      <c r="L263" s="347">
        <f>+VLOOKUP(K263,TL[],4,FALSE)</f>
        <v/>
      </c>
    </row>
    <row r="264">
      <c r="G264" s="220">
        <f>SUM(C264)-SUM(D264)</f>
        <v/>
      </c>
      <c r="H264" s="220">
        <f>SUM(E264)-SUM(F264)</f>
        <v/>
      </c>
      <c r="I264" s="221">
        <f>IF(A264="Total",VLOOKUP(B264,CORRESPONDANCE[#All],2,FALSE),I265)</f>
        <v/>
      </c>
      <c r="J264" s="350">
        <f>LEFT(A264,1)</f>
        <v/>
      </c>
      <c r="K264" s="347">
        <f>"TIRR"&amp;" - "&amp;A264</f>
        <v/>
      </c>
      <c r="L264" s="347">
        <f>+VLOOKUP(K264,TL[],4,FALSE)</f>
        <v/>
      </c>
    </row>
    <row r="265">
      <c r="G265" s="220">
        <f>SUM(C265)-SUM(D265)</f>
        <v/>
      </c>
      <c r="H265" s="220">
        <f>SUM(E265)-SUM(F265)</f>
        <v/>
      </c>
      <c r="I265" s="221">
        <f>IF(A265="Total",VLOOKUP(B265,CORRESPONDANCE[#All],2,FALSE),I266)</f>
        <v/>
      </c>
      <c r="J265" s="350">
        <f>LEFT(A265,1)</f>
        <v/>
      </c>
      <c r="K265" s="347">
        <f>"TIRR"&amp;" - "&amp;A265</f>
        <v/>
      </c>
      <c r="L265" s="347">
        <f>+VLOOKUP(K265,TL[],4,FALSE)</f>
        <v/>
      </c>
    </row>
    <row r="266">
      <c r="G266" s="220">
        <f>SUM(C266)-SUM(D266)</f>
        <v/>
      </c>
      <c r="H266" s="220">
        <f>SUM(E266)-SUM(F266)</f>
        <v/>
      </c>
      <c r="I266" s="221">
        <f>IF(A266="Total",VLOOKUP(B266,CORRESPONDANCE[#All],2,FALSE),I267)</f>
        <v/>
      </c>
      <c r="J266" s="350">
        <f>LEFT(A266,1)</f>
        <v/>
      </c>
      <c r="K266" s="347">
        <f>"TIRR"&amp;" - "&amp;A266</f>
        <v/>
      </c>
      <c r="L266" s="347">
        <f>+VLOOKUP(K266,TL[],4,FALSE)</f>
        <v/>
      </c>
    </row>
    <row r="267">
      <c r="G267" s="220">
        <f>SUM(C267)-SUM(D267)</f>
        <v/>
      </c>
      <c r="H267" s="220">
        <f>SUM(E267)-SUM(F267)</f>
        <v/>
      </c>
      <c r="I267" s="221">
        <f>IF(A267="Total",VLOOKUP(B267,CORRESPONDANCE[#All],2,FALSE),I268)</f>
        <v/>
      </c>
      <c r="J267" s="350">
        <f>LEFT(A267,1)</f>
        <v/>
      </c>
      <c r="K267" s="347">
        <f>"TIRR"&amp;" - "&amp;A267</f>
        <v/>
      </c>
      <c r="L267" s="347">
        <f>+VLOOKUP(K267,TL[],4,FALSE)</f>
        <v/>
      </c>
    </row>
    <row r="268">
      <c r="G268" s="220">
        <f>SUM(C268)-SUM(D268)</f>
        <v/>
      </c>
      <c r="H268" s="220">
        <f>SUM(E268)-SUM(F268)</f>
        <v/>
      </c>
      <c r="I268" s="221">
        <f>IF(A268="Total",VLOOKUP(B268,CORRESPONDANCE[#All],2,FALSE),I269)</f>
        <v/>
      </c>
      <c r="J268" s="350">
        <f>LEFT(A268,1)</f>
        <v/>
      </c>
      <c r="K268" s="347">
        <f>"TIRR"&amp;" - "&amp;A268</f>
        <v/>
      </c>
      <c r="L268" s="347">
        <f>+VLOOKUP(K268,TL[],4,FALSE)</f>
        <v/>
      </c>
    </row>
    <row r="269">
      <c r="G269" s="220">
        <f>SUM(C269)-SUM(D269)</f>
        <v/>
      </c>
      <c r="H269" s="220">
        <f>SUM(E269)-SUM(F269)</f>
        <v/>
      </c>
      <c r="I269" s="221">
        <f>IF(A269="Total",VLOOKUP(B269,CORRESPONDANCE[#All],2,FALSE),I270)</f>
        <v/>
      </c>
      <c r="J269" s="350">
        <f>LEFT(A269,1)</f>
        <v/>
      </c>
      <c r="K269" s="347">
        <f>"TIRR"&amp;" - "&amp;A269</f>
        <v/>
      </c>
      <c r="L269" s="347">
        <f>+VLOOKUP(K269,TL[],4,FALSE)</f>
        <v/>
      </c>
    </row>
    <row r="270">
      <c r="G270" s="220">
        <f>SUM(C270)-SUM(D270)</f>
        <v/>
      </c>
      <c r="H270" s="220">
        <f>SUM(E270)-SUM(F270)</f>
        <v/>
      </c>
      <c r="I270" s="221">
        <f>IF(A270="Total",VLOOKUP(B270,CORRESPONDANCE[#All],2,FALSE),I271)</f>
        <v/>
      </c>
      <c r="J270" s="350">
        <f>LEFT(A270,1)</f>
        <v/>
      </c>
      <c r="K270" s="347">
        <f>"TIRR"&amp;" - "&amp;A270</f>
        <v/>
      </c>
      <c r="L270" s="347">
        <f>+VLOOKUP(K270,TL[],4,FALSE)</f>
        <v/>
      </c>
    </row>
    <row r="271">
      <c r="G271" s="220">
        <f>SUM(C271)-SUM(D271)</f>
        <v/>
      </c>
      <c r="H271" s="220">
        <f>SUM(E271)-SUM(F271)</f>
        <v/>
      </c>
      <c r="I271" s="221">
        <f>IF(A271="Total",VLOOKUP(B271,CORRESPONDANCE[#All],2,FALSE),I272)</f>
        <v/>
      </c>
      <c r="J271" s="350">
        <f>LEFT(A271,1)</f>
        <v/>
      </c>
      <c r="K271" s="347">
        <f>"TIRR"&amp;" - "&amp;A271</f>
        <v/>
      </c>
      <c r="L271" s="347">
        <f>+VLOOKUP(K271,TL[],4,FALSE)</f>
        <v/>
      </c>
    </row>
    <row r="272">
      <c r="G272" s="220">
        <f>SUM(C272)-SUM(D272)</f>
        <v/>
      </c>
      <c r="H272" s="220">
        <f>SUM(E272)-SUM(F272)</f>
        <v/>
      </c>
      <c r="I272" s="221">
        <f>IF(A272="Total",VLOOKUP(B272,CORRESPONDANCE[#All],2,FALSE),I273)</f>
        <v/>
      </c>
      <c r="J272" s="350">
        <f>LEFT(A272,1)</f>
        <v/>
      </c>
      <c r="K272" s="347">
        <f>"TIRR"&amp;" - "&amp;A272</f>
        <v/>
      </c>
      <c r="L272" s="347">
        <f>+VLOOKUP(K272,TL[],4,FALSE)</f>
        <v/>
      </c>
    </row>
    <row r="273">
      <c r="G273" s="220">
        <f>SUM(C273)-SUM(D273)</f>
        <v/>
      </c>
      <c r="H273" s="220">
        <f>SUM(E273)-SUM(F273)</f>
        <v/>
      </c>
      <c r="I273" s="221">
        <f>IF(A273="Total",VLOOKUP(B273,CORRESPONDANCE[#All],2,FALSE),I274)</f>
        <v/>
      </c>
      <c r="J273" s="350">
        <f>LEFT(A273,1)</f>
        <v/>
      </c>
      <c r="K273" s="347">
        <f>"TIRR"&amp;" - "&amp;A273</f>
        <v/>
      </c>
      <c r="L273" s="347">
        <f>+VLOOKUP(K273,TL[],4,FALSE)</f>
        <v/>
      </c>
    </row>
    <row r="274">
      <c r="G274" s="220">
        <f>SUM(C274)-SUM(D274)</f>
        <v/>
      </c>
      <c r="H274" s="220">
        <f>SUM(E274)-SUM(F274)</f>
        <v/>
      </c>
      <c r="I274" s="221">
        <f>IF(A274="Total",VLOOKUP(B274,CORRESPONDANCE[#All],2,FALSE),I275)</f>
        <v/>
      </c>
      <c r="J274" s="350">
        <f>LEFT(A274,1)</f>
        <v/>
      </c>
      <c r="K274" s="347">
        <f>"TIRR"&amp;" - "&amp;A274</f>
        <v/>
      </c>
      <c r="L274" s="347">
        <f>+VLOOKUP(K274,TL[],4,FALSE)</f>
        <v/>
      </c>
    </row>
    <row r="275">
      <c r="G275" s="220">
        <f>SUM(C275)-SUM(D275)</f>
        <v/>
      </c>
      <c r="H275" s="220">
        <f>SUM(E275)-SUM(F275)</f>
        <v/>
      </c>
      <c r="I275" s="221">
        <f>IF(A275="Total",VLOOKUP(B275,CORRESPONDANCE[#All],2,FALSE),I276)</f>
        <v/>
      </c>
      <c r="J275" s="350">
        <f>LEFT(A275,1)</f>
        <v/>
      </c>
      <c r="K275" s="347">
        <f>"TIRR"&amp;" - "&amp;A275</f>
        <v/>
      </c>
      <c r="L275" s="347">
        <f>+VLOOKUP(K275,TL[],4,FALSE)</f>
        <v/>
      </c>
    </row>
    <row r="276">
      <c r="G276" s="220">
        <f>SUM(C276)-SUM(D276)</f>
        <v/>
      </c>
      <c r="H276" s="220">
        <f>SUM(E276)-SUM(F276)</f>
        <v/>
      </c>
      <c r="I276" s="221">
        <f>IF(A276="Total",VLOOKUP(B276,CORRESPONDANCE[#All],2,FALSE),I277)</f>
        <v/>
      </c>
      <c r="J276" s="350">
        <f>LEFT(A276,1)</f>
        <v/>
      </c>
      <c r="K276" s="347">
        <f>"TIRR"&amp;" - "&amp;A276</f>
        <v/>
      </c>
      <c r="L276" s="347">
        <f>+VLOOKUP(K276,TL[],4,FALSE)</f>
        <v/>
      </c>
    </row>
    <row r="277">
      <c r="G277" s="220">
        <f>SUM(C277)-SUM(D277)</f>
        <v/>
      </c>
      <c r="H277" s="220">
        <f>SUM(E277)-SUM(F277)</f>
        <v/>
      </c>
      <c r="I277" s="221">
        <f>IF(A277="Total",VLOOKUP(B277,CORRESPONDANCE[#All],2,FALSE),I278)</f>
        <v/>
      </c>
      <c r="J277" s="350">
        <f>LEFT(A277,1)</f>
        <v/>
      </c>
      <c r="K277" s="347">
        <f>"TIRR"&amp;" - "&amp;A277</f>
        <v/>
      </c>
      <c r="L277" s="347">
        <f>+VLOOKUP(K277,TL[],4,FALSE)</f>
        <v/>
      </c>
    </row>
    <row r="278">
      <c r="G278" s="220">
        <f>SUM(C278)-SUM(D278)</f>
        <v/>
      </c>
      <c r="H278" s="220">
        <f>SUM(E278)-SUM(F278)</f>
        <v/>
      </c>
      <c r="I278" s="221">
        <f>IF(A278="Total",VLOOKUP(B278,CORRESPONDANCE[#All],2,FALSE),I279)</f>
        <v/>
      </c>
      <c r="J278" s="350">
        <f>LEFT(A278,1)</f>
        <v/>
      </c>
      <c r="K278" s="347">
        <f>"TIRR"&amp;" - "&amp;A278</f>
        <v/>
      </c>
      <c r="L278" s="347">
        <f>+VLOOKUP(K278,TL[],4,FALSE)</f>
        <v/>
      </c>
    </row>
    <row r="279">
      <c r="G279" s="220">
        <f>SUM(C279)-SUM(D279)</f>
        <v/>
      </c>
      <c r="H279" s="220">
        <f>SUM(E279)-SUM(F279)</f>
        <v/>
      </c>
      <c r="I279" s="221">
        <f>IF(A279="Total",VLOOKUP(B279,CORRESPONDANCE[#All],2,FALSE),I280)</f>
        <v/>
      </c>
      <c r="J279" s="350">
        <f>LEFT(A279,1)</f>
        <v/>
      </c>
      <c r="K279" s="347">
        <f>"TIRR"&amp;" - "&amp;A279</f>
        <v/>
      </c>
      <c r="L279" s="347">
        <f>+VLOOKUP(K279,TL[],4,FALSE)</f>
        <v/>
      </c>
    </row>
    <row r="280">
      <c r="G280" s="220">
        <f>SUM(C280)-SUM(D280)</f>
        <v/>
      </c>
      <c r="H280" s="220">
        <f>SUM(E280)-SUM(F280)</f>
        <v/>
      </c>
      <c r="I280" s="221">
        <f>IF(A280="Total",VLOOKUP(B280,CORRESPONDANCE[#All],2,FALSE),I281)</f>
        <v/>
      </c>
      <c r="J280" s="350">
        <f>LEFT(A280,1)</f>
        <v/>
      </c>
      <c r="K280" s="347">
        <f>"TIRR"&amp;" - "&amp;A280</f>
        <v/>
      </c>
      <c r="L280" s="347">
        <f>+VLOOKUP(K280,TL[],4,FALSE)</f>
        <v/>
      </c>
    </row>
    <row r="281">
      <c r="G281" s="220">
        <f>SUM(C281)-SUM(D281)</f>
        <v/>
      </c>
      <c r="H281" s="220">
        <f>SUM(E281)-SUM(F281)</f>
        <v/>
      </c>
      <c r="I281" s="221">
        <f>IF(A281="Total",VLOOKUP(B281,CORRESPONDANCE[#All],2,FALSE),I282)</f>
        <v/>
      </c>
      <c r="J281" s="350">
        <f>LEFT(A281,1)</f>
        <v/>
      </c>
      <c r="K281" s="347">
        <f>"TIRR"&amp;" - "&amp;A281</f>
        <v/>
      </c>
      <c r="L281" s="347">
        <f>+VLOOKUP(K281,TL[],4,FALSE)</f>
        <v/>
      </c>
    </row>
    <row r="282">
      <c r="G282" s="220">
        <f>SUM(C282)-SUM(D282)</f>
        <v/>
      </c>
      <c r="H282" s="220">
        <f>SUM(E282)-SUM(F282)</f>
        <v/>
      </c>
      <c r="I282" s="221">
        <f>IF(A282="Total",VLOOKUP(B282,CORRESPONDANCE[#All],2,FALSE),I283)</f>
        <v/>
      </c>
      <c r="J282" s="350">
        <f>LEFT(A282,1)</f>
        <v/>
      </c>
      <c r="K282" s="347">
        <f>"TIRR"&amp;" - "&amp;A282</f>
        <v/>
      </c>
      <c r="L282" s="347">
        <f>+VLOOKUP(K282,TL[],4,FALSE)</f>
        <v/>
      </c>
    </row>
    <row r="283">
      <c r="G283" s="220">
        <f>SUM(C283)-SUM(D283)</f>
        <v/>
      </c>
      <c r="H283" s="220">
        <f>SUM(E283)-SUM(F283)</f>
        <v/>
      </c>
      <c r="I283" s="221">
        <f>IF(A283="Total",VLOOKUP(B283,CORRESPONDANCE[#All],2,FALSE),I284)</f>
        <v/>
      </c>
      <c r="J283" s="350">
        <f>LEFT(A283,1)</f>
        <v/>
      </c>
      <c r="K283" s="347">
        <f>"TIRR"&amp;" - "&amp;A283</f>
        <v/>
      </c>
      <c r="L283" s="347">
        <f>+VLOOKUP(K283,TL[],4,FALSE)</f>
        <v/>
      </c>
    </row>
    <row r="284">
      <c r="G284" s="220">
        <f>SUM(C284)-SUM(D284)</f>
        <v/>
      </c>
      <c r="H284" s="220">
        <f>SUM(E284)-SUM(F284)</f>
        <v/>
      </c>
      <c r="I284" s="221">
        <f>IF(A284="Total",VLOOKUP(B284,CORRESPONDANCE[#All],2,FALSE),I285)</f>
        <v/>
      </c>
      <c r="J284" s="350">
        <f>LEFT(A284,1)</f>
        <v/>
      </c>
      <c r="K284" s="347">
        <f>"TIRR"&amp;" - "&amp;A284</f>
        <v/>
      </c>
      <c r="L284" s="347">
        <f>+VLOOKUP(K284,TL[],4,FALSE)</f>
        <v/>
      </c>
    </row>
    <row r="285">
      <c r="G285" s="220">
        <f>SUM(C285)-SUM(D285)</f>
        <v/>
      </c>
      <c r="H285" s="220">
        <f>SUM(E285)-SUM(F285)</f>
        <v/>
      </c>
      <c r="I285" s="221">
        <f>IF(A285="Total",VLOOKUP(B285,CORRESPONDANCE[#All],2,FALSE),I286)</f>
        <v/>
      </c>
      <c r="J285" s="350">
        <f>LEFT(A285,1)</f>
        <v/>
      </c>
      <c r="K285" s="347">
        <f>"TIRR"&amp;" - "&amp;A285</f>
        <v/>
      </c>
      <c r="L285" s="347">
        <f>+VLOOKUP(K285,TL[],4,FALSE)</f>
        <v/>
      </c>
    </row>
    <row r="286">
      <c r="G286" s="220">
        <f>SUM(C286)-SUM(D286)</f>
        <v/>
      </c>
      <c r="H286" s="220">
        <f>SUM(E286)-SUM(F286)</f>
        <v/>
      </c>
      <c r="I286" s="221">
        <f>IF(A286="Total",VLOOKUP(B286,CORRESPONDANCE[#All],2,FALSE),I287)</f>
        <v/>
      </c>
      <c r="J286" s="350">
        <f>LEFT(A286,1)</f>
        <v/>
      </c>
      <c r="K286" s="347">
        <f>"TIRR"&amp;" - "&amp;A286</f>
        <v/>
      </c>
      <c r="L286" s="347">
        <f>+VLOOKUP(K286,TL[],4,FALSE)</f>
        <v/>
      </c>
    </row>
    <row r="287">
      <c r="G287" s="220">
        <f>SUM(C287)-SUM(D287)</f>
        <v/>
      </c>
      <c r="H287" s="220">
        <f>SUM(E287)-SUM(F287)</f>
        <v/>
      </c>
      <c r="I287" s="221">
        <f>IF(A287="Total",VLOOKUP(B287,CORRESPONDANCE[#All],2,FALSE),I288)</f>
        <v/>
      </c>
      <c r="J287" s="350">
        <f>LEFT(A287,1)</f>
        <v/>
      </c>
      <c r="K287" s="347">
        <f>"TIRR"&amp;" - "&amp;A287</f>
        <v/>
      </c>
      <c r="L287" s="347">
        <f>+VLOOKUP(K287,TL[],4,FALSE)</f>
        <v/>
      </c>
    </row>
    <row r="288">
      <c r="G288" s="220">
        <f>SUM(C288)-SUM(D288)</f>
        <v/>
      </c>
      <c r="H288" s="220">
        <f>SUM(E288)-SUM(F288)</f>
        <v/>
      </c>
      <c r="I288" s="221">
        <f>IF(A288="Total",VLOOKUP(B288,CORRESPONDANCE[#All],2,FALSE),I289)</f>
        <v/>
      </c>
      <c r="J288" s="350">
        <f>LEFT(A288,1)</f>
        <v/>
      </c>
      <c r="K288" s="347">
        <f>"TIRR"&amp;" - "&amp;A288</f>
        <v/>
      </c>
      <c r="L288" s="347">
        <f>+VLOOKUP(K288,TL[],4,FALSE)</f>
        <v/>
      </c>
    </row>
    <row r="289">
      <c r="G289" s="220">
        <f>SUM(C289)-SUM(D289)</f>
        <v/>
      </c>
      <c r="H289" s="220">
        <f>SUM(E289)-SUM(F289)</f>
        <v/>
      </c>
      <c r="I289" s="221">
        <f>IF(A289="Total",VLOOKUP(B289,CORRESPONDANCE[#All],2,FALSE),I290)</f>
        <v/>
      </c>
      <c r="J289" s="350">
        <f>LEFT(A289,1)</f>
        <v/>
      </c>
      <c r="K289" s="347">
        <f>"TIRR"&amp;" - "&amp;A289</f>
        <v/>
      </c>
      <c r="L289" s="347">
        <f>+VLOOKUP(K289,TL[],4,FALSE)</f>
        <v/>
      </c>
    </row>
    <row r="290">
      <c r="G290" s="220">
        <f>SUM(C290)-SUM(D290)</f>
        <v/>
      </c>
      <c r="H290" s="220">
        <f>SUM(E290)-SUM(F290)</f>
        <v/>
      </c>
      <c r="I290" s="221">
        <f>IF(A290="Total",VLOOKUP(B290,CORRESPONDANCE[#All],2,FALSE),I291)</f>
        <v/>
      </c>
      <c r="J290" s="350">
        <f>LEFT(A290,1)</f>
        <v/>
      </c>
      <c r="K290" s="347">
        <f>"TIRR"&amp;" - "&amp;A290</f>
        <v/>
      </c>
      <c r="L290" s="347">
        <f>+VLOOKUP(K290,TL[],4,FALSE)</f>
        <v/>
      </c>
    </row>
    <row r="291">
      <c r="G291" s="220">
        <f>SUM(C291)-SUM(D291)</f>
        <v/>
      </c>
      <c r="H291" s="220">
        <f>SUM(E291)-SUM(F291)</f>
        <v/>
      </c>
      <c r="I291" s="221">
        <f>IF(A291="Total",VLOOKUP(B291,CORRESPONDANCE[#All],2,FALSE),I292)</f>
        <v/>
      </c>
      <c r="J291" s="350">
        <f>LEFT(A291,1)</f>
        <v/>
      </c>
      <c r="K291" s="347">
        <f>"TIRR"&amp;" - "&amp;A291</f>
        <v/>
      </c>
      <c r="L291" s="347">
        <f>+VLOOKUP(K291,TL[],4,FALSE)</f>
        <v/>
      </c>
    </row>
    <row r="292">
      <c r="G292" s="220">
        <f>SUM(C292)-SUM(D292)</f>
        <v/>
      </c>
      <c r="H292" s="220">
        <f>SUM(E292)-SUM(F292)</f>
        <v/>
      </c>
      <c r="I292" s="221">
        <f>IF(A292="Total",VLOOKUP(B292,CORRESPONDANCE[#All],2,FALSE),I293)</f>
        <v/>
      </c>
      <c r="J292" s="350">
        <f>LEFT(A292,1)</f>
        <v/>
      </c>
      <c r="K292" s="347">
        <f>"TIRR"&amp;" - "&amp;A292</f>
        <v/>
      </c>
      <c r="L292" s="347">
        <f>+VLOOKUP(K292,TL[],4,FALSE)</f>
        <v/>
      </c>
    </row>
    <row r="293">
      <c r="G293" s="220">
        <f>SUM(C293)-SUM(D293)</f>
        <v/>
      </c>
      <c r="H293" s="220">
        <f>SUM(E293)-SUM(F293)</f>
        <v/>
      </c>
      <c r="I293" s="221">
        <f>IF(A293="Total",VLOOKUP(B293,CORRESPONDANCE[#All],2,FALSE),I294)</f>
        <v/>
      </c>
      <c r="J293" s="350">
        <f>LEFT(A293,1)</f>
        <v/>
      </c>
      <c r="K293" s="347">
        <f>"TIRR"&amp;" - "&amp;A293</f>
        <v/>
      </c>
      <c r="L293" s="347">
        <f>+VLOOKUP(K293,TL[],4,FALSE)</f>
        <v/>
      </c>
    </row>
    <row r="294">
      <c r="G294" s="220">
        <f>SUM(C294)-SUM(D294)</f>
        <v/>
      </c>
      <c r="H294" s="220">
        <f>SUM(E294)-SUM(F294)</f>
        <v/>
      </c>
      <c r="I294" s="221">
        <f>IF(A294="Total",VLOOKUP(B294,CORRESPONDANCE[#All],2,FALSE),I295)</f>
        <v/>
      </c>
      <c r="J294" s="350">
        <f>LEFT(A294,1)</f>
        <v/>
      </c>
      <c r="K294" s="347">
        <f>"TIRR"&amp;" - "&amp;A294</f>
        <v/>
      </c>
      <c r="L294" s="347">
        <f>+VLOOKUP(K294,TL[],4,FALSE)</f>
        <v/>
      </c>
    </row>
    <row r="295">
      <c r="G295" s="220">
        <f>SUM(C295)-SUM(D295)</f>
        <v/>
      </c>
      <c r="H295" s="220">
        <f>SUM(E295)-SUM(F295)</f>
        <v/>
      </c>
      <c r="I295" s="221">
        <f>IF(A295="Total",VLOOKUP(B295,CORRESPONDANCE[#All],2,FALSE),I296)</f>
        <v/>
      </c>
      <c r="J295" s="350">
        <f>LEFT(A295,1)</f>
        <v/>
      </c>
      <c r="K295" s="347">
        <f>"TIRR"&amp;" - "&amp;A295</f>
        <v/>
      </c>
      <c r="L295" s="347">
        <f>+VLOOKUP(K295,TL[],4,FALSE)</f>
        <v/>
      </c>
    </row>
    <row r="296">
      <c r="G296" s="220">
        <f>SUM(C296)-SUM(D296)</f>
        <v/>
      </c>
      <c r="H296" s="220">
        <f>SUM(E296)-SUM(F296)</f>
        <v/>
      </c>
      <c r="I296" s="221">
        <f>IF(A296="Total",VLOOKUP(B296,CORRESPONDANCE[#All],2,FALSE),I297)</f>
        <v/>
      </c>
      <c r="J296" s="350">
        <f>LEFT(A296,1)</f>
        <v/>
      </c>
      <c r="K296" s="347">
        <f>"TIRR"&amp;" - "&amp;A296</f>
        <v/>
      </c>
      <c r="L296" s="347">
        <f>+VLOOKUP(K296,TL[],4,FALSE)</f>
        <v/>
      </c>
    </row>
    <row r="297">
      <c r="G297" s="220">
        <f>SUM(C297)-SUM(D297)</f>
        <v/>
      </c>
      <c r="H297" s="220">
        <f>SUM(E297)-SUM(F297)</f>
        <v/>
      </c>
      <c r="I297" s="221">
        <f>IF(A297="Total",VLOOKUP(B297,CORRESPONDANCE[#All],2,FALSE),I298)</f>
        <v/>
      </c>
      <c r="J297" s="350">
        <f>LEFT(A297,1)</f>
        <v/>
      </c>
      <c r="K297" s="347">
        <f>"TIRR"&amp;" - "&amp;A297</f>
        <v/>
      </c>
      <c r="L297" s="347">
        <f>+VLOOKUP(K297,TL[],4,FALSE)</f>
        <v/>
      </c>
    </row>
  </sheetData>
  <autoFilter ref="A1:L281"/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304"/>
  <sheetViews>
    <sheetView topLeftCell="A284" zoomScaleNormal="100" workbookViewId="0">
      <selection activeCell="F301" sqref="A1:F301"/>
    </sheetView>
  </sheetViews>
  <sheetFormatPr baseColWidth="10" defaultColWidth="11.5703125" defaultRowHeight="12.75"/>
  <cols>
    <col width="11.5703125" customWidth="1" style="225" min="1" max="1"/>
    <col width="46" bestFit="1" customWidth="1" style="351" min="2" max="2"/>
    <col width="13.28515625" customWidth="1" style="216" min="3" max="6"/>
    <col width="13.28515625" customWidth="1" style="223" min="7" max="8"/>
    <col width="11.5703125" customWidth="1" style="224" min="9" max="9"/>
    <col width="11.5703125" customWidth="1" style="347" min="10" max="16384"/>
  </cols>
  <sheetData>
    <row r="1" ht="15" customHeight="1" s="161">
      <c r="A1" s="290" t="n"/>
      <c r="B1" s="290" t="n"/>
      <c r="C1" s="290" t="n"/>
      <c r="D1" s="290" t="n"/>
      <c r="E1" s="290" t="n"/>
      <c r="F1" s="290" t="n"/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 ht="15" customHeight="1" s="161">
      <c r="A2" s="290" t="n"/>
      <c r="B2" s="290" t="n"/>
      <c r="C2" s="290" t="n"/>
      <c r="D2" s="290" t="n"/>
      <c r="E2" s="290" t="n"/>
      <c r="F2" s="290" t="n"/>
      <c r="G2" s="220">
        <f>SUM(C2)-SUM(D2)</f>
        <v/>
      </c>
      <c r="H2" s="220">
        <f>SUM(E2)-SUM(F2)</f>
        <v/>
      </c>
      <c r="I2" s="221">
        <f>IF(A2="Total",VLOOKUP(B2,CORRESPONDANCE[#All],2,FALSE),I3)</f>
        <v/>
      </c>
      <c r="J2" s="350">
        <f>LEFT(A2,1)</f>
        <v/>
      </c>
      <c r="K2" s="347">
        <f>"VR7"&amp;" - "&amp;A2</f>
        <v/>
      </c>
      <c r="L2" s="347">
        <f>+VLOOKUP(K2,TL[],4,FALSE)</f>
        <v/>
      </c>
    </row>
    <row r="3" ht="15" customHeight="1" s="161">
      <c r="A3" s="290" t="n"/>
      <c r="B3" s="290" t="n"/>
      <c r="C3" s="290" t="n"/>
      <c r="D3" s="290" t="n"/>
      <c r="E3" s="290" t="n"/>
      <c r="F3" s="290" t="n"/>
      <c r="G3" s="220">
        <f>SUM(C3)-SUM(D3)</f>
        <v/>
      </c>
      <c r="H3" s="220">
        <f>SUM(E3)-SUM(F3)</f>
        <v/>
      </c>
      <c r="I3" s="221">
        <f>IF(A3="Total",VLOOKUP(B3,CORRESPONDANCE[#All],2,FALSE),I4)</f>
        <v/>
      </c>
      <c r="J3" s="350">
        <f>LEFT(A3,1)</f>
        <v/>
      </c>
      <c r="K3" s="347">
        <f>"VR7"&amp;" - "&amp;A3</f>
        <v/>
      </c>
      <c r="L3" s="347">
        <f>+VLOOKUP(K3,TL[],4,FALSE)</f>
        <v/>
      </c>
    </row>
    <row r="4" ht="15" customHeight="1" s="161">
      <c r="A4" s="290" t="n"/>
      <c r="B4" s="290" t="n"/>
      <c r="C4" s="290" t="n"/>
      <c r="D4" s="290" t="n"/>
      <c r="E4" s="290" t="n"/>
      <c r="F4" s="290" t="n"/>
      <c r="G4" s="220">
        <f>SUM(C4)-SUM(D4)</f>
        <v/>
      </c>
      <c r="H4" s="220">
        <f>SUM(E4)-SUM(F4)</f>
        <v/>
      </c>
      <c r="I4" s="221">
        <f>IF(A4="Total",VLOOKUP(B4,CORRESPONDANCE[#All],2,FALSE),I5)</f>
        <v/>
      </c>
      <c r="J4" s="350">
        <f>LEFT(A4,1)</f>
        <v/>
      </c>
      <c r="K4" s="347">
        <f>"VR7"&amp;" - "&amp;A4</f>
        <v/>
      </c>
      <c r="L4" s="347">
        <f>+VLOOKUP(K4,TL[],4,FALSE)</f>
        <v/>
      </c>
    </row>
    <row r="5" ht="15" customHeight="1" s="161">
      <c r="A5" s="290" t="n"/>
      <c r="B5" s="290" t="n"/>
      <c r="C5" s="290" t="n"/>
      <c r="D5" s="290" t="n"/>
      <c r="E5" s="290" t="n"/>
      <c r="F5" s="290" t="n"/>
      <c r="G5" s="220">
        <f>SUM(C5)-SUM(D5)</f>
        <v/>
      </c>
      <c r="H5" s="220">
        <f>SUM(E5)-SUM(F5)</f>
        <v/>
      </c>
      <c r="I5" s="221">
        <f>IF(A5="Total",VLOOKUP(B5,CORRESPONDANCE[#All],2,FALSE),I6)</f>
        <v/>
      </c>
      <c r="J5" s="350">
        <f>LEFT(A5,1)</f>
        <v/>
      </c>
      <c r="K5" s="347">
        <f>"VR7"&amp;" - "&amp;A5</f>
        <v/>
      </c>
      <c r="L5" s="347">
        <f>+VLOOKUP(K5,TL[],4,FALSE)</f>
        <v/>
      </c>
    </row>
    <row r="6" ht="15" customHeight="1" s="161">
      <c r="A6" s="290" t="n"/>
      <c r="B6" s="290" t="n"/>
      <c r="C6" s="290" t="n"/>
      <c r="D6" s="290" t="n"/>
      <c r="E6" s="290" t="n"/>
      <c r="F6" s="290" t="n"/>
      <c r="G6" s="220">
        <f>SUM(C6)-SUM(D6)</f>
        <v/>
      </c>
      <c r="H6" s="220">
        <f>SUM(E6)-SUM(F6)</f>
        <v/>
      </c>
      <c r="I6" s="221">
        <f>IF(A6="Total",VLOOKUP(B6,CORRESPONDANCE[#All],2,FALSE),I7)</f>
        <v/>
      </c>
      <c r="J6" s="350">
        <f>LEFT(A6,1)</f>
        <v/>
      </c>
      <c r="K6" s="347">
        <f>"VR7"&amp;" - "&amp;A6</f>
        <v/>
      </c>
      <c r="L6" s="347">
        <f>+VLOOKUP(K6,TL[],4,FALSE)</f>
        <v/>
      </c>
    </row>
    <row r="7" ht="15" customHeight="1" s="161">
      <c r="A7" s="290" t="n"/>
      <c r="B7" s="290" t="n"/>
      <c r="C7" s="290" t="n"/>
      <c r="D7" s="290" t="n"/>
      <c r="E7" s="290" t="n"/>
      <c r="F7" s="290" t="n"/>
      <c r="G7" s="220">
        <f>SUM(C7)-SUM(D7)</f>
        <v/>
      </c>
      <c r="H7" s="220">
        <f>SUM(E7)-SUM(F7)</f>
        <v/>
      </c>
      <c r="I7" s="221">
        <f>IF(A7="Total",VLOOKUP(B7,CORRESPONDANCE[#All],2,FALSE),I8)</f>
        <v/>
      </c>
      <c r="J7" s="350">
        <f>LEFT(A7,1)</f>
        <v/>
      </c>
      <c r="K7" s="347">
        <f>"VR7"&amp;" - "&amp;A7</f>
        <v/>
      </c>
      <c r="L7" s="347">
        <f>+VLOOKUP(K7,TL[],4,FALSE)</f>
        <v/>
      </c>
    </row>
    <row r="8" ht="15" customHeight="1" s="161">
      <c r="A8" s="290" t="n"/>
      <c r="B8" s="290" t="n"/>
      <c r="C8" s="290" t="n"/>
      <c r="D8" s="290" t="n"/>
      <c r="E8" s="290" t="n"/>
      <c r="F8" s="290" t="n"/>
      <c r="G8" s="220">
        <f>SUM(C8)-SUM(D8)</f>
        <v/>
      </c>
      <c r="H8" s="220">
        <f>SUM(E8)-SUM(F8)</f>
        <v/>
      </c>
      <c r="I8" s="221">
        <f>IF(A8="Total",VLOOKUP(B8,CORRESPONDANCE[#All],2,FALSE),I9)</f>
        <v/>
      </c>
      <c r="J8" s="350">
        <f>LEFT(A8,1)</f>
        <v/>
      </c>
      <c r="K8" s="347">
        <f>"VR7"&amp;" - "&amp;A8</f>
        <v/>
      </c>
      <c r="L8" s="347">
        <f>+VLOOKUP(K8,TL[],4,FALSE)</f>
        <v/>
      </c>
    </row>
    <row r="9" ht="15" customHeight="1" s="161">
      <c r="A9" s="290" t="n"/>
      <c r="B9" s="290" t="n"/>
      <c r="C9" s="290" t="n"/>
      <c r="D9" s="290" t="n"/>
      <c r="E9" s="290" t="n"/>
      <c r="F9" s="290" t="n"/>
      <c r="G9" s="220">
        <f>SUM(C9)-SUM(D9)</f>
        <v/>
      </c>
      <c r="H9" s="220">
        <f>SUM(E9)-SUM(F9)</f>
        <v/>
      </c>
      <c r="I9" s="221">
        <f>IF(A9="Total",VLOOKUP(B9,CORRESPONDANCE[#All],2,FALSE),I10)</f>
        <v/>
      </c>
      <c r="J9" s="350">
        <f>LEFT(A9,1)</f>
        <v/>
      </c>
      <c r="K9" s="347">
        <f>"VR7"&amp;" - "&amp;A9</f>
        <v/>
      </c>
      <c r="L9" s="347">
        <f>+VLOOKUP(K9,TL[],4,FALSE)</f>
        <v/>
      </c>
    </row>
    <row r="10" ht="15" customHeight="1" s="161">
      <c r="A10" s="290" t="n"/>
      <c r="B10" s="290" t="n"/>
      <c r="C10" s="290" t="n"/>
      <c r="D10" s="290" t="n"/>
      <c r="E10" s="290" t="n"/>
      <c r="F10" s="290" t="n"/>
      <c r="G10" s="220">
        <f>SUM(C10)-SUM(D10)</f>
        <v/>
      </c>
      <c r="H10" s="220">
        <f>SUM(E10)-SUM(F10)</f>
        <v/>
      </c>
      <c r="I10" s="221">
        <f>IF(A10="Total",VLOOKUP(B10,CORRESPONDANCE[#All],2,FALSE),I11)</f>
        <v/>
      </c>
      <c r="J10" s="350">
        <f>LEFT(A10,1)</f>
        <v/>
      </c>
      <c r="K10" s="347">
        <f>"VR7"&amp;" - "&amp;A10</f>
        <v/>
      </c>
      <c r="L10" s="347">
        <f>+VLOOKUP(K10,TL[],4,FALSE)</f>
        <v/>
      </c>
    </row>
    <row r="11" ht="15" customHeight="1" s="161">
      <c r="A11" s="290" t="n"/>
      <c r="B11" s="290" t="n"/>
      <c r="C11" s="290" t="n"/>
      <c r="D11" s="290" t="n"/>
      <c r="E11" s="290" t="n"/>
      <c r="F11" s="290" t="n"/>
      <c r="G11" s="220">
        <f>SUM(C11)-SUM(D11)</f>
        <v/>
      </c>
      <c r="H11" s="220">
        <f>SUM(E11)-SUM(F11)</f>
        <v/>
      </c>
      <c r="I11" s="221">
        <f>IF(A11="Total",VLOOKUP(B11,CORRESPONDANCE[#All],2,FALSE),I12)</f>
        <v/>
      </c>
      <c r="J11" s="350">
        <f>LEFT(A11,1)</f>
        <v/>
      </c>
      <c r="K11" s="347">
        <f>"VR7"&amp;" - "&amp;A11</f>
        <v/>
      </c>
      <c r="L11" s="347">
        <f>+VLOOKUP(K11,TL[],4,FALSE)</f>
        <v/>
      </c>
    </row>
    <row r="12" ht="15" customHeight="1" s="161">
      <c r="A12" s="290" t="n"/>
      <c r="B12" s="290" t="n"/>
      <c r="C12" s="290" t="n"/>
      <c r="D12" s="290" t="n"/>
      <c r="E12" s="290" t="n"/>
      <c r="F12" s="290" t="n"/>
      <c r="G12" s="220">
        <f>SUM(C12)-SUM(D12)</f>
        <v/>
      </c>
      <c r="H12" s="220">
        <f>SUM(E12)-SUM(F12)</f>
        <v/>
      </c>
      <c r="I12" s="221">
        <f>IF(A12="Total",VLOOKUP(B12,CORRESPONDANCE[#All],2,FALSE),I13)</f>
        <v/>
      </c>
      <c r="J12" s="350">
        <f>LEFT(A12,1)</f>
        <v/>
      </c>
      <c r="K12" s="347">
        <f>"VR7"&amp;" - "&amp;A12</f>
        <v/>
      </c>
      <c r="L12" s="347">
        <f>+VLOOKUP(K12,TL[],4,FALSE)</f>
        <v/>
      </c>
    </row>
    <row r="13" ht="15" customHeight="1" s="161">
      <c r="A13" s="290" t="n"/>
      <c r="B13" s="290" t="n"/>
      <c r="C13" s="290" t="n"/>
      <c r="D13" s="290" t="n"/>
      <c r="E13" s="290" t="n"/>
      <c r="F13" s="290" t="n"/>
      <c r="G13" s="220">
        <f>SUM(C13)-SUM(D13)</f>
        <v/>
      </c>
      <c r="H13" s="220">
        <f>SUM(E13)-SUM(F13)</f>
        <v/>
      </c>
      <c r="I13" s="221">
        <f>IF(A13="Total",VLOOKUP(B13,CORRESPONDANCE[#All],2,FALSE),I14)</f>
        <v/>
      </c>
      <c r="J13" s="350">
        <f>LEFT(A13,1)</f>
        <v/>
      </c>
      <c r="K13" s="347">
        <f>"VR7"&amp;" - "&amp;A13</f>
        <v/>
      </c>
      <c r="L13" s="347">
        <f>+VLOOKUP(K13,TL[],4,FALSE)</f>
        <v/>
      </c>
    </row>
    <row r="14" ht="15" customHeight="1" s="161">
      <c r="A14" s="290" t="n"/>
      <c r="B14" s="290" t="n"/>
      <c r="C14" s="290" t="n"/>
      <c r="D14" s="290" t="n"/>
      <c r="E14" s="290" t="n"/>
      <c r="F14" s="290" t="n"/>
      <c r="G14" s="220">
        <f>SUM(C14)-SUM(D14)</f>
        <v/>
      </c>
      <c r="H14" s="220">
        <f>SUM(E14)-SUM(F14)</f>
        <v/>
      </c>
      <c r="I14" s="221">
        <f>IF(A14="Total",VLOOKUP(B14,CORRESPONDANCE[#All],2,FALSE),I15)</f>
        <v/>
      </c>
      <c r="J14" s="350">
        <f>LEFT(A14,1)</f>
        <v/>
      </c>
      <c r="K14" s="347">
        <f>"VR7"&amp;" - "&amp;A14</f>
        <v/>
      </c>
      <c r="L14" s="347">
        <f>+VLOOKUP(K14,TL[],4,FALSE)</f>
        <v/>
      </c>
    </row>
    <row r="15" ht="15" customHeight="1" s="161">
      <c r="A15" s="290" t="n"/>
      <c r="B15" s="290" t="n"/>
      <c r="C15" s="290" t="n"/>
      <c r="D15" s="290" t="n"/>
      <c r="E15" s="290" t="n"/>
      <c r="F15" s="290" t="n"/>
      <c r="G15" s="220">
        <f>SUM(C15)-SUM(D15)</f>
        <v/>
      </c>
      <c r="H15" s="220">
        <f>SUM(E15)-SUM(F15)</f>
        <v/>
      </c>
      <c r="I15" s="221">
        <f>IF(A15="Total",VLOOKUP(B15,CORRESPONDANCE[#All],2,FALSE),I16)</f>
        <v/>
      </c>
      <c r="J15" s="350">
        <f>LEFT(A15,1)</f>
        <v/>
      </c>
      <c r="K15" s="347">
        <f>"VR7"&amp;" - "&amp;A15</f>
        <v/>
      </c>
      <c r="L15" s="347">
        <f>+VLOOKUP(K15,TL[],4,FALSE)</f>
        <v/>
      </c>
    </row>
    <row r="16" ht="15" customHeight="1" s="161">
      <c r="A16" s="290" t="n"/>
      <c r="B16" s="290" t="n"/>
      <c r="C16" s="290" t="n"/>
      <c r="D16" s="290" t="n"/>
      <c r="E16" s="290" t="n"/>
      <c r="F16" s="290" t="n"/>
      <c r="G16" s="220">
        <f>SUM(C16)-SUM(D16)</f>
        <v/>
      </c>
      <c r="H16" s="220">
        <f>SUM(E16)-SUM(F16)</f>
        <v/>
      </c>
      <c r="I16" s="221">
        <f>IF(A16="Total",VLOOKUP(B16,CORRESPONDANCE[#All],2,FALSE),I17)</f>
        <v/>
      </c>
      <c r="J16" s="350">
        <f>LEFT(A16,1)</f>
        <v/>
      </c>
      <c r="K16" s="347">
        <f>"VR7"&amp;" - "&amp;A16</f>
        <v/>
      </c>
      <c r="L16" s="347">
        <f>+VLOOKUP(K16,TL[],4,FALSE)</f>
        <v/>
      </c>
    </row>
    <row r="17" ht="15" customHeight="1" s="161">
      <c r="A17" s="290" t="n"/>
      <c r="B17" s="290" t="n"/>
      <c r="C17" s="290" t="n"/>
      <c r="D17" s="290" t="n"/>
      <c r="E17" s="290" t="n"/>
      <c r="F17" s="290" t="n"/>
      <c r="G17" s="220">
        <f>SUM(C17)-SUM(D17)</f>
        <v/>
      </c>
      <c r="H17" s="220">
        <f>SUM(E17)-SUM(F17)</f>
        <v/>
      </c>
      <c r="I17" s="221">
        <f>IF(A17="Total",VLOOKUP(B17,CORRESPONDANCE[#All],2,FALSE),I18)</f>
        <v/>
      </c>
      <c r="J17" s="350">
        <f>LEFT(A17,1)</f>
        <v/>
      </c>
      <c r="K17" s="347">
        <f>"VR7"&amp;" - "&amp;A17</f>
        <v/>
      </c>
      <c r="L17" s="347">
        <f>+VLOOKUP(K17,TL[],4,FALSE)</f>
        <v/>
      </c>
    </row>
    <row r="18" ht="15" customHeight="1" s="161">
      <c r="A18" s="290" t="n"/>
      <c r="B18" s="290" t="n"/>
      <c r="C18" s="290" t="n"/>
      <c r="D18" s="290" t="n"/>
      <c r="E18" s="290" t="n"/>
      <c r="F18" s="290" t="n"/>
      <c r="G18" s="220">
        <f>SUM(C18)-SUM(D18)</f>
        <v/>
      </c>
      <c r="H18" s="220">
        <f>SUM(E18)-SUM(F18)</f>
        <v/>
      </c>
      <c r="I18" s="221">
        <f>IF(A18="Total",VLOOKUP(B18,CORRESPONDANCE[#All],2,FALSE),I19)</f>
        <v/>
      </c>
      <c r="J18" s="350">
        <f>LEFT(A18,1)</f>
        <v/>
      </c>
      <c r="K18" s="347">
        <f>"VR7"&amp;" - "&amp;A18</f>
        <v/>
      </c>
      <c r="L18" s="347">
        <f>+VLOOKUP(K18,TL[],4,FALSE)</f>
        <v/>
      </c>
    </row>
    <row r="19" ht="15" customHeight="1" s="161">
      <c r="A19" s="290" t="n"/>
      <c r="B19" s="290" t="n"/>
      <c r="C19" s="290" t="n"/>
      <c r="D19" s="290" t="n"/>
      <c r="E19" s="290" t="n"/>
      <c r="F19" s="290" t="n"/>
      <c r="G19" s="220">
        <f>SUM(C19)-SUM(D19)</f>
        <v/>
      </c>
      <c r="H19" s="220">
        <f>SUM(E19)-SUM(F19)</f>
        <v/>
      </c>
      <c r="I19" s="221">
        <f>IF(A19="Total",VLOOKUP(B19,CORRESPONDANCE[#All],2,FALSE),I20)</f>
        <v/>
      </c>
      <c r="J19" s="350">
        <f>LEFT(A19,1)</f>
        <v/>
      </c>
      <c r="K19" s="347">
        <f>"VR7"&amp;" - "&amp;A19</f>
        <v/>
      </c>
      <c r="L19" s="347">
        <f>+VLOOKUP(K19,TL[],4,FALSE)</f>
        <v/>
      </c>
    </row>
    <row r="20" ht="15" customHeight="1" s="161">
      <c r="A20" s="290" t="n"/>
      <c r="B20" s="290" t="n"/>
      <c r="C20" s="290" t="n"/>
      <c r="D20" s="290" t="n"/>
      <c r="E20" s="290" t="n"/>
      <c r="F20" s="290" t="n"/>
      <c r="G20" s="220">
        <f>SUM(C20)-SUM(D20)</f>
        <v/>
      </c>
      <c r="H20" s="220">
        <f>SUM(E20)-SUM(F20)</f>
        <v/>
      </c>
      <c r="I20" s="221">
        <f>IF(A20="Total",VLOOKUP(B20,CORRESPONDANCE[#All],2,FALSE),I21)</f>
        <v/>
      </c>
      <c r="J20" s="350">
        <f>LEFT(A20,1)</f>
        <v/>
      </c>
      <c r="K20" s="347">
        <f>"VR7"&amp;" - "&amp;A20</f>
        <v/>
      </c>
      <c r="L20" s="347">
        <f>+VLOOKUP(K20,TL[],4,FALSE)</f>
        <v/>
      </c>
    </row>
    <row r="21" ht="15" customHeight="1" s="161">
      <c r="A21" s="290" t="n"/>
      <c r="B21" s="290" t="n"/>
      <c r="C21" s="290" t="n"/>
      <c r="D21" s="290" t="n"/>
      <c r="E21" s="290" t="n"/>
      <c r="F21" s="290" t="n"/>
      <c r="G21" s="220">
        <f>SUM(C21)-SUM(D21)</f>
        <v/>
      </c>
      <c r="H21" s="220">
        <f>SUM(E21)-SUM(F21)</f>
        <v/>
      </c>
      <c r="I21" s="221">
        <f>IF(A21="Total",VLOOKUP(B21,CORRESPONDANCE[#All],2,FALSE),I22)</f>
        <v/>
      </c>
      <c r="J21" s="350">
        <f>LEFT(A21,1)</f>
        <v/>
      </c>
      <c r="K21" s="347">
        <f>"VR7"&amp;" - "&amp;A21</f>
        <v/>
      </c>
      <c r="L21" s="347">
        <f>+VLOOKUP(K21,TL[],4,FALSE)</f>
        <v/>
      </c>
    </row>
    <row r="22" ht="15" customHeight="1" s="161">
      <c r="A22" s="290" t="n"/>
      <c r="B22" s="290" t="n"/>
      <c r="C22" s="290" t="n"/>
      <c r="D22" s="290" t="n"/>
      <c r="E22" s="290" t="n"/>
      <c r="F22" s="290" t="n"/>
      <c r="G22" s="220">
        <f>SUM(C22)-SUM(D22)</f>
        <v/>
      </c>
      <c r="H22" s="220">
        <f>SUM(E22)-SUM(F22)</f>
        <v/>
      </c>
      <c r="I22" s="221">
        <f>IF(A22="Total",VLOOKUP(B22,CORRESPONDANCE[#All],2,FALSE),I23)</f>
        <v/>
      </c>
      <c r="J22" s="350">
        <f>LEFT(A22,1)</f>
        <v/>
      </c>
      <c r="K22" s="347">
        <f>"VR7"&amp;" - "&amp;A22</f>
        <v/>
      </c>
      <c r="L22" s="347">
        <f>+VLOOKUP(K22,TL[],4,FALSE)</f>
        <v/>
      </c>
    </row>
    <row r="23" ht="15" customHeight="1" s="161">
      <c r="A23" s="290" t="n"/>
      <c r="B23" s="290" t="n"/>
      <c r="C23" s="290" t="n"/>
      <c r="D23" s="290" t="n"/>
      <c r="E23" s="290" t="n"/>
      <c r="F23" s="290" t="n"/>
      <c r="G23" s="220">
        <f>SUM(C23)-SUM(D23)</f>
        <v/>
      </c>
      <c r="H23" s="220">
        <f>SUM(E23)-SUM(F23)</f>
        <v/>
      </c>
      <c r="I23" s="221">
        <f>IF(A23="Total",VLOOKUP(B23,CORRESPONDANCE[#All],2,FALSE),I24)</f>
        <v/>
      </c>
      <c r="J23" s="350">
        <f>LEFT(A23,1)</f>
        <v/>
      </c>
      <c r="K23" s="347">
        <f>"VR7"&amp;" - "&amp;A23</f>
        <v/>
      </c>
      <c r="L23" s="347">
        <f>+VLOOKUP(K23,TL[],4,FALSE)</f>
        <v/>
      </c>
    </row>
    <row r="24" ht="15" customHeight="1" s="161">
      <c r="A24" s="290" t="n"/>
      <c r="B24" s="290" t="n"/>
      <c r="C24" s="290" t="n"/>
      <c r="D24" s="290" t="n"/>
      <c r="E24" s="290" t="n"/>
      <c r="F24" s="290" t="n"/>
      <c r="G24" s="220">
        <f>SUM(C24)-SUM(D24)</f>
        <v/>
      </c>
      <c r="H24" s="220">
        <f>SUM(E24)-SUM(F24)</f>
        <v/>
      </c>
      <c r="I24" s="221">
        <f>IF(A24="Total",VLOOKUP(B24,CORRESPONDANCE[#All],2,FALSE),I25)</f>
        <v/>
      </c>
      <c r="J24" s="350">
        <f>LEFT(A24,1)</f>
        <v/>
      </c>
      <c r="K24" s="347">
        <f>"VR7"&amp;" - "&amp;A24</f>
        <v/>
      </c>
      <c r="L24" s="347">
        <f>+VLOOKUP(K24,TL[],4,FALSE)</f>
        <v/>
      </c>
    </row>
    <row r="25" ht="15" customHeight="1" s="161">
      <c r="A25" s="290" t="n"/>
      <c r="B25" s="290" t="n"/>
      <c r="C25" s="290" t="n"/>
      <c r="D25" s="290" t="n"/>
      <c r="E25" s="290" t="n"/>
      <c r="F25" s="290" t="n"/>
      <c r="G25" s="220">
        <f>SUM(C25)-SUM(D25)</f>
        <v/>
      </c>
      <c r="H25" s="220">
        <f>SUM(E25)-SUM(F25)</f>
        <v/>
      </c>
      <c r="I25" s="221">
        <f>IF(A25="Total",VLOOKUP(B25,CORRESPONDANCE[#All],2,FALSE),I26)</f>
        <v/>
      </c>
      <c r="J25" s="350">
        <f>LEFT(A25,1)</f>
        <v/>
      </c>
      <c r="K25" s="347">
        <f>"VR7"&amp;" - "&amp;A25</f>
        <v/>
      </c>
      <c r="L25" s="347">
        <f>+VLOOKUP(K25,TL[],4,FALSE)</f>
        <v/>
      </c>
    </row>
    <row r="26" ht="15" customHeight="1" s="161">
      <c r="A26" s="290" t="n"/>
      <c r="B26" s="290" t="n"/>
      <c r="C26" s="290" t="n"/>
      <c r="D26" s="290" t="n"/>
      <c r="E26" s="290" t="n"/>
      <c r="F26" s="290" t="n"/>
      <c r="G26" s="220">
        <f>SUM(C26)-SUM(D26)</f>
        <v/>
      </c>
      <c r="H26" s="220">
        <f>SUM(E26)-SUM(F26)</f>
        <v/>
      </c>
      <c r="I26" s="221">
        <f>IF(A26="Total",VLOOKUP(B26,CORRESPONDANCE[#All],2,FALSE),I27)</f>
        <v/>
      </c>
      <c r="J26" s="350">
        <f>LEFT(A26,1)</f>
        <v/>
      </c>
      <c r="K26" s="347">
        <f>"VR7"&amp;" - "&amp;A26</f>
        <v/>
      </c>
      <c r="L26" s="347">
        <f>+VLOOKUP(K26,TL[],4,FALSE)</f>
        <v/>
      </c>
    </row>
    <row r="27" ht="15" customHeight="1" s="161">
      <c r="A27" s="290" t="n"/>
      <c r="B27" s="290" t="n"/>
      <c r="C27" s="290" t="n"/>
      <c r="D27" s="290" t="n"/>
      <c r="E27" s="290" t="n"/>
      <c r="F27" s="290" t="n"/>
      <c r="G27" s="220">
        <f>SUM(C27)-SUM(D27)</f>
        <v/>
      </c>
      <c r="H27" s="220">
        <f>SUM(E27)-SUM(F27)</f>
        <v/>
      </c>
      <c r="I27" s="221">
        <f>IF(A27="Total",VLOOKUP(B27,CORRESPONDANCE[#All],2,FALSE),I28)</f>
        <v/>
      </c>
      <c r="J27" s="350">
        <f>LEFT(A27,1)</f>
        <v/>
      </c>
      <c r="K27" s="347">
        <f>"VR7"&amp;" - "&amp;A27</f>
        <v/>
      </c>
      <c r="L27" s="347">
        <f>+VLOOKUP(K27,TL[],4,FALSE)</f>
        <v/>
      </c>
    </row>
    <row r="28" ht="15" customHeight="1" s="161">
      <c r="A28" s="290" t="n"/>
      <c r="B28" s="290" t="n"/>
      <c r="C28" s="290" t="n"/>
      <c r="D28" s="290" t="n"/>
      <c r="E28" s="290" t="n"/>
      <c r="F28" s="290" t="n"/>
      <c r="G28" s="220">
        <f>SUM(C28)-SUM(D28)</f>
        <v/>
      </c>
      <c r="H28" s="220">
        <f>SUM(E28)-SUM(F28)</f>
        <v/>
      </c>
      <c r="I28" s="221">
        <f>IF(A28="Total",VLOOKUP(B28,CORRESPONDANCE[#All],2,FALSE),I29)</f>
        <v/>
      </c>
      <c r="J28" s="350">
        <f>LEFT(A28,1)</f>
        <v/>
      </c>
      <c r="K28" s="347">
        <f>"VR7"&amp;" - "&amp;A28</f>
        <v/>
      </c>
      <c r="L28" s="347">
        <f>+VLOOKUP(K28,TL[],4,FALSE)</f>
        <v/>
      </c>
    </row>
    <row r="29" ht="15" customHeight="1" s="161">
      <c r="A29" s="290" t="n"/>
      <c r="B29" s="290" t="n"/>
      <c r="C29" s="290" t="n"/>
      <c r="D29" s="290" t="n"/>
      <c r="E29" s="290" t="n"/>
      <c r="F29" s="290" t="n"/>
      <c r="G29" s="220">
        <f>SUM(C29)-SUM(D29)</f>
        <v/>
      </c>
      <c r="H29" s="220">
        <f>SUM(E29)-SUM(F29)</f>
        <v/>
      </c>
      <c r="I29" s="221">
        <f>IF(A29="Total",VLOOKUP(B29,CORRESPONDANCE[#All],2,FALSE),I30)</f>
        <v/>
      </c>
      <c r="J29" s="350">
        <f>LEFT(A29,1)</f>
        <v/>
      </c>
      <c r="K29" s="347">
        <f>"VR7"&amp;" - "&amp;A29</f>
        <v/>
      </c>
      <c r="L29" s="347">
        <f>+VLOOKUP(K29,TL[],4,FALSE)</f>
        <v/>
      </c>
    </row>
    <row r="30" ht="15" customHeight="1" s="161">
      <c r="A30" s="290" t="n"/>
      <c r="B30" s="290" t="n"/>
      <c r="C30" s="290" t="n"/>
      <c r="D30" s="290" t="n"/>
      <c r="E30" s="290" t="n"/>
      <c r="F30" s="290" t="n"/>
      <c r="G30" s="220">
        <f>SUM(C30)-SUM(D30)</f>
        <v/>
      </c>
      <c r="H30" s="220">
        <f>SUM(E30)-SUM(F30)</f>
        <v/>
      </c>
      <c r="I30" s="221">
        <f>IF(A30="Total",VLOOKUP(B30,CORRESPONDANCE[#All],2,FALSE),I31)</f>
        <v/>
      </c>
      <c r="J30" s="350">
        <f>LEFT(A30,1)</f>
        <v/>
      </c>
      <c r="K30" s="347">
        <f>"VR7"&amp;" - "&amp;A30</f>
        <v/>
      </c>
      <c r="L30" s="347">
        <f>+VLOOKUP(K30,TL[],4,FALSE)</f>
        <v/>
      </c>
    </row>
    <row r="31" ht="15" customHeight="1" s="161">
      <c r="A31" s="290" t="n"/>
      <c r="B31" s="290" t="n"/>
      <c r="C31" s="290" t="n"/>
      <c r="D31" s="290" t="n"/>
      <c r="E31" s="290" t="n"/>
      <c r="F31" s="290" t="n"/>
      <c r="G31" s="220">
        <f>SUM(C31)-SUM(D31)</f>
        <v/>
      </c>
      <c r="H31" s="220">
        <f>SUM(E31)-SUM(F31)</f>
        <v/>
      </c>
      <c r="I31" s="221">
        <f>IF(A31="Total",VLOOKUP(B31,CORRESPONDANCE[#All],2,FALSE),I32)</f>
        <v/>
      </c>
      <c r="J31" s="350">
        <f>LEFT(A31,1)</f>
        <v/>
      </c>
      <c r="K31" s="347">
        <f>"VR7"&amp;" - "&amp;A31</f>
        <v/>
      </c>
      <c r="L31" s="347">
        <f>+VLOOKUP(K31,TL[],4,FALSE)</f>
        <v/>
      </c>
    </row>
    <row r="32" ht="15" customHeight="1" s="161">
      <c r="A32" s="290" t="n"/>
      <c r="B32" s="290" t="n"/>
      <c r="C32" s="290" t="n"/>
      <c r="D32" s="290" t="n"/>
      <c r="E32" s="290" t="n"/>
      <c r="F32" s="290" t="n"/>
      <c r="G32" s="220">
        <f>SUM(C32)-SUM(D32)</f>
        <v/>
      </c>
      <c r="H32" s="220">
        <f>SUM(E32)-SUM(F32)</f>
        <v/>
      </c>
      <c r="I32" s="221">
        <f>IF(A32="Total",VLOOKUP(B32,CORRESPONDANCE[#All],2,FALSE),I33)</f>
        <v/>
      </c>
      <c r="J32" s="350">
        <f>LEFT(A32,1)</f>
        <v/>
      </c>
      <c r="K32" s="347">
        <f>"VR7"&amp;" - "&amp;A32</f>
        <v/>
      </c>
      <c r="L32" s="347">
        <f>+VLOOKUP(K32,TL[],4,FALSE)</f>
        <v/>
      </c>
    </row>
    <row r="33" ht="15" customHeight="1" s="161">
      <c r="A33" s="290" t="n"/>
      <c r="B33" s="290" t="n"/>
      <c r="C33" s="290" t="n"/>
      <c r="D33" s="290" t="n"/>
      <c r="E33" s="290" t="n"/>
      <c r="F33" s="290" t="n"/>
      <c r="G33" s="220">
        <f>SUM(C33)-SUM(D33)</f>
        <v/>
      </c>
      <c r="H33" s="220">
        <f>SUM(E33)-SUM(F33)</f>
        <v/>
      </c>
      <c r="I33" s="221">
        <f>IF(A33="Total",VLOOKUP(B33,CORRESPONDANCE[#All],2,FALSE),I34)</f>
        <v/>
      </c>
      <c r="J33" s="350">
        <f>LEFT(A33,1)</f>
        <v/>
      </c>
      <c r="K33" s="347">
        <f>"VR7"&amp;" - "&amp;A33</f>
        <v/>
      </c>
      <c r="L33" s="347">
        <f>+VLOOKUP(K33,TL[],4,FALSE)</f>
        <v/>
      </c>
    </row>
    <row r="34" ht="15" customHeight="1" s="161">
      <c r="A34" s="290" t="n"/>
      <c r="B34" s="290" t="n"/>
      <c r="C34" s="290" t="n"/>
      <c r="D34" s="290" t="n"/>
      <c r="E34" s="290" t="n"/>
      <c r="F34" s="290" t="n"/>
      <c r="G34" s="220">
        <f>SUM(C34)-SUM(D34)</f>
        <v/>
      </c>
      <c r="H34" s="220">
        <f>SUM(E34)-SUM(F34)</f>
        <v/>
      </c>
      <c r="I34" s="221">
        <f>IF(A34="Total",VLOOKUP(B34,CORRESPONDANCE[#All],2,FALSE),I35)</f>
        <v/>
      </c>
      <c r="J34" s="350">
        <f>LEFT(A34,1)</f>
        <v/>
      </c>
      <c r="K34" s="347">
        <f>"VR7"&amp;" - "&amp;A34</f>
        <v/>
      </c>
      <c r="L34" s="347">
        <f>+VLOOKUP(K34,TL[],4,FALSE)</f>
        <v/>
      </c>
    </row>
    <row r="35" ht="15" customHeight="1" s="161">
      <c r="A35" s="290" t="n"/>
      <c r="B35" s="290" t="n"/>
      <c r="C35" s="290" t="n"/>
      <c r="D35" s="290" t="n"/>
      <c r="E35" s="290" t="n"/>
      <c r="F35" s="290" t="n"/>
      <c r="G35" s="220">
        <f>SUM(C35)-SUM(D35)</f>
        <v/>
      </c>
      <c r="H35" s="220">
        <f>SUM(E35)-SUM(F35)</f>
        <v/>
      </c>
      <c r="I35" s="221">
        <f>IF(A35="Total",VLOOKUP(B35,CORRESPONDANCE[#All],2,FALSE),I36)</f>
        <v/>
      </c>
      <c r="J35" s="350">
        <f>LEFT(A35,1)</f>
        <v/>
      </c>
      <c r="K35" s="347">
        <f>"VR7"&amp;" - "&amp;A35</f>
        <v/>
      </c>
      <c r="L35" s="347">
        <f>+VLOOKUP(K35,TL[],4,FALSE)</f>
        <v/>
      </c>
    </row>
    <row r="36" ht="15" customHeight="1" s="161">
      <c r="A36" s="290" t="n"/>
      <c r="B36" s="290" t="n"/>
      <c r="C36" s="290" t="n"/>
      <c r="D36" s="290" t="n"/>
      <c r="E36" s="290" t="n"/>
      <c r="F36" s="290" t="n"/>
      <c r="G36" s="220">
        <f>SUM(C36)-SUM(D36)</f>
        <v/>
      </c>
      <c r="H36" s="220">
        <f>SUM(E36)-SUM(F36)</f>
        <v/>
      </c>
      <c r="I36" s="221">
        <f>IF(A36="Total",VLOOKUP(B36,CORRESPONDANCE[#All],2,FALSE),I37)</f>
        <v/>
      </c>
      <c r="J36" s="350">
        <f>LEFT(A36,1)</f>
        <v/>
      </c>
      <c r="K36" s="347">
        <f>"VR7"&amp;" - "&amp;A36</f>
        <v/>
      </c>
      <c r="L36" s="347">
        <f>+VLOOKUP(K36,TL[],4,FALSE)</f>
        <v/>
      </c>
    </row>
    <row r="37" ht="15" customHeight="1" s="161">
      <c r="A37" s="290" t="n"/>
      <c r="B37" s="290" t="n"/>
      <c r="C37" s="290" t="n"/>
      <c r="D37" s="290" t="n"/>
      <c r="E37" s="290" t="n"/>
      <c r="F37" s="290" t="n"/>
      <c r="G37" s="220">
        <f>SUM(C37)-SUM(D37)</f>
        <v/>
      </c>
      <c r="H37" s="220">
        <f>SUM(E37)-SUM(F37)</f>
        <v/>
      </c>
      <c r="I37" s="221">
        <f>IF(A37="Total",VLOOKUP(B37,CORRESPONDANCE[#All],2,FALSE),I38)</f>
        <v/>
      </c>
      <c r="J37" s="350">
        <f>LEFT(A37,1)</f>
        <v/>
      </c>
      <c r="K37" s="347">
        <f>"VR7"&amp;" - "&amp;A37</f>
        <v/>
      </c>
      <c r="L37" s="347">
        <f>+VLOOKUP(K37,TL[],4,FALSE)</f>
        <v/>
      </c>
    </row>
    <row r="38" ht="15" customHeight="1" s="161">
      <c r="A38" s="290" t="n"/>
      <c r="B38" s="290" t="n"/>
      <c r="C38" s="290" t="n"/>
      <c r="D38" s="290" t="n"/>
      <c r="E38" s="290" t="n"/>
      <c r="F38" s="290" t="n"/>
      <c r="G38" s="220">
        <f>SUM(C38)-SUM(D38)</f>
        <v/>
      </c>
      <c r="H38" s="220">
        <f>SUM(E38)-SUM(F38)</f>
        <v/>
      </c>
      <c r="I38" s="221">
        <f>IF(A38="Total",VLOOKUP(B38,CORRESPONDANCE[#All],2,FALSE),I39)</f>
        <v/>
      </c>
      <c r="J38" s="350">
        <f>LEFT(A38,1)</f>
        <v/>
      </c>
      <c r="K38" s="347">
        <f>"VR7"&amp;" - "&amp;A38</f>
        <v/>
      </c>
      <c r="L38" s="347">
        <f>+VLOOKUP(K38,TL[],4,FALSE)</f>
        <v/>
      </c>
    </row>
    <row r="39" ht="15" customHeight="1" s="161">
      <c r="A39" s="290" t="n"/>
      <c r="B39" s="290" t="n"/>
      <c r="C39" s="290" t="n"/>
      <c r="D39" s="290" t="n"/>
      <c r="E39" s="290" t="n"/>
      <c r="F39" s="290" t="n"/>
      <c r="G39" s="220">
        <f>SUM(C39)-SUM(D39)</f>
        <v/>
      </c>
      <c r="H39" s="220">
        <f>SUM(E39)-SUM(F39)</f>
        <v/>
      </c>
      <c r="I39" s="221">
        <f>IF(A39="Total",VLOOKUP(B39,CORRESPONDANCE[#All],2,FALSE),I40)</f>
        <v/>
      </c>
      <c r="J39" s="350">
        <f>LEFT(A39,1)</f>
        <v/>
      </c>
      <c r="K39" s="347">
        <f>"VR7"&amp;" - "&amp;A39</f>
        <v/>
      </c>
      <c r="L39" s="347">
        <f>+VLOOKUP(K39,TL[],4,FALSE)</f>
        <v/>
      </c>
    </row>
    <row r="40" ht="15" customHeight="1" s="161">
      <c r="A40" s="290" t="n"/>
      <c r="B40" s="290" t="n"/>
      <c r="C40" s="290" t="n"/>
      <c r="D40" s="290" t="n"/>
      <c r="E40" s="290" t="n"/>
      <c r="F40" s="290" t="n"/>
      <c r="G40" s="220">
        <f>SUM(C40)-SUM(D40)</f>
        <v/>
      </c>
      <c r="H40" s="220">
        <f>SUM(E40)-SUM(F40)</f>
        <v/>
      </c>
      <c r="I40" s="221">
        <f>IF(A40="Total",VLOOKUP(B40,CORRESPONDANCE[#All],2,FALSE),I41)</f>
        <v/>
      </c>
      <c r="J40" s="350">
        <f>LEFT(A40,1)</f>
        <v/>
      </c>
      <c r="K40" s="347">
        <f>"VR7"&amp;" - "&amp;A40</f>
        <v/>
      </c>
      <c r="L40" s="347">
        <f>+VLOOKUP(K40,TL[],4,FALSE)</f>
        <v/>
      </c>
    </row>
    <row r="41" ht="15" customHeight="1" s="161">
      <c r="A41" s="290" t="n"/>
      <c r="B41" s="290" t="n"/>
      <c r="C41" s="290" t="n"/>
      <c r="D41" s="290" t="n"/>
      <c r="E41" s="290" t="n"/>
      <c r="F41" s="290" t="n"/>
      <c r="G41" s="220">
        <f>SUM(C41)-SUM(D41)</f>
        <v/>
      </c>
      <c r="H41" s="220">
        <f>SUM(E41)-SUM(F41)</f>
        <v/>
      </c>
      <c r="I41" s="221">
        <f>IF(A41="Total",VLOOKUP(B41,CORRESPONDANCE[#All],2,FALSE),I42)</f>
        <v/>
      </c>
      <c r="J41" s="350">
        <f>LEFT(A41,1)</f>
        <v/>
      </c>
      <c r="K41" s="347">
        <f>"VR7"&amp;" - "&amp;A41</f>
        <v/>
      </c>
      <c r="L41" s="347">
        <f>+VLOOKUP(K41,TL[],4,FALSE)</f>
        <v/>
      </c>
    </row>
    <row r="42" ht="15" customHeight="1" s="161">
      <c r="A42" s="290" t="n"/>
      <c r="B42" s="290" t="n"/>
      <c r="C42" s="290" t="n"/>
      <c r="D42" s="290" t="n"/>
      <c r="E42" s="290" t="n"/>
      <c r="F42" s="290" t="n"/>
      <c r="G42" s="220">
        <f>SUM(C42)-SUM(D42)</f>
        <v/>
      </c>
      <c r="H42" s="220">
        <f>SUM(E42)-SUM(F42)</f>
        <v/>
      </c>
      <c r="I42" s="221">
        <f>IF(A42="Total",VLOOKUP(B42,CORRESPONDANCE[#All],2,FALSE),I43)</f>
        <v/>
      </c>
      <c r="J42" s="350">
        <f>LEFT(A42,1)</f>
        <v/>
      </c>
      <c r="K42" s="347">
        <f>"VR7"&amp;" - "&amp;A42</f>
        <v/>
      </c>
      <c r="L42" s="347">
        <f>+VLOOKUP(K42,TL[],4,FALSE)</f>
        <v/>
      </c>
    </row>
    <row r="43" ht="15" customHeight="1" s="161">
      <c r="A43" s="290" t="n"/>
      <c r="B43" s="290" t="n"/>
      <c r="C43" s="290" t="n"/>
      <c r="D43" s="290" t="n"/>
      <c r="E43" s="290" t="n"/>
      <c r="F43" s="290" t="n"/>
      <c r="G43" s="220">
        <f>SUM(C43)-SUM(D43)</f>
        <v/>
      </c>
      <c r="H43" s="220">
        <f>SUM(E43)-SUM(F43)</f>
        <v/>
      </c>
      <c r="I43" s="221">
        <f>IF(A43="Total",VLOOKUP(B43,CORRESPONDANCE[#All],2,FALSE),I44)</f>
        <v/>
      </c>
      <c r="J43" s="350">
        <f>LEFT(A43,1)</f>
        <v/>
      </c>
      <c r="K43" s="347">
        <f>"VR7"&amp;" - "&amp;A43</f>
        <v/>
      </c>
      <c r="L43" s="347">
        <f>+VLOOKUP(K43,TL[],4,FALSE)</f>
        <v/>
      </c>
    </row>
    <row r="44" ht="15" customHeight="1" s="161">
      <c r="A44" s="290" t="n"/>
      <c r="B44" s="290" t="n"/>
      <c r="C44" s="290" t="n"/>
      <c r="D44" s="290" t="n"/>
      <c r="E44" s="290" t="n"/>
      <c r="F44" s="290" t="n"/>
      <c r="G44" s="220">
        <f>SUM(C44)-SUM(D44)</f>
        <v/>
      </c>
      <c r="H44" s="220">
        <f>SUM(E44)-SUM(F44)</f>
        <v/>
      </c>
      <c r="I44" s="221">
        <f>IF(A44="Total",VLOOKUP(B44,CORRESPONDANCE[#All],2,FALSE),I45)</f>
        <v/>
      </c>
      <c r="J44" s="350">
        <f>LEFT(A44,1)</f>
        <v/>
      </c>
      <c r="K44" s="347">
        <f>"VR7"&amp;" - "&amp;A44</f>
        <v/>
      </c>
      <c r="L44" s="347">
        <f>+VLOOKUP(K44,TL[],4,FALSE)</f>
        <v/>
      </c>
    </row>
    <row r="45" ht="15" customHeight="1" s="161">
      <c r="A45" s="290" t="n"/>
      <c r="B45" s="290" t="n"/>
      <c r="C45" s="290" t="n"/>
      <c r="D45" s="290" t="n"/>
      <c r="E45" s="290" t="n"/>
      <c r="F45" s="290" t="n"/>
      <c r="G45" s="220">
        <f>SUM(C45)-SUM(D45)</f>
        <v/>
      </c>
      <c r="H45" s="220">
        <f>SUM(E45)-SUM(F45)</f>
        <v/>
      </c>
      <c r="I45" s="221">
        <f>IF(A45="Total",VLOOKUP(B45,CORRESPONDANCE[#All],2,FALSE),I46)</f>
        <v/>
      </c>
      <c r="J45" s="350">
        <f>LEFT(A45,1)</f>
        <v/>
      </c>
      <c r="K45" s="347">
        <f>"VR7"&amp;" - "&amp;A45</f>
        <v/>
      </c>
      <c r="L45" s="347">
        <f>+VLOOKUP(K45,TL[],4,FALSE)</f>
        <v/>
      </c>
    </row>
    <row r="46" ht="15" customHeight="1" s="161">
      <c r="A46" s="290" t="n"/>
      <c r="B46" s="290" t="n"/>
      <c r="C46" s="290" t="n"/>
      <c r="D46" s="290" t="n"/>
      <c r="E46" s="290" t="n"/>
      <c r="F46" s="290" t="n"/>
      <c r="G46" s="220">
        <f>SUM(C46)-SUM(D46)</f>
        <v/>
      </c>
      <c r="H46" s="220">
        <f>SUM(E46)-SUM(F46)</f>
        <v/>
      </c>
      <c r="I46" s="221">
        <f>IF(A46="Total",VLOOKUP(B46,CORRESPONDANCE[#All],2,FALSE),I47)</f>
        <v/>
      </c>
      <c r="J46" s="350">
        <f>LEFT(A46,1)</f>
        <v/>
      </c>
      <c r="K46" s="347">
        <f>"VR7"&amp;" - "&amp;A46</f>
        <v/>
      </c>
      <c r="L46" s="347">
        <f>+VLOOKUP(K46,TL[],4,FALSE)</f>
        <v/>
      </c>
    </row>
    <row r="47" ht="15" customHeight="1" s="161">
      <c r="A47" s="290" t="n"/>
      <c r="B47" s="290" t="n"/>
      <c r="C47" s="290" t="n"/>
      <c r="D47" s="290" t="n"/>
      <c r="E47" s="290" t="n"/>
      <c r="F47" s="290" t="n"/>
      <c r="G47" s="220">
        <f>SUM(C47)-SUM(D47)</f>
        <v/>
      </c>
      <c r="H47" s="220">
        <f>SUM(E47)-SUM(F47)</f>
        <v/>
      </c>
      <c r="I47" s="221">
        <f>IF(A47="Total",VLOOKUP(B47,CORRESPONDANCE[#All],2,FALSE),I48)</f>
        <v/>
      </c>
      <c r="J47" s="350">
        <f>LEFT(A47,1)</f>
        <v/>
      </c>
      <c r="K47" s="347">
        <f>"VR7"&amp;" - "&amp;A47</f>
        <v/>
      </c>
      <c r="L47" s="347">
        <f>+VLOOKUP(K47,TL[],4,FALSE)</f>
        <v/>
      </c>
    </row>
    <row r="48" ht="15" customHeight="1" s="161">
      <c r="A48" s="290" t="n"/>
      <c r="B48" s="290" t="n"/>
      <c r="C48" s="290" t="n"/>
      <c r="D48" s="290" t="n"/>
      <c r="E48" s="290" t="n"/>
      <c r="F48" s="290" t="n"/>
      <c r="G48" s="220">
        <f>SUM(C48)-SUM(D48)</f>
        <v/>
      </c>
      <c r="H48" s="220">
        <f>SUM(E48)-SUM(F48)</f>
        <v/>
      </c>
      <c r="I48" s="221">
        <f>IF(A48="Total",VLOOKUP(B48,CORRESPONDANCE[#All],2,FALSE),I49)</f>
        <v/>
      </c>
      <c r="J48" s="350">
        <f>LEFT(A48,1)</f>
        <v/>
      </c>
      <c r="K48" s="347">
        <f>"VR7"&amp;" - "&amp;A48</f>
        <v/>
      </c>
      <c r="L48" s="347">
        <f>+VLOOKUP(K48,TL[],4,FALSE)</f>
        <v/>
      </c>
    </row>
    <row r="49" ht="15" customHeight="1" s="161">
      <c r="A49" s="290" t="n"/>
      <c r="B49" s="290" t="n"/>
      <c r="C49" s="290" t="n"/>
      <c r="D49" s="290" t="n"/>
      <c r="E49" s="290" t="n"/>
      <c r="F49" s="290" t="n"/>
      <c r="G49" s="220">
        <f>SUM(C49)-SUM(D49)</f>
        <v/>
      </c>
      <c r="H49" s="220">
        <f>SUM(E49)-SUM(F49)</f>
        <v/>
      </c>
      <c r="I49" s="221">
        <f>IF(A49="Total",VLOOKUP(B49,CORRESPONDANCE[#All],2,FALSE),I50)</f>
        <v/>
      </c>
      <c r="J49" s="350">
        <f>LEFT(A49,1)</f>
        <v/>
      </c>
      <c r="K49" s="347">
        <f>"VR7"&amp;" - "&amp;A49</f>
        <v/>
      </c>
      <c r="L49" s="347">
        <f>+VLOOKUP(K49,TL[],4,FALSE)</f>
        <v/>
      </c>
    </row>
    <row r="50" ht="15" customHeight="1" s="161">
      <c r="A50" s="290" t="n"/>
      <c r="B50" s="290" t="n"/>
      <c r="C50" s="290" t="n"/>
      <c r="D50" s="290" t="n"/>
      <c r="E50" s="290" t="n"/>
      <c r="F50" s="290" t="n"/>
      <c r="G50" s="220">
        <f>SUM(C50)-SUM(D50)</f>
        <v/>
      </c>
      <c r="H50" s="220">
        <f>SUM(E50)-SUM(F50)</f>
        <v/>
      </c>
      <c r="I50" s="221">
        <f>IF(A50="Total",VLOOKUP(B50,CORRESPONDANCE[#All],2,FALSE),I51)</f>
        <v/>
      </c>
      <c r="J50" s="350">
        <f>LEFT(A50,1)</f>
        <v/>
      </c>
      <c r="K50" s="347">
        <f>"VR7"&amp;" - "&amp;A50</f>
        <v/>
      </c>
      <c r="L50" s="347">
        <f>+VLOOKUP(K50,TL[],4,FALSE)</f>
        <v/>
      </c>
    </row>
    <row r="51" ht="15" customHeight="1" s="161">
      <c r="A51" s="290" t="n"/>
      <c r="B51" s="290" t="n"/>
      <c r="C51" s="290" t="n"/>
      <c r="D51" s="290" t="n"/>
      <c r="E51" s="290" t="n"/>
      <c r="F51" s="290" t="n"/>
      <c r="G51" s="220">
        <f>SUM(C51)-SUM(D51)</f>
        <v/>
      </c>
      <c r="H51" s="220">
        <f>SUM(E51)-SUM(F51)</f>
        <v/>
      </c>
      <c r="I51" s="221">
        <f>IF(A51="Total",VLOOKUP(B51,CORRESPONDANCE[#All],2,FALSE),I52)</f>
        <v/>
      </c>
      <c r="J51" s="350">
        <f>LEFT(A51,1)</f>
        <v/>
      </c>
      <c r="K51" s="347">
        <f>"VR7"&amp;" - "&amp;A51</f>
        <v/>
      </c>
      <c r="L51" s="347">
        <f>+VLOOKUP(K51,TL[],4,FALSE)</f>
        <v/>
      </c>
    </row>
    <row r="52" ht="15" customHeight="1" s="161">
      <c r="A52" s="290" t="n"/>
      <c r="B52" s="290" t="n"/>
      <c r="C52" s="290" t="n"/>
      <c r="D52" s="290" t="n"/>
      <c r="E52" s="290" t="n"/>
      <c r="F52" s="290" t="n"/>
      <c r="G52" s="220">
        <f>SUM(C52)-SUM(D52)</f>
        <v/>
      </c>
      <c r="H52" s="220">
        <f>SUM(E52)-SUM(F52)</f>
        <v/>
      </c>
      <c r="I52" s="221">
        <f>IF(A52="Total",VLOOKUP(B52,CORRESPONDANCE[#All],2,FALSE),I53)</f>
        <v/>
      </c>
      <c r="J52" s="350">
        <f>LEFT(A52,1)</f>
        <v/>
      </c>
      <c r="K52" s="347">
        <f>"VR7"&amp;" - "&amp;A52</f>
        <v/>
      </c>
      <c r="L52" s="347">
        <f>+VLOOKUP(K52,TL[],4,FALSE)</f>
        <v/>
      </c>
    </row>
    <row r="53" ht="15" customHeight="1" s="161">
      <c r="A53" s="290" t="n"/>
      <c r="B53" s="290" t="n"/>
      <c r="C53" s="290" t="n"/>
      <c r="D53" s="290" t="n"/>
      <c r="E53" s="290" t="n"/>
      <c r="F53" s="290" t="n"/>
      <c r="G53" s="220">
        <f>SUM(C53)-SUM(D53)</f>
        <v/>
      </c>
      <c r="H53" s="220">
        <f>SUM(E53)-SUM(F53)</f>
        <v/>
      </c>
      <c r="I53" s="221">
        <f>IF(A53="Total",VLOOKUP(B53,CORRESPONDANCE[#All],2,FALSE),I54)</f>
        <v/>
      </c>
      <c r="J53" s="350">
        <f>LEFT(A53,1)</f>
        <v/>
      </c>
      <c r="K53" s="347">
        <f>"VR7"&amp;" - "&amp;A53</f>
        <v/>
      </c>
      <c r="L53" s="347">
        <f>+VLOOKUP(K53,TL[],4,FALSE)</f>
        <v/>
      </c>
    </row>
    <row r="54" ht="15" customHeight="1" s="161">
      <c r="A54" s="290" t="n"/>
      <c r="B54" s="290" t="n"/>
      <c r="C54" s="290" t="n"/>
      <c r="D54" s="290" t="n"/>
      <c r="E54" s="290" t="n"/>
      <c r="F54" s="290" t="n"/>
      <c r="G54" s="220">
        <f>SUM(C54)-SUM(D54)</f>
        <v/>
      </c>
      <c r="H54" s="220">
        <f>SUM(E54)-SUM(F54)</f>
        <v/>
      </c>
      <c r="I54" s="221">
        <f>IF(A54="Total",VLOOKUP(B54,CORRESPONDANCE[#All],2,FALSE),I55)</f>
        <v/>
      </c>
      <c r="J54" s="350">
        <f>LEFT(A54,1)</f>
        <v/>
      </c>
      <c r="K54" s="347">
        <f>"VR7"&amp;" - "&amp;A54</f>
        <v/>
      </c>
      <c r="L54" s="347">
        <f>+VLOOKUP(K54,TL[],4,FALSE)</f>
        <v/>
      </c>
    </row>
    <row r="55" ht="15" customHeight="1" s="161">
      <c r="A55" s="290" t="n"/>
      <c r="B55" s="290" t="n"/>
      <c r="C55" s="290" t="n"/>
      <c r="D55" s="290" t="n"/>
      <c r="E55" s="290" t="n"/>
      <c r="F55" s="290" t="n"/>
      <c r="G55" s="220">
        <f>SUM(C55)-SUM(D55)</f>
        <v/>
      </c>
      <c r="H55" s="220">
        <f>SUM(E55)-SUM(F55)</f>
        <v/>
      </c>
      <c r="I55" s="221">
        <f>IF(A55="Total",VLOOKUP(B55,CORRESPONDANCE[#All],2,FALSE),I56)</f>
        <v/>
      </c>
      <c r="J55" s="350">
        <f>LEFT(A55,1)</f>
        <v/>
      </c>
      <c r="K55" s="347">
        <f>"VR7"&amp;" - "&amp;A55</f>
        <v/>
      </c>
      <c r="L55" s="347">
        <f>+VLOOKUP(K55,TL[],4,FALSE)</f>
        <v/>
      </c>
    </row>
    <row r="56" ht="15" customHeight="1" s="161">
      <c r="A56" s="290" t="n"/>
      <c r="B56" s="290" t="n"/>
      <c r="C56" s="290" t="n"/>
      <c r="D56" s="290" t="n"/>
      <c r="E56" s="290" t="n"/>
      <c r="F56" s="290" t="n"/>
      <c r="G56" s="220">
        <f>SUM(C56)-SUM(D56)</f>
        <v/>
      </c>
      <c r="H56" s="220">
        <f>SUM(E56)-SUM(F56)</f>
        <v/>
      </c>
      <c r="I56" s="221">
        <f>IF(A56="Total",VLOOKUP(B56,CORRESPONDANCE[#All],2,FALSE),I57)</f>
        <v/>
      </c>
      <c r="J56" s="350">
        <f>LEFT(A56,1)</f>
        <v/>
      </c>
      <c r="K56" s="347">
        <f>"VR7"&amp;" - "&amp;A56</f>
        <v/>
      </c>
      <c r="L56" s="347">
        <f>+VLOOKUP(K56,TL[],4,FALSE)</f>
        <v/>
      </c>
    </row>
    <row r="57" ht="15" customHeight="1" s="161">
      <c r="A57" s="290" t="n"/>
      <c r="B57" s="290" t="n"/>
      <c r="C57" s="290" t="n"/>
      <c r="D57" s="290" t="n"/>
      <c r="E57" s="290" t="n"/>
      <c r="F57" s="290" t="n"/>
      <c r="G57" s="220">
        <f>SUM(C57)-SUM(D57)</f>
        <v/>
      </c>
      <c r="H57" s="220">
        <f>SUM(E57)-SUM(F57)</f>
        <v/>
      </c>
      <c r="I57" s="221">
        <f>IF(A57="Total",VLOOKUP(B57,CORRESPONDANCE[#All],2,FALSE),I58)</f>
        <v/>
      </c>
      <c r="J57" s="350">
        <f>LEFT(A57,1)</f>
        <v/>
      </c>
      <c r="K57" s="347">
        <f>"VR7"&amp;" - "&amp;A57</f>
        <v/>
      </c>
      <c r="L57" s="347">
        <f>+VLOOKUP(K57,TL[],4,FALSE)</f>
        <v/>
      </c>
    </row>
    <row r="58" ht="15" customHeight="1" s="161">
      <c r="A58" s="290" t="n"/>
      <c r="B58" s="290" t="n"/>
      <c r="C58" s="290" t="n"/>
      <c r="D58" s="290" t="n"/>
      <c r="E58" s="290" t="n"/>
      <c r="F58" s="290" t="n"/>
      <c r="G58" s="220">
        <f>SUM(C58)-SUM(D58)</f>
        <v/>
      </c>
      <c r="H58" s="220">
        <f>SUM(E58)-SUM(F58)</f>
        <v/>
      </c>
      <c r="I58" s="221">
        <f>IF(A58="Total",VLOOKUP(B58,CORRESPONDANCE[#All],2,FALSE),I59)</f>
        <v/>
      </c>
      <c r="J58" s="350">
        <f>LEFT(A58,1)</f>
        <v/>
      </c>
      <c r="K58" s="347">
        <f>"VR7"&amp;" - "&amp;A58</f>
        <v/>
      </c>
      <c r="L58" s="347">
        <f>+VLOOKUP(K58,TL[],4,FALSE)</f>
        <v/>
      </c>
    </row>
    <row r="59" ht="15" customHeight="1" s="161">
      <c r="A59" s="290" t="n"/>
      <c r="B59" s="290" t="n"/>
      <c r="C59" s="290" t="n"/>
      <c r="D59" s="290" t="n"/>
      <c r="E59" s="290" t="n"/>
      <c r="F59" s="290" t="n"/>
      <c r="G59" s="220">
        <f>SUM(C59)-SUM(D59)</f>
        <v/>
      </c>
      <c r="H59" s="220">
        <f>SUM(E59)-SUM(F59)</f>
        <v/>
      </c>
      <c r="I59" s="221">
        <f>IF(A59="Total",VLOOKUP(B59,CORRESPONDANCE[#All],2,FALSE),I60)</f>
        <v/>
      </c>
      <c r="J59" s="350">
        <f>LEFT(A59,1)</f>
        <v/>
      </c>
      <c r="K59" s="347">
        <f>"VR7"&amp;" - "&amp;A59</f>
        <v/>
      </c>
      <c r="L59" s="347">
        <f>+VLOOKUP(K59,TL[],4,FALSE)</f>
        <v/>
      </c>
    </row>
    <row r="60" ht="15" customHeight="1" s="161">
      <c r="A60" s="290" t="n"/>
      <c r="B60" s="290" t="n"/>
      <c r="C60" s="290" t="n"/>
      <c r="D60" s="290" t="n"/>
      <c r="E60" s="290" t="n"/>
      <c r="F60" s="290" t="n"/>
      <c r="G60" s="220">
        <f>SUM(C60)-SUM(D60)</f>
        <v/>
      </c>
      <c r="H60" s="220">
        <f>SUM(E60)-SUM(F60)</f>
        <v/>
      </c>
      <c r="I60" s="221">
        <f>IF(A60="Total",VLOOKUP(B60,CORRESPONDANCE[#All],2,FALSE),I61)</f>
        <v/>
      </c>
      <c r="J60" s="350">
        <f>LEFT(A60,1)</f>
        <v/>
      </c>
      <c r="K60" s="347">
        <f>"VR7"&amp;" - "&amp;A60</f>
        <v/>
      </c>
      <c r="L60" s="347">
        <f>+VLOOKUP(K60,TL[],4,FALSE)</f>
        <v/>
      </c>
    </row>
    <row r="61" ht="15" customHeight="1" s="161">
      <c r="A61" s="290" t="n"/>
      <c r="B61" s="290" t="n"/>
      <c r="C61" s="290" t="n"/>
      <c r="D61" s="290" t="n"/>
      <c r="E61" s="290" t="n"/>
      <c r="F61" s="290" t="n"/>
      <c r="G61" s="220">
        <f>SUM(C61)-SUM(D61)</f>
        <v/>
      </c>
      <c r="H61" s="220">
        <f>SUM(E61)-SUM(F61)</f>
        <v/>
      </c>
      <c r="I61" s="221">
        <f>IF(A61="Total",VLOOKUP(B61,CORRESPONDANCE[#All],2,FALSE),I62)</f>
        <v/>
      </c>
      <c r="J61" s="350">
        <f>LEFT(A61,1)</f>
        <v/>
      </c>
      <c r="K61" s="347">
        <f>"VR7"&amp;" - "&amp;A61</f>
        <v/>
      </c>
      <c r="L61" s="347">
        <f>+VLOOKUP(K61,TL[],4,FALSE)</f>
        <v/>
      </c>
    </row>
    <row r="62" ht="15" customHeight="1" s="161">
      <c r="A62" s="290" t="n"/>
      <c r="B62" s="290" t="n"/>
      <c r="C62" s="290" t="n"/>
      <c r="D62" s="290" t="n"/>
      <c r="E62" s="290" t="n"/>
      <c r="F62" s="290" t="n"/>
      <c r="G62" s="220">
        <f>SUM(C62)-SUM(D62)</f>
        <v/>
      </c>
      <c r="H62" s="220">
        <f>SUM(E62)-SUM(F62)</f>
        <v/>
      </c>
      <c r="I62" s="221">
        <f>IF(A62="Total",VLOOKUP(B62,CORRESPONDANCE[#All],2,FALSE),I63)</f>
        <v/>
      </c>
      <c r="J62" s="350">
        <f>LEFT(A62,1)</f>
        <v/>
      </c>
      <c r="K62" s="347">
        <f>"VR7"&amp;" - "&amp;A62</f>
        <v/>
      </c>
      <c r="L62" s="347">
        <f>+VLOOKUP(K62,TL[],4,FALSE)</f>
        <v/>
      </c>
    </row>
    <row r="63" ht="15" customHeight="1" s="161">
      <c r="A63" s="290" t="n"/>
      <c r="B63" s="290" t="n"/>
      <c r="C63" s="290" t="n"/>
      <c r="D63" s="290" t="n"/>
      <c r="E63" s="290" t="n"/>
      <c r="F63" s="290" t="n"/>
      <c r="G63" s="220">
        <f>SUM(C63)-SUM(D63)</f>
        <v/>
      </c>
      <c r="H63" s="220">
        <f>SUM(E63)-SUM(F63)</f>
        <v/>
      </c>
      <c r="I63" s="221">
        <f>IF(A63="Total",VLOOKUP(B63,CORRESPONDANCE[#All],2,FALSE),I64)</f>
        <v/>
      </c>
      <c r="J63" s="350">
        <f>LEFT(A63,1)</f>
        <v/>
      </c>
      <c r="K63" s="347">
        <f>"VR7"&amp;" - "&amp;A63</f>
        <v/>
      </c>
      <c r="L63" s="347">
        <f>+VLOOKUP(K63,TL[],4,FALSE)</f>
        <v/>
      </c>
    </row>
    <row r="64" ht="15" customHeight="1" s="161">
      <c r="A64" s="290" t="n"/>
      <c r="B64" s="290" t="n"/>
      <c r="C64" s="290" t="n"/>
      <c r="D64" s="290" t="n"/>
      <c r="E64" s="290" t="n"/>
      <c r="F64" s="290" t="n"/>
      <c r="G64" s="220">
        <f>SUM(C64)-SUM(D64)</f>
        <v/>
      </c>
      <c r="H64" s="220">
        <f>SUM(E64)-SUM(F64)</f>
        <v/>
      </c>
      <c r="I64" s="221">
        <f>IF(A64="Total",VLOOKUP(B64,CORRESPONDANCE[#All],2,FALSE),I65)</f>
        <v/>
      </c>
      <c r="J64" s="350">
        <f>LEFT(A64,1)</f>
        <v/>
      </c>
      <c r="K64" s="347">
        <f>"VR7"&amp;" - "&amp;A64</f>
        <v/>
      </c>
      <c r="L64" s="347">
        <f>+VLOOKUP(K64,TL[],4,FALSE)</f>
        <v/>
      </c>
    </row>
    <row r="65" ht="15" customHeight="1" s="161">
      <c r="A65" s="290" t="n"/>
      <c r="B65" s="290" t="n"/>
      <c r="C65" s="290" t="n"/>
      <c r="D65" s="290" t="n"/>
      <c r="E65" s="290" t="n"/>
      <c r="F65" s="290" t="n"/>
      <c r="G65" s="220">
        <f>SUM(C65)-SUM(D65)</f>
        <v/>
      </c>
      <c r="H65" s="220">
        <f>SUM(E65)-SUM(F65)</f>
        <v/>
      </c>
      <c r="I65" s="221">
        <f>IF(A65="Total",VLOOKUP(B65,CORRESPONDANCE[#All],2,FALSE),I66)</f>
        <v/>
      </c>
      <c r="J65" s="350">
        <f>LEFT(A65,1)</f>
        <v/>
      </c>
      <c r="K65" s="347">
        <f>"VR7"&amp;" - "&amp;A65</f>
        <v/>
      </c>
      <c r="L65" s="347">
        <f>+VLOOKUP(K65,TL[],4,FALSE)</f>
        <v/>
      </c>
    </row>
    <row r="66" ht="15" customHeight="1" s="161">
      <c r="A66" s="290" t="n"/>
      <c r="B66" s="290" t="n"/>
      <c r="C66" s="290" t="n"/>
      <c r="D66" s="290" t="n"/>
      <c r="E66" s="290" t="n"/>
      <c r="F66" s="290" t="n"/>
      <c r="G66" s="220">
        <f>SUM(C66)-SUM(D66)</f>
        <v/>
      </c>
      <c r="H66" s="220">
        <f>SUM(E66)-SUM(F66)</f>
        <v/>
      </c>
      <c r="I66" s="221">
        <f>IF(A66="Total",VLOOKUP(B66,CORRESPONDANCE[#All],2,FALSE),I67)</f>
        <v/>
      </c>
      <c r="J66" s="350">
        <f>LEFT(A66,1)</f>
        <v/>
      </c>
      <c r="K66" s="347">
        <f>"VR7"&amp;" - "&amp;A66</f>
        <v/>
      </c>
      <c r="L66" s="347">
        <f>+VLOOKUP(K66,TL[],4,FALSE)</f>
        <v/>
      </c>
    </row>
    <row r="67" ht="15" customHeight="1" s="161">
      <c r="A67" s="290" t="n"/>
      <c r="B67" s="290" t="n"/>
      <c r="C67" s="290" t="n"/>
      <c r="D67" s="290" t="n"/>
      <c r="E67" s="290" t="n"/>
      <c r="F67" s="290" t="n"/>
      <c r="G67" s="220">
        <f>SUM(C67)-SUM(D67)</f>
        <v/>
      </c>
      <c r="H67" s="220">
        <f>SUM(E67)-SUM(F67)</f>
        <v/>
      </c>
      <c r="I67" s="221">
        <f>IF(A67="Total",VLOOKUP(B67,CORRESPONDANCE[#All],2,FALSE),I68)</f>
        <v/>
      </c>
      <c r="J67" s="350">
        <f>LEFT(A67,1)</f>
        <v/>
      </c>
      <c r="K67" s="347">
        <f>"VR7"&amp;" - "&amp;A67</f>
        <v/>
      </c>
      <c r="L67" s="347">
        <f>+VLOOKUP(K67,TL[],4,FALSE)</f>
        <v/>
      </c>
    </row>
    <row r="68" ht="15" customHeight="1" s="161">
      <c r="A68" s="290" t="n"/>
      <c r="B68" s="290" t="n"/>
      <c r="C68" s="290" t="n"/>
      <c r="D68" s="290" t="n"/>
      <c r="E68" s="290" t="n"/>
      <c r="F68" s="290" t="n"/>
      <c r="G68" s="220">
        <f>SUM(C68)-SUM(D68)</f>
        <v/>
      </c>
      <c r="H68" s="220">
        <f>SUM(E68)-SUM(F68)</f>
        <v/>
      </c>
      <c r="I68" s="221">
        <f>IF(A68="Total",VLOOKUP(B68,CORRESPONDANCE[#All],2,FALSE),I69)</f>
        <v/>
      </c>
      <c r="J68" s="350">
        <f>LEFT(A68,1)</f>
        <v/>
      </c>
      <c r="K68" s="347">
        <f>"VR7"&amp;" - "&amp;A68</f>
        <v/>
      </c>
      <c r="L68" s="347">
        <f>+VLOOKUP(K68,TL[],4,FALSE)</f>
        <v/>
      </c>
    </row>
    <row r="69" ht="15" customHeight="1" s="161">
      <c r="A69" s="290" t="n"/>
      <c r="B69" s="290" t="n"/>
      <c r="C69" s="290" t="n"/>
      <c r="D69" s="290" t="n"/>
      <c r="E69" s="290" t="n"/>
      <c r="F69" s="290" t="n"/>
      <c r="G69" s="220">
        <f>SUM(C69)-SUM(D69)</f>
        <v/>
      </c>
      <c r="H69" s="220">
        <f>SUM(E69)-SUM(F69)</f>
        <v/>
      </c>
      <c r="I69" s="221">
        <f>IF(A69="Total",VLOOKUP(B69,CORRESPONDANCE[#All],2,FALSE),I70)</f>
        <v/>
      </c>
      <c r="J69" s="350">
        <f>LEFT(A69,1)</f>
        <v/>
      </c>
      <c r="K69" s="347">
        <f>"VR7"&amp;" - "&amp;A69</f>
        <v/>
      </c>
      <c r="L69" s="347">
        <f>+VLOOKUP(K69,TL[],4,FALSE)</f>
        <v/>
      </c>
    </row>
    <row r="70" ht="15" customHeight="1" s="161">
      <c r="A70" s="290" t="n"/>
      <c r="B70" s="290" t="n"/>
      <c r="C70" s="290" t="n"/>
      <c r="D70" s="290" t="n"/>
      <c r="E70" s="290" t="n"/>
      <c r="F70" s="290" t="n"/>
      <c r="G70" s="220">
        <f>SUM(C70)-SUM(D70)</f>
        <v/>
      </c>
      <c r="H70" s="220">
        <f>SUM(E70)-SUM(F70)</f>
        <v/>
      </c>
      <c r="I70" s="221">
        <f>IF(A70="Total",VLOOKUP(B70,CORRESPONDANCE[#All],2,FALSE),I71)</f>
        <v/>
      </c>
      <c r="J70" s="350">
        <f>LEFT(A70,1)</f>
        <v/>
      </c>
      <c r="K70" s="347">
        <f>"VR7"&amp;" - "&amp;A70</f>
        <v/>
      </c>
      <c r="L70" s="347">
        <f>+VLOOKUP(K70,TL[],4,FALSE)</f>
        <v/>
      </c>
    </row>
    <row r="71" ht="15" customHeight="1" s="161">
      <c r="A71" s="290" t="n"/>
      <c r="B71" s="290" t="n"/>
      <c r="C71" s="290" t="n"/>
      <c r="D71" s="290" t="n"/>
      <c r="E71" s="290" t="n"/>
      <c r="F71" s="290" t="n"/>
      <c r="G71" s="220">
        <f>SUM(C71)-SUM(D71)</f>
        <v/>
      </c>
      <c r="H71" s="220">
        <f>SUM(E71)-SUM(F71)</f>
        <v/>
      </c>
      <c r="I71" s="221">
        <f>IF(A71="Total",VLOOKUP(B71,CORRESPONDANCE[#All],2,FALSE),I72)</f>
        <v/>
      </c>
      <c r="J71" s="350">
        <f>LEFT(A71,1)</f>
        <v/>
      </c>
      <c r="K71" s="347">
        <f>"VR7"&amp;" - "&amp;A71</f>
        <v/>
      </c>
      <c r="L71" s="347">
        <f>+VLOOKUP(K71,TL[],4,FALSE)</f>
        <v/>
      </c>
    </row>
    <row r="72" ht="15" customHeight="1" s="161">
      <c r="A72" s="290" t="n"/>
      <c r="B72" s="290" t="n"/>
      <c r="C72" s="290" t="n"/>
      <c r="D72" s="290" t="n"/>
      <c r="E72" s="290" t="n"/>
      <c r="F72" s="290" t="n"/>
      <c r="G72" s="220">
        <f>SUM(C72)-SUM(D72)</f>
        <v/>
      </c>
      <c r="H72" s="220">
        <f>SUM(E72)-SUM(F72)</f>
        <v/>
      </c>
      <c r="I72" s="221">
        <f>IF(A72="Total",VLOOKUP(B72,CORRESPONDANCE[#All],2,FALSE),I73)</f>
        <v/>
      </c>
      <c r="J72" s="350">
        <f>LEFT(A72,1)</f>
        <v/>
      </c>
      <c r="K72" s="347">
        <f>"VR7"&amp;" - "&amp;A72</f>
        <v/>
      </c>
      <c r="L72" s="347">
        <f>+VLOOKUP(K72,TL[],4,FALSE)</f>
        <v/>
      </c>
    </row>
    <row r="73" ht="15" customHeight="1" s="161">
      <c r="A73" s="290" t="n"/>
      <c r="B73" s="290" t="n"/>
      <c r="C73" s="290" t="n"/>
      <c r="D73" s="290" t="n"/>
      <c r="E73" s="290" t="n"/>
      <c r="F73" s="290" t="n"/>
      <c r="G73" s="220">
        <f>SUM(C73)-SUM(D73)</f>
        <v/>
      </c>
      <c r="H73" s="220">
        <f>SUM(E73)-SUM(F73)</f>
        <v/>
      </c>
      <c r="I73" s="221">
        <f>IF(A73="Total",VLOOKUP(B73,CORRESPONDANCE[#All],2,FALSE),I74)</f>
        <v/>
      </c>
      <c r="J73" s="350">
        <f>LEFT(A73,1)</f>
        <v/>
      </c>
      <c r="K73" s="347">
        <f>"VR7"&amp;" - "&amp;A73</f>
        <v/>
      </c>
      <c r="L73" s="347">
        <f>+VLOOKUP(K73,TL[],4,FALSE)</f>
        <v/>
      </c>
    </row>
    <row r="74" ht="15" customHeight="1" s="161">
      <c r="A74" s="290" t="n"/>
      <c r="B74" s="290" t="n"/>
      <c r="C74" s="290" t="n"/>
      <c r="D74" s="290" t="n"/>
      <c r="E74" s="290" t="n"/>
      <c r="F74" s="290" t="n"/>
      <c r="G74" s="220">
        <f>SUM(C74)-SUM(D74)</f>
        <v/>
      </c>
      <c r="H74" s="220">
        <f>SUM(E74)-SUM(F74)</f>
        <v/>
      </c>
      <c r="I74" s="221">
        <f>IF(A74="Total",VLOOKUP(B74,CORRESPONDANCE[#All],2,FALSE),I75)</f>
        <v/>
      </c>
      <c r="J74" s="350">
        <f>LEFT(A74,1)</f>
        <v/>
      </c>
      <c r="K74" s="347">
        <f>"VR7"&amp;" - "&amp;A74</f>
        <v/>
      </c>
      <c r="L74" s="347">
        <f>+VLOOKUP(K74,TL[],4,FALSE)</f>
        <v/>
      </c>
    </row>
    <row r="75" ht="15" customHeight="1" s="161">
      <c r="A75" s="290" t="n"/>
      <c r="B75" s="290" t="n"/>
      <c r="C75" s="290" t="n"/>
      <c r="D75" s="290" t="n"/>
      <c r="E75" s="290" t="n"/>
      <c r="F75" s="290" t="n"/>
      <c r="G75" s="220">
        <f>SUM(C75)-SUM(D75)</f>
        <v/>
      </c>
      <c r="H75" s="220">
        <f>SUM(E75)-SUM(F75)</f>
        <v/>
      </c>
      <c r="I75" s="221">
        <f>IF(A75="Total",VLOOKUP(B75,CORRESPONDANCE[#All],2,FALSE),I76)</f>
        <v/>
      </c>
      <c r="J75" s="350">
        <f>LEFT(A75,1)</f>
        <v/>
      </c>
      <c r="K75" s="347">
        <f>"VR7"&amp;" - "&amp;A75</f>
        <v/>
      </c>
      <c r="L75" s="347">
        <f>+VLOOKUP(K75,TL[],4,FALSE)</f>
        <v/>
      </c>
    </row>
    <row r="76" ht="15" customHeight="1" s="161">
      <c r="A76" s="290" t="n"/>
      <c r="B76" s="290" t="n"/>
      <c r="C76" s="290" t="n"/>
      <c r="D76" s="290" t="n"/>
      <c r="E76" s="290" t="n"/>
      <c r="F76" s="290" t="n"/>
      <c r="G76" s="220">
        <f>SUM(C76)-SUM(D76)</f>
        <v/>
      </c>
      <c r="H76" s="220">
        <f>SUM(E76)-SUM(F76)</f>
        <v/>
      </c>
      <c r="I76" s="221">
        <f>IF(A76="Total",VLOOKUP(B76,CORRESPONDANCE[#All],2,FALSE),I77)</f>
        <v/>
      </c>
      <c r="J76" s="350">
        <f>LEFT(A76,1)</f>
        <v/>
      </c>
      <c r="K76" s="347">
        <f>"VR7"&amp;" - "&amp;A76</f>
        <v/>
      </c>
      <c r="L76" s="347">
        <f>+VLOOKUP(K76,TL[],4,FALSE)</f>
        <v/>
      </c>
    </row>
    <row r="77" ht="15" customHeight="1" s="161">
      <c r="A77" s="290" t="n"/>
      <c r="B77" s="290" t="n"/>
      <c r="C77" s="290" t="n"/>
      <c r="D77" s="290" t="n"/>
      <c r="E77" s="290" t="n"/>
      <c r="F77" s="290" t="n"/>
      <c r="G77" s="220">
        <f>SUM(C77)-SUM(D77)</f>
        <v/>
      </c>
      <c r="H77" s="220">
        <f>SUM(E77)-SUM(F77)</f>
        <v/>
      </c>
      <c r="I77" s="221">
        <f>IF(A77="Total",VLOOKUP(B77,CORRESPONDANCE[#All],2,FALSE),I78)</f>
        <v/>
      </c>
      <c r="J77" s="350">
        <f>LEFT(A77,1)</f>
        <v/>
      </c>
      <c r="K77" s="347">
        <f>"VR7"&amp;" - "&amp;A77</f>
        <v/>
      </c>
      <c r="L77" s="347">
        <f>+VLOOKUP(K77,TL[],4,FALSE)</f>
        <v/>
      </c>
    </row>
    <row r="78" ht="15" customHeight="1" s="161">
      <c r="A78" s="290" t="n"/>
      <c r="B78" s="290" t="n"/>
      <c r="C78" s="290" t="n"/>
      <c r="D78" s="290" t="n"/>
      <c r="E78" s="290" t="n"/>
      <c r="F78" s="290" t="n"/>
      <c r="G78" s="220">
        <f>SUM(C78)-SUM(D78)</f>
        <v/>
      </c>
      <c r="H78" s="220">
        <f>SUM(E78)-SUM(F78)</f>
        <v/>
      </c>
      <c r="I78" s="221">
        <f>IF(A78="Total",VLOOKUP(B78,CORRESPONDANCE[#All],2,FALSE),I79)</f>
        <v/>
      </c>
      <c r="J78" s="350">
        <f>LEFT(A78,1)</f>
        <v/>
      </c>
      <c r="K78" s="347">
        <f>"VR7"&amp;" - "&amp;A78</f>
        <v/>
      </c>
      <c r="L78" s="347">
        <f>+VLOOKUP(K78,TL[],4,FALSE)</f>
        <v/>
      </c>
    </row>
    <row r="79" ht="15" customHeight="1" s="161">
      <c r="A79" s="290" t="n"/>
      <c r="B79" s="290" t="n"/>
      <c r="C79" s="290" t="n"/>
      <c r="D79" s="290" t="n"/>
      <c r="E79" s="290" t="n"/>
      <c r="F79" s="290" t="n"/>
      <c r="G79" s="220">
        <f>SUM(C79)-SUM(D79)</f>
        <v/>
      </c>
      <c r="H79" s="220">
        <f>SUM(E79)-SUM(F79)</f>
        <v/>
      </c>
      <c r="I79" s="221">
        <f>IF(A79="Total",VLOOKUP(B79,CORRESPONDANCE[#All],2,FALSE),I80)</f>
        <v/>
      </c>
      <c r="J79" s="350">
        <f>LEFT(A79,1)</f>
        <v/>
      </c>
      <c r="K79" s="347">
        <f>"VR7"&amp;" - "&amp;A79</f>
        <v/>
      </c>
      <c r="L79" s="347">
        <f>+VLOOKUP(K79,TL[],4,FALSE)</f>
        <v/>
      </c>
    </row>
    <row r="80" ht="15" customHeight="1" s="161">
      <c r="A80" s="290" t="n"/>
      <c r="B80" s="290" t="n"/>
      <c r="C80" s="290" t="n"/>
      <c r="D80" s="290" t="n"/>
      <c r="E80" s="290" t="n"/>
      <c r="F80" s="290" t="n"/>
      <c r="G80" s="220">
        <f>SUM(C80)-SUM(D80)</f>
        <v/>
      </c>
      <c r="H80" s="220">
        <f>SUM(E80)-SUM(F80)</f>
        <v/>
      </c>
      <c r="I80" s="221">
        <f>IF(A80="Total",VLOOKUP(B80,CORRESPONDANCE[#All],2,FALSE),I81)</f>
        <v/>
      </c>
      <c r="J80" s="350">
        <f>LEFT(A80,1)</f>
        <v/>
      </c>
      <c r="K80" s="347">
        <f>"VR7"&amp;" - "&amp;A80</f>
        <v/>
      </c>
      <c r="L80" s="347">
        <f>+VLOOKUP(K80,TL[],4,FALSE)</f>
        <v/>
      </c>
    </row>
    <row r="81" ht="15" customHeight="1" s="161">
      <c r="A81" s="290" t="n"/>
      <c r="B81" s="290" t="n"/>
      <c r="C81" s="290" t="n"/>
      <c r="D81" s="290" t="n"/>
      <c r="E81" s="290" t="n"/>
      <c r="F81" s="290" t="n"/>
      <c r="G81" s="220">
        <f>SUM(C81)-SUM(D81)</f>
        <v/>
      </c>
      <c r="H81" s="220">
        <f>SUM(E81)-SUM(F81)</f>
        <v/>
      </c>
      <c r="I81" s="221">
        <f>IF(A81="Total",VLOOKUP(B81,CORRESPONDANCE[#All],2,FALSE),I82)</f>
        <v/>
      </c>
      <c r="J81" s="350">
        <f>LEFT(A81,1)</f>
        <v/>
      </c>
      <c r="K81" s="347">
        <f>"VR7"&amp;" - "&amp;A81</f>
        <v/>
      </c>
      <c r="L81" s="347">
        <f>+VLOOKUP(K81,TL[],4,FALSE)</f>
        <v/>
      </c>
    </row>
    <row r="82" ht="15" customHeight="1" s="161">
      <c r="A82" s="290" t="n"/>
      <c r="B82" s="290" t="n"/>
      <c r="C82" s="290" t="n"/>
      <c r="D82" s="290" t="n"/>
      <c r="E82" s="290" t="n"/>
      <c r="F82" s="290" t="n"/>
      <c r="G82" s="220">
        <f>SUM(C82)-SUM(D82)</f>
        <v/>
      </c>
      <c r="H82" s="220">
        <f>SUM(E82)-SUM(F82)</f>
        <v/>
      </c>
      <c r="I82" s="221">
        <f>IF(A82="Total",VLOOKUP(B82,CORRESPONDANCE[#All],2,FALSE),I83)</f>
        <v/>
      </c>
      <c r="J82" s="350">
        <f>LEFT(A82,1)</f>
        <v/>
      </c>
      <c r="K82" s="347">
        <f>"VR7"&amp;" - "&amp;A82</f>
        <v/>
      </c>
      <c r="L82" s="347">
        <f>+VLOOKUP(K82,TL[],4,FALSE)</f>
        <v/>
      </c>
    </row>
    <row r="83" ht="15" customHeight="1" s="161">
      <c r="A83" s="290" t="n"/>
      <c r="B83" s="290" t="n"/>
      <c r="C83" s="290" t="n"/>
      <c r="D83" s="290" t="n"/>
      <c r="E83" s="290" t="n"/>
      <c r="F83" s="290" t="n"/>
      <c r="G83" s="220">
        <f>SUM(C83)-SUM(D83)</f>
        <v/>
      </c>
      <c r="H83" s="220">
        <f>SUM(E83)-SUM(F83)</f>
        <v/>
      </c>
      <c r="I83" s="221">
        <f>IF(A83="Total",VLOOKUP(B83,CORRESPONDANCE[#All],2,FALSE),I84)</f>
        <v/>
      </c>
      <c r="J83" s="350">
        <f>LEFT(A83,1)</f>
        <v/>
      </c>
      <c r="K83" s="347">
        <f>"VR7"&amp;" - "&amp;A83</f>
        <v/>
      </c>
      <c r="L83" s="347">
        <f>+VLOOKUP(K83,TL[],4,FALSE)</f>
        <v/>
      </c>
    </row>
    <row r="84" ht="15" customHeight="1" s="161">
      <c r="A84" s="290" t="n"/>
      <c r="B84" s="290" t="n"/>
      <c r="C84" s="290" t="n"/>
      <c r="D84" s="290" t="n"/>
      <c r="E84" s="290" t="n"/>
      <c r="F84" s="290" t="n"/>
      <c r="G84" s="220">
        <f>SUM(C84)-SUM(D84)</f>
        <v/>
      </c>
      <c r="H84" s="220">
        <f>SUM(E84)-SUM(F84)</f>
        <v/>
      </c>
      <c r="I84" s="221">
        <f>IF(A84="Total",VLOOKUP(B84,CORRESPONDANCE[#All],2,FALSE),I85)</f>
        <v/>
      </c>
      <c r="J84" s="350">
        <f>LEFT(A84,1)</f>
        <v/>
      </c>
      <c r="K84" s="347">
        <f>"VR7"&amp;" - "&amp;A84</f>
        <v/>
      </c>
      <c r="L84" s="347">
        <f>+VLOOKUP(K84,TL[],4,FALSE)</f>
        <v/>
      </c>
    </row>
    <row r="85" ht="15" customHeight="1" s="161">
      <c r="A85" s="290" t="n"/>
      <c r="B85" s="290" t="n"/>
      <c r="C85" s="290" t="n"/>
      <c r="D85" s="290" t="n"/>
      <c r="E85" s="290" t="n"/>
      <c r="F85" s="290" t="n"/>
      <c r="G85" s="220">
        <f>SUM(C85)-SUM(D85)</f>
        <v/>
      </c>
      <c r="H85" s="220">
        <f>SUM(E85)-SUM(F85)</f>
        <v/>
      </c>
      <c r="I85" s="221">
        <f>IF(A85="Total",VLOOKUP(B85,CORRESPONDANCE[#All],2,FALSE),I86)</f>
        <v/>
      </c>
      <c r="J85" s="350">
        <f>LEFT(A85,1)</f>
        <v/>
      </c>
      <c r="K85" s="347">
        <f>"VR7"&amp;" - "&amp;A85</f>
        <v/>
      </c>
      <c r="L85" s="347">
        <f>+VLOOKUP(K85,TL[],4,FALSE)</f>
        <v/>
      </c>
    </row>
    <row r="86" ht="15" customHeight="1" s="161">
      <c r="A86" s="290" t="n"/>
      <c r="B86" s="290" t="n"/>
      <c r="C86" s="290" t="n"/>
      <c r="D86" s="290" t="n"/>
      <c r="E86" s="290" t="n"/>
      <c r="F86" s="290" t="n"/>
      <c r="G86" s="220">
        <f>SUM(C86)-SUM(D86)</f>
        <v/>
      </c>
      <c r="H86" s="220">
        <f>SUM(E86)-SUM(F86)</f>
        <v/>
      </c>
      <c r="I86" s="221">
        <f>IF(A86="Total",VLOOKUP(B86,CORRESPONDANCE[#All],2,FALSE),I87)</f>
        <v/>
      </c>
      <c r="J86" s="350">
        <f>LEFT(A86,1)</f>
        <v/>
      </c>
      <c r="K86" s="347">
        <f>"VR7"&amp;" - "&amp;A86</f>
        <v/>
      </c>
      <c r="L86" s="347">
        <f>+VLOOKUP(K86,TL[],4,FALSE)</f>
        <v/>
      </c>
    </row>
    <row r="87" ht="15" customHeight="1" s="161">
      <c r="A87" s="290" t="n"/>
      <c r="B87" s="290" t="n"/>
      <c r="C87" s="290" t="n"/>
      <c r="D87" s="290" t="n"/>
      <c r="E87" s="290" t="n"/>
      <c r="F87" s="290" t="n"/>
      <c r="G87" s="220">
        <f>SUM(C87)-SUM(D87)</f>
        <v/>
      </c>
      <c r="H87" s="220">
        <f>SUM(E87)-SUM(F87)</f>
        <v/>
      </c>
      <c r="I87" s="221">
        <f>IF(A87="Total",VLOOKUP(B87,CORRESPONDANCE[#All],2,FALSE),I88)</f>
        <v/>
      </c>
      <c r="J87" s="350">
        <f>LEFT(A87,1)</f>
        <v/>
      </c>
      <c r="K87" s="347">
        <f>"VR7"&amp;" - "&amp;A87</f>
        <v/>
      </c>
      <c r="L87" s="347">
        <f>+VLOOKUP(K87,TL[],4,FALSE)</f>
        <v/>
      </c>
    </row>
    <row r="88" ht="15" customHeight="1" s="161">
      <c r="A88" s="290" t="n"/>
      <c r="B88" s="290" t="n"/>
      <c r="C88" s="290" t="n"/>
      <c r="D88" s="290" t="n"/>
      <c r="E88" s="290" t="n"/>
      <c r="F88" s="290" t="n"/>
      <c r="G88" s="220">
        <f>SUM(C88)-SUM(D88)</f>
        <v/>
      </c>
      <c r="H88" s="220">
        <f>SUM(E88)-SUM(F88)</f>
        <v/>
      </c>
      <c r="I88" s="221">
        <f>IF(A88="Total",VLOOKUP(B88,CORRESPONDANCE[#All],2,FALSE),I89)</f>
        <v/>
      </c>
      <c r="J88" s="350">
        <f>LEFT(A88,1)</f>
        <v/>
      </c>
      <c r="K88" s="347">
        <f>"VR7"&amp;" - "&amp;A88</f>
        <v/>
      </c>
      <c r="L88" s="347">
        <f>+VLOOKUP(K88,TL[],4,FALSE)</f>
        <v/>
      </c>
    </row>
    <row r="89" ht="15" customHeight="1" s="161">
      <c r="A89" s="290" t="n"/>
      <c r="B89" s="290" t="n"/>
      <c r="C89" s="290" t="n"/>
      <c r="D89" s="290" t="n"/>
      <c r="E89" s="290" t="n"/>
      <c r="F89" s="290" t="n"/>
      <c r="G89" s="220">
        <f>SUM(C89)-SUM(D89)</f>
        <v/>
      </c>
      <c r="H89" s="220">
        <f>SUM(E89)-SUM(F89)</f>
        <v/>
      </c>
      <c r="I89" s="221">
        <f>IF(A89="Total",VLOOKUP(B89,CORRESPONDANCE[#All],2,FALSE),I90)</f>
        <v/>
      </c>
      <c r="J89" s="350">
        <f>LEFT(A89,1)</f>
        <v/>
      </c>
      <c r="K89" s="347">
        <f>"VR7"&amp;" - "&amp;A89</f>
        <v/>
      </c>
      <c r="L89" s="347">
        <f>+VLOOKUP(K89,TL[],4,FALSE)</f>
        <v/>
      </c>
    </row>
    <row r="90" ht="15" customHeight="1" s="161">
      <c r="A90" s="290" t="n"/>
      <c r="B90" s="290" t="n"/>
      <c r="C90" s="290" t="n"/>
      <c r="D90" s="290" t="n"/>
      <c r="E90" s="290" t="n"/>
      <c r="F90" s="290" t="n"/>
      <c r="G90" s="220">
        <f>SUM(C90)-SUM(D90)</f>
        <v/>
      </c>
      <c r="H90" s="220">
        <f>SUM(E90)-SUM(F90)</f>
        <v/>
      </c>
      <c r="I90" s="221">
        <f>IF(A90="Total",VLOOKUP(B90,CORRESPONDANCE[#All],2,FALSE),I91)</f>
        <v/>
      </c>
      <c r="J90" s="350">
        <f>LEFT(A90,1)</f>
        <v/>
      </c>
      <c r="K90" s="347">
        <f>"VR7"&amp;" - "&amp;A90</f>
        <v/>
      </c>
      <c r="L90" s="347">
        <f>+VLOOKUP(K90,TL[],4,FALSE)</f>
        <v/>
      </c>
    </row>
    <row r="91" ht="15" customHeight="1" s="161">
      <c r="A91" s="290" t="n"/>
      <c r="B91" s="290" t="n"/>
      <c r="C91" s="290" t="n"/>
      <c r="D91" s="290" t="n"/>
      <c r="E91" s="290" t="n"/>
      <c r="F91" s="290" t="n"/>
      <c r="G91" s="220">
        <f>SUM(C91)-SUM(D91)</f>
        <v/>
      </c>
      <c r="H91" s="220">
        <f>SUM(E91)-SUM(F91)</f>
        <v/>
      </c>
      <c r="I91" s="221">
        <f>IF(A91="Total",VLOOKUP(B91,CORRESPONDANCE[#All],2,FALSE),I92)</f>
        <v/>
      </c>
      <c r="J91" s="350">
        <f>LEFT(A91,1)</f>
        <v/>
      </c>
      <c r="K91" s="347">
        <f>"VR7"&amp;" - "&amp;A91</f>
        <v/>
      </c>
      <c r="L91" s="347">
        <f>+VLOOKUP(K91,TL[],4,FALSE)</f>
        <v/>
      </c>
    </row>
    <row r="92" ht="15" customHeight="1" s="161">
      <c r="A92" s="290" t="n"/>
      <c r="B92" s="290" t="n"/>
      <c r="C92" s="290" t="n"/>
      <c r="D92" s="290" t="n"/>
      <c r="E92" s="290" t="n"/>
      <c r="F92" s="290" t="n"/>
      <c r="G92" s="220">
        <f>SUM(C92)-SUM(D92)</f>
        <v/>
      </c>
      <c r="H92" s="220">
        <f>SUM(E92)-SUM(F92)</f>
        <v/>
      </c>
      <c r="I92" s="221">
        <f>IF(A92="Total",VLOOKUP(B92,CORRESPONDANCE[#All],2,FALSE),I93)</f>
        <v/>
      </c>
      <c r="J92" s="350">
        <f>LEFT(A92,1)</f>
        <v/>
      </c>
      <c r="K92" s="347">
        <f>"VR7"&amp;" - "&amp;A92</f>
        <v/>
      </c>
      <c r="L92" s="347">
        <f>+VLOOKUP(K92,TL[],4,FALSE)</f>
        <v/>
      </c>
    </row>
    <row r="93" ht="15" customHeight="1" s="161">
      <c r="A93" s="290" t="n"/>
      <c r="B93" s="290" t="n"/>
      <c r="C93" s="290" t="n"/>
      <c r="D93" s="290" t="n"/>
      <c r="E93" s="290" t="n"/>
      <c r="F93" s="290" t="n"/>
      <c r="G93" s="220">
        <f>SUM(C93)-SUM(D93)</f>
        <v/>
      </c>
      <c r="H93" s="220">
        <f>SUM(E93)-SUM(F93)</f>
        <v/>
      </c>
      <c r="I93" s="221">
        <f>IF(A93="Total",VLOOKUP(B93,CORRESPONDANCE[#All],2,FALSE),I94)</f>
        <v/>
      </c>
      <c r="J93" s="350">
        <f>LEFT(A93,1)</f>
        <v/>
      </c>
      <c r="K93" s="347">
        <f>"VR7"&amp;" - "&amp;A93</f>
        <v/>
      </c>
      <c r="L93" s="347">
        <f>+VLOOKUP(K93,TL[],4,FALSE)</f>
        <v/>
      </c>
    </row>
    <row r="94" ht="15" customHeight="1" s="161">
      <c r="A94" s="290" t="n"/>
      <c r="B94" s="290" t="n"/>
      <c r="C94" s="290" t="n"/>
      <c r="D94" s="290" t="n"/>
      <c r="E94" s="290" t="n"/>
      <c r="F94" s="290" t="n"/>
      <c r="G94" s="220">
        <f>SUM(C94)-SUM(D94)</f>
        <v/>
      </c>
      <c r="H94" s="220">
        <f>SUM(E94)-SUM(F94)</f>
        <v/>
      </c>
      <c r="I94" s="221">
        <f>IF(A94="Total",VLOOKUP(B94,CORRESPONDANCE[#All],2,FALSE),I95)</f>
        <v/>
      </c>
      <c r="J94" s="350">
        <f>LEFT(A94,1)</f>
        <v/>
      </c>
      <c r="K94" s="347">
        <f>"VR7"&amp;" - "&amp;A94</f>
        <v/>
      </c>
      <c r="L94" s="347">
        <f>+VLOOKUP(K94,TL[],4,FALSE)</f>
        <v/>
      </c>
    </row>
    <row r="95" ht="15" customHeight="1" s="161">
      <c r="A95" s="290" t="n"/>
      <c r="B95" s="290" t="n"/>
      <c r="C95" s="290" t="n"/>
      <c r="D95" s="290" t="n"/>
      <c r="E95" s="290" t="n"/>
      <c r="F95" s="290" t="n"/>
      <c r="G95" s="220">
        <f>SUM(C95)-SUM(D95)</f>
        <v/>
      </c>
      <c r="H95" s="220">
        <f>SUM(E95)-SUM(F95)</f>
        <v/>
      </c>
      <c r="I95" s="221">
        <f>IF(A95="Total",VLOOKUP(B95,CORRESPONDANCE[#All],2,FALSE),I96)</f>
        <v/>
      </c>
      <c r="J95" s="350">
        <f>LEFT(A95,1)</f>
        <v/>
      </c>
      <c r="K95" s="347">
        <f>"VR7"&amp;" - "&amp;A95</f>
        <v/>
      </c>
      <c r="L95" s="347">
        <f>+VLOOKUP(K95,TL[],4,FALSE)</f>
        <v/>
      </c>
    </row>
    <row r="96" ht="15" customHeight="1" s="161">
      <c r="A96" s="290" t="n"/>
      <c r="B96" s="290" t="n"/>
      <c r="C96" s="290" t="n"/>
      <c r="D96" s="290" t="n"/>
      <c r="E96" s="290" t="n"/>
      <c r="F96" s="290" t="n"/>
      <c r="G96" s="220">
        <f>SUM(C96)-SUM(D96)</f>
        <v/>
      </c>
      <c r="H96" s="220">
        <f>SUM(E96)-SUM(F96)</f>
        <v/>
      </c>
      <c r="I96" s="221">
        <f>IF(A96="Total",VLOOKUP(B96,CORRESPONDANCE[#All],2,FALSE),I97)</f>
        <v/>
      </c>
      <c r="J96" s="350">
        <f>LEFT(A96,1)</f>
        <v/>
      </c>
      <c r="K96" s="347">
        <f>"VR7"&amp;" - "&amp;A96</f>
        <v/>
      </c>
      <c r="L96" s="347">
        <f>+VLOOKUP(K96,TL[],4,FALSE)</f>
        <v/>
      </c>
    </row>
    <row r="97" ht="15" customHeight="1" s="161">
      <c r="A97" s="290" t="n"/>
      <c r="B97" s="290" t="n"/>
      <c r="C97" s="290" t="n"/>
      <c r="D97" s="290" t="n"/>
      <c r="E97" s="290" t="n"/>
      <c r="F97" s="290" t="n"/>
      <c r="G97" s="220">
        <f>SUM(C97)-SUM(D97)</f>
        <v/>
      </c>
      <c r="H97" s="220">
        <f>SUM(E97)-SUM(F97)</f>
        <v/>
      </c>
      <c r="I97" s="221">
        <f>IF(A97="Total",VLOOKUP(B97,CORRESPONDANCE[#All],2,FALSE),I98)</f>
        <v/>
      </c>
      <c r="J97" s="350">
        <f>LEFT(A97,1)</f>
        <v/>
      </c>
      <c r="K97" s="347">
        <f>"VR7"&amp;" - "&amp;A97</f>
        <v/>
      </c>
      <c r="L97" s="347">
        <f>+VLOOKUP(K97,TL[],4,FALSE)</f>
        <v/>
      </c>
    </row>
    <row r="98" ht="15" customHeight="1" s="161">
      <c r="A98" s="290" t="n"/>
      <c r="B98" s="290" t="n"/>
      <c r="C98" s="290" t="n"/>
      <c r="D98" s="290" t="n"/>
      <c r="E98" s="290" t="n"/>
      <c r="F98" s="290" t="n"/>
      <c r="G98" s="220">
        <f>SUM(C98)-SUM(D98)</f>
        <v/>
      </c>
      <c r="H98" s="220">
        <f>SUM(E98)-SUM(F98)</f>
        <v/>
      </c>
      <c r="I98" s="221">
        <f>IF(A98="Total",VLOOKUP(B98,CORRESPONDANCE[#All],2,FALSE),I99)</f>
        <v/>
      </c>
      <c r="J98" s="350">
        <f>LEFT(A98,1)</f>
        <v/>
      </c>
      <c r="K98" s="347">
        <f>"VR7"&amp;" - "&amp;A98</f>
        <v/>
      </c>
      <c r="L98" s="347">
        <f>+VLOOKUP(K98,TL[],4,FALSE)</f>
        <v/>
      </c>
    </row>
    <row r="99" ht="15" customHeight="1" s="161">
      <c r="A99" s="290" t="n"/>
      <c r="B99" s="290" t="n"/>
      <c r="C99" s="290" t="n"/>
      <c r="D99" s="290" t="n"/>
      <c r="E99" s="290" t="n"/>
      <c r="F99" s="290" t="n"/>
      <c r="G99" s="220">
        <f>SUM(C99)-SUM(D99)</f>
        <v/>
      </c>
      <c r="H99" s="220">
        <f>SUM(E99)-SUM(F99)</f>
        <v/>
      </c>
      <c r="I99" s="221">
        <f>IF(A99="Total",VLOOKUP(B99,CORRESPONDANCE[#All],2,FALSE),I100)</f>
        <v/>
      </c>
      <c r="J99" s="350">
        <f>LEFT(A99,1)</f>
        <v/>
      </c>
      <c r="K99" s="347">
        <f>"VR7"&amp;" - "&amp;A99</f>
        <v/>
      </c>
      <c r="L99" s="347">
        <f>+VLOOKUP(K99,TL[],4,FALSE)</f>
        <v/>
      </c>
    </row>
    <row r="100" ht="15" customHeight="1" s="161">
      <c r="A100" s="290" t="n"/>
      <c r="B100" s="290" t="n"/>
      <c r="C100" s="290" t="n"/>
      <c r="D100" s="290" t="n"/>
      <c r="E100" s="290" t="n"/>
      <c r="F100" s="290" t="n"/>
      <c r="G100" s="220">
        <f>SUM(C100)-SUM(D100)</f>
        <v/>
      </c>
      <c r="H100" s="220">
        <f>SUM(E100)-SUM(F100)</f>
        <v/>
      </c>
      <c r="I100" s="221">
        <f>IF(A100="Total",VLOOKUP(B100,CORRESPONDANCE[#All],2,FALSE),I101)</f>
        <v/>
      </c>
      <c r="J100" s="350">
        <f>LEFT(A100,1)</f>
        <v/>
      </c>
      <c r="K100" s="347">
        <f>"VR7"&amp;" - "&amp;A100</f>
        <v/>
      </c>
      <c r="L100" s="347">
        <f>+VLOOKUP(K100,TL[],4,FALSE)</f>
        <v/>
      </c>
    </row>
    <row r="101" ht="15" customHeight="1" s="161">
      <c r="A101" s="290" t="n"/>
      <c r="B101" s="290" t="n"/>
      <c r="C101" s="290" t="n"/>
      <c r="D101" s="290" t="n"/>
      <c r="E101" s="290" t="n"/>
      <c r="F101" s="290" t="n"/>
      <c r="G101" s="220">
        <f>SUM(C101)-SUM(D101)</f>
        <v/>
      </c>
      <c r="H101" s="220">
        <f>SUM(E101)-SUM(F101)</f>
        <v/>
      </c>
      <c r="I101" s="221">
        <f>IF(A101="Total",VLOOKUP(B101,CORRESPONDANCE[#All],2,FALSE),I102)</f>
        <v/>
      </c>
      <c r="J101" s="350">
        <f>LEFT(A101,1)</f>
        <v/>
      </c>
      <c r="K101" s="347">
        <f>"VR7"&amp;" - "&amp;A101</f>
        <v/>
      </c>
      <c r="L101" s="347">
        <f>+VLOOKUP(K101,TL[],4,FALSE)</f>
        <v/>
      </c>
    </row>
    <row r="102" ht="15" customHeight="1" s="161">
      <c r="A102" s="290" t="n"/>
      <c r="B102" s="290" t="n"/>
      <c r="C102" s="290" t="n"/>
      <c r="D102" s="290" t="n"/>
      <c r="E102" s="290" t="n"/>
      <c r="F102" s="290" t="n"/>
      <c r="G102" s="220">
        <f>SUM(C102)-SUM(D102)</f>
        <v/>
      </c>
      <c r="H102" s="220">
        <f>SUM(E102)-SUM(F102)</f>
        <v/>
      </c>
      <c r="I102" s="221">
        <f>IF(A102="Total",VLOOKUP(B102,CORRESPONDANCE[#All],2,FALSE),I103)</f>
        <v/>
      </c>
      <c r="J102" s="350">
        <f>LEFT(A102,1)</f>
        <v/>
      </c>
      <c r="K102" s="347">
        <f>"VR7"&amp;" - "&amp;A102</f>
        <v/>
      </c>
      <c r="L102" s="347">
        <f>+VLOOKUP(K102,TL[],4,FALSE)</f>
        <v/>
      </c>
    </row>
    <row r="103" ht="15" customHeight="1" s="161">
      <c r="A103" s="290" t="n"/>
      <c r="B103" s="290" t="n"/>
      <c r="C103" s="290" t="n"/>
      <c r="D103" s="290" t="n"/>
      <c r="E103" s="290" t="n"/>
      <c r="F103" s="290" t="n"/>
      <c r="G103" s="220">
        <f>SUM(C103)-SUM(D103)</f>
        <v/>
      </c>
      <c r="H103" s="220">
        <f>SUM(E103)-SUM(F103)</f>
        <v/>
      </c>
      <c r="I103" s="221">
        <f>IF(A103="Total",VLOOKUP(B103,CORRESPONDANCE[#All],2,FALSE),I104)</f>
        <v/>
      </c>
      <c r="J103" s="350">
        <f>LEFT(A103,1)</f>
        <v/>
      </c>
      <c r="K103" s="347">
        <f>"VR7"&amp;" - "&amp;A103</f>
        <v/>
      </c>
      <c r="L103" s="347">
        <f>+VLOOKUP(K103,TL[],4,FALSE)</f>
        <v/>
      </c>
    </row>
    <row r="104" ht="15" customHeight="1" s="161">
      <c r="A104" s="290" t="n"/>
      <c r="B104" s="290" t="n"/>
      <c r="C104" s="290" t="n"/>
      <c r="D104" s="290" t="n"/>
      <c r="E104" s="290" t="n"/>
      <c r="F104" s="290" t="n"/>
      <c r="G104" s="220">
        <f>SUM(C104)-SUM(D104)</f>
        <v/>
      </c>
      <c r="H104" s="220">
        <f>SUM(E104)-SUM(F104)</f>
        <v/>
      </c>
      <c r="I104" s="221">
        <f>IF(A104="Total",VLOOKUP(B104,CORRESPONDANCE[#All],2,FALSE),I105)</f>
        <v/>
      </c>
      <c r="J104" s="350">
        <f>LEFT(A104,1)</f>
        <v/>
      </c>
      <c r="K104" s="347">
        <f>"VR7"&amp;" - "&amp;A104</f>
        <v/>
      </c>
      <c r="L104" s="347">
        <f>+VLOOKUP(K104,TL[],4,FALSE)</f>
        <v/>
      </c>
    </row>
    <row r="105" ht="15" customHeight="1" s="161">
      <c r="A105" s="290" t="n"/>
      <c r="B105" s="290" t="n"/>
      <c r="C105" s="290" t="n"/>
      <c r="D105" s="290" t="n"/>
      <c r="E105" s="290" t="n"/>
      <c r="F105" s="290" t="n"/>
      <c r="G105" s="220">
        <f>SUM(C105)-SUM(D105)</f>
        <v/>
      </c>
      <c r="H105" s="220">
        <f>SUM(E105)-SUM(F105)</f>
        <v/>
      </c>
      <c r="I105" s="221">
        <f>IF(A105="Total",VLOOKUP(B105,CORRESPONDANCE[#All],2,FALSE),I106)</f>
        <v/>
      </c>
      <c r="J105" s="350">
        <f>LEFT(A105,1)</f>
        <v/>
      </c>
      <c r="K105" s="347">
        <f>"VR7"&amp;" - "&amp;A105</f>
        <v/>
      </c>
      <c r="L105" s="347">
        <f>+VLOOKUP(K105,TL[],4,FALSE)</f>
        <v/>
      </c>
    </row>
    <row r="106" ht="15" customHeight="1" s="161">
      <c r="A106" s="290" t="n"/>
      <c r="B106" s="290" t="n"/>
      <c r="C106" s="290" t="n"/>
      <c r="D106" s="290" t="n"/>
      <c r="E106" s="290" t="n"/>
      <c r="F106" s="290" t="n"/>
      <c r="G106" s="220">
        <f>SUM(C106)-SUM(D106)</f>
        <v/>
      </c>
      <c r="H106" s="220">
        <f>SUM(E106)-SUM(F106)</f>
        <v/>
      </c>
      <c r="I106" s="221">
        <f>IF(A106="Total",VLOOKUP(B106,CORRESPONDANCE[#All],2,FALSE),I107)</f>
        <v/>
      </c>
      <c r="J106" s="350">
        <f>LEFT(A106,1)</f>
        <v/>
      </c>
      <c r="K106" s="347">
        <f>"VR7"&amp;" - "&amp;A106</f>
        <v/>
      </c>
      <c r="L106" s="347">
        <f>+VLOOKUP(K106,TL[],4,FALSE)</f>
        <v/>
      </c>
    </row>
    <row r="107" ht="15" customHeight="1" s="161">
      <c r="A107" s="290" t="n"/>
      <c r="B107" s="290" t="n"/>
      <c r="C107" s="290" t="n"/>
      <c r="D107" s="290" t="n"/>
      <c r="E107" s="290" t="n"/>
      <c r="F107" s="290" t="n"/>
      <c r="G107" s="220">
        <f>SUM(C107)-SUM(D107)</f>
        <v/>
      </c>
      <c r="H107" s="220">
        <f>SUM(E107)-SUM(F107)</f>
        <v/>
      </c>
      <c r="I107" s="221">
        <f>IF(A107="Total",VLOOKUP(B107,CORRESPONDANCE[#All],2,FALSE),I108)</f>
        <v/>
      </c>
      <c r="J107" s="350">
        <f>LEFT(A107,1)</f>
        <v/>
      </c>
      <c r="K107" s="347">
        <f>"VR7"&amp;" - "&amp;A107</f>
        <v/>
      </c>
      <c r="L107" s="347">
        <f>+VLOOKUP(K107,TL[],4,FALSE)</f>
        <v/>
      </c>
    </row>
    <row r="108" ht="15" customHeight="1" s="161">
      <c r="A108" s="290" t="n"/>
      <c r="B108" s="290" t="n"/>
      <c r="C108" s="290" t="n"/>
      <c r="D108" s="290" t="n"/>
      <c r="E108" s="290" t="n"/>
      <c r="F108" s="290" t="n"/>
      <c r="G108" s="220">
        <f>SUM(C108)-SUM(D108)</f>
        <v/>
      </c>
      <c r="H108" s="220">
        <f>SUM(E108)-SUM(F108)</f>
        <v/>
      </c>
      <c r="I108" s="221">
        <f>IF(A108="Total",VLOOKUP(B108,CORRESPONDANCE[#All],2,FALSE),I109)</f>
        <v/>
      </c>
      <c r="J108" s="350">
        <f>LEFT(A108,1)</f>
        <v/>
      </c>
      <c r="K108" s="347">
        <f>"VR7"&amp;" - "&amp;A108</f>
        <v/>
      </c>
      <c r="L108" s="347">
        <f>+VLOOKUP(K108,TL[],4,FALSE)</f>
        <v/>
      </c>
    </row>
    <row r="109" ht="15" customHeight="1" s="161">
      <c r="A109" s="290" t="n"/>
      <c r="B109" s="290" t="n"/>
      <c r="C109" s="290" t="n"/>
      <c r="D109" s="290" t="n"/>
      <c r="E109" s="290" t="n"/>
      <c r="F109" s="290" t="n"/>
      <c r="G109" s="220">
        <f>SUM(C109)-SUM(D109)</f>
        <v/>
      </c>
      <c r="H109" s="220">
        <f>SUM(E109)-SUM(F109)</f>
        <v/>
      </c>
      <c r="I109" s="221">
        <f>IF(A109="Total",VLOOKUP(B109,CORRESPONDANCE[#All],2,FALSE),I110)</f>
        <v/>
      </c>
      <c r="J109" s="350">
        <f>LEFT(A109,1)</f>
        <v/>
      </c>
      <c r="K109" s="347">
        <f>"VR7"&amp;" - "&amp;A109</f>
        <v/>
      </c>
      <c r="L109" s="347">
        <f>+VLOOKUP(K109,TL[],4,FALSE)</f>
        <v/>
      </c>
    </row>
    <row r="110" ht="15" customHeight="1" s="161">
      <c r="A110" s="290" t="n"/>
      <c r="B110" s="290" t="n"/>
      <c r="C110" s="290" t="n"/>
      <c r="D110" s="290" t="n"/>
      <c r="E110" s="290" t="n"/>
      <c r="F110" s="290" t="n"/>
      <c r="G110" s="220">
        <f>SUM(C110)-SUM(D110)</f>
        <v/>
      </c>
      <c r="H110" s="220">
        <f>SUM(E110)-SUM(F110)</f>
        <v/>
      </c>
      <c r="I110" s="221">
        <f>IF(A110="Total",VLOOKUP(B110,CORRESPONDANCE[#All],2,FALSE),I111)</f>
        <v/>
      </c>
      <c r="J110" s="350">
        <f>LEFT(A110,1)</f>
        <v/>
      </c>
      <c r="K110" s="347">
        <f>"VR7"&amp;" - "&amp;A110</f>
        <v/>
      </c>
      <c r="L110" s="347">
        <f>+VLOOKUP(K110,TL[],4,FALSE)</f>
        <v/>
      </c>
    </row>
    <row r="111" ht="15" customHeight="1" s="161">
      <c r="A111" s="290" t="n"/>
      <c r="B111" s="290" t="n"/>
      <c r="C111" s="290" t="n"/>
      <c r="D111" s="290" t="n"/>
      <c r="E111" s="290" t="n"/>
      <c r="F111" s="290" t="n"/>
      <c r="G111" s="220">
        <f>SUM(C111)-SUM(D111)</f>
        <v/>
      </c>
      <c r="H111" s="220">
        <f>SUM(E111)-SUM(F111)</f>
        <v/>
      </c>
      <c r="I111" s="221">
        <f>IF(A111="Total",VLOOKUP(B111,CORRESPONDANCE[#All],2,FALSE),I112)</f>
        <v/>
      </c>
      <c r="J111" s="350">
        <f>LEFT(A111,1)</f>
        <v/>
      </c>
      <c r="K111" s="347">
        <f>"VR7"&amp;" - "&amp;A111</f>
        <v/>
      </c>
      <c r="L111" s="347">
        <f>+VLOOKUP(K111,TL[],4,FALSE)</f>
        <v/>
      </c>
    </row>
    <row r="112" ht="15" customHeight="1" s="161">
      <c r="A112" s="290" t="n"/>
      <c r="B112" s="290" t="n"/>
      <c r="C112" s="290" t="n"/>
      <c r="D112" s="290" t="n"/>
      <c r="E112" s="290" t="n"/>
      <c r="F112" s="290" t="n"/>
      <c r="G112" s="220">
        <f>SUM(C112)-SUM(D112)</f>
        <v/>
      </c>
      <c r="H112" s="220">
        <f>SUM(E112)-SUM(F112)</f>
        <v/>
      </c>
      <c r="I112" s="221">
        <f>IF(A112="Total",VLOOKUP(B112,CORRESPONDANCE[#All],2,FALSE),I113)</f>
        <v/>
      </c>
      <c r="J112" s="350">
        <f>LEFT(A112,1)</f>
        <v/>
      </c>
      <c r="K112" s="347">
        <f>"VR7"&amp;" - "&amp;A112</f>
        <v/>
      </c>
      <c r="L112" s="347">
        <f>+VLOOKUP(K112,TL[],4,FALSE)</f>
        <v/>
      </c>
    </row>
    <row r="113" ht="15" customHeight="1" s="161">
      <c r="A113" s="290" t="n"/>
      <c r="B113" s="290" t="n"/>
      <c r="C113" s="290" t="n"/>
      <c r="D113" s="290" t="n"/>
      <c r="E113" s="290" t="n"/>
      <c r="F113" s="290" t="n"/>
      <c r="G113" s="220">
        <f>SUM(C113)-SUM(D113)</f>
        <v/>
      </c>
      <c r="H113" s="220">
        <f>SUM(E113)-SUM(F113)</f>
        <v/>
      </c>
      <c r="I113" s="221">
        <f>IF(A113="Total",VLOOKUP(B113,CORRESPONDANCE[#All],2,FALSE),I114)</f>
        <v/>
      </c>
      <c r="J113" s="350">
        <f>LEFT(A113,1)</f>
        <v/>
      </c>
      <c r="K113" s="347">
        <f>"VR7"&amp;" - "&amp;A113</f>
        <v/>
      </c>
      <c r="L113" s="347">
        <f>+VLOOKUP(K113,TL[],4,FALSE)</f>
        <v/>
      </c>
    </row>
    <row r="114" ht="15" customHeight="1" s="161">
      <c r="A114" s="290" t="n"/>
      <c r="B114" s="290" t="n"/>
      <c r="C114" s="290" t="n"/>
      <c r="D114" s="290" t="n"/>
      <c r="E114" s="290" t="n"/>
      <c r="F114" s="290" t="n"/>
      <c r="G114" s="220">
        <f>SUM(C114)-SUM(D114)</f>
        <v/>
      </c>
      <c r="H114" s="220">
        <f>SUM(E114)-SUM(F114)</f>
        <v/>
      </c>
      <c r="I114" s="221">
        <f>IF(A114="Total",VLOOKUP(B114,CORRESPONDANCE[#All],2,FALSE),I115)</f>
        <v/>
      </c>
      <c r="J114" s="350">
        <f>LEFT(A114,1)</f>
        <v/>
      </c>
      <c r="K114" s="347">
        <f>"VR7"&amp;" - "&amp;A114</f>
        <v/>
      </c>
      <c r="L114" s="347">
        <f>+VLOOKUP(K114,TL[],4,FALSE)</f>
        <v/>
      </c>
    </row>
    <row r="115" ht="15" customHeight="1" s="161">
      <c r="A115" s="290" t="n"/>
      <c r="B115" s="290" t="n"/>
      <c r="C115" s="290" t="n"/>
      <c r="D115" s="290" t="n"/>
      <c r="E115" s="290" t="n"/>
      <c r="F115" s="290" t="n"/>
      <c r="G115" s="220">
        <f>SUM(C115)-SUM(D115)</f>
        <v/>
      </c>
      <c r="H115" s="220">
        <f>SUM(E115)-SUM(F115)</f>
        <v/>
      </c>
      <c r="I115" s="221">
        <f>IF(A115="Total",VLOOKUP(B115,CORRESPONDANCE[#All],2,FALSE),I116)</f>
        <v/>
      </c>
      <c r="J115" s="350">
        <f>LEFT(A115,1)</f>
        <v/>
      </c>
      <c r="K115" s="347">
        <f>"VR7"&amp;" - "&amp;A115</f>
        <v/>
      </c>
      <c r="L115" s="347">
        <f>+VLOOKUP(K115,TL[],4,FALSE)</f>
        <v/>
      </c>
    </row>
    <row r="116" ht="15" customHeight="1" s="161">
      <c r="A116" s="290" t="n"/>
      <c r="B116" s="290" t="n"/>
      <c r="C116" s="290" t="n"/>
      <c r="D116" s="290" t="n"/>
      <c r="E116" s="290" t="n"/>
      <c r="F116" s="290" t="n"/>
      <c r="G116" s="220">
        <f>SUM(C116)-SUM(D116)</f>
        <v/>
      </c>
      <c r="H116" s="220">
        <f>SUM(E116)-SUM(F116)</f>
        <v/>
      </c>
      <c r="I116" s="221">
        <f>IF(A116="Total",VLOOKUP(B116,CORRESPONDANCE[#All],2,FALSE),I117)</f>
        <v/>
      </c>
      <c r="J116" s="350">
        <f>LEFT(A116,1)</f>
        <v/>
      </c>
      <c r="K116" s="347">
        <f>"VR7"&amp;" - "&amp;A116</f>
        <v/>
      </c>
      <c r="L116" s="347">
        <f>+VLOOKUP(K116,TL[],4,FALSE)</f>
        <v/>
      </c>
    </row>
    <row r="117" ht="15" customHeight="1" s="161">
      <c r="A117" s="290" t="n"/>
      <c r="B117" s="290" t="n"/>
      <c r="C117" s="290" t="n"/>
      <c r="D117" s="290" t="n"/>
      <c r="E117" s="290" t="n"/>
      <c r="F117" s="290" t="n"/>
      <c r="G117" s="220">
        <f>SUM(C117)-SUM(D117)</f>
        <v/>
      </c>
      <c r="H117" s="220">
        <f>SUM(E117)-SUM(F117)</f>
        <v/>
      </c>
      <c r="I117" s="221">
        <f>IF(A117="Total",VLOOKUP(B117,CORRESPONDANCE[#All],2,FALSE),I118)</f>
        <v/>
      </c>
      <c r="J117" s="350">
        <f>LEFT(A117,1)</f>
        <v/>
      </c>
      <c r="K117" s="347">
        <f>"VR7"&amp;" - "&amp;A117</f>
        <v/>
      </c>
      <c r="L117" s="347">
        <f>+VLOOKUP(K117,TL[],4,FALSE)</f>
        <v/>
      </c>
    </row>
    <row r="118" ht="15" customHeight="1" s="161">
      <c r="A118" s="290" t="n"/>
      <c r="B118" s="290" t="n"/>
      <c r="C118" s="290" t="n"/>
      <c r="D118" s="290" t="n"/>
      <c r="E118" s="290" t="n"/>
      <c r="F118" s="290" t="n"/>
      <c r="G118" s="220">
        <f>SUM(C118)-SUM(D118)</f>
        <v/>
      </c>
      <c r="H118" s="220">
        <f>SUM(E118)-SUM(F118)</f>
        <v/>
      </c>
      <c r="I118" s="221">
        <f>IF(A118="Total",VLOOKUP(B118,CORRESPONDANCE[#All],2,FALSE),I119)</f>
        <v/>
      </c>
      <c r="J118" s="350">
        <f>LEFT(A118,1)</f>
        <v/>
      </c>
      <c r="K118" s="347">
        <f>"VR7"&amp;" - "&amp;A118</f>
        <v/>
      </c>
      <c r="L118" s="347">
        <f>+VLOOKUP(K118,TL[],4,FALSE)</f>
        <v/>
      </c>
    </row>
    <row r="119" ht="15" customHeight="1" s="161">
      <c r="A119" s="290" t="n"/>
      <c r="B119" s="290" t="n"/>
      <c r="C119" s="290" t="n"/>
      <c r="D119" s="290" t="n"/>
      <c r="E119" s="290" t="n"/>
      <c r="F119" s="290" t="n"/>
      <c r="G119" s="220">
        <f>SUM(C119)-SUM(D119)</f>
        <v/>
      </c>
      <c r="H119" s="220">
        <f>SUM(E119)-SUM(F119)</f>
        <v/>
      </c>
      <c r="I119" s="221">
        <f>IF(A119="Total",VLOOKUP(B119,CORRESPONDANCE[#All],2,FALSE),I120)</f>
        <v/>
      </c>
      <c r="J119" s="350">
        <f>LEFT(A119,1)</f>
        <v/>
      </c>
      <c r="K119" s="347">
        <f>"VR7"&amp;" - "&amp;A119</f>
        <v/>
      </c>
      <c r="L119" s="347">
        <f>+VLOOKUP(K119,TL[],4,FALSE)</f>
        <v/>
      </c>
    </row>
    <row r="120" ht="15" customHeight="1" s="161">
      <c r="A120" s="290" t="n"/>
      <c r="B120" s="290" t="n"/>
      <c r="C120" s="290" t="n"/>
      <c r="D120" s="290" t="n"/>
      <c r="E120" s="290" t="n"/>
      <c r="F120" s="290" t="n"/>
      <c r="G120" s="220">
        <f>SUM(C120)-SUM(D120)</f>
        <v/>
      </c>
      <c r="H120" s="220">
        <f>SUM(E120)-SUM(F120)</f>
        <v/>
      </c>
      <c r="I120" s="221">
        <f>IF(A120="Total",VLOOKUP(B120,CORRESPONDANCE[#All],2,FALSE),I121)</f>
        <v/>
      </c>
      <c r="J120" s="350">
        <f>LEFT(A120,1)</f>
        <v/>
      </c>
      <c r="K120" s="347">
        <f>"VR7"&amp;" - "&amp;A120</f>
        <v/>
      </c>
      <c r="L120" s="347">
        <f>+VLOOKUP(K120,TL[],4,FALSE)</f>
        <v/>
      </c>
    </row>
    <row r="121" ht="15" customHeight="1" s="161">
      <c r="A121" s="290" t="n"/>
      <c r="B121" s="290" t="n"/>
      <c r="C121" s="290" t="n"/>
      <c r="D121" s="290" t="n"/>
      <c r="E121" s="290" t="n"/>
      <c r="F121" s="290" t="n"/>
      <c r="G121" s="220">
        <f>SUM(C121)-SUM(D121)</f>
        <v/>
      </c>
      <c r="H121" s="220">
        <f>SUM(E121)-SUM(F121)</f>
        <v/>
      </c>
      <c r="I121" s="221">
        <f>IF(A121="Total",VLOOKUP(B121,CORRESPONDANCE[#All],2,FALSE),I122)</f>
        <v/>
      </c>
      <c r="J121" s="350">
        <f>LEFT(A121,1)</f>
        <v/>
      </c>
      <c r="K121" s="347">
        <f>"VR7"&amp;" - "&amp;A121</f>
        <v/>
      </c>
      <c r="L121" s="347">
        <f>+VLOOKUP(K121,TL[],4,FALSE)</f>
        <v/>
      </c>
    </row>
    <row r="122" ht="15" customHeight="1" s="161">
      <c r="A122" s="290" t="n"/>
      <c r="B122" s="290" t="n"/>
      <c r="C122" s="290" t="n"/>
      <c r="D122" s="290" t="n"/>
      <c r="E122" s="290" t="n"/>
      <c r="F122" s="290" t="n"/>
      <c r="G122" s="220">
        <f>SUM(C122)-SUM(D122)</f>
        <v/>
      </c>
      <c r="H122" s="220">
        <f>SUM(E122)-SUM(F122)</f>
        <v/>
      </c>
      <c r="I122" s="221">
        <f>IF(A122="Total",VLOOKUP(B122,CORRESPONDANCE[#All],2,FALSE),I123)</f>
        <v/>
      </c>
      <c r="J122" s="350">
        <f>LEFT(A122,1)</f>
        <v/>
      </c>
      <c r="K122" s="347">
        <f>"VR7"&amp;" - "&amp;A122</f>
        <v/>
      </c>
      <c r="L122" s="347">
        <f>+VLOOKUP(K122,TL[],4,FALSE)</f>
        <v/>
      </c>
    </row>
    <row r="123" ht="15" customHeight="1" s="161">
      <c r="A123" s="290" t="n"/>
      <c r="B123" s="290" t="n"/>
      <c r="C123" s="290" t="n"/>
      <c r="D123" s="290" t="n"/>
      <c r="E123" s="290" t="n"/>
      <c r="F123" s="290" t="n"/>
      <c r="G123" s="220">
        <f>SUM(C123)-SUM(D123)</f>
        <v/>
      </c>
      <c r="H123" s="220">
        <f>SUM(E123)-SUM(F123)</f>
        <v/>
      </c>
      <c r="I123" s="221">
        <f>IF(A123="Total",VLOOKUP(B123,CORRESPONDANCE[#All],2,FALSE),I124)</f>
        <v/>
      </c>
      <c r="J123" s="350">
        <f>LEFT(A123,1)</f>
        <v/>
      </c>
      <c r="K123" s="347">
        <f>"VR7"&amp;" - "&amp;A123</f>
        <v/>
      </c>
      <c r="L123" s="347">
        <f>+VLOOKUP(K123,TL[],4,FALSE)</f>
        <v/>
      </c>
    </row>
    <row r="124" ht="15" customHeight="1" s="161">
      <c r="A124" s="290" t="n"/>
      <c r="B124" s="290" t="n"/>
      <c r="C124" s="290" t="n"/>
      <c r="D124" s="290" t="n"/>
      <c r="E124" s="290" t="n"/>
      <c r="F124" s="290" t="n"/>
      <c r="G124" s="220">
        <f>SUM(C124)-SUM(D124)</f>
        <v/>
      </c>
      <c r="H124" s="220">
        <f>SUM(E124)-SUM(F124)</f>
        <v/>
      </c>
      <c r="I124" s="221">
        <f>IF(A124="Total",VLOOKUP(B124,CORRESPONDANCE[#All],2,FALSE),I125)</f>
        <v/>
      </c>
      <c r="J124" s="350">
        <f>LEFT(A124,1)</f>
        <v/>
      </c>
      <c r="K124" s="347">
        <f>"VR7"&amp;" - "&amp;A124</f>
        <v/>
      </c>
      <c r="L124" s="347">
        <f>+VLOOKUP(K124,TL[],4,FALSE)</f>
        <v/>
      </c>
    </row>
    <row r="125" ht="15" customHeight="1" s="161">
      <c r="A125" s="290" t="n"/>
      <c r="B125" s="290" t="n"/>
      <c r="C125" s="290" t="n"/>
      <c r="D125" s="290" t="n"/>
      <c r="E125" s="290" t="n"/>
      <c r="F125" s="290" t="n"/>
      <c r="G125" s="220">
        <f>SUM(C125)-SUM(D125)</f>
        <v/>
      </c>
      <c r="H125" s="220">
        <f>SUM(E125)-SUM(F125)</f>
        <v/>
      </c>
      <c r="I125" s="221">
        <f>IF(A125="Total",VLOOKUP(B125,CORRESPONDANCE[#All],2,FALSE),I126)</f>
        <v/>
      </c>
      <c r="J125" s="350">
        <f>LEFT(A125,1)</f>
        <v/>
      </c>
      <c r="K125" s="347">
        <f>"VR7"&amp;" - "&amp;A125</f>
        <v/>
      </c>
      <c r="L125" s="347">
        <f>+VLOOKUP(K125,TL[],4,FALSE)</f>
        <v/>
      </c>
    </row>
    <row r="126" ht="15" customHeight="1" s="161">
      <c r="A126" s="290" t="n"/>
      <c r="B126" s="290" t="n"/>
      <c r="C126" s="290" t="n"/>
      <c r="D126" s="290" t="n"/>
      <c r="E126" s="290" t="n"/>
      <c r="F126" s="290" t="n"/>
      <c r="G126" s="220">
        <f>SUM(C126)-SUM(D126)</f>
        <v/>
      </c>
      <c r="H126" s="220">
        <f>SUM(E126)-SUM(F126)</f>
        <v/>
      </c>
      <c r="I126" s="221">
        <f>IF(A126="Total",VLOOKUP(B126,CORRESPONDANCE[#All],2,FALSE),I127)</f>
        <v/>
      </c>
      <c r="J126" s="350">
        <f>LEFT(A126,1)</f>
        <v/>
      </c>
      <c r="K126" s="347">
        <f>"VR7"&amp;" - "&amp;A126</f>
        <v/>
      </c>
      <c r="L126" s="347">
        <f>+VLOOKUP(K126,TL[],4,FALSE)</f>
        <v/>
      </c>
    </row>
    <row r="127" ht="15" customHeight="1" s="161">
      <c r="A127" s="290" t="n"/>
      <c r="B127" s="290" t="n"/>
      <c r="C127" s="290" t="n"/>
      <c r="D127" s="290" t="n"/>
      <c r="E127" s="290" t="n"/>
      <c r="F127" s="290" t="n"/>
      <c r="G127" s="220">
        <f>SUM(C127)-SUM(D127)</f>
        <v/>
      </c>
      <c r="H127" s="220">
        <f>SUM(E127)-SUM(F127)</f>
        <v/>
      </c>
      <c r="I127" s="221">
        <f>IF(A127="Total",VLOOKUP(B127,CORRESPONDANCE[#All],2,FALSE),I128)</f>
        <v/>
      </c>
      <c r="J127" s="350">
        <f>LEFT(A127,1)</f>
        <v/>
      </c>
      <c r="K127" s="347">
        <f>"VR7"&amp;" - "&amp;A127</f>
        <v/>
      </c>
      <c r="L127" s="347">
        <f>+VLOOKUP(K127,TL[],4,FALSE)</f>
        <v/>
      </c>
    </row>
    <row r="128" ht="15" customHeight="1" s="161">
      <c r="A128" s="290" t="n"/>
      <c r="B128" s="290" t="n"/>
      <c r="C128" s="290" t="n"/>
      <c r="D128" s="290" t="n"/>
      <c r="E128" s="290" t="n"/>
      <c r="F128" s="290" t="n"/>
      <c r="G128" s="220">
        <f>SUM(C128)-SUM(D128)</f>
        <v/>
      </c>
      <c r="H128" s="220">
        <f>SUM(E128)-SUM(F128)</f>
        <v/>
      </c>
      <c r="I128" s="221">
        <f>IF(A128="Total",VLOOKUP(B128,CORRESPONDANCE[#All],2,FALSE),I129)</f>
        <v/>
      </c>
      <c r="J128" s="350">
        <f>LEFT(A128,1)</f>
        <v/>
      </c>
      <c r="K128" s="347">
        <f>"VR7"&amp;" - "&amp;A128</f>
        <v/>
      </c>
      <c r="L128" s="347">
        <f>+VLOOKUP(K128,TL[],4,FALSE)</f>
        <v/>
      </c>
    </row>
    <row r="129" ht="15" customHeight="1" s="161">
      <c r="A129" s="290" t="n"/>
      <c r="B129" s="290" t="n"/>
      <c r="C129" s="290" t="n"/>
      <c r="D129" s="290" t="n"/>
      <c r="E129" s="290" t="n"/>
      <c r="F129" s="290" t="n"/>
      <c r="G129" s="220">
        <f>SUM(C129)-SUM(D129)</f>
        <v/>
      </c>
      <c r="H129" s="220">
        <f>SUM(E129)-SUM(F129)</f>
        <v/>
      </c>
      <c r="I129" s="221">
        <f>IF(A129="Total",VLOOKUP(B129,CORRESPONDANCE[#All],2,FALSE),I130)</f>
        <v/>
      </c>
      <c r="J129" s="350">
        <f>LEFT(A129,1)</f>
        <v/>
      </c>
      <c r="K129" s="347">
        <f>"VR7"&amp;" - "&amp;A129</f>
        <v/>
      </c>
      <c r="L129" s="347">
        <f>+VLOOKUP(K129,TL[],4,FALSE)</f>
        <v/>
      </c>
    </row>
    <row r="130" ht="15" customHeight="1" s="161">
      <c r="A130" s="290" t="n"/>
      <c r="B130" s="290" t="n"/>
      <c r="C130" s="290" t="n"/>
      <c r="D130" s="290" t="n"/>
      <c r="E130" s="290" t="n"/>
      <c r="F130" s="290" t="n"/>
      <c r="G130" s="220">
        <f>SUM(C130)-SUM(D130)</f>
        <v/>
      </c>
      <c r="H130" s="220">
        <f>SUM(E130)-SUM(F130)</f>
        <v/>
      </c>
      <c r="I130" s="221">
        <f>IF(A130="Total",VLOOKUP(B130,CORRESPONDANCE[#All],2,FALSE),I131)</f>
        <v/>
      </c>
      <c r="J130" s="350">
        <f>LEFT(A130,1)</f>
        <v/>
      </c>
      <c r="K130" s="347">
        <f>"VR7"&amp;" - "&amp;A130</f>
        <v/>
      </c>
      <c r="L130" s="347">
        <f>+VLOOKUP(K130,TL[],4,FALSE)</f>
        <v/>
      </c>
    </row>
    <row r="131" ht="15" customHeight="1" s="161">
      <c r="A131" s="290" t="n"/>
      <c r="B131" s="290" t="n"/>
      <c r="C131" s="290" t="n"/>
      <c r="D131" s="290" t="n"/>
      <c r="E131" s="290" t="n"/>
      <c r="F131" s="290" t="n"/>
      <c r="G131" s="220">
        <f>SUM(C131)-SUM(D131)</f>
        <v/>
      </c>
      <c r="H131" s="220">
        <f>SUM(E131)-SUM(F131)</f>
        <v/>
      </c>
      <c r="I131" s="221">
        <f>IF(A131="Total",VLOOKUP(B131,CORRESPONDANCE[#All],2,FALSE),I132)</f>
        <v/>
      </c>
      <c r="J131" s="350">
        <f>LEFT(A131,1)</f>
        <v/>
      </c>
      <c r="K131" s="347">
        <f>"VR7"&amp;" - "&amp;A131</f>
        <v/>
      </c>
      <c r="L131" s="347">
        <f>+VLOOKUP(K131,TL[],4,FALSE)</f>
        <v/>
      </c>
    </row>
    <row r="132" ht="15" customHeight="1" s="161">
      <c r="A132" s="290" t="n"/>
      <c r="B132" s="290" t="n"/>
      <c r="C132" s="290" t="n"/>
      <c r="D132" s="290" t="n"/>
      <c r="E132" s="290" t="n"/>
      <c r="F132" s="290" t="n"/>
      <c r="G132" s="220">
        <f>SUM(C132)-SUM(D132)</f>
        <v/>
      </c>
      <c r="H132" s="220">
        <f>SUM(E132)-SUM(F132)</f>
        <v/>
      </c>
      <c r="I132" s="221">
        <f>IF(A132="Total",VLOOKUP(B132,CORRESPONDANCE[#All],2,FALSE),I133)</f>
        <v/>
      </c>
      <c r="J132" s="350">
        <f>LEFT(A132,1)</f>
        <v/>
      </c>
      <c r="K132" s="347">
        <f>"VR7"&amp;" - "&amp;A132</f>
        <v/>
      </c>
      <c r="L132" s="347">
        <f>+VLOOKUP(K132,TL[],4,FALSE)</f>
        <v/>
      </c>
    </row>
    <row r="133" ht="15" customHeight="1" s="161">
      <c r="A133" s="290" t="n"/>
      <c r="B133" s="290" t="n"/>
      <c r="C133" s="290" t="n"/>
      <c r="D133" s="290" t="n"/>
      <c r="E133" s="290" t="n"/>
      <c r="F133" s="290" t="n"/>
      <c r="G133" s="220">
        <f>SUM(C133)-SUM(D133)</f>
        <v/>
      </c>
      <c r="H133" s="220">
        <f>SUM(E133)-SUM(F133)</f>
        <v/>
      </c>
      <c r="I133" s="221">
        <f>IF(A133="Total",VLOOKUP(B133,CORRESPONDANCE[#All],2,FALSE),I134)</f>
        <v/>
      </c>
      <c r="J133" s="350">
        <f>LEFT(A133,1)</f>
        <v/>
      </c>
      <c r="K133" s="347">
        <f>"VR7"&amp;" - "&amp;A133</f>
        <v/>
      </c>
      <c r="L133" s="347">
        <f>+VLOOKUP(K133,TL[],4,FALSE)</f>
        <v/>
      </c>
    </row>
    <row r="134" ht="15" customHeight="1" s="161">
      <c r="A134" s="290" t="n"/>
      <c r="B134" s="290" t="n"/>
      <c r="C134" s="290" t="n"/>
      <c r="D134" s="290" t="n"/>
      <c r="E134" s="290" t="n"/>
      <c r="F134" s="290" t="n"/>
      <c r="G134" s="220">
        <f>SUM(C134)-SUM(D134)</f>
        <v/>
      </c>
      <c r="H134" s="220">
        <f>SUM(E134)-SUM(F134)</f>
        <v/>
      </c>
      <c r="I134" s="221">
        <f>IF(A134="Total",VLOOKUP(B134,CORRESPONDANCE[#All],2,FALSE),I135)</f>
        <v/>
      </c>
      <c r="J134" s="350">
        <f>LEFT(A134,1)</f>
        <v/>
      </c>
      <c r="K134" s="347">
        <f>"VR7"&amp;" - "&amp;A134</f>
        <v/>
      </c>
      <c r="L134" s="347">
        <f>+VLOOKUP(K134,TL[],4,FALSE)</f>
        <v/>
      </c>
    </row>
    <row r="135" ht="15" customHeight="1" s="161">
      <c r="A135" s="290" t="n"/>
      <c r="B135" s="290" t="n"/>
      <c r="C135" s="290" t="n"/>
      <c r="D135" s="290" t="n"/>
      <c r="E135" s="290" t="n"/>
      <c r="F135" s="290" t="n"/>
      <c r="G135" s="220">
        <f>SUM(C135)-SUM(D135)</f>
        <v/>
      </c>
      <c r="H135" s="220">
        <f>SUM(E135)-SUM(F135)</f>
        <v/>
      </c>
      <c r="I135" s="221">
        <f>IF(A135="Total",VLOOKUP(B135,CORRESPONDANCE[#All],2,FALSE),I136)</f>
        <v/>
      </c>
      <c r="J135" s="350">
        <f>LEFT(A135,1)</f>
        <v/>
      </c>
      <c r="K135" s="347">
        <f>"VR7"&amp;" - "&amp;A135</f>
        <v/>
      </c>
      <c r="L135" s="347">
        <f>+VLOOKUP(K135,TL[],4,FALSE)</f>
        <v/>
      </c>
    </row>
    <row r="136" ht="15" customHeight="1" s="161">
      <c r="A136" s="290" t="n"/>
      <c r="B136" s="290" t="n"/>
      <c r="C136" s="290" t="n"/>
      <c r="D136" s="290" t="n"/>
      <c r="E136" s="290" t="n"/>
      <c r="F136" s="290" t="n"/>
      <c r="G136" s="220">
        <f>SUM(C136)-SUM(D136)</f>
        <v/>
      </c>
      <c r="H136" s="220">
        <f>SUM(E136)-SUM(F136)</f>
        <v/>
      </c>
      <c r="I136" s="221">
        <f>IF(A136="Total",VLOOKUP(B136,CORRESPONDANCE[#All],2,FALSE),I137)</f>
        <v/>
      </c>
      <c r="J136" s="350">
        <f>LEFT(A136,1)</f>
        <v/>
      </c>
      <c r="K136" s="347">
        <f>"VR7"&amp;" - "&amp;A136</f>
        <v/>
      </c>
      <c r="L136" s="347">
        <f>+VLOOKUP(K136,TL[],4,FALSE)</f>
        <v/>
      </c>
    </row>
    <row r="137" ht="15" customHeight="1" s="161">
      <c r="A137" s="290" t="n"/>
      <c r="B137" s="290" t="n"/>
      <c r="C137" s="290" t="n"/>
      <c r="D137" s="290" t="n"/>
      <c r="E137" s="290" t="n"/>
      <c r="F137" s="290" t="n"/>
      <c r="G137" s="220">
        <f>SUM(C137)-SUM(D137)</f>
        <v/>
      </c>
      <c r="H137" s="220">
        <f>SUM(E137)-SUM(F137)</f>
        <v/>
      </c>
      <c r="I137" s="221">
        <f>IF(A137="Total",VLOOKUP(B137,CORRESPONDANCE[#All],2,FALSE),I138)</f>
        <v/>
      </c>
      <c r="J137" s="350">
        <f>LEFT(A137,1)</f>
        <v/>
      </c>
      <c r="K137" s="347">
        <f>"VR7"&amp;" - "&amp;A137</f>
        <v/>
      </c>
      <c r="L137" s="347">
        <f>+VLOOKUP(K137,TL[],4,FALSE)</f>
        <v/>
      </c>
    </row>
    <row r="138" ht="15" customHeight="1" s="161">
      <c r="A138" s="290" t="n"/>
      <c r="B138" s="290" t="n"/>
      <c r="C138" s="290" t="n"/>
      <c r="D138" s="290" t="n"/>
      <c r="E138" s="290" t="n"/>
      <c r="F138" s="290" t="n"/>
      <c r="G138" s="220">
        <f>SUM(C138)-SUM(D138)</f>
        <v/>
      </c>
      <c r="H138" s="220">
        <f>SUM(E138)-SUM(F138)</f>
        <v/>
      </c>
      <c r="I138" s="221">
        <f>IF(A138="Total",VLOOKUP(B138,CORRESPONDANCE[#All],2,FALSE),I139)</f>
        <v/>
      </c>
      <c r="J138" s="350">
        <f>LEFT(A138,1)</f>
        <v/>
      </c>
      <c r="K138" s="347">
        <f>"VR7"&amp;" - "&amp;A138</f>
        <v/>
      </c>
      <c r="L138" s="347">
        <f>+VLOOKUP(K138,TL[],4,FALSE)</f>
        <v/>
      </c>
    </row>
    <row r="139" ht="15" customHeight="1" s="161">
      <c r="A139" s="290" t="n"/>
      <c r="B139" s="290" t="n"/>
      <c r="C139" s="290" t="n"/>
      <c r="D139" s="290" t="n"/>
      <c r="E139" s="290" t="n"/>
      <c r="F139" s="290" t="n"/>
      <c r="G139" s="220">
        <f>SUM(C139)-SUM(D139)</f>
        <v/>
      </c>
      <c r="H139" s="220">
        <f>SUM(E139)-SUM(F139)</f>
        <v/>
      </c>
      <c r="I139" s="221">
        <f>IF(A139="Total",VLOOKUP(B139,CORRESPONDANCE[#All],2,FALSE),I140)</f>
        <v/>
      </c>
      <c r="J139" s="350">
        <f>LEFT(A139,1)</f>
        <v/>
      </c>
      <c r="K139" s="347">
        <f>"VR7"&amp;" - "&amp;A139</f>
        <v/>
      </c>
      <c r="L139" s="347">
        <f>+VLOOKUP(K139,TL[],4,FALSE)</f>
        <v/>
      </c>
    </row>
    <row r="140" ht="15" customHeight="1" s="161">
      <c r="A140" s="290" t="n"/>
      <c r="B140" s="290" t="n"/>
      <c r="C140" s="290" t="n"/>
      <c r="D140" s="290" t="n"/>
      <c r="E140" s="290" t="n"/>
      <c r="F140" s="290" t="n"/>
      <c r="G140" s="220">
        <f>SUM(C140)-SUM(D140)</f>
        <v/>
      </c>
      <c r="H140" s="220">
        <f>SUM(E140)-SUM(F140)</f>
        <v/>
      </c>
      <c r="I140" s="221">
        <f>IF(A140="Total",VLOOKUP(B140,CORRESPONDANCE[#All],2,FALSE),I141)</f>
        <v/>
      </c>
      <c r="J140" s="350">
        <f>LEFT(A140,1)</f>
        <v/>
      </c>
      <c r="K140" s="347">
        <f>"VR7"&amp;" - "&amp;A140</f>
        <v/>
      </c>
      <c r="L140" s="347">
        <f>+VLOOKUP(K140,TL[],4,FALSE)</f>
        <v/>
      </c>
    </row>
    <row r="141" ht="15" customHeight="1" s="161">
      <c r="A141" s="290" t="n"/>
      <c r="B141" s="290" t="n"/>
      <c r="C141" s="290" t="n"/>
      <c r="D141" s="290" t="n"/>
      <c r="E141" s="290" t="n"/>
      <c r="F141" s="290" t="n"/>
      <c r="G141" s="220">
        <f>SUM(C141)-SUM(D141)</f>
        <v/>
      </c>
      <c r="H141" s="220">
        <f>SUM(E141)-SUM(F141)</f>
        <v/>
      </c>
      <c r="I141" s="221">
        <f>IF(A141="Total",VLOOKUP(B141,CORRESPONDANCE[#All],2,FALSE),I142)</f>
        <v/>
      </c>
      <c r="J141" s="350">
        <f>LEFT(A141,1)</f>
        <v/>
      </c>
      <c r="K141" s="347">
        <f>"VR7"&amp;" - "&amp;A141</f>
        <v/>
      </c>
      <c r="L141" s="347">
        <f>+VLOOKUP(K141,TL[],4,FALSE)</f>
        <v/>
      </c>
    </row>
    <row r="142" ht="15" customHeight="1" s="161">
      <c r="A142" s="290" t="n"/>
      <c r="B142" s="290" t="n"/>
      <c r="C142" s="290" t="n"/>
      <c r="D142" s="290" t="n"/>
      <c r="E142" s="290" t="n"/>
      <c r="F142" s="290" t="n"/>
      <c r="G142" s="220">
        <f>SUM(C142)-SUM(D142)</f>
        <v/>
      </c>
      <c r="H142" s="220">
        <f>SUM(E142)-SUM(F142)</f>
        <v/>
      </c>
      <c r="I142" s="221">
        <f>IF(A142="Total",VLOOKUP(B142,CORRESPONDANCE[#All],2,FALSE),#REF!)</f>
        <v/>
      </c>
      <c r="J142" s="350">
        <f>LEFT(A142,1)</f>
        <v/>
      </c>
      <c r="K142" s="347">
        <f>"VR7"&amp;" - "&amp;A142</f>
        <v/>
      </c>
      <c r="L142" s="347">
        <f>+VLOOKUP(K142,TL[],4,FALSE)</f>
        <v/>
      </c>
    </row>
    <row r="143" ht="15" customHeight="1" s="161">
      <c r="A143" s="290" t="n"/>
      <c r="B143" s="290" t="n"/>
      <c r="C143" s="290" t="n"/>
      <c r="D143" s="290" t="n"/>
      <c r="E143" s="290" t="n"/>
      <c r="F143" s="290" t="n"/>
      <c r="G143" s="220">
        <f>SUM(C143)-SUM(D143)</f>
        <v/>
      </c>
      <c r="H143" s="220">
        <f>SUM(E143)-SUM(F143)</f>
        <v/>
      </c>
      <c r="I143" s="221">
        <f>IF(A143="Total",VLOOKUP(B143,CORRESPONDANCE[#All],2,FALSE),I144)</f>
        <v/>
      </c>
      <c r="J143" s="350">
        <f>LEFT(A143,1)</f>
        <v/>
      </c>
      <c r="K143" s="347">
        <f>"VR7"&amp;" - "&amp;A143</f>
        <v/>
      </c>
      <c r="L143" s="347">
        <f>+VLOOKUP(K143,TL[],4,FALSE)</f>
        <v/>
      </c>
    </row>
    <row r="144" ht="15" customHeight="1" s="161">
      <c r="A144" s="290" t="n"/>
      <c r="B144" s="290" t="n"/>
      <c r="C144" s="290" t="n"/>
      <c r="D144" s="290" t="n"/>
      <c r="E144" s="290" t="n"/>
      <c r="F144" s="290" t="n"/>
      <c r="G144" s="220">
        <f>SUM(C144)-SUM(D144)</f>
        <v/>
      </c>
      <c r="H144" s="220">
        <f>SUM(E144)-SUM(F144)</f>
        <v/>
      </c>
      <c r="I144" s="221">
        <f>IF(A144="Total",VLOOKUP(B144,CORRESPONDANCE[#All],2,FALSE),I145)</f>
        <v/>
      </c>
      <c r="J144" s="350">
        <f>LEFT(A144,1)</f>
        <v/>
      </c>
      <c r="K144" s="347">
        <f>"VR7"&amp;" - "&amp;A144</f>
        <v/>
      </c>
      <c r="L144" s="347">
        <f>+VLOOKUP(K144,TL[],4,FALSE)</f>
        <v/>
      </c>
    </row>
    <row r="145" ht="15" customHeight="1" s="161">
      <c r="A145" s="290" t="n"/>
      <c r="B145" s="290" t="n"/>
      <c r="C145" s="290" t="n"/>
      <c r="D145" s="290" t="n"/>
      <c r="E145" s="290" t="n"/>
      <c r="F145" s="290" t="n"/>
      <c r="G145" s="220">
        <f>SUM(C145)-SUM(D145)</f>
        <v/>
      </c>
      <c r="H145" s="220">
        <f>SUM(E145)-SUM(F145)</f>
        <v/>
      </c>
      <c r="I145" s="221">
        <f>IF(A145="Total",VLOOKUP(B145,CORRESPONDANCE[#All],2,FALSE),I146)</f>
        <v/>
      </c>
      <c r="J145" s="350">
        <f>LEFT(A145,1)</f>
        <v/>
      </c>
      <c r="K145" s="347">
        <f>"VR7"&amp;" - "&amp;A145</f>
        <v/>
      </c>
      <c r="L145" s="347">
        <f>+VLOOKUP(K145,TL[],4,FALSE)</f>
        <v/>
      </c>
    </row>
    <row r="146" ht="15" customHeight="1" s="161">
      <c r="A146" s="290" t="n"/>
      <c r="B146" s="290" t="n"/>
      <c r="C146" s="290" t="n"/>
      <c r="D146" s="290" t="n"/>
      <c r="E146" s="290" t="n"/>
      <c r="F146" s="290" t="n"/>
      <c r="G146" s="220">
        <f>SUM(C146)-SUM(D146)</f>
        <v/>
      </c>
      <c r="H146" s="220">
        <f>SUM(E146)-SUM(F146)</f>
        <v/>
      </c>
      <c r="I146" s="221">
        <f>IF(A146="Total",VLOOKUP(B146,CORRESPONDANCE[#All],2,FALSE),I147)</f>
        <v/>
      </c>
      <c r="J146" s="350">
        <f>LEFT(A146,1)</f>
        <v/>
      </c>
      <c r="K146" s="347">
        <f>"VR7"&amp;" - "&amp;A146</f>
        <v/>
      </c>
      <c r="L146" s="347">
        <f>+VLOOKUP(K146,TL[],4,FALSE)</f>
        <v/>
      </c>
    </row>
    <row r="147" ht="15" customHeight="1" s="161">
      <c r="A147" s="290" t="n"/>
      <c r="B147" s="290" t="n"/>
      <c r="C147" s="290" t="n"/>
      <c r="D147" s="290" t="n"/>
      <c r="E147" s="290" t="n"/>
      <c r="F147" s="290" t="n"/>
      <c r="G147" s="220">
        <f>SUM(C147)-SUM(D147)</f>
        <v/>
      </c>
      <c r="H147" s="220">
        <f>SUM(E147)-SUM(F147)</f>
        <v/>
      </c>
      <c r="I147" s="221">
        <f>IF(A147="Total",VLOOKUP(B147,CORRESPONDANCE[#All],2,FALSE),I148)</f>
        <v/>
      </c>
      <c r="J147" s="350">
        <f>LEFT(A147,1)</f>
        <v/>
      </c>
      <c r="K147" s="347">
        <f>"VR7"&amp;" - "&amp;A147</f>
        <v/>
      </c>
      <c r="L147" s="347">
        <f>+VLOOKUP(K147,TL[],4,FALSE)</f>
        <v/>
      </c>
    </row>
    <row r="148" ht="15" customHeight="1" s="161">
      <c r="A148" s="290" t="n"/>
      <c r="B148" s="290" t="n"/>
      <c r="C148" s="290" t="n"/>
      <c r="D148" s="290" t="n"/>
      <c r="E148" s="290" t="n"/>
      <c r="F148" s="290" t="n"/>
      <c r="G148" s="220">
        <f>SUM(C148)-SUM(D148)</f>
        <v/>
      </c>
      <c r="H148" s="220">
        <f>SUM(E148)-SUM(F148)</f>
        <v/>
      </c>
      <c r="I148" s="221">
        <f>IF(A148="Total",VLOOKUP(B148,CORRESPONDANCE[#All],2,FALSE),I149)</f>
        <v/>
      </c>
      <c r="J148" s="350">
        <f>LEFT(A148,1)</f>
        <v/>
      </c>
      <c r="K148" s="347">
        <f>"VR7"&amp;" - "&amp;A148</f>
        <v/>
      </c>
      <c r="L148" s="347">
        <f>+VLOOKUP(K148,TL[],4,FALSE)</f>
        <v/>
      </c>
    </row>
    <row r="149" ht="15" customHeight="1" s="161">
      <c r="A149" s="290" t="n"/>
      <c r="B149" s="290" t="n"/>
      <c r="C149" s="290" t="n"/>
      <c r="D149" s="290" t="n"/>
      <c r="E149" s="290" t="n"/>
      <c r="F149" s="290" t="n"/>
      <c r="G149" s="220">
        <f>SUM(C149)-SUM(D149)</f>
        <v/>
      </c>
      <c r="H149" s="220">
        <f>SUM(E149)-SUM(F149)</f>
        <v/>
      </c>
      <c r="I149" s="221">
        <f>IF(A149="Total",VLOOKUP(B149,CORRESPONDANCE[#All],2,FALSE),I150)</f>
        <v/>
      </c>
      <c r="J149" s="350">
        <f>LEFT(A149,1)</f>
        <v/>
      </c>
      <c r="K149" s="347">
        <f>"VR7"&amp;" - "&amp;A149</f>
        <v/>
      </c>
      <c r="L149" s="347">
        <f>+VLOOKUP(K149,TL[],4,FALSE)</f>
        <v/>
      </c>
    </row>
    <row r="150" ht="15" customHeight="1" s="161">
      <c r="A150" s="290" t="n"/>
      <c r="B150" s="290" t="n"/>
      <c r="C150" s="290" t="n"/>
      <c r="D150" s="290" t="n"/>
      <c r="E150" s="290" t="n"/>
      <c r="F150" s="290" t="n"/>
      <c r="G150" s="220">
        <f>SUM(C150)-SUM(D150)</f>
        <v/>
      </c>
      <c r="H150" s="220">
        <f>SUM(E150)-SUM(F150)</f>
        <v/>
      </c>
      <c r="I150" s="221">
        <f>IF(A150="Total",VLOOKUP(B150,CORRESPONDANCE[#All],2,FALSE),I151)</f>
        <v/>
      </c>
      <c r="J150" s="350">
        <f>LEFT(A150,1)</f>
        <v/>
      </c>
      <c r="K150" s="347">
        <f>"VR7"&amp;" - "&amp;A150</f>
        <v/>
      </c>
      <c r="L150" s="347">
        <f>+VLOOKUP(K150,TL[],4,FALSE)</f>
        <v/>
      </c>
    </row>
    <row r="151" ht="15" customHeight="1" s="161">
      <c r="A151" s="290" t="n"/>
      <c r="B151" s="290" t="n"/>
      <c r="C151" s="290" t="n"/>
      <c r="D151" s="290" t="n"/>
      <c r="E151" s="290" t="n"/>
      <c r="F151" s="290" t="n"/>
      <c r="G151" s="220">
        <f>SUM(C151)-SUM(D151)</f>
        <v/>
      </c>
      <c r="H151" s="220">
        <f>SUM(E151)-SUM(F151)</f>
        <v/>
      </c>
      <c r="I151" s="221">
        <f>IF(A151="Total",VLOOKUP(B151,CORRESPONDANCE[#All],2,FALSE),I152)</f>
        <v/>
      </c>
      <c r="J151" s="350">
        <f>LEFT(A151,1)</f>
        <v/>
      </c>
      <c r="K151" s="347">
        <f>"VR7"&amp;" - "&amp;A151</f>
        <v/>
      </c>
      <c r="L151" s="347">
        <f>+VLOOKUP(K151,TL[],4,FALSE)</f>
        <v/>
      </c>
    </row>
    <row r="152" ht="15" customHeight="1" s="161">
      <c r="A152" s="290" t="n"/>
      <c r="B152" s="290" t="n"/>
      <c r="C152" s="290" t="n"/>
      <c r="D152" s="290" t="n"/>
      <c r="E152" s="290" t="n"/>
      <c r="F152" s="290" t="n"/>
      <c r="G152" s="220">
        <f>SUM(C152)-SUM(D152)</f>
        <v/>
      </c>
      <c r="H152" s="220">
        <f>SUM(E152)-SUM(F152)</f>
        <v/>
      </c>
      <c r="I152" s="221">
        <f>IF(A152="Total",VLOOKUP(B152,CORRESPONDANCE[#All],2,FALSE),I153)</f>
        <v/>
      </c>
      <c r="J152" s="350">
        <f>LEFT(A152,1)</f>
        <v/>
      </c>
      <c r="K152" s="347">
        <f>"VR7"&amp;" - "&amp;A152</f>
        <v/>
      </c>
      <c r="L152" s="347">
        <f>+VLOOKUP(K152,TL[],4,FALSE)</f>
        <v/>
      </c>
    </row>
    <row r="153" ht="15" customHeight="1" s="161">
      <c r="A153" s="290" t="n"/>
      <c r="B153" s="290" t="n"/>
      <c r="C153" s="290" t="n"/>
      <c r="D153" s="290" t="n"/>
      <c r="E153" s="290" t="n"/>
      <c r="F153" s="290" t="n"/>
      <c r="G153" s="220">
        <f>SUM(C153)-SUM(D153)</f>
        <v/>
      </c>
      <c r="H153" s="220">
        <f>SUM(E153)-SUM(F153)</f>
        <v/>
      </c>
      <c r="I153" s="221">
        <f>IF(A153="Total",VLOOKUP(B153,CORRESPONDANCE[#All],2,FALSE),I154)</f>
        <v/>
      </c>
      <c r="J153" s="350">
        <f>LEFT(A153,1)</f>
        <v/>
      </c>
      <c r="K153" s="347">
        <f>"VR7"&amp;" - "&amp;A153</f>
        <v/>
      </c>
      <c r="L153" s="347">
        <f>+VLOOKUP(K153,TL[],4,FALSE)</f>
        <v/>
      </c>
    </row>
    <row r="154" ht="15" customHeight="1" s="161">
      <c r="A154" s="290" t="n"/>
      <c r="B154" s="290" t="n"/>
      <c r="C154" s="290" t="n"/>
      <c r="D154" s="290" t="n"/>
      <c r="E154" s="290" t="n"/>
      <c r="F154" s="290" t="n"/>
      <c r="G154" s="220">
        <f>SUM(C154)-SUM(D154)</f>
        <v/>
      </c>
      <c r="H154" s="220">
        <f>SUM(E154)-SUM(F154)</f>
        <v/>
      </c>
      <c r="I154" s="221">
        <f>IF(A154="Total",VLOOKUP(B154,CORRESPONDANCE[#All],2,FALSE),I155)</f>
        <v/>
      </c>
      <c r="J154" s="350">
        <f>LEFT(A154,1)</f>
        <v/>
      </c>
      <c r="K154" s="347">
        <f>"VR7"&amp;" - "&amp;A154</f>
        <v/>
      </c>
      <c r="L154" s="347">
        <f>+VLOOKUP(K154,TL[],4,FALSE)</f>
        <v/>
      </c>
    </row>
    <row r="155" ht="15" customHeight="1" s="161">
      <c r="A155" s="290" t="n"/>
      <c r="B155" s="290" t="n"/>
      <c r="C155" s="290" t="n"/>
      <c r="D155" s="290" t="n"/>
      <c r="E155" s="290" t="n"/>
      <c r="F155" s="290" t="n"/>
      <c r="G155" s="220">
        <f>SUM(C155)-SUM(D155)</f>
        <v/>
      </c>
      <c r="H155" s="220">
        <f>SUM(E155)-SUM(F155)</f>
        <v/>
      </c>
      <c r="I155" s="221">
        <f>IF(A155="Total",VLOOKUP(B155,CORRESPONDANCE[#All],2,FALSE),I156)</f>
        <v/>
      </c>
      <c r="J155" s="350">
        <f>LEFT(A155,1)</f>
        <v/>
      </c>
      <c r="K155" s="347">
        <f>"VR7"&amp;" - "&amp;A155</f>
        <v/>
      </c>
      <c r="L155" s="347">
        <f>+VLOOKUP(K155,TL[],4,FALSE)</f>
        <v/>
      </c>
    </row>
    <row r="156" ht="15" customHeight="1" s="161">
      <c r="A156" s="290" t="n"/>
      <c r="B156" s="290" t="n"/>
      <c r="C156" s="290" t="n"/>
      <c r="D156" s="290" t="n"/>
      <c r="E156" s="290" t="n"/>
      <c r="F156" s="290" t="n"/>
      <c r="G156" s="220">
        <f>SUM(C156)-SUM(D156)</f>
        <v/>
      </c>
      <c r="H156" s="220">
        <f>SUM(E156)-SUM(F156)</f>
        <v/>
      </c>
      <c r="I156" s="221">
        <f>IF(A156="Total",VLOOKUP(B156,CORRESPONDANCE[#All],2,FALSE),I157)</f>
        <v/>
      </c>
      <c r="J156" s="350">
        <f>LEFT(A156,1)</f>
        <v/>
      </c>
      <c r="K156" s="347">
        <f>"VR7"&amp;" - "&amp;A156</f>
        <v/>
      </c>
      <c r="L156" s="347">
        <f>+VLOOKUP(K156,TL[],4,FALSE)</f>
        <v/>
      </c>
    </row>
    <row r="157" ht="15" customHeight="1" s="161">
      <c r="A157" s="290" t="n"/>
      <c r="B157" s="290" t="n"/>
      <c r="C157" s="290" t="n"/>
      <c r="D157" s="290" t="n"/>
      <c r="E157" s="290" t="n"/>
      <c r="F157" s="290" t="n"/>
      <c r="G157" s="220">
        <f>SUM(C157)-SUM(D157)</f>
        <v/>
      </c>
      <c r="H157" s="220">
        <f>SUM(E157)-SUM(F157)</f>
        <v/>
      </c>
      <c r="I157" s="221">
        <f>IF(A157="Total",VLOOKUP(B157,CORRESPONDANCE[#All],2,FALSE),I158)</f>
        <v/>
      </c>
      <c r="J157" s="350">
        <f>LEFT(A157,1)</f>
        <v/>
      </c>
      <c r="K157" s="347">
        <f>"VR7"&amp;" - "&amp;A157</f>
        <v/>
      </c>
      <c r="L157" s="347">
        <f>+VLOOKUP(K157,TL[],4,FALSE)</f>
        <v/>
      </c>
    </row>
    <row r="158" ht="15" customHeight="1" s="161">
      <c r="A158" s="290" t="n"/>
      <c r="B158" s="290" t="n"/>
      <c r="C158" s="290" t="n"/>
      <c r="D158" s="290" t="n"/>
      <c r="E158" s="290" t="n"/>
      <c r="F158" s="290" t="n"/>
      <c r="G158" s="220">
        <f>SUM(C158)-SUM(D158)</f>
        <v/>
      </c>
      <c r="H158" s="220">
        <f>SUM(E158)-SUM(F158)</f>
        <v/>
      </c>
      <c r="I158" s="221">
        <f>IF(A158="Total",VLOOKUP(B158,CORRESPONDANCE[#All],2,FALSE),I159)</f>
        <v/>
      </c>
      <c r="J158" s="350">
        <f>LEFT(A158,1)</f>
        <v/>
      </c>
      <c r="K158" s="347">
        <f>"VR7"&amp;" - "&amp;A158</f>
        <v/>
      </c>
      <c r="L158" s="347">
        <f>+VLOOKUP(K158,TL[],4,FALSE)</f>
        <v/>
      </c>
    </row>
    <row r="159" ht="15" customHeight="1" s="161">
      <c r="A159" s="290" t="n"/>
      <c r="B159" s="290" t="n"/>
      <c r="C159" s="290" t="n"/>
      <c r="D159" s="290" t="n"/>
      <c r="E159" s="290" t="n"/>
      <c r="F159" s="290" t="n"/>
      <c r="G159" s="220">
        <f>SUM(C159)-SUM(D159)</f>
        <v/>
      </c>
      <c r="H159" s="220">
        <f>SUM(E159)-SUM(F159)</f>
        <v/>
      </c>
      <c r="I159" s="221">
        <f>IF(A159="Total",VLOOKUP(B159,CORRESPONDANCE[#All],2,FALSE),I160)</f>
        <v/>
      </c>
      <c r="J159" s="350">
        <f>LEFT(A159,1)</f>
        <v/>
      </c>
      <c r="K159" s="347">
        <f>"VR7"&amp;" - "&amp;A159</f>
        <v/>
      </c>
      <c r="L159" s="347">
        <f>+VLOOKUP(K159,TL[],4,FALSE)</f>
        <v/>
      </c>
    </row>
    <row r="160" ht="15" customHeight="1" s="161">
      <c r="A160" s="290" t="n"/>
      <c r="B160" s="290" t="n"/>
      <c r="C160" s="290" t="n"/>
      <c r="D160" s="290" t="n"/>
      <c r="E160" s="290" t="n"/>
      <c r="F160" s="290" t="n"/>
      <c r="G160" s="220">
        <f>SUM(C160)-SUM(D160)</f>
        <v/>
      </c>
      <c r="H160" s="220">
        <f>SUM(E160)-SUM(F160)</f>
        <v/>
      </c>
      <c r="I160" s="221">
        <f>IF(A160="Total",VLOOKUP(B160,CORRESPONDANCE[#All],2,FALSE),I161)</f>
        <v/>
      </c>
      <c r="J160" s="350">
        <f>LEFT(A160,1)</f>
        <v/>
      </c>
      <c r="K160" s="347">
        <f>"VR7"&amp;" - "&amp;A160</f>
        <v/>
      </c>
      <c r="L160" s="347">
        <f>+VLOOKUP(K160,TL[],4,FALSE)</f>
        <v/>
      </c>
    </row>
    <row r="161" ht="15" customHeight="1" s="161">
      <c r="A161" s="290" t="n"/>
      <c r="B161" s="290" t="n"/>
      <c r="C161" s="290" t="n"/>
      <c r="D161" s="290" t="n"/>
      <c r="E161" s="290" t="n"/>
      <c r="F161" s="290" t="n"/>
      <c r="G161" s="220">
        <f>SUM(C161)-SUM(D161)</f>
        <v/>
      </c>
      <c r="H161" s="220">
        <f>SUM(E161)-SUM(F161)</f>
        <v/>
      </c>
      <c r="I161" s="221">
        <f>IF(A161="Total",VLOOKUP(B161,CORRESPONDANCE[#All],2,FALSE),I162)</f>
        <v/>
      </c>
      <c r="J161" s="350">
        <f>LEFT(A161,1)</f>
        <v/>
      </c>
      <c r="K161" s="347">
        <f>"VR7"&amp;" - "&amp;A161</f>
        <v/>
      </c>
      <c r="L161" s="347">
        <f>+VLOOKUP(K161,TL[],4,FALSE)</f>
        <v/>
      </c>
    </row>
    <row r="162" ht="15" customHeight="1" s="161">
      <c r="A162" s="290" t="n"/>
      <c r="B162" s="290" t="n"/>
      <c r="C162" s="290" t="n"/>
      <c r="D162" s="290" t="n"/>
      <c r="E162" s="290" t="n"/>
      <c r="F162" s="290" t="n"/>
      <c r="G162" s="220">
        <f>SUM(C162)-SUM(D162)</f>
        <v/>
      </c>
      <c r="H162" s="220">
        <f>SUM(E162)-SUM(F162)</f>
        <v/>
      </c>
      <c r="I162" s="221">
        <f>IF(A162="Total",VLOOKUP(B162,CORRESPONDANCE[#All],2,FALSE),I163)</f>
        <v/>
      </c>
      <c r="J162" s="350">
        <f>LEFT(A162,1)</f>
        <v/>
      </c>
      <c r="K162" s="347">
        <f>"VR7"&amp;" - "&amp;A162</f>
        <v/>
      </c>
      <c r="L162" s="347">
        <f>+VLOOKUP(K162,TL[],4,FALSE)</f>
        <v/>
      </c>
    </row>
    <row r="163" ht="15" customHeight="1" s="161">
      <c r="A163" s="290" t="n"/>
      <c r="B163" s="290" t="n"/>
      <c r="C163" s="290" t="n"/>
      <c r="D163" s="290" t="n"/>
      <c r="E163" s="290" t="n"/>
      <c r="F163" s="290" t="n"/>
      <c r="G163" s="220">
        <f>SUM(C163)-SUM(D163)</f>
        <v/>
      </c>
      <c r="H163" s="220">
        <f>SUM(E163)-SUM(F163)</f>
        <v/>
      </c>
      <c r="I163" s="221">
        <f>IF(A163="Total",VLOOKUP(B163,CORRESPONDANCE[#All],2,FALSE),I164)</f>
        <v/>
      </c>
      <c r="J163" s="350">
        <f>LEFT(A163,1)</f>
        <v/>
      </c>
      <c r="K163" s="347">
        <f>"VR7"&amp;" - "&amp;A163</f>
        <v/>
      </c>
      <c r="L163" s="347">
        <f>+VLOOKUP(K163,TL[],4,FALSE)</f>
        <v/>
      </c>
    </row>
    <row r="164" ht="15" customHeight="1" s="161">
      <c r="A164" s="290" t="n"/>
      <c r="B164" s="290" t="n"/>
      <c r="C164" s="290" t="n"/>
      <c r="D164" s="290" t="n"/>
      <c r="E164" s="290" t="n"/>
      <c r="F164" s="290" t="n"/>
      <c r="G164" s="220">
        <f>SUM(C164)-SUM(D164)</f>
        <v/>
      </c>
      <c r="H164" s="220">
        <f>SUM(E164)-SUM(F164)</f>
        <v/>
      </c>
      <c r="I164" s="221">
        <f>IF(A164="Total",VLOOKUP(B164,CORRESPONDANCE[#All],2,FALSE),I165)</f>
        <v/>
      </c>
      <c r="J164" s="350">
        <f>LEFT(A164,1)</f>
        <v/>
      </c>
      <c r="K164" s="347">
        <f>"VR7"&amp;" - "&amp;A164</f>
        <v/>
      </c>
      <c r="L164" s="347">
        <f>+VLOOKUP(K164,TL[],4,FALSE)</f>
        <v/>
      </c>
    </row>
    <row r="165" ht="15" customHeight="1" s="161">
      <c r="A165" s="290" t="n"/>
      <c r="B165" s="290" t="n"/>
      <c r="C165" s="290" t="n"/>
      <c r="D165" s="290" t="n"/>
      <c r="E165" s="290" t="n"/>
      <c r="F165" s="290" t="n"/>
      <c r="G165" s="220">
        <f>SUM(C165)-SUM(D165)</f>
        <v/>
      </c>
      <c r="H165" s="220">
        <f>SUM(E165)-SUM(F165)</f>
        <v/>
      </c>
      <c r="I165" s="221">
        <f>IF(A165="Total",VLOOKUP(B165,CORRESPONDANCE[#All],2,FALSE),I166)</f>
        <v/>
      </c>
      <c r="J165" s="350">
        <f>LEFT(A165,1)</f>
        <v/>
      </c>
      <c r="K165" s="347">
        <f>"VR7"&amp;" - "&amp;A165</f>
        <v/>
      </c>
      <c r="L165" s="347">
        <f>+VLOOKUP(K165,TL[],4,FALSE)</f>
        <v/>
      </c>
    </row>
    <row r="166" ht="15" customHeight="1" s="161">
      <c r="A166" s="290" t="n"/>
      <c r="B166" s="290" t="n"/>
      <c r="C166" s="290" t="n"/>
      <c r="D166" s="290" t="n"/>
      <c r="E166" s="290" t="n"/>
      <c r="F166" s="290" t="n"/>
      <c r="G166" s="220">
        <f>SUM(C166)-SUM(D166)</f>
        <v/>
      </c>
      <c r="H166" s="220">
        <f>SUM(E166)-SUM(F166)</f>
        <v/>
      </c>
      <c r="I166" s="221">
        <f>IF(A166="Total",VLOOKUP(B166,CORRESPONDANCE[#All],2,FALSE),I167)</f>
        <v/>
      </c>
      <c r="J166" s="350">
        <f>LEFT(A166,1)</f>
        <v/>
      </c>
      <c r="K166" s="347">
        <f>"VR7"&amp;" - "&amp;A166</f>
        <v/>
      </c>
      <c r="L166" s="347">
        <f>+VLOOKUP(K166,TL[],4,FALSE)</f>
        <v/>
      </c>
    </row>
    <row r="167" ht="15" customHeight="1" s="161">
      <c r="A167" s="290" t="n"/>
      <c r="B167" s="290" t="n"/>
      <c r="C167" s="290" t="n"/>
      <c r="D167" s="290" t="n"/>
      <c r="E167" s="290" t="n"/>
      <c r="F167" s="290" t="n"/>
      <c r="G167" s="220">
        <f>SUM(C167)-SUM(D167)</f>
        <v/>
      </c>
      <c r="H167" s="220">
        <f>SUM(E167)-SUM(F167)</f>
        <v/>
      </c>
      <c r="I167" s="221">
        <f>IF(A167="Total",VLOOKUP(B167,CORRESPONDANCE[#All],2,FALSE),I168)</f>
        <v/>
      </c>
      <c r="J167" s="350">
        <f>LEFT(A167,1)</f>
        <v/>
      </c>
      <c r="K167" s="347">
        <f>"VR7"&amp;" - "&amp;A167</f>
        <v/>
      </c>
      <c r="L167" s="347">
        <f>+VLOOKUP(K167,TL[],4,FALSE)</f>
        <v/>
      </c>
    </row>
    <row r="168" ht="15" customHeight="1" s="161">
      <c r="A168" s="290" t="n"/>
      <c r="B168" s="290" t="n"/>
      <c r="C168" s="290" t="n"/>
      <c r="D168" s="290" t="n"/>
      <c r="E168" s="290" t="n"/>
      <c r="F168" s="290" t="n"/>
      <c r="G168" s="220">
        <f>SUM(C168)-SUM(D168)</f>
        <v/>
      </c>
      <c r="H168" s="220">
        <f>SUM(E168)-SUM(F168)</f>
        <v/>
      </c>
      <c r="I168" s="221">
        <f>IF(A168="Total",VLOOKUP(B168,CORRESPONDANCE[#All],2,FALSE),I169)</f>
        <v/>
      </c>
      <c r="J168" s="350">
        <f>LEFT(A168,1)</f>
        <v/>
      </c>
      <c r="K168" s="347">
        <f>"VR7"&amp;" - "&amp;A168</f>
        <v/>
      </c>
      <c r="L168" s="347">
        <f>+VLOOKUP(K168,TL[],4,FALSE)</f>
        <v/>
      </c>
    </row>
    <row r="169" ht="15" customHeight="1" s="161">
      <c r="A169" s="290" t="n"/>
      <c r="B169" s="290" t="n"/>
      <c r="C169" s="290" t="n"/>
      <c r="D169" s="290" t="n"/>
      <c r="E169" s="290" t="n"/>
      <c r="F169" s="290" t="n"/>
      <c r="G169" s="220">
        <f>SUM(C169)-SUM(D169)</f>
        <v/>
      </c>
      <c r="H169" s="220">
        <f>SUM(E169)-SUM(F169)</f>
        <v/>
      </c>
      <c r="I169" s="221">
        <f>IF(A169="Total",VLOOKUP(B169,CORRESPONDANCE[#All],2,FALSE),I170)</f>
        <v/>
      </c>
      <c r="J169" s="350">
        <f>LEFT(A169,1)</f>
        <v/>
      </c>
      <c r="K169" s="347">
        <f>"VR7"&amp;" - "&amp;A169</f>
        <v/>
      </c>
      <c r="L169" s="347">
        <f>+VLOOKUP(K169,TL[],4,FALSE)</f>
        <v/>
      </c>
    </row>
    <row r="170" ht="15" customHeight="1" s="161">
      <c r="A170" s="290" t="n"/>
      <c r="B170" s="290" t="n"/>
      <c r="C170" s="290" t="n"/>
      <c r="D170" s="290" t="n"/>
      <c r="E170" s="290" t="n"/>
      <c r="F170" s="290" t="n"/>
      <c r="G170" s="220">
        <f>SUM(C170)-SUM(D170)</f>
        <v/>
      </c>
      <c r="H170" s="220">
        <f>SUM(E170)-SUM(F170)</f>
        <v/>
      </c>
      <c r="I170" s="221">
        <f>IF(A170="Total",VLOOKUP(B170,CORRESPONDANCE[#All],2,FALSE),I171)</f>
        <v/>
      </c>
      <c r="J170" s="350">
        <f>LEFT(A170,1)</f>
        <v/>
      </c>
      <c r="K170" s="347">
        <f>"VR7"&amp;" - "&amp;A170</f>
        <v/>
      </c>
      <c r="L170" s="347">
        <f>+VLOOKUP(K170,TL[],4,FALSE)</f>
        <v/>
      </c>
    </row>
    <row r="171" ht="15" customHeight="1" s="161">
      <c r="A171" s="290" t="n"/>
      <c r="B171" s="290" t="n"/>
      <c r="C171" s="290" t="n"/>
      <c r="D171" s="290" t="n"/>
      <c r="E171" s="290" t="n"/>
      <c r="F171" s="290" t="n"/>
      <c r="G171" s="220">
        <f>SUM(C171)-SUM(D171)</f>
        <v/>
      </c>
      <c r="H171" s="220">
        <f>SUM(E171)-SUM(F171)</f>
        <v/>
      </c>
      <c r="I171" s="221">
        <f>IF(A171="Total",VLOOKUP(B171,CORRESPONDANCE[#All],2,FALSE),I172)</f>
        <v/>
      </c>
      <c r="J171" s="350">
        <f>LEFT(A171,1)</f>
        <v/>
      </c>
      <c r="K171" s="347">
        <f>"VR7"&amp;" - "&amp;A171</f>
        <v/>
      </c>
      <c r="L171" s="347">
        <f>+VLOOKUP(K171,TL[],4,FALSE)</f>
        <v/>
      </c>
    </row>
    <row r="172" ht="15" customHeight="1" s="161">
      <c r="A172" s="290" t="n"/>
      <c r="B172" s="290" t="n"/>
      <c r="C172" s="290" t="n"/>
      <c r="D172" s="290" t="n"/>
      <c r="E172" s="290" t="n"/>
      <c r="F172" s="290" t="n"/>
      <c r="G172" s="220">
        <f>SUM(C172)-SUM(D172)</f>
        <v/>
      </c>
      <c r="H172" s="220">
        <f>SUM(E172)-SUM(F172)</f>
        <v/>
      </c>
      <c r="I172" s="221">
        <f>IF(A172="Total",VLOOKUP(B172,CORRESPONDANCE[#All],2,FALSE),I173)</f>
        <v/>
      </c>
      <c r="J172" s="350">
        <f>LEFT(A172,1)</f>
        <v/>
      </c>
      <c r="K172" s="347">
        <f>"VR7"&amp;" - "&amp;A172</f>
        <v/>
      </c>
      <c r="L172" s="347">
        <f>+VLOOKUP(K172,TL[],4,FALSE)</f>
        <v/>
      </c>
    </row>
    <row r="173" ht="15" customHeight="1" s="161">
      <c r="A173" s="290" t="n"/>
      <c r="B173" s="290" t="n"/>
      <c r="C173" s="290" t="n"/>
      <c r="D173" s="290" t="n"/>
      <c r="E173" s="290" t="n"/>
      <c r="F173" s="290" t="n"/>
      <c r="G173" s="220">
        <f>SUM(C173)-SUM(D173)</f>
        <v/>
      </c>
      <c r="H173" s="220">
        <f>SUM(E173)-SUM(F173)</f>
        <v/>
      </c>
      <c r="I173" s="221">
        <f>IF(A173="Total",VLOOKUP(B173,CORRESPONDANCE[#All],2,FALSE),I174)</f>
        <v/>
      </c>
      <c r="J173" s="350">
        <f>LEFT(A173,1)</f>
        <v/>
      </c>
      <c r="K173" s="347">
        <f>"VR7"&amp;" - "&amp;A173</f>
        <v/>
      </c>
      <c r="L173" s="347">
        <f>+VLOOKUP(K173,TL[],4,FALSE)</f>
        <v/>
      </c>
    </row>
    <row r="174" ht="15" customHeight="1" s="161">
      <c r="A174" s="290" t="n"/>
      <c r="B174" s="290" t="n"/>
      <c r="C174" s="290" t="n"/>
      <c r="D174" s="290" t="n"/>
      <c r="E174" s="290" t="n"/>
      <c r="F174" s="290" t="n"/>
      <c r="G174" s="220">
        <f>SUM(C174)-SUM(D174)</f>
        <v/>
      </c>
      <c r="H174" s="220">
        <f>SUM(E174)-SUM(F174)</f>
        <v/>
      </c>
      <c r="I174" s="221">
        <f>IF(A174="Total",VLOOKUP(B174,CORRESPONDANCE[#All],2,FALSE),I175)</f>
        <v/>
      </c>
      <c r="J174" s="350">
        <f>LEFT(A174,1)</f>
        <v/>
      </c>
      <c r="K174" s="347">
        <f>"VR7"&amp;" - "&amp;A174</f>
        <v/>
      </c>
      <c r="L174" s="347">
        <f>+VLOOKUP(K174,TL[],4,FALSE)</f>
        <v/>
      </c>
    </row>
    <row r="175" ht="15" customHeight="1" s="161">
      <c r="A175" s="290" t="n"/>
      <c r="B175" s="290" t="n"/>
      <c r="C175" s="290" t="n"/>
      <c r="D175" s="290" t="n"/>
      <c r="E175" s="290" t="n"/>
      <c r="F175" s="290" t="n"/>
      <c r="G175" s="220">
        <f>SUM(C175)-SUM(D175)</f>
        <v/>
      </c>
      <c r="H175" s="220">
        <f>SUM(E175)-SUM(F175)</f>
        <v/>
      </c>
      <c r="I175" s="221">
        <f>IF(A175="Total",VLOOKUP(B175,CORRESPONDANCE[#All],2,FALSE),I176)</f>
        <v/>
      </c>
      <c r="J175" s="350">
        <f>LEFT(A175,1)</f>
        <v/>
      </c>
      <c r="K175" s="347">
        <f>"VR7"&amp;" - "&amp;A175</f>
        <v/>
      </c>
      <c r="L175" s="347">
        <f>+VLOOKUP(K175,TL[],4,FALSE)</f>
        <v/>
      </c>
    </row>
    <row r="176" ht="15" customHeight="1" s="161">
      <c r="A176" s="290" t="n"/>
      <c r="B176" s="290" t="n"/>
      <c r="C176" s="290" t="n"/>
      <c r="D176" s="290" t="n"/>
      <c r="E176" s="290" t="n"/>
      <c r="F176" s="290" t="n"/>
      <c r="G176" s="220">
        <f>SUM(C176)-SUM(D176)</f>
        <v/>
      </c>
      <c r="H176" s="220">
        <f>SUM(E176)-SUM(F176)</f>
        <v/>
      </c>
      <c r="I176" s="221">
        <f>IF(A176="Total",VLOOKUP(B176,CORRESPONDANCE[#All],2,FALSE),I177)</f>
        <v/>
      </c>
      <c r="J176" s="350">
        <f>LEFT(A176,1)</f>
        <v/>
      </c>
      <c r="K176" s="347">
        <f>"VR7"&amp;" - "&amp;A176</f>
        <v/>
      </c>
      <c r="L176" s="347">
        <f>+VLOOKUP(K176,TL[],4,FALSE)</f>
        <v/>
      </c>
    </row>
    <row r="177" ht="15" customHeight="1" s="161">
      <c r="A177" s="290" t="n"/>
      <c r="B177" s="290" t="n"/>
      <c r="C177" s="290" t="n"/>
      <c r="D177" s="290" t="n"/>
      <c r="E177" s="290" t="n"/>
      <c r="F177" s="290" t="n"/>
      <c r="G177" s="220">
        <f>SUM(C177)-SUM(D177)</f>
        <v/>
      </c>
      <c r="H177" s="220">
        <f>SUM(E177)-SUM(F177)</f>
        <v/>
      </c>
      <c r="I177" s="221">
        <f>IF(A177="Total",VLOOKUP(B177,CORRESPONDANCE[#All],2,FALSE),I178)</f>
        <v/>
      </c>
      <c r="J177" s="350">
        <f>LEFT(A177,1)</f>
        <v/>
      </c>
      <c r="K177" s="347">
        <f>"VR7"&amp;" - "&amp;A177</f>
        <v/>
      </c>
      <c r="L177" s="347">
        <f>+VLOOKUP(K177,TL[],4,FALSE)</f>
        <v/>
      </c>
    </row>
    <row r="178" ht="15" customHeight="1" s="161">
      <c r="A178" s="290" t="n"/>
      <c r="B178" s="290" t="n"/>
      <c r="C178" s="290" t="n"/>
      <c r="D178" s="290" t="n"/>
      <c r="E178" s="290" t="n"/>
      <c r="F178" s="290" t="n"/>
      <c r="G178" s="220">
        <f>SUM(C178)-SUM(D178)</f>
        <v/>
      </c>
      <c r="H178" s="220">
        <f>SUM(E178)-SUM(F178)</f>
        <v/>
      </c>
      <c r="I178" s="221">
        <f>IF(A178="Total",VLOOKUP(B178,CORRESPONDANCE[#All],2,FALSE),I179)</f>
        <v/>
      </c>
      <c r="J178" s="350">
        <f>LEFT(A178,1)</f>
        <v/>
      </c>
      <c r="K178" s="347">
        <f>"VR7"&amp;" - "&amp;A178</f>
        <v/>
      </c>
      <c r="L178" s="347">
        <f>+VLOOKUP(K178,TL[],4,FALSE)</f>
        <v/>
      </c>
    </row>
    <row r="179" ht="15" customHeight="1" s="161">
      <c r="A179" s="290" t="n"/>
      <c r="B179" s="290" t="n"/>
      <c r="C179" s="290" t="n"/>
      <c r="D179" s="290" t="n"/>
      <c r="E179" s="290" t="n"/>
      <c r="F179" s="290" t="n"/>
      <c r="G179" s="220">
        <f>SUM(C179)-SUM(D179)</f>
        <v/>
      </c>
      <c r="H179" s="220">
        <f>SUM(E179)-SUM(F179)</f>
        <v/>
      </c>
      <c r="I179" s="221">
        <f>IF(A179="Total",VLOOKUP(B179,CORRESPONDANCE[#All],2,FALSE),I180)</f>
        <v/>
      </c>
      <c r="J179" s="350">
        <f>LEFT(A179,1)</f>
        <v/>
      </c>
      <c r="K179" s="347">
        <f>"VR7"&amp;" - "&amp;A179</f>
        <v/>
      </c>
      <c r="L179" s="347">
        <f>+VLOOKUP(K179,TL[],4,FALSE)</f>
        <v/>
      </c>
    </row>
    <row r="180" ht="15" customHeight="1" s="161">
      <c r="A180" s="290" t="n"/>
      <c r="B180" s="290" t="n"/>
      <c r="C180" s="290" t="n"/>
      <c r="D180" s="290" t="n"/>
      <c r="E180" s="290" t="n"/>
      <c r="F180" s="290" t="n"/>
      <c r="G180" s="220">
        <f>SUM(C180)-SUM(D180)</f>
        <v/>
      </c>
      <c r="H180" s="220">
        <f>SUM(E180)-SUM(F180)</f>
        <v/>
      </c>
      <c r="I180" s="221">
        <f>IF(A180="Total",VLOOKUP(B180,CORRESPONDANCE[#All],2,FALSE),I181)</f>
        <v/>
      </c>
      <c r="J180" s="350">
        <f>LEFT(A180,1)</f>
        <v/>
      </c>
      <c r="K180" s="347">
        <f>"VR7"&amp;" - "&amp;A180</f>
        <v/>
      </c>
      <c r="L180" s="347">
        <f>+VLOOKUP(K180,TL[],4,FALSE)</f>
        <v/>
      </c>
    </row>
    <row r="181" ht="15" customHeight="1" s="161">
      <c r="A181" s="290" t="n"/>
      <c r="B181" s="290" t="n"/>
      <c r="C181" s="290" t="n"/>
      <c r="D181" s="290" t="n"/>
      <c r="E181" s="290" t="n"/>
      <c r="F181" s="290" t="n"/>
      <c r="G181" s="220">
        <f>SUM(C181)-SUM(D181)</f>
        <v/>
      </c>
      <c r="H181" s="220">
        <f>SUM(E181)-SUM(F181)</f>
        <v/>
      </c>
      <c r="I181" s="221">
        <f>IF(A181="Total",VLOOKUP(B181,CORRESPONDANCE[#All],2,FALSE),I182)</f>
        <v/>
      </c>
      <c r="J181" s="350">
        <f>LEFT(A181,1)</f>
        <v/>
      </c>
      <c r="K181" s="347">
        <f>"VR7"&amp;" - "&amp;A181</f>
        <v/>
      </c>
      <c r="L181" s="347">
        <f>+VLOOKUP(K181,TL[],4,FALSE)</f>
        <v/>
      </c>
    </row>
    <row r="182" ht="15" customHeight="1" s="161">
      <c r="A182" s="290" t="n"/>
      <c r="B182" s="290" t="n"/>
      <c r="C182" s="290" t="n"/>
      <c r="D182" s="290" t="n"/>
      <c r="E182" s="290" t="n"/>
      <c r="F182" s="290" t="n"/>
      <c r="G182" s="220">
        <f>SUM(C182)-SUM(D182)</f>
        <v/>
      </c>
      <c r="H182" s="220">
        <f>SUM(E182)-SUM(F182)</f>
        <v/>
      </c>
      <c r="I182" s="221">
        <f>IF(A182="Total",VLOOKUP(B182,CORRESPONDANCE[#All],2,FALSE),I183)</f>
        <v/>
      </c>
      <c r="J182" s="350">
        <f>LEFT(A182,1)</f>
        <v/>
      </c>
      <c r="K182" s="347">
        <f>"VR7"&amp;" - "&amp;A182</f>
        <v/>
      </c>
      <c r="L182" s="347">
        <f>+VLOOKUP(K182,TL[],4,FALSE)</f>
        <v/>
      </c>
    </row>
    <row r="183" ht="15" customHeight="1" s="161">
      <c r="A183" s="290" t="n"/>
      <c r="B183" s="290" t="n"/>
      <c r="C183" s="290" t="n"/>
      <c r="D183" s="290" t="n"/>
      <c r="E183" s="290" t="n"/>
      <c r="F183" s="290" t="n"/>
      <c r="G183" s="220">
        <f>SUM(C183)-SUM(D183)</f>
        <v/>
      </c>
      <c r="H183" s="220">
        <f>SUM(E183)-SUM(F183)</f>
        <v/>
      </c>
      <c r="I183" s="221">
        <f>IF(A183="Total",VLOOKUP(B183,CORRESPONDANCE[#All],2,FALSE),I184)</f>
        <v/>
      </c>
      <c r="J183" s="350">
        <f>LEFT(A183,1)</f>
        <v/>
      </c>
      <c r="K183" s="347">
        <f>"VR7"&amp;" - "&amp;A183</f>
        <v/>
      </c>
      <c r="L183" s="347">
        <f>+VLOOKUP(K183,TL[],4,FALSE)</f>
        <v/>
      </c>
    </row>
    <row r="184" ht="15" customHeight="1" s="161">
      <c r="A184" s="290" t="n"/>
      <c r="B184" s="290" t="n"/>
      <c r="C184" s="290" t="n"/>
      <c r="D184" s="290" t="n"/>
      <c r="E184" s="290" t="n"/>
      <c r="F184" s="290" t="n"/>
      <c r="G184" s="220">
        <f>SUM(C184)-SUM(D184)</f>
        <v/>
      </c>
      <c r="H184" s="220">
        <f>SUM(E184)-SUM(F184)</f>
        <v/>
      </c>
      <c r="I184" s="221">
        <f>IF(A184="Total",VLOOKUP(B184,CORRESPONDANCE[#All],2,FALSE),I185)</f>
        <v/>
      </c>
      <c r="J184" s="350">
        <f>LEFT(A184,1)</f>
        <v/>
      </c>
      <c r="K184" s="347">
        <f>"VR7"&amp;" - "&amp;A184</f>
        <v/>
      </c>
      <c r="L184" s="347">
        <f>+VLOOKUP(K184,TL[],4,FALSE)</f>
        <v/>
      </c>
    </row>
    <row r="185" ht="15" customHeight="1" s="161">
      <c r="A185" s="290" t="n"/>
      <c r="B185" s="290" t="n"/>
      <c r="C185" s="290" t="n"/>
      <c r="D185" s="290" t="n"/>
      <c r="E185" s="290" t="n"/>
      <c r="F185" s="290" t="n"/>
      <c r="G185" s="220">
        <f>SUM(C185)-SUM(D185)</f>
        <v/>
      </c>
      <c r="H185" s="220">
        <f>SUM(E185)-SUM(F185)</f>
        <v/>
      </c>
      <c r="I185" s="221">
        <f>IF(A185="Total",VLOOKUP(B185,CORRESPONDANCE[#All],2,FALSE),I186)</f>
        <v/>
      </c>
      <c r="J185" s="350">
        <f>LEFT(A185,1)</f>
        <v/>
      </c>
      <c r="K185" s="347">
        <f>"VR7"&amp;" - "&amp;A185</f>
        <v/>
      </c>
      <c r="L185" s="347">
        <f>+VLOOKUP(K185,TL[],4,FALSE)</f>
        <v/>
      </c>
    </row>
    <row r="186" ht="15" customHeight="1" s="161">
      <c r="A186" s="290" t="n"/>
      <c r="B186" s="290" t="n"/>
      <c r="C186" s="290" t="n"/>
      <c r="D186" s="290" t="n"/>
      <c r="E186" s="290" t="n"/>
      <c r="F186" s="290" t="n"/>
      <c r="G186" s="220">
        <f>SUM(C186)-SUM(D186)</f>
        <v/>
      </c>
      <c r="H186" s="220">
        <f>SUM(E186)-SUM(F186)</f>
        <v/>
      </c>
      <c r="I186" s="221">
        <f>IF(A186="Total",VLOOKUP(B186,CORRESPONDANCE[#All],2,FALSE),I187)</f>
        <v/>
      </c>
      <c r="J186" s="350">
        <f>LEFT(A186,1)</f>
        <v/>
      </c>
      <c r="K186" s="347">
        <f>"VR7"&amp;" - "&amp;A186</f>
        <v/>
      </c>
      <c r="L186" s="347">
        <f>+VLOOKUP(K186,TL[],4,FALSE)</f>
        <v/>
      </c>
    </row>
    <row r="187" ht="15" customHeight="1" s="161">
      <c r="A187" s="290" t="n"/>
      <c r="B187" s="290" t="n"/>
      <c r="C187" s="290" t="n"/>
      <c r="D187" s="290" t="n"/>
      <c r="E187" s="290" t="n"/>
      <c r="F187" s="290" t="n"/>
      <c r="G187" s="220">
        <f>SUM(C187)-SUM(D187)</f>
        <v/>
      </c>
      <c r="H187" s="220">
        <f>SUM(E187)-SUM(F187)</f>
        <v/>
      </c>
      <c r="I187" s="221">
        <f>IF(A187="Total",VLOOKUP(B187,CORRESPONDANCE[#All],2,FALSE),I188)</f>
        <v/>
      </c>
      <c r="J187" s="350">
        <f>LEFT(A187,1)</f>
        <v/>
      </c>
      <c r="K187" s="347">
        <f>"VR7"&amp;" - "&amp;A187</f>
        <v/>
      </c>
      <c r="L187" s="347">
        <f>+VLOOKUP(K187,TL[],4,FALSE)</f>
        <v/>
      </c>
    </row>
    <row r="188" ht="15" customHeight="1" s="161">
      <c r="A188" s="290" t="n"/>
      <c r="B188" s="290" t="n"/>
      <c r="C188" s="290" t="n"/>
      <c r="D188" s="290" t="n"/>
      <c r="E188" s="290" t="n"/>
      <c r="F188" s="290" t="n"/>
      <c r="G188" s="220">
        <f>SUM(C188)-SUM(D188)</f>
        <v/>
      </c>
      <c r="H188" s="220">
        <f>SUM(E188)-SUM(F188)</f>
        <v/>
      </c>
      <c r="I188" s="221">
        <f>IF(A188="Total",VLOOKUP(B188,CORRESPONDANCE[#All],2,FALSE),I189)</f>
        <v/>
      </c>
      <c r="J188" s="350">
        <f>LEFT(A188,1)</f>
        <v/>
      </c>
      <c r="K188" s="347">
        <f>"VR7"&amp;" - "&amp;A188</f>
        <v/>
      </c>
      <c r="L188" s="347">
        <f>+VLOOKUP(K188,TL[],4,FALSE)</f>
        <v/>
      </c>
    </row>
    <row r="189" ht="15" customHeight="1" s="161">
      <c r="A189" s="290" t="n"/>
      <c r="B189" s="290" t="n"/>
      <c r="C189" s="290" t="n"/>
      <c r="D189" s="290" t="n"/>
      <c r="E189" s="290" t="n"/>
      <c r="F189" s="290" t="n"/>
      <c r="G189" s="220">
        <f>SUM(C189)-SUM(D189)</f>
        <v/>
      </c>
      <c r="H189" s="220">
        <f>SUM(E189)-SUM(F189)</f>
        <v/>
      </c>
      <c r="I189" s="221">
        <f>IF(A189="Total",VLOOKUP(B189,CORRESPONDANCE[#All],2,FALSE),I190)</f>
        <v/>
      </c>
      <c r="J189" s="350">
        <f>LEFT(A189,1)</f>
        <v/>
      </c>
      <c r="K189" s="347">
        <f>"VR7"&amp;" - "&amp;A189</f>
        <v/>
      </c>
      <c r="L189" s="347">
        <f>+VLOOKUP(K189,TL[],4,FALSE)</f>
        <v/>
      </c>
    </row>
    <row r="190" ht="15" customHeight="1" s="161">
      <c r="A190" s="290" t="n"/>
      <c r="B190" s="290" t="n"/>
      <c r="C190" s="290" t="n"/>
      <c r="D190" s="290" t="n"/>
      <c r="E190" s="290" t="n"/>
      <c r="F190" s="290" t="n"/>
      <c r="G190" s="220">
        <f>SUM(C190)-SUM(D190)</f>
        <v/>
      </c>
      <c r="H190" s="220">
        <f>SUM(E190)-SUM(F190)</f>
        <v/>
      </c>
      <c r="I190" s="221">
        <f>IF(A190="Total",VLOOKUP(B190,CORRESPONDANCE[#All],2,FALSE),I191)</f>
        <v/>
      </c>
      <c r="J190" s="350">
        <f>LEFT(A190,1)</f>
        <v/>
      </c>
      <c r="K190" s="347">
        <f>"VR7"&amp;" - "&amp;A190</f>
        <v/>
      </c>
      <c r="L190" s="347">
        <f>+VLOOKUP(K190,TL[],4,FALSE)</f>
        <v/>
      </c>
    </row>
    <row r="191" ht="15" customHeight="1" s="161">
      <c r="A191" s="290" t="n"/>
      <c r="B191" s="290" t="n"/>
      <c r="C191" s="290" t="n"/>
      <c r="D191" s="290" t="n"/>
      <c r="E191" s="290" t="n"/>
      <c r="F191" s="290" t="n"/>
      <c r="G191" s="220">
        <f>SUM(C191)-SUM(D191)</f>
        <v/>
      </c>
      <c r="H191" s="220">
        <f>SUM(E191)-SUM(F191)</f>
        <v/>
      </c>
      <c r="I191" s="221">
        <f>IF(A191="Total",VLOOKUP(B191,CORRESPONDANCE[#All],2,FALSE),I192)</f>
        <v/>
      </c>
      <c r="J191" s="350">
        <f>LEFT(A191,1)</f>
        <v/>
      </c>
      <c r="K191" s="347">
        <f>"VR7"&amp;" - "&amp;A191</f>
        <v/>
      </c>
      <c r="L191" s="347">
        <f>+VLOOKUP(K191,TL[],4,FALSE)</f>
        <v/>
      </c>
    </row>
    <row r="192" ht="15" customHeight="1" s="161">
      <c r="A192" s="290" t="n"/>
      <c r="B192" s="290" t="n"/>
      <c r="C192" s="290" t="n"/>
      <c r="D192" s="290" t="n"/>
      <c r="E192" s="290" t="n"/>
      <c r="F192" s="290" t="n"/>
      <c r="G192" s="220">
        <f>SUM(C192)-SUM(D192)</f>
        <v/>
      </c>
      <c r="H192" s="220">
        <f>SUM(E192)-SUM(F192)</f>
        <v/>
      </c>
      <c r="I192" s="221">
        <f>IF(A192="Total",VLOOKUP(B192,CORRESPONDANCE[#All],2,FALSE),I193)</f>
        <v/>
      </c>
      <c r="J192" s="350">
        <f>LEFT(A192,1)</f>
        <v/>
      </c>
      <c r="K192" s="347">
        <f>"VR7"&amp;" - "&amp;A192</f>
        <v/>
      </c>
      <c r="L192" s="347">
        <f>+VLOOKUP(K192,TL[],4,FALSE)</f>
        <v/>
      </c>
    </row>
    <row r="193" ht="15" customHeight="1" s="161">
      <c r="A193" s="290" t="n"/>
      <c r="B193" s="290" t="n"/>
      <c r="C193" s="290" t="n"/>
      <c r="D193" s="290" t="n"/>
      <c r="E193" s="290" t="n"/>
      <c r="F193" s="290" t="n"/>
      <c r="G193" s="220">
        <f>SUM(C193)-SUM(D193)</f>
        <v/>
      </c>
      <c r="H193" s="220">
        <f>SUM(E193)-SUM(F193)</f>
        <v/>
      </c>
      <c r="I193" s="221">
        <f>IF(A193="Total",VLOOKUP(B193,CORRESPONDANCE[#All],2,FALSE),I194)</f>
        <v/>
      </c>
      <c r="J193" s="350">
        <f>LEFT(A193,1)</f>
        <v/>
      </c>
      <c r="K193" s="347">
        <f>"VR7"&amp;" - "&amp;A193</f>
        <v/>
      </c>
      <c r="L193" s="347">
        <f>+VLOOKUP(K193,TL[],4,FALSE)</f>
        <v/>
      </c>
    </row>
    <row r="194" ht="15" customHeight="1" s="161">
      <c r="A194" s="290" t="n"/>
      <c r="B194" s="290" t="n"/>
      <c r="C194" s="290" t="n"/>
      <c r="D194" s="290" t="n"/>
      <c r="E194" s="290" t="n"/>
      <c r="F194" s="290" t="n"/>
      <c r="G194" s="220">
        <f>SUM(C194)-SUM(D194)</f>
        <v/>
      </c>
      <c r="H194" s="220">
        <f>SUM(E194)-SUM(F194)</f>
        <v/>
      </c>
      <c r="I194" s="221">
        <f>IF(A194="Total",VLOOKUP(B194,CORRESPONDANCE[#All],2,FALSE),I195)</f>
        <v/>
      </c>
      <c r="J194" s="350">
        <f>LEFT(A194,1)</f>
        <v/>
      </c>
      <c r="K194" s="347">
        <f>"VR7"&amp;" - "&amp;A194</f>
        <v/>
      </c>
      <c r="L194" s="347">
        <f>+VLOOKUP(K194,TL[],4,FALSE)</f>
        <v/>
      </c>
    </row>
    <row r="195" ht="15" customHeight="1" s="161">
      <c r="A195" s="290" t="n"/>
      <c r="B195" s="290" t="n"/>
      <c r="C195" s="290" t="n"/>
      <c r="D195" s="290" t="n"/>
      <c r="E195" s="290" t="n"/>
      <c r="F195" s="290" t="n"/>
      <c r="G195" s="220">
        <f>SUM(C195)-SUM(D195)</f>
        <v/>
      </c>
      <c r="H195" s="220">
        <f>SUM(E195)-SUM(F195)</f>
        <v/>
      </c>
      <c r="I195" s="221">
        <f>IF(A195="Total",VLOOKUP(B195,CORRESPONDANCE[#All],2,FALSE),I196)</f>
        <v/>
      </c>
      <c r="J195" s="350">
        <f>LEFT(A195,1)</f>
        <v/>
      </c>
      <c r="K195" s="347">
        <f>"VR7"&amp;" - "&amp;A195</f>
        <v/>
      </c>
      <c r="L195" s="347">
        <f>+VLOOKUP(K195,TL[],4,FALSE)</f>
        <v/>
      </c>
    </row>
    <row r="196" ht="15" customHeight="1" s="161">
      <c r="A196" s="290" t="n"/>
      <c r="B196" s="290" t="n"/>
      <c r="C196" s="290" t="n"/>
      <c r="D196" s="290" t="n"/>
      <c r="E196" s="290" t="n"/>
      <c r="F196" s="290" t="n"/>
      <c r="G196" s="220">
        <f>SUM(C196)-SUM(D196)</f>
        <v/>
      </c>
      <c r="H196" s="220">
        <f>SUM(E196)-SUM(F196)</f>
        <v/>
      </c>
      <c r="I196" s="221">
        <f>IF(A196="Total",VLOOKUP(B196,CORRESPONDANCE[#All],2,FALSE),I197)</f>
        <v/>
      </c>
      <c r="J196" s="350">
        <f>LEFT(A196,1)</f>
        <v/>
      </c>
      <c r="K196" s="347">
        <f>"VR7"&amp;" - "&amp;A196</f>
        <v/>
      </c>
      <c r="L196" s="347">
        <f>+VLOOKUP(K196,TL[],4,FALSE)</f>
        <v/>
      </c>
    </row>
    <row r="197" ht="15" customHeight="1" s="161">
      <c r="A197" s="290" t="n"/>
      <c r="B197" s="290" t="n"/>
      <c r="C197" s="290" t="n"/>
      <c r="D197" s="290" t="n"/>
      <c r="E197" s="290" t="n"/>
      <c r="F197" s="290" t="n"/>
      <c r="G197" s="220">
        <f>SUM(C197)-SUM(D197)</f>
        <v/>
      </c>
      <c r="H197" s="220">
        <f>SUM(E197)-SUM(F197)</f>
        <v/>
      </c>
      <c r="I197" s="221">
        <f>IF(A197="Total",VLOOKUP(B197,CORRESPONDANCE[#All],2,FALSE),I198)</f>
        <v/>
      </c>
      <c r="J197" s="350">
        <f>LEFT(A197,1)</f>
        <v/>
      </c>
      <c r="K197" s="347">
        <f>"VR7"&amp;" - "&amp;A197</f>
        <v/>
      </c>
      <c r="L197" s="347">
        <f>+VLOOKUP(K197,TL[],4,FALSE)</f>
        <v/>
      </c>
    </row>
    <row r="198" ht="15" customHeight="1" s="161">
      <c r="A198" s="290" t="n"/>
      <c r="B198" s="290" t="n"/>
      <c r="C198" s="290" t="n"/>
      <c r="D198" s="290" t="n"/>
      <c r="E198" s="290" t="n"/>
      <c r="F198" s="290" t="n"/>
      <c r="G198" s="220">
        <f>SUM(C198)-SUM(D198)</f>
        <v/>
      </c>
      <c r="H198" s="220">
        <f>SUM(E198)-SUM(F198)</f>
        <v/>
      </c>
      <c r="I198" s="221">
        <f>IF(A198="Total",VLOOKUP(B198,CORRESPONDANCE[#All],2,FALSE),I199)</f>
        <v/>
      </c>
      <c r="J198" s="350">
        <f>LEFT(A198,1)</f>
        <v/>
      </c>
      <c r="K198" s="347">
        <f>"VR7"&amp;" - "&amp;A198</f>
        <v/>
      </c>
      <c r="L198" s="347">
        <f>+VLOOKUP(K198,TL[],4,FALSE)</f>
        <v/>
      </c>
    </row>
    <row r="199" ht="15" customHeight="1" s="161">
      <c r="A199" s="290" t="n"/>
      <c r="B199" s="290" t="n"/>
      <c r="C199" s="290" t="n"/>
      <c r="D199" s="290" t="n"/>
      <c r="E199" s="290" t="n"/>
      <c r="F199" s="290" t="n"/>
      <c r="G199" s="220">
        <f>SUM(C199)-SUM(D199)</f>
        <v/>
      </c>
      <c r="H199" s="220">
        <f>SUM(E199)-SUM(F199)</f>
        <v/>
      </c>
      <c r="I199" s="221">
        <f>IF(A199="Total",VLOOKUP(B199,CORRESPONDANCE[#All],2,FALSE),I200)</f>
        <v/>
      </c>
      <c r="J199" s="350">
        <f>LEFT(A199,1)</f>
        <v/>
      </c>
      <c r="K199" s="347">
        <f>"VR7"&amp;" - "&amp;A199</f>
        <v/>
      </c>
      <c r="L199" s="347">
        <f>+VLOOKUP(K199,TL[],4,FALSE)</f>
        <v/>
      </c>
    </row>
    <row r="200" ht="15" customHeight="1" s="161">
      <c r="A200" s="290" t="n"/>
      <c r="B200" s="290" t="n"/>
      <c r="C200" s="290" t="n"/>
      <c r="D200" s="290" t="n"/>
      <c r="E200" s="290" t="n"/>
      <c r="F200" s="290" t="n"/>
      <c r="G200" s="220">
        <f>SUM(C200)-SUM(D200)</f>
        <v/>
      </c>
      <c r="H200" s="220">
        <f>SUM(E200)-SUM(F200)</f>
        <v/>
      </c>
      <c r="I200" s="221">
        <f>IF(A200="Total",VLOOKUP(B200,CORRESPONDANCE[#All],2,FALSE),I201)</f>
        <v/>
      </c>
      <c r="J200" s="350">
        <f>LEFT(A200,1)</f>
        <v/>
      </c>
      <c r="K200" s="347">
        <f>"VR7"&amp;" - "&amp;A200</f>
        <v/>
      </c>
      <c r="L200" s="347">
        <f>+VLOOKUP(K200,TL[],4,FALSE)</f>
        <v/>
      </c>
    </row>
    <row r="201" ht="15" customHeight="1" s="161">
      <c r="A201" s="290" t="n"/>
      <c r="B201" s="290" t="n"/>
      <c r="C201" s="290" t="n"/>
      <c r="D201" s="290" t="n"/>
      <c r="E201" s="290" t="n"/>
      <c r="F201" s="290" t="n"/>
      <c r="G201" s="220">
        <f>SUM(C201)-SUM(D201)</f>
        <v/>
      </c>
      <c r="H201" s="220">
        <f>SUM(E201)-SUM(F201)</f>
        <v/>
      </c>
      <c r="I201" s="221">
        <f>IF(A201="Total",VLOOKUP(B201,CORRESPONDANCE[#All],2,FALSE),I202)</f>
        <v/>
      </c>
      <c r="J201" s="350">
        <f>LEFT(A201,1)</f>
        <v/>
      </c>
      <c r="K201" s="347">
        <f>"VR7"&amp;" - "&amp;A201</f>
        <v/>
      </c>
      <c r="L201" s="347">
        <f>+VLOOKUP(K201,TL[],4,FALSE)</f>
        <v/>
      </c>
    </row>
    <row r="202" ht="15" customHeight="1" s="161">
      <c r="A202" s="290" t="n"/>
      <c r="B202" s="290" t="n"/>
      <c r="C202" s="290" t="n"/>
      <c r="D202" s="290" t="n"/>
      <c r="E202" s="290" t="n"/>
      <c r="F202" s="290" t="n"/>
      <c r="G202" s="220">
        <f>SUM(C202)-SUM(D202)</f>
        <v/>
      </c>
      <c r="H202" s="220">
        <f>SUM(E202)-SUM(F202)</f>
        <v/>
      </c>
      <c r="I202" s="221">
        <f>IF(A202="Total",VLOOKUP(B202,CORRESPONDANCE[#All],2,FALSE),I203)</f>
        <v/>
      </c>
      <c r="J202" s="350">
        <f>LEFT(A202,1)</f>
        <v/>
      </c>
      <c r="K202" s="347">
        <f>"VR7"&amp;" - "&amp;A202</f>
        <v/>
      </c>
      <c r="L202" s="347">
        <f>+VLOOKUP(K202,TL[],4,FALSE)</f>
        <v/>
      </c>
    </row>
    <row r="203" ht="15" customHeight="1" s="161">
      <c r="A203" s="290" t="n"/>
      <c r="B203" s="290" t="n"/>
      <c r="C203" s="290" t="n"/>
      <c r="D203" s="290" t="n"/>
      <c r="E203" s="290" t="n"/>
      <c r="F203" s="290" t="n"/>
      <c r="G203" s="220">
        <f>SUM(C203)-SUM(D203)</f>
        <v/>
      </c>
      <c r="H203" s="220">
        <f>SUM(E203)-SUM(F203)</f>
        <v/>
      </c>
      <c r="I203" s="221">
        <f>IF(A203="Total",VLOOKUP(B203,CORRESPONDANCE[#All],2,FALSE),I204)</f>
        <v/>
      </c>
      <c r="J203" s="350">
        <f>LEFT(A203,1)</f>
        <v/>
      </c>
      <c r="K203" s="347">
        <f>"VR7"&amp;" - "&amp;A203</f>
        <v/>
      </c>
      <c r="L203" s="347">
        <f>+VLOOKUP(K203,TL[],4,FALSE)</f>
        <v/>
      </c>
    </row>
    <row r="204" ht="15" customHeight="1" s="161">
      <c r="A204" s="290" t="n"/>
      <c r="B204" s="290" t="n"/>
      <c r="C204" s="290" t="n"/>
      <c r="D204" s="290" t="n"/>
      <c r="E204" s="290" t="n"/>
      <c r="F204" s="290" t="n"/>
      <c r="G204" s="220">
        <f>SUM(C204)-SUM(D204)</f>
        <v/>
      </c>
      <c r="H204" s="220">
        <f>SUM(E204)-SUM(F204)</f>
        <v/>
      </c>
      <c r="I204" s="221">
        <f>IF(A204="Total",VLOOKUP(B204,CORRESPONDANCE[#All],2,FALSE),I205)</f>
        <v/>
      </c>
      <c r="J204" s="350">
        <f>LEFT(A204,1)</f>
        <v/>
      </c>
      <c r="K204" s="347">
        <f>"VR7"&amp;" - "&amp;A204</f>
        <v/>
      </c>
      <c r="L204" s="347">
        <f>+VLOOKUP(K204,TL[],4,FALSE)</f>
        <v/>
      </c>
    </row>
    <row r="205" ht="15" customHeight="1" s="161">
      <c r="A205" s="290" t="n"/>
      <c r="B205" s="290" t="n"/>
      <c r="C205" s="290" t="n"/>
      <c r="D205" s="290" t="n"/>
      <c r="E205" s="290" t="n"/>
      <c r="F205" s="290" t="n"/>
      <c r="G205" s="220">
        <f>SUM(C205)-SUM(D205)</f>
        <v/>
      </c>
      <c r="H205" s="220">
        <f>SUM(E205)-SUM(F205)</f>
        <v/>
      </c>
      <c r="I205" s="221">
        <f>IF(A205="Total",VLOOKUP(B205,CORRESPONDANCE[#All],2,FALSE),I206)</f>
        <v/>
      </c>
      <c r="J205" s="350">
        <f>LEFT(A205,1)</f>
        <v/>
      </c>
      <c r="K205" s="347">
        <f>"VR7"&amp;" - "&amp;A205</f>
        <v/>
      </c>
      <c r="L205" s="347">
        <f>+VLOOKUP(K205,TL[],4,FALSE)</f>
        <v/>
      </c>
    </row>
    <row r="206" ht="15" customHeight="1" s="161">
      <c r="A206" s="290" t="n"/>
      <c r="B206" s="290" t="n"/>
      <c r="C206" s="290" t="n"/>
      <c r="D206" s="290" t="n"/>
      <c r="E206" s="290" t="n"/>
      <c r="F206" s="290" t="n"/>
      <c r="G206" s="220">
        <f>SUM(C206)-SUM(D206)</f>
        <v/>
      </c>
      <c r="H206" s="220">
        <f>SUM(E206)-SUM(F206)</f>
        <v/>
      </c>
      <c r="I206" s="221">
        <f>IF(A206="Total",VLOOKUP(B206,CORRESPONDANCE[#All],2,FALSE),I207)</f>
        <v/>
      </c>
      <c r="J206" s="350">
        <f>LEFT(A206,1)</f>
        <v/>
      </c>
      <c r="K206" s="347">
        <f>"VR7"&amp;" - "&amp;A206</f>
        <v/>
      </c>
      <c r="L206" s="347">
        <f>+VLOOKUP(K206,TL[],4,FALSE)</f>
        <v/>
      </c>
    </row>
    <row r="207" ht="15" customHeight="1" s="161">
      <c r="A207" s="290" t="n"/>
      <c r="B207" s="290" t="n"/>
      <c r="C207" s="290" t="n"/>
      <c r="D207" s="290" t="n"/>
      <c r="E207" s="290" t="n"/>
      <c r="F207" s="290" t="n"/>
      <c r="G207" s="220">
        <f>SUM(C207)-SUM(D207)</f>
        <v/>
      </c>
      <c r="H207" s="220">
        <f>SUM(E207)-SUM(F207)</f>
        <v/>
      </c>
      <c r="I207" s="221">
        <f>IF(A207="Total",VLOOKUP(B207,CORRESPONDANCE[#All],2,FALSE),I208)</f>
        <v/>
      </c>
      <c r="J207" s="350">
        <f>LEFT(A207,1)</f>
        <v/>
      </c>
      <c r="K207" s="347">
        <f>"VR7"&amp;" - "&amp;A207</f>
        <v/>
      </c>
      <c r="L207" s="347">
        <f>+VLOOKUP(K207,TL[],4,FALSE)</f>
        <v/>
      </c>
    </row>
    <row r="208" ht="15" customHeight="1" s="161">
      <c r="A208" s="290" t="n"/>
      <c r="B208" s="290" t="n"/>
      <c r="C208" s="290" t="n"/>
      <c r="D208" s="290" t="n"/>
      <c r="E208" s="290" t="n"/>
      <c r="F208" s="290" t="n"/>
      <c r="G208" s="220">
        <f>SUM(C208)-SUM(D208)</f>
        <v/>
      </c>
      <c r="H208" s="220">
        <f>SUM(E208)-SUM(F208)</f>
        <v/>
      </c>
      <c r="I208" s="221">
        <f>IF(A208="Total",VLOOKUP(B208,CORRESPONDANCE[#All],2,FALSE),I209)</f>
        <v/>
      </c>
      <c r="J208" s="350">
        <f>LEFT(A208,1)</f>
        <v/>
      </c>
      <c r="K208" s="347">
        <f>"VR7"&amp;" - "&amp;A208</f>
        <v/>
      </c>
      <c r="L208" s="347">
        <f>+VLOOKUP(K208,TL[],4,FALSE)</f>
        <v/>
      </c>
    </row>
    <row r="209" ht="15" customHeight="1" s="161">
      <c r="A209" s="290" t="n"/>
      <c r="B209" s="290" t="n"/>
      <c r="C209" s="290" t="n"/>
      <c r="D209" s="290" t="n"/>
      <c r="E209" s="290" t="n"/>
      <c r="F209" s="290" t="n"/>
      <c r="G209" s="220">
        <f>SUM(C209)-SUM(D209)</f>
        <v/>
      </c>
      <c r="H209" s="220">
        <f>SUM(E209)-SUM(F209)</f>
        <v/>
      </c>
      <c r="I209" s="221">
        <f>IF(A209="Total",VLOOKUP(B209,CORRESPONDANCE[#All],2,FALSE),I210)</f>
        <v/>
      </c>
      <c r="J209" s="350">
        <f>LEFT(A209,1)</f>
        <v/>
      </c>
      <c r="K209" s="347">
        <f>"VR7"&amp;" - "&amp;A209</f>
        <v/>
      </c>
      <c r="L209" s="347">
        <f>+VLOOKUP(K209,TL[],4,FALSE)</f>
        <v/>
      </c>
    </row>
    <row r="210" ht="15" customHeight="1" s="161">
      <c r="A210" s="290" t="n"/>
      <c r="B210" s="290" t="n"/>
      <c r="C210" s="290" t="n"/>
      <c r="D210" s="290" t="n"/>
      <c r="E210" s="290" t="n"/>
      <c r="F210" s="290" t="n"/>
      <c r="G210" s="220">
        <f>SUM(C210)-SUM(D210)</f>
        <v/>
      </c>
      <c r="H210" s="220">
        <f>SUM(E210)-SUM(F210)</f>
        <v/>
      </c>
      <c r="I210" s="221">
        <f>IF(A210="Total",VLOOKUP(B210,CORRESPONDANCE[#All],2,FALSE),I211)</f>
        <v/>
      </c>
      <c r="J210" s="350">
        <f>LEFT(A210,1)</f>
        <v/>
      </c>
      <c r="K210" s="347">
        <f>"VR7"&amp;" - "&amp;A210</f>
        <v/>
      </c>
      <c r="L210" s="347">
        <f>+VLOOKUP(K210,TL[],4,FALSE)</f>
        <v/>
      </c>
    </row>
    <row r="211" ht="15" customHeight="1" s="161">
      <c r="A211" s="290" t="n"/>
      <c r="B211" s="290" t="n"/>
      <c r="C211" s="290" t="n"/>
      <c r="D211" s="290" t="n"/>
      <c r="E211" s="290" t="n"/>
      <c r="F211" s="290" t="n"/>
      <c r="G211" s="220">
        <f>SUM(C211)-SUM(D211)</f>
        <v/>
      </c>
      <c r="H211" s="220">
        <f>SUM(E211)-SUM(F211)</f>
        <v/>
      </c>
      <c r="I211" s="221">
        <f>IF(A211="Total",VLOOKUP(B211,CORRESPONDANCE[#All],2,FALSE),I212)</f>
        <v/>
      </c>
      <c r="J211" s="350">
        <f>LEFT(A211,1)</f>
        <v/>
      </c>
      <c r="K211" s="347">
        <f>"VR7"&amp;" - "&amp;A211</f>
        <v/>
      </c>
      <c r="L211" s="347">
        <f>+VLOOKUP(K211,TL[],4,FALSE)</f>
        <v/>
      </c>
    </row>
    <row r="212" ht="15" customHeight="1" s="161">
      <c r="A212" s="290" t="n"/>
      <c r="B212" s="290" t="n"/>
      <c r="C212" s="290" t="n"/>
      <c r="D212" s="290" t="n"/>
      <c r="E212" s="290" t="n"/>
      <c r="F212" s="290" t="n"/>
      <c r="G212" s="220">
        <f>SUM(C212)-SUM(D212)</f>
        <v/>
      </c>
      <c r="H212" s="220">
        <f>SUM(E212)-SUM(F212)</f>
        <v/>
      </c>
      <c r="I212" s="221">
        <f>IF(A212="Total",VLOOKUP(B212,CORRESPONDANCE[#All],2,FALSE),I213)</f>
        <v/>
      </c>
      <c r="J212" s="350">
        <f>LEFT(A212,1)</f>
        <v/>
      </c>
      <c r="K212" s="347">
        <f>"VR7"&amp;" - "&amp;A212</f>
        <v/>
      </c>
      <c r="L212" s="347">
        <f>+VLOOKUP(K212,TL[],4,FALSE)</f>
        <v/>
      </c>
    </row>
    <row r="213" ht="15" customHeight="1" s="161">
      <c r="A213" s="290" t="n"/>
      <c r="B213" s="290" t="n"/>
      <c r="C213" s="290" t="n"/>
      <c r="D213" s="290" t="n"/>
      <c r="E213" s="290" t="n"/>
      <c r="F213" s="290" t="n"/>
      <c r="G213" s="220">
        <f>SUM(C213)-SUM(D213)</f>
        <v/>
      </c>
      <c r="H213" s="220">
        <f>SUM(E213)-SUM(F213)</f>
        <v/>
      </c>
      <c r="I213" s="221">
        <f>IF(A213="Total",VLOOKUP(B213,CORRESPONDANCE[#All],2,FALSE),I214)</f>
        <v/>
      </c>
      <c r="J213" s="350">
        <f>LEFT(A213,1)</f>
        <v/>
      </c>
      <c r="K213" s="347">
        <f>"VR7"&amp;" - "&amp;A213</f>
        <v/>
      </c>
      <c r="L213" s="347">
        <f>+VLOOKUP(K213,TL[],4,FALSE)</f>
        <v/>
      </c>
    </row>
    <row r="214" ht="15" customHeight="1" s="161">
      <c r="A214" s="290" t="n"/>
      <c r="B214" s="290" t="n"/>
      <c r="C214" s="290" t="n"/>
      <c r="D214" s="290" t="n"/>
      <c r="E214" s="290" t="n"/>
      <c r="F214" s="290" t="n"/>
      <c r="G214" s="220">
        <f>SUM(C214)-SUM(D214)</f>
        <v/>
      </c>
      <c r="H214" s="220">
        <f>SUM(E214)-SUM(F214)</f>
        <v/>
      </c>
      <c r="I214" s="221">
        <f>IF(A214="Total",VLOOKUP(B214,CORRESPONDANCE[#All],2,FALSE),I215)</f>
        <v/>
      </c>
      <c r="J214" s="350">
        <f>LEFT(A214,1)</f>
        <v/>
      </c>
      <c r="K214" s="347">
        <f>"VR7"&amp;" - "&amp;A214</f>
        <v/>
      </c>
      <c r="L214" s="347">
        <f>+VLOOKUP(K214,TL[],4,FALSE)</f>
        <v/>
      </c>
    </row>
    <row r="215" ht="15" customHeight="1" s="161">
      <c r="A215" s="290" t="n"/>
      <c r="B215" s="290" t="n"/>
      <c r="C215" s="290" t="n"/>
      <c r="D215" s="290" t="n"/>
      <c r="E215" s="290" t="n"/>
      <c r="F215" s="290" t="n"/>
      <c r="G215" s="220">
        <f>SUM(C215)-SUM(D215)</f>
        <v/>
      </c>
      <c r="H215" s="220">
        <f>SUM(E215)-SUM(F215)</f>
        <v/>
      </c>
      <c r="I215" s="221">
        <f>IF(A215="Total",VLOOKUP(B215,CORRESPONDANCE[#All],2,FALSE),I216)</f>
        <v/>
      </c>
      <c r="J215" s="350">
        <f>LEFT(A215,1)</f>
        <v/>
      </c>
      <c r="K215" s="347">
        <f>"VR7"&amp;" - "&amp;A215</f>
        <v/>
      </c>
      <c r="L215" s="347">
        <f>+VLOOKUP(K215,TL[],4,FALSE)</f>
        <v/>
      </c>
    </row>
    <row r="216" ht="15" customHeight="1" s="161">
      <c r="A216" s="290" t="n"/>
      <c r="B216" s="290" t="n"/>
      <c r="C216" s="290" t="n"/>
      <c r="D216" s="290" t="n"/>
      <c r="E216" s="290" t="n"/>
      <c r="F216" s="290" t="n"/>
      <c r="G216" s="220">
        <f>SUM(C216)-SUM(D216)</f>
        <v/>
      </c>
      <c r="H216" s="220">
        <f>SUM(E216)-SUM(F216)</f>
        <v/>
      </c>
      <c r="I216" s="221">
        <f>IF(A216="Total",VLOOKUP(B216,CORRESPONDANCE[#All],2,FALSE),I217)</f>
        <v/>
      </c>
      <c r="J216" s="350">
        <f>LEFT(A216,1)</f>
        <v/>
      </c>
      <c r="K216" s="347">
        <f>"VR7"&amp;" - "&amp;A216</f>
        <v/>
      </c>
      <c r="L216" s="347">
        <f>+VLOOKUP(K216,TL[],4,FALSE)</f>
        <v/>
      </c>
    </row>
    <row r="217" ht="15" customHeight="1" s="161">
      <c r="A217" s="290" t="n"/>
      <c r="B217" s="290" t="n"/>
      <c r="C217" s="290" t="n"/>
      <c r="D217" s="290" t="n"/>
      <c r="E217" s="290" t="n"/>
      <c r="F217" s="290" t="n"/>
      <c r="G217" s="220">
        <f>SUM(C217)-SUM(D217)</f>
        <v/>
      </c>
      <c r="H217" s="220">
        <f>SUM(E217)-SUM(F217)</f>
        <v/>
      </c>
      <c r="I217" s="221">
        <f>IF(A217="Total",VLOOKUP(B217,CORRESPONDANCE[#All],2,FALSE),I218)</f>
        <v/>
      </c>
      <c r="J217" s="350">
        <f>LEFT(A217,1)</f>
        <v/>
      </c>
      <c r="K217" s="347">
        <f>"VR7"&amp;" - "&amp;A217</f>
        <v/>
      </c>
      <c r="L217" s="347">
        <f>+VLOOKUP(K217,TL[],4,FALSE)</f>
        <v/>
      </c>
    </row>
    <row r="218" ht="15" customHeight="1" s="161">
      <c r="A218" s="290" t="n"/>
      <c r="B218" s="290" t="n"/>
      <c r="C218" s="290" t="n"/>
      <c r="D218" s="290" t="n"/>
      <c r="E218" s="290" t="n"/>
      <c r="F218" s="290" t="n"/>
      <c r="G218" s="220">
        <f>SUM(C218)-SUM(D218)</f>
        <v/>
      </c>
      <c r="H218" s="220">
        <f>SUM(E218)-SUM(F218)</f>
        <v/>
      </c>
      <c r="I218" s="221">
        <f>IF(A218="Total",VLOOKUP(B218,CORRESPONDANCE[#All],2,FALSE),I219)</f>
        <v/>
      </c>
      <c r="J218" s="350">
        <f>LEFT(A218,1)</f>
        <v/>
      </c>
      <c r="K218" s="347">
        <f>"VR7"&amp;" - "&amp;A218</f>
        <v/>
      </c>
      <c r="L218" s="347">
        <f>+VLOOKUP(K218,TL[],4,FALSE)</f>
        <v/>
      </c>
    </row>
    <row r="219" ht="15" customHeight="1" s="161">
      <c r="A219" s="290" t="n"/>
      <c r="B219" s="290" t="n"/>
      <c r="C219" s="290" t="n"/>
      <c r="D219" s="290" t="n"/>
      <c r="E219" s="290" t="n"/>
      <c r="F219" s="290" t="n"/>
      <c r="G219" s="220">
        <f>SUM(C219)-SUM(D219)</f>
        <v/>
      </c>
      <c r="H219" s="220">
        <f>SUM(E219)-SUM(F219)</f>
        <v/>
      </c>
      <c r="I219" s="221">
        <f>IF(A219="Total",VLOOKUP(B219,CORRESPONDANCE[#All],2,FALSE),I220)</f>
        <v/>
      </c>
      <c r="J219" s="350">
        <f>LEFT(A219,1)</f>
        <v/>
      </c>
      <c r="K219" s="347">
        <f>"VR7"&amp;" - "&amp;A219</f>
        <v/>
      </c>
      <c r="L219" s="347">
        <f>+VLOOKUP(K219,TL[],4,FALSE)</f>
        <v/>
      </c>
    </row>
    <row r="220" ht="15" customHeight="1" s="161">
      <c r="A220" s="290" t="n"/>
      <c r="B220" s="290" t="n"/>
      <c r="C220" s="290" t="n"/>
      <c r="D220" s="290" t="n"/>
      <c r="E220" s="290" t="n"/>
      <c r="F220" s="290" t="n"/>
      <c r="G220" s="220">
        <f>SUM(C220)-SUM(D220)</f>
        <v/>
      </c>
      <c r="H220" s="220">
        <f>SUM(E220)-SUM(F220)</f>
        <v/>
      </c>
      <c r="I220" s="221">
        <f>IF(A220="Total",VLOOKUP(B220,CORRESPONDANCE[#All],2,FALSE),I221)</f>
        <v/>
      </c>
      <c r="J220" s="350">
        <f>LEFT(A220,1)</f>
        <v/>
      </c>
      <c r="K220" s="347">
        <f>"VR7"&amp;" - "&amp;A220</f>
        <v/>
      </c>
      <c r="L220" s="347">
        <f>+VLOOKUP(K220,TL[],4,FALSE)</f>
        <v/>
      </c>
    </row>
    <row r="221" ht="15" customHeight="1" s="161">
      <c r="A221" s="290" t="n"/>
      <c r="B221" s="290" t="n"/>
      <c r="C221" s="290" t="n"/>
      <c r="D221" s="290" t="n"/>
      <c r="E221" s="290" t="n"/>
      <c r="F221" s="290" t="n"/>
      <c r="G221" s="220">
        <f>SUM(C221)-SUM(D221)</f>
        <v/>
      </c>
      <c r="H221" s="220">
        <f>SUM(E221)-SUM(F221)</f>
        <v/>
      </c>
      <c r="I221" s="221">
        <f>IF(A221="Total",VLOOKUP(B221,CORRESPONDANCE[#All],2,FALSE),I222)</f>
        <v/>
      </c>
      <c r="J221" s="350">
        <f>LEFT(A221,1)</f>
        <v/>
      </c>
      <c r="K221" s="347">
        <f>"VR7"&amp;" - "&amp;A221</f>
        <v/>
      </c>
      <c r="L221" s="347">
        <f>+VLOOKUP(K221,TL[],4,FALSE)</f>
        <v/>
      </c>
    </row>
    <row r="222" ht="15" customHeight="1" s="161">
      <c r="A222" s="290" t="n"/>
      <c r="B222" s="290" t="n"/>
      <c r="C222" s="290" t="n"/>
      <c r="D222" s="290" t="n"/>
      <c r="E222" s="290" t="n"/>
      <c r="F222" s="290" t="n"/>
      <c r="G222" s="220">
        <f>SUM(C222)-SUM(D222)</f>
        <v/>
      </c>
      <c r="H222" s="220">
        <f>SUM(E222)-SUM(F222)</f>
        <v/>
      </c>
      <c r="I222" s="221">
        <f>IF(A222="Total",VLOOKUP(B222,CORRESPONDANCE[#All],2,FALSE),I223)</f>
        <v/>
      </c>
      <c r="J222" s="350">
        <f>LEFT(A222,1)</f>
        <v/>
      </c>
      <c r="K222" s="347">
        <f>"VR7"&amp;" - "&amp;A222</f>
        <v/>
      </c>
      <c r="L222" s="347">
        <f>+VLOOKUP(K222,TL[],4,FALSE)</f>
        <v/>
      </c>
    </row>
    <row r="223" ht="15" customHeight="1" s="161">
      <c r="A223" s="290" t="n"/>
      <c r="B223" s="290" t="n"/>
      <c r="C223" s="290" t="n"/>
      <c r="D223" s="290" t="n"/>
      <c r="E223" s="290" t="n"/>
      <c r="F223" s="290" t="n"/>
      <c r="G223" s="220">
        <f>SUM(C223)-SUM(D223)</f>
        <v/>
      </c>
      <c r="H223" s="220">
        <f>SUM(E223)-SUM(F223)</f>
        <v/>
      </c>
      <c r="I223" s="221">
        <f>IF(A223="Total",VLOOKUP(B223,CORRESPONDANCE[#All],2,FALSE),I224)</f>
        <v/>
      </c>
      <c r="J223" s="350">
        <f>LEFT(A223,1)</f>
        <v/>
      </c>
      <c r="K223" s="347">
        <f>"VR7"&amp;" - "&amp;A223</f>
        <v/>
      </c>
      <c r="L223" s="347">
        <f>+VLOOKUP(K223,TL[],4,FALSE)</f>
        <v/>
      </c>
    </row>
    <row r="224" ht="15" customHeight="1" s="161">
      <c r="A224" s="290" t="n"/>
      <c r="B224" s="290" t="n"/>
      <c r="C224" s="290" t="n"/>
      <c r="D224" s="290" t="n"/>
      <c r="E224" s="290" t="n"/>
      <c r="F224" s="290" t="n"/>
      <c r="G224" s="220">
        <f>SUM(C224)-SUM(D224)</f>
        <v/>
      </c>
      <c r="H224" s="220">
        <f>SUM(E224)-SUM(F224)</f>
        <v/>
      </c>
      <c r="I224" s="221">
        <f>IF(A224="Total",VLOOKUP(B224,CORRESPONDANCE[#All],2,FALSE),I225)</f>
        <v/>
      </c>
      <c r="J224" s="350">
        <f>LEFT(A224,1)</f>
        <v/>
      </c>
      <c r="K224" s="347">
        <f>"VR7"&amp;" - "&amp;A224</f>
        <v/>
      </c>
      <c r="L224" s="347">
        <f>+VLOOKUP(K224,TL[],4,FALSE)</f>
        <v/>
      </c>
    </row>
    <row r="225" ht="15" customHeight="1" s="161">
      <c r="A225" s="290" t="n"/>
      <c r="B225" s="290" t="n"/>
      <c r="C225" s="290" t="n"/>
      <c r="D225" s="290" t="n"/>
      <c r="E225" s="290" t="n"/>
      <c r="F225" s="290" t="n"/>
      <c r="G225" s="220">
        <f>SUM(C225)-SUM(D225)</f>
        <v/>
      </c>
      <c r="H225" s="220">
        <f>SUM(E225)-SUM(F225)</f>
        <v/>
      </c>
      <c r="I225" s="221">
        <f>IF(A225="Total",VLOOKUP(B225,CORRESPONDANCE[#All],2,FALSE),I226)</f>
        <v/>
      </c>
      <c r="J225" s="350">
        <f>LEFT(A225,1)</f>
        <v/>
      </c>
      <c r="K225" s="347">
        <f>"VR7"&amp;" - "&amp;A225</f>
        <v/>
      </c>
      <c r="L225" s="347">
        <f>+VLOOKUP(K225,TL[],4,FALSE)</f>
        <v/>
      </c>
    </row>
    <row r="226" ht="15" customHeight="1" s="161">
      <c r="A226" s="290" t="n"/>
      <c r="B226" s="290" t="n"/>
      <c r="C226" s="290" t="n"/>
      <c r="D226" s="290" t="n"/>
      <c r="E226" s="290" t="n"/>
      <c r="F226" s="290" t="n"/>
      <c r="G226" s="220">
        <f>SUM(C226)-SUM(D226)</f>
        <v/>
      </c>
      <c r="H226" s="220">
        <f>SUM(E226)-SUM(F226)</f>
        <v/>
      </c>
      <c r="I226" s="221">
        <f>IF(A226="Total",VLOOKUP(B226,CORRESPONDANCE[#All],2,FALSE),I227)</f>
        <v/>
      </c>
      <c r="J226" s="350">
        <f>LEFT(A226,1)</f>
        <v/>
      </c>
      <c r="K226" s="347">
        <f>"VR7"&amp;" - "&amp;A226</f>
        <v/>
      </c>
      <c r="L226" s="347">
        <f>+VLOOKUP(K226,TL[],4,FALSE)</f>
        <v/>
      </c>
    </row>
    <row r="227" ht="15" customHeight="1" s="161">
      <c r="A227" s="290" t="n"/>
      <c r="B227" s="290" t="n"/>
      <c r="C227" s="290" t="n"/>
      <c r="D227" s="290" t="n"/>
      <c r="E227" s="290" t="n"/>
      <c r="F227" s="290" t="n"/>
      <c r="G227" s="220">
        <f>SUM(C227)-SUM(D227)</f>
        <v/>
      </c>
      <c r="H227" s="220">
        <f>SUM(E227)-SUM(F227)</f>
        <v/>
      </c>
      <c r="I227" s="221">
        <f>IF(A227="Total",VLOOKUP(B227,CORRESPONDANCE[#All],2,FALSE),I228)</f>
        <v/>
      </c>
      <c r="J227" s="350">
        <f>LEFT(A227,1)</f>
        <v/>
      </c>
      <c r="K227" s="347">
        <f>"VR7"&amp;" - "&amp;A227</f>
        <v/>
      </c>
      <c r="L227" s="347">
        <f>+VLOOKUP(K227,TL[],4,FALSE)</f>
        <v/>
      </c>
    </row>
    <row r="228" ht="15" customHeight="1" s="161">
      <c r="A228" s="290" t="n"/>
      <c r="B228" s="290" t="n"/>
      <c r="C228" s="290" t="n"/>
      <c r="D228" s="290" t="n"/>
      <c r="E228" s="290" t="n"/>
      <c r="F228" s="290" t="n"/>
      <c r="G228" s="220">
        <f>SUM(C228)-SUM(D228)</f>
        <v/>
      </c>
      <c r="H228" s="220">
        <f>SUM(E228)-SUM(F228)</f>
        <v/>
      </c>
      <c r="I228" s="221">
        <f>IF(A228="Total",VLOOKUP(B228,CORRESPONDANCE[#All],2,FALSE),I229)</f>
        <v/>
      </c>
      <c r="J228" s="350">
        <f>LEFT(A228,1)</f>
        <v/>
      </c>
      <c r="K228" s="347">
        <f>"VR7"&amp;" - "&amp;A228</f>
        <v/>
      </c>
      <c r="L228" s="347">
        <f>+VLOOKUP(K228,TL[],4,FALSE)</f>
        <v/>
      </c>
    </row>
    <row r="229" ht="15" customHeight="1" s="161">
      <c r="A229" s="290" t="n"/>
      <c r="B229" s="290" t="n"/>
      <c r="C229" s="290" t="n"/>
      <c r="D229" s="290" t="n"/>
      <c r="E229" s="290" t="n"/>
      <c r="F229" s="290" t="n"/>
      <c r="G229" s="220">
        <f>SUM(C229)-SUM(D229)</f>
        <v/>
      </c>
      <c r="H229" s="220">
        <f>SUM(E229)-SUM(F229)</f>
        <v/>
      </c>
      <c r="I229" s="221">
        <f>IF(A229="Total",VLOOKUP(B229,CORRESPONDANCE[#All],2,FALSE),I230)</f>
        <v/>
      </c>
      <c r="J229" s="350">
        <f>LEFT(A229,1)</f>
        <v/>
      </c>
      <c r="K229" s="347">
        <f>"VR7"&amp;" - "&amp;A229</f>
        <v/>
      </c>
      <c r="L229" s="347">
        <f>+VLOOKUP(K229,TL[],4,FALSE)</f>
        <v/>
      </c>
    </row>
    <row r="230" ht="15" customHeight="1" s="161">
      <c r="A230" s="290" t="n"/>
      <c r="B230" s="290" t="n"/>
      <c r="C230" s="290" t="n"/>
      <c r="D230" s="290" t="n"/>
      <c r="E230" s="290" t="n"/>
      <c r="F230" s="290" t="n"/>
      <c r="G230" s="220">
        <f>SUM(C230)-SUM(D230)</f>
        <v/>
      </c>
      <c r="H230" s="220">
        <f>SUM(E230)-SUM(F230)</f>
        <v/>
      </c>
      <c r="I230" s="221">
        <f>IF(A230="Total",VLOOKUP(B230,CORRESPONDANCE[#All],2,FALSE),I231)</f>
        <v/>
      </c>
      <c r="J230" s="350">
        <f>LEFT(A230,1)</f>
        <v/>
      </c>
      <c r="K230" s="347">
        <f>"VR7"&amp;" - "&amp;A230</f>
        <v/>
      </c>
      <c r="L230" s="347">
        <f>+VLOOKUP(K230,TL[],4,FALSE)</f>
        <v/>
      </c>
    </row>
    <row r="231" ht="15" customHeight="1" s="161">
      <c r="A231" s="290" t="n"/>
      <c r="B231" s="290" t="n"/>
      <c r="C231" s="290" t="n"/>
      <c r="D231" s="290" t="n"/>
      <c r="E231" s="290" t="n"/>
      <c r="F231" s="290" t="n"/>
      <c r="G231" s="220">
        <f>SUM(C231)-SUM(D231)</f>
        <v/>
      </c>
      <c r="H231" s="220">
        <f>SUM(E231)-SUM(F231)</f>
        <v/>
      </c>
      <c r="I231" s="221">
        <f>IF(A231="Total",VLOOKUP(B231,CORRESPONDANCE[#All],2,FALSE),I232)</f>
        <v/>
      </c>
      <c r="J231" s="350">
        <f>LEFT(A231,1)</f>
        <v/>
      </c>
      <c r="K231" s="347">
        <f>"VR7"&amp;" - "&amp;A231</f>
        <v/>
      </c>
      <c r="L231" s="347">
        <f>+VLOOKUP(K231,TL[],4,FALSE)</f>
        <v/>
      </c>
    </row>
    <row r="232" ht="15" customHeight="1" s="161">
      <c r="A232" s="290" t="n"/>
      <c r="B232" s="290" t="n"/>
      <c r="C232" s="290" t="n"/>
      <c r="D232" s="290" t="n"/>
      <c r="E232" s="290" t="n"/>
      <c r="F232" s="290" t="n"/>
      <c r="G232" s="220">
        <f>SUM(C232)-SUM(D232)</f>
        <v/>
      </c>
      <c r="H232" s="220">
        <f>SUM(E232)-SUM(F232)</f>
        <v/>
      </c>
      <c r="I232" s="221">
        <f>IF(A232="Total",VLOOKUP(B232,CORRESPONDANCE[#All],2,FALSE),I233)</f>
        <v/>
      </c>
      <c r="J232" s="350">
        <f>LEFT(A232,1)</f>
        <v/>
      </c>
      <c r="K232" s="347">
        <f>"VR7"&amp;" - "&amp;A232</f>
        <v/>
      </c>
      <c r="L232" s="347">
        <f>+VLOOKUP(K232,TL[],4,FALSE)</f>
        <v/>
      </c>
    </row>
    <row r="233" ht="15" customHeight="1" s="161">
      <c r="A233" s="290" t="n"/>
      <c r="B233" s="290" t="n"/>
      <c r="C233" s="290" t="n"/>
      <c r="D233" s="290" t="n"/>
      <c r="E233" s="290" t="n"/>
      <c r="F233" s="290" t="n"/>
      <c r="G233" s="220">
        <f>SUM(C233)-SUM(D233)</f>
        <v/>
      </c>
      <c r="H233" s="220">
        <f>SUM(E233)-SUM(F233)</f>
        <v/>
      </c>
      <c r="I233" s="221">
        <f>IF(A233="Total",VLOOKUP(B233,CORRESPONDANCE[#All],2,FALSE),I234)</f>
        <v/>
      </c>
      <c r="J233" s="350">
        <f>LEFT(A233,1)</f>
        <v/>
      </c>
      <c r="K233" s="347">
        <f>"VR7"&amp;" - "&amp;A233</f>
        <v/>
      </c>
      <c r="L233" s="347">
        <f>+VLOOKUP(K233,TL[],4,FALSE)</f>
        <v/>
      </c>
    </row>
    <row r="234" ht="15" customHeight="1" s="161">
      <c r="A234" s="290" t="n"/>
      <c r="B234" s="290" t="n"/>
      <c r="C234" s="290" t="n"/>
      <c r="D234" s="290" t="n"/>
      <c r="E234" s="290" t="n"/>
      <c r="F234" s="290" t="n"/>
      <c r="G234" s="220">
        <f>SUM(C234)-SUM(D234)</f>
        <v/>
      </c>
      <c r="H234" s="220">
        <f>SUM(E234)-SUM(F234)</f>
        <v/>
      </c>
      <c r="I234" s="221">
        <f>IF(A234="Total",VLOOKUP(B234,CORRESPONDANCE[#All],2,FALSE),I235)</f>
        <v/>
      </c>
      <c r="J234" s="350">
        <f>LEFT(A234,1)</f>
        <v/>
      </c>
      <c r="K234" s="347">
        <f>"VR7"&amp;" - "&amp;A234</f>
        <v/>
      </c>
      <c r="L234" s="347">
        <f>+VLOOKUP(K234,TL[],4,FALSE)</f>
        <v/>
      </c>
    </row>
    <row r="235" ht="15" customHeight="1" s="161">
      <c r="A235" s="290" t="n"/>
      <c r="B235" s="290" t="n"/>
      <c r="C235" s="290" t="n"/>
      <c r="D235" s="290" t="n"/>
      <c r="E235" s="290" t="n"/>
      <c r="F235" s="290" t="n"/>
      <c r="G235" s="220">
        <f>SUM(C235)-SUM(D235)</f>
        <v/>
      </c>
      <c r="H235" s="220">
        <f>SUM(E235)-SUM(F235)</f>
        <v/>
      </c>
      <c r="I235" s="221">
        <f>IF(A235="Total",VLOOKUP(B235,CORRESPONDANCE[#All],2,FALSE),I236)</f>
        <v/>
      </c>
      <c r="J235" s="350">
        <f>LEFT(A235,1)</f>
        <v/>
      </c>
      <c r="K235" s="347">
        <f>"VR7"&amp;" - "&amp;A235</f>
        <v/>
      </c>
      <c r="L235" s="347">
        <f>+VLOOKUP(K235,TL[],4,FALSE)</f>
        <v/>
      </c>
    </row>
    <row r="236" ht="15" customHeight="1" s="161">
      <c r="A236" s="290" t="n"/>
      <c r="B236" s="290" t="n"/>
      <c r="C236" s="290" t="n"/>
      <c r="D236" s="290" t="n"/>
      <c r="E236" s="290" t="n"/>
      <c r="F236" s="290" t="n"/>
      <c r="G236" s="220">
        <f>SUM(C236)-SUM(D236)</f>
        <v/>
      </c>
      <c r="H236" s="220">
        <f>SUM(E236)-SUM(F236)</f>
        <v/>
      </c>
      <c r="I236" s="221">
        <f>IF(A236="Total",VLOOKUP(B236,CORRESPONDANCE[#All],2,FALSE),I237)</f>
        <v/>
      </c>
      <c r="J236" s="350">
        <f>LEFT(A236,1)</f>
        <v/>
      </c>
      <c r="K236" s="347">
        <f>"VR7"&amp;" - "&amp;A236</f>
        <v/>
      </c>
      <c r="L236" s="347">
        <f>+VLOOKUP(K236,TL[],4,FALSE)</f>
        <v/>
      </c>
    </row>
    <row r="237" ht="15" customHeight="1" s="161">
      <c r="A237" s="290" t="n"/>
      <c r="B237" s="290" t="n"/>
      <c r="C237" s="290" t="n"/>
      <c r="D237" s="290" t="n"/>
      <c r="E237" s="290" t="n"/>
      <c r="F237" s="290" t="n"/>
      <c r="G237" s="220">
        <f>SUM(C237)-SUM(D237)</f>
        <v/>
      </c>
      <c r="H237" s="220">
        <f>SUM(E237)-SUM(F237)</f>
        <v/>
      </c>
      <c r="I237" s="221">
        <f>IF(A237="Total",VLOOKUP(B237,CORRESPONDANCE[#All],2,FALSE),I238)</f>
        <v/>
      </c>
      <c r="J237" s="350">
        <f>LEFT(A237,1)</f>
        <v/>
      </c>
      <c r="K237" s="347">
        <f>"VR7"&amp;" - "&amp;A237</f>
        <v/>
      </c>
      <c r="L237" s="347">
        <f>+VLOOKUP(K237,TL[],4,FALSE)</f>
        <v/>
      </c>
    </row>
    <row r="238" ht="15" customHeight="1" s="161">
      <c r="A238" s="290" t="n"/>
      <c r="B238" s="290" t="n"/>
      <c r="C238" s="290" t="n"/>
      <c r="D238" s="290" t="n"/>
      <c r="E238" s="290" t="n"/>
      <c r="F238" s="290" t="n"/>
      <c r="G238" s="220">
        <f>SUM(C238)-SUM(D238)</f>
        <v/>
      </c>
      <c r="H238" s="220">
        <f>SUM(E238)-SUM(F238)</f>
        <v/>
      </c>
      <c r="I238" s="221">
        <f>IF(A238="Total",VLOOKUP(B238,CORRESPONDANCE[#All],2,FALSE),I239)</f>
        <v/>
      </c>
      <c r="J238" s="350">
        <f>LEFT(A238,1)</f>
        <v/>
      </c>
      <c r="K238" s="347">
        <f>"VR7"&amp;" - "&amp;A238</f>
        <v/>
      </c>
      <c r="L238" s="347">
        <f>+VLOOKUP(K238,TL[],4,FALSE)</f>
        <v/>
      </c>
    </row>
    <row r="239" ht="15" customHeight="1" s="161">
      <c r="A239" s="290" t="n"/>
      <c r="B239" s="290" t="n"/>
      <c r="C239" s="290" t="n"/>
      <c r="D239" s="290" t="n"/>
      <c r="E239" s="290" t="n"/>
      <c r="F239" s="290" t="n"/>
      <c r="G239" s="220">
        <f>SUM(C239)-SUM(D239)</f>
        <v/>
      </c>
      <c r="H239" s="220">
        <f>SUM(E239)-SUM(F239)</f>
        <v/>
      </c>
      <c r="I239" s="221">
        <f>IF(A239="Total",VLOOKUP(B239,CORRESPONDANCE[#All],2,FALSE),I240)</f>
        <v/>
      </c>
      <c r="J239" s="350">
        <f>LEFT(A239,1)</f>
        <v/>
      </c>
      <c r="K239" s="347">
        <f>"VR7"&amp;" - "&amp;A239</f>
        <v/>
      </c>
      <c r="L239" s="347">
        <f>+VLOOKUP(K239,TL[],4,FALSE)</f>
        <v/>
      </c>
    </row>
    <row r="240" ht="15" customHeight="1" s="161">
      <c r="A240" s="290" t="n"/>
      <c r="B240" s="290" t="n"/>
      <c r="C240" s="290" t="n"/>
      <c r="D240" s="290" t="n"/>
      <c r="E240" s="290" t="n"/>
      <c r="F240" s="290" t="n"/>
      <c r="G240" s="220">
        <f>SUM(C240)-SUM(D240)</f>
        <v/>
      </c>
      <c r="H240" s="220">
        <f>SUM(E240)-SUM(F240)</f>
        <v/>
      </c>
      <c r="I240" s="221">
        <f>IF(A240="Total",VLOOKUP(B240,CORRESPONDANCE[#All],2,FALSE),I241)</f>
        <v/>
      </c>
      <c r="J240" s="350">
        <f>LEFT(A240,1)</f>
        <v/>
      </c>
      <c r="K240" s="347">
        <f>"VR7"&amp;" - "&amp;A240</f>
        <v/>
      </c>
      <c r="L240" s="347">
        <f>+VLOOKUP(K240,TL[],4,FALSE)</f>
        <v/>
      </c>
    </row>
    <row r="241" ht="15" customHeight="1" s="161">
      <c r="A241" s="290" t="n"/>
      <c r="B241" s="290" t="n"/>
      <c r="C241" s="290" t="n"/>
      <c r="D241" s="290" t="n"/>
      <c r="E241" s="290" t="n"/>
      <c r="F241" s="290" t="n"/>
      <c r="G241" s="220">
        <f>SUM(C241)-SUM(D241)</f>
        <v/>
      </c>
      <c r="H241" s="220">
        <f>SUM(E241)-SUM(F241)</f>
        <v/>
      </c>
      <c r="I241" s="221">
        <f>IF(A241="Total",VLOOKUP(B241,CORRESPONDANCE[#All],2,FALSE),I242)</f>
        <v/>
      </c>
      <c r="J241" s="350">
        <f>LEFT(A241,1)</f>
        <v/>
      </c>
      <c r="K241" s="347">
        <f>"VR7"&amp;" - "&amp;A241</f>
        <v/>
      </c>
      <c r="L241" s="347">
        <f>+VLOOKUP(K241,TL[],4,FALSE)</f>
        <v/>
      </c>
    </row>
    <row r="242" ht="15" customHeight="1" s="161">
      <c r="A242" s="290" t="n"/>
      <c r="B242" s="290" t="n"/>
      <c r="C242" s="290" t="n"/>
      <c r="D242" s="290" t="n"/>
      <c r="E242" s="290" t="n"/>
      <c r="F242" s="290" t="n"/>
      <c r="G242" s="220">
        <f>SUM(C242)-SUM(D242)</f>
        <v/>
      </c>
      <c r="H242" s="220">
        <f>SUM(E242)-SUM(F242)</f>
        <v/>
      </c>
      <c r="I242" s="221">
        <f>IF(A242="Total",VLOOKUP(B242,CORRESPONDANCE[#All],2,FALSE),I243)</f>
        <v/>
      </c>
      <c r="J242" s="350">
        <f>LEFT(A242,1)</f>
        <v/>
      </c>
      <c r="K242" s="347">
        <f>"VR7"&amp;" - "&amp;A242</f>
        <v/>
      </c>
      <c r="L242" s="347">
        <f>+VLOOKUP(K242,TL[],4,FALSE)</f>
        <v/>
      </c>
    </row>
    <row r="243" ht="15" customHeight="1" s="161">
      <c r="A243" s="290" t="n"/>
      <c r="B243" s="290" t="n"/>
      <c r="C243" s="290" t="n"/>
      <c r="D243" s="290" t="n"/>
      <c r="E243" s="290" t="n"/>
      <c r="F243" s="290" t="n"/>
      <c r="G243" s="220">
        <f>SUM(C243)-SUM(D243)</f>
        <v/>
      </c>
      <c r="H243" s="220">
        <f>SUM(E243)-SUM(F243)</f>
        <v/>
      </c>
      <c r="I243" s="221">
        <f>IF(A243="Total",VLOOKUP(B243,CORRESPONDANCE[#All],2,FALSE),I244)</f>
        <v/>
      </c>
      <c r="J243" s="350">
        <f>LEFT(A243,1)</f>
        <v/>
      </c>
      <c r="K243" s="347">
        <f>"VR7"&amp;" - "&amp;A243</f>
        <v/>
      </c>
      <c r="L243" s="347">
        <f>+VLOOKUP(K243,TL[],4,FALSE)</f>
        <v/>
      </c>
    </row>
    <row r="244" ht="15" customHeight="1" s="161">
      <c r="A244" s="290" t="n"/>
      <c r="B244" s="290" t="n"/>
      <c r="C244" s="290" t="n"/>
      <c r="D244" s="290" t="n"/>
      <c r="E244" s="290" t="n"/>
      <c r="F244" s="290" t="n"/>
      <c r="G244" s="220">
        <f>SUM(C244)-SUM(D244)</f>
        <v/>
      </c>
      <c r="H244" s="220">
        <f>SUM(E244)-SUM(F244)</f>
        <v/>
      </c>
      <c r="I244" s="221">
        <f>IF(A244="Total",VLOOKUP(B244,CORRESPONDANCE[#All],2,FALSE),I245)</f>
        <v/>
      </c>
      <c r="J244" s="350">
        <f>LEFT(A244,1)</f>
        <v/>
      </c>
      <c r="K244" s="347">
        <f>"VR7"&amp;" - "&amp;A244</f>
        <v/>
      </c>
      <c r="L244" s="347">
        <f>+VLOOKUP(K244,TL[],4,FALSE)</f>
        <v/>
      </c>
    </row>
    <row r="245" ht="15" customHeight="1" s="161">
      <c r="A245" s="290" t="n"/>
      <c r="B245" s="290" t="n"/>
      <c r="C245" s="290" t="n"/>
      <c r="D245" s="290" t="n"/>
      <c r="E245" s="290" t="n"/>
      <c r="F245" s="290" t="n"/>
      <c r="G245" s="220">
        <f>SUM(C245)-SUM(D245)</f>
        <v/>
      </c>
      <c r="H245" s="220">
        <f>SUM(E245)-SUM(F245)</f>
        <v/>
      </c>
      <c r="I245" s="221">
        <f>IF(A245="Total",VLOOKUP(B245,CORRESPONDANCE[#All],2,FALSE),I246)</f>
        <v/>
      </c>
      <c r="J245" s="350">
        <f>LEFT(A245,1)</f>
        <v/>
      </c>
      <c r="K245" s="347">
        <f>"VR7"&amp;" - "&amp;A245</f>
        <v/>
      </c>
      <c r="L245" s="347">
        <f>+VLOOKUP(K245,TL[],4,FALSE)</f>
        <v/>
      </c>
    </row>
    <row r="246" ht="15" customHeight="1" s="161">
      <c r="A246" s="290" t="n"/>
      <c r="B246" s="290" t="n"/>
      <c r="C246" s="290" t="n"/>
      <c r="D246" s="290" t="n"/>
      <c r="E246" s="290" t="n"/>
      <c r="F246" s="290" t="n"/>
      <c r="G246" s="220">
        <f>SUM(C246)-SUM(D246)</f>
        <v/>
      </c>
      <c r="H246" s="220">
        <f>SUM(E246)-SUM(F246)</f>
        <v/>
      </c>
      <c r="I246" s="221">
        <f>IF(A246="Total",VLOOKUP(B246,CORRESPONDANCE[#All],2,FALSE),I247)</f>
        <v/>
      </c>
      <c r="J246" s="350">
        <f>LEFT(A246,1)</f>
        <v/>
      </c>
      <c r="K246" s="347">
        <f>"VR7"&amp;" - "&amp;A246</f>
        <v/>
      </c>
      <c r="L246" s="347">
        <f>+VLOOKUP(K246,TL[],4,FALSE)</f>
        <v/>
      </c>
    </row>
    <row r="247" ht="15" customHeight="1" s="161">
      <c r="A247" s="290" t="n"/>
      <c r="B247" s="290" t="n"/>
      <c r="C247" s="290" t="n"/>
      <c r="D247" s="290" t="n"/>
      <c r="E247" s="290" t="n"/>
      <c r="F247" s="290" t="n"/>
      <c r="G247" s="220">
        <f>SUM(C247)-SUM(D247)</f>
        <v/>
      </c>
      <c r="H247" s="220">
        <f>SUM(E247)-SUM(F247)</f>
        <v/>
      </c>
      <c r="I247" s="221">
        <f>IF(A247="Total",VLOOKUP(B247,CORRESPONDANCE[#All],2,FALSE),I248)</f>
        <v/>
      </c>
      <c r="J247" s="350">
        <f>LEFT(A247,1)</f>
        <v/>
      </c>
      <c r="K247" s="347">
        <f>"VR7"&amp;" - "&amp;A247</f>
        <v/>
      </c>
      <c r="L247" s="347">
        <f>+VLOOKUP(K247,TL[],4,FALSE)</f>
        <v/>
      </c>
    </row>
    <row r="248" ht="15" customHeight="1" s="161">
      <c r="A248" s="290" t="n"/>
      <c r="B248" s="290" t="n"/>
      <c r="C248" s="290" t="n"/>
      <c r="D248" s="290" t="n"/>
      <c r="E248" s="290" t="n"/>
      <c r="F248" s="290" t="n"/>
      <c r="G248" s="220">
        <f>SUM(C248)-SUM(D248)</f>
        <v/>
      </c>
      <c r="H248" s="220">
        <f>SUM(E248)-SUM(F248)</f>
        <v/>
      </c>
      <c r="I248" s="221">
        <f>IF(A248="Total",VLOOKUP(B248,CORRESPONDANCE[#All],2,FALSE),I249)</f>
        <v/>
      </c>
      <c r="J248" s="350">
        <f>LEFT(A248,1)</f>
        <v/>
      </c>
      <c r="K248" s="347">
        <f>"VR7"&amp;" - "&amp;A248</f>
        <v/>
      </c>
      <c r="L248" s="347">
        <f>+VLOOKUP(K248,TL[],4,FALSE)</f>
        <v/>
      </c>
    </row>
    <row r="249" ht="15" customHeight="1" s="161">
      <c r="A249" s="290" t="n"/>
      <c r="B249" s="290" t="n"/>
      <c r="C249" s="290" t="n"/>
      <c r="D249" s="290" t="n"/>
      <c r="E249" s="290" t="n"/>
      <c r="F249" s="290" t="n"/>
      <c r="G249" s="220">
        <f>SUM(C249)-SUM(D249)</f>
        <v/>
      </c>
      <c r="H249" s="220">
        <f>SUM(E249)-SUM(F249)</f>
        <v/>
      </c>
      <c r="I249" s="221">
        <f>IF(A249="Total",VLOOKUP(B249,CORRESPONDANCE[#All],2,FALSE),I250)</f>
        <v/>
      </c>
      <c r="J249" s="350">
        <f>LEFT(A249,1)</f>
        <v/>
      </c>
      <c r="K249" s="347">
        <f>"VR7"&amp;" - "&amp;A249</f>
        <v/>
      </c>
      <c r="L249" s="347">
        <f>+VLOOKUP(K249,TL[],4,FALSE)</f>
        <v/>
      </c>
    </row>
    <row r="250" ht="15" customHeight="1" s="161">
      <c r="A250" s="290" t="n"/>
      <c r="B250" s="290" t="n"/>
      <c r="C250" s="290" t="n"/>
      <c r="D250" s="290" t="n"/>
      <c r="E250" s="290" t="n"/>
      <c r="F250" s="290" t="n"/>
      <c r="G250" s="220">
        <f>SUM(C250)-SUM(D250)</f>
        <v/>
      </c>
      <c r="H250" s="220">
        <f>SUM(E250)-SUM(F250)</f>
        <v/>
      </c>
      <c r="I250" s="221">
        <f>IF(A250="Total",VLOOKUP(B250,CORRESPONDANCE[#All],2,FALSE),I251)</f>
        <v/>
      </c>
      <c r="J250" s="350">
        <f>LEFT(A250,1)</f>
        <v/>
      </c>
      <c r="K250" s="347">
        <f>"VR7"&amp;" - "&amp;A250</f>
        <v/>
      </c>
      <c r="L250" s="347">
        <f>+VLOOKUP(K250,TL[],4,FALSE)</f>
        <v/>
      </c>
    </row>
    <row r="251" ht="15" customHeight="1" s="161">
      <c r="A251" s="290" t="n"/>
      <c r="B251" s="290" t="n"/>
      <c r="C251" s="290" t="n"/>
      <c r="D251" s="290" t="n"/>
      <c r="E251" s="290" t="n"/>
      <c r="F251" s="290" t="n"/>
      <c r="G251" s="220">
        <f>SUM(C251)-SUM(D251)</f>
        <v/>
      </c>
      <c r="H251" s="220">
        <f>SUM(E251)-SUM(F251)</f>
        <v/>
      </c>
      <c r="I251" s="221">
        <f>IF(A251="Total",VLOOKUP(B251,CORRESPONDANCE[#All],2,FALSE),I252)</f>
        <v/>
      </c>
      <c r="J251" s="350">
        <f>LEFT(A251,1)</f>
        <v/>
      </c>
      <c r="K251" s="347">
        <f>"VR7"&amp;" - "&amp;A251</f>
        <v/>
      </c>
      <c r="L251" s="347">
        <f>+VLOOKUP(K251,TL[],4,FALSE)</f>
        <v/>
      </c>
    </row>
    <row r="252" ht="15" customHeight="1" s="161">
      <c r="A252" s="290" t="n"/>
      <c r="B252" s="290" t="n"/>
      <c r="C252" s="290" t="n"/>
      <c r="D252" s="290" t="n"/>
      <c r="E252" s="290" t="n"/>
      <c r="F252" s="290" t="n"/>
      <c r="G252" s="220">
        <f>SUM(C252)-SUM(D252)</f>
        <v/>
      </c>
      <c r="H252" s="220">
        <f>SUM(E252)-SUM(F252)</f>
        <v/>
      </c>
      <c r="I252" s="221">
        <f>IF(A252="Total",VLOOKUP(B252,CORRESPONDANCE[#All],2,FALSE),I253)</f>
        <v/>
      </c>
      <c r="J252" s="350">
        <f>LEFT(A252,1)</f>
        <v/>
      </c>
      <c r="K252" s="347">
        <f>"VR7"&amp;" - "&amp;A252</f>
        <v/>
      </c>
      <c r="L252" s="347">
        <f>+VLOOKUP(K252,TL[],4,FALSE)</f>
        <v/>
      </c>
    </row>
    <row r="253" ht="15" customHeight="1" s="161">
      <c r="A253" s="290" t="n"/>
      <c r="B253" s="290" t="n"/>
      <c r="C253" s="290" t="n"/>
      <c r="D253" s="290" t="n"/>
      <c r="E253" s="290" t="n"/>
      <c r="F253" s="290" t="n"/>
      <c r="G253" s="220">
        <f>SUM(C253)-SUM(D253)</f>
        <v/>
      </c>
      <c r="H253" s="220">
        <f>SUM(E253)-SUM(F253)</f>
        <v/>
      </c>
      <c r="I253" s="221">
        <f>IF(A253="Total",VLOOKUP(B253,CORRESPONDANCE[#All],2,FALSE),I254)</f>
        <v/>
      </c>
      <c r="J253" s="350">
        <f>LEFT(A253,1)</f>
        <v/>
      </c>
      <c r="K253" s="347">
        <f>"VR7"&amp;" - "&amp;A253</f>
        <v/>
      </c>
      <c r="L253" s="347">
        <f>+VLOOKUP(K253,TL[],4,FALSE)</f>
        <v/>
      </c>
    </row>
    <row r="254" ht="15" customHeight="1" s="161">
      <c r="A254" s="290" t="n"/>
      <c r="B254" s="290" t="n"/>
      <c r="C254" s="290" t="n"/>
      <c r="D254" s="290" t="n"/>
      <c r="E254" s="290" t="n"/>
      <c r="F254" s="290" t="n"/>
      <c r="G254" s="220">
        <f>SUM(C254)-SUM(D254)</f>
        <v/>
      </c>
      <c r="H254" s="220">
        <f>SUM(E254)-SUM(F254)</f>
        <v/>
      </c>
      <c r="I254" s="221">
        <f>IF(A254="Total",VLOOKUP(B254,CORRESPONDANCE[#All],2,FALSE),I255)</f>
        <v/>
      </c>
      <c r="J254" s="350">
        <f>LEFT(A254,1)</f>
        <v/>
      </c>
      <c r="K254" s="347">
        <f>"VR7"&amp;" - "&amp;A254</f>
        <v/>
      </c>
      <c r="L254" s="347">
        <f>+VLOOKUP(K254,TL[],4,FALSE)</f>
        <v/>
      </c>
    </row>
    <row r="255" ht="15" customHeight="1" s="161">
      <c r="A255" s="290" t="n"/>
      <c r="B255" s="290" t="n"/>
      <c r="C255" s="290" t="n"/>
      <c r="D255" s="290" t="n"/>
      <c r="E255" s="290" t="n"/>
      <c r="F255" s="290" t="n"/>
      <c r="G255" s="220">
        <f>SUM(C255)-SUM(D255)</f>
        <v/>
      </c>
      <c r="H255" s="220">
        <f>SUM(E255)-SUM(F255)</f>
        <v/>
      </c>
      <c r="I255" s="221">
        <f>IF(A255="Total",VLOOKUP(B255,CORRESPONDANCE[#All],2,FALSE),I256)</f>
        <v/>
      </c>
      <c r="J255" s="350">
        <f>LEFT(A255,1)</f>
        <v/>
      </c>
      <c r="K255" s="347">
        <f>"VR7"&amp;" - "&amp;A255</f>
        <v/>
      </c>
      <c r="L255" s="347">
        <f>+VLOOKUP(K255,TL[],4,FALSE)</f>
        <v/>
      </c>
    </row>
    <row r="256" ht="15" customHeight="1" s="161">
      <c r="A256" s="290" t="n"/>
      <c r="B256" s="290" t="n"/>
      <c r="C256" s="290" t="n"/>
      <c r="D256" s="290" t="n"/>
      <c r="E256" s="290" t="n"/>
      <c r="F256" s="290" t="n"/>
      <c r="G256" s="220">
        <f>SUM(C256)-SUM(D256)</f>
        <v/>
      </c>
      <c r="H256" s="220">
        <f>SUM(E256)-SUM(F256)</f>
        <v/>
      </c>
      <c r="I256" s="221">
        <f>IF(A256="Total",VLOOKUP(B256,CORRESPONDANCE[#All],2,FALSE),I257)</f>
        <v/>
      </c>
      <c r="J256" s="350">
        <f>LEFT(A256,1)</f>
        <v/>
      </c>
      <c r="K256" s="347">
        <f>"VR7"&amp;" - "&amp;A256</f>
        <v/>
      </c>
      <c r="L256" s="347">
        <f>+VLOOKUP(K256,TL[],4,FALSE)</f>
        <v/>
      </c>
    </row>
    <row r="257" ht="15" customHeight="1" s="161">
      <c r="A257" s="290" t="n"/>
      <c r="B257" s="290" t="n"/>
      <c r="C257" s="290" t="n"/>
      <c r="D257" s="290" t="n"/>
      <c r="E257" s="290" t="n"/>
      <c r="F257" s="290" t="n"/>
      <c r="G257" s="220">
        <f>SUM(C257)-SUM(D257)</f>
        <v/>
      </c>
      <c r="H257" s="220">
        <f>SUM(E257)-SUM(F257)</f>
        <v/>
      </c>
      <c r="I257" s="221">
        <f>IF(A257="Total",VLOOKUP(B257,CORRESPONDANCE[#All],2,FALSE),I258)</f>
        <v/>
      </c>
      <c r="J257" s="350">
        <f>LEFT(A257,1)</f>
        <v/>
      </c>
      <c r="K257" s="347">
        <f>"VR7"&amp;" - "&amp;A257</f>
        <v/>
      </c>
      <c r="L257" s="347">
        <f>+VLOOKUP(K257,TL[],4,FALSE)</f>
        <v/>
      </c>
    </row>
    <row r="258" ht="15" customHeight="1" s="161">
      <c r="A258" s="290" t="n"/>
      <c r="B258" s="290" t="n"/>
      <c r="C258" s="290" t="n"/>
      <c r="D258" s="290" t="n"/>
      <c r="E258" s="290" t="n"/>
      <c r="F258" s="290" t="n"/>
      <c r="G258" s="220">
        <f>SUM(C258)-SUM(D258)</f>
        <v/>
      </c>
      <c r="H258" s="220">
        <f>SUM(E258)-SUM(F258)</f>
        <v/>
      </c>
      <c r="I258" s="221">
        <f>IF(A258="Total",VLOOKUP(B258,CORRESPONDANCE[#All],2,FALSE),I259)</f>
        <v/>
      </c>
      <c r="J258" s="350">
        <f>LEFT(A258,1)</f>
        <v/>
      </c>
      <c r="K258" s="347">
        <f>"VR7"&amp;" - "&amp;A258</f>
        <v/>
      </c>
      <c r="L258" s="347">
        <f>+VLOOKUP(K258,TL[],4,FALSE)</f>
        <v/>
      </c>
    </row>
    <row r="259" ht="15" customHeight="1" s="161">
      <c r="A259" s="290" t="n"/>
      <c r="B259" s="290" t="n"/>
      <c r="C259" s="290" t="n"/>
      <c r="D259" s="290" t="n"/>
      <c r="E259" s="290" t="n"/>
      <c r="F259" s="290" t="n"/>
      <c r="G259" s="220">
        <f>SUM(C259)-SUM(D259)</f>
        <v/>
      </c>
      <c r="H259" s="220">
        <f>SUM(E259)-SUM(F259)</f>
        <v/>
      </c>
      <c r="I259" s="221">
        <f>IF(A259="Total",VLOOKUP(B259,CORRESPONDANCE[#All],2,FALSE),I260)</f>
        <v/>
      </c>
      <c r="J259" s="350">
        <f>LEFT(A259,1)</f>
        <v/>
      </c>
      <c r="K259" s="347">
        <f>"VR7"&amp;" - "&amp;A259</f>
        <v/>
      </c>
      <c r="L259" s="347">
        <f>+VLOOKUP(K259,TL[],4,FALSE)</f>
        <v/>
      </c>
    </row>
    <row r="260" ht="15" customHeight="1" s="161">
      <c r="A260" s="290" t="n"/>
      <c r="B260" s="290" t="n"/>
      <c r="C260" s="290" t="n"/>
      <c r="D260" s="290" t="n"/>
      <c r="E260" s="290" t="n"/>
      <c r="F260" s="290" t="n"/>
      <c r="G260" s="220">
        <f>SUM(C260)-SUM(D260)</f>
        <v/>
      </c>
      <c r="H260" s="220">
        <f>SUM(E260)-SUM(F260)</f>
        <v/>
      </c>
      <c r="I260" s="221">
        <f>IF(A260="Total",VLOOKUP(B260,CORRESPONDANCE[#All],2,FALSE),I261)</f>
        <v/>
      </c>
      <c r="J260" s="350">
        <f>LEFT(A260,1)</f>
        <v/>
      </c>
      <c r="K260" s="347">
        <f>"VR7"&amp;" - "&amp;A260</f>
        <v/>
      </c>
      <c r="L260" s="347">
        <f>+VLOOKUP(K260,TL[],4,FALSE)</f>
        <v/>
      </c>
    </row>
    <row r="261" ht="15" customHeight="1" s="161">
      <c r="A261" s="290" t="n"/>
      <c r="B261" s="290" t="n"/>
      <c r="C261" s="290" t="n"/>
      <c r="D261" s="290" t="n"/>
      <c r="E261" s="290" t="n"/>
      <c r="F261" s="290" t="n"/>
      <c r="G261" s="220">
        <f>SUM(C261)-SUM(D261)</f>
        <v/>
      </c>
      <c r="H261" s="220">
        <f>SUM(E261)-SUM(F261)</f>
        <v/>
      </c>
      <c r="I261" s="221">
        <f>IF(A261="Total",VLOOKUP(B261,CORRESPONDANCE[#All],2,FALSE),I262)</f>
        <v/>
      </c>
      <c r="J261" s="350">
        <f>LEFT(A261,1)</f>
        <v/>
      </c>
      <c r="K261" s="347">
        <f>"VR7"&amp;" - "&amp;A261</f>
        <v/>
      </c>
      <c r="L261" s="347">
        <f>+VLOOKUP(K261,TL[],4,FALSE)</f>
        <v/>
      </c>
    </row>
    <row r="262" ht="15" customHeight="1" s="161">
      <c r="A262" s="290" t="n"/>
      <c r="B262" s="290" t="n"/>
      <c r="C262" s="290" t="n"/>
      <c r="D262" s="290" t="n"/>
      <c r="E262" s="290" t="n"/>
      <c r="F262" s="290" t="n"/>
      <c r="G262" s="220">
        <f>SUM(C262)-SUM(D262)</f>
        <v/>
      </c>
      <c r="H262" s="220">
        <f>SUM(E262)-SUM(F262)</f>
        <v/>
      </c>
      <c r="I262" s="221">
        <f>IF(A262="Total",VLOOKUP(B262,CORRESPONDANCE[#All],2,FALSE),I263)</f>
        <v/>
      </c>
      <c r="J262" s="350">
        <f>LEFT(A262,1)</f>
        <v/>
      </c>
      <c r="K262" s="347">
        <f>"VR7"&amp;" - "&amp;A262</f>
        <v/>
      </c>
      <c r="L262" s="347">
        <f>+VLOOKUP(K262,TL[],4,FALSE)</f>
        <v/>
      </c>
    </row>
    <row r="263" ht="15" customHeight="1" s="161">
      <c r="A263" s="290" t="n"/>
      <c r="B263" s="290" t="n"/>
      <c r="C263" s="290" t="n"/>
      <c r="D263" s="290" t="n"/>
      <c r="E263" s="290" t="n"/>
      <c r="F263" s="290" t="n"/>
      <c r="G263" s="220">
        <f>SUM(C263)-SUM(D263)</f>
        <v/>
      </c>
      <c r="H263" s="220">
        <f>SUM(E263)-SUM(F263)</f>
        <v/>
      </c>
      <c r="I263" s="221">
        <f>IF(A263="Total",VLOOKUP(B263,CORRESPONDANCE[#All],2,FALSE),I264)</f>
        <v/>
      </c>
      <c r="J263" s="350">
        <f>LEFT(A263,1)</f>
        <v/>
      </c>
      <c r="K263" s="347">
        <f>"VR7"&amp;" - "&amp;A263</f>
        <v/>
      </c>
      <c r="L263" s="347">
        <f>+VLOOKUP(K263,TL[],4,FALSE)</f>
        <v/>
      </c>
    </row>
    <row r="264" ht="15" customHeight="1" s="161">
      <c r="A264" s="290" t="n"/>
      <c r="B264" s="290" t="n"/>
      <c r="C264" s="290" t="n"/>
      <c r="D264" s="290" t="n"/>
      <c r="E264" s="290" t="n"/>
      <c r="F264" s="290" t="n"/>
      <c r="G264" s="220">
        <f>SUM(C264)-SUM(D264)</f>
        <v/>
      </c>
      <c r="H264" s="220">
        <f>SUM(E264)-SUM(F264)</f>
        <v/>
      </c>
      <c r="I264" s="221">
        <f>IF(A264="Total",VLOOKUP(B264,CORRESPONDANCE[#All],2,FALSE),I265)</f>
        <v/>
      </c>
      <c r="J264" s="350">
        <f>LEFT(A264,1)</f>
        <v/>
      </c>
      <c r="K264" s="347">
        <f>"VR7"&amp;" - "&amp;A264</f>
        <v/>
      </c>
      <c r="L264" s="347">
        <f>+VLOOKUP(K264,TL[],4,FALSE)</f>
        <v/>
      </c>
    </row>
    <row r="265" ht="15" customHeight="1" s="161">
      <c r="A265" s="290" t="n"/>
      <c r="B265" s="290" t="n"/>
      <c r="C265" s="290" t="n"/>
      <c r="D265" s="290" t="n"/>
      <c r="E265" s="290" t="n"/>
      <c r="F265" s="290" t="n"/>
      <c r="G265" s="220">
        <f>SUM(C265)-SUM(D265)</f>
        <v/>
      </c>
      <c r="H265" s="220">
        <f>SUM(E265)-SUM(F265)</f>
        <v/>
      </c>
      <c r="I265" s="221">
        <f>IF(A265="Total",VLOOKUP(B265,CORRESPONDANCE[#All],2,FALSE),I266)</f>
        <v/>
      </c>
      <c r="J265" s="350">
        <f>LEFT(A265,1)</f>
        <v/>
      </c>
      <c r="K265" s="347">
        <f>"VR7"&amp;" - "&amp;A265</f>
        <v/>
      </c>
      <c r="L265" s="347">
        <f>+VLOOKUP(K265,TL[],4,FALSE)</f>
        <v/>
      </c>
    </row>
    <row r="266" ht="15" customHeight="1" s="161">
      <c r="A266" s="290" t="n"/>
      <c r="B266" s="290" t="n"/>
      <c r="C266" s="290" t="n"/>
      <c r="D266" s="290" t="n"/>
      <c r="E266" s="290" t="n"/>
      <c r="F266" s="290" t="n"/>
      <c r="G266" s="220">
        <f>SUM(C266)-SUM(D266)</f>
        <v/>
      </c>
      <c r="H266" s="220">
        <f>SUM(E266)-SUM(F266)</f>
        <v/>
      </c>
      <c r="I266" s="221">
        <f>IF(A266="Total",VLOOKUP(B266,CORRESPONDANCE[#All],2,FALSE),I267)</f>
        <v/>
      </c>
      <c r="J266" s="350">
        <f>LEFT(A266,1)</f>
        <v/>
      </c>
      <c r="K266" s="347">
        <f>"VR7"&amp;" - "&amp;A266</f>
        <v/>
      </c>
      <c r="L266" s="347">
        <f>+VLOOKUP(K266,TL[],4,FALSE)</f>
        <v/>
      </c>
    </row>
    <row r="267" ht="15" customHeight="1" s="161">
      <c r="A267" s="290" t="n"/>
      <c r="B267" s="290" t="n"/>
      <c r="C267" s="290" t="n"/>
      <c r="D267" s="290" t="n"/>
      <c r="E267" s="290" t="n"/>
      <c r="F267" s="290" t="n"/>
      <c r="G267" s="220">
        <f>SUM(C267)-SUM(D267)</f>
        <v/>
      </c>
      <c r="H267" s="220">
        <f>SUM(E267)-SUM(F267)</f>
        <v/>
      </c>
      <c r="I267" s="221">
        <f>IF(A267="Total",VLOOKUP(B267,CORRESPONDANCE[#All],2,FALSE),I268)</f>
        <v/>
      </c>
      <c r="J267" s="350">
        <f>LEFT(A267,1)</f>
        <v/>
      </c>
      <c r="K267" s="347">
        <f>"VR7"&amp;" - "&amp;A267</f>
        <v/>
      </c>
      <c r="L267" s="347">
        <f>+VLOOKUP(K267,TL[],4,FALSE)</f>
        <v/>
      </c>
    </row>
    <row r="268" ht="15" customHeight="1" s="161">
      <c r="A268" s="290" t="n"/>
      <c r="B268" s="290" t="n"/>
      <c r="C268" s="290" t="n"/>
      <c r="D268" s="290" t="n"/>
      <c r="E268" s="290" t="n"/>
      <c r="F268" s="290" t="n"/>
      <c r="G268" s="220">
        <f>SUM(C268)-SUM(D268)</f>
        <v/>
      </c>
      <c r="H268" s="220">
        <f>SUM(E268)-SUM(F268)</f>
        <v/>
      </c>
      <c r="I268" s="221">
        <f>IF(A268="Total",VLOOKUP(B268,CORRESPONDANCE[#All],2,FALSE),I269)</f>
        <v/>
      </c>
      <c r="J268" s="350">
        <f>LEFT(A268,1)</f>
        <v/>
      </c>
      <c r="K268" s="347">
        <f>"VR7"&amp;" - "&amp;A268</f>
        <v/>
      </c>
      <c r="L268" s="347">
        <f>+VLOOKUP(K268,TL[],4,FALSE)</f>
        <v/>
      </c>
    </row>
    <row r="269" ht="15" customHeight="1" s="161">
      <c r="A269" s="290" t="n"/>
      <c r="B269" s="290" t="n"/>
      <c r="C269" s="290" t="n"/>
      <c r="D269" s="290" t="n"/>
      <c r="E269" s="290" t="n"/>
      <c r="F269" s="290" t="n"/>
      <c r="G269" s="220">
        <f>SUM(C269)-SUM(D269)</f>
        <v/>
      </c>
      <c r="H269" s="220">
        <f>SUM(E269)-SUM(F269)</f>
        <v/>
      </c>
      <c r="I269" s="221">
        <f>IF(A269="Total",VLOOKUP(B269,CORRESPONDANCE[#All],2,FALSE),I270)</f>
        <v/>
      </c>
      <c r="J269" s="350">
        <f>LEFT(A269,1)</f>
        <v/>
      </c>
      <c r="K269" s="347">
        <f>"VR7"&amp;" - "&amp;A269</f>
        <v/>
      </c>
      <c r="L269" s="347">
        <f>+VLOOKUP(K269,TL[],4,FALSE)</f>
        <v/>
      </c>
    </row>
    <row r="270" ht="15" customHeight="1" s="161">
      <c r="A270" s="290" t="n"/>
      <c r="B270" s="290" t="n"/>
      <c r="C270" s="290" t="n"/>
      <c r="D270" s="290" t="n"/>
      <c r="E270" s="290" t="n"/>
      <c r="F270" s="290" t="n"/>
      <c r="G270" s="220">
        <f>SUM(C270)-SUM(D270)</f>
        <v/>
      </c>
      <c r="H270" s="220">
        <f>SUM(E270)-SUM(F270)</f>
        <v/>
      </c>
      <c r="I270" s="221">
        <f>IF(A270="Total",VLOOKUP(B270,CORRESPONDANCE[#All],2,FALSE),I271)</f>
        <v/>
      </c>
      <c r="J270" s="350">
        <f>LEFT(A270,1)</f>
        <v/>
      </c>
      <c r="K270" s="347">
        <f>"VR7"&amp;" - "&amp;A270</f>
        <v/>
      </c>
      <c r="L270" s="347">
        <f>+VLOOKUP(K270,TL[],4,FALSE)</f>
        <v/>
      </c>
    </row>
    <row r="271" ht="15" customHeight="1" s="161">
      <c r="A271" s="290" t="n"/>
      <c r="B271" s="290" t="n"/>
      <c r="C271" s="290" t="n"/>
      <c r="D271" s="290" t="n"/>
      <c r="E271" s="290" t="n"/>
      <c r="F271" s="290" t="n"/>
      <c r="G271" s="220">
        <f>SUM(C271)-SUM(D271)</f>
        <v/>
      </c>
      <c r="H271" s="220">
        <f>SUM(E271)-SUM(F271)</f>
        <v/>
      </c>
      <c r="I271" s="221">
        <f>IF(A271="Total",VLOOKUP(B271,CORRESPONDANCE[#All],2,FALSE),I272)</f>
        <v/>
      </c>
      <c r="J271" s="350">
        <f>LEFT(A271,1)</f>
        <v/>
      </c>
      <c r="K271" s="347">
        <f>"VR7"&amp;" - "&amp;A271</f>
        <v/>
      </c>
      <c r="L271" s="347">
        <f>+VLOOKUP(K271,TL[],4,FALSE)</f>
        <v/>
      </c>
    </row>
    <row r="272" ht="15" customHeight="1" s="161">
      <c r="A272" s="290" t="n"/>
      <c r="B272" s="290" t="n"/>
      <c r="C272" s="290" t="n"/>
      <c r="D272" s="290" t="n"/>
      <c r="E272" s="290" t="n"/>
      <c r="F272" s="290" t="n"/>
      <c r="G272" s="220">
        <f>SUM(C272)-SUM(D272)</f>
        <v/>
      </c>
      <c r="H272" s="220">
        <f>SUM(E272)-SUM(F272)</f>
        <v/>
      </c>
      <c r="I272" s="221">
        <f>IF(A272="Total",VLOOKUP(B272,CORRESPONDANCE[#All],2,FALSE),I273)</f>
        <v/>
      </c>
      <c r="J272" s="350">
        <f>LEFT(A272,1)</f>
        <v/>
      </c>
      <c r="K272" s="347">
        <f>"VR7"&amp;" - "&amp;A272</f>
        <v/>
      </c>
      <c r="L272" s="347">
        <f>+VLOOKUP(K272,TL[],4,FALSE)</f>
        <v/>
      </c>
    </row>
    <row r="273" ht="15" customHeight="1" s="161">
      <c r="A273" s="290" t="n"/>
      <c r="B273" s="290" t="n"/>
      <c r="C273" s="290" t="n"/>
      <c r="D273" s="290" t="n"/>
      <c r="E273" s="290" t="n"/>
      <c r="F273" s="290" t="n"/>
      <c r="G273" s="220">
        <f>SUM(C273)-SUM(D273)</f>
        <v/>
      </c>
      <c r="H273" s="220">
        <f>SUM(E273)-SUM(F273)</f>
        <v/>
      </c>
      <c r="I273" s="221">
        <f>IF(A273="Total",VLOOKUP(B273,CORRESPONDANCE[#All],2,FALSE),I274)</f>
        <v/>
      </c>
      <c r="J273" s="350">
        <f>LEFT(A273,1)</f>
        <v/>
      </c>
      <c r="K273" s="347">
        <f>"VR7"&amp;" - "&amp;A273</f>
        <v/>
      </c>
      <c r="L273" s="347">
        <f>+VLOOKUP(K273,TL[],4,FALSE)</f>
        <v/>
      </c>
    </row>
    <row r="274" ht="15" customHeight="1" s="161">
      <c r="A274" s="290" t="n"/>
      <c r="B274" s="290" t="n"/>
      <c r="C274" s="290" t="n"/>
      <c r="D274" s="290" t="n"/>
      <c r="E274" s="290" t="n"/>
      <c r="F274" s="290" t="n"/>
      <c r="G274" s="220">
        <f>SUM(C274)-SUM(D274)</f>
        <v/>
      </c>
      <c r="H274" s="220">
        <f>SUM(E274)-SUM(F274)</f>
        <v/>
      </c>
      <c r="I274" s="221">
        <f>IF(A274="Total",VLOOKUP(B274,CORRESPONDANCE[#All],2,FALSE),I275)</f>
        <v/>
      </c>
      <c r="J274" s="350">
        <f>LEFT(A274,1)</f>
        <v/>
      </c>
      <c r="K274" s="347">
        <f>"VR7"&amp;" - "&amp;A274</f>
        <v/>
      </c>
      <c r="L274" s="347">
        <f>+VLOOKUP(K274,TL[],4,FALSE)</f>
        <v/>
      </c>
    </row>
    <row r="275" ht="15" customHeight="1" s="161">
      <c r="A275" s="290" t="n"/>
      <c r="B275" s="290" t="n"/>
      <c r="C275" s="290" t="n"/>
      <c r="D275" s="290" t="n"/>
      <c r="E275" s="290" t="n"/>
      <c r="F275" s="290" t="n"/>
      <c r="G275" s="220">
        <f>SUM(C275)-SUM(D275)</f>
        <v/>
      </c>
      <c r="H275" s="220">
        <f>SUM(E275)-SUM(F275)</f>
        <v/>
      </c>
      <c r="I275" s="221">
        <f>IF(A275="Total",VLOOKUP(B275,CORRESPONDANCE[#All],2,FALSE),I276)</f>
        <v/>
      </c>
      <c r="J275" s="350">
        <f>LEFT(A275,1)</f>
        <v/>
      </c>
      <c r="K275" s="347">
        <f>"VR7"&amp;" - "&amp;A275</f>
        <v/>
      </c>
      <c r="L275" s="347">
        <f>+VLOOKUP(K275,TL[],4,FALSE)</f>
        <v/>
      </c>
    </row>
    <row r="276" ht="15" customHeight="1" s="161">
      <c r="A276" s="290" t="n"/>
      <c r="B276" s="290" t="n"/>
      <c r="C276" s="290" t="n"/>
      <c r="D276" s="290" t="n"/>
      <c r="E276" s="290" t="n"/>
      <c r="F276" s="290" t="n"/>
      <c r="G276" s="220">
        <f>SUM(C276)-SUM(D276)</f>
        <v/>
      </c>
      <c r="H276" s="220">
        <f>SUM(E276)-SUM(F276)</f>
        <v/>
      </c>
      <c r="I276" s="221">
        <f>IF(A276="Total",VLOOKUP(B276,CORRESPONDANCE[#All],2,FALSE),I277)</f>
        <v/>
      </c>
      <c r="J276" s="350">
        <f>LEFT(A276,1)</f>
        <v/>
      </c>
      <c r="K276" s="347">
        <f>"VR7"&amp;" - "&amp;A276</f>
        <v/>
      </c>
      <c r="L276" s="347">
        <f>+VLOOKUP(K276,TL[],4,FALSE)</f>
        <v/>
      </c>
    </row>
    <row r="277" ht="15" customHeight="1" s="161">
      <c r="A277" s="290" t="n"/>
      <c r="B277" s="290" t="n"/>
      <c r="C277" s="290" t="n"/>
      <c r="D277" s="290" t="n"/>
      <c r="E277" s="290" t="n"/>
      <c r="F277" s="290" t="n"/>
      <c r="G277" s="220">
        <f>SUM(C277)-SUM(D277)</f>
        <v/>
      </c>
      <c r="H277" s="220">
        <f>SUM(E277)-SUM(F277)</f>
        <v/>
      </c>
      <c r="I277" s="221">
        <f>IF(A277="Total",VLOOKUP(B277,CORRESPONDANCE[#All],2,FALSE),I278)</f>
        <v/>
      </c>
      <c r="J277" s="350">
        <f>LEFT(A277,1)</f>
        <v/>
      </c>
      <c r="K277" s="347">
        <f>"VR7"&amp;" - "&amp;A277</f>
        <v/>
      </c>
      <c r="L277" s="347">
        <f>+VLOOKUP(K277,TL[],4,FALSE)</f>
        <v/>
      </c>
    </row>
    <row r="278" ht="15" customHeight="1" s="161">
      <c r="A278" s="290" t="n"/>
      <c r="B278" s="290" t="n"/>
      <c r="C278" s="290" t="n"/>
      <c r="D278" s="290" t="n"/>
      <c r="E278" s="290" t="n"/>
      <c r="F278" s="290" t="n"/>
      <c r="G278" s="220">
        <f>SUM(C278)-SUM(D278)</f>
        <v/>
      </c>
      <c r="H278" s="220">
        <f>SUM(E278)-SUM(F278)</f>
        <v/>
      </c>
      <c r="I278" s="221">
        <f>IF(A278="Total",VLOOKUP(B278,CORRESPONDANCE[#All],2,FALSE),I279)</f>
        <v/>
      </c>
      <c r="J278" s="350">
        <f>LEFT(A278,1)</f>
        <v/>
      </c>
      <c r="K278" s="347">
        <f>"VR7"&amp;" - "&amp;A278</f>
        <v/>
      </c>
      <c r="L278" s="347">
        <f>+VLOOKUP(K278,TL[],4,FALSE)</f>
        <v/>
      </c>
    </row>
    <row r="279" ht="15" customHeight="1" s="161">
      <c r="A279" s="290" t="n"/>
      <c r="B279" s="290" t="n"/>
      <c r="C279" s="290" t="n"/>
      <c r="D279" s="290" t="n"/>
      <c r="E279" s="290" t="n"/>
      <c r="F279" s="290" t="n"/>
      <c r="G279" s="220">
        <f>SUM(C279)-SUM(D279)</f>
        <v/>
      </c>
      <c r="H279" s="220">
        <f>SUM(E279)-SUM(F279)</f>
        <v/>
      </c>
      <c r="I279" s="221">
        <f>IF(A279="Total",VLOOKUP(B279,CORRESPONDANCE[#All],2,FALSE),I280)</f>
        <v/>
      </c>
      <c r="J279" s="350">
        <f>LEFT(A279,1)</f>
        <v/>
      </c>
      <c r="K279" s="347">
        <f>"VR7"&amp;" - "&amp;A279</f>
        <v/>
      </c>
      <c r="L279" s="347">
        <f>+VLOOKUP(K279,TL[],4,FALSE)</f>
        <v/>
      </c>
    </row>
    <row r="280" ht="15" customHeight="1" s="161">
      <c r="A280" s="290" t="n"/>
      <c r="B280" s="290" t="n"/>
      <c r="C280" s="290" t="n"/>
      <c r="D280" s="290" t="n"/>
      <c r="E280" s="290" t="n"/>
      <c r="F280" s="290" t="n"/>
      <c r="G280" s="220">
        <f>SUM(C280)-SUM(D280)</f>
        <v/>
      </c>
      <c r="H280" s="220">
        <f>SUM(E280)-SUM(F280)</f>
        <v/>
      </c>
      <c r="I280" s="221">
        <f>IF(A280="Total",VLOOKUP(B280,CORRESPONDANCE[#All],2,FALSE),I281)</f>
        <v/>
      </c>
      <c r="J280" s="350">
        <f>LEFT(A280,1)</f>
        <v/>
      </c>
      <c r="K280" s="347">
        <f>"VR7"&amp;" - "&amp;A280</f>
        <v/>
      </c>
      <c r="L280" s="347">
        <f>+VLOOKUP(K280,TL[],4,FALSE)</f>
        <v/>
      </c>
    </row>
    <row r="281" ht="15" customHeight="1" s="161">
      <c r="A281" s="290" t="n"/>
      <c r="B281" s="290" t="n"/>
      <c r="C281" s="290" t="n"/>
      <c r="D281" s="290" t="n"/>
      <c r="E281" s="290" t="n"/>
      <c r="F281" s="290" t="n"/>
      <c r="G281" s="220">
        <f>SUM(C281)-SUM(D281)</f>
        <v/>
      </c>
      <c r="H281" s="220">
        <f>SUM(E281)-SUM(F281)</f>
        <v/>
      </c>
      <c r="I281" s="221">
        <f>IF(A281="Total",VLOOKUP(B281,CORRESPONDANCE[#All],2,FALSE),I282)</f>
        <v/>
      </c>
      <c r="J281" s="350">
        <f>LEFT(A281,1)</f>
        <v/>
      </c>
      <c r="K281" s="347">
        <f>"VR7"&amp;" - "&amp;A281</f>
        <v/>
      </c>
      <c r="L281" s="347">
        <f>+VLOOKUP(K281,TL[],4,FALSE)</f>
        <v/>
      </c>
    </row>
    <row r="282" ht="15" customHeight="1" s="161">
      <c r="A282" s="290" t="n"/>
      <c r="B282" s="290" t="n"/>
      <c r="C282" s="290" t="n"/>
      <c r="D282" s="290" t="n"/>
      <c r="E282" s="290" t="n"/>
      <c r="F282" s="290" t="n"/>
      <c r="G282" s="220">
        <f>SUM(C282)-SUM(D282)</f>
        <v/>
      </c>
      <c r="H282" s="220">
        <f>SUM(E282)-SUM(F282)</f>
        <v/>
      </c>
      <c r="I282" s="221">
        <f>IF(A282="Total",VLOOKUP(B282,CORRESPONDANCE[#All],2,FALSE),I283)</f>
        <v/>
      </c>
      <c r="J282" s="350">
        <f>LEFT(A282,1)</f>
        <v/>
      </c>
      <c r="K282" s="347">
        <f>"VR7"&amp;" - "&amp;A282</f>
        <v/>
      </c>
      <c r="L282" s="347">
        <f>+VLOOKUP(K282,TL[],4,FALSE)</f>
        <v/>
      </c>
    </row>
    <row r="283" ht="15" customHeight="1" s="161">
      <c r="A283" s="290" t="n"/>
      <c r="B283" s="290" t="n"/>
      <c r="C283" s="290" t="n"/>
      <c r="D283" s="290" t="n"/>
      <c r="E283" s="290" t="n"/>
      <c r="F283" s="290" t="n"/>
      <c r="G283" s="220">
        <f>SUM(C283)-SUM(D283)</f>
        <v/>
      </c>
      <c r="H283" s="220">
        <f>SUM(E283)-SUM(F283)</f>
        <v/>
      </c>
      <c r="I283" s="221">
        <f>IF(A283="Total",VLOOKUP(B283,CORRESPONDANCE[#All],2,FALSE),I284)</f>
        <v/>
      </c>
      <c r="J283" s="350">
        <f>LEFT(A283,1)</f>
        <v/>
      </c>
      <c r="K283" s="347">
        <f>"VR7"&amp;" - "&amp;A283</f>
        <v/>
      </c>
      <c r="L283" s="347">
        <f>+VLOOKUP(K283,TL[],4,FALSE)</f>
        <v/>
      </c>
    </row>
    <row r="284" ht="15" customHeight="1" s="161">
      <c r="A284" s="290" t="n"/>
      <c r="B284" s="290" t="n"/>
      <c r="C284" s="290" t="n"/>
      <c r="D284" s="290" t="n"/>
      <c r="E284" s="290" t="n"/>
      <c r="F284" s="290" t="n"/>
      <c r="G284" s="220">
        <f>SUM(C284)-SUM(D284)</f>
        <v/>
      </c>
      <c r="H284" s="220">
        <f>SUM(E284)-SUM(F284)</f>
        <v/>
      </c>
      <c r="I284" s="221">
        <f>IF(A284="Total",VLOOKUP(B284,CORRESPONDANCE[#All],2,FALSE),I285)</f>
        <v/>
      </c>
      <c r="J284" s="350">
        <f>LEFT(A284,1)</f>
        <v/>
      </c>
      <c r="K284" s="347">
        <f>"VR7"&amp;" - "&amp;A284</f>
        <v/>
      </c>
      <c r="L284" s="347">
        <f>+VLOOKUP(K284,TL[],4,FALSE)</f>
        <v/>
      </c>
    </row>
    <row r="285" ht="15" customHeight="1" s="161">
      <c r="A285" s="290" t="n"/>
      <c r="B285" s="290" t="n"/>
      <c r="C285" s="290" t="n"/>
      <c r="D285" s="290" t="n"/>
      <c r="E285" s="290" t="n"/>
      <c r="F285" s="290" t="n"/>
      <c r="G285" s="220">
        <f>SUM(C285)-SUM(D285)</f>
        <v/>
      </c>
      <c r="H285" s="220">
        <f>SUM(E285)-SUM(F285)</f>
        <v/>
      </c>
      <c r="I285" s="221">
        <f>IF(A285="Total",VLOOKUP(B285,CORRESPONDANCE[#All],2,FALSE),I286)</f>
        <v/>
      </c>
      <c r="J285" s="350">
        <f>LEFT(A285,1)</f>
        <v/>
      </c>
      <c r="K285" s="347">
        <f>"VR7"&amp;" - "&amp;A285</f>
        <v/>
      </c>
      <c r="L285" s="347">
        <f>+VLOOKUP(K285,TL[],4,FALSE)</f>
        <v/>
      </c>
    </row>
    <row r="286" ht="15" customHeight="1" s="161">
      <c r="A286" s="290" t="n"/>
      <c r="B286" s="290" t="n"/>
      <c r="C286" s="290" t="n"/>
      <c r="D286" s="290" t="n"/>
      <c r="E286" s="290" t="n"/>
      <c r="F286" s="290" t="n"/>
      <c r="G286" s="220">
        <f>SUM(C286)-SUM(D286)</f>
        <v/>
      </c>
      <c r="H286" s="220">
        <f>SUM(E286)-SUM(F286)</f>
        <v/>
      </c>
      <c r="I286" s="221">
        <f>IF(A286="Total",VLOOKUP(B286,CORRESPONDANCE[#All],2,FALSE),I287)</f>
        <v/>
      </c>
      <c r="J286" s="350">
        <f>LEFT(A286,1)</f>
        <v/>
      </c>
      <c r="K286" s="347">
        <f>"VR7"&amp;" - "&amp;A286</f>
        <v/>
      </c>
      <c r="L286" s="347">
        <f>+VLOOKUP(K286,TL[],4,FALSE)</f>
        <v/>
      </c>
    </row>
    <row r="287" ht="15" customHeight="1" s="161">
      <c r="A287" s="290" t="n"/>
      <c r="B287" s="290" t="n"/>
      <c r="C287" s="290" t="n"/>
      <c r="D287" s="290" t="n"/>
      <c r="E287" s="290" t="n"/>
      <c r="F287" s="290" t="n"/>
      <c r="G287" s="220">
        <f>SUM(C287)-SUM(D287)</f>
        <v/>
      </c>
      <c r="H287" s="220">
        <f>SUM(E287)-SUM(F287)</f>
        <v/>
      </c>
      <c r="I287" s="221">
        <f>IF(A287="Total",VLOOKUP(B287,CORRESPONDANCE[#All],2,FALSE),I288)</f>
        <v/>
      </c>
      <c r="J287" s="350">
        <f>LEFT(A287,1)</f>
        <v/>
      </c>
      <c r="K287" s="347">
        <f>"VR7"&amp;" - "&amp;A287</f>
        <v/>
      </c>
      <c r="L287" s="347">
        <f>+VLOOKUP(K287,TL[],4,FALSE)</f>
        <v/>
      </c>
    </row>
    <row r="288" ht="15" customHeight="1" s="161">
      <c r="A288" s="290" t="n"/>
      <c r="B288" s="290" t="n"/>
      <c r="C288" s="290" t="n"/>
      <c r="D288" s="290" t="n"/>
      <c r="E288" s="290" t="n"/>
      <c r="F288" s="290" t="n"/>
      <c r="G288" s="220">
        <f>SUM(C288)-SUM(D288)</f>
        <v/>
      </c>
      <c r="H288" s="220">
        <f>SUM(E288)-SUM(F288)</f>
        <v/>
      </c>
      <c r="I288" s="221">
        <f>IF(A288="Total",VLOOKUP(B288,CORRESPONDANCE[#All],2,FALSE),I289)</f>
        <v/>
      </c>
      <c r="J288" s="350">
        <f>LEFT(A288,1)</f>
        <v/>
      </c>
      <c r="K288" s="347">
        <f>"VR7"&amp;" - "&amp;A288</f>
        <v/>
      </c>
      <c r="L288" s="347">
        <f>+VLOOKUP(K288,TL[],4,FALSE)</f>
        <v/>
      </c>
    </row>
    <row r="289" ht="15" customHeight="1" s="161">
      <c r="A289" s="290" t="n"/>
      <c r="B289" s="290" t="n"/>
      <c r="C289" s="290" t="n"/>
      <c r="D289" s="290" t="n"/>
      <c r="E289" s="290" t="n"/>
      <c r="F289" s="290" t="n"/>
      <c r="G289" s="220">
        <f>SUM(C289)-SUM(D289)</f>
        <v/>
      </c>
      <c r="H289" s="220">
        <f>SUM(E289)-SUM(F289)</f>
        <v/>
      </c>
      <c r="I289" s="221">
        <f>IF(A289="Total",VLOOKUP(B289,CORRESPONDANCE[#All],2,FALSE),I290)</f>
        <v/>
      </c>
      <c r="J289" s="350">
        <f>LEFT(A289,1)</f>
        <v/>
      </c>
      <c r="K289" s="347">
        <f>"VR7"&amp;" - "&amp;A289</f>
        <v/>
      </c>
      <c r="L289" s="347">
        <f>+VLOOKUP(K289,TL[],4,FALSE)</f>
        <v/>
      </c>
    </row>
    <row r="290" ht="15" customHeight="1" s="161">
      <c r="A290" s="290" t="n"/>
      <c r="B290" s="290" t="n"/>
      <c r="C290" s="290" t="n"/>
      <c r="D290" s="290" t="n"/>
      <c r="E290" s="290" t="n"/>
      <c r="F290" s="290" t="n"/>
      <c r="G290" s="220">
        <f>SUM(C290)-SUM(D290)</f>
        <v/>
      </c>
      <c r="H290" s="220">
        <f>SUM(E290)-SUM(F290)</f>
        <v/>
      </c>
      <c r="I290" s="221">
        <f>IF(A290="Total",VLOOKUP(B290,CORRESPONDANCE[#All],2,FALSE),I291)</f>
        <v/>
      </c>
      <c r="J290" s="350">
        <f>LEFT(A290,1)</f>
        <v/>
      </c>
      <c r="K290" s="347">
        <f>"VR7"&amp;" - "&amp;A290</f>
        <v/>
      </c>
      <c r="L290" s="347">
        <f>+VLOOKUP(K290,TL[],4,FALSE)</f>
        <v/>
      </c>
    </row>
    <row r="291" ht="15" customHeight="1" s="161">
      <c r="A291" s="290" t="n"/>
      <c r="B291" s="290" t="n"/>
      <c r="C291" s="290" t="n"/>
      <c r="D291" s="290" t="n"/>
      <c r="E291" s="290" t="n"/>
      <c r="F291" s="290" t="n"/>
      <c r="G291" s="220">
        <f>SUM(C291)-SUM(D291)</f>
        <v/>
      </c>
      <c r="H291" s="220">
        <f>SUM(E291)-SUM(F291)</f>
        <v/>
      </c>
      <c r="I291" s="221">
        <f>IF(A291="Total",VLOOKUP(B291,CORRESPONDANCE[#All],2,FALSE),I292)</f>
        <v/>
      </c>
      <c r="J291" s="350">
        <f>LEFT(A291,1)</f>
        <v/>
      </c>
      <c r="K291" s="347">
        <f>"VR7"&amp;" - "&amp;A291</f>
        <v/>
      </c>
      <c r="L291" s="347">
        <f>+VLOOKUP(K291,TL[],4,FALSE)</f>
        <v/>
      </c>
    </row>
    <row r="292" ht="15" customHeight="1" s="161">
      <c r="A292" s="290" t="n"/>
      <c r="B292" s="290" t="n"/>
      <c r="C292" s="290" t="n"/>
      <c r="D292" s="290" t="n"/>
      <c r="E292" s="290" t="n"/>
      <c r="F292" s="290" t="n"/>
    </row>
    <row r="293" ht="15" customHeight="1" s="161">
      <c r="A293" s="290" t="n"/>
      <c r="B293" s="290" t="n"/>
      <c r="C293" s="290" t="n"/>
      <c r="D293" s="290" t="n"/>
      <c r="E293" s="290" t="n"/>
      <c r="F293" s="290" t="n"/>
    </row>
    <row r="294" ht="15" customHeight="1" s="161">
      <c r="A294" s="290" t="n"/>
      <c r="B294" s="290" t="n"/>
      <c r="C294" s="290" t="n"/>
      <c r="D294" s="290" t="n"/>
      <c r="E294" s="290" t="n"/>
      <c r="F294" s="290" t="n"/>
    </row>
    <row r="295" ht="15" customHeight="1" s="161">
      <c r="A295" s="290" t="n"/>
      <c r="B295" s="290" t="n"/>
      <c r="C295" s="290" t="n"/>
      <c r="D295" s="290" t="n"/>
      <c r="E295" s="290" t="n"/>
      <c r="F295" s="290" t="n"/>
    </row>
    <row r="296" ht="15" customHeight="1" s="161">
      <c r="A296" s="290" t="n"/>
      <c r="B296" s="290" t="n"/>
      <c r="C296" s="290" t="n"/>
      <c r="D296" s="290" t="n"/>
      <c r="E296" s="290" t="n"/>
      <c r="F296" s="290" t="n"/>
    </row>
    <row r="297" ht="15" customHeight="1" s="161">
      <c r="A297" s="290" t="n"/>
      <c r="B297" s="290" t="n"/>
      <c r="C297" s="290" t="n"/>
      <c r="D297" s="290" t="n"/>
      <c r="E297" s="290" t="n"/>
      <c r="F297" s="290" t="n"/>
    </row>
    <row r="298" ht="15" customHeight="1" s="161">
      <c r="A298" s="290" t="n"/>
      <c r="B298" s="290" t="n"/>
      <c r="C298" s="290" t="n"/>
      <c r="D298" s="290" t="n"/>
      <c r="E298" s="290" t="n"/>
      <c r="F298" s="290" t="n"/>
    </row>
    <row r="299" ht="15" customHeight="1" s="161">
      <c r="A299" s="290" t="n"/>
      <c r="B299" s="290" t="n"/>
      <c r="C299" s="290" t="n"/>
      <c r="D299" s="290" t="n"/>
      <c r="E299" s="290" t="n"/>
      <c r="F299" s="290" t="n"/>
    </row>
    <row r="300" ht="15" customHeight="1" s="161">
      <c r="A300" s="290" t="n"/>
      <c r="B300" s="290" t="n"/>
      <c r="C300" s="290" t="n"/>
      <c r="D300" s="290" t="n"/>
      <c r="E300" s="290" t="n"/>
      <c r="F300" s="290" t="n"/>
    </row>
    <row r="301" ht="15" customHeight="1" s="161">
      <c r="A301" s="290" t="n"/>
      <c r="B301" s="290" t="n"/>
      <c r="C301" s="290" t="n"/>
      <c r="D301" s="290" t="n"/>
      <c r="E301" s="290" t="n"/>
      <c r="F301" s="290" t="n"/>
    </row>
    <row r="302" ht="15" customHeight="1" s="161">
      <c r="A302" s="290" t="n"/>
      <c r="B302" s="290" t="n"/>
      <c r="C302" s="290" t="n"/>
      <c r="D302" s="290" t="n"/>
      <c r="E302" s="290" t="n"/>
      <c r="F302" s="290" t="n"/>
    </row>
    <row r="303" ht="15" customHeight="1" s="161">
      <c r="A303" s="290" t="n"/>
      <c r="B303" s="290" t="n"/>
      <c r="C303" s="290" t="n"/>
      <c r="D303" s="290" t="n"/>
      <c r="E303" s="290" t="n"/>
      <c r="F303" s="290" t="n"/>
    </row>
    <row r="304" ht="15" customHeight="1" s="161">
      <c r="A304" s="290" t="n"/>
      <c r="B304" s="290" t="n"/>
      <c r="C304" s="290" t="n"/>
      <c r="D304" s="290" t="n"/>
      <c r="E304" s="290" t="n"/>
      <c r="F304" s="290" t="n"/>
    </row>
  </sheetData>
  <autoFilter ref="A1:L291"/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328"/>
  <sheetViews>
    <sheetView zoomScale="85" zoomScaleNormal="85" workbookViewId="0">
      <selection activeCell="A1" sqref="A1:F1048576"/>
    </sheetView>
  </sheetViews>
  <sheetFormatPr baseColWidth="10" defaultColWidth="11.5703125" defaultRowHeight="12.75"/>
  <cols>
    <col width="13.28515625" customWidth="1" style="223" min="7" max="8"/>
    <col width="11.5703125" customWidth="1" style="224" min="9" max="9"/>
    <col width="11.5703125" customWidth="1" style="347" min="10" max="16384"/>
  </cols>
  <sheetData>
    <row r="1">
      <c r="A1" s="348" t="inlineStr">
        <is>
          <t>Compte</t>
        </is>
      </c>
      <c r="B1" s="348" t="inlineStr">
        <is>
          <t>Libellé</t>
        </is>
      </c>
      <c r="C1" s="348" t="inlineStr">
        <is>
          <t>Solde du 01/01/2025 au 31/01/2025 : Débit</t>
        </is>
      </c>
      <c r="D1" s="348" t="inlineStr">
        <is>
          <t>Solde du 01/01/2025 au 31/01/2025 : Crédit</t>
        </is>
      </c>
      <c r="E1" s="348" t="inlineStr">
        <is>
          <t>Solde du 01/01/2025 au 31/01/2025 : Débit</t>
        </is>
      </c>
      <c r="F1" s="348" t="inlineStr">
        <is>
          <t>Solde du 01/01/2025 au 31/01/2025 : Crédit</t>
        </is>
      </c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>
      <c r="A2" s="348" t="inlineStr">
        <is>
          <t>701001</t>
        </is>
      </c>
      <c r="B2" s="348" t="inlineStr">
        <is>
          <t>Ventes non alimentaires</t>
        </is>
      </c>
      <c r="C2" s="348" t="n">
        <v>8593.67</v>
      </c>
      <c r="D2" s="348" t="inlineStr"/>
      <c r="E2" s="348" t="n">
        <v>8593.67</v>
      </c>
      <c r="F2" s="348" t="inlineStr"/>
      <c r="G2" s="220">
        <f>SUM(C2)-SUM(D2)</f>
        <v/>
      </c>
      <c r="H2" s="220">
        <f>SUM(E2)-SUM(F2)</f>
        <v/>
      </c>
      <c r="I2" s="221">
        <f>IF(A2="Total",VLOOKUP(B2,CORRESPONDANCE[#All],2,FALSE),I3)</f>
        <v/>
      </c>
      <c r="J2" s="350">
        <f>LEFT(A2,1)</f>
        <v/>
      </c>
      <c r="K2" s="347">
        <f>"TURVILLA"&amp;" - "&amp;A2</f>
        <v/>
      </c>
      <c r="L2" s="347">
        <f>+VLOOKUP(K2,TL[],4,FALSE)</f>
        <v/>
      </c>
    </row>
    <row r="3">
      <c r="A3" s="348" t="inlineStr">
        <is>
          <t>701002</t>
        </is>
      </c>
      <c r="B3" s="348" t="inlineStr">
        <is>
          <t>Vtes alim / place a 5.50%</t>
        </is>
      </c>
      <c r="C3" s="348" t="inlineStr"/>
      <c r="D3" s="348" t="n">
        <v>2024.06</v>
      </c>
      <c r="E3" s="348" t="inlineStr"/>
      <c r="F3" s="348" t="n">
        <v>2024.06</v>
      </c>
      <c r="G3" s="220">
        <f>SUM(C3)-SUM(D3)</f>
        <v/>
      </c>
      <c r="H3" s="220">
        <f>SUM(E3)-SUM(F3)</f>
        <v/>
      </c>
      <c r="I3" s="221">
        <f>IF(A3="Total",VLOOKUP(B3,CORRESPONDANCE[#All],2,FALSE),I4)</f>
        <v/>
      </c>
      <c r="J3" s="350">
        <f>LEFT(A3,1)</f>
        <v/>
      </c>
      <c r="K3" s="347">
        <f>"TURVILLA"&amp;" - "&amp;A3</f>
        <v/>
      </c>
      <c r="L3" s="347">
        <f>+VLOOKUP(K3,TL[],4,FALSE)</f>
        <v/>
      </c>
    </row>
    <row r="4">
      <c r="A4" s="348" t="inlineStr">
        <is>
          <t>701004</t>
        </is>
      </c>
      <c r="B4" s="348" t="inlineStr">
        <is>
          <t>Vtes alim /place a 20%</t>
        </is>
      </c>
      <c r="C4" s="348" t="inlineStr"/>
      <c r="D4" s="348" t="n">
        <v>1230.77</v>
      </c>
      <c r="E4" s="348" t="inlineStr"/>
      <c r="F4" s="348" t="n">
        <v>1230.77</v>
      </c>
      <c r="G4" s="220">
        <f>SUM(C4)-SUM(D4)</f>
        <v/>
      </c>
      <c r="H4" s="220">
        <f>SUM(E4)-SUM(F4)</f>
        <v/>
      </c>
      <c r="I4" s="221">
        <f>IF(A4="Total",VLOOKUP(B4,CORRESPONDANCE[#All],2,FALSE),I5)</f>
        <v/>
      </c>
      <c r="J4" s="350">
        <f>LEFT(A4,1)</f>
        <v/>
      </c>
      <c r="K4" s="347">
        <f>"TURVILLA"&amp;" - "&amp;A4</f>
        <v/>
      </c>
      <c r="L4" s="347">
        <f>+VLOOKUP(K4,TL[],4,FALSE)</f>
        <v/>
      </c>
    </row>
    <row r="5">
      <c r="A5" s="348" t="inlineStr">
        <is>
          <t>701005</t>
        </is>
      </c>
      <c r="B5" s="348" t="inlineStr">
        <is>
          <t>Vtes alim /place a 10%</t>
        </is>
      </c>
      <c r="C5" s="348" t="inlineStr"/>
      <c r="D5" s="348" t="n">
        <v>463206.78</v>
      </c>
      <c r="E5" s="348" t="inlineStr"/>
      <c r="F5" s="348" t="n">
        <v>463206.78</v>
      </c>
      <c r="G5" s="220">
        <f>SUM(C5)-SUM(D5)</f>
        <v/>
      </c>
      <c r="H5" s="220">
        <f>SUM(E5)-SUM(F5)</f>
        <v/>
      </c>
      <c r="I5" s="221">
        <f>IF(A5="Total",VLOOKUP(B5,CORRESPONDANCE[#All],2,FALSE),I6)</f>
        <v/>
      </c>
      <c r="J5" s="350">
        <f>LEFT(A5,1)</f>
        <v/>
      </c>
      <c r="K5" s="347">
        <f>"TURVILLA"&amp;" - "&amp;A5</f>
        <v/>
      </c>
      <c r="L5" s="347">
        <f>+VLOOKUP(K5,TL[],4,FALSE)</f>
        <v/>
      </c>
    </row>
    <row r="6">
      <c r="A6" s="348" t="inlineStr">
        <is>
          <t>Total</t>
        </is>
      </c>
      <c r="B6" s="348" t="inlineStr">
        <is>
          <t>Table n°2  -  Ventes produits alimentaires</t>
        </is>
      </c>
      <c r="C6" s="348" t="inlineStr"/>
      <c r="D6" s="348" t="n">
        <v>457867.94</v>
      </c>
      <c r="E6" s="348" t="inlineStr"/>
      <c r="F6" s="348" t="n">
        <v>457867.94</v>
      </c>
      <c r="G6" s="220">
        <f>SUM(C6)-SUM(D6)</f>
        <v/>
      </c>
      <c r="H6" s="220">
        <f>SUM(E6)-SUM(F6)</f>
        <v/>
      </c>
      <c r="I6" s="221">
        <f>IF(A6="Total",VLOOKUP(B6,CORRESPONDANCE[#All],2,FALSE),I7)</f>
        <v/>
      </c>
      <c r="J6" s="350">
        <f>LEFT(A6,1)</f>
        <v/>
      </c>
      <c r="K6" s="347">
        <f>"TURVILLA"&amp;" - "&amp;A6</f>
        <v/>
      </c>
      <c r="L6" s="347">
        <f>+VLOOKUP(K6,TL[],4,FALSE)</f>
        <v/>
      </c>
    </row>
    <row r="7">
      <c r="A7" s="348" t="inlineStr">
        <is>
          <t>601100</t>
        </is>
      </c>
      <c r="B7" s="348" t="inlineStr">
        <is>
          <t>Achats alimentaires</t>
        </is>
      </c>
      <c r="C7" s="348" t="n">
        <v>103513.01</v>
      </c>
      <c r="D7" s="348" t="inlineStr"/>
      <c r="E7" s="348" t="n">
        <v>103513.01</v>
      </c>
      <c r="F7" s="348" t="inlineStr"/>
      <c r="G7" s="220">
        <f>SUM(C7)-SUM(D7)</f>
        <v/>
      </c>
      <c r="H7" s="220">
        <f>SUM(E7)-SUM(F7)</f>
        <v/>
      </c>
      <c r="I7" s="221">
        <f>IF(A7="Total",VLOOKUP(B7,CORRESPONDANCE[#All],2,FALSE),I8)</f>
        <v/>
      </c>
      <c r="J7" s="350">
        <f>LEFT(A7,1)</f>
        <v/>
      </c>
      <c r="K7" s="347">
        <f>"TURVILLA"&amp;" - "&amp;A7</f>
        <v/>
      </c>
      <c r="L7" s="347">
        <f>+VLOOKUP(K7,TL[],4,FALSE)</f>
        <v/>
      </c>
    </row>
    <row r="8">
      <c r="A8" s="348" t="inlineStr">
        <is>
          <t>603100</t>
        </is>
      </c>
      <c r="B8" s="348" t="inlineStr">
        <is>
          <t>Variat. stocks mat. premières/fourn</t>
        </is>
      </c>
      <c r="C8" s="348" t="n">
        <v>2459.92</v>
      </c>
      <c r="D8" s="348" t="inlineStr"/>
      <c r="E8" s="348" t="n">
        <v>2459.92</v>
      </c>
      <c r="F8" s="348" t="inlineStr"/>
      <c r="G8" s="220">
        <f>SUM(C8)-SUM(D8)</f>
        <v/>
      </c>
      <c r="H8" s="220">
        <f>SUM(E8)-SUM(F8)</f>
        <v/>
      </c>
      <c r="I8" s="221">
        <f>IF(A8="Total",VLOOKUP(B8,CORRESPONDANCE[#All],2,FALSE),I9)</f>
        <v/>
      </c>
      <c r="J8" s="350">
        <f>LEFT(A8,1)</f>
        <v/>
      </c>
      <c r="K8" s="347">
        <f>"TURVILLA"&amp;" - "&amp;A8</f>
        <v/>
      </c>
      <c r="L8" s="347">
        <f>+VLOOKUP(K8,TL[],4,FALSE)</f>
        <v/>
      </c>
    </row>
    <row r="9">
      <c r="A9" s="348" t="inlineStr">
        <is>
          <t>635210</t>
        </is>
      </c>
      <c r="B9" s="348" t="inlineStr">
        <is>
          <t>Taxe sur les boissons sucrees</t>
        </is>
      </c>
      <c r="C9" s="348" t="n">
        <v>1591</v>
      </c>
      <c r="D9" s="348" t="inlineStr"/>
      <c r="E9" s="348" t="n">
        <v>1591</v>
      </c>
      <c r="F9" s="348" t="inlineStr"/>
      <c r="G9" s="220">
        <f>SUM(C9)-SUM(D9)</f>
        <v/>
      </c>
      <c r="H9" s="220">
        <f>SUM(E9)-SUM(F9)</f>
        <v/>
      </c>
      <c r="I9" s="221">
        <f>IF(A9="Total",VLOOKUP(B9,CORRESPONDANCE[#All],2,FALSE),I10)</f>
        <v/>
      </c>
      <c r="J9" s="350">
        <f>LEFT(A9,1)</f>
        <v/>
      </c>
      <c r="K9" s="347">
        <f>"TURVILLA"&amp;" - "&amp;A9</f>
        <v/>
      </c>
      <c r="L9" s="347">
        <f>+VLOOKUP(K9,TL[],4,FALSE)</f>
        <v/>
      </c>
    </row>
    <row r="10">
      <c r="A10" s="348" t="inlineStr">
        <is>
          <t>708000</t>
        </is>
      </c>
      <c r="B10" s="348" t="inlineStr">
        <is>
          <t>Remise martin brower</t>
        </is>
      </c>
      <c r="C10" s="348" t="inlineStr"/>
      <c r="D10" s="348" t="n">
        <v>3244.68</v>
      </c>
      <c r="E10" s="348" t="inlineStr"/>
      <c r="F10" s="348" t="n">
        <v>3244.68</v>
      </c>
      <c r="G10" s="220">
        <f>SUM(C10)-SUM(D10)</f>
        <v/>
      </c>
      <c r="H10" s="220">
        <f>SUM(E10)-SUM(F10)</f>
        <v/>
      </c>
      <c r="I10" s="221">
        <f>IF(A10="Total",VLOOKUP(B10,CORRESPONDANCE[#All],2,FALSE),I11)</f>
        <v/>
      </c>
      <c r="J10" s="350">
        <f>LEFT(A10,1)</f>
        <v/>
      </c>
      <c r="K10" s="347">
        <f>"TURVILLA"&amp;" - "&amp;A10</f>
        <v/>
      </c>
      <c r="L10" s="347">
        <f>+VLOOKUP(K10,TL[],4,FALSE)</f>
        <v/>
      </c>
    </row>
    <row r="11">
      <c r="A11" s="348" t="inlineStr">
        <is>
          <t>Total</t>
        </is>
      </c>
      <c r="B11" s="348" t="inlineStr">
        <is>
          <t>Table n°2  -  Coût nourriture : achat nourriture</t>
        </is>
      </c>
      <c r="C11" s="348" t="n">
        <v>104319.25</v>
      </c>
      <c r="D11" s="348" t="inlineStr"/>
      <c r="E11" s="348" t="n">
        <v>104319.25</v>
      </c>
      <c r="F11" s="348" t="inlineStr"/>
      <c r="G11" s="220">
        <f>SUM(C11)-SUM(D11)</f>
        <v/>
      </c>
      <c r="H11" s="220">
        <f>SUM(E11)-SUM(F11)</f>
        <v/>
      </c>
      <c r="I11" s="221">
        <f>IF(A11="Total",VLOOKUP(B11,CORRESPONDANCE[#All],2,FALSE),I12)</f>
        <v/>
      </c>
      <c r="J11" s="350">
        <f>LEFT(A11,1)</f>
        <v/>
      </c>
      <c r="K11" s="347">
        <f>"TURVILLA"&amp;" - "&amp;A11</f>
        <v/>
      </c>
      <c r="L11" s="347">
        <f>+VLOOKUP(K11,TL[],4,FALSE)</f>
        <v/>
      </c>
    </row>
    <row r="12">
      <c r="A12" s="348" t="inlineStr">
        <is>
          <t>601103</t>
        </is>
      </c>
      <c r="B12" s="348" t="inlineStr">
        <is>
          <t>Repas employes</t>
        </is>
      </c>
      <c r="C12" s="348" t="n">
        <v>1982.79</v>
      </c>
      <c r="D12" s="348" t="inlineStr"/>
      <c r="E12" s="348" t="n">
        <v>1982.79</v>
      </c>
      <c r="F12" s="348" t="inlineStr"/>
      <c r="G12" s="220">
        <f>SUM(C12)-SUM(D12)</f>
        <v/>
      </c>
      <c r="H12" s="220">
        <f>SUM(E12)-SUM(F12)</f>
        <v/>
      </c>
      <c r="I12" s="221">
        <f>IF(A12="Total",VLOOKUP(B12,CORRESPONDANCE[#All],2,FALSE),I13)</f>
        <v/>
      </c>
      <c r="J12" s="350">
        <f>LEFT(A12,1)</f>
        <v/>
      </c>
      <c r="K12" s="347">
        <f>"TURVILLA"&amp;" - "&amp;A12</f>
        <v/>
      </c>
      <c r="L12" s="347">
        <f>+VLOOKUP(K12,TL[],4,FALSE)</f>
        <v/>
      </c>
    </row>
    <row r="13">
      <c r="A13" s="348" t="inlineStr">
        <is>
          <t>Total</t>
        </is>
      </c>
      <c r="B13" s="348" t="inlineStr">
        <is>
          <t>Table n°2  -  Repas employés</t>
        </is>
      </c>
      <c r="C13" s="348" t="n">
        <v>1982.79</v>
      </c>
      <c r="D13" s="348" t="inlineStr"/>
      <c r="E13" s="348" t="n">
        <v>1982.79</v>
      </c>
      <c r="F13" s="348" t="inlineStr"/>
      <c r="G13" s="220">
        <f>SUM(C13)-SUM(D13)</f>
        <v/>
      </c>
      <c r="H13" s="220">
        <f>SUM(E13)-SUM(F13)</f>
        <v/>
      </c>
      <c r="I13" s="221">
        <f>IF(A13="Total",VLOOKUP(B13,CORRESPONDANCE[#All],2,FALSE),I14)</f>
        <v/>
      </c>
      <c r="J13" s="350">
        <f>LEFT(A13,1)</f>
        <v/>
      </c>
      <c r="K13" s="347">
        <f>"TURVILLA"&amp;" - "&amp;A13</f>
        <v/>
      </c>
      <c r="L13" s="347">
        <f>+VLOOKUP(K13,TL[],4,FALSE)</f>
        <v/>
      </c>
    </row>
    <row r="14">
      <c r="A14" s="348" t="inlineStr">
        <is>
          <t>601102</t>
        </is>
      </c>
      <c r="B14" s="348" t="inlineStr">
        <is>
          <t>Dechets</t>
        </is>
      </c>
      <c r="C14" s="348" t="n">
        <v>2641.78</v>
      </c>
      <c r="D14" s="348" t="inlineStr"/>
      <c r="E14" s="348" t="n">
        <v>2641.78</v>
      </c>
      <c r="F14" s="348" t="inlineStr"/>
      <c r="G14" s="220">
        <f>SUM(C14)-SUM(D14)</f>
        <v/>
      </c>
      <c r="H14" s="220">
        <f>SUM(E14)-SUM(F14)</f>
        <v/>
      </c>
      <c r="I14" s="221">
        <f>IF(A14="Total",VLOOKUP(B14,CORRESPONDANCE[#All],2,FALSE),I15)</f>
        <v/>
      </c>
      <c r="J14" s="350">
        <f>LEFT(A14,1)</f>
        <v/>
      </c>
      <c r="K14" s="347">
        <f>"TURVILLA"&amp;" - "&amp;A14</f>
        <v/>
      </c>
      <c r="L14" s="347">
        <f>+VLOOKUP(K14,TL[],4,FALSE)</f>
        <v/>
      </c>
    </row>
    <row r="15">
      <c r="A15" s="348" t="inlineStr">
        <is>
          <t>Total</t>
        </is>
      </c>
      <c r="B15" s="348" t="inlineStr">
        <is>
          <t>Table n°2  -  Déchets Pertes</t>
        </is>
      </c>
      <c r="C15" s="348" t="n">
        <v>2641.78</v>
      </c>
      <c r="D15" s="348" t="inlineStr"/>
      <c r="E15" s="348" t="n">
        <v>2641.78</v>
      </c>
      <c r="F15" s="348" t="inlineStr"/>
      <c r="G15" s="220">
        <f>SUM(C15)-SUM(D15)</f>
        <v/>
      </c>
      <c r="H15" s="220">
        <f>SUM(E15)-SUM(F15)</f>
        <v/>
      </c>
      <c r="I15" s="221">
        <f>IF(A15="Total",VLOOKUP(B15,CORRESPONDANCE[#All],2,FALSE),I16)</f>
        <v/>
      </c>
      <c r="J15" s="350">
        <f>LEFT(A15,1)</f>
        <v/>
      </c>
      <c r="K15" s="347">
        <f>"TURVILLA"&amp;" - "&amp;A15</f>
        <v/>
      </c>
      <c r="L15" s="347">
        <f>+VLOOKUP(K15,TL[],4,FALSE)</f>
        <v/>
      </c>
    </row>
    <row r="16">
      <c r="A16" s="348" t="inlineStr">
        <is>
          <t>602201</t>
        </is>
      </c>
      <c r="B16" s="348" t="inlineStr">
        <is>
          <t>Emballages</t>
        </is>
      </c>
      <c r="C16" s="348" t="n">
        <v>10628.82</v>
      </c>
      <c r="D16" s="348" t="inlineStr"/>
      <c r="E16" s="348" t="n">
        <v>10628.82</v>
      </c>
      <c r="F16" s="348" t="inlineStr"/>
      <c r="G16" s="220">
        <f>SUM(C16)-SUM(D16)</f>
        <v/>
      </c>
      <c r="H16" s="220">
        <f>SUM(E16)-SUM(F16)</f>
        <v/>
      </c>
      <c r="I16" s="221">
        <f>IF(A16="Total",VLOOKUP(B16,CORRESPONDANCE[#All],2,FALSE),I17)</f>
        <v/>
      </c>
      <c r="J16" s="350">
        <f>LEFT(A16,1)</f>
        <v/>
      </c>
      <c r="K16" s="347">
        <f>"TURVILLA"&amp;" - "&amp;A16</f>
        <v/>
      </c>
      <c r="L16" s="347">
        <f>+VLOOKUP(K16,TL[],4,FALSE)</f>
        <v/>
      </c>
    </row>
    <row r="17">
      <c r="A17" s="348" t="inlineStr">
        <is>
          <t>603200</t>
        </is>
      </c>
      <c r="B17" s="348" t="inlineStr">
        <is>
          <t>Variat. stocks autres approvist.</t>
        </is>
      </c>
      <c r="C17" s="348" t="inlineStr"/>
      <c r="D17" s="348" t="n">
        <v>1014.83</v>
      </c>
      <c r="E17" s="348" t="inlineStr"/>
      <c r="F17" s="348" t="n">
        <v>1014.83</v>
      </c>
      <c r="G17" s="220">
        <f>SUM(C17)-SUM(D17)</f>
        <v/>
      </c>
      <c r="H17" s="220">
        <f>SUM(E17)-SUM(F17)</f>
        <v/>
      </c>
      <c r="I17" s="221">
        <f>IF(A17="Total",VLOOKUP(B17,CORRESPONDANCE[#All],2,FALSE),I18)</f>
        <v/>
      </c>
      <c r="J17" s="350">
        <f>LEFT(A17,1)</f>
        <v/>
      </c>
      <c r="K17" s="347">
        <f>"TURVILLA"&amp;" - "&amp;A17</f>
        <v/>
      </c>
      <c r="L17" s="347">
        <f>+VLOOKUP(K17,TL[],4,FALSE)</f>
        <v/>
      </c>
    </row>
    <row r="18">
      <c r="A18" s="348" t="inlineStr">
        <is>
          <t>Total</t>
        </is>
      </c>
      <c r="B18" s="348" t="inlineStr">
        <is>
          <t>Table n°2  -  Coût emballages</t>
        </is>
      </c>
      <c r="C18" s="348" t="n">
        <v>9613.99</v>
      </c>
      <c r="D18" s="348" t="inlineStr"/>
      <c r="E18" s="348" t="n">
        <v>9613.99</v>
      </c>
      <c r="F18" s="348" t="inlineStr"/>
      <c r="G18" s="220">
        <f>SUM(C18)-SUM(D18)</f>
        <v/>
      </c>
      <c r="H18" s="220">
        <f>SUM(E18)-SUM(F18)</f>
        <v/>
      </c>
      <c r="I18" s="221">
        <f>IF(A18="Total",VLOOKUP(B18,CORRESPONDANCE[#All],2,FALSE),I19)</f>
        <v/>
      </c>
      <c r="J18" s="350">
        <f>LEFT(A18,1)</f>
        <v/>
      </c>
      <c r="K18" s="347">
        <f>"TURVILLA"&amp;" - "&amp;A18</f>
        <v/>
      </c>
      <c r="L18" s="347">
        <f>+VLOOKUP(K18,TL[],4,FALSE)</f>
        <v/>
      </c>
    </row>
    <row r="19">
      <c r="A19" s="348" t="inlineStr">
        <is>
          <t>602612</t>
        </is>
      </c>
      <c r="B19" s="348" t="inlineStr">
        <is>
          <t>Vaisselle réutilisable</t>
        </is>
      </c>
      <c r="C19" s="348" t="n">
        <v>418.2</v>
      </c>
      <c r="D19" s="348" t="inlineStr"/>
      <c r="E19" s="348" t="n">
        <v>418.2</v>
      </c>
      <c r="F19" s="348" t="inlineStr"/>
      <c r="G19" s="220">
        <f>SUM(C19)-SUM(D19)</f>
        <v/>
      </c>
      <c r="H19" s="220">
        <f>SUM(E19)-SUM(F19)</f>
        <v/>
      </c>
      <c r="I19" s="221">
        <f>IF(A19="Total",VLOOKUP(B19,CORRESPONDANCE[#All],2,FALSE),I20)</f>
        <v/>
      </c>
      <c r="J19" s="350">
        <f>LEFT(A19,1)</f>
        <v/>
      </c>
      <c r="K19" s="347">
        <f>"TURVILLA"&amp;" - "&amp;A19</f>
        <v/>
      </c>
      <c r="L19" s="347">
        <f>+VLOOKUP(K19,TL[],4,FALSE)</f>
        <v/>
      </c>
    </row>
    <row r="20">
      <c r="A20" s="348" t="inlineStr">
        <is>
          <t>603201</t>
        </is>
      </c>
      <c r="B20" s="348" t="inlineStr">
        <is>
          <t>Variat. stocks vaisselle</t>
        </is>
      </c>
      <c r="C20" s="348" t="inlineStr"/>
      <c r="D20" s="348" t="n">
        <v>2204.39</v>
      </c>
      <c r="E20" s="348" t="inlineStr"/>
      <c r="F20" s="348" t="n">
        <v>2204.39</v>
      </c>
      <c r="G20" s="220">
        <f>SUM(C20)-SUM(D20)</f>
        <v/>
      </c>
      <c r="H20" s="220">
        <f>SUM(E20)-SUM(F20)</f>
        <v/>
      </c>
      <c r="I20" s="221">
        <f>IF(A20="Total",VLOOKUP(B20,CORRESPONDANCE[#All],2,FALSE),I21)</f>
        <v/>
      </c>
      <c r="J20" s="350">
        <f>LEFT(A20,1)</f>
        <v/>
      </c>
      <c r="K20" s="347">
        <f>"TURVILLA"&amp;" - "&amp;A20</f>
        <v/>
      </c>
      <c r="L20" s="347">
        <f>+VLOOKUP(K20,TL[],4,FALSE)</f>
        <v/>
      </c>
    </row>
    <row r="21">
      <c r="A21" s="348" t="inlineStr">
        <is>
          <t>Total</t>
        </is>
      </c>
      <c r="B21" s="348" t="inlineStr">
        <is>
          <t>Table n°2  -  Vaisselle réutilisable</t>
        </is>
      </c>
      <c r="C21" s="348" t="inlineStr"/>
      <c r="D21" s="348" t="n">
        <v>1786.19</v>
      </c>
      <c r="E21" s="348" t="inlineStr"/>
      <c r="F21" s="348" t="n">
        <v>1786.19</v>
      </c>
      <c r="G21" s="220">
        <f>SUM(C21)-SUM(D21)</f>
        <v/>
      </c>
      <c r="H21" s="220">
        <f>SUM(E21)-SUM(F21)</f>
        <v/>
      </c>
      <c r="I21" s="221">
        <f>IF(A21="Total",VLOOKUP(B21,CORRESPONDANCE[#All],2,FALSE),I22)</f>
        <v/>
      </c>
      <c r="J21" s="350">
        <f>LEFT(A21,1)</f>
        <v/>
      </c>
      <c r="K21" s="347">
        <f>"TURVILLA"&amp;" - "&amp;A21</f>
        <v/>
      </c>
      <c r="L21" s="347">
        <f>+VLOOKUP(K21,TL[],4,FALSE)</f>
        <v/>
      </c>
    </row>
    <row r="22">
      <c r="A22" s="348" t="inlineStr">
        <is>
          <t>641030</t>
        </is>
      </c>
      <c r="B22" s="348" t="inlineStr">
        <is>
          <t>Remunerations equipiers</t>
        </is>
      </c>
      <c r="C22" s="348" t="n">
        <v>61533.25</v>
      </c>
      <c r="D22" s="348" t="inlineStr"/>
      <c r="E22" s="348" t="n">
        <v>61533.25</v>
      </c>
      <c r="F22" s="348" t="inlineStr"/>
      <c r="G22" s="220">
        <f>SUM(C22)-SUM(D22)</f>
        <v/>
      </c>
      <c r="H22" s="220">
        <f>SUM(E22)-SUM(F22)</f>
        <v/>
      </c>
      <c r="I22" s="221">
        <f>IF(A22="Total",VLOOKUP(B22,CORRESPONDANCE[#All],2,FALSE),I23)</f>
        <v/>
      </c>
      <c r="J22" s="350">
        <f>LEFT(A22,1)</f>
        <v/>
      </c>
      <c r="K22" s="347">
        <f>"TURVILLA"&amp;" - "&amp;A22</f>
        <v/>
      </c>
      <c r="L22" s="347">
        <f>+VLOOKUP(K22,TL[],4,FALSE)</f>
        <v/>
      </c>
    </row>
    <row r="23">
      <c r="A23" s="348" t="inlineStr">
        <is>
          <t>641063</t>
        </is>
      </c>
      <c r="B23" s="348" t="inlineStr">
        <is>
          <t>Avantage nature equipiers</t>
        </is>
      </c>
      <c r="C23" s="348" t="n">
        <v>2266.14</v>
      </c>
      <c r="D23" s="348" t="inlineStr"/>
      <c r="E23" s="348" t="n">
        <v>2266.14</v>
      </c>
      <c r="F23" s="348" t="inlineStr"/>
      <c r="G23" s="220">
        <f>SUM(C23)-SUM(D23)</f>
        <v/>
      </c>
      <c r="H23" s="220">
        <f>SUM(E23)-SUM(F23)</f>
        <v/>
      </c>
      <c r="I23" s="221">
        <f>IF(A23="Total",VLOOKUP(B23,CORRESPONDANCE[#All],2,FALSE),I24)</f>
        <v/>
      </c>
      <c r="J23" s="350">
        <f>LEFT(A23,1)</f>
        <v/>
      </c>
      <c r="K23" s="347">
        <f>"TURVILLA"&amp;" - "&amp;A23</f>
        <v/>
      </c>
      <c r="L23" s="347">
        <f>+VLOOKUP(K23,TL[],4,FALSE)</f>
        <v/>
      </c>
    </row>
    <row r="24">
      <c r="A24" s="348" t="inlineStr">
        <is>
          <t>641230</t>
        </is>
      </c>
      <c r="B24" s="348" t="inlineStr">
        <is>
          <t>Prov c payes equipiers</t>
        </is>
      </c>
      <c r="C24" s="348" t="n">
        <v>2555.52</v>
      </c>
      <c r="D24" s="348" t="inlineStr"/>
      <c r="E24" s="348" t="n">
        <v>2555.52</v>
      </c>
      <c r="F24" s="348" t="inlineStr"/>
      <c r="G24" s="220">
        <f>SUM(C24)-SUM(D24)</f>
        <v/>
      </c>
      <c r="H24" s="220">
        <f>SUM(E24)-SUM(F24)</f>
        <v/>
      </c>
      <c r="I24" s="221">
        <f>IF(A24="Total",VLOOKUP(B24,CORRESPONDANCE[#All],2,FALSE),I25)</f>
        <v/>
      </c>
      <c r="J24" s="350">
        <f>LEFT(A24,1)</f>
        <v/>
      </c>
      <c r="K24" s="347">
        <f>"TURVILLA"&amp;" - "&amp;A24</f>
        <v/>
      </c>
      <c r="L24" s="347">
        <f>+VLOOKUP(K24,TL[],4,FALSE)</f>
        <v/>
      </c>
    </row>
    <row r="25">
      <c r="A25" s="348" t="inlineStr">
        <is>
          <t>641410</t>
        </is>
      </c>
      <c r="B25" s="348" t="inlineStr">
        <is>
          <t>Indemnites blanchissage équipiers</t>
        </is>
      </c>
      <c r="C25" s="348" t="n">
        <v>741.49</v>
      </c>
      <c r="D25" s="348" t="inlineStr"/>
      <c r="E25" s="348" t="n">
        <v>741.49</v>
      </c>
      <c r="F25" s="348" t="inlineStr"/>
      <c r="G25" s="220">
        <f>SUM(C25)-SUM(D25)</f>
        <v/>
      </c>
      <c r="H25" s="220">
        <f>SUM(E25)-SUM(F25)</f>
        <v/>
      </c>
      <c r="I25" s="221">
        <f>IF(A25="Total",VLOOKUP(B25,CORRESPONDANCE[#All],2,FALSE),I26)</f>
        <v/>
      </c>
      <c r="J25" s="350">
        <f>LEFT(A25,1)</f>
        <v/>
      </c>
      <c r="K25" s="347">
        <f>"TURVILLA"&amp;" - "&amp;A25</f>
        <v/>
      </c>
      <c r="L25" s="347">
        <f>+VLOOKUP(K25,TL[],4,FALSE)</f>
        <v/>
      </c>
    </row>
    <row r="26">
      <c r="A26" s="348" t="inlineStr">
        <is>
          <t>708850</t>
        </is>
      </c>
      <c r="B26" s="348" t="inlineStr">
        <is>
          <t>Refact salaires equipiers</t>
        </is>
      </c>
      <c r="C26" s="348" t="inlineStr"/>
      <c r="D26" s="348" t="n">
        <v>224.57</v>
      </c>
      <c r="E26" s="348" t="inlineStr"/>
      <c r="F26" s="348" t="n">
        <v>224.57</v>
      </c>
      <c r="G26" s="220">
        <f>SUM(C26)-SUM(D26)</f>
        <v/>
      </c>
      <c r="H26" s="220">
        <f>SUM(E26)-SUM(F26)</f>
        <v/>
      </c>
      <c r="I26" s="221">
        <f>IF(A26="Total",VLOOKUP(B26,CORRESPONDANCE[#All],2,FALSE),I27)</f>
        <v/>
      </c>
      <c r="J26" s="350">
        <f>LEFT(A26,1)</f>
        <v/>
      </c>
      <c r="K26" s="347">
        <f>"TURVILLA"&amp;" - "&amp;A26</f>
        <v/>
      </c>
      <c r="L26" s="347">
        <f>+VLOOKUP(K26,TL[],4,FALSE)</f>
        <v/>
      </c>
    </row>
    <row r="27">
      <c r="A27" s="348" t="inlineStr">
        <is>
          <t>726100</t>
        </is>
      </c>
      <c r="B27" s="348" t="inlineStr">
        <is>
          <t>Avantage en nature equipiers</t>
        </is>
      </c>
      <c r="C27" s="348" t="inlineStr"/>
      <c r="D27" s="348" t="n">
        <v>2266.14</v>
      </c>
      <c r="E27" s="348" t="inlineStr"/>
      <c r="F27" s="348" t="n">
        <v>2266.14</v>
      </c>
      <c r="G27" s="220">
        <f>SUM(C27)-SUM(D27)</f>
        <v/>
      </c>
      <c r="H27" s="220">
        <f>SUM(E27)-SUM(F27)</f>
        <v/>
      </c>
      <c r="I27" s="221">
        <f>IF(A27="Total",VLOOKUP(B27,CORRESPONDANCE[#All],2,FALSE),I28)</f>
        <v/>
      </c>
      <c r="J27" s="350">
        <f>LEFT(A27,1)</f>
        <v/>
      </c>
      <c r="K27" s="347">
        <f>"TURVILLA"&amp;" - "&amp;A27</f>
        <v/>
      </c>
      <c r="L27" s="347">
        <f>+VLOOKUP(K27,TL[],4,FALSE)</f>
        <v/>
      </c>
    </row>
    <row r="28">
      <c r="A28" s="348" t="inlineStr">
        <is>
          <t>Total</t>
        </is>
      </c>
      <c r="B28" s="348" t="inlineStr">
        <is>
          <t>Table n°2  -  Main d'œuvre brute équipiers</t>
        </is>
      </c>
      <c r="C28" s="348" t="n">
        <v>64605.69</v>
      </c>
      <c r="D28" s="348" t="inlineStr"/>
      <c r="E28" s="348" t="n">
        <v>64605.69</v>
      </c>
      <c r="F28" s="348" t="inlineStr"/>
      <c r="G28" s="220">
        <f>SUM(C28)-SUM(D28)</f>
        <v/>
      </c>
      <c r="H28" s="220">
        <f>SUM(E28)-SUM(F28)</f>
        <v/>
      </c>
      <c r="I28" s="221">
        <f>IF(A28="Total",VLOOKUP(B28,CORRESPONDANCE[#All],2,FALSE),I29)</f>
        <v/>
      </c>
      <c r="J28" s="350">
        <f>LEFT(A28,1)</f>
        <v/>
      </c>
      <c r="K28" s="347">
        <f>"TURVILLA"&amp;" - "&amp;A28</f>
        <v/>
      </c>
      <c r="L28" s="347">
        <f>+VLOOKUP(K28,TL[],4,FALSE)</f>
        <v/>
      </c>
    </row>
    <row r="29">
      <c r="A29" s="348" t="inlineStr">
        <is>
          <t>645130</t>
        </is>
      </c>
      <c r="B29" s="348" t="inlineStr">
        <is>
          <t>Cotis. urssaf equipiers</t>
        </is>
      </c>
      <c r="C29" s="348" t="n">
        <v>3478.75</v>
      </c>
      <c r="D29" s="348" t="inlineStr"/>
      <c r="E29" s="348" t="n">
        <v>3478.75</v>
      </c>
      <c r="F29" s="348" t="inlineStr"/>
      <c r="G29" s="220">
        <f>SUM(C29)-SUM(D29)</f>
        <v/>
      </c>
      <c r="H29" s="220">
        <f>SUM(E29)-SUM(F29)</f>
        <v/>
      </c>
      <c r="I29" s="221">
        <f>IF(A29="Total",VLOOKUP(B29,CORRESPONDANCE[#All],2,FALSE),I30)</f>
        <v/>
      </c>
      <c r="J29" s="350">
        <f>LEFT(A29,1)</f>
        <v/>
      </c>
      <c r="K29" s="347">
        <f>"TURVILLA"&amp;" - "&amp;A29</f>
        <v/>
      </c>
      <c r="L29" s="347">
        <f>+VLOOKUP(K29,TL[],4,FALSE)</f>
        <v/>
      </c>
    </row>
    <row r="30">
      <c r="A30" s="348" t="inlineStr">
        <is>
          <t>645330</t>
        </is>
      </c>
      <c r="B30" s="348" t="inlineStr">
        <is>
          <t>Retraite équipiers</t>
        </is>
      </c>
      <c r="C30" s="348" t="n">
        <v>1021.79</v>
      </c>
      <c r="D30" s="348" t="inlineStr"/>
      <c r="E30" s="348" t="n">
        <v>1021.79</v>
      </c>
      <c r="F30" s="348" t="inlineStr"/>
      <c r="G30" s="220">
        <f>SUM(C30)-SUM(D30)</f>
        <v/>
      </c>
      <c r="H30" s="220">
        <f>SUM(E30)-SUM(F30)</f>
        <v/>
      </c>
      <c r="I30" s="221">
        <f>IF(A30="Total",VLOOKUP(B30,CORRESPONDANCE[#All],2,FALSE),I31)</f>
        <v/>
      </c>
      <c r="J30" s="350">
        <f>LEFT(A30,1)</f>
        <v/>
      </c>
      <c r="K30" s="347">
        <f>"TURVILLA"&amp;" - "&amp;A30</f>
        <v/>
      </c>
      <c r="L30" s="347">
        <f>+VLOOKUP(K30,TL[],4,FALSE)</f>
        <v/>
      </c>
    </row>
    <row r="31">
      <c r="A31" s="348" t="inlineStr">
        <is>
          <t>645430</t>
        </is>
      </c>
      <c r="B31" s="348" t="inlineStr">
        <is>
          <t>Assurance chômage equipiers</t>
        </is>
      </c>
      <c r="C31" s="348" t="n">
        <v>2039.24</v>
      </c>
      <c r="D31" s="348" t="inlineStr"/>
      <c r="E31" s="348" t="n">
        <v>2039.24</v>
      </c>
      <c r="F31" s="348" t="inlineStr"/>
      <c r="G31" s="220">
        <f>SUM(C31)-SUM(D31)</f>
        <v/>
      </c>
      <c r="H31" s="220">
        <f>SUM(E31)-SUM(F31)</f>
        <v/>
      </c>
      <c r="I31" s="221">
        <f>IF(A31="Total",VLOOKUP(B31,CORRESPONDANCE[#All],2,FALSE),I32)</f>
        <v/>
      </c>
      <c r="J31" s="350">
        <f>LEFT(A31,1)</f>
        <v/>
      </c>
      <c r="K31" s="347">
        <f>"TURVILLA"&amp;" - "&amp;A31</f>
        <v/>
      </c>
      <c r="L31" s="347">
        <f>+VLOOKUP(K31,TL[],4,FALSE)</f>
        <v/>
      </c>
    </row>
    <row r="32">
      <c r="A32" s="348" t="inlineStr">
        <is>
          <t>645530</t>
        </is>
      </c>
      <c r="B32" s="348" t="inlineStr">
        <is>
          <t>Mutuelle équipiers</t>
        </is>
      </c>
      <c r="C32" s="348" t="n">
        <v>708.84</v>
      </c>
      <c r="D32" s="348" t="inlineStr"/>
      <c r="E32" s="348" t="n">
        <v>708.84</v>
      </c>
      <c r="F32" s="348" t="inlineStr"/>
      <c r="G32" s="220">
        <f>SUM(C32)-SUM(D32)</f>
        <v/>
      </c>
      <c r="H32" s="220">
        <f>SUM(E32)-SUM(F32)</f>
        <v/>
      </c>
      <c r="I32" s="221">
        <f>IF(A32="Total",VLOOKUP(B32,CORRESPONDANCE[#All],2,FALSE),I33)</f>
        <v/>
      </c>
      <c r="J32" s="350">
        <f>LEFT(A32,1)</f>
        <v/>
      </c>
      <c r="K32" s="347">
        <f>"TURVILLA"&amp;" - "&amp;A32</f>
        <v/>
      </c>
      <c r="L32" s="347">
        <f>+VLOOKUP(K32,TL[],4,FALSE)</f>
        <v/>
      </c>
    </row>
    <row r="33">
      <c r="A33" s="348" t="inlineStr">
        <is>
          <t>645830</t>
        </is>
      </c>
      <c r="B33" s="348" t="inlineStr">
        <is>
          <t>Ch soc s prov cp equipier</t>
        </is>
      </c>
      <c r="C33" s="348" t="n">
        <v>341.97</v>
      </c>
      <c r="D33" s="348" t="inlineStr"/>
      <c r="E33" s="348" t="n">
        <v>341.97</v>
      </c>
      <c r="F33" s="348" t="inlineStr"/>
      <c r="G33" s="220">
        <f>SUM(C33)-SUM(D33)</f>
        <v/>
      </c>
      <c r="H33" s="220">
        <f>SUM(E33)-SUM(F33)</f>
        <v/>
      </c>
      <c r="I33" s="221">
        <f>IF(A33="Total",VLOOKUP(B33,CORRESPONDANCE[#All],2,FALSE),I34)</f>
        <v/>
      </c>
      <c r="J33" s="350">
        <f>LEFT(A33,1)</f>
        <v/>
      </c>
      <c r="K33" s="347">
        <f>"TURVILLA"&amp;" - "&amp;A33</f>
        <v/>
      </c>
      <c r="L33" s="347">
        <f>+VLOOKUP(K33,TL[],4,FALSE)</f>
        <v/>
      </c>
    </row>
    <row r="34">
      <c r="A34" s="348" t="inlineStr">
        <is>
          <t>708823</t>
        </is>
      </c>
      <c r="B34" s="348" t="inlineStr">
        <is>
          <t>Refacturation cs équipiers</t>
        </is>
      </c>
      <c r="C34" s="348" t="inlineStr"/>
      <c r="D34" s="348" t="n">
        <v>48.08</v>
      </c>
      <c r="E34" s="348" t="inlineStr"/>
      <c r="F34" s="348" t="n">
        <v>48.08</v>
      </c>
      <c r="G34" s="220">
        <f>SUM(C34)-SUM(D34)</f>
        <v/>
      </c>
      <c r="H34" s="220">
        <f>SUM(E34)-SUM(F34)</f>
        <v/>
      </c>
      <c r="I34" s="221">
        <f>IF(A34="Total",VLOOKUP(B34,CORRESPONDANCE[#All],2,FALSE),I35)</f>
        <v/>
      </c>
      <c r="J34" s="350">
        <f>LEFT(A34,1)</f>
        <v/>
      </c>
      <c r="K34" s="347">
        <f>"TURVILLA"&amp;" - "&amp;A34</f>
        <v/>
      </c>
      <c r="L34" s="347">
        <f>+VLOOKUP(K34,TL[],4,FALSE)</f>
        <v/>
      </c>
    </row>
    <row r="35">
      <c r="A35" s="348" t="inlineStr">
        <is>
          <t>Total</t>
        </is>
      </c>
      <c r="B35" s="348" t="inlineStr">
        <is>
          <t>Table n°2  -  Charges sociales équipiers</t>
        </is>
      </c>
      <c r="C35" s="348" t="n">
        <v>7542.51</v>
      </c>
      <c r="D35" s="348" t="inlineStr"/>
      <c r="E35" s="348" t="n">
        <v>7542.51</v>
      </c>
      <c r="F35" s="348" t="inlineStr"/>
      <c r="G35" s="220">
        <f>SUM(C35)-SUM(D35)</f>
        <v/>
      </c>
      <c r="H35" s="220">
        <f>SUM(E35)-SUM(F35)</f>
        <v/>
      </c>
      <c r="I35" s="221">
        <f>IF(A35="Total",VLOOKUP(B35,CORRESPONDANCE[#All],2,FALSE),I36)</f>
        <v/>
      </c>
      <c r="J35" s="350">
        <f>LEFT(A35,1)</f>
        <v/>
      </c>
      <c r="K35" s="347">
        <f>"TURVILLA"&amp;" - "&amp;A35</f>
        <v/>
      </c>
      <c r="L35" s="347">
        <f>+VLOOKUP(K35,TL[],4,FALSE)</f>
        <v/>
      </c>
    </row>
    <row r="36">
      <c r="A36" s="348" t="inlineStr">
        <is>
          <t>621407</t>
        </is>
      </c>
      <c r="B36" s="348" t="inlineStr">
        <is>
          <t>Prêt personnel managers</t>
        </is>
      </c>
      <c r="C36" s="348" t="n">
        <v>38.67</v>
      </c>
      <c r="D36" s="348" t="inlineStr"/>
      <c r="E36" s="348" t="n">
        <v>38.67</v>
      </c>
      <c r="F36" s="348" t="inlineStr"/>
      <c r="G36" s="220">
        <f>SUM(C36)-SUM(D36)</f>
        <v/>
      </c>
      <c r="H36" s="220">
        <f>SUM(E36)-SUM(F36)</f>
        <v/>
      </c>
      <c r="I36" s="221">
        <f>IF(A36="Total",VLOOKUP(B36,CORRESPONDANCE[#All],2,FALSE),I37)</f>
        <v/>
      </c>
      <c r="J36" s="350">
        <f>LEFT(A36,1)</f>
        <v/>
      </c>
      <c r="K36" s="347">
        <f>"TURVILLA"&amp;" - "&amp;A36</f>
        <v/>
      </c>
      <c r="L36" s="347">
        <f>+VLOOKUP(K36,TL[],4,FALSE)</f>
        <v/>
      </c>
    </row>
    <row r="37">
      <c r="A37" s="348" t="inlineStr">
        <is>
          <t>641020</t>
        </is>
      </c>
      <c r="B37" s="348" t="inlineStr">
        <is>
          <t>Remunerations managers</t>
        </is>
      </c>
      <c r="C37" s="348" t="n">
        <v>22625.69</v>
      </c>
      <c r="D37" s="348" t="inlineStr"/>
      <c r="E37" s="348" t="n">
        <v>22625.69</v>
      </c>
      <c r="F37" s="348" t="inlineStr"/>
      <c r="G37" s="220">
        <f>SUM(C37)-SUM(D37)</f>
        <v/>
      </c>
      <c r="H37" s="220">
        <f>SUM(E37)-SUM(F37)</f>
        <v/>
      </c>
      <c r="I37" s="221">
        <f>IF(A37="Total",VLOOKUP(B37,CORRESPONDANCE[#All],2,FALSE),I38)</f>
        <v/>
      </c>
      <c r="J37" s="350">
        <f>LEFT(A37,1)</f>
        <v/>
      </c>
      <c r="K37" s="347">
        <f>"TURVILLA"&amp;" - "&amp;A37</f>
        <v/>
      </c>
      <c r="L37" s="347">
        <f>+VLOOKUP(K37,TL[],4,FALSE)</f>
        <v/>
      </c>
    </row>
    <row r="38">
      <c r="A38" s="348" t="inlineStr">
        <is>
          <t>641064</t>
        </is>
      </c>
      <c r="B38" s="348" t="inlineStr">
        <is>
          <t>Avantage nature managers</t>
        </is>
      </c>
      <c r="C38" s="348" t="n">
        <v>341.82</v>
      </c>
      <c r="D38" s="348" t="inlineStr"/>
      <c r="E38" s="348" t="n">
        <v>341.82</v>
      </c>
      <c r="F38" s="348" t="inlineStr"/>
      <c r="G38" s="220">
        <f>SUM(C38)-SUM(D38)</f>
        <v/>
      </c>
      <c r="H38" s="220">
        <f>SUM(E38)-SUM(F38)</f>
        <v/>
      </c>
      <c r="I38" s="221">
        <f>IF(A38="Total",VLOOKUP(B38,CORRESPONDANCE[#All],2,FALSE),I39)</f>
        <v/>
      </c>
      <c r="J38" s="350">
        <f>LEFT(A38,1)</f>
        <v/>
      </c>
      <c r="K38" s="347">
        <f>"TURVILLA"&amp;" - "&amp;A38</f>
        <v/>
      </c>
      <c r="L38" s="347">
        <f>+VLOOKUP(K38,TL[],4,FALSE)</f>
        <v/>
      </c>
    </row>
    <row r="39">
      <c r="A39" s="348" t="inlineStr">
        <is>
          <t>641220</t>
        </is>
      </c>
      <c r="B39" s="348" t="inlineStr">
        <is>
          <t>Prov° c payes managers</t>
        </is>
      </c>
      <c r="C39" s="348" t="n">
        <v>1409.4</v>
      </c>
      <c r="D39" s="348" t="inlineStr"/>
      <c r="E39" s="348" t="n">
        <v>1409.4</v>
      </c>
      <c r="F39" s="348" t="inlineStr"/>
      <c r="G39" s="220">
        <f>SUM(C39)-SUM(D39)</f>
        <v/>
      </c>
      <c r="H39" s="220">
        <f>SUM(E39)-SUM(F39)</f>
        <v/>
      </c>
      <c r="I39" s="221">
        <f>IF(A39="Total",VLOOKUP(B39,CORRESPONDANCE[#All],2,FALSE),I40)</f>
        <v/>
      </c>
      <c r="J39" s="350">
        <f>LEFT(A39,1)</f>
        <v/>
      </c>
      <c r="K39" s="347">
        <f>"TURVILLA"&amp;" - "&amp;A39</f>
        <v/>
      </c>
      <c r="L39" s="347">
        <f>+VLOOKUP(K39,TL[],4,FALSE)</f>
        <v/>
      </c>
    </row>
    <row r="40">
      <c r="A40" s="348" t="inlineStr">
        <is>
          <t>641411</t>
        </is>
      </c>
      <c r="B40" s="348" t="inlineStr">
        <is>
          <t>Indemnites blanchissage managers</t>
        </is>
      </c>
      <c r="C40" s="348" t="n">
        <v>190.78</v>
      </c>
      <c r="D40" s="348" t="inlineStr"/>
      <c r="E40" s="348" t="n">
        <v>190.78</v>
      </c>
      <c r="F40" s="348" t="inlineStr"/>
      <c r="G40" s="220">
        <f>SUM(C40)-SUM(D40)</f>
        <v/>
      </c>
      <c r="H40" s="220">
        <f>SUM(E40)-SUM(F40)</f>
        <v/>
      </c>
      <c r="I40" s="221">
        <f>IF(A40="Total",VLOOKUP(B40,CORRESPONDANCE[#All],2,FALSE),I41)</f>
        <v/>
      </c>
      <c r="J40" s="350">
        <f>LEFT(A40,1)</f>
        <v/>
      </c>
      <c r="K40" s="347">
        <f>"TURVILLA"&amp;" - "&amp;A40</f>
        <v/>
      </c>
      <c r="L40" s="347">
        <f>+VLOOKUP(K40,TL[],4,FALSE)</f>
        <v/>
      </c>
    </row>
    <row r="41">
      <c r="A41" s="348" t="inlineStr">
        <is>
          <t>708840</t>
        </is>
      </c>
      <c r="B41" s="348" t="inlineStr">
        <is>
          <t>Refact salaires managers</t>
        </is>
      </c>
      <c r="C41" s="348" t="inlineStr"/>
      <c r="D41" s="348" t="n">
        <v>2588.67</v>
      </c>
      <c r="E41" s="348" t="inlineStr"/>
      <c r="F41" s="348" t="n">
        <v>2588.67</v>
      </c>
      <c r="G41" s="220">
        <f>SUM(C41)-SUM(D41)</f>
        <v/>
      </c>
      <c r="H41" s="220">
        <f>SUM(E41)-SUM(F41)</f>
        <v/>
      </c>
      <c r="I41" s="221">
        <f>IF(A41="Total",VLOOKUP(B41,CORRESPONDANCE[#All],2,FALSE),I42)</f>
        <v/>
      </c>
      <c r="J41" s="350">
        <f>LEFT(A41,1)</f>
        <v/>
      </c>
      <c r="K41" s="347">
        <f>"TURVILLA"&amp;" - "&amp;A41</f>
        <v/>
      </c>
      <c r="L41" s="347">
        <f>+VLOOKUP(K41,TL[],4,FALSE)</f>
        <v/>
      </c>
    </row>
    <row r="42">
      <c r="A42" s="348" t="inlineStr">
        <is>
          <t>726110</t>
        </is>
      </c>
      <c r="B42" s="348" t="inlineStr">
        <is>
          <t>Avantage en nature managers</t>
        </is>
      </c>
      <c r="C42" s="348" t="inlineStr"/>
      <c r="D42" s="348" t="n">
        <v>341.82</v>
      </c>
      <c r="E42" s="348" t="inlineStr"/>
      <c r="F42" s="348" t="n">
        <v>341.82</v>
      </c>
      <c r="G42" s="220">
        <f>SUM(C42)-SUM(D42)</f>
        <v/>
      </c>
      <c r="H42" s="220">
        <f>SUM(E42)-SUM(F42)</f>
        <v/>
      </c>
      <c r="I42" s="221">
        <f>IF(A42="Total",VLOOKUP(B42,CORRESPONDANCE[#All],2,FALSE),I43)</f>
        <v/>
      </c>
      <c r="J42" s="350">
        <f>LEFT(A42,1)</f>
        <v/>
      </c>
      <c r="K42" s="347">
        <f>"TURVILLA"&amp;" - "&amp;A42</f>
        <v/>
      </c>
      <c r="L42" s="347">
        <f>+VLOOKUP(K42,TL[],4,FALSE)</f>
        <v/>
      </c>
    </row>
    <row r="43">
      <c r="A43" s="348" t="inlineStr">
        <is>
          <t>Total</t>
        </is>
      </c>
      <c r="B43" s="348" t="inlineStr">
        <is>
          <t>Table n°2  -  Main d'œuvre brute équipe de gestio</t>
        </is>
      </c>
      <c r="C43" s="348" t="n">
        <v>21675.87</v>
      </c>
      <c r="D43" s="348" t="inlineStr"/>
      <c r="E43" s="348" t="n">
        <v>21675.87</v>
      </c>
      <c r="F43" s="348" t="inlineStr"/>
      <c r="G43" s="220">
        <f>SUM(C43)-SUM(D43)</f>
        <v/>
      </c>
      <c r="H43" s="220">
        <f>SUM(E43)-SUM(F43)</f>
        <v/>
      </c>
      <c r="I43" s="221">
        <f>IF(A43="Total",VLOOKUP(B43,CORRESPONDANCE[#All],2,FALSE),I44)</f>
        <v/>
      </c>
      <c r="J43" s="350">
        <f>LEFT(A43,1)</f>
        <v/>
      </c>
      <c r="K43" s="347">
        <f>"TURVILLA"&amp;" - "&amp;A43</f>
        <v/>
      </c>
      <c r="L43" s="347">
        <f>+VLOOKUP(K43,TL[],4,FALSE)</f>
        <v/>
      </c>
    </row>
    <row r="44">
      <c r="A44" s="348" t="inlineStr">
        <is>
          <t>621408</t>
        </is>
      </c>
      <c r="B44" s="348" t="inlineStr">
        <is>
          <t>Prêt personnel managers charges</t>
        </is>
      </c>
      <c r="C44" s="348" t="n">
        <v>10.99</v>
      </c>
      <c r="D44" s="348" t="inlineStr"/>
      <c r="E44" s="348" t="n">
        <v>10.99</v>
      </c>
      <c r="F44" s="348" t="inlineStr"/>
      <c r="G44" s="220">
        <f>SUM(C44)-SUM(D44)</f>
        <v/>
      </c>
      <c r="H44" s="220">
        <f>SUM(E44)-SUM(F44)</f>
        <v/>
      </c>
      <c r="I44" s="221">
        <f>IF(A44="Total",VLOOKUP(B44,CORRESPONDANCE[#All],2,FALSE),I45)</f>
        <v/>
      </c>
      <c r="J44" s="350">
        <f>LEFT(A44,1)</f>
        <v/>
      </c>
      <c r="K44" s="347">
        <f>"TURVILLA"&amp;" - "&amp;A44</f>
        <v/>
      </c>
      <c r="L44" s="347">
        <f>+VLOOKUP(K44,TL[],4,FALSE)</f>
        <v/>
      </c>
    </row>
    <row r="45">
      <c r="A45" s="348" t="inlineStr">
        <is>
          <t>645120</t>
        </is>
      </c>
      <c r="B45" s="348" t="inlineStr">
        <is>
          <t>Cotis urssaf managers</t>
        </is>
      </c>
      <c r="C45" s="348" t="n">
        <v>3724.88</v>
      </c>
      <c r="D45" s="348" t="inlineStr"/>
      <c r="E45" s="348" t="n">
        <v>3724.88</v>
      </c>
      <c r="F45" s="348" t="inlineStr"/>
      <c r="G45" s="220">
        <f>SUM(C45)-SUM(D45)</f>
        <v/>
      </c>
      <c r="H45" s="220">
        <f>SUM(E45)-SUM(F45)</f>
        <v/>
      </c>
      <c r="I45" s="221">
        <f>IF(A45="Total",VLOOKUP(B45,CORRESPONDANCE[#All],2,FALSE),I46)</f>
        <v/>
      </c>
      <c r="J45" s="350">
        <f>LEFT(A45,1)</f>
        <v/>
      </c>
      <c r="K45" s="347">
        <f>"TURVILLA"&amp;" - "&amp;A45</f>
        <v/>
      </c>
      <c r="L45" s="347">
        <f>+VLOOKUP(K45,TL[],4,FALSE)</f>
        <v/>
      </c>
    </row>
    <row r="46">
      <c r="A46" s="348" t="inlineStr">
        <is>
          <t>645320</t>
        </is>
      </c>
      <c r="B46" s="348" t="inlineStr">
        <is>
          <t>Retraite  managers</t>
        </is>
      </c>
      <c r="C46" s="348" t="n">
        <v>888.1</v>
      </c>
      <c r="D46" s="348" t="inlineStr"/>
      <c r="E46" s="348" t="n">
        <v>888.1</v>
      </c>
      <c r="F46" s="348" t="inlineStr"/>
      <c r="G46" s="220">
        <f>SUM(C46)-SUM(D46)</f>
        <v/>
      </c>
      <c r="H46" s="220">
        <f>SUM(E46)-SUM(F46)</f>
        <v/>
      </c>
      <c r="I46" s="221">
        <f>IF(A46="Total",VLOOKUP(B46,CORRESPONDANCE[#All],2,FALSE),I47)</f>
        <v/>
      </c>
      <c r="J46" s="350">
        <f>LEFT(A46,1)</f>
        <v/>
      </c>
      <c r="K46" s="347">
        <f>"TURVILLA"&amp;" - "&amp;A46</f>
        <v/>
      </c>
      <c r="L46" s="347">
        <f>+VLOOKUP(K46,TL[],4,FALSE)</f>
        <v/>
      </c>
    </row>
    <row r="47">
      <c r="A47" s="348" t="inlineStr">
        <is>
          <t>645420</t>
        </is>
      </c>
      <c r="B47" s="348" t="inlineStr">
        <is>
          <t>Assurance chômage managers</t>
        </is>
      </c>
      <c r="C47" s="348" t="n">
        <v>739.35</v>
      </c>
      <c r="D47" s="348" t="inlineStr"/>
      <c r="E47" s="348" t="n">
        <v>739.35</v>
      </c>
      <c r="F47" s="348" t="inlineStr"/>
      <c r="G47" s="220">
        <f>SUM(C47)-SUM(D47)</f>
        <v/>
      </c>
      <c r="H47" s="220">
        <f>SUM(E47)-SUM(F47)</f>
        <v/>
      </c>
      <c r="I47" s="221">
        <f>IF(A47="Total",VLOOKUP(B47,CORRESPONDANCE[#All],2,FALSE),I48)</f>
        <v/>
      </c>
      <c r="J47" s="350">
        <f>LEFT(A47,1)</f>
        <v/>
      </c>
      <c r="K47" s="347">
        <f>"TURVILLA"&amp;" - "&amp;A47</f>
        <v/>
      </c>
      <c r="L47" s="347">
        <f>+VLOOKUP(K47,TL[],4,FALSE)</f>
        <v/>
      </c>
    </row>
    <row r="48">
      <c r="A48" s="348" t="inlineStr">
        <is>
          <t>645520</t>
        </is>
      </c>
      <c r="B48" s="348" t="inlineStr">
        <is>
          <t>Mutuelle managers</t>
        </is>
      </c>
      <c r="C48" s="348" t="n">
        <v>198.91</v>
      </c>
      <c r="D48" s="348" t="inlineStr"/>
      <c r="E48" s="348" t="n">
        <v>198.91</v>
      </c>
      <c r="F48" s="348" t="inlineStr"/>
      <c r="G48" s="220">
        <f>SUM(C48)-SUM(D48)</f>
        <v/>
      </c>
      <c r="H48" s="220">
        <f>SUM(E48)-SUM(F48)</f>
        <v/>
      </c>
      <c r="I48" s="221">
        <f>IF(A48="Total",VLOOKUP(B48,CORRESPONDANCE[#All],2,FALSE),I49)</f>
        <v/>
      </c>
      <c r="J48" s="350">
        <f>LEFT(A48,1)</f>
        <v/>
      </c>
      <c r="K48" s="347">
        <f>"TURVILLA"&amp;" - "&amp;A48</f>
        <v/>
      </c>
      <c r="L48" s="347">
        <f>+VLOOKUP(K48,TL[],4,FALSE)</f>
        <v/>
      </c>
    </row>
    <row r="49">
      <c r="A49" s="348" t="inlineStr">
        <is>
          <t>645820</t>
        </is>
      </c>
      <c r="B49" s="348" t="inlineStr">
        <is>
          <t>Ch soc  prov cp managers</t>
        </is>
      </c>
      <c r="C49" s="348" t="n">
        <v>364.21</v>
      </c>
      <c r="D49" s="348" t="inlineStr"/>
      <c r="E49" s="348" t="n">
        <v>364.21</v>
      </c>
      <c r="F49" s="348" t="inlineStr"/>
      <c r="G49" s="220">
        <f>SUM(C49)-SUM(D49)</f>
        <v/>
      </c>
      <c r="H49" s="220">
        <f>SUM(E49)-SUM(F49)</f>
        <v/>
      </c>
      <c r="I49" s="221">
        <f>IF(A49="Total",VLOOKUP(B49,CORRESPONDANCE[#All],2,FALSE),I50)</f>
        <v/>
      </c>
      <c r="J49" s="350">
        <f>LEFT(A49,1)</f>
        <v/>
      </c>
      <c r="K49" s="347">
        <f>"TURVILLA"&amp;" - "&amp;A49</f>
        <v/>
      </c>
      <c r="L49" s="347">
        <f>+VLOOKUP(K49,TL[],4,FALSE)</f>
        <v/>
      </c>
    </row>
    <row r="50">
      <c r="A50" s="348" t="inlineStr">
        <is>
          <t>708830</t>
        </is>
      </c>
      <c r="B50" s="348" t="inlineStr">
        <is>
          <t>Refactur sal cs managers</t>
        </is>
      </c>
      <c r="C50" s="348" t="inlineStr"/>
      <c r="D50" s="348" t="n">
        <v>731.24</v>
      </c>
      <c r="E50" s="348" t="inlineStr"/>
      <c r="F50" s="348" t="n">
        <v>731.24</v>
      </c>
      <c r="G50" s="220">
        <f>SUM(C50)-SUM(D50)</f>
        <v/>
      </c>
      <c r="H50" s="220">
        <f>SUM(E50)-SUM(F50)</f>
        <v/>
      </c>
      <c r="I50" s="221">
        <f>IF(A50="Total",VLOOKUP(B50,CORRESPONDANCE[#All],2,FALSE),I51)</f>
        <v/>
      </c>
      <c r="J50" s="350">
        <f>LEFT(A50,1)</f>
        <v/>
      </c>
      <c r="K50" s="347">
        <f>"TURVILLA"&amp;" - "&amp;A50</f>
        <v/>
      </c>
      <c r="L50" s="347">
        <f>+VLOOKUP(K50,TL[],4,FALSE)</f>
        <v/>
      </c>
    </row>
    <row r="51">
      <c r="A51" s="348" t="inlineStr">
        <is>
          <t>Total</t>
        </is>
      </c>
      <c r="B51" s="348" t="inlineStr">
        <is>
          <t>Table n°2  -  Charges sociales équipe de gestion</t>
        </is>
      </c>
      <c r="C51" s="348" t="n">
        <v>5195.2</v>
      </c>
      <c r="D51" s="348" t="inlineStr"/>
      <c r="E51" s="348" t="n">
        <v>5195.2</v>
      </c>
      <c r="F51" s="348" t="inlineStr"/>
      <c r="G51" s="220">
        <f>SUM(C51)-SUM(D51)</f>
        <v/>
      </c>
      <c r="H51" s="220">
        <f>SUM(E51)-SUM(F51)</f>
        <v/>
      </c>
      <c r="I51" s="221">
        <f>IF(A51="Total",VLOOKUP(B51,CORRESPONDANCE[#All],2,FALSE),I52)</f>
        <v/>
      </c>
      <c r="J51" s="350">
        <f>LEFT(A51,1)</f>
        <v/>
      </c>
      <c r="K51" s="347">
        <f>"TURVILLA"&amp;" - "&amp;A51</f>
        <v/>
      </c>
      <c r="L51" s="347">
        <f>+VLOOKUP(K51,TL[],4,FALSE)</f>
        <v/>
      </c>
    </row>
    <row r="52">
      <c r="A52" s="348" t="inlineStr">
        <is>
          <t>611006</t>
        </is>
      </c>
      <c r="B52" s="348" t="inlineStr">
        <is>
          <t>Nettoyage du restaurant</t>
        </is>
      </c>
      <c r="C52" s="348" t="n">
        <v>11700</v>
      </c>
      <c r="D52" s="348" t="inlineStr"/>
      <c r="E52" s="348" t="n">
        <v>11700</v>
      </c>
      <c r="F52" s="348" t="inlineStr"/>
      <c r="G52" s="220">
        <f>SUM(C52)-SUM(D52)</f>
        <v/>
      </c>
      <c r="H52" s="220">
        <f>SUM(E52)-SUM(F52)</f>
        <v/>
      </c>
      <c r="I52" s="221">
        <f>IF(A52="Total",VLOOKUP(B52,CORRESPONDANCE[#All],2,FALSE),I53)</f>
        <v/>
      </c>
      <c r="J52" s="350">
        <f>LEFT(A52,1)</f>
        <v/>
      </c>
      <c r="K52" s="347">
        <f>"TURVILLA"&amp;" - "&amp;A52</f>
        <v/>
      </c>
      <c r="L52" s="347">
        <f>+VLOOKUP(K52,TL[],4,FALSE)</f>
        <v/>
      </c>
    </row>
    <row r="53">
      <c r="A53" s="348" t="inlineStr">
        <is>
          <t>Total</t>
        </is>
      </c>
      <c r="B53" s="348" t="inlineStr">
        <is>
          <t>Table n°2  -  Nettoyage</t>
        </is>
      </c>
      <c r="C53" s="348" t="n">
        <v>11700</v>
      </c>
      <c r="D53" s="348" t="inlineStr"/>
      <c r="E53" s="348" t="n">
        <v>11700</v>
      </c>
      <c r="F53" s="348" t="inlineStr"/>
      <c r="G53" s="220">
        <f>SUM(C53)-SUM(D53)</f>
        <v/>
      </c>
      <c r="H53" s="220">
        <f>SUM(E53)-SUM(F53)</f>
        <v/>
      </c>
      <c r="I53" s="221">
        <f>IF(A53="Total",VLOOKUP(B53,CORRESPONDANCE[#All],2,FALSE),I54)</f>
        <v/>
      </c>
      <c r="J53" s="350">
        <f>LEFT(A53,1)</f>
        <v/>
      </c>
      <c r="K53" s="347">
        <f>"TURVILLA"&amp;" - "&amp;A53</f>
        <v/>
      </c>
      <c r="L53" s="347">
        <f>+VLOOKUP(K53,TL[],4,FALSE)</f>
        <v/>
      </c>
    </row>
    <row r="54">
      <c r="A54" s="348" t="inlineStr">
        <is>
          <t>611009</t>
        </is>
      </c>
      <c r="B54" s="348" t="inlineStr">
        <is>
          <t>Securite/ gardiennage</t>
        </is>
      </c>
      <c r="C54" s="348" t="n">
        <v>33</v>
      </c>
      <c r="D54" s="348" t="inlineStr"/>
      <c r="E54" s="348" t="n">
        <v>33</v>
      </c>
      <c r="F54" s="348" t="inlineStr"/>
      <c r="G54" s="220">
        <f>SUM(C54)-SUM(D54)</f>
        <v/>
      </c>
      <c r="H54" s="220">
        <f>SUM(E54)-SUM(F54)</f>
        <v/>
      </c>
      <c r="I54" s="221">
        <f>IF(A54="Total",VLOOKUP(B54,CORRESPONDANCE[#All],2,FALSE),I55)</f>
        <v/>
      </c>
      <c r="J54" s="350">
        <f>LEFT(A54,1)</f>
        <v/>
      </c>
      <c r="K54" s="347">
        <f>"TURVILLA"&amp;" - "&amp;A54</f>
        <v/>
      </c>
      <c r="L54" s="347">
        <f>+VLOOKUP(K54,TL[],4,FALSE)</f>
        <v/>
      </c>
    </row>
    <row r="55">
      <c r="A55" s="348" t="inlineStr">
        <is>
          <t>Total</t>
        </is>
      </c>
      <c r="B55" s="348" t="inlineStr">
        <is>
          <t>Table n°2  -  Sécurité et Gardiennage</t>
        </is>
      </c>
      <c r="C55" s="348" t="n">
        <v>33</v>
      </c>
      <c r="D55" s="348" t="inlineStr"/>
      <c r="E55" s="348" t="n">
        <v>33</v>
      </c>
      <c r="F55" s="348" t="inlineStr"/>
      <c r="G55" s="220">
        <f>SUM(C55)-SUM(D55)</f>
        <v/>
      </c>
      <c r="H55" s="220">
        <f>SUM(E55)-SUM(F55)</f>
        <v/>
      </c>
      <c r="I55" s="221">
        <f>IF(A55="Total",VLOOKUP(B55,CORRESPONDANCE[#All],2,FALSE),I56)</f>
        <v/>
      </c>
      <c r="J55" s="350">
        <f>LEFT(A55,1)</f>
        <v/>
      </c>
      <c r="K55" s="347">
        <f>"TURVILLA"&amp;" - "&amp;A55</f>
        <v/>
      </c>
      <c r="L55" s="347">
        <f>+VLOOKUP(K55,TL[],4,FALSE)</f>
        <v/>
      </c>
    </row>
    <row r="56">
      <c r="A56" s="348" t="inlineStr">
        <is>
          <t>627100</t>
        </is>
      </c>
      <c r="B56" s="348" t="inlineStr">
        <is>
          <t>Commissions bancaires</t>
        </is>
      </c>
      <c r="C56" s="348" t="n">
        <v>821.7</v>
      </c>
      <c r="D56" s="348" t="inlineStr"/>
      <c r="E56" s="348" t="n">
        <v>821.7</v>
      </c>
      <c r="F56" s="348" t="inlineStr"/>
      <c r="G56" s="220">
        <f>SUM(C56)-SUM(D56)</f>
        <v/>
      </c>
      <c r="H56" s="220">
        <f>SUM(E56)-SUM(F56)</f>
        <v/>
      </c>
      <c r="I56" s="221">
        <f>IF(A56="Total",VLOOKUP(B56,CORRESPONDANCE[#All],2,FALSE),I57)</f>
        <v/>
      </c>
      <c r="J56" s="350">
        <f>LEFT(A56,1)</f>
        <v/>
      </c>
      <c r="K56" s="347">
        <f>"TURVILLA"&amp;" - "&amp;A56</f>
        <v/>
      </c>
      <c r="L56" s="347">
        <f>+VLOOKUP(K56,TL[],4,FALSE)</f>
        <v/>
      </c>
    </row>
    <row r="57">
      <c r="A57" s="348" t="inlineStr">
        <is>
          <t>627201</t>
        </is>
      </c>
      <c r="B57" s="348" t="inlineStr">
        <is>
          <t>Commission sur emprunt</t>
        </is>
      </c>
      <c r="C57" s="348" t="n">
        <v>214.9</v>
      </c>
      <c r="D57" s="348" t="inlineStr"/>
      <c r="E57" s="348" t="n">
        <v>214.9</v>
      </c>
      <c r="F57" s="348" t="inlineStr"/>
      <c r="G57" s="220">
        <f>SUM(C57)-SUM(D57)</f>
        <v/>
      </c>
      <c r="H57" s="220">
        <f>SUM(E57)-SUM(F57)</f>
        <v/>
      </c>
      <c r="I57" s="221">
        <f>IF(A57="Total",VLOOKUP(B57,CORRESPONDANCE[#All],2,FALSE),I58)</f>
        <v/>
      </c>
      <c r="J57" s="350">
        <f>LEFT(A57,1)</f>
        <v/>
      </c>
      <c r="K57" s="347">
        <f>"TURVILLA"&amp;" - "&amp;A57</f>
        <v/>
      </c>
      <c r="L57" s="347">
        <f>+VLOOKUP(K57,TL[],4,FALSE)</f>
        <v/>
      </c>
    </row>
    <row r="58">
      <c r="A58" s="348" t="inlineStr">
        <is>
          <t>627300</t>
        </is>
      </c>
      <c r="B58" s="348" t="inlineStr">
        <is>
          <t>Commissions ticket resto</t>
        </is>
      </c>
      <c r="C58" s="348" t="n">
        <v>1855.1</v>
      </c>
      <c r="D58" s="348" t="inlineStr"/>
      <c r="E58" s="348" t="n">
        <v>1855.1</v>
      </c>
      <c r="F58" s="348" t="inlineStr"/>
      <c r="G58" s="220">
        <f>SUM(C58)-SUM(D58)</f>
        <v/>
      </c>
      <c r="H58" s="220">
        <f>SUM(E58)-SUM(F58)</f>
        <v/>
      </c>
      <c r="I58" s="221">
        <f>IF(A58="Total",VLOOKUP(B58,CORRESPONDANCE[#All],2,FALSE),I59)</f>
        <v/>
      </c>
      <c r="J58" s="350">
        <f>LEFT(A58,1)</f>
        <v/>
      </c>
      <c r="K58" s="347">
        <f>"TURVILLA"&amp;" - "&amp;A58</f>
        <v/>
      </c>
      <c r="L58" s="347">
        <f>+VLOOKUP(K58,TL[],4,FALSE)</f>
        <v/>
      </c>
    </row>
    <row r="59">
      <c r="A59" s="348" t="inlineStr">
        <is>
          <t>627500</t>
        </is>
      </c>
      <c r="B59" s="348" t="inlineStr">
        <is>
          <t>Commissions ancv</t>
        </is>
      </c>
      <c r="C59" s="348" t="n">
        <v>228.58</v>
      </c>
      <c r="D59" s="348" t="inlineStr"/>
      <c r="E59" s="348" t="n">
        <v>228.58</v>
      </c>
      <c r="F59" s="348" t="inlineStr"/>
      <c r="G59" s="220">
        <f>SUM(C59)-SUM(D59)</f>
        <v/>
      </c>
      <c r="H59" s="220">
        <f>SUM(E59)-SUM(F59)</f>
        <v/>
      </c>
      <c r="I59" s="221">
        <f>IF(A59="Total",VLOOKUP(B59,CORRESPONDANCE[#All],2,FALSE),I60)</f>
        <v/>
      </c>
      <c r="J59" s="350">
        <f>LEFT(A59,1)</f>
        <v/>
      </c>
      <c r="K59" s="347">
        <f>"TURVILLA"&amp;" - "&amp;A59</f>
        <v/>
      </c>
      <c r="L59" s="347">
        <f>+VLOOKUP(K59,TL[],4,FALSE)</f>
        <v/>
      </c>
    </row>
    <row r="60">
      <c r="A60" s="348" t="inlineStr">
        <is>
          <t>627802</t>
        </is>
      </c>
      <c r="B60" s="348" t="inlineStr">
        <is>
          <t>Commissions cb</t>
        </is>
      </c>
      <c r="C60" s="348" t="n">
        <v>1602.73</v>
      </c>
      <c r="D60" s="348" t="inlineStr"/>
      <c r="E60" s="348" t="n">
        <v>1602.73</v>
      </c>
      <c r="F60" s="348" t="inlineStr"/>
      <c r="G60" s="220">
        <f>SUM(C60)-SUM(D60)</f>
        <v/>
      </c>
      <c r="H60" s="220">
        <f>SUM(E60)-SUM(F60)</f>
        <v/>
      </c>
      <c r="I60" s="221">
        <f>IF(A60="Total",VLOOKUP(B60,CORRESPONDANCE[#All],2,FALSE),I61)</f>
        <v/>
      </c>
      <c r="J60" s="350">
        <f>LEFT(A60,1)</f>
        <v/>
      </c>
      <c r="K60" s="347">
        <f>"TURVILLA"&amp;" - "&amp;A60</f>
        <v/>
      </c>
      <c r="L60" s="347">
        <f>+VLOOKUP(K60,TL[],4,FALSE)</f>
        <v/>
      </c>
    </row>
    <row r="61">
      <c r="A61" s="348" t="inlineStr">
        <is>
          <t>627806</t>
        </is>
      </c>
      <c r="B61" s="348" t="inlineStr">
        <is>
          <t>Commissions paypal</t>
        </is>
      </c>
      <c r="C61" s="348" t="n">
        <v>19.97</v>
      </c>
      <c r="D61" s="348" t="inlineStr"/>
      <c r="E61" s="348" t="n">
        <v>19.97</v>
      </c>
      <c r="F61" s="348" t="inlineStr"/>
      <c r="G61" s="220">
        <f>SUM(C61)-SUM(D61)</f>
        <v/>
      </c>
      <c r="H61" s="220">
        <f>SUM(E61)-SUM(F61)</f>
        <v/>
      </c>
      <c r="I61" s="221">
        <f>IF(A61="Total",VLOOKUP(B61,CORRESPONDANCE[#All],2,FALSE),I62)</f>
        <v/>
      </c>
      <c r="J61" s="350">
        <f>LEFT(A61,1)</f>
        <v/>
      </c>
      <c r="K61" s="347">
        <f>"TURVILLA"&amp;" - "&amp;A61</f>
        <v/>
      </c>
      <c r="L61" s="347">
        <f>+VLOOKUP(K61,TL[],4,FALSE)</f>
        <v/>
      </c>
    </row>
    <row r="62">
      <c r="A62" s="348" t="inlineStr">
        <is>
          <t>Total</t>
        </is>
      </c>
      <c r="B62" s="348" t="inlineStr">
        <is>
          <t>Table n°2  -  Frais bancaires</t>
        </is>
      </c>
      <c r="C62" s="348" t="n">
        <v>4742.98</v>
      </c>
      <c r="D62" s="348" t="inlineStr"/>
      <c r="E62" s="348" t="n">
        <v>4742.98</v>
      </c>
      <c r="F62" s="348" t="inlineStr"/>
      <c r="G62" s="220">
        <f>SUM(C62)-SUM(D62)</f>
        <v/>
      </c>
      <c r="H62" s="220">
        <f>SUM(E62)-SUM(F62)</f>
        <v/>
      </c>
      <c r="I62" s="221">
        <f>IF(A62="Total",VLOOKUP(B62,CORRESPONDANCE[#All],2,FALSE),I63)</f>
        <v/>
      </c>
      <c r="J62" s="350">
        <f>LEFT(A62,1)</f>
        <v/>
      </c>
      <c r="K62" s="347">
        <f>"TURVILLA"&amp;" - "&amp;A62</f>
        <v/>
      </c>
      <c r="L62" s="347">
        <f>+VLOOKUP(K62,TL[],4,FALSE)</f>
        <v/>
      </c>
    </row>
    <row r="63">
      <c r="A63" s="348" t="inlineStr">
        <is>
          <t>606301</t>
        </is>
      </c>
      <c r="B63" s="348" t="inlineStr">
        <is>
          <t>Pte fourn diverses</t>
        </is>
      </c>
      <c r="C63" s="348" t="n">
        <v>1350.94</v>
      </c>
      <c r="D63" s="348" t="inlineStr"/>
      <c r="E63" s="348" t="n">
        <v>1350.94</v>
      </c>
      <c r="F63" s="348" t="inlineStr"/>
      <c r="G63" s="220">
        <f>SUM(C63)-SUM(D63)</f>
        <v/>
      </c>
      <c r="H63" s="220">
        <f>SUM(E63)-SUM(F63)</f>
        <v/>
      </c>
      <c r="I63" s="221">
        <f>IF(A63="Total",VLOOKUP(B63,CORRESPONDANCE[#All],2,FALSE),I64)</f>
        <v/>
      </c>
      <c r="J63" s="350">
        <f>LEFT(A63,1)</f>
        <v/>
      </c>
      <c r="K63" s="347">
        <f>"TURVILLA"&amp;" - "&amp;A63</f>
        <v/>
      </c>
      <c r="L63" s="347">
        <f>+VLOOKUP(K63,TL[],4,FALSE)</f>
        <v/>
      </c>
    </row>
    <row r="64">
      <c r="A64" s="348" t="inlineStr">
        <is>
          <t>615001</t>
        </is>
      </c>
      <c r="B64" s="348" t="inlineStr">
        <is>
          <t>Ent. repar. equipement</t>
        </is>
      </c>
      <c r="C64" s="348" t="n">
        <v>531.8</v>
      </c>
      <c r="D64" s="348" t="inlineStr"/>
      <c r="E64" s="348" t="n">
        <v>531.8</v>
      </c>
      <c r="F64" s="348" t="inlineStr"/>
      <c r="G64" s="220">
        <f>SUM(C64)-SUM(D64)</f>
        <v/>
      </c>
      <c r="H64" s="220">
        <f>SUM(E64)-SUM(F64)</f>
        <v/>
      </c>
      <c r="I64" s="221">
        <f>IF(A64="Total",VLOOKUP(B64,CORRESPONDANCE[#All],2,FALSE),I65)</f>
        <v/>
      </c>
      <c r="J64" s="350">
        <f>LEFT(A64,1)</f>
        <v/>
      </c>
      <c r="K64" s="347">
        <f>"TURVILLA"&amp;" - "&amp;A64</f>
        <v/>
      </c>
      <c r="L64" s="347">
        <f>+VLOOKUP(K64,TL[],4,FALSE)</f>
        <v/>
      </c>
    </row>
    <row r="65">
      <c r="A65" s="348" t="inlineStr">
        <is>
          <t>Total</t>
        </is>
      </c>
      <c r="B65" s="348" t="inlineStr">
        <is>
          <t>Table n°2  -  Contrats Maintenance et réparations</t>
        </is>
      </c>
      <c r="C65" s="348" t="n">
        <v>1882.74</v>
      </c>
      <c r="D65" s="348" t="inlineStr"/>
      <c r="E65" s="348" t="n">
        <v>1882.74</v>
      </c>
      <c r="F65" s="348" t="inlineStr"/>
      <c r="G65" s="220">
        <f>SUM(C65)-SUM(D65)</f>
        <v/>
      </c>
      <c r="H65" s="220">
        <f>SUM(E65)-SUM(F65)</f>
        <v/>
      </c>
      <c r="I65" s="221">
        <f>IF(A65="Total",VLOOKUP(B65,CORRESPONDANCE[#All],2,FALSE),I66)</f>
        <v/>
      </c>
      <c r="J65" s="350">
        <f>LEFT(A65,1)</f>
        <v/>
      </c>
      <c r="K65" s="347">
        <f>"TURVILLA"&amp;" - "&amp;A65</f>
        <v/>
      </c>
      <c r="L65" s="347">
        <f>+VLOOKUP(K65,TL[],4,FALSE)</f>
        <v/>
      </c>
    </row>
    <row r="66">
      <c r="A66" s="348" t="inlineStr">
        <is>
          <t>611005</t>
        </is>
      </c>
      <c r="B66" s="348" t="inlineStr">
        <is>
          <t>Entretien fleurs</t>
        </is>
      </c>
      <c r="C66" s="348" t="n">
        <v>384</v>
      </c>
      <c r="D66" s="348" t="inlineStr"/>
      <c r="E66" s="348" t="n">
        <v>384</v>
      </c>
      <c r="F66" s="348" t="inlineStr"/>
      <c r="G66" s="220">
        <f>SUM(C66)-SUM(D66)</f>
        <v/>
      </c>
      <c r="H66" s="220">
        <f>SUM(E66)-SUM(F66)</f>
        <v/>
      </c>
      <c r="I66" s="221">
        <f>IF(A66="Total",VLOOKUP(B66,CORRESPONDANCE[#All],2,FALSE),I67)</f>
        <v/>
      </c>
      <c r="J66" s="350">
        <f>LEFT(A66,1)</f>
        <v/>
      </c>
      <c r="K66" s="347">
        <f>"TURVILLA"&amp;" - "&amp;A66</f>
        <v/>
      </c>
      <c r="L66" s="347">
        <f>+VLOOKUP(K66,TL[],4,FALSE)</f>
        <v/>
      </c>
    </row>
    <row r="67">
      <c r="A67" s="348" t="inlineStr">
        <is>
          <t>611007</t>
        </is>
      </c>
      <c r="B67" s="348" t="inlineStr">
        <is>
          <t>Ct informatique / medias</t>
        </is>
      </c>
      <c r="C67" s="348" t="n">
        <v>378.81</v>
      </c>
      <c r="D67" s="348" t="inlineStr"/>
      <c r="E67" s="348" t="n">
        <v>378.81</v>
      </c>
      <c r="F67" s="348" t="inlineStr"/>
      <c r="G67" s="220">
        <f>SUM(C67)-SUM(D67)</f>
        <v/>
      </c>
      <c r="H67" s="220">
        <f>SUM(E67)-SUM(F67)</f>
        <v/>
      </c>
      <c r="I67" s="221">
        <f>IF(A67="Total",VLOOKUP(B67,CORRESPONDANCE[#All],2,FALSE),I68)</f>
        <v/>
      </c>
      <c r="J67" s="350">
        <f>LEFT(A67,1)</f>
        <v/>
      </c>
      <c r="K67" s="347">
        <f>"TURVILLA"&amp;" - "&amp;A67</f>
        <v/>
      </c>
      <c r="L67" s="347">
        <f>+VLOOKUP(K67,TL[],4,FALSE)</f>
        <v/>
      </c>
    </row>
    <row r="68">
      <c r="A68" s="348" t="inlineStr">
        <is>
          <t>611012</t>
        </is>
      </c>
      <c r="B68" s="348" t="inlineStr">
        <is>
          <t>Contrat accès sylae</t>
        </is>
      </c>
      <c r="C68" s="348" t="n">
        <v>240</v>
      </c>
      <c r="D68" s="348" t="inlineStr"/>
      <c r="E68" s="348" t="n">
        <v>240</v>
      </c>
      <c r="F68" s="348" t="inlineStr"/>
      <c r="G68" s="220">
        <f>SUM(C68)-SUM(D68)</f>
        <v/>
      </c>
      <c r="H68" s="220">
        <f>SUM(E68)-SUM(F68)</f>
        <v/>
      </c>
      <c r="I68" s="221">
        <f>IF(A68="Total",VLOOKUP(B68,CORRESPONDANCE[#All],2,FALSE),I69)</f>
        <v/>
      </c>
      <c r="J68" s="350">
        <f>LEFT(A68,1)</f>
        <v/>
      </c>
      <c r="K68" s="347">
        <f>"TURVILLA"&amp;" - "&amp;A68</f>
        <v/>
      </c>
      <c r="L68" s="347">
        <f>+VLOOKUP(K68,TL[],4,FALSE)</f>
        <v/>
      </c>
    </row>
    <row r="69">
      <c r="A69" s="348" t="inlineStr">
        <is>
          <t>611024</t>
        </is>
      </c>
      <c r="B69" s="348" t="inlineStr">
        <is>
          <t>Contrat Analyse relat° clients</t>
        </is>
      </c>
      <c r="C69" s="348" t="n">
        <v>168</v>
      </c>
      <c r="D69" s="348" t="inlineStr"/>
      <c r="E69" s="348" t="n">
        <v>168</v>
      </c>
      <c r="F69" s="348" t="inlineStr"/>
      <c r="G69" s="220">
        <f>SUM(C69)-SUM(D69)</f>
        <v/>
      </c>
      <c r="H69" s="220">
        <f>SUM(E69)-SUM(F69)</f>
        <v/>
      </c>
      <c r="I69" s="221">
        <f>IF(A69="Total",VLOOKUP(B69,CORRESPONDANCE[#All],2,FALSE),I70)</f>
        <v/>
      </c>
      <c r="J69" s="350">
        <f>LEFT(A69,1)</f>
        <v/>
      </c>
      <c r="K69" s="347">
        <f>"TURVILLA"&amp;" - "&amp;A69</f>
        <v/>
      </c>
      <c r="L69" s="347">
        <f>+VLOOKUP(K69,TL[],4,FALSE)</f>
        <v/>
      </c>
    </row>
    <row r="70">
      <c r="A70" s="348" t="inlineStr">
        <is>
          <t>613330</t>
        </is>
      </c>
      <c r="B70" s="348" t="inlineStr">
        <is>
          <t>Location interway</t>
        </is>
      </c>
      <c r="C70" s="348" t="n">
        <v>273.41</v>
      </c>
      <c r="D70" s="348" t="inlineStr"/>
      <c r="E70" s="348" t="n">
        <v>273.41</v>
      </c>
      <c r="F70" s="348" t="inlineStr"/>
      <c r="G70" s="220">
        <f>SUM(C70)-SUM(D70)</f>
        <v/>
      </c>
      <c r="H70" s="220">
        <f>SUM(E70)-SUM(F70)</f>
        <v/>
      </c>
      <c r="I70" s="221">
        <f>IF(A70="Total",VLOOKUP(B70,CORRESPONDANCE[#All],2,FALSE),I71)</f>
        <v/>
      </c>
      <c r="J70" s="350">
        <f>LEFT(A70,1)</f>
        <v/>
      </c>
      <c r="K70" s="347">
        <f>"TURVILLA"&amp;" - "&amp;A70</f>
        <v/>
      </c>
      <c r="L70" s="347">
        <f>+VLOOKUP(K70,TL[],4,FALSE)</f>
        <v/>
      </c>
    </row>
    <row r="71">
      <c r="A71" s="348" t="inlineStr">
        <is>
          <t>613340</t>
        </is>
      </c>
      <c r="B71" s="348" t="inlineStr">
        <is>
          <t>Location caisse palette biodechets</t>
        </is>
      </c>
      <c r="C71" s="348" t="n">
        <v>240</v>
      </c>
      <c r="D71" s="348" t="inlineStr"/>
      <c r="E71" s="348" t="n">
        <v>240</v>
      </c>
      <c r="F71" s="348" t="inlineStr"/>
      <c r="G71" s="220">
        <f>SUM(C71)-SUM(D71)</f>
        <v/>
      </c>
      <c r="H71" s="220">
        <f>SUM(E71)-SUM(F71)</f>
        <v/>
      </c>
      <c r="I71" s="221">
        <f>IF(A71="Total",VLOOKUP(B71,CORRESPONDANCE[#All],2,FALSE),I72)</f>
        <v/>
      </c>
      <c r="J71" s="350">
        <f>LEFT(A71,1)</f>
        <v/>
      </c>
      <c r="K71" s="347">
        <f>"TURVILLA"&amp;" - "&amp;A71</f>
        <v/>
      </c>
      <c r="L71" s="347">
        <f>+VLOOKUP(K71,TL[],4,FALSE)</f>
        <v/>
      </c>
    </row>
    <row r="72">
      <c r="A72" s="348" t="inlineStr">
        <is>
          <t>613360</t>
        </is>
      </c>
      <c r="B72" s="348" t="inlineStr">
        <is>
          <t>Location defibrillateur</t>
        </is>
      </c>
      <c r="C72" s="348" t="n">
        <v>46</v>
      </c>
      <c r="D72" s="348" t="inlineStr"/>
      <c r="E72" s="348" t="n">
        <v>46</v>
      </c>
      <c r="F72" s="348" t="inlineStr"/>
      <c r="G72" s="220">
        <f>SUM(C72)-SUM(D72)</f>
        <v/>
      </c>
      <c r="H72" s="220">
        <f>SUM(E72)-SUM(F72)</f>
        <v/>
      </c>
      <c r="I72" s="221">
        <f>IF(A72="Total",VLOOKUP(B72,CORRESPONDANCE[#All],2,FALSE),I73)</f>
        <v/>
      </c>
      <c r="J72" s="350">
        <f>LEFT(A72,1)</f>
        <v/>
      </c>
      <c r="K72" s="347">
        <f>"TURVILLA"&amp;" - "&amp;A72</f>
        <v/>
      </c>
      <c r="L72" s="347">
        <f>+VLOOKUP(K72,TL[],4,FALSE)</f>
        <v/>
      </c>
    </row>
    <row r="73">
      <c r="A73" s="348" t="inlineStr">
        <is>
          <t>615600</t>
        </is>
      </c>
      <c r="B73" s="348" t="inlineStr">
        <is>
          <t>Maintenance</t>
        </is>
      </c>
      <c r="C73" s="348" t="n">
        <v>500</v>
      </c>
      <c r="D73" s="348" t="inlineStr"/>
      <c r="E73" s="348" t="n">
        <v>500</v>
      </c>
      <c r="F73" s="348" t="inlineStr"/>
      <c r="G73" s="220">
        <f>SUM(C73)-SUM(D73)</f>
        <v/>
      </c>
      <c r="H73" s="220">
        <f>SUM(E73)-SUM(F73)</f>
        <v/>
      </c>
      <c r="I73" s="221">
        <f>IF(A73="Total",VLOOKUP(B73,CORRESPONDANCE[#All],2,FALSE),I74)</f>
        <v/>
      </c>
      <c r="J73" s="350">
        <f>LEFT(A73,1)</f>
        <v/>
      </c>
      <c r="K73" s="347">
        <f>"TURVILLA"&amp;" - "&amp;A73</f>
        <v/>
      </c>
      <c r="L73" s="347">
        <f>+VLOOKUP(K73,TL[],4,FALSE)</f>
        <v/>
      </c>
    </row>
    <row r="74">
      <c r="A74" s="348" t="inlineStr">
        <is>
          <t>615601</t>
        </is>
      </c>
      <c r="B74" s="348" t="inlineStr">
        <is>
          <t>maintenance STEEPLE</t>
        </is>
      </c>
      <c r="C74" s="348" t="n">
        <v>73.17</v>
      </c>
      <c r="D74" s="348" t="inlineStr"/>
      <c r="E74" s="348" t="n">
        <v>73.17</v>
      </c>
      <c r="F74" s="348" t="inlineStr"/>
      <c r="G74" s="220">
        <f>SUM(C74)-SUM(D74)</f>
        <v/>
      </c>
      <c r="H74" s="220">
        <f>SUM(E74)-SUM(F74)</f>
        <v/>
      </c>
      <c r="I74" s="221">
        <f>IF(A74="Total",VLOOKUP(B74,CORRESPONDANCE[#All],2,FALSE),I75)</f>
        <v/>
      </c>
      <c r="J74" s="350">
        <f>LEFT(A74,1)</f>
        <v/>
      </c>
      <c r="K74" s="347">
        <f>"TURVILLA"&amp;" - "&amp;A74</f>
        <v/>
      </c>
      <c r="L74" s="347">
        <f>+VLOOKUP(K74,TL[],4,FALSE)</f>
        <v/>
      </c>
    </row>
    <row r="75">
      <c r="A75" s="348" t="inlineStr">
        <is>
          <t>615602</t>
        </is>
      </c>
      <c r="B75" s="348" t="inlineStr">
        <is>
          <t>Maintenance caisses</t>
        </is>
      </c>
      <c r="C75" s="348" t="n">
        <v>668.42</v>
      </c>
      <c r="D75" s="348" t="inlineStr"/>
      <c r="E75" s="348" t="n">
        <v>668.42</v>
      </c>
      <c r="F75" s="348" t="inlineStr"/>
      <c r="G75" s="220">
        <f>SUM(C75)-SUM(D75)</f>
        <v/>
      </c>
      <c r="H75" s="220">
        <f>SUM(E75)-SUM(F75)</f>
        <v/>
      </c>
      <c r="I75" s="221">
        <f>IF(A75="Total",VLOOKUP(B75,CORRESPONDANCE[#All],2,FALSE),I76)</f>
        <v/>
      </c>
      <c r="J75" s="350">
        <f>LEFT(A75,1)</f>
        <v/>
      </c>
      <c r="K75" s="347">
        <f>"TURVILLA"&amp;" - "&amp;A75</f>
        <v/>
      </c>
      <c r="L75" s="347">
        <f>+VLOOKUP(K75,TL[],4,FALSE)</f>
        <v/>
      </c>
    </row>
    <row r="76">
      <c r="A76" s="348" t="inlineStr">
        <is>
          <t>615609</t>
        </is>
      </c>
      <c r="B76" s="348" t="inlineStr">
        <is>
          <t>Honoraires silliker</t>
        </is>
      </c>
      <c r="C76" s="348" t="n">
        <v>120</v>
      </c>
      <c r="D76" s="348" t="inlineStr"/>
      <c r="E76" s="348" t="n">
        <v>120</v>
      </c>
      <c r="F76" s="348" t="inlineStr"/>
      <c r="G76" s="220">
        <f>SUM(C76)-SUM(D76)</f>
        <v/>
      </c>
      <c r="H76" s="220">
        <f>SUM(E76)-SUM(F76)</f>
        <v/>
      </c>
      <c r="I76" s="221">
        <f>IF(A76="Total",VLOOKUP(B76,CORRESPONDANCE[#All],2,FALSE),I77)</f>
        <v/>
      </c>
      <c r="J76" s="350">
        <f>LEFT(A76,1)</f>
        <v/>
      </c>
      <c r="K76" s="347">
        <f>"TURVILLA"&amp;" - "&amp;A76</f>
        <v/>
      </c>
      <c r="L76" s="347">
        <f>+VLOOKUP(K76,TL[],4,FALSE)</f>
        <v/>
      </c>
    </row>
    <row r="77">
      <c r="A77" s="348" t="inlineStr">
        <is>
          <t>615610</t>
        </is>
      </c>
      <c r="B77" s="348" t="inlineStr">
        <is>
          <t>Contrat iron mountain</t>
        </is>
      </c>
      <c r="C77" s="348" t="n">
        <v>27.5</v>
      </c>
      <c r="D77" s="348" t="inlineStr"/>
      <c r="E77" s="348" t="n">
        <v>27.5</v>
      </c>
      <c r="F77" s="348" t="inlineStr"/>
      <c r="G77" s="220">
        <f>SUM(C77)-SUM(D77)</f>
        <v/>
      </c>
      <c r="H77" s="220">
        <f>SUM(E77)-SUM(F77)</f>
        <v/>
      </c>
      <c r="I77" s="221">
        <f>IF(A77="Total",VLOOKUP(B77,CORRESPONDANCE[#All],2,FALSE),I78)</f>
        <v/>
      </c>
      <c r="J77" s="350">
        <f>LEFT(A77,1)</f>
        <v/>
      </c>
      <c r="K77" s="347">
        <f>"TURVILLA"&amp;" - "&amp;A77</f>
        <v/>
      </c>
      <c r="L77" s="347">
        <f>+VLOOKUP(K77,TL[],4,FALSE)</f>
        <v/>
      </c>
    </row>
    <row r="78">
      <c r="A78" s="348" t="inlineStr">
        <is>
          <t>615615</t>
        </is>
      </c>
      <c r="B78" s="348" t="inlineStr">
        <is>
          <t>Contrat entretien linge</t>
        </is>
      </c>
      <c r="C78" s="348" t="n">
        <v>78.31999999999999</v>
      </c>
      <c r="D78" s="348" t="inlineStr"/>
      <c r="E78" s="348" t="n">
        <v>78.31999999999999</v>
      </c>
      <c r="F78" s="348" t="inlineStr"/>
      <c r="G78" s="220">
        <f>SUM(C78)-SUM(D78)</f>
        <v/>
      </c>
      <c r="H78" s="220">
        <f>SUM(E78)-SUM(F78)</f>
        <v/>
      </c>
      <c r="I78" s="221">
        <f>IF(A78="Total",VLOOKUP(B78,CORRESPONDANCE[#All],2,FALSE),I79)</f>
        <v/>
      </c>
      <c r="J78" s="350">
        <f>LEFT(A78,1)</f>
        <v/>
      </c>
      <c r="K78" s="347">
        <f>"TURVILLA"&amp;" - "&amp;A78</f>
        <v/>
      </c>
      <c r="L78" s="347">
        <f>+VLOOKUP(K78,TL[],4,FALSE)</f>
        <v/>
      </c>
    </row>
    <row r="79">
      <c r="A79" s="348" t="inlineStr">
        <is>
          <t>615616</t>
        </is>
      </c>
      <c r="B79" s="348" t="inlineStr">
        <is>
          <t>Contrat acrelec</t>
        </is>
      </c>
      <c r="C79" s="348" t="n">
        <v>365</v>
      </c>
      <c r="D79" s="348" t="inlineStr"/>
      <c r="E79" s="348" t="n">
        <v>365</v>
      </c>
      <c r="F79" s="348" t="inlineStr"/>
      <c r="G79" s="220">
        <f>SUM(C79)-SUM(D79)</f>
        <v/>
      </c>
      <c r="H79" s="220">
        <f>SUM(E79)-SUM(F79)</f>
        <v/>
      </c>
      <c r="I79" s="221">
        <f>IF(A79="Total",VLOOKUP(B79,CORRESPONDANCE[#All],2,FALSE),I80)</f>
        <v/>
      </c>
      <c r="J79" s="350">
        <f>LEFT(A79,1)</f>
        <v/>
      </c>
      <c r="K79" s="347">
        <f>"TURVILLA"&amp;" - "&amp;A79</f>
        <v/>
      </c>
      <c r="L79" s="347">
        <f>+VLOOKUP(K79,TL[],4,FALSE)</f>
        <v/>
      </c>
    </row>
    <row r="80">
      <c r="A80" s="348" t="inlineStr">
        <is>
          <t>615621</t>
        </is>
      </c>
      <c r="B80" s="348" t="inlineStr">
        <is>
          <t>Contrat ramassage espèces</t>
        </is>
      </c>
      <c r="C80" s="348" t="n">
        <v>419</v>
      </c>
      <c r="D80" s="348" t="inlineStr"/>
      <c r="E80" s="348" t="n">
        <v>419</v>
      </c>
      <c r="F80" s="348" t="inlineStr"/>
      <c r="G80" s="220">
        <f>SUM(C80)-SUM(D80)</f>
        <v/>
      </c>
      <c r="H80" s="220">
        <f>SUM(E80)-SUM(F80)</f>
        <v/>
      </c>
      <c r="I80" s="221">
        <f>IF(A80="Total",VLOOKUP(B80,CORRESPONDANCE[#All],2,FALSE),I81)</f>
        <v/>
      </c>
      <c r="J80" s="350">
        <f>LEFT(A80,1)</f>
        <v/>
      </c>
      <c r="K80" s="347">
        <f>"TURVILLA"&amp;" - "&amp;A80</f>
        <v/>
      </c>
      <c r="L80" s="347">
        <f>+VLOOKUP(K80,TL[],4,FALSE)</f>
        <v/>
      </c>
    </row>
    <row r="81">
      <c r="A81" s="348" t="inlineStr">
        <is>
          <t>615626</t>
        </is>
      </c>
      <c r="B81" s="348" t="inlineStr">
        <is>
          <t>Contrat collecte huiles usagées</t>
        </is>
      </c>
      <c r="C81" s="348" t="n">
        <v>49</v>
      </c>
      <c r="D81" s="348" t="inlineStr"/>
      <c r="E81" s="348" t="n">
        <v>49</v>
      </c>
      <c r="F81" s="348" t="inlineStr"/>
      <c r="G81" s="220">
        <f>SUM(C81)-SUM(D81)</f>
        <v/>
      </c>
      <c r="H81" s="220">
        <f>SUM(E81)-SUM(F81)</f>
        <v/>
      </c>
      <c r="I81" s="221">
        <f>IF(A81="Total",VLOOKUP(B81,CORRESPONDANCE[#All],2,FALSE),I82)</f>
        <v/>
      </c>
      <c r="J81" s="350">
        <f>LEFT(A81,1)</f>
        <v/>
      </c>
      <c r="K81" s="347">
        <f>"TURVILLA"&amp;" - "&amp;A81</f>
        <v/>
      </c>
      <c r="L81" s="347">
        <f>+VLOOKUP(K81,TL[],4,FALSE)</f>
        <v/>
      </c>
    </row>
    <row r="82">
      <c r="A82" s="348" t="inlineStr">
        <is>
          <t>615632</t>
        </is>
      </c>
      <c r="B82" s="348" t="inlineStr">
        <is>
          <t>Contrat ecolab amboile</t>
        </is>
      </c>
      <c r="C82" s="348" t="n">
        <v>149</v>
      </c>
      <c r="D82" s="348" t="inlineStr"/>
      <c r="E82" s="348" t="n">
        <v>149</v>
      </c>
      <c r="F82" s="348" t="inlineStr"/>
      <c r="G82" s="220">
        <f>SUM(C82)-SUM(D82)</f>
        <v/>
      </c>
      <c r="H82" s="220">
        <f>SUM(E82)-SUM(F82)</f>
        <v/>
      </c>
      <c r="I82" s="221">
        <f>IF(A82="Total",VLOOKUP(B82,CORRESPONDANCE[#All],2,FALSE),I83)</f>
        <v/>
      </c>
      <c r="J82" s="350">
        <f>LEFT(A82,1)</f>
        <v/>
      </c>
      <c r="K82" s="347">
        <f>"TURVILLA"&amp;" - "&amp;A82</f>
        <v/>
      </c>
      <c r="L82" s="347">
        <f>+VLOOKUP(K82,TL[],4,FALSE)</f>
        <v/>
      </c>
    </row>
    <row r="83">
      <c r="A83" s="348" t="inlineStr">
        <is>
          <t>615634</t>
        </is>
      </c>
      <c r="B83" s="348" t="inlineStr">
        <is>
          <t>Contrat wifi</t>
        </is>
      </c>
      <c r="C83" s="348" t="n">
        <v>90</v>
      </c>
      <c r="D83" s="348" t="inlineStr"/>
      <c r="E83" s="348" t="n">
        <v>90</v>
      </c>
      <c r="F83" s="348" t="inlineStr"/>
      <c r="G83" s="220">
        <f>SUM(C83)-SUM(D83)</f>
        <v/>
      </c>
      <c r="H83" s="220">
        <f>SUM(E83)-SUM(F83)</f>
        <v/>
      </c>
      <c r="I83" s="221">
        <f>IF(A83="Total",VLOOKUP(B83,CORRESPONDANCE[#All],2,FALSE),I84)</f>
        <v/>
      </c>
      <c r="J83" s="350">
        <f>LEFT(A83,1)</f>
        <v/>
      </c>
      <c r="K83" s="347">
        <f>"TURVILLA"&amp;" - "&amp;A83</f>
        <v/>
      </c>
      <c r="L83" s="347">
        <f>+VLOOKUP(K83,TL[],4,FALSE)</f>
        <v/>
      </c>
    </row>
    <row r="84">
      <c r="A84" s="348" t="inlineStr">
        <is>
          <t>615637</t>
        </is>
      </c>
      <c r="B84" s="348" t="inlineStr">
        <is>
          <t>Contrat cis - interway</t>
        </is>
      </c>
      <c r="C84" s="348" t="n">
        <v>162.67</v>
      </c>
      <c r="D84" s="348" t="inlineStr"/>
      <c r="E84" s="348" t="n">
        <v>162.67</v>
      </c>
      <c r="F84" s="348" t="inlineStr"/>
      <c r="G84" s="220">
        <f>SUM(C84)-SUM(D84)</f>
        <v/>
      </c>
      <c r="H84" s="220">
        <f>SUM(E84)-SUM(F84)</f>
        <v/>
      </c>
      <c r="I84" s="221">
        <f>IF(A84="Total",VLOOKUP(B84,CORRESPONDANCE[#All],2,FALSE),I85)</f>
        <v/>
      </c>
      <c r="J84" s="350">
        <f>LEFT(A84,1)</f>
        <v/>
      </c>
      <c r="K84" s="347">
        <f>"TURVILLA"&amp;" - "&amp;A84</f>
        <v/>
      </c>
      <c r="L84" s="347">
        <f>+VLOOKUP(K84,TL[],4,FALSE)</f>
        <v/>
      </c>
    </row>
    <row r="85">
      <c r="A85" s="348" t="inlineStr">
        <is>
          <t>615638</t>
        </is>
      </c>
      <c r="B85" s="348" t="inlineStr">
        <is>
          <t>Contrat cimbali</t>
        </is>
      </c>
      <c r="C85" s="348" t="n">
        <v>73.58</v>
      </c>
      <c r="D85" s="348" t="inlineStr"/>
      <c r="E85" s="348" t="n">
        <v>73.58</v>
      </c>
      <c r="F85" s="348" t="inlineStr"/>
      <c r="G85" s="220">
        <f>SUM(C85)-SUM(D85)</f>
        <v/>
      </c>
      <c r="H85" s="220">
        <f>SUM(E85)-SUM(F85)</f>
        <v/>
      </c>
      <c r="I85" s="221">
        <f>IF(A85="Total",VLOOKUP(B85,CORRESPONDANCE[#All],2,FALSE),I86)</f>
        <v/>
      </c>
      <c r="J85" s="350">
        <f>LEFT(A85,1)</f>
        <v/>
      </c>
      <c r="K85" s="347">
        <f>"TURVILLA"&amp;" - "&amp;A85</f>
        <v/>
      </c>
      <c r="L85" s="347">
        <f>+VLOOKUP(K85,TL[],4,FALSE)</f>
        <v/>
      </c>
    </row>
    <row r="86">
      <c r="A86" s="348" t="inlineStr">
        <is>
          <t>615645</t>
        </is>
      </c>
      <c r="B86" s="348" t="inlineStr">
        <is>
          <t>Enlevt dechets</t>
        </is>
      </c>
      <c r="C86" s="348" t="n">
        <v>1750</v>
      </c>
      <c r="D86" s="348" t="inlineStr"/>
      <c r="E86" s="348" t="n">
        <v>1750</v>
      </c>
      <c r="F86" s="348" t="inlineStr"/>
      <c r="G86" s="220">
        <f>SUM(C86)-SUM(D86)</f>
        <v/>
      </c>
      <c r="H86" s="220">
        <f>SUM(E86)-SUM(F86)</f>
        <v/>
      </c>
      <c r="I86" s="221">
        <f>IF(A86="Total",VLOOKUP(B86,CORRESPONDANCE[#All],2,FALSE),I87)</f>
        <v/>
      </c>
      <c r="J86" s="350">
        <f>LEFT(A86,1)</f>
        <v/>
      </c>
      <c r="K86" s="347">
        <f>"TURVILLA"&amp;" - "&amp;A86</f>
        <v/>
      </c>
      <c r="L86" s="347">
        <f>+VLOOKUP(K86,TL[],4,FALSE)</f>
        <v/>
      </c>
    </row>
    <row r="87">
      <c r="A87" s="348" t="inlineStr">
        <is>
          <t>615647</t>
        </is>
      </c>
      <c r="B87" s="348" t="inlineStr">
        <is>
          <t>Contrat coca maintenance</t>
        </is>
      </c>
      <c r="C87" s="348" t="n">
        <v>120</v>
      </c>
      <c r="D87" s="348" t="inlineStr"/>
      <c r="E87" s="348" t="n">
        <v>120</v>
      </c>
      <c r="F87" s="348" t="inlineStr"/>
      <c r="G87" s="220">
        <f>SUM(C87)-SUM(D87)</f>
        <v/>
      </c>
      <c r="H87" s="220">
        <f>SUM(E87)-SUM(F87)</f>
        <v/>
      </c>
      <c r="I87" s="221">
        <f>IF(A87="Total",VLOOKUP(B87,CORRESPONDANCE[#All],2,FALSE),I88)</f>
        <v/>
      </c>
      <c r="J87" s="350">
        <f>LEFT(A87,1)</f>
        <v/>
      </c>
      <c r="K87" s="347">
        <f>"TURVILLA"&amp;" - "&amp;A87</f>
        <v/>
      </c>
      <c r="L87" s="347">
        <f>+VLOOKUP(K87,TL[],4,FALSE)</f>
        <v/>
      </c>
    </row>
    <row r="88">
      <c r="A88" s="348" t="inlineStr">
        <is>
          <t>615651</t>
        </is>
      </c>
      <c r="B88" s="348" t="inlineStr">
        <is>
          <t>Abonnement recru net</t>
        </is>
      </c>
      <c r="C88" s="348" t="n">
        <v>20</v>
      </c>
      <c r="D88" s="348" t="inlineStr"/>
      <c r="E88" s="348" t="n">
        <v>20</v>
      </c>
      <c r="F88" s="348" t="inlineStr"/>
      <c r="G88" s="220">
        <f>SUM(C88)-SUM(D88)</f>
        <v/>
      </c>
      <c r="H88" s="220">
        <f>SUM(E88)-SUM(F88)</f>
        <v/>
      </c>
      <c r="I88" s="221">
        <f>IF(A88="Total",VLOOKUP(B88,CORRESPONDANCE[#All],2,FALSE),I89)</f>
        <v/>
      </c>
      <c r="J88" s="350">
        <f>LEFT(A88,1)</f>
        <v/>
      </c>
      <c r="K88" s="347">
        <f>"TURVILLA"&amp;" - "&amp;A88</f>
        <v/>
      </c>
      <c r="L88" s="347">
        <f>+VLOOKUP(K88,TL[],4,FALSE)</f>
        <v/>
      </c>
    </row>
    <row r="89">
      <c r="A89" s="348" t="inlineStr">
        <is>
          <t>615652</t>
        </is>
      </c>
      <c r="B89" s="348" t="inlineStr">
        <is>
          <t>Contrat guildagil</t>
        </is>
      </c>
      <c r="C89" s="348" t="n">
        <v>63.12</v>
      </c>
      <c r="D89" s="348" t="inlineStr"/>
      <c r="E89" s="348" t="n">
        <v>63.12</v>
      </c>
      <c r="F89" s="348" t="inlineStr"/>
      <c r="G89" s="220">
        <f>SUM(C89)-SUM(D89)</f>
        <v/>
      </c>
      <c r="H89" s="220">
        <f>SUM(E89)-SUM(F89)</f>
        <v/>
      </c>
      <c r="I89" s="221">
        <f>IF(A89="Total",VLOOKUP(B89,CORRESPONDANCE[#All],2,FALSE),I90)</f>
        <v/>
      </c>
      <c r="J89" s="350">
        <f>LEFT(A89,1)</f>
        <v/>
      </c>
      <c r="K89" s="347">
        <f>"TURVILLA"&amp;" - "&amp;A89</f>
        <v/>
      </c>
      <c r="L89" s="347">
        <f>+VLOOKUP(K89,TL[],4,FALSE)</f>
        <v/>
      </c>
    </row>
    <row r="90">
      <c r="A90" s="348" t="inlineStr">
        <is>
          <t>615653</t>
        </is>
      </c>
      <c r="B90" s="348" t="inlineStr">
        <is>
          <t>Contrat réflex services</t>
        </is>
      </c>
      <c r="C90" s="348" t="n">
        <v>249</v>
      </c>
      <c r="D90" s="348" t="inlineStr"/>
      <c r="E90" s="348" t="n">
        <v>249</v>
      </c>
      <c r="F90" s="348" t="inlineStr"/>
      <c r="G90" s="220">
        <f>SUM(C90)-SUM(D90)</f>
        <v/>
      </c>
      <c r="H90" s="220">
        <f>SUM(E90)-SUM(F90)</f>
        <v/>
      </c>
      <c r="I90" s="221">
        <f>IF(A90="Total",VLOOKUP(B90,CORRESPONDANCE[#All],2,FALSE),I91)</f>
        <v/>
      </c>
      <c r="J90" s="350">
        <f>LEFT(A90,1)</f>
        <v/>
      </c>
      <c r="K90" s="347">
        <f>"TURVILLA"&amp;" - "&amp;A90</f>
        <v/>
      </c>
      <c r="L90" s="347">
        <f>+VLOOKUP(K90,TL[],4,FALSE)</f>
        <v/>
      </c>
    </row>
    <row r="91">
      <c r="A91" s="348" t="inlineStr">
        <is>
          <t>615654</t>
        </is>
      </c>
      <c r="B91" s="348" t="inlineStr">
        <is>
          <t>Contrat jri</t>
        </is>
      </c>
      <c r="C91" s="348" t="n">
        <v>65</v>
      </c>
      <c r="D91" s="348" t="inlineStr"/>
      <c r="E91" s="348" t="n">
        <v>65</v>
      </c>
      <c r="F91" s="348" t="inlineStr"/>
      <c r="G91" s="220">
        <f>SUM(C91)-SUM(D91)</f>
        <v/>
      </c>
      <c r="H91" s="220">
        <f>SUM(E91)-SUM(F91)</f>
        <v/>
      </c>
      <c r="I91" s="221">
        <f>IF(A91="Total",VLOOKUP(B91,CORRESPONDANCE[#All],2,FALSE),I92)</f>
        <v/>
      </c>
      <c r="J91" s="350">
        <f>LEFT(A91,1)</f>
        <v/>
      </c>
      <c r="K91" s="347">
        <f>"TURVILLA"&amp;" - "&amp;A91</f>
        <v/>
      </c>
      <c r="L91" s="347">
        <f>+VLOOKUP(K91,TL[],4,FALSE)</f>
        <v/>
      </c>
    </row>
    <row r="92">
      <c r="A92" s="348" t="inlineStr">
        <is>
          <t>615655</t>
        </is>
      </c>
      <c r="B92" s="348" t="inlineStr">
        <is>
          <t>Contrat socotec</t>
        </is>
      </c>
      <c r="C92" s="348" t="n">
        <v>220</v>
      </c>
      <c r="D92" s="348" t="inlineStr"/>
      <c r="E92" s="348" t="n">
        <v>220</v>
      </c>
      <c r="F92" s="348" t="inlineStr"/>
      <c r="G92" s="220">
        <f>SUM(C92)-SUM(D92)</f>
        <v/>
      </c>
      <c r="H92" s="220">
        <f>SUM(E92)-SUM(F92)</f>
        <v/>
      </c>
      <c r="I92" s="221">
        <f>IF(A92="Total",VLOOKUP(B92,CORRESPONDANCE[#All],2,FALSE),I93)</f>
        <v/>
      </c>
      <c r="J92" s="350">
        <f>LEFT(A92,1)</f>
        <v/>
      </c>
      <c r="K92" s="347">
        <f>"TURVILLA"&amp;" - "&amp;A92</f>
        <v/>
      </c>
      <c r="L92" s="347">
        <f>+VLOOKUP(K92,TL[],4,FALSE)</f>
        <v/>
      </c>
    </row>
    <row r="93">
      <c r="A93" s="348" t="inlineStr">
        <is>
          <t>615656</t>
        </is>
      </c>
      <c r="B93" s="348" t="inlineStr">
        <is>
          <t>Contrat majie</t>
        </is>
      </c>
      <c r="C93" s="348" t="n">
        <v>139</v>
      </c>
      <c r="D93" s="348" t="inlineStr"/>
      <c r="E93" s="348" t="n">
        <v>139</v>
      </c>
      <c r="F93" s="348" t="inlineStr"/>
      <c r="G93" s="220">
        <f>SUM(C93)-SUM(D93)</f>
        <v/>
      </c>
      <c r="H93" s="220">
        <f>SUM(E93)-SUM(F93)</f>
        <v/>
      </c>
      <c r="I93" s="221">
        <f>IF(A93="Total",VLOOKUP(B93,CORRESPONDANCE[#All],2,FALSE),I94)</f>
        <v/>
      </c>
      <c r="J93" s="350">
        <f>LEFT(A93,1)</f>
        <v/>
      </c>
      <c r="K93" s="347">
        <f>"TURVILLA"&amp;" - "&amp;A93</f>
        <v/>
      </c>
      <c r="L93" s="347">
        <f>+VLOOKUP(K93,TL[],4,FALSE)</f>
        <v/>
      </c>
    </row>
    <row r="94">
      <c r="A94" s="348" t="inlineStr">
        <is>
          <t>615657</t>
        </is>
      </c>
      <c r="B94" s="348" t="inlineStr">
        <is>
          <t>Contrat iss/sapian dégrais. hottes</t>
        </is>
      </c>
      <c r="C94" s="348" t="n">
        <v>219.96</v>
      </c>
      <c r="D94" s="348" t="inlineStr"/>
      <c r="E94" s="348" t="n">
        <v>219.96</v>
      </c>
      <c r="F94" s="348" t="inlineStr"/>
      <c r="G94" s="220">
        <f>SUM(C94)-SUM(D94)</f>
        <v/>
      </c>
      <c r="H94" s="220">
        <f>SUM(E94)-SUM(F94)</f>
        <v/>
      </c>
      <c r="I94" s="221">
        <f>IF(A94="Total",VLOOKUP(B94,CORRESPONDANCE[#All],2,FALSE),I95)</f>
        <v/>
      </c>
      <c r="J94" s="350">
        <f>LEFT(A94,1)</f>
        <v/>
      </c>
      <c r="K94" s="347">
        <f>"TURVILLA"&amp;" - "&amp;A94</f>
        <v/>
      </c>
      <c r="L94" s="347">
        <f>+VLOOKUP(K94,TL[],4,FALSE)</f>
        <v/>
      </c>
    </row>
    <row r="95">
      <c r="A95" s="348" t="inlineStr">
        <is>
          <t>615658</t>
        </is>
      </c>
      <c r="B95" s="348" t="inlineStr">
        <is>
          <t>Contrat mood</t>
        </is>
      </c>
      <c r="C95" s="348" t="n">
        <v>19</v>
      </c>
      <c r="D95" s="348" t="inlineStr"/>
      <c r="E95" s="348" t="n">
        <v>19</v>
      </c>
      <c r="F95" s="348" t="inlineStr"/>
      <c r="G95" s="220">
        <f>SUM(C95)-SUM(D95)</f>
        <v/>
      </c>
      <c r="H95" s="220">
        <f>SUM(E95)-SUM(F95)</f>
        <v/>
      </c>
      <c r="I95" s="221">
        <f>IF(A95="Total",VLOOKUP(B95,CORRESPONDANCE[#All],2,FALSE),I96)</f>
        <v/>
      </c>
      <c r="J95" s="350">
        <f>LEFT(A95,1)</f>
        <v/>
      </c>
      <c r="K95" s="347">
        <f>"TURVILLA"&amp;" - "&amp;A95</f>
        <v/>
      </c>
      <c r="L95" s="347">
        <f>+VLOOKUP(K95,TL[],4,FALSE)</f>
        <v/>
      </c>
    </row>
    <row r="96">
      <c r="A96" s="348" t="inlineStr">
        <is>
          <t>615661</t>
        </is>
      </c>
      <c r="B96" s="348" t="inlineStr">
        <is>
          <t>Curage des bacs à graisses</t>
        </is>
      </c>
      <c r="C96" s="348" t="n">
        <v>219</v>
      </c>
      <c r="D96" s="348" t="inlineStr"/>
      <c r="E96" s="348" t="n">
        <v>219</v>
      </c>
      <c r="F96" s="348" t="inlineStr"/>
      <c r="G96" s="220">
        <f>SUM(C96)-SUM(D96)</f>
        <v/>
      </c>
      <c r="H96" s="220">
        <f>SUM(E96)-SUM(F96)</f>
        <v/>
      </c>
      <c r="I96" s="221">
        <f>IF(A96="Total",VLOOKUP(B96,CORRESPONDANCE[#All],2,FALSE),I97)</f>
        <v/>
      </c>
      <c r="J96" s="350">
        <f>LEFT(A96,1)</f>
        <v/>
      </c>
      <c r="K96" s="347">
        <f>"TURVILLA"&amp;" - "&amp;A96</f>
        <v/>
      </c>
      <c r="L96" s="347">
        <f>+VLOOKUP(K96,TL[],4,FALSE)</f>
        <v/>
      </c>
    </row>
    <row r="97">
      <c r="A97" s="348" t="inlineStr">
        <is>
          <t>615663</t>
        </is>
      </c>
      <c r="B97" s="348" t="inlineStr">
        <is>
          <t>Contrat alarme et incendi</t>
        </is>
      </c>
      <c r="C97" s="348" t="n">
        <v>46.67</v>
      </c>
      <c r="D97" s="348" t="inlineStr"/>
      <c r="E97" s="348" t="n">
        <v>46.67</v>
      </c>
      <c r="F97" s="348" t="inlineStr"/>
      <c r="G97" s="220">
        <f>SUM(C97)-SUM(D97)</f>
        <v/>
      </c>
      <c r="H97" s="220">
        <f>SUM(E97)-SUM(F97)</f>
        <v/>
      </c>
      <c r="I97" s="221">
        <f>IF(A97="Total",VLOOKUP(B97,CORRESPONDANCE[#All],2,FALSE),I98)</f>
        <v/>
      </c>
      <c r="J97" s="350">
        <f>LEFT(A97,1)</f>
        <v/>
      </c>
      <c r="K97" s="347">
        <f>"TURVILLA"&amp;" - "&amp;A97</f>
        <v/>
      </c>
      <c r="L97" s="347">
        <f>+VLOOKUP(K97,TL[],4,FALSE)</f>
        <v/>
      </c>
    </row>
    <row r="98">
      <c r="A98" s="348" t="inlineStr">
        <is>
          <t>615665</t>
        </is>
      </c>
      <c r="B98" s="348" t="inlineStr">
        <is>
          <t>Contrat Coates</t>
        </is>
      </c>
      <c r="C98" s="348" t="n">
        <v>73.23</v>
      </c>
      <c r="D98" s="348" t="inlineStr"/>
      <c r="E98" s="348" t="n">
        <v>73.23</v>
      </c>
      <c r="F98" s="348" t="inlineStr"/>
      <c r="G98" s="220">
        <f>SUM(C98)-SUM(D98)</f>
        <v/>
      </c>
      <c r="H98" s="220">
        <f>SUM(E98)-SUM(F98)</f>
        <v/>
      </c>
      <c r="I98" s="221">
        <f>IF(A98="Total",VLOOKUP(B98,CORRESPONDANCE[#All],2,FALSE),I99)</f>
        <v/>
      </c>
      <c r="J98" s="350">
        <f>LEFT(A98,1)</f>
        <v/>
      </c>
      <c r="K98" s="347">
        <f>"TURVILLA"&amp;" - "&amp;A98</f>
        <v/>
      </c>
      <c r="L98" s="347">
        <f>+VLOOKUP(K98,TL[],4,FALSE)</f>
        <v/>
      </c>
    </row>
    <row r="99">
      <c r="A99" s="348" t="inlineStr">
        <is>
          <t>626008</t>
        </is>
      </c>
      <c r="B99" s="348" t="inlineStr">
        <is>
          <t>Interway réseau</t>
        </is>
      </c>
      <c r="C99" s="348" t="n">
        <v>15.89</v>
      </c>
      <c r="D99" s="348" t="inlineStr"/>
      <c r="E99" s="348" t="n">
        <v>15.89</v>
      </c>
      <c r="F99" s="348" t="inlineStr"/>
      <c r="G99" s="220">
        <f>SUM(C99)-SUM(D99)</f>
        <v/>
      </c>
      <c r="H99" s="220">
        <f>SUM(E99)-SUM(F99)</f>
        <v/>
      </c>
      <c r="I99" s="221">
        <f>IF(A99="Total",VLOOKUP(B99,CORRESPONDANCE[#All],2,FALSE),I100)</f>
        <v/>
      </c>
      <c r="J99" s="350">
        <f>LEFT(A99,1)</f>
        <v/>
      </c>
      <c r="K99" s="347">
        <f>"TURVILLA"&amp;" - "&amp;A99</f>
        <v/>
      </c>
      <c r="L99" s="347">
        <f>+VLOOKUP(K99,TL[],4,FALSE)</f>
        <v/>
      </c>
    </row>
    <row r="100">
      <c r="A100" s="348" t="inlineStr">
        <is>
          <t>647500</t>
        </is>
      </c>
      <c r="B100" s="348" t="inlineStr">
        <is>
          <t>Medecine travail &amp; pharm</t>
        </is>
      </c>
      <c r="C100" s="348" t="n">
        <v>625</v>
      </c>
      <c r="D100" s="348" t="inlineStr"/>
      <c r="E100" s="348" t="n">
        <v>625</v>
      </c>
      <c r="F100" s="348" t="inlineStr"/>
      <c r="G100" s="220">
        <f>SUM(C100)-SUM(D100)</f>
        <v/>
      </c>
      <c r="H100" s="220">
        <f>SUM(E100)-SUM(F100)</f>
        <v/>
      </c>
      <c r="I100" s="221">
        <f>IF(A100="Total",VLOOKUP(B100,CORRESPONDANCE[#All],2,FALSE),I101)</f>
        <v/>
      </c>
      <c r="J100" s="350">
        <f>LEFT(A100,1)</f>
        <v/>
      </c>
      <c r="K100" s="347">
        <f>"TURVILLA"&amp;" - "&amp;A100</f>
        <v/>
      </c>
      <c r="L100" s="347">
        <f>+VLOOKUP(K100,TL[],4,FALSE)</f>
        <v/>
      </c>
    </row>
    <row r="101">
      <c r="A101" s="348" t="inlineStr">
        <is>
          <t>651003</t>
        </is>
      </c>
      <c r="B101" s="348" t="inlineStr">
        <is>
          <t>Sacem</t>
        </is>
      </c>
      <c r="C101" s="348" t="n">
        <v>75</v>
      </c>
      <c r="D101" s="348" t="inlineStr"/>
      <c r="E101" s="348" t="n">
        <v>75</v>
      </c>
      <c r="F101" s="348" t="inlineStr"/>
      <c r="G101" s="220">
        <f>SUM(C101)-SUM(D101)</f>
        <v/>
      </c>
      <c r="H101" s="220">
        <f>SUM(E101)-SUM(F101)</f>
        <v/>
      </c>
      <c r="I101" s="221">
        <f>IF(A101="Total",VLOOKUP(B101,CORRESPONDANCE[#All],2,FALSE),I102)</f>
        <v/>
      </c>
      <c r="J101" s="350">
        <f>LEFT(A101,1)</f>
        <v/>
      </c>
      <c r="K101" s="347">
        <f>"TURVILLA"&amp;" - "&amp;A101</f>
        <v/>
      </c>
      <c r="L101" s="347">
        <f>+VLOOKUP(K101,TL[],4,FALSE)</f>
        <v/>
      </c>
    </row>
    <row r="102">
      <c r="A102" s="348" t="inlineStr">
        <is>
          <t>651700</t>
        </is>
      </c>
      <c r="B102" s="348" t="inlineStr">
        <is>
          <t>Redevance interway</t>
        </is>
      </c>
      <c r="C102" s="348" t="n">
        <v>247.65</v>
      </c>
      <c r="D102" s="348" t="inlineStr"/>
      <c r="E102" s="348" t="n">
        <v>247.65</v>
      </c>
      <c r="F102" s="348" t="inlineStr"/>
      <c r="G102" s="220">
        <f>SUM(C102)-SUM(D102)</f>
        <v/>
      </c>
      <c r="H102" s="220">
        <f>SUM(E102)-SUM(F102)</f>
        <v/>
      </c>
      <c r="I102" s="221">
        <f>IF(A102="Total",VLOOKUP(B102,CORRESPONDANCE[#All],2,FALSE),I103)</f>
        <v/>
      </c>
      <c r="J102" s="350">
        <f>LEFT(A102,1)</f>
        <v/>
      </c>
      <c r="K102" s="347">
        <f>"TURVILLA"&amp;" - "&amp;A102</f>
        <v/>
      </c>
      <c r="L102" s="347">
        <f>+VLOOKUP(K102,TL[],4,FALSE)</f>
        <v/>
      </c>
    </row>
    <row r="103">
      <c r="A103" s="348" t="inlineStr">
        <is>
          <t>703100</t>
        </is>
      </c>
      <c r="B103" s="348" t="inlineStr">
        <is>
          <t>Refacturation huiles usagées</t>
        </is>
      </c>
      <c r="C103" s="348" t="n">
        <v>1</v>
      </c>
      <c r="D103" s="348" t="inlineStr"/>
      <c r="E103" s="348" t="n">
        <v>1</v>
      </c>
      <c r="F103" s="348" t="inlineStr"/>
      <c r="G103" s="220">
        <f>SUM(C103)-SUM(D103)</f>
        <v/>
      </c>
      <c r="H103" s="220">
        <f>SUM(E103)-SUM(F103)</f>
        <v/>
      </c>
      <c r="I103" s="221">
        <f>IF(A103="Total",VLOOKUP(B103,CORRESPONDANCE[#All],2,FALSE),I104)</f>
        <v/>
      </c>
      <c r="J103" s="350">
        <f>LEFT(A103,1)</f>
        <v/>
      </c>
      <c r="K103" s="347">
        <f>"TURVILLA"&amp;" - "&amp;A103</f>
        <v/>
      </c>
      <c r="L103" s="347">
        <f>+VLOOKUP(K103,TL[],4,FALSE)</f>
        <v/>
      </c>
    </row>
    <row r="104">
      <c r="A104" s="348" t="inlineStr">
        <is>
          <t>Total</t>
        </is>
      </c>
      <c r="B104" s="348" t="inlineStr">
        <is>
          <t>Table n°2  -  Autres Services Extérieurs</t>
        </is>
      </c>
      <c r="C104" s="348" t="n">
        <v>8674.4</v>
      </c>
      <c r="D104" s="348" t="inlineStr"/>
      <c r="E104" s="348" t="n">
        <v>8674.4</v>
      </c>
      <c r="F104" s="348" t="inlineStr"/>
      <c r="G104" s="220">
        <f>SUM(C104)-SUM(D104)</f>
        <v/>
      </c>
      <c r="H104" s="220">
        <f>SUM(E104)-SUM(F104)</f>
        <v/>
      </c>
      <c r="I104" s="221">
        <f>IF(A104="Total",VLOOKUP(B104,CORRESPONDANCE[#All],2,FALSE),I105)</f>
        <v/>
      </c>
      <c r="J104" s="350">
        <f>LEFT(A104,1)</f>
        <v/>
      </c>
      <c r="K104" s="347">
        <f>"TURVILLA"&amp;" - "&amp;A104</f>
        <v/>
      </c>
      <c r="L104" s="347">
        <f>+VLOOKUP(K104,TL[],4,FALSE)</f>
        <v/>
      </c>
    </row>
    <row r="105">
      <c r="A105" s="348" t="inlineStr">
        <is>
          <t>622800</t>
        </is>
      </c>
      <c r="B105" s="348" t="inlineStr">
        <is>
          <t>Frais uber</t>
        </is>
      </c>
      <c r="C105" s="348" t="n">
        <v>2745.93</v>
      </c>
      <c r="D105" s="348" t="inlineStr"/>
      <c r="E105" s="348" t="n">
        <v>2745.93</v>
      </c>
      <c r="F105" s="348" t="inlineStr"/>
      <c r="G105" s="220">
        <f>SUM(C105)-SUM(D105)</f>
        <v/>
      </c>
      <c r="H105" s="220">
        <f>SUM(E105)-SUM(F105)</f>
        <v/>
      </c>
      <c r="I105" s="221">
        <f>IF(A105="Total",VLOOKUP(B105,CORRESPONDANCE[#All],2,FALSE),I106)</f>
        <v/>
      </c>
      <c r="J105" s="350">
        <f>LEFT(A105,1)</f>
        <v/>
      </c>
      <c r="K105" s="347">
        <f>"TURVILLA"&amp;" - "&amp;A105</f>
        <v/>
      </c>
      <c r="L105" s="347">
        <f>+VLOOKUP(K105,TL[],4,FALSE)</f>
        <v/>
      </c>
    </row>
    <row r="106">
      <c r="A106" s="348" t="inlineStr">
        <is>
          <t>622810</t>
        </is>
      </c>
      <c r="B106" s="348" t="inlineStr">
        <is>
          <t>Commissions delivroo</t>
        </is>
      </c>
      <c r="C106" s="348" t="n">
        <v>62.96</v>
      </c>
      <c r="D106" s="348" t="inlineStr"/>
      <c r="E106" s="348" t="n">
        <v>62.96</v>
      </c>
      <c r="F106" s="348" t="inlineStr"/>
      <c r="G106" s="220">
        <f>SUM(C106)-SUM(D106)</f>
        <v/>
      </c>
      <c r="H106" s="220">
        <f>SUM(E106)-SUM(F106)</f>
        <v/>
      </c>
      <c r="I106" s="221">
        <f>IF(A106="Total",VLOOKUP(B106,CORRESPONDANCE[#All],2,FALSE),I107)</f>
        <v/>
      </c>
      <c r="J106" s="350">
        <f>LEFT(A106,1)</f>
        <v/>
      </c>
      <c r="K106" s="347">
        <f>"TURVILLA"&amp;" - "&amp;A106</f>
        <v/>
      </c>
      <c r="L106" s="347">
        <f>+VLOOKUP(K106,TL[],4,FALSE)</f>
        <v/>
      </c>
    </row>
    <row r="107">
      <c r="A107" s="348" t="inlineStr">
        <is>
          <t>Total</t>
        </is>
      </c>
      <c r="B107" s="348" t="inlineStr">
        <is>
          <t>Table n°2  -  Commissions Food Tech</t>
        </is>
      </c>
      <c r="C107" s="348" t="n">
        <v>2808.89</v>
      </c>
      <c r="D107" s="348" t="inlineStr"/>
      <c r="E107" s="348" t="n">
        <v>2808.89</v>
      </c>
      <c r="F107" s="348" t="inlineStr"/>
      <c r="G107" s="220">
        <f>SUM(C107)-SUM(D107)</f>
        <v/>
      </c>
      <c r="H107" s="220">
        <f>SUM(E107)-SUM(F107)</f>
        <v/>
      </c>
      <c r="I107" s="221">
        <f>IF(A107="Total",VLOOKUP(B107,CORRESPONDANCE[#All],2,FALSE),I108)</f>
        <v/>
      </c>
      <c r="J107" s="350">
        <f>LEFT(A107,1)</f>
        <v/>
      </c>
      <c r="K107" s="347">
        <f>"TURVILLA"&amp;" - "&amp;A107</f>
        <v/>
      </c>
      <c r="L107" s="347">
        <f>+VLOOKUP(K107,TL[],4,FALSE)</f>
        <v/>
      </c>
    </row>
    <row r="108">
      <c r="A108" s="348" t="inlineStr">
        <is>
          <t>623000</t>
        </is>
      </c>
      <c r="B108" s="348" t="inlineStr">
        <is>
          <t>Publicité</t>
        </is>
      </c>
      <c r="C108" s="348" t="n">
        <v>18397.91</v>
      </c>
      <c r="D108" s="348" t="inlineStr"/>
      <c r="E108" s="348" t="n">
        <v>18397.91</v>
      </c>
      <c r="F108" s="348" t="inlineStr"/>
      <c r="G108" s="220">
        <f>SUM(C108)-SUM(D108)</f>
        <v/>
      </c>
      <c r="H108" s="220">
        <f>SUM(E108)-SUM(F108)</f>
        <v/>
      </c>
      <c r="I108" s="221">
        <f>IF(A108="Total",VLOOKUP(B108,CORRESPONDANCE[#All],2,FALSE),I109)</f>
        <v/>
      </c>
      <c r="J108" s="350">
        <f>LEFT(A108,1)</f>
        <v/>
      </c>
      <c r="K108" s="347">
        <f>"TURVILLA"&amp;" - "&amp;A108</f>
        <v/>
      </c>
      <c r="L108" s="347">
        <f>+VLOOKUP(K108,TL[],4,FALSE)</f>
        <v/>
      </c>
    </row>
    <row r="109">
      <c r="A109" s="348" t="inlineStr">
        <is>
          <t>Total</t>
        </is>
      </c>
      <c r="B109" s="348" t="inlineStr">
        <is>
          <t>Table n°2  -  Publicité GIE</t>
        </is>
      </c>
      <c r="C109" s="348" t="n">
        <v>18397.91</v>
      </c>
      <c r="D109" s="348" t="inlineStr"/>
      <c r="E109" s="348" t="n">
        <v>18397.91</v>
      </c>
      <c r="F109" s="348" t="inlineStr"/>
      <c r="G109" s="220">
        <f>SUM(C109)-SUM(D109)</f>
        <v/>
      </c>
      <c r="H109" s="220">
        <f>SUM(E109)-SUM(F109)</f>
        <v/>
      </c>
      <c r="I109" s="221">
        <f>IF(A109="Total",VLOOKUP(B109,CORRESPONDANCE[#All],2,FALSE),I110)</f>
        <v/>
      </c>
      <c r="J109" s="350">
        <f>LEFT(A109,1)</f>
        <v/>
      </c>
      <c r="K109" s="347">
        <f>"TURVILLA"&amp;" - "&amp;A109</f>
        <v/>
      </c>
      <c r="L109" s="347">
        <f>+VLOOKUP(K109,TL[],4,FALSE)</f>
        <v/>
      </c>
    </row>
    <row r="110">
      <c r="A110" s="348" t="inlineStr">
        <is>
          <t>623050</t>
        </is>
      </c>
      <c r="B110" s="348" t="inlineStr">
        <is>
          <t>Publicite promotion</t>
        </is>
      </c>
      <c r="C110" s="348" t="n">
        <v>2700</v>
      </c>
      <c r="D110" s="348" t="inlineStr"/>
      <c r="E110" s="348" t="n">
        <v>2700</v>
      </c>
      <c r="F110" s="348" t="inlineStr"/>
      <c r="G110" s="220">
        <f>SUM(C110)-SUM(D110)</f>
        <v/>
      </c>
      <c r="H110" s="220">
        <f>SUM(E110)-SUM(F110)</f>
        <v/>
      </c>
      <c r="I110" s="221">
        <f>IF(A110="Total",VLOOKUP(B110,CORRESPONDANCE[#All],2,FALSE),I111)</f>
        <v/>
      </c>
      <c r="J110" s="350">
        <f>LEFT(A110,1)</f>
        <v/>
      </c>
      <c r="K110" s="347">
        <f>"TURVILLA"&amp;" - "&amp;A110</f>
        <v/>
      </c>
      <c r="L110" s="347">
        <f>+VLOOKUP(K110,TL[],4,FALSE)</f>
        <v/>
      </c>
    </row>
    <row r="111">
      <c r="A111" s="348" t="inlineStr">
        <is>
          <t>623401</t>
        </is>
      </c>
      <c r="B111" s="348" t="inlineStr">
        <is>
          <t>Promotions</t>
        </is>
      </c>
      <c r="C111" s="348" t="n">
        <v>4573.01</v>
      </c>
      <c r="D111" s="348" t="inlineStr"/>
      <c r="E111" s="348" t="n">
        <v>4573.01</v>
      </c>
      <c r="F111" s="348" t="inlineStr"/>
      <c r="G111" s="220">
        <f>SUM(C111)-SUM(D111)</f>
        <v/>
      </c>
      <c r="H111" s="220">
        <f>SUM(E111)-SUM(F111)</f>
        <v/>
      </c>
      <c r="I111" s="221">
        <f>IF(A111="Total",VLOOKUP(B111,CORRESPONDANCE[#All],2,FALSE),I112)</f>
        <v/>
      </c>
      <c r="J111" s="350">
        <f>LEFT(A111,1)</f>
        <v/>
      </c>
      <c r="K111" s="347">
        <f>"TURVILLA"&amp;" - "&amp;A111</f>
        <v/>
      </c>
      <c r="L111" s="347">
        <f>+VLOOKUP(K111,TL[],4,FALSE)</f>
        <v/>
      </c>
    </row>
    <row r="112">
      <c r="A112" s="348" t="inlineStr">
        <is>
          <t>623415</t>
        </is>
      </c>
      <c r="B112" s="348" t="inlineStr">
        <is>
          <t>Premiums</t>
        </is>
      </c>
      <c r="C112" s="348" t="n">
        <v>2037.23</v>
      </c>
      <c r="D112" s="348" t="inlineStr"/>
      <c r="E112" s="348" t="n">
        <v>2037.23</v>
      </c>
      <c r="F112" s="348" t="inlineStr"/>
      <c r="G112" s="220">
        <f>SUM(C112)-SUM(D112)</f>
        <v/>
      </c>
      <c r="H112" s="220">
        <f>SUM(E112)-SUM(F112)</f>
        <v/>
      </c>
      <c r="I112" s="221">
        <f>IF(A112="Total",VLOOKUP(B112,CORRESPONDANCE[#All],2,FALSE),I113)</f>
        <v/>
      </c>
      <c r="J112" s="350">
        <f>LEFT(A112,1)</f>
        <v/>
      </c>
      <c r="K112" s="347">
        <f>"TURVILLA"&amp;" - "&amp;A112</f>
        <v/>
      </c>
      <c r="L112" s="347">
        <f>+VLOOKUP(K112,TL[],4,FALSE)</f>
        <v/>
      </c>
    </row>
    <row r="113">
      <c r="A113" s="348" t="inlineStr">
        <is>
          <t>708890</t>
        </is>
      </c>
      <c r="B113" s="348" t="inlineStr">
        <is>
          <t>Refacturation publicite</t>
        </is>
      </c>
      <c r="C113" s="348" t="inlineStr"/>
      <c r="D113" s="348" t="inlineStr"/>
      <c r="E113" s="348" t="inlineStr"/>
      <c r="F113" s="348" t="inlineStr"/>
      <c r="G113" s="220">
        <f>SUM(C113)-SUM(D113)</f>
        <v/>
      </c>
      <c r="H113" s="220">
        <f>SUM(E113)-SUM(F113)</f>
        <v/>
      </c>
      <c r="I113" s="221">
        <f>IF(A113="Total",VLOOKUP(B113,CORRESPONDANCE[#All],2,FALSE),I114)</f>
        <v/>
      </c>
      <c r="J113" s="350">
        <f>LEFT(A113,1)</f>
        <v/>
      </c>
      <c r="K113" s="347">
        <f>"TURVILLA"&amp;" - "&amp;A113</f>
        <v/>
      </c>
      <c r="L113" s="347">
        <f>+VLOOKUP(K113,TL[],4,FALSE)</f>
        <v/>
      </c>
    </row>
    <row r="114">
      <c r="A114" s="348" t="inlineStr">
        <is>
          <t>Total</t>
        </is>
      </c>
      <c r="B114" s="348" t="inlineStr">
        <is>
          <t>Table n°2  -  Promotion locale</t>
        </is>
      </c>
      <c r="C114" s="348" t="n">
        <v>9310.24</v>
      </c>
      <c r="D114" s="348" t="inlineStr"/>
      <c r="E114" s="348" t="n">
        <v>9310.24</v>
      </c>
      <c r="F114" s="348" t="inlineStr"/>
      <c r="G114" s="220">
        <f>SUM(C114)-SUM(D114)</f>
        <v/>
      </c>
      <c r="H114" s="220">
        <f>SUM(E114)-SUM(F114)</f>
        <v/>
      </c>
      <c r="I114" s="221">
        <f>IF(A114="Total",VLOOKUP(B114,CORRESPONDANCE[#All],2,FALSE),I115)</f>
        <v/>
      </c>
      <c r="J114" s="350">
        <f>LEFT(A114,1)</f>
        <v/>
      </c>
      <c r="K114" s="347">
        <f>"TURVILLA"&amp;" - "&amp;A114</f>
        <v/>
      </c>
      <c r="L114" s="347">
        <f>+VLOOKUP(K114,TL[],4,FALSE)</f>
        <v/>
      </c>
    </row>
    <row r="115">
      <c r="A115" s="348" t="inlineStr">
        <is>
          <t>606110</t>
        </is>
      </c>
      <c r="B115" s="348" t="inlineStr">
        <is>
          <t>Eau</t>
        </is>
      </c>
      <c r="C115" s="348" t="n">
        <v>1076</v>
      </c>
      <c r="D115" s="348" t="inlineStr"/>
      <c r="E115" s="348" t="n">
        <v>1076</v>
      </c>
      <c r="F115" s="348" t="inlineStr"/>
      <c r="G115" s="220">
        <f>SUM(C115)-SUM(D115)</f>
        <v/>
      </c>
      <c r="H115" s="220">
        <f>SUM(E115)-SUM(F115)</f>
        <v/>
      </c>
      <c r="I115" s="221">
        <f>IF(A115="Total",VLOOKUP(B115,CORRESPONDANCE[#All],2,FALSE),I116)</f>
        <v/>
      </c>
      <c r="J115" s="350">
        <f>LEFT(A115,1)</f>
        <v/>
      </c>
      <c r="K115" s="347">
        <f>"TURVILLA"&amp;" - "&amp;A115</f>
        <v/>
      </c>
      <c r="L115" s="347">
        <f>+VLOOKUP(K115,TL[],4,FALSE)</f>
        <v/>
      </c>
    </row>
    <row r="116">
      <c r="A116" s="348" t="inlineStr">
        <is>
          <t>606120</t>
        </is>
      </c>
      <c r="B116" s="348" t="inlineStr">
        <is>
          <t>Electricité</t>
        </is>
      </c>
      <c r="C116" s="348" t="n">
        <v>11573</v>
      </c>
      <c r="D116" s="348" t="inlineStr"/>
      <c r="E116" s="348" t="n">
        <v>11573</v>
      </c>
      <c r="F116" s="348" t="inlineStr"/>
      <c r="G116" s="220">
        <f>SUM(C116)-SUM(D116)</f>
        <v/>
      </c>
      <c r="H116" s="220">
        <f>SUM(E116)-SUM(F116)</f>
        <v/>
      </c>
      <c r="I116" s="221">
        <f>IF(A116="Total",VLOOKUP(B116,CORRESPONDANCE[#All],2,FALSE),I117)</f>
        <v/>
      </c>
      <c r="J116" s="350">
        <f>LEFT(A116,1)</f>
        <v/>
      </c>
      <c r="K116" s="347">
        <f>"TURVILLA"&amp;" - "&amp;A116</f>
        <v/>
      </c>
      <c r="L116" s="347">
        <f>+VLOOKUP(K116,TL[],4,FALSE)</f>
        <v/>
      </c>
    </row>
    <row r="117">
      <c r="A117" s="348" t="inlineStr">
        <is>
          <t>606130</t>
        </is>
      </c>
      <c r="B117" s="348" t="inlineStr">
        <is>
          <t>Gaz</t>
        </is>
      </c>
      <c r="C117" s="348" t="n">
        <v>250</v>
      </c>
      <c r="D117" s="348" t="inlineStr"/>
      <c r="E117" s="348" t="n">
        <v>250</v>
      </c>
      <c r="F117" s="348" t="inlineStr"/>
      <c r="G117" s="220">
        <f>SUM(C117)-SUM(D117)</f>
        <v/>
      </c>
      <c r="H117" s="220">
        <f>SUM(E117)-SUM(F117)</f>
        <v/>
      </c>
      <c r="I117" s="221">
        <f>IF(A117="Total",VLOOKUP(B117,CORRESPONDANCE[#All],2,FALSE),I118)</f>
        <v/>
      </c>
      <c r="J117" s="350">
        <f>LEFT(A117,1)</f>
        <v/>
      </c>
      <c r="K117" s="347">
        <f>"TURVILLA"&amp;" - "&amp;A117</f>
        <v/>
      </c>
      <c r="L117" s="347">
        <f>+VLOOKUP(K117,TL[],4,FALSE)</f>
        <v/>
      </c>
    </row>
    <row r="118">
      <c r="A118" s="348" t="inlineStr">
        <is>
          <t>626003</t>
        </is>
      </c>
      <c r="B118" s="348" t="inlineStr">
        <is>
          <t>Telephone restaurant</t>
        </is>
      </c>
      <c r="C118" s="348" t="n">
        <v>70</v>
      </c>
      <c r="D118" s="348" t="inlineStr"/>
      <c r="E118" s="348" t="n">
        <v>70</v>
      </c>
      <c r="F118" s="348" t="inlineStr"/>
      <c r="G118" s="220">
        <f>SUM(C118)-SUM(D118)</f>
        <v/>
      </c>
      <c r="H118" s="220">
        <f>SUM(E118)-SUM(F118)</f>
        <v/>
      </c>
      <c r="I118" s="221">
        <f>IF(A118="Total",VLOOKUP(B118,CORRESPONDANCE[#All],2,FALSE),I119)</f>
        <v/>
      </c>
      <c r="J118" s="350">
        <f>LEFT(A118,1)</f>
        <v/>
      </c>
      <c r="K118" s="347">
        <f>"TURVILLA"&amp;" - "&amp;A118</f>
        <v/>
      </c>
      <c r="L118" s="347">
        <f>+VLOOKUP(K118,TL[],4,FALSE)</f>
        <v/>
      </c>
    </row>
    <row r="119">
      <c r="A119" s="348" t="inlineStr">
        <is>
          <t>Total</t>
        </is>
      </c>
      <c r="B119" s="348" t="inlineStr">
        <is>
          <t>Table n°2  -  Electricité, eau, gaz, téléphone</t>
        </is>
      </c>
      <c r="C119" s="348" t="n">
        <v>12969</v>
      </c>
      <c r="D119" s="348" t="inlineStr"/>
      <c r="E119" s="348" t="n">
        <v>12969</v>
      </c>
      <c r="F119" s="348" t="inlineStr"/>
      <c r="G119" s="220">
        <f>SUM(C119)-SUM(D119)</f>
        <v/>
      </c>
      <c r="H119" s="220">
        <f>SUM(E119)-SUM(F119)</f>
        <v/>
      </c>
      <c r="I119" s="221">
        <f>IF(A119="Total",VLOOKUP(B119,CORRESPONDANCE[#All],2,FALSE),I120)</f>
        <v/>
      </c>
      <c r="J119" s="350">
        <f>LEFT(A119,1)</f>
        <v/>
      </c>
      <c r="K119" s="347">
        <f>"TURVILLA"&amp;" - "&amp;A119</f>
        <v/>
      </c>
      <c r="L119" s="347">
        <f>+VLOOKUP(K119,TL[],4,FALSE)</f>
        <v/>
      </c>
    </row>
    <row r="120">
      <c r="A120" s="348" t="inlineStr">
        <is>
          <t>602610</t>
        </is>
      </c>
      <c r="B120" s="348" t="inlineStr">
        <is>
          <t>Emballages perdus</t>
        </is>
      </c>
      <c r="C120" s="348" t="n">
        <v>175.92</v>
      </c>
      <c r="D120" s="348" t="inlineStr"/>
      <c r="E120" s="348" t="n">
        <v>175.92</v>
      </c>
      <c r="F120" s="348" t="inlineStr"/>
      <c r="G120" s="220">
        <f>SUM(C120)-SUM(D120)</f>
        <v/>
      </c>
      <c r="H120" s="220">
        <f>SUM(E120)-SUM(F120)</f>
        <v/>
      </c>
      <c r="I120" s="221">
        <f>IF(A120="Total",VLOOKUP(B120,CORRESPONDANCE[#All],2,FALSE),I121)</f>
        <v/>
      </c>
      <c r="J120" s="350">
        <f>LEFT(A120,1)</f>
        <v/>
      </c>
      <c r="K120" s="347">
        <f>"TURVILLA"&amp;" - "&amp;A120</f>
        <v/>
      </c>
      <c r="L120" s="347">
        <f>+VLOOKUP(K120,TL[],4,FALSE)</f>
        <v/>
      </c>
    </row>
    <row r="121">
      <c r="A121" s="348" t="inlineStr">
        <is>
          <t>606302</t>
        </is>
      </c>
      <c r="B121" s="348" t="inlineStr">
        <is>
          <t>Fourniture op mb</t>
        </is>
      </c>
      <c r="C121" s="348" t="n">
        <v>3982.17</v>
      </c>
      <c r="D121" s="348" t="inlineStr"/>
      <c r="E121" s="348" t="n">
        <v>3982.17</v>
      </c>
      <c r="F121" s="348" t="inlineStr"/>
      <c r="G121" s="220">
        <f>SUM(C121)-SUM(D121)</f>
        <v/>
      </c>
      <c r="H121" s="220">
        <f>SUM(E121)-SUM(F121)</f>
        <v/>
      </c>
      <c r="I121" s="221">
        <f>IF(A121="Total",VLOOKUP(B121,CORRESPONDANCE[#All],2,FALSE),I122)</f>
        <v/>
      </c>
      <c r="J121" s="350">
        <f>LEFT(A121,1)</f>
        <v/>
      </c>
      <c r="K121" s="347">
        <f>"TURVILLA"&amp;" - "&amp;A121</f>
        <v/>
      </c>
      <c r="L121" s="347">
        <f>+VLOOKUP(K121,TL[],4,FALSE)</f>
        <v/>
      </c>
    </row>
    <row r="122">
      <c r="A122" s="348" t="inlineStr">
        <is>
          <t>606401</t>
        </is>
      </c>
      <c r="B122" s="348" t="inlineStr">
        <is>
          <t>Fournitures de bureau</t>
        </is>
      </c>
      <c r="C122" s="348" t="n">
        <v>43.16</v>
      </c>
      <c r="D122" s="348" t="inlineStr"/>
      <c r="E122" s="348" t="n">
        <v>43.16</v>
      </c>
      <c r="F122" s="348" t="inlineStr"/>
      <c r="G122" s="220">
        <f>SUM(C122)-SUM(D122)</f>
        <v/>
      </c>
      <c r="H122" s="220">
        <f>SUM(E122)-SUM(F122)</f>
        <v/>
      </c>
      <c r="I122" s="221">
        <f>IF(A122="Total",VLOOKUP(B122,CORRESPONDANCE[#All],2,FALSE),I123)</f>
        <v/>
      </c>
      <c r="J122" s="350">
        <f>LEFT(A122,1)</f>
        <v/>
      </c>
      <c r="K122" s="347">
        <f>"TURVILLA"&amp;" - "&amp;A122</f>
        <v/>
      </c>
      <c r="L122" s="347">
        <f>+VLOOKUP(K122,TL[],4,FALSE)</f>
        <v/>
      </c>
    </row>
    <row r="123">
      <c r="A123" s="348" t="inlineStr">
        <is>
          <t>Total</t>
        </is>
      </c>
      <c r="B123" s="348" t="inlineStr">
        <is>
          <t>Table n°2  -  Fournitures exploitation et bureau</t>
        </is>
      </c>
      <c r="C123" s="348" t="n">
        <v>4201.25</v>
      </c>
      <c r="D123" s="348" t="inlineStr"/>
      <c r="E123" s="348" t="n">
        <v>4201.25</v>
      </c>
      <c r="F123" s="348" t="inlineStr"/>
      <c r="G123" s="220">
        <f>SUM(C123)-SUM(D123)</f>
        <v/>
      </c>
      <c r="H123" s="220">
        <f>SUM(E123)-SUM(F123)</f>
        <v/>
      </c>
      <c r="I123" s="221">
        <f>IF(A123="Total",VLOOKUP(B123,CORRESPONDANCE[#All],2,FALSE),I124)</f>
        <v/>
      </c>
      <c r="J123" s="350">
        <f>LEFT(A123,1)</f>
        <v/>
      </c>
      <c r="K123" s="347">
        <f>"TURVILLA"&amp;" - "&amp;A123</f>
        <v/>
      </c>
      <c r="L123" s="347">
        <f>+VLOOKUP(K123,TL[],4,FALSE)</f>
        <v/>
      </c>
    </row>
    <row r="124">
      <c r="A124" s="348" t="inlineStr">
        <is>
          <t>625103</t>
        </is>
      </c>
      <c r="B124" s="348" t="inlineStr">
        <is>
          <t>Voyages &amp; dpt</t>
        </is>
      </c>
      <c r="C124" s="348" t="n">
        <v>314.23</v>
      </c>
      <c r="D124" s="348" t="inlineStr"/>
      <c r="E124" s="348" t="n">
        <v>314.23</v>
      </c>
      <c r="F124" s="348" t="inlineStr"/>
      <c r="G124" s="220">
        <f>SUM(C124)-SUM(D124)</f>
        <v/>
      </c>
      <c r="H124" s="220">
        <f>SUM(E124)-SUM(F124)</f>
        <v/>
      </c>
      <c r="I124" s="221">
        <f>IF(A124="Total",VLOOKUP(B124,CORRESPONDANCE[#All],2,FALSE),I125)</f>
        <v/>
      </c>
      <c r="J124" s="350">
        <f>LEFT(A124,1)</f>
        <v/>
      </c>
      <c r="K124" s="347">
        <f>"TURVILLA"&amp;" - "&amp;A124</f>
        <v/>
      </c>
      <c r="L124" s="347">
        <f>+VLOOKUP(K124,TL[],4,FALSE)</f>
        <v/>
      </c>
    </row>
    <row r="125">
      <c r="A125" s="348" t="inlineStr">
        <is>
          <t>Total</t>
        </is>
      </c>
      <c r="B125" s="348" t="inlineStr">
        <is>
          <t>Table n°2  -  Frais de déplacements et Evènements</t>
        </is>
      </c>
      <c r="C125" s="348" t="n">
        <v>314.23</v>
      </c>
      <c r="D125" s="348" t="inlineStr"/>
      <c r="E125" s="348" t="n">
        <v>314.23</v>
      </c>
      <c r="F125" s="348" t="inlineStr"/>
      <c r="G125" s="220">
        <f>SUM(C125)-SUM(D125)</f>
        <v/>
      </c>
      <c r="H125" s="220">
        <f>SUM(E125)-SUM(F125)</f>
        <v/>
      </c>
      <c r="I125" s="221">
        <f>IF(A125="Total",VLOOKUP(B125,CORRESPONDANCE[#All],2,FALSE),I126)</f>
        <v/>
      </c>
      <c r="J125" s="350">
        <f>LEFT(A125,1)</f>
        <v/>
      </c>
      <c r="K125" s="347">
        <f>"TURVILLA"&amp;" - "&amp;A125</f>
        <v/>
      </c>
      <c r="L125" s="347">
        <f>+VLOOKUP(K125,TL[],4,FALSE)</f>
        <v/>
      </c>
    </row>
    <row r="126">
      <c r="A126" s="348" t="inlineStr">
        <is>
          <t>606320</t>
        </is>
      </c>
      <c r="B126" s="348" t="inlineStr">
        <is>
          <t>Uniformes</t>
        </is>
      </c>
      <c r="C126" s="348" t="n">
        <v>1845.49</v>
      </c>
      <c r="D126" s="348" t="inlineStr"/>
      <c r="E126" s="348" t="n">
        <v>1845.49</v>
      </c>
      <c r="F126" s="348" t="inlineStr"/>
      <c r="G126" s="220">
        <f>SUM(C126)-SUM(D126)</f>
        <v/>
      </c>
      <c r="H126" s="220">
        <f>SUM(E126)-SUM(F126)</f>
        <v/>
      </c>
      <c r="I126" s="221">
        <f>IF(A126="Total",VLOOKUP(B126,CORRESPONDANCE[#All],2,FALSE),I127)</f>
        <v/>
      </c>
      <c r="J126" s="350">
        <f>LEFT(A126,1)</f>
        <v/>
      </c>
      <c r="K126" s="347">
        <f>"TURVILLA"&amp;" - "&amp;A126</f>
        <v/>
      </c>
      <c r="L126" s="347">
        <f>+VLOOKUP(K126,TL[],4,FALSE)</f>
        <v/>
      </c>
    </row>
    <row r="127">
      <c r="A127" s="348" t="inlineStr">
        <is>
          <t>625102</t>
        </is>
      </c>
      <c r="B127" s="348" t="inlineStr">
        <is>
          <t>Voyages &amp; dpt manager</t>
        </is>
      </c>
      <c r="C127" s="348" t="n">
        <v>500</v>
      </c>
      <c r="D127" s="348" t="inlineStr"/>
      <c r="E127" s="348" t="n">
        <v>500</v>
      </c>
      <c r="F127" s="348" t="inlineStr"/>
      <c r="G127" s="220">
        <f>SUM(C127)-SUM(D127)</f>
        <v/>
      </c>
      <c r="H127" s="220">
        <f>SUM(E127)-SUM(F127)</f>
        <v/>
      </c>
      <c r="I127" s="221">
        <f>IF(A127="Total",VLOOKUP(B127,CORRESPONDANCE[#All],2,FALSE),I128)</f>
        <v/>
      </c>
      <c r="J127" s="350">
        <f>LEFT(A127,1)</f>
        <v/>
      </c>
      <c r="K127" s="347">
        <f>"TURVILLA"&amp;" - "&amp;A127</f>
        <v/>
      </c>
      <c r="L127" s="347">
        <f>+VLOOKUP(K127,TL[],4,FALSE)</f>
        <v/>
      </c>
    </row>
    <row r="128">
      <c r="A128" s="348" t="inlineStr">
        <is>
          <t>628300</t>
        </is>
      </c>
      <c r="B128" s="348" t="inlineStr">
        <is>
          <t>Divers</t>
        </is>
      </c>
      <c r="C128" s="348" t="n">
        <v>286</v>
      </c>
      <c r="D128" s="348" t="inlineStr"/>
      <c r="E128" s="348" t="n">
        <v>286</v>
      </c>
      <c r="F128" s="348" t="inlineStr"/>
      <c r="G128" s="220">
        <f>SUM(C128)-SUM(D128)</f>
        <v/>
      </c>
      <c r="H128" s="220">
        <f>SUM(E128)-SUM(F128)</f>
        <v/>
      </c>
      <c r="I128" s="221">
        <f>IF(A128="Total",VLOOKUP(B128,CORRESPONDANCE[#All],2,FALSE),I129)</f>
        <v/>
      </c>
      <c r="J128" s="350">
        <f>LEFT(A128,1)</f>
        <v/>
      </c>
      <c r="K128" s="347">
        <f>"TURVILLA"&amp;" - "&amp;A128</f>
        <v/>
      </c>
      <c r="L128" s="347">
        <f>+VLOOKUP(K128,TL[],4,FALSE)</f>
        <v/>
      </c>
    </row>
    <row r="129">
      <c r="A129" s="348" t="inlineStr">
        <is>
          <t>647200</t>
        </is>
      </c>
      <c r="B129" s="348" t="inlineStr">
        <is>
          <t>Comite d'entreprise</t>
        </is>
      </c>
      <c r="C129" s="348" t="n">
        <v>667</v>
      </c>
      <c r="D129" s="348" t="inlineStr"/>
      <c r="E129" s="348" t="n">
        <v>667</v>
      </c>
      <c r="F129" s="348" t="inlineStr"/>
      <c r="G129" s="220">
        <f>SUM(C129)-SUM(D129)</f>
        <v/>
      </c>
      <c r="H129" s="220">
        <f>SUM(E129)-SUM(F129)</f>
        <v/>
      </c>
      <c r="I129" s="221">
        <f>IF(A129="Total",VLOOKUP(B129,CORRESPONDANCE[#All],2,FALSE),I130)</f>
        <v/>
      </c>
      <c r="J129" s="350">
        <f>LEFT(A129,1)</f>
        <v/>
      </c>
      <c r="K129" s="347">
        <f>"TURVILLA"&amp;" - "&amp;A129</f>
        <v/>
      </c>
      <c r="L129" s="347">
        <f>+VLOOKUP(K129,TL[],4,FALSE)</f>
        <v/>
      </c>
    </row>
    <row r="130">
      <c r="A130" s="348" t="inlineStr">
        <is>
          <t>658000</t>
        </is>
      </c>
      <c r="B130" s="348" t="inlineStr">
        <is>
          <t>Charges diverses gestion courante</t>
        </is>
      </c>
      <c r="C130" s="348" t="n">
        <v>0.03</v>
      </c>
      <c r="D130" s="348" t="inlineStr"/>
      <c r="E130" s="348" t="n">
        <v>0.03</v>
      </c>
      <c r="F130" s="348" t="inlineStr"/>
      <c r="G130" s="220">
        <f>SUM(C130)-SUM(D130)</f>
        <v/>
      </c>
      <c r="H130" s="220">
        <f>SUM(E130)-SUM(F130)</f>
        <v/>
      </c>
      <c r="I130" s="221">
        <f>IF(A130="Total",VLOOKUP(B130,CORRESPONDANCE[#All],2,FALSE),I131)</f>
        <v/>
      </c>
      <c r="J130" s="350">
        <f>LEFT(A130,1)</f>
        <v/>
      </c>
      <c r="K130" s="347">
        <f>"TURVILLA"&amp;" - "&amp;A130</f>
        <v/>
      </c>
      <c r="L130" s="347">
        <f>+VLOOKUP(K130,TL[],4,FALSE)</f>
        <v/>
      </c>
    </row>
    <row r="131">
      <c r="A131" s="348" t="inlineStr">
        <is>
          <t>671100</t>
        </is>
      </c>
      <c r="B131" s="348" t="inlineStr">
        <is>
          <t>Ecarts de caisse</t>
        </is>
      </c>
      <c r="C131" s="348" t="n">
        <v>100.3</v>
      </c>
      <c r="D131" s="348" t="inlineStr"/>
      <c r="E131" s="348" t="n">
        <v>100.3</v>
      </c>
      <c r="F131" s="348" t="inlineStr"/>
      <c r="G131" s="220">
        <f>SUM(C131)-SUM(D131)</f>
        <v/>
      </c>
      <c r="H131" s="220">
        <f>SUM(E131)-SUM(F131)</f>
        <v/>
      </c>
      <c r="I131" s="221">
        <f>IF(A131="Total",VLOOKUP(B131,CORRESPONDANCE[#All],2,FALSE),I132)</f>
        <v/>
      </c>
      <c r="J131" s="350">
        <f>LEFT(A131,1)</f>
        <v/>
      </c>
      <c r="K131" s="347">
        <f>"TURVILLA"&amp;" - "&amp;A131</f>
        <v/>
      </c>
      <c r="L131" s="347">
        <f>+VLOOKUP(K131,TL[],4,FALSE)</f>
        <v/>
      </c>
    </row>
    <row r="132">
      <c r="A132" s="348" t="inlineStr">
        <is>
          <t>771100</t>
        </is>
      </c>
      <c r="B132" s="348" t="inlineStr">
        <is>
          <t>Ecarts de caisse</t>
        </is>
      </c>
      <c r="C132" s="348" t="inlineStr"/>
      <c r="D132" s="348" t="n">
        <v>207.84</v>
      </c>
      <c r="E132" s="348" t="inlineStr"/>
      <c r="F132" s="348" t="n">
        <v>207.84</v>
      </c>
      <c r="G132" s="220">
        <f>SUM(C132)-SUM(D132)</f>
        <v/>
      </c>
      <c r="H132" s="220">
        <f>SUM(E132)-SUM(F132)</f>
        <v/>
      </c>
      <c r="I132" s="221">
        <f>IF(A132="Total",VLOOKUP(B132,CORRESPONDANCE[#All],2,FALSE),I133)</f>
        <v/>
      </c>
      <c r="J132" s="350">
        <f>LEFT(A132,1)</f>
        <v/>
      </c>
      <c r="K132" s="347">
        <f>"TURVILLA"&amp;" - "&amp;A132</f>
        <v/>
      </c>
      <c r="L132" s="347">
        <f>+VLOOKUP(K132,TL[],4,FALSE)</f>
        <v/>
      </c>
    </row>
    <row r="133">
      <c r="A133" s="348" t="inlineStr">
        <is>
          <t>Total</t>
        </is>
      </c>
      <c r="B133" s="348" t="inlineStr">
        <is>
          <t>Table n°2  -  Divers</t>
        </is>
      </c>
      <c r="C133" s="348" t="n">
        <v>3190.98</v>
      </c>
      <c r="D133" s="348" t="inlineStr"/>
      <c r="E133" s="348" t="n">
        <v>3190.98</v>
      </c>
      <c r="F133" s="348" t="inlineStr"/>
      <c r="G133" s="220">
        <f>SUM(C133)-SUM(D133)</f>
        <v/>
      </c>
      <c r="H133" s="220">
        <f>SUM(E133)-SUM(F133)</f>
        <v/>
      </c>
      <c r="I133" s="221">
        <f>IF(A133="Total",VLOOKUP(B133,CORRESPONDANCE[#All],2,FALSE),I134)</f>
        <v/>
      </c>
      <c r="J133" s="350">
        <f>LEFT(A133,1)</f>
        <v/>
      </c>
      <c r="K133" s="347">
        <f>"TURVILLA"&amp;" - "&amp;A133</f>
        <v/>
      </c>
      <c r="L133" s="347">
        <f>+VLOOKUP(K133,TL[],4,FALSE)</f>
        <v/>
      </c>
    </row>
    <row r="134">
      <c r="A134" s="348" t="inlineStr">
        <is>
          <t>613200</t>
        </is>
      </c>
      <c r="B134" s="348" t="inlineStr">
        <is>
          <t>Loyer mcdonald's</t>
        </is>
      </c>
      <c r="C134" s="348" t="n">
        <v>65303.63</v>
      </c>
      <c r="D134" s="348" t="inlineStr"/>
      <c r="E134" s="348" t="n">
        <v>65303.63</v>
      </c>
      <c r="F134" s="348" t="inlineStr"/>
      <c r="G134" s="220">
        <f>SUM(C134)-SUM(D134)</f>
        <v/>
      </c>
      <c r="H134" s="220">
        <f>SUM(E134)-SUM(F134)</f>
        <v/>
      </c>
      <c r="I134" s="221">
        <f>IF(A134="Total",VLOOKUP(B134,CORRESPONDANCE[#All],2,FALSE),I135)</f>
        <v/>
      </c>
      <c r="J134" s="350">
        <f>LEFT(A134,1)</f>
        <v/>
      </c>
      <c r="K134" s="347">
        <f>"TURVILLA"&amp;" - "&amp;A134</f>
        <v/>
      </c>
      <c r="L134" s="347">
        <f>+VLOOKUP(K134,TL[],4,FALSE)</f>
        <v/>
      </c>
    </row>
    <row r="135">
      <c r="A135" s="348" t="inlineStr">
        <is>
          <t>Total</t>
        </is>
      </c>
      <c r="B135" s="348" t="inlineStr">
        <is>
          <t>Table n°2  -  Redevance standard</t>
        </is>
      </c>
      <c r="C135" s="348" t="n">
        <v>65303.63</v>
      </c>
      <c r="D135" s="348" t="inlineStr"/>
      <c r="E135" s="348" t="n">
        <v>65303.63</v>
      </c>
      <c r="F135" s="348" t="inlineStr"/>
      <c r="G135" s="220">
        <f>SUM(C135)-SUM(D135)</f>
        <v/>
      </c>
      <c r="H135" s="220">
        <f>SUM(E135)-SUM(F135)</f>
        <v/>
      </c>
      <c r="I135" s="221">
        <f>IF(A135="Total",VLOOKUP(B135,CORRESPONDANCE[#All],2,FALSE),I136)</f>
        <v/>
      </c>
      <c r="J135" s="350">
        <f>LEFT(A135,1)</f>
        <v/>
      </c>
      <c r="K135" s="347">
        <f>"TURVILLA"&amp;" - "&amp;A135</f>
        <v/>
      </c>
      <c r="L135" s="347">
        <f>+VLOOKUP(K135,TL[],4,FALSE)</f>
        <v/>
      </c>
    </row>
    <row r="136">
      <c r="A136" s="348" t="inlineStr">
        <is>
          <t>613201</t>
        </is>
      </c>
      <c r="B136" s="348" t="inlineStr">
        <is>
          <t>Indexat¦ loyer</t>
        </is>
      </c>
      <c r="C136" s="348" t="n">
        <v>1813.68</v>
      </c>
      <c r="D136" s="348" t="inlineStr"/>
      <c r="E136" s="348" t="n">
        <v>1813.68</v>
      </c>
      <c r="F136" s="348" t="inlineStr"/>
      <c r="G136" s="220">
        <f>SUM(C136)-SUM(D136)</f>
        <v/>
      </c>
      <c r="H136" s="220">
        <f>SUM(E136)-SUM(F136)</f>
        <v/>
      </c>
      <c r="I136" s="221">
        <f>IF(A136="Total",VLOOKUP(B136,CORRESPONDANCE[#All],2,FALSE),I137)</f>
        <v/>
      </c>
      <c r="J136" s="350">
        <f>LEFT(A136,1)</f>
        <v/>
      </c>
      <c r="K136" s="347">
        <f>"TURVILLA"&amp;" - "&amp;A136</f>
        <v/>
      </c>
      <c r="L136" s="347">
        <f>+VLOOKUP(K136,TL[],4,FALSE)</f>
        <v/>
      </c>
    </row>
    <row r="137">
      <c r="A137" s="348" t="inlineStr">
        <is>
          <t>Total</t>
        </is>
      </c>
      <c r="B137" s="348" t="inlineStr">
        <is>
          <t>Table n°2  -  Indexation loyer externe</t>
        </is>
      </c>
      <c r="C137" s="348" t="n">
        <v>1813.68</v>
      </c>
      <c r="D137" s="348" t="inlineStr"/>
      <c r="E137" s="348" t="n">
        <v>1813.68</v>
      </c>
      <c r="F137" s="348" t="inlineStr"/>
      <c r="G137" s="220">
        <f>SUM(C137)-SUM(D137)</f>
        <v/>
      </c>
      <c r="H137" s="220">
        <f>SUM(E137)-SUM(F137)</f>
        <v/>
      </c>
      <c r="I137" s="221">
        <f>IF(A137="Total",VLOOKUP(B137,CORRESPONDANCE[#All],2,FALSE),I138)</f>
        <v/>
      </c>
      <c r="J137" s="350">
        <f>LEFT(A137,1)</f>
        <v/>
      </c>
      <c r="K137" s="347">
        <f>"TURVILLA"&amp;" - "&amp;A137</f>
        <v/>
      </c>
      <c r="L137" s="347">
        <f>+VLOOKUP(K137,TL[],4,FALSE)</f>
        <v/>
      </c>
    </row>
    <row r="138">
      <c r="A138" s="348" t="inlineStr">
        <is>
          <t>613202</t>
        </is>
      </c>
      <c r="B138" s="348" t="inlineStr">
        <is>
          <t>Incentives Mc do</t>
        </is>
      </c>
      <c r="C138" s="348" t="inlineStr"/>
      <c r="D138" s="348" t="n">
        <v>2709.87</v>
      </c>
      <c r="E138" s="348" t="inlineStr"/>
      <c r="F138" s="348" t="n">
        <v>2709.87</v>
      </c>
      <c r="G138" s="220">
        <f>SUM(C138)-SUM(D138)</f>
        <v/>
      </c>
      <c r="H138" s="220">
        <f>SUM(E138)-SUM(F138)</f>
        <v/>
      </c>
      <c r="I138" s="221">
        <f>IF(A138="Total",VLOOKUP(B138,CORRESPONDANCE[#All],2,FALSE),I139)</f>
        <v/>
      </c>
      <c r="J138" s="350">
        <f>LEFT(A138,1)</f>
        <v/>
      </c>
      <c r="K138" s="347">
        <f>"TURVILLA"&amp;" - "&amp;A138</f>
        <v/>
      </c>
      <c r="L138" s="347">
        <f>+VLOOKUP(K138,TL[],4,FALSE)</f>
        <v/>
      </c>
    </row>
    <row r="139">
      <c r="A139" s="348" t="inlineStr">
        <is>
          <t>651200</t>
        </is>
      </c>
      <c r="B139" s="348" t="inlineStr">
        <is>
          <t>Avoirs happy meals (14%)</t>
        </is>
      </c>
      <c r="C139" s="348" t="inlineStr"/>
      <c r="D139" s="348" t="n">
        <v>324.69</v>
      </c>
      <c r="E139" s="348" t="inlineStr"/>
      <c r="F139" s="348" t="n">
        <v>324.69</v>
      </c>
      <c r="G139" s="220">
        <f>SUM(C139)-SUM(D139)</f>
        <v/>
      </c>
      <c r="H139" s="220">
        <f>SUM(E139)-SUM(F139)</f>
        <v/>
      </c>
      <c r="I139" s="221">
        <f>IF(A139="Total",VLOOKUP(B139,CORRESPONDANCE[#All],2,FALSE),I140)</f>
        <v/>
      </c>
      <c r="J139" s="350">
        <f>LEFT(A139,1)</f>
        <v/>
      </c>
      <c r="K139" s="347">
        <f>"TURVILLA"&amp;" - "&amp;A139</f>
        <v/>
      </c>
      <c r="L139" s="347">
        <f>+VLOOKUP(K139,TL[],4,FALSE)</f>
        <v/>
      </c>
    </row>
    <row r="140">
      <c r="A140" s="348" t="inlineStr">
        <is>
          <t>651210</t>
        </is>
      </c>
      <c r="B140" s="348" t="inlineStr">
        <is>
          <t>Avoirs happy meals (5%)</t>
        </is>
      </c>
      <c r="C140" s="348" t="inlineStr"/>
      <c r="D140" s="348" t="n">
        <v>910.9299999999999</v>
      </c>
      <c r="E140" s="348" t="inlineStr"/>
      <c r="F140" s="348" t="n">
        <v>910.9299999999999</v>
      </c>
      <c r="G140" s="220">
        <f>SUM(C140)-SUM(D140)</f>
        <v/>
      </c>
      <c r="H140" s="220">
        <f>SUM(E140)-SUM(F140)</f>
        <v/>
      </c>
      <c r="I140" s="221">
        <f>IF(A140="Total",VLOOKUP(B140,CORRESPONDANCE[#All],2,FALSE),I141)</f>
        <v/>
      </c>
      <c r="J140" s="350">
        <f>LEFT(A140,1)</f>
        <v/>
      </c>
      <c r="K140" s="347">
        <f>"TURVILLA"&amp;" - "&amp;A140</f>
        <v/>
      </c>
      <c r="L140" s="347">
        <f>+VLOOKUP(K140,TL[],4,FALSE)</f>
        <v/>
      </c>
    </row>
    <row r="141">
      <c r="A141" s="348" t="inlineStr">
        <is>
          <t>Total</t>
        </is>
      </c>
      <c r="B141" s="348" t="inlineStr">
        <is>
          <t>Table n°2  -  Incentives et Avoirs de redevance</t>
        </is>
      </c>
      <c r="C141" s="348" t="inlineStr"/>
      <c r="D141" s="348" t="n">
        <v>3945.49</v>
      </c>
      <c r="E141" s="348" t="inlineStr"/>
      <c r="F141" s="348" t="n">
        <v>3945.49</v>
      </c>
      <c r="G141" s="220">
        <f>SUM(C141)-SUM(D141)</f>
        <v/>
      </c>
      <c r="H141" s="220">
        <f>SUM(E141)-SUM(F141)</f>
        <v/>
      </c>
      <c r="I141" s="221">
        <f>IF(A141="Total",VLOOKUP(B141,CORRESPONDANCE[#All],2,FALSE),I142)</f>
        <v/>
      </c>
      <c r="J141" s="350">
        <f>LEFT(A141,1)</f>
        <v/>
      </c>
      <c r="K141" s="347">
        <f>"TURVILLA"&amp;" - "&amp;A141</f>
        <v/>
      </c>
      <c r="L141" s="347">
        <f>+VLOOKUP(K141,TL[],4,FALSE)</f>
        <v/>
      </c>
    </row>
    <row r="142">
      <c r="A142" s="348" t="inlineStr">
        <is>
          <t>614100</t>
        </is>
      </c>
      <c r="B142" s="348" t="inlineStr">
        <is>
          <t>Taxe foncières</t>
        </is>
      </c>
      <c r="C142" s="348" t="n">
        <v>816</v>
      </c>
      <c r="D142" s="348" t="inlineStr"/>
      <c r="E142" s="348" t="n">
        <v>816</v>
      </c>
      <c r="F142" s="348" t="inlineStr"/>
      <c r="G142" s="220">
        <f>SUM(C142)-SUM(D142)</f>
        <v/>
      </c>
      <c r="H142" s="220">
        <f>SUM(E142)-SUM(F142)</f>
        <v/>
      </c>
      <c r="I142" s="221">
        <f>IF(A142="Total",VLOOKUP(B142,CORRESPONDANCE[#All],2,FALSE),I143)</f>
        <v/>
      </c>
      <c r="J142" s="350">
        <f>LEFT(A142,1)</f>
        <v/>
      </c>
      <c r="K142" s="347">
        <f>"TURVILLA"&amp;" - "&amp;A142</f>
        <v/>
      </c>
      <c r="L142" s="347">
        <f>+VLOOKUP(K142,TL[],4,FALSE)</f>
        <v/>
      </c>
    </row>
    <row r="143">
      <c r="A143" s="348" t="inlineStr">
        <is>
          <t>Total</t>
        </is>
      </c>
      <c r="B143" s="348" t="inlineStr">
        <is>
          <t>Table n°2  -  Charges locatives et copro</t>
        </is>
      </c>
      <c r="C143" s="348" t="n">
        <v>816</v>
      </c>
      <c r="D143" s="348" t="inlineStr"/>
      <c r="E143" s="348" t="n">
        <v>816</v>
      </c>
      <c r="F143" s="348" t="inlineStr"/>
      <c r="G143" s="220">
        <f>SUM(C143)-SUM(D143)</f>
        <v/>
      </c>
      <c r="H143" s="220">
        <f>SUM(E143)-SUM(F143)</f>
        <v/>
      </c>
      <c r="I143" s="221">
        <f>IF(A143="Total",VLOOKUP(B143,CORRESPONDANCE[#All],2,FALSE),I144)</f>
        <v/>
      </c>
      <c r="J143" s="350">
        <f>LEFT(A143,1)</f>
        <v/>
      </c>
      <c r="K143" s="347">
        <f>"TURVILLA"&amp;" - "&amp;A143</f>
        <v/>
      </c>
      <c r="L143" s="347">
        <f>+VLOOKUP(K143,TL[],4,FALSE)</f>
        <v/>
      </c>
    </row>
    <row r="144">
      <c r="A144" s="348" t="inlineStr">
        <is>
          <t>651000</t>
        </is>
      </c>
      <c r="B144" s="348" t="inlineStr">
        <is>
          <t>Redev. service 5% ca net</t>
        </is>
      </c>
      <c r="C144" s="348" t="n">
        <v>23322.08</v>
      </c>
      <c r="D144" s="348" t="inlineStr"/>
      <c r="E144" s="348" t="n">
        <v>23322.08</v>
      </c>
      <c r="F144" s="348" t="inlineStr"/>
      <c r="G144" s="220">
        <f>SUM(C144)-SUM(D144)</f>
        <v/>
      </c>
      <c r="H144" s="220">
        <f>SUM(E144)-SUM(F144)</f>
        <v/>
      </c>
      <c r="I144" s="221">
        <f>IF(A144="Total",VLOOKUP(B144,CORRESPONDANCE[#All],2,FALSE),I145)</f>
        <v/>
      </c>
      <c r="J144" s="350">
        <f>LEFT(A144,1)</f>
        <v/>
      </c>
      <c r="K144" s="347">
        <f>"TURVILLA"&amp;" - "&amp;A144</f>
        <v/>
      </c>
      <c r="L144" s="347">
        <f>+VLOOKUP(K144,TL[],4,FALSE)</f>
        <v/>
      </c>
    </row>
    <row r="145">
      <c r="A145" s="348" t="inlineStr">
        <is>
          <t>Total</t>
        </is>
      </c>
      <c r="B145" s="348" t="inlineStr">
        <is>
          <t>Table n°2  -  Redevance service 5%</t>
        </is>
      </c>
      <c r="C145" s="348" t="n">
        <v>23322.08</v>
      </c>
      <c r="D145" s="348" t="inlineStr"/>
      <c r="E145" s="348" t="n">
        <v>23322.08</v>
      </c>
      <c r="F145" s="348" t="inlineStr"/>
      <c r="G145" s="220">
        <f>SUM(C145)-SUM(D145)</f>
        <v/>
      </c>
      <c r="H145" s="220">
        <f>SUM(E145)-SUM(F145)</f>
        <v/>
      </c>
      <c r="I145" s="221">
        <f>IF(A145="Total",VLOOKUP(B145,CORRESPONDANCE[#All],2,FALSE),I146)</f>
        <v/>
      </c>
      <c r="J145" s="350">
        <f>LEFT(A145,1)</f>
        <v/>
      </c>
      <c r="K145" s="347">
        <f>"TURVILLA"&amp;" - "&amp;A145</f>
        <v/>
      </c>
      <c r="L145" s="347">
        <f>+VLOOKUP(K145,TL[],4,FALSE)</f>
        <v/>
      </c>
    </row>
    <row r="146">
      <c r="A146" s="348" t="inlineStr">
        <is>
          <t>622600</t>
        </is>
      </c>
      <c r="B146" s="348" t="inlineStr">
        <is>
          <t>Honoraires</t>
        </is>
      </c>
      <c r="C146" s="348" t="n">
        <v>860</v>
      </c>
      <c r="D146" s="348" t="inlineStr"/>
      <c r="E146" s="348" t="n">
        <v>860</v>
      </c>
      <c r="F146" s="348" t="inlineStr"/>
      <c r="G146" s="220">
        <f>SUM(C146)-SUM(D146)</f>
        <v/>
      </c>
      <c r="H146" s="220">
        <f>SUM(E146)-SUM(F146)</f>
        <v/>
      </c>
      <c r="I146" s="221">
        <f>IF(A146="Total",VLOOKUP(B146,CORRESPONDANCE[#All],2,FALSE),I147)</f>
        <v/>
      </c>
      <c r="J146" s="350">
        <f>LEFT(A146,1)</f>
        <v/>
      </c>
      <c r="K146" s="347">
        <f>"TURVILLA"&amp;" - "&amp;A146</f>
        <v/>
      </c>
      <c r="L146" s="347">
        <f>+VLOOKUP(K146,TL[],4,FALSE)</f>
        <v/>
      </c>
    </row>
    <row r="147">
      <c r="A147" s="348" t="inlineStr">
        <is>
          <t>622660</t>
        </is>
      </c>
      <c r="B147" s="348" t="inlineStr">
        <is>
          <t>Honoraires juridiques</t>
        </is>
      </c>
      <c r="C147" s="348" t="n">
        <v>58</v>
      </c>
      <c r="D147" s="348" t="inlineStr"/>
      <c r="E147" s="348" t="n">
        <v>58</v>
      </c>
      <c r="F147" s="348" t="inlineStr"/>
      <c r="G147" s="220">
        <f>SUM(C147)-SUM(D147)</f>
        <v/>
      </c>
      <c r="H147" s="220">
        <f>SUM(E147)-SUM(F147)</f>
        <v/>
      </c>
      <c r="I147" s="221">
        <f>IF(A147="Total",VLOOKUP(B147,CORRESPONDANCE[#All],2,FALSE),I148)</f>
        <v/>
      </c>
      <c r="J147" s="350">
        <f>LEFT(A147,1)</f>
        <v/>
      </c>
      <c r="K147" s="347">
        <f>"TURVILLA"&amp;" - "&amp;A147</f>
        <v/>
      </c>
      <c r="L147" s="347">
        <f>+VLOOKUP(K147,TL[],4,FALSE)</f>
        <v/>
      </c>
    </row>
    <row r="148">
      <c r="A148" s="348" t="inlineStr">
        <is>
          <t>622661</t>
        </is>
      </c>
      <c r="B148" s="348" t="inlineStr">
        <is>
          <t>Honoraires cac</t>
        </is>
      </c>
      <c r="C148" s="348" t="n">
        <v>500</v>
      </c>
      <c r="D148" s="348" t="inlineStr"/>
      <c r="E148" s="348" t="n">
        <v>500</v>
      </c>
      <c r="F148" s="348" t="inlineStr"/>
      <c r="G148" s="220">
        <f>SUM(C148)-SUM(D148)</f>
        <v/>
      </c>
      <c r="H148" s="220">
        <f>SUM(E148)-SUM(F148)</f>
        <v/>
      </c>
      <c r="I148" s="221">
        <f>IF(A148="Total",VLOOKUP(B148,CORRESPONDANCE[#All],2,FALSE),I149)</f>
        <v/>
      </c>
      <c r="J148" s="350">
        <f>LEFT(A148,1)</f>
        <v/>
      </c>
      <c r="K148" s="347">
        <f>"TURVILLA"&amp;" - "&amp;A148</f>
        <v/>
      </c>
      <c r="L148" s="347">
        <f>+VLOOKUP(K148,TL[],4,FALSE)</f>
        <v/>
      </c>
    </row>
    <row r="149">
      <c r="A149" s="348" t="inlineStr">
        <is>
          <t>622662</t>
        </is>
      </c>
      <c r="B149" s="348" t="inlineStr">
        <is>
          <t>Honoraires divers</t>
        </is>
      </c>
      <c r="C149" s="348" t="n">
        <v>271.33</v>
      </c>
      <c r="D149" s="348" t="inlineStr"/>
      <c r="E149" s="348" t="n">
        <v>271.33</v>
      </c>
      <c r="F149" s="348" t="inlineStr"/>
      <c r="G149" s="220">
        <f>SUM(C149)-SUM(D149)</f>
        <v/>
      </c>
      <c r="H149" s="220">
        <f>SUM(E149)-SUM(F149)</f>
        <v/>
      </c>
      <c r="I149" s="221">
        <f>IF(A149="Total",VLOOKUP(B149,CORRESPONDANCE[#All],2,FALSE),I150)</f>
        <v/>
      </c>
      <c r="J149" s="350">
        <f>LEFT(A149,1)</f>
        <v/>
      </c>
      <c r="K149" s="347">
        <f>"TURVILLA"&amp;" - "&amp;A149</f>
        <v/>
      </c>
      <c r="L149" s="347">
        <f>+VLOOKUP(K149,TL[],4,FALSE)</f>
        <v/>
      </c>
    </row>
    <row r="150">
      <c r="A150" s="348" t="inlineStr">
        <is>
          <t>Total</t>
        </is>
      </c>
      <c r="B150" s="348" t="inlineStr">
        <is>
          <t>Table n°2  -  Frais comptables et juridiques</t>
        </is>
      </c>
      <c r="C150" s="348" t="n">
        <v>1689.33</v>
      </c>
      <c r="D150" s="348" t="inlineStr"/>
      <c r="E150" s="348" t="n">
        <v>1689.33</v>
      </c>
      <c r="F150" s="348" t="inlineStr"/>
      <c r="G150" s="220">
        <f>SUM(C150)-SUM(D150)</f>
        <v/>
      </c>
      <c r="H150" s="220">
        <f>SUM(E150)-SUM(F150)</f>
        <v/>
      </c>
      <c r="I150" s="221">
        <f>IF(A150="Total",VLOOKUP(B150,CORRESPONDANCE[#All],2,FALSE),I151)</f>
        <v/>
      </c>
      <c r="J150" s="350">
        <f>LEFT(A150,1)</f>
        <v/>
      </c>
      <c r="K150" s="347">
        <f>"TURVILLA"&amp;" - "&amp;A150</f>
        <v/>
      </c>
      <c r="L150" s="347">
        <f>+VLOOKUP(K150,TL[],4,FALSE)</f>
        <v/>
      </c>
    </row>
    <row r="151">
      <c r="A151" s="348" t="inlineStr">
        <is>
          <t>616003</t>
        </is>
      </c>
      <c r="B151" s="348" t="inlineStr">
        <is>
          <t>Assurance auto-mission</t>
        </is>
      </c>
      <c r="C151" s="348" t="n">
        <v>19.56</v>
      </c>
      <c r="D151" s="348" t="inlineStr"/>
      <c r="E151" s="348" t="n">
        <v>19.56</v>
      </c>
      <c r="F151" s="348" t="inlineStr"/>
      <c r="G151" s="220">
        <f>SUM(C151)-SUM(D151)</f>
        <v/>
      </c>
      <c r="H151" s="220">
        <f>SUM(E151)-SUM(F151)</f>
        <v/>
      </c>
      <c r="I151" s="221">
        <f>IF(A151="Total",VLOOKUP(B151,CORRESPONDANCE[#All],2,FALSE),I152)</f>
        <v/>
      </c>
      <c r="J151" s="350">
        <f>LEFT(A151,1)</f>
        <v/>
      </c>
      <c r="K151" s="347">
        <f>"TURVILLA"&amp;" - "&amp;A151</f>
        <v/>
      </c>
      <c r="L151" s="347">
        <f>+VLOOKUP(K151,TL[],4,FALSE)</f>
        <v/>
      </c>
    </row>
    <row r="152">
      <c r="A152" s="348" t="inlineStr">
        <is>
          <t>616100</t>
        </is>
      </c>
      <c r="B152" s="348" t="inlineStr">
        <is>
          <t>Assur. multirisque resto</t>
        </is>
      </c>
      <c r="C152" s="348" t="n">
        <v>2100</v>
      </c>
      <c r="D152" s="348" t="inlineStr"/>
      <c r="E152" s="348" t="n">
        <v>2100</v>
      </c>
      <c r="F152" s="348" t="inlineStr"/>
      <c r="G152" s="220">
        <f>SUM(C152)-SUM(D152)</f>
        <v/>
      </c>
      <c r="H152" s="220">
        <f>SUM(E152)-SUM(F152)</f>
        <v/>
      </c>
      <c r="I152" s="221">
        <f>IF(A152="Total",VLOOKUP(B152,CORRESPONDANCE[#All],2,FALSE),I153)</f>
        <v/>
      </c>
      <c r="J152" s="350">
        <f>LEFT(A152,1)</f>
        <v/>
      </c>
      <c r="K152" s="347">
        <f>"TURVILLA"&amp;" - "&amp;A152</f>
        <v/>
      </c>
      <c r="L152" s="347">
        <f>+VLOOKUP(K152,TL[],4,FALSE)</f>
        <v/>
      </c>
    </row>
    <row r="153">
      <c r="A153" s="348" t="inlineStr">
        <is>
          <t>Total</t>
        </is>
      </c>
      <c r="B153" s="348" t="inlineStr">
        <is>
          <t>Table n°2  -  Assurances</t>
        </is>
      </c>
      <c r="C153" s="348" t="n">
        <v>2119.56</v>
      </c>
      <c r="D153" s="348" t="inlineStr"/>
      <c r="E153" s="348" t="n">
        <v>2119.56</v>
      </c>
      <c r="F153" s="348" t="inlineStr"/>
      <c r="G153" s="220">
        <f>SUM(C153)-SUM(D153)</f>
        <v/>
      </c>
      <c r="H153" s="220">
        <f>SUM(E153)-SUM(F153)</f>
        <v/>
      </c>
      <c r="I153" s="221">
        <f>IF(A153="Total",VLOOKUP(B153,CORRESPONDANCE[#All],2,FALSE),I154)</f>
        <v/>
      </c>
      <c r="J153" s="350">
        <f>LEFT(A153,1)</f>
        <v/>
      </c>
      <c r="K153" s="347">
        <f>"TURVILLA"&amp;" - "&amp;A153</f>
        <v/>
      </c>
      <c r="L153" s="347">
        <f>+VLOOKUP(K153,TL[],4,FALSE)</f>
        <v/>
      </c>
    </row>
    <row r="154">
      <c r="A154" s="348" t="inlineStr">
        <is>
          <t>631200</t>
        </is>
      </c>
      <c r="B154" s="348" t="inlineStr">
        <is>
          <t>Taxe d'apprentissage</t>
        </is>
      </c>
      <c r="C154" s="348" t="n">
        <v>507.71</v>
      </c>
      <c r="D154" s="348" t="inlineStr"/>
      <c r="E154" s="348" t="n">
        <v>507.71</v>
      </c>
      <c r="F154" s="348" t="inlineStr"/>
      <c r="G154" s="220">
        <f>SUM(C154)-SUM(D154)</f>
        <v/>
      </c>
      <c r="H154" s="220">
        <f>SUM(E154)-SUM(F154)</f>
        <v/>
      </c>
      <c r="I154" s="221">
        <f>IF(A154="Total",VLOOKUP(B154,CORRESPONDANCE[#All],2,FALSE),I155)</f>
        <v/>
      </c>
      <c r="J154" s="350">
        <f>LEFT(A154,1)</f>
        <v/>
      </c>
      <c r="K154" s="347">
        <f>"TURVILLA"&amp;" - "&amp;A154</f>
        <v/>
      </c>
      <c r="L154" s="347">
        <f>+VLOOKUP(K154,TL[],4,FALSE)</f>
        <v/>
      </c>
    </row>
    <row r="155">
      <c r="A155" s="348" t="inlineStr">
        <is>
          <t>631310</t>
        </is>
      </c>
      <c r="B155" s="348" t="inlineStr">
        <is>
          <t>Agefiph</t>
        </is>
      </c>
      <c r="C155" s="348" t="n">
        <v>630</v>
      </c>
      <c r="D155" s="348" t="inlineStr"/>
      <c r="E155" s="348" t="n">
        <v>630</v>
      </c>
      <c r="F155" s="348" t="inlineStr"/>
      <c r="G155" s="220">
        <f>SUM(C155)-SUM(D155)</f>
        <v/>
      </c>
      <c r="H155" s="220">
        <f>SUM(E155)-SUM(F155)</f>
        <v/>
      </c>
      <c r="I155" s="221">
        <f>IF(A155="Total",VLOOKUP(B155,CORRESPONDANCE[#All],2,FALSE),I156)</f>
        <v/>
      </c>
      <c r="J155" s="350">
        <f>LEFT(A155,1)</f>
        <v/>
      </c>
      <c r="K155" s="347">
        <f>"TURVILLA"&amp;" - "&amp;A155</f>
        <v/>
      </c>
      <c r="L155" s="347">
        <f>+VLOOKUP(K155,TL[],4,FALSE)</f>
        <v/>
      </c>
    </row>
    <row r="156">
      <c r="A156" s="348" t="inlineStr">
        <is>
          <t>633300</t>
        </is>
      </c>
      <c r="B156" s="348" t="inlineStr">
        <is>
          <t>Formation continue (organisme)</t>
        </is>
      </c>
      <c r="C156" s="348" t="n">
        <v>870.92</v>
      </c>
      <c r="D156" s="348" t="inlineStr"/>
      <c r="E156" s="348" t="n">
        <v>870.92</v>
      </c>
      <c r="F156" s="348" t="inlineStr"/>
      <c r="G156" s="220">
        <f>SUM(C156)-SUM(D156)</f>
        <v/>
      </c>
      <c r="H156" s="220">
        <f>SUM(E156)-SUM(F156)</f>
        <v/>
      </c>
      <c r="I156" s="221">
        <f>IF(A156="Total",VLOOKUP(B156,CORRESPONDANCE[#All],2,FALSE),I157)</f>
        <v/>
      </c>
      <c r="J156" s="350">
        <f>LEFT(A156,1)</f>
        <v/>
      </c>
      <c r="K156" s="347">
        <f>"TURVILLA"&amp;" - "&amp;A156</f>
        <v/>
      </c>
      <c r="L156" s="347">
        <f>+VLOOKUP(K156,TL[],4,FALSE)</f>
        <v/>
      </c>
    </row>
    <row r="157">
      <c r="A157" s="348" t="inlineStr">
        <is>
          <t>633400</t>
        </is>
      </c>
      <c r="B157" s="348" t="inlineStr">
        <is>
          <t>Effort construction</t>
        </is>
      </c>
      <c r="C157" s="348" t="n">
        <v>387.22</v>
      </c>
      <c r="D157" s="348" t="inlineStr"/>
      <c r="E157" s="348" t="n">
        <v>387.22</v>
      </c>
      <c r="F157" s="348" t="inlineStr"/>
      <c r="G157" s="220">
        <f>SUM(C157)-SUM(D157)</f>
        <v/>
      </c>
      <c r="H157" s="220">
        <f>SUM(E157)-SUM(F157)</f>
        <v/>
      </c>
      <c r="I157" s="221">
        <f>IF(A157="Total",VLOOKUP(B157,CORRESPONDANCE[#All],2,FALSE),I158)</f>
        <v/>
      </c>
      <c r="J157" s="350">
        <f>LEFT(A157,1)</f>
        <v/>
      </c>
      <c r="K157" s="347">
        <f>"TURVILLA"&amp;" - "&amp;A157</f>
        <v/>
      </c>
      <c r="L157" s="347">
        <f>+VLOOKUP(K157,TL[],4,FALSE)</f>
        <v/>
      </c>
    </row>
    <row r="158">
      <c r="A158" s="348" t="inlineStr">
        <is>
          <t>633500</t>
        </is>
      </c>
      <c r="B158" s="348" t="inlineStr">
        <is>
          <t>Taxe d'apprentissage (verst libér.)</t>
        </is>
      </c>
      <c r="C158" s="348" t="n">
        <v>77.45</v>
      </c>
      <c r="D158" s="348" t="inlineStr"/>
      <c r="E158" s="348" t="n">
        <v>77.45</v>
      </c>
      <c r="F158" s="348" t="inlineStr"/>
      <c r="G158" s="220">
        <f>SUM(C158)-SUM(D158)</f>
        <v/>
      </c>
      <c r="H158" s="220">
        <f>SUM(E158)-SUM(F158)</f>
        <v/>
      </c>
      <c r="I158" s="221">
        <f>IF(A158="Total",VLOOKUP(B158,CORRESPONDANCE[#All],2,FALSE),I159)</f>
        <v/>
      </c>
      <c r="J158" s="350">
        <f>LEFT(A158,1)</f>
        <v/>
      </c>
      <c r="K158" s="347">
        <f>"TURVILLA"&amp;" - "&amp;A158</f>
        <v/>
      </c>
      <c r="L158" s="347">
        <f>+VLOOKUP(K158,TL[],4,FALSE)</f>
        <v/>
      </c>
    </row>
    <row r="159">
      <c r="A159" s="348" t="inlineStr">
        <is>
          <t>635111</t>
        </is>
      </c>
      <c r="B159" s="348" t="inlineStr">
        <is>
          <t>Cfe</t>
        </is>
      </c>
      <c r="C159" s="348" t="n">
        <v>315</v>
      </c>
      <c r="D159" s="348" t="inlineStr"/>
      <c r="E159" s="348" t="n">
        <v>315</v>
      </c>
      <c r="F159" s="348" t="inlineStr"/>
      <c r="G159" s="220">
        <f>SUM(C159)-SUM(D159)</f>
        <v/>
      </c>
      <c r="H159" s="220">
        <f>SUM(E159)-SUM(F159)</f>
        <v/>
      </c>
      <c r="I159" s="221">
        <f>IF(A159="Total",VLOOKUP(B159,CORRESPONDANCE[#All],2,FALSE),I160)</f>
        <v/>
      </c>
      <c r="J159" s="350">
        <f>LEFT(A159,1)</f>
        <v/>
      </c>
      <c r="K159" s="347">
        <f>"TURVILLA"&amp;" - "&amp;A159</f>
        <v/>
      </c>
      <c r="L159" s="347">
        <f>+VLOOKUP(K159,TL[],4,FALSE)</f>
        <v/>
      </c>
    </row>
    <row r="160">
      <c r="A160" s="348" t="inlineStr">
        <is>
          <t>635112</t>
        </is>
      </c>
      <c r="B160" s="348" t="inlineStr">
        <is>
          <t>Cvae</t>
        </is>
      </c>
      <c r="C160" s="348" t="n">
        <v>700</v>
      </c>
      <c r="D160" s="348" t="inlineStr"/>
      <c r="E160" s="348" t="n">
        <v>700</v>
      </c>
      <c r="F160" s="348" t="inlineStr"/>
      <c r="G160" s="220">
        <f>SUM(C160)-SUM(D160)</f>
        <v/>
      </c>
      <c r="H160" s="220">
        <f>SUM(E160)-SUM(F160)</f>
        <v/>
      </c>
      <c r="I160" s="221">
        <f>IF(A160="Total",VLOOKUP(B160,CORRESPONDANCE[#All],2,FALSE),I161)</f>
        <v/>
      </c>
      <c r="J160" s="350">
        <f>LEFT(A160,1)</f>
        <v/>
      </c>
      <c r="K160" s="347">
        <f>"TURVILLA"&amp;" - "&amp;A160</f>
        <v/>
      </c>
      <c r="L160" s="347">
        <f>+VLOOKUP(K160,TL[],4,FALSE)</f>
        <v/>
      </c>
    </row>
    <row r="161">
      <c r="A161" s="348" t="inlineStr">
        <is>
          <t>635200</t>
        </is>
      </c>
      <c r="B161" s="348" t="inlineStr">
        <is>
          <t>Taxe sur publicite</t>
        </is>
      </c>
      <c r="C161" s="348" t="n">
        <v>137</v>
      </c>
      <c r="D161" s="348" t="inlineStr"/>
      <c r="E161" s="348" t="n">
        <v>137</v>
      </c>
      <c r="F161" s="348" t="inlineStr"/>
      <c r="G161" s="220">
        <f>SUM(C161)-SUM(D161)</f>
        <v/>
      </c>
      <c r="H161" s="220">
        <f>SUM(E161)-SUM(F161)</f>
        <v/>
      </c>
      <c r="I161" s="221">
        <f>IF(A161="Total",VLOOKUP(B161,CORRESPONDANCE[#All],2,FALSE),I162)</f>
        <v/>
      </c>
      <c r="J161" s="350">
        <f>LEFT(A161,1)</f>
        <v/>
      </c>
      <c r="K161" s="347">
        <f>"TURVILLA"&amp;" - "&amp;A161</f>
        <v/>
      </c>
      <c r="L161" s="347">
        <f>+VLOOKUP(K161,TL[],4,FALSE)</f>
        <v/>
      </c>
    </row>
    <row r="162">
      <c r="A162" s="348" t="inlineStr">
        <is>
          <t>Total</t>
        </is>
      </c>
      <c r="B162" s="348" t="inlineStr">
        <is>
          <t>Table n°2  -  Taxes</t>
        </is>
      </c>
      <c r="C162" s="348" t="n">
        <v>3625.3</v>
      </c>
      <c r="D162" s="348" t="inlineStr"/>
      <c r="E162" s="348" t="n">
        <v>3625.3</v>
      </c>
      <c r="F162" s="348" t="inlineStr"/>
      <c r="G162" s="220">
        <f>SUM(C162)-SUM(D162)</f>
        <v/>
      </c>
      <c r="H162" s="220">
        <f>SUM(E162)-SUM(F162)</f>
        <v/>
      </c>
      <c r="I162" s="221">
        <f>IF(A162="Total",VLOOKUP(B162,CORRESPONDANCE[#All],2,FALSE),I163)</f>
        <v/>
      </c>
      <c r="J162" s="350">
        <f>LEFT(A162,1)</f>
        <v/>
      </c>
      <c r="K162" s="347">
        <f>"TURVILLA"&amp;" - "&amp;A162</f>
        <v/>
      </c>
      <c r="L162" s="347">
        <f>+VLOOKUP(K162,TL[],4,FALSE)</f>
        <v/>
      </c>
    </row>
    <row r="163">
      <c r="A163" s="348" t="inlineStr">
        <is>
          <t>681120</t>
        </is>
      </c>
      <c r="B163" s="348" t="inlineStr">
        <is>
          <t>Dot. amort. s/immobil. corporel.</t>
        </is>
      </c>
      <c r="C163" s="348" t="n">
        <v>24500</v>
      </c>
      <c r="D163" s="348" t="inlineStr"/>
      <c r="E163" s="348" t="n">
        <v>24500</v>
      </c>
      <c r="F163" s="348" t="inlineStr"/>
      <c r="G163" s="220">
        <f>SUM(C163)-SUM(D163)</f>
        <v/>
      </c>
      <c r="H163" s="220">
        <f>SUM(E163)-SUM(F163)</f>
        <v/>
      </c>
      <c r="I163" s="221">
        <f>IF(A163="Total",VLOOKUP(B163,CORRESPONDANCE[#All],2,FALSE),I164)</f>
        <v/>
      </c>
      <c r="J163" s="350">
        <f>LEFT(A163,1)</f>
        <v/>
      </c>
      <c r="K163" s="347">
        <f>"TURVILLA"&amp;" - "&amp;A163</f>
        <v/>
      </c>
      <c r="L163" s="347">
        <f>+VLOOKUP(K163,TL[],4,FALSE)</f>
        <v/>
      </c>
    </row>
    <row r="164">
      <c r="A164" s="348" t="inlineStr">
        <is>
          <t>Total</t>
        </is>
      </c>
      <c r="B164" s="348" t="inlineStr">
        <is>
          <t>Table n°2  -  Dépréciations amortissements</t>
        </is>
      </c>
      <c r="C164" s="348" t="n">
        <v>24500</v>
      </c>
      <c r="D164" s="348" t="inlineStr"/>
      <c r="E164" s="348" t="n">
        <v>24500</v>
      </c>
      <c r="F164" s="348" t="inlineStr"/>
      <c r="G164" s="220">
        <f>SUM(C164)-SUM(D164)</f>
        <v/>
      </c>
      <c r="H164" s="220">
        <f>SUM(E164)-SUM(F164)</f>
        <v/>
      </c>
      <c r="I164" s="221">
        <f>IF(A164="Total",VLOOKUP(B164,CORRESPONDANCE[#All],2,FALSE),I165)</f>
        <v/>
      </c>
      <c r="J164" s="350">
        <f>LEFT(A164,1)</f>
        <v/>
      </c>
      <c r="K164" s="347">
        <f>"TURVILLA"&amp;" - "&amp;A164</f>
        <v/>
      </c>
      <c r="L164" s="347">
        <f>+VLOOKUP(K164,TL[],4,FALSE)</f>
        <v/>
      </c>
    </row>
    <row r="165">
      <c r="A165" s="348" t="inlineStr">
        <is>
          <t>613361</t>
        </is>
      </c>
      <c r="B165" s="348" t="inlineStr">
        <is>
          <t>Location Grenke</t>
        </is>
      </c>
      <c r="C165" s="348" t="n">
        <v>444.38</v>
      </c>
      <c r="D165" s="348" t="inlineStr"/>
      <c r="E165" s="348" t="n">
        <v>444.38</v>
      </c>
      <c r="F165" s="348" t="inlineStr"/>
      <c r="G165" s="220">
        <f>SUM(C165)-SUM(D165)</f>
        <v/>
      </c>
      <c r="H165" s="220">
        <f>SUM(E165)-SUM(F165)</f>
        <v/>
      </c>
      <c r="I165" s="221">
        <f>IF(A165="Total",VLOOKUP(B165,CORRESPONDANCE[#All],2,FALSE),I166)</f>
        <v/>
      </c>
      <c r="J165" s="350">
        <f>LEFT(A165,1)</f>
        <v/>
      </c>
      <c r="K165" s="347">
        <f>"TURVILLA"&amp;" - "&amp;A165</f>
        <v/>
      </c>
      <c r="L165" s="347">
        <f>+VLOOKUP(K165,TL[],4,FALSE)</f>
        <v/>
      </c>
    </row>
    <row r="166">
      <c r="A166" s="348" t="inlineStr">
        <is>
          <t>613380</t>
        </is>
      </c>
      <c r="B166" s="348" t="inlineStr">
        <is>
          <t>Location baie de brassage</t>
        </is>
      </c>
      <c r="C166" s="348" t="n">
        <v>265.33</v>
      </c>
      <c r="D166" s="348" t="inlineStr"/>
      <c r="E166" s="348" t="n">
        <v>265.33</v>
      </c>
      <c r="F166" s="348" t="inlineStr"/>
      <c r="G166" s="220">
        <f>SUM(C166)-SUM(D166)</f>
        <v/>
      </c>
      <c r="H166" s="220">
        <f>SUM(E166)-SUM(F166)</f>
        <v/>
      </c>
      <c r="I166" s="221">
        <f>IF(A166="Total",VLOOKUP(B166,CORRESPONDANCE[#All],2,FALSE),I167)</f>
        <v/>
      </c>
      <c r="J166" s="350">
        <f>LEFT(A166,1)</f>
        <v/>
      </c>
      <c r="K166" s="347">
        <f>"TURVILLA"&amp;" - "&amp;A166</f>
        <v/>
      </c>
      <c r="L166" s="347">
        <f>+VLOOKUP(K166,TL[],4,FALSE)</f>
        <v/>
      </c>
    </row>
    <row r="167">
      <c r="A167" s="348" t="inlineStr">
        <is>
          <t>Total</t>
        </is>
      </c>
      <c r="B167" s="348" t="inlineStr">
        <is>
          <t>Table n°2  -  Crédit bail</t>
        </is>
      </c>
      <c r="C167" s="348" t="n">
        <v>709.71</v>
      </c>
      <c r="D167" s="348" t="inlineStr"/>
      <c r="E167" s="348" t="n">
        <v>709.71</v>
      </c>
      <c r="F167" s="348" t="inlineStr"/>
      <c r="G167" s="220">
        <f>SUM(C167)-SUM(D167)</f>
        <v/>
      </c>
      <c r="H167" s="220">
        <f>SUM(E167)-SUM(F167)</f>
        <v/>
      </c>
      <c r="I167" s="221">
        <f>IF(A167="Total",VLOOKUP(B167,CORRESPONDANCE[#All],2,FALSE),I168)</f>
        <v/>
      </c>
      <c r="J167" s="350">
        <f>LEFT(A167,1)</f>
        <v/>
      </c>
      <c r="K167" s="347">
        <f>"TURVILLA"&amp;" - "&amp;A167</f>
        <v/>
      </c>
      <c r="L167" s="347">
        <f>+VLOOKUP(K167,TL[],4,FALSE)</f>
        <v/>
      </c>
    </row>
    <row r="168">
      <c r="A168" s="348" t="inlineStr">
        <is>
          <t>621402</t>
        </is>
      </c>
      <c r="B168" s="348" t="inlineStr">
        <is>
          <t>Prêt personnel managers l40</t>
        </is>
      </c>
      <c r="C168" s="348" t="n">
        <v>429.58</v>
      </c>
      <c r="D168" s="348" t="inlineStr"/>
      <c r="E168" s="348" t="n">
        <v>429.58</v>
      </c>
      <c r="F168" s="348" t="inlineStr"/>
      <c r="G168" s="220">
        <f>SUM(C168)-SUM(D168)</f>
        <v/>
      </c>
      <c r="H168" s="220">
        <f>SUM(E168)-SUM(F168)</f>
        <v/>
      </c>
      <c r="I168" s="221">
        <f>IF(A168="Total",VLOOKUP(B168,CORRESPONDANCE[#All],2,FALSE),I169)</f>
        <v/>
      </c>
      <c r="J168" s="350">
        <f>LEFT(A168,1)</f>
        <v/>
      </c>
      <c r="K168" s="347">
        <f>"TURVILLA"&amp;" - "&amp;A168</f>
        <v/>
      </c>
      <c r="L168" s="347">
        <f>+VLOOKUP(K168,TL[],4,FALSE)</f>
        <v/>
      </c>
    </row>
    <row r="169">
      <c r="A169" s="348" t="inlineStr">
        <is>
          <t>Total</t>
        </is>
      </c>
      <c r="B169" s="348" t="inlineStr">
        <is>
          <t>Table n°2  -  Dépenses / Revenus divers</t>
        </is>
      </c>
      <c r="C169" s="348" t="n">
        <v>429.58</v>
      </c>
      <c r="D169" s="348" t="inlineStr"/>
      <c r="E169" s="348" t="n">
        <v>429.58</v>
      </c>
      <c r="F169" s="348" t="inlineStr"/>
      <c r="G169" s="220">
        <f>SUM(C169)-SUM(D169)</f>
        <v/>
      </c>
      <c r="H169" s="220">
        <f>SUM(E169)-SUM(F169)</f>
        <v/>
      </c>
      <c r="I169" s="221">
        <f>IF(A169="Total",VLOOKUP(B169,CORRESPONDANCE[#All],2,FALSE),I170)</f>
        <v/>
      </c>
      <c r="J169" s="350">
        <f>LEFT(A169,1)</f>
        <v/>
      </c>
      <c r="K169" s="347">
        <f>"TURVILLA"&amp;" - "&amp;A169</f>
        <v/>
      </c>
      <c r="L169" s="347">
        <f>+VLOOKUP(K169,TL[],4,FALSE)</f>
        <v/>
      </c>
    </row>
    <row r="170">
      <c r="A170" s="348" t="inlineStr">
        <is>
          <t>661100</t>
        </is>
      </c>
      <c r="B170" s="348" t="inlineStr">
        <is>
          <t>Charges d'interets sur emprunts</t>
        </is>
      </c>
      <c r="C170" s="348" t="n">
        <v>559.09</v>
      </c>
      <c r="D170" s="348" t="inlineStr"/>
      <c r="E170" s="348" t="n">
        <v>559.09</v>
      </c>
      <c r="F170" s="348" t="inlineStr"/>
      <c r="G170" s="220">
        <f>SUM(C170)-SUM(D170)</f>
        <v/>
      </c>
      <c r="H170" s="220">
        <f>SUM(E170)-SUM(F170)</f>
        <v/>
      </c>
      <c r="I170" s="221">
        <f>IF(A170="Total",VLOOKUP(B170,CORRESPONDANCE[#All],2,FALSE),I171)</f>
        <v/>
      </c>
      <c r="J170" s="350">
        <f>LEFT(A170,1)</f>
        <v/>
      </c>
      <c r="K170" s="347">
        <f>"TURVILLA"&amp;" - "&amp;A170</f>
        <v/>
      </c>
      <c r="L170" s="347">
        <f>+VLOOKUP(K170,TL[],4,FALSE)</f>
        <v/>
      </c>
    </row>
    <row r="171">
      <c r="A171" s="348" t="inlineStr">
        <is>
          <t>Total</t>
        </is>
      </c>
      <c r="B171" s="348" t="inlineStr">
        <is>
          <t>Table n°2  -  Charges / Revenus financiers</t>
        </is>
      </c>
      <c r="C171" s="348" t="n">
        <v>559.09</v>
      </c>
      <c r="D171" s="348" t="inlineStr"/>
      <c r="E171" s="348" t="n">
        <v>559.09</v>
      </c>
      <c r="F171" s="348" t="inlineStr"/>
      <c r="G171" s="220">
        <f>SUM(C171)-SUM(D171)</f>
        <v/>
      </c>
      <c r="H171" s="220">
        <f>SUM(E171)-SUM(F171)</f>
        <v/>
      </c>
      <c r="I171" s="221">
        <f>IF(A171="Total",VLOOKUP(B171,CORRESPONDANCE[#All],2,FALSE),I172)</f>
        <v/>
      </c>
      <c r="J171" s="350">
        <f>LEFT(A171,1)</f>
        <v/>
      </c>
      <c r="K171" s="347">
        <f>"TURVILLA"&amp;" - "&amp;A171</f>
        <v/>
      </c>
      <c r="L171" s="347">
        <f>+VLOOKUP(K171,TL[],4,FALSE)</f>
        <v/>
      </c>
    </row>
    <row r="172">
      <c r="A172" s="348" t="inlineStr">
        <is>
          <t>628220</t>
        </is>
      </c>
      <c r="B172" s="348" t="inlineStr">
        <is>
          <t>Redevance gth</t>
        </is>
      </c>
      <c r="C172" s="348" t="n">
        <v>31053</v>
      </c>
      <c r="D172" s="348" t="inlineStr"/>
      <c r="E172" s="348" t="n">
        <v>31053</v>
      </c>
      <c r="F172" s="348" t="inlineStr"/>
      <c r="G172" s="220">
        <f>SUM(C172)-SUM(D172)</f>
        <v/>
      </c>
      <c r="H172" s="220">
        <f>SUM(E172)-SUM(F172)</f>
        <v/>
      </c>
      <c r="I172" s="221">
        <f>IF(A172="Total",VLOOKUP(B172,CORRESPONDANCE[#All],2,FALSE),I173)</f>
        <v/>
      </c>
      <c r="J172" s="350">
        <f>LEFT(A172,1)</f>
        <v/>
      </c>
      <c r="K172" s="347">
        <f>"TURVILLA"&amp;" - "&amp;A172</f>
        <v/>
      </c>
      <c r="L172" s="347">
        <f>+VLOOKUP(K172,TL[],4,FALSE)</f>
        <v/>
      </c>
    </row>
    <row r="173">
      <c r="A173" s="348" t="inlineStr">
        <is>
          <t>628500</t>
        </is>
      </c>
      <c r="B173" s="348" t="inlineStr">
        <is>
          <t>Redevance Mungu</t>
        </is>
      </c>
      <c r="C173" s="348" t="n">
        <v>834</v>
      </c>
      <c r="D173" s="348" t="inlineStr"/>
      <c r="E173" s="348" t="n">
        <v>834</v>
      </c>
      <c r="F173" s="348" t="inlineStr"/>
      <c r="G173" s="220">
        <f>SUM(C173)-SUM(D173)</f>
        <v/>
      </c>
      <c r="H173" s="220">
        <f>SUM(E173)-SUM(F173)</f>
        <v/>
      </c>
      <c r="I173" s="221">
        <f>IF(A173="Total",VLOOKUP(B173,CORRESPONDANCE[#All],2,FALSE),I174)</f>
        <v/>
      </c>
      <c r="J173" s="350">
        <f>LEFT(A173,1)</f>
        <v/>
      </c>
      <c r="K173" s="347">
        <f>"TURVILLA"&amp;" - "&amp;A173</f>
        <v/>
      </c>
      <c r="L173" s="347">
        <f>+VLOOKUP(K173,TL[],4,FALSE)</f>
        <v/>
      </c>
    </row>
    <row r="174">
      <c r="A174" s="348" t="inlineStr">
        <is>
          <t>Total</t>
        </is>
      </c>
      <c r="B174" s="348" t="inlineStr">
        <is>
          <t>Table n°2  -  G&amp;A (Frais administratifs)</t>
        </is>
      </c>
      <c r="C174" s="348" t="n">
        <v>31887</v>
      </c>
      <c r="D174" s="348" t="inlineStr"/>
      <c r="E174" s="348" t="n">
        <v>31887</v>
      </c>
      <c r="F174" s="348" t="inlineStr"/>
      <c r="G174" s="220">
        <f>SUM(C174)-SUM(D174)</f>
        <v/>
      </c>
      <c r="H174" s="220">
        <f>SUM(E174)-SUM(F174)</f>
        <v/>
      </c>
      <c r="I174" s="221">
        <f>IF(A174="Total",VLOOKUP(B174,CORRESPONDANCE[#All],2,FALSE),I175)</f>
        <v/>
      </c>
      <c r="J174" s="350">
        <f>LEFT(A174,1)</f>
        <v/>
      </c>
      <c r="K174" s="347">
        <f>"TURVILLA"&amp;" - "&amp;A174</f>
        <v/>
      </c>
      <c r="L174" s="347">
        <f>+VLOOKUP(K174,TL[],4,FALSE)</f>
        <v/>
      </c>
    </row>
    <row r="175">
      <c r="A175" s="348" t="inlineStr">
        <is>
          <t>702300</t>
        </is>
      </c>
      <c r="B175" s="348" t="inlineStr">
        <is>
          <t>Ventes non alimentaires</t>
        </is>
      </c>
      <c r="C175" s="348" t="inlineStr"/>
      <c r="D175" s="348" t="n">
        <v>8593.67</v>
      </c>
      <c r="E175" s="348" t="inlineStr"/>
      <c r="F175" s="348" t="n">
        <v>8593.67</v>
      </c>
      <c r="G175" s="220">
        <f>SUM(C175)-SUM(D175)</f>
        <v/>
      </c>
      <c r="H175" s="220">
        <f>SUM(E175)-SUM(F175)</f>
        <v/>
      </c>
      <c r="I175" s="221">
        <f>IF(A175="Total",VLOOKUP(B175,CORRESPONDANCE[#All],2,FALSE),I176)</f>
        <v/>
      </c>
      <c r="J175" s="350">
        <f>LEFT(A175,1)</f>
        <v/>
      </c>
      <c r="K175" s="347">
        <f>"TURVILLA"&amp;" - "&amp;A175</f>
        <v/>
      </c>
      <c r="L175" s="347">
        <f>+VLOOKUP(K175,TL[],4,FALSE)</f>
        <v/>
      </c>
    </row>
    <row r="176">
      <c r="A176" s="348" t="inlineStr">
        <is>
          <t>Total</t>
        </is>
      </c>
      <c r="B176" s="348" t="inlineStr">
        <is>
          <t>Table n°2  -  Ventes non alimentaires</t>
        </is>
      </c>
      <c r="C176" s="348" t="inlineStr"/>
      <c r="D176" s="348" t="n">
        <v>8593.67</v>
      </c>
      <c r="E176" s="348" t="inlineStr"/>
      <c r="F176" s="348" t="n">
        <v>8593.67</v>
      </c>
      <c r="G176" s="220">
        <f>SUM(C176)-SUM(D176)</f>
        <v/>
      </c>
      <c r="H176" s="220">
        <f>SUM(E176)-SUM(F176)</f>
        <v/>
      </c>
      <c r="I176" s="221">
        <f>IF(A176="Total",VLOOKUP(B176,CORRESPONDANCE[#All],2,FALSE),I177)</f>
        <v/>
      </c>
      <c r="J176" s="350">
        <f>LEFT(A176,1)</f>
        <v/>
      </c>
      <c r="K176" s="347">
        <f>"TURVILLA"&amp;" - "&amp;A176</f>
        <v/>
      </c>
      <c r="L176" s="347">
        <f>+VLOOKUP(K176,TL[],4,FALSE)</f>
        <v/>
      </c>
    </row>
    <row r="177">
      <c r="A177" s="348" t="inlineStr">
        <is>
          <t>602202</t>
        </is>
      </c>
      <c r="B177" s="348" t="inlineStr">
        <is>
          <t>Jouets</t>
        </is>
      </c>
      <c r="C177" s="348" t="n">
        <v>4468.48</v>
      </c>
      <c r="D177" s="348" t="inlineStr"/>
      <c r="E177" s="348" t="n">
        <v>4468.48</v>
      </c>
      <c r="F177" s="348" t="inlineStr"/>
      <c r="G177" s="220">
        <f>SUM(C177)-SUM(D177)</f>
        <v/>
      </c>
      <c r="H177" s="220">
        <f>SUM(E177)-SUM(F177)</f>
        <v/>
      </c>
      <c r="I177" s="221">
        <f>IF(A177="Total",VLOOKUP(B177,CORRESPONDANCE[#All],2,FALSE),I178)</f>
        <v/>
      </c>
      <c r="J177" s="350">
        <f>LEFT(A177,1)</f>
        <v/>
      </c>
      <c r="K177" s="347">
        <f>"TURVILLA"&amp;" - "&amp;A177</f>
        <v/>
      </c>
      <c r="L177" s="347">
        <f>+VLOOKUP(K177,TL[],4,FALSE)</f>
        <v/>
      </c>
    </row>
    <row r="178">
      <c r="A178" s="348" t="inlineStr">
        <is>
          <t>603202</t>
        </is>
      </c>
      <c r="B178" s="348" t="inlineStr">
        <is>
          <t>Variat. stock happy meal</t>
        </is>
      </c>
      <c r="C178" s="348" t="n">
        <v>2071.58</v>
      </c>
      <c r="D178" s="348" t="inlineStr"/>
      <c r="E178" s="348" t="n">
        <v>2071.58</v>
      </c>
      <c r="F178" s="348" t="inlineStr"/>
      <c r="G178" s="220">
        <f>SUM(C178)-SUM(D178)</f>
        <v/>
      </c>
      <c r="H178" s="220">
        <f>SUM(E178)-SUM(F178)</f>
        <v/>
      </c>
      <c r="I178" s="221">
        <f>IF(A178="Total",VLOOKUP(B178,CORRESPONDANCE[#All],2,FALSE),I179)</f>
        <v/>
      </c>
      <c r="J178" s="350">
        <f>LEFT(A178,1)</f>
        <v/>
      </c>
      <c r="K178" s="347">
        <f>"TURVILLA"&amp;" - "&amp;A178</f>
        <v/>
      </c>
      <c r="L178" s="347">
        <f>+VLOOKUP(K178,TL[],4,FALSE)</f>
        <v/>
      </c>
    </row>
    <row r="179">
      <c r="A179" s="348" t="inlineStr">
        <is>
          <t>628024</t>
        </is>
      </c>
      <c r="B179" s="348" t="inlineStr">
        <is>
          <t>Places cinema</t>
        </is>
      </c>
      <c r="C179" s="348" t="n">
        <v>216.74</v>
      </c>
      <c r="D179" s="348" t="inlineStr"/>
      <c r="E179" s="348" t="n">
        <v>216.74</v>
      </c>
      <c r="F179" s="348" t="inlineStr"/>
      <c r="G179" s="220">
        <f>SUM(C179)-SUM(D179)</f>
        <v/>
      </c>
      <c r="H179" s="220">
        <f>SUM(E179)-SUM(F179)</f>
        <v/>
      </c>
      <c r="I179" s="221">
        <f>IF(A179="Total",VLOOKUP(B179,CORRESPONDANCE[#All],2,FALSE),I180)</f>
        <v/>
      </c>
      <c r="J179" s="350">
        <f>LEFT(A179,1)</f>
        <v/>
      </c>
      <c r="K179" s="347">
        <f>"TURVILLA"&amp;" - "&amp;A179</f>
        <v/>
      </c>
      <c r="L179" s="347">
        <f>+VLOOKUP(K179,TL[],4,FALSE)</f>
        <v/>
      </c>
    </row>
    <row r="180">
      <c r="A180" s="348" t="inlineStr">
        <is>
          <t>628025</t>
        </is>
      </c>
      <c r="B180" s="348" t="inlineStr">
        <is>
          <t>Achat places happy city</t>
        </is>
      </c>
      <c r="C180" s="348" t="inlineStr"/>
      <c r="D180" s="348" t="n">
        <v>140.7</v>
      </c>
      <c r="E180" s="348" t="inlineStr"/>
      <c r="F180" s="348" t="n">
        <v>140.7</v>
      </c>
      <c r="G180" s="220">
        <f>SUM(C180)-SUM(D180)</f>
        <v/>
      </c>
      <c r="H180" s="220">
        <f>SUM(E180)-SUM(F180)</f>
        <v/>
      </c>
      <c r="I180" s="221">
        <f>IF(A180="Total",VLOOKUP(B180,CORRESPONDANCE[#All],2,FALSE),I181)</f>
        <v/>
      </c>
      <c r="J180" s="350">
        <f>LEFT(A180,1)</f>
        <v/>
      </c>
      <c r="K180" s="347">
        <f>"TURVILLA"&amp;" - "&amp;A180</f>
        <v/>
      </c>
      <c r="L180" s="347">
        <f>+VLOOKUP(K180,TL[],4,FALSE)</f>
        <v/>
      </c>
    </row>
    <row r="181">
      <c r="A181" s="348" t="inlineStr">
        <is>
          <t>Total</t>
        </is>
      </c>
      <c r="B181" s="348" t="inlineStr">
        <is>
          <t>Table n°2  -  Coût non alimentaire</t>
        </is>
      </c>
      <c r="C181" s="348" t="n">
        <v>6616.1</v>
      </c>
      <c r="D181" s="348" t="inlineStr"/>
      <c r="E181" s="348" t="n">
        <v>6616.1</v>
      </c>
      <c r="F181" s="348" t="inlineStr"/>
      <c r="G181" s="220">
        <f>SUM(C181)-SUM(D181)</f>
        <v/>
      </c>
      <c r="H181" s="220">
        <f>SUM(E181)-SUM(F181)</f>
        <v/>
      </c>
      <c r="I181" s="221">
        <f>IF(A181="Total",VLOOKUP(B181,CORRESPONDANCE[#All],2,FALSE),I182)</f>
        <v/>
      </c>
      <c r="J181" s="350">
        <f>LEFT(A181,1)</f>
        <v/>
      </c>
      <c r="K181" s="347">
        <f>"TURVILLA"&amp;" - "&amp;A181</f>
        <v/>
      </c>
      <c r="L181" s="347">
        <f>+VLOOKUP(K181,TL[],4,FALSE)</f>
        <v/>
      </c>
    </row>
    <row r="182">
      <c r="A182" s="348" t="inlineStr"/>
      <c r="B182" s="348" t="inlineStr">
        <is>
          <t>Total général</t>
        </is>
      </c>
      <c r="C182" s="348" t="n">
        <v>479014.2</v>
      </c>
      <c r="D182" s="348" t="n">
        <v>492013.73</v>
      </c>
      <c r="E182" s="348" t="n">
        <v>479014.2</v>
      </c>
      <c r="F182" s="348" t="n">
        <v>492013.73</v>
      </c>
      <c r="G182" s="220">
        <f>SUM(C182)-SUM(D182)</f>
        <v/>
      </c>
      <c r="H182" s="220">
        <f>SUM(E182)-SUM(F182)</f>
        <v/>
      </c>
      <c r="I182" s="221">
        <f>IF(A182="Total",VLOOKUP(B182,CORRESPONDANCE[#All],2,FALSE),I183)</f>
        <v/>
      </c>
      <c r="J182" s="350">
        <f>LEFT(A182,1)</f>
        <v/>
      </c>
      <c r="K182" s="347">
        <f>"TURVILLA"&amp;" - "&amp;A182</f>
        <v/>
      </c>
      <c r="L182" s="347">
        <f>+VLOOKUP(K182,TL[],4,FALSE)</f>
        <v/>
      </c>
    </row>
    <row r="183">
      <c r="G183" s="220">
        <f>SUM(C183)-SUM(D183)</f>
        <v/>
      </c>
      <c r="H183" s="220">
        <f>SUM(E183)-SUM(F183)</f>
        <v/>
      </c>
      <c r="I183" s="221">
        <f>IF(A183="Total",VLOOKUP(B183,CORRESPONDANCE[#All],2,FALSE),I184)</f>
        <v/>
      </c>
      <c r="J183" s="350">
        <f>LEFT(A183,1)</f>
        <v/>
      </c>
      <c r="K183" s="347">
        <f>"TURVILLA"&amp;" - "&amp;A183</f>
        <v/>
      </c>
      <c r="L183" s="347">
        <f>+VLOOKUP(K183,TL[],4,FALSE)</f>
        <v/>
      </c>
    </row>
    <row r="184">
      <c r="G184" s="220">
        <f>SUM(C184)-SUM(D184)</f>
        <v/>
      </c>
      <c r="H184" s="220">
        <f>SUM(E184)-SUM(F184)</f>
        <v/>
      </c>
      <c r="I184" s="221">
        <f>IF(A184="Total",VLOOKUP(B184,CORRESPONDANCE[#All],2,FALSE),I185)</f>
        <v/>
      </c>
      <c r="J184" s="350">
        <f>LEFT(A184,1)</f>
        <v/>
      </c>
      <c r="K184" s="347">
        <f>"TURVILLA"&amp;" - "&amp;A184</f>
        <v/>
      </c>
      <c r="L184" s="347">
        <f>+VLOOKUP(K184,TL[],4,FALSE)</f>
        <v/>
      </c>
    </row>
    <row r="185">
      <c r="G185" s="220">
        <f>SUM(C185)-SUM(D185)</f>
        <v/>
      </c>
      <c r="H185" s="220">
        <f>SUM(E185)-SUM(F185)</f>
        <v/>
      </c>
      <c r="I185" s="221">
        <f>IF(A185="Total",VLOOKUP(B185,CORRESPONDANCE[#All],2,FALSE),I186)</f>
        <v/>
      </c>
      <c r="J185" s="350">
        <f>LEFT(A185,1)</f>
        <v/>
      </c>
      <c r="K185" s="347">
        <f>"TURVILLA"&amp;" - "&amp;A185</f>
        <v/>
      </c>
      <c r="L185" s="347">
        <f>+VLOOKUP(K185,TL[],4,FALSE)</f>
        <v/>
      </c>
    </row>
    <row r="186">
      <c r="G186" s="220">
        <f>SUM(C186)-SUM(D186)</f>
        <v/>
      </c>
      <c r="H186" s="220">
        <f>SUM(E186)-SUM(F186)</f>
        <v/>
      </c>
      <c r="I186" s="221">
        <f>IF(A186="Total",VLOOKUP(B186,CORRESPONDANCE[#All],2,FALSE),I187)</f>
        <v/>
      </c>
      <c r="J186" s="350">
        <f>LEFT(A186,1)</f>
        <v/>
      </c>
      <c r="K186" s="347">
        <f>"TURVILLA"&amp;" - "&amp;A186</f>
        <v/>
      </c>
      <c r="L186" s="347">
        <f>+VLOOKUP(K186,TL[],4,FALSE)</f>
        <v/>
      </c>
    </row>
    <row r="187">
      <c r="G187" s="220">
        <f>SUM(C187)-SUM(D187)</f>
        <v/>
      </c>
      <c r="H187" s="220">
        <f>SUM(E187)-SUM(F187)</f>
        <v/>
      </c>
      <c r="I187" s="221">
        <f>IF(A187="Total",VLOOKUP(B187,CORRESPONDANCE[#All],2,FALSE),I188)</f>
        <v/>
      </c>
      <c r="J187" s="350">
        <f>LEFT(A187,1)</f>
        <v/>
      </c>
      <c r="K187" s="347">
        <f>"TURVILLA"&amp;" - "&amp;A187</f>
        <v/>
      </c>
      <c r="L187" s="347">
        <f>+VLOOKUP(K187,TL[],4,FALSE)</f>
        <v/>
      </c>
    </row>
    <row r="188">
      <c r="G188" s="220">
        <f>SUM(C188)-SUM(D188)</f>
        <v/>
      </c>
      <c r="H188" s="220">
        <f>SUM(E188)-SUM(F188)</f>
        <v/>
      </c>
      <c r="I188" s="221">
        <f>IF(A188="Total",VLOOKUP(B188,CORRESPONDANCE[#All],2,FALSE),I189)</f>
        <v/>
      </c>
      <c r="J188" s="350">
        <f>LEFT(A188,1)</f>
        <v/>
      </c>
      <c r="K188" s="347">
        <f>"TURVILLA"&amp;" - "&amp;A188</f>
        <v/>
      </c>
      <c r="L188" s="347">
        <f>+VLOOKUP(K188,TL[],4,FALSE)</f>
        <v/>
      </c>
    </row>
    <row r="189">
      <c r="G189" s="220">
        <f>SUM(C189)-SUM(D189)</f>
        <v/>
      </c>
      <c r="H189" s="220">
        <f>SUM(E189)-SUM(F189)</f>
        <v/>
      </c>
      <c r="I189" s="221">
        <f>IF(A189="Total",VLOOKUP(B189,CORRESPONDANCE[#All],2,FALSE),I190)</f>
        <v/>
      </c>
      <c r="J189" s="350">
        <f>LEFT(A189,1)</f>
        <v/>
      </c>
      <c r="K189" s="347">
        <f>"TURVILLA"&amp;" - "&amp;A189</f>
        <v/>
      </c>
      <c r="L189" s="347">
        <f>+VLOOKUP(K189,TL[],4,FALSE)</f>
        <v/>
      </c>
    </row>
    <row r="190">
      <c r="G190" s="220">
        <f>SUM(C190)-SUM(D190)</f>
        <v/>
      </c>
      <c r="H190" s="220">
        <f>SUM(E190)-SUM(F190)</f>
        <v/>
      </c>
      <c r="I190" s="221">
        <f>IF(A190="Total",VLOOKUP(B190,CORRESPONDANCE[#All],2,FALSE),I191)</f>
        <v/>
      </c>
      <c r="J190" s="350">
        <f>LEFT(A190,1)</f>
        <v/>
      </c>
      <c r="K190" s="347">
        <f>"TURVILLA"&amp;" - "&amp;A190</f>
        <v/>
      </c>
      <c r="L190" s="347">
        <f>+VLOOKUP(K190,TL[],4,FALSE)</f>
        <v/>
      </c>
    </row>
    <row r="191">
      <c r="G191" s="220">
        <f>SUM(C191)-SUM(D191)</f>
        <v/>
      </c>
      <c r="H191" s="220">
        <f>SUM(E191)-SUM(F191)</f>
        <v/>
      </c>
      <c r="I191" s="221">
        <f>IF(A191="Total",VLOOKUP(B191,CORRESPONDANCE[#All],2,FALSE),I192)</f>
        <v/>
      </c>
      <c r="J191" s="350">
        <f>LEFT(A191,1)</f>
        <v/>
      </c>
      <c r="K191" s="347">
        <f>"TURVILLA"&amp;" - "&amp;A191</f>
        <v/>
      </c>
      <c r="L191" s="347">
        <f>+VLOOKUP(K191,TL[],4,FALSE)</f>
        <v/>
      </c>
    </row>
    <row r="192">
      <c r="G192" s="220">
        <f>SUM(C192)-SUM(D192)</f>
        <v/>
      </c>
      <c r="H192" s="220">
        <f>SUM(E192)-SUM(F192)</f>
        <v/>
      </c>
      <c r="I192" s="221">
        <f>IF(A192="Total",VLOOKUP(B192,CORRESPONDANCE[#All],2,FALSE),I193)</f>
        <v/>
      </c>
      <c r="J192" s="350">
        <f>LEFT(A192,1)</f>
        <v/>
      </c>
      <c r="K192" s="347">
        <f>"TURVILLA"&amp;" - "&amp;A192</f>
        <v/>
      </c>
      <c r="L192" s="347">
        <f>+VLOOKUP(K192,TL[],4,FALSE)</f>
        <v/>
      </c>
    </row>
    <row r="193">
      <c r="G193" s="220">
        <f>SUM(C193)-SUM(D193)</f>
        <v/>
      </c>
      <c r="H193" s="220">
        <f>SUM(E193)-SUM(F193)</f>
        <v/>
      </c>
      <c r="I193" s="221">
        <f>IF(A193="Total",VLOOKUP(B193,CORRESPONDANCE[#All],2,FALSE),I194)</f>
        <v/>
      </c>
      <c r="J193" s="350">
        <f>LEFT(A193,1)</f>
        <v/>
      </c>
      <c r="K193" s="347">
        <f>"TURVILLA"&amp;" - "&amp;A193</f>
        <v/>
      </c>
      <c r="L193" s="347">
        <f>+VLOOKUP(K193,TL[],4,FALSE)</f>
        <v/>
      </c>
    </row>
    <row r="194">
      <c r="G194" s="220">
        <f>SUM(C194)-SUM(D194)</f>
        <v/>
      </c>
      <c r="H194" s="220">
        <f>SUM(E194)-SUM(F194)</f>
        <v/>
      </c>
      <c r="I194" s="221">
        <f>IF(A194="Total",VLOOKUP(B194,CORRESPONDANCE[#All],2,FALSE),I195)</f>
        <v/>
      </c>
      <c r="J194" s="350">
        <f>LEFT(A194,1)</f>
        <v/>
      </c>
      <c r="K194" s="347">
        <f>"TURVILLA"&amp;" - "&amp;A194</f>
        <v/>
      </c>
      <c r="L194" s="347">
        <f>+VLOOKUP(K194,TL[],4,FALSE)</f>
        <v/>
      </c>
    </row>
    <row r="195">
      <c r="G195" s="220">
        <f>SUM(C195)-SUM(D195)</f>
        <v/>
      </c>
      <c r="H195" s="220">
        <f>SUM(E195)-SUM(F195)</f>
        <v/>
      </c>
      <c r="I195" s="221">
        <f>IF(A195="Total",VLOOKUP(B195,CORRESPONDANCE[#All],2,FALSE),I196)</f>
        <v/>
      </c>
      <c r="J195" s="350">
        <f>LEFT(A195,1)</f>
        <v/>
      </c>
      <c r="K195" s="347">
        <f>"TURVILLA"&amp;" - "&amp;A195</f>
        <v/>
      </c>
      <c r="L195" s="347">
        <f>+VLOOKUP(K195,TL[],4,FALSE)</f>
        <v/>
      </c>
    </row>
    <row r="196">
      <c r="G196" s="220">
        <f>SUM(C196)-SUM(D196)</f>
        <v/>
      </c>
      <c r="H196" s="220">
        <f>SUM(E196)-SUM(F196)</f>
        <v/>
      </c>
      <c r="I196" s="221">
        <f>IF(A196="Total",VLOOKUP(B196,CORRESPONDANCE[#All],2,FALSE),I197)</f>
        <v/>
      </c>
      <c r="J196" s="350">
        <f>LEFT(A196,1)</f>
        <v/>
      </c>
      <c r="K196" s="347">
        <f>"TURVILLA"&amp;" - "&amp;A196</f>
        <v/>
      </c>
      <c r="L196" s="347">
        <f>+VLOOKUP(K196,TL[],4,FALSE)</f>
        <v/>
      </c>
    </row>
    <row r="197">
      <c r="G197" s="220">
        <f>SUM(C197)-SUM(D197)</f>
        <v/>
      </c>
      <c r="H197" s="220">
        <f>SUM(E197)-SUM(F197)</f>
        <v/>
      </c>
      <c r="I197" s="221">
        <f>IF(A197="Total",VLOOKUP(B197,CORRESPONDANCE[#All],2,FALSE),I198)</f>
        <v/>
      </c>
      <c r="J197" s="350">
        <f>LEFT(A197,1)</f>
        <v/>
      </c>
      <c r="K197" s="347">
        <f>"TURVILLA"&amp;" - "&amp;A197</f>
        <v/>
      </c>
      <c r="L197" s="347">
        <f>+VLOOKUP(K197,TL[],4,FALSE)</f>
        <v/>
      </c>
    </row>
    <row r="198">
      <c r="G198" s="220">
        <f>SUM(C198)-SUM(D198)</f>
        <v/>
      </c>
      <c r="H198" s="220">
        <f>SUM(E198)-SUM(F198)</f>
        <v/>
      </c>
      <c r="I198" s="221">
        <f>IF(A198="Total",VLOOKUP(B198,CORRESPONDANCE[#All],2,FALSE),I199)</f>
        <v/>
      </c>
      <c r="J198" s="350">
        <f>LEFT(A198,1)</f>
        <v/>
      </c>
      <c r="K198" s="347">
        <f>"TURVILLA"&amp;" - "&amp;A198</f>
        <v/>
      </c>
      <c r="L198" s="347">
        <f>+VLOOKUP(K198,TL[],4,FALSE)</f>
        <v/>
      </c>
    </row>
    <row r="199">
      <c r="G199" s="220">
        <f>SUM(C199)-SUM(D199)</f>
        <v/>
      </c>
      <c r="H199" s="220">
        <f>SUM(E199)-SUM(F199)</f>
        <v/>
      </c>
      <c r="I199" s="221">
        <f>IF(A199="Total",VLOOKUP(B199,CORRESPONDANCE[#All],2,FALSE),I200)</f>
        <v/>
      </c>
      <c r="J199" s="350">
        <f>LEFT(A199,1)</f>
        <v/>
      </c>
      <c r="K199" s="347">
        <f>"TURVILLA"&amp;" - "&amp;A199</f>
        <v/>
      </c>
      <c r="L199" s="347">
        <f>+VLOOKUP(K199,TL[],4,FALSE)</f>
        <v/>
      </c>
    </row>
    <row r="200">
      <c r="G200" s="220">
        <f>SUM(C200)-SUM(D200)</f>
        <v/>
      </c>
      <c r="H200" s="220">
        <f>SUM(E200)-SUM(F200)</f>
        <v/>
      </c>
      <c r="I200" s="221">
        <f>IF(A200="Total",VLOOKUP(B200,CORRESPONDANCE[#All],2,FALSE),I201)</f>
        <v/>
      </c>
      <c r="J200" s="350">
        <f>LEFT(A200,1)</f>
        <v/>
      </c>
      <c r="K200" s="347">
        <f>"TURVILLA"&amp;" - "&amp;A200</f>
        <v/>
      </c>
      <c r="L200" s="347">
        <f>+VLOOKUP(K200,TL[],4,FALSE)</f>
        <v/>
      </c>
    </row>
    <row r="201">
      <c r="G201" s="220">
        <f>SUM(C201)-SUM(D201)</f>
        <v/>
      </c>
      <c r="H201" s="220">
        <f>SUM(E201)-SUM(F201)</f>
        <v/>
      </c>
      <c r="I201" s="221">
        <f>IF(A201="Total",VLOOKUP(B201,CORRESPONDANCE[#All],2,FALSE),I202)</f>
        <v/>
      </c>
      <c r="J201" s="350">
        <f>LEFT(A201,1)</f>
        <v/>
      </c>
      <c r="K201" s="347">
        <f>"TURVILLA"&amp;" - "&amp;A201</f>
        <v/>
      </c>
      <c r="L201" s="347">
        <f>+VLOOKUP(K201,TL[],4,FALSE)</f>
        <v/>
      </c>
    </row>
    <row r="202">
      <c r="G202" s="220">
        <f>SUM(C202)-SUM(D202)</f>
        <v/>
      </c>
      <c r="H202" s="220">
        <f>SUM(E202)-SUM(F202)</f>
        <v/>
      </c>
      <c r="I202" s="221">
        <f>IF(A202="Total",VLOOKUP(B202,CORRESPONDANCE[#All],2,FALSE),I203)</f>
        <v/>
      </c>
      <c r="J202" s="350">
        <f>LEFT(A202,1)</f>
        <v/>
      </c>
      <c r="K202" s="347">
        <f>"TURVILLA"&amp;" - "&amp;A202</f>
        <v/>
      </c>
      <c r="L202" s="347">
        <f>+VLOOKUP(K202,TL[],4,FALSE)</f>
        <v/>
      </c>
    </row>
    <row r="203">
      <c r="G203" s="220">
        <f>SUM(C203)-SUM(D203)</f>
        <v/>
      </c>
      <c r="H203" s="220">
        <f>SUM(E203)-SUM(F203)</f>
        <v/>
      </c>
      <c r="I203" s="221">
        <f>IF(A203="Total",VLOOKUP(B203,CORRESPONDANCE[#All],2,FALSE),I204)</f>
        <v/>
      </c>
      <c r="J203" s="350">
        <f>LEFT(A203,1)</f>
        <v/>
      </c>
      <c r="K203" s="347">
        <f>"TURVILLA"&amp;" - "&amp;A203</f>
        <v/>
      </c>
      <c r="L203" s="347">
        <f>+VLOOKUP(K203,TL[],4,FALSE)</f>
        <v/>
      </c>
    </row>
    <row r="204">
      <c r="G204" s="220">
        <f>SUM(C204)-SUM(D204)</f>
        <v/>
      </c>
      <c r="H204" s="220">
        <f>SUM(E204)-SUM(F204)</f>
        <v/>
      </c>
      <c r="I204" s="221">
        <f>IF(A204="Total",VLOOKUP(B204,CORRESPONDANCE[#All],2,FALSE),I205)</f>
        <v/>
      </c>
      <c r="J204" s="350">
        <f>LEFT(A204,1)</f>
        <v/>
      </c>
      <c r="K204" s="347">
        <f>"TURVILLA"&amp;" - "&amp;A204</f>
        <v/>
      </c>
      <c r="L204" s="347">
        <f>+VLOOKUP(K204,TL[],4,FALSE)</f>
        <v/>
      </c>
    </row>
    <row r="205">
      <c r="G205" s="220">
        <f>SUM(C205)-SUM(D205)</f>
        <v/>
      </c>
      <c r="H205" s="220">
        <f>SUM(E205)-SUM(F205)</f>
        <v/>
      </c>
      <c r="I205" s="221">
        <f>IF(A205="Total",VLOOKUP(B205,CORRESPONDANCE[#All],2,FALSE),I206)</f>
        <v/>
      </c>
      <c r="J205" s="350">
        <f>LEFT(A205,1)</f>
        <v/>
      </c>
      <c r="K205" s="347">
        <f>"TURVILLA"&amp;" - "&amp;A205</f>
        <v/>
      </c>
      <c r="L205" s="347">
        <f>+VLOOKUP(K205,TL[],4,FALSE)</f>
        <v/>
      </c>
    </row>
    <row r="206">
      <c r="G206" s="220">
        <f>SUM(C206)-SUM(D206)</f>
        <v/>
      </c>
      <c r="H206" s="220">
        <f>SUM(E206)-SUM(F206)</f>
        <v/>
      </c>
      <c r="I206" s="221">
        <f>IF(A206="Total",VLOOKUP(B206,CORRESPONDANCE[#All],2,FALSE),I207)</f>
        <v/>
      </c>
      <c r="J206" s="350">
        <f>LEFT(A206,1)</f>
        <v/>
      </c>
      <c r="K206" s="347">
        <f>"TURVILLA"&amp;" - "&amp;A206</f>
        <v/>
      </c>
      <c r="L206" s="347">
        <f>+VLOOKUP(K206,TL[],4,FALSE)</f>
        <v/>
      </c>
    </row>
    <row r="207">
      <c r="G207" s="220">
        <f>SUM(C207)-SUM(D207)</f>
        <v/>
      </c>
      <c r="H207" s="220">
        <f>SUM(E207)-SUM(F207)</f>
        <v/>
      </c>
      <c r="I207" s="221">
        <f>IF(A207="Total",VLOOKUP(B207,CORRESPONDANCE[#All],2,FALSE),I208)</f>
        <v/>
      </c>
      <c r="J207" s="350">
        <f>LEFT(A207,1)</f>
        <v/>
      </c>
      <c r="K207" s="347">
        <f>"TURVILLA"&amp;" - "&amp;A207</f>
        <v/>
      </c>
      <c r="L207" s="347">
        <f>+VLOOKUP(K207,TL[],4,FALSE)</f>
        <v/>
      </c>
    </row>
    <row r="208">
      <c r="G208" s="220">
        <f>SUM(C208)-SUM(D208)</f>
        <v/>
      </c>
      <c r="H208" s="220">
        <f>SUM(E208)-SUM(F208)</f>
        <v/>
      </c>
      <c r="I208" s="221">
        <f>IF(A208="Total",VLOOKUP(B208,CORRESPONDANCE[#All],2,FALSE),I209)</f>
        <v/>
      </c>
      <c r="J208" s="350">
        <f>LEFT(A208,1)</f>
        <v/>
      </c>
      <c r="K208" s="347">
        <f>"TURVILLA"&amp;" - "&amp;A208</f>
        <v/>
      </c>
      <c r="L208" s="347">
        <f>+VLOOKUP(K208,TL[],4,FALSE)</f>
        <v/>
      </c>
    </row>
    <row r="209">
      <c r="G209" s="220">
        <f>SUM(C209)-SUM(D209)</f>
        <v/>
      </c>
      <c r="H209" s="220">
        <f>SUM(E209)-SUM(F209)</f>
        <v/>
      </c>
      <c r="I209" s="221">
        <f>IF(A209="Total",VLOOKUP(B209,CORRESPONDANCE[#All],2,FALSE),I210)</f>
        <v/>
      </c>
      <c r="J209" s="350">
        <f>LEFT(A209,1)</f>
        <v/>
      </c>
      <c r="K209" s="347">
        <f>"TURVILLA"&amp;" - "&amp;A209</f>
        <v/>
      </c>
      <c r="L209" s="347">
        <f>+VLOOKUP(K209,TL[],4,FALSE)</f>
        <v/>
      </c>
    </row>
    <row r="210">
      <c r="G210" s="220">
        <f>SUM(C210)-SUM(D210)</f>
        <v/>
      </c>
      <c r="H210" s="220">
        <f>SUM(E210)-SUM(F210)</f>
        <v/>
      </c>
      <c r="I210" s="221">
        <f>IF(A210="Total",VLOOKUP(B210,CORRESPONDANCE[#All],2,FALSE),I211)</f>
        <v/>
      </c>
      <c r="J210" s="350">
        <f>LEFT(A210,1)</f>
        <v/>
      </c>
      <c r="K210" s="347">
        <f>"TURVILLA"&amp;" - "&amp;A210</f>
        <v/>
      </c>
      <c r="L210" s="347">
        <f>+VLOOKUP(K210,TL[],4,FALSE)</f>
        <v/>
      </c>
    </row>
    <row r="211">
      <c r="G211" s="220">
        <f>SUM(C211)-SUM(D211)</f>
        <v/>
      </c>
      <c r="H211" s="220">
        <f>SUM(E211)-SUM(F211)</f>
        <v/>
      </c>
      <c r="I211" s="221">
        <f>IF(A211="Total",VLOOKUP(B211,CORRESPONDANCE[#All],2,FALSE),I212)</f>
        <v/>
      </c>
      <c r="J211" s="350">
        <f>LEFT(A211,1)</f>
        <v/>
      </c>
      <c r="K211" s="347">
        <f>"TURVILLA"&amp;" - "&amp;A211</f>
        <v/>
      </c>
      <c r="L211" s="347">
        <f>+VLOOKUP(K211,TL[],4,FALSE)</f>
        <v/>
      </c>
    </row>
    <row r="212">
      <c r="G212" s="220">
        <f>SUM(C212)-SUM(D212)</f>
        <v/>
      </c>
      <c r="H212" s="220">
        <f>SUM(E212)-SUM(F212)</f>
        <v/>
      </c>
      <c r="I212" s="221">
        <f>IF(A212="Total",VLOOKUP(B212,CORRESPONDANCE[#All],2,FALSE),I213)</f>
        <v/>
      </c>
      <c r="J212" s="350">
        <f>LEFT(A212,1)</f>
        <v/>
      </c>
      <c r="K212" s="347">
        <f>"TURVILLA"&amp;" - "&amp;A212</f>
        <v/>
      </c>
      <c r="L212" s="347">
        <f>+VLOOKUP(K212,TL[],4,FALSE)</f>
        <v/>
      </c>
    </row>
    <row r="213">
      <c r="G213" s="220">
        <f>SUM(C213)-SUM(D213)</f>
        <v/>
      </c>
      <c r="H213" s="220">
        <f>SUM(E213)-SUM(F213)</f>
        <v/>
      </c>
      <c r="I213" s="221">
        <f>IF(A213="Total",VLOOKUP(B213,CORRESPONDANCE[#All],2,FALSE),I214)</f>
        <v/>
      </c>
      <c r="J213" s="350">
        <f>LEFT(A213,1)</f>
        <v/>
      </c>
      <c r="K213" s="347">
        <f>"TURVILLA"&amp;" - "&amp;A213</f>
        <v/>
      </c>
      <c r="L213" s="347">
        <f>+VLOOKUP(K213,TL[],4,FALSE)</f>
        <v/>
      </c>
    </row>
    <row r="214">
      <c r="G214" s="220">
        <f>SUM(C214)-SUM(D214)</f>
        <v/>
      </c>
      <c r="H214" s="220">
        <f>SUM(E214)-SUM(F214)</f>
        <v/>
      </c>
      <c r="I214" s="221">
        <f>IF(A214="Total",VLOOKUP(B214,CORRESPONDANCE[#All],2,FALSE),I215)</f>
        <v/>
      </c>
      <c r="J214" s="350">
        <f>LEFT(A214,1)</f>
        <v/>
      </c>
      <c r="K214" s="347">
        <f>"TURVILLA"&amp;" - "&amp;A214</f>
        <v/>
      </c>
      <c r="L214" s="347">
        <f>+VLOOKUP(K214,TL[],4,FALSE)</f>
        <v/>
      </c>
    </row>
    <row r="215">
      <c r="G215" s="220">
        <f>SUM(C215)-SUM(D215)</f>
        <v/>
      </c>
      <c r="H215" s="220">
        <f>SUM(E215)-SUM(F215)</f>
        <v/>
      </c>
      <c r="I215" s="221">
        <f>IF(A215="Total",VLOOKUP(B215,CORRESPONDANCE[#All],2,FALSE),I216)</f>
        <v/>
      </c>
      <c r="J215" s="350">
        <f>LEFT(A215,1)</f>
        <v/>
      </c>
      <c r="K215" s="347">
        <f>"TURVILLA"&amp;" - "&amp;A215</f>
        <v/>
      </c>
      <c r="L215" s="347">
        <f>+VLOOKUP(K215,TL[],4,FALSE)</f>
        <v/>
      </c>
    </row>
    <row r="216">
      <c r="G216" s="220">
        <f>SUM(C216)-SUM(D216)</f>
        <v/>
      </c>
      <c r="H216" s="220">
        <f>SUM(E216)-SUM(F216)</f>
        <v/>
      </c>
      <c r="I216" s="221">
        <f>IF(A216="Total",VLOOKUP(B216,CORRESPONDANCE[#All],2,FALSE),I217)</f>
        <v/>
      </c>
      <c r="J216" s="350">
        <f>LEFT(A216,1)</f>
        <v/>
      </c>
      <c r="K216" s="347">
        <f>"TURVILLA"&amp;" - "&amp;A216</f>
        <v/>
      </c>
      <c r="L216" s="347">
        <f>+VLOOKUP(K216,TL[],4,FALSE)</f>
        <v/>
      </c>
    </row>
    <row r="217">
      <c r="G217" s="220">
        <f>SUM(C217)-SUM(D217)</f>
        <v/>
      </c>
      <c r="H217" s="220">
        <f>SUM(E217)-SUM(F217)</f>
        <v/>
      </c>
      <c r="I217" s="221">
        <f>IF(A217="Total",VLOOKUP(B217,CORRESPONDANCE[#All],2,FALSE),I218)</f>
        <v/>
      </c>
      <c r="J217" s="350">
        <f>LEFT(A217,1)</f>
        <v/>
      </c>
      <c r="K217" s="347">
        <f>"TURVILLA"&amp;" - "&amp;A217</f>
        <v/>
      </c>
      <c r="L217" s="347">
        <f>+VLOOKUP(K217,TL[],4,FALSE)</f>
        <v/>
      </c>
    </row>
    <row r="218">
      <c r="G218" s="220">
        <f>SUM(C218)-SUM(D218)</f>
        <v/>
      </c>
      <c r="H218" s="220">
        <f>SUM(E218)-SUM(F218)</f>
        <v/>
      </c>
      <c r="I218" s="221">
        <f>IF(A218="Total",VLOOKUP(B218,CORRESPONDANCE[#All],2,FALSE),I219)</f>
        <v/>
      </c>
      <c r="J218" s="350">
        <f>LEFT(A218,1)</f>
        <v/>
      </c>
      <c r="K218" s="347">
        <f>"TURVILLA"&amp;" - "&amp;A218</f>
        <v/>
      </c>
      <c r="L218" s="347">
        <f>+VLOOKUP(K218,TL[],4,FALSE)</f>
        <v/>
      </c>
    </row>
    <row r="219">
      <c r="G219" s="220">
        <f>SUM(C219)-SUM(D219)</f>
        <v/>
      </c>
      <c r="H219" s="220">
        <f>SUM(E219)-SUM(F219)</f>
        <v/>
      </c>
      <c r="I219" s="221">
        <f>IF(A219="Total",VLOOKUP(B219,CORRESPONDANCE[#All],2,FALSE),I220)</f>
        <v/>
      </c>
      <c r="J219" s="350">
        <f>LEFT(A219,1)</f>
        <v/>
      </c>
      <c r="K219" s="347">
        <f>"TURVILLA"&amp;" - "&amp;A219</f>
        <v/>
      </c>
      <c r="L219" s="347">
        <f>+VLOOKUP(K219,TL[],4,FALSE)</f>
        <v/>
      </c>
    </row>
    <row r="220">
      <c r="G220" s="220">
        <f>SUM(C220)-SUM(D220)</f>
        <v/>
      </c>
      <c r="H220" s="220">
        <f>SUM(E220)-SUM(F220)</f>
        <v/>
      </c>
      <c r="I220" s="221">
        <f>IF(A220="Total",VLOOKUP(B220,CORRESPONDANCE[#All],2,FALSE),I221)</f>
        <v/>
      </c>
      <c r="J220" s="350">
        <f>LEFT(A220,1)</f>
        <v/>
      </c>
      <c r="K220" s="347">
        <f>"TURVILLA"&amp;" - "&amp;A220</f>
        <v/>
      </c>
      <c r="L220" s="347">
        <f>+VLOOKUP(K220,TL[],4,FALSE)</f>
        <v/>
      </c>
    </row>
    <row r="221">
      <c r="G221" s="220">
        <f>SUM(C221)-SUM(D221)</f>
        <v/>
      </c>
      <c r="H221" s="220">
        <f>SUM(E221)-SUM(F221)</f>
        <v/>
      </c>
      <c r="I221" s="221">
        <f>IF(A221="Total",VLOOKUP(B221,CORRESPONDANCE[#All],2,FALSE),I222)</f>
        <v/>
      </c>
      <c r="J221" s="350">
        <f>LEFT(A221,1)</f>
        <v/>
      </c>
      <c r="K221" s="347">
        <f>"TURVILLA"&amp;" - "&amp;A221</f>
        <v/>
      </c>
      <c r="L221" s="347">
        <f>+VLOOKUP(K221,TL[],4,FALSE)</f>
        <v/>
      </c>
    </row>
    <row r="222">
      <c r="G222" s="220">
        <f>SUM(C222)-SUM(D222)</f>
        <v/>
      </c>
      <c r="H222" s="220">
        <f>SUM(E222)-SUM(F222)</f>
        <v/>
      </c>
      <c r="I222" s="221">
        <f>IF(A222="Total",VLOOKUP(B222,CORRESPONDANCE[#All],2,FALSE),I223)</f>
        <v/>
      </c>
      <c r="J222" s="350">
        <f>LEFT(A222,1)</f>
        <v/>
      </c>
      <c r="K222" s="347">
        <f>"TURVILLA"&amp;" - "&amp;A222</f>
        <v/>
      </c>
      <c r="L222" s="347">
        <f>+VLOOKUP(K222,TL[],4,FALSE)</f>
        <v/>
      </c>
    </row>
    <row r="223">
      <c r="G223" s="220">
        <f>SUM(C223)-SUM(D223)</f>
        <v/>
      </c>
      <c r="H223" s="220">
        <f>SUM(E223)-SUM(F223)</f>
        <v/>
      </c>
      <c r="I223" s="221">
        <f>IF(A223="Total",VLOOKUP(B223,CORRESPONDANCE[#All],2,FALSE),I224)</f>
        <v/>
      </c>
      <c r="J223" s="350">
        <f>LEFT(A223,1)</f>
        <v/>
      </c>
      <c r="K223" s="347">
        <f>"TURVILLA"&amp;" - "&amp;A223</f>
        <v/>
      </c>
      <c r="L223" s="347">
        <f>+VLOOKUP(K223,TL[],4,FALSE)</f>
        <v/>
      </c>
    </row>
    <row r="224">
      <c r="G224" s="220">
        <f>SUM(C224)-SUM(D224)</f>
        <v/>
      </c>
      <c r="H224" s="220">
        <f>SUM(E224)-SUM(F224)</f>
        <v/>
      </c>
      <c r="I224" s="221">
        <f>IF(A224="Total",VLOOKUP(B224,CORRESPONDANCE[#All],2,FALSE),I225)</f>
        <v/>
      </c>
      <c r="J224" s="350">
        <f>LEFT(A224,1)</f>
        <v/>
      </c>
      <c r="K224" s="347">
        <f>"TURVILLA"&amp;" - "&amp;A224</f>
        <v/>
      </c>
      <c r="L224" s="347">
        <f>+VLOOKUP(K224,TL[],4,FALSE)</f>
        <v/>
      </c>
    </row>
    <row r="225">
      <c r="G225" s="220">
        <f>SUM(C225)-SUM(D225)</f>
        <v/>
      </c>
      <c r="H225" s="220">
        <f>SUM(E225)-SUM(F225)</f>
        <v/>
      </c>
      <c r="I225" s="221">
        <f>IF(A225="Total",VLOOKUP(B225,CORRESPONDANCE[#All],2,FALSE),I226)</f>
        <v/>
      </c>
      <c r="J225" s="350">
        <f>LEFT(A225,1)</f>
        <v/>
      </c>
      <c r="K225" s="347">
        <f>"TURVILLA"&amp;" - "&amp;A225</f>
        <v/>
      </c>
      <c r="L225" s="347">
        <f>+VLOOKUP(K225,TL[],4,FALSE)</f>
        <v/>
      </c>
    </row>
    <row r="226">
      <c r="G226" s="220">
        <f>SUM(C226)-SUM(D226)</f>
        <v/>
      </c>
      <c r="H226" s="220">
        <f>SUM(E226)-SUM(F226)</f>
        <v/>
      </c>
      <c r="I226" s="221">
        <f>IF(A226="Total",VLOOKUP(B226,CORRESPONDANCE[#All],2,FALSE),I227)</f>
        <v/>
      </c>
      <c r="J226" s="350">
        <f>LEFT(A226,1)</f>
        <v/>
      </c>
      <c r="K226" s="347">
        <f>"TURVILLA"&amp;" - "&amp;A226</f>
        <v/>
      </c>
      <c r="L226" s="347">
        <f>+VLOOKUP(K226,TL[],4,FALSE)</f>
        <v/>
      </c>
    </row>
    <row r="227">
      <c r="G227" s="220">
        <f>SUM(C227)-SUM(D227)</f>
        <v/>
      </c>
      <c r="H227" s="220">
        <f>SUM(E227)-SUM(F227)</f>
        <v/>
      </c>
      <c r="I227" s="221">
        <f>IF(A227="Total",VLOOKUP(B227,CORRESPONDANCE[#All],2,FALSE),I228)</f>
        <v/>
      </c>
      <c r="J227" s="350">
        <f>LEFT(A227,1)</f>
        <v/>
      </c>
      <c r="K227" s="347">
        <f>"TURVILLA"&amp;" - "&amp;A227</f>
        <v/>
      </c>
      <c r="L227" s="347">
        <f>+VLOOKUP(K227,TL[],4,FALSE)</f>
        <v/>
      </c>
    </row>
    <row r="228">
      <c r="G228" s="220">
        <f>SUM(C228)-SUM(D228)</f>
        <v/>
      </c>
      <c r="H228" s="220">
        <f>SUM(E228)-SUM(F228)</f>
        <v/>
      </c>
      <c r="I228" s="221">
        <f>IF(A228="Total",VLOOKUP(B228,CORRESPONDANCE[#All],2,FALSE),I229)</f>
        <v/>
      </c>
      <c r="J228" s="350">
        <f>LEFT(A228,1)</f>
        <v/>
      </c>
      <c r="K228" s="347">
        <f>"TURVILLA"&amp;" - "&amp;A228</f>
        <v/>
      </c>
      <c r="L228" s="347">
        <f>+VLOOKUP(K228,TL[],4,FALSE)</f>
        <v/>
      </c>
    </row>
    <row r="229">
      <c r="G229" s="220">
        <f>SUM(C229)-SUM(D229)</f>
        <v/>
      </c>
      <c r="H229" s="220">
        <f>SUM(E229)-SUM(F229)</f>
        <v/>
      </c>
      <c r="I229" s="221">
        <f>IF(A229="Total",VLOOKUP(B229,CORRESPONDANCE[#All],2,FALSE),I230)</f>
        <v/>
      </c>
      <c r="J229" s="350">
        <f>LEFT(A229,1)</f>
        <v/>
      </c>
      <c r="K229" s="347">
        <f>"TURVILLA"&amp;" - "&amp;A229</f>
        <v/>
      </c>
      <c r="L229" s="347">
        <f>+VLOOKUP(K229,TL[],4,FALSE)</f>
        <v/>
      </c>
    </row>
    <row r="230">
      <c r="G230" s="220">
        <f>SUM(C230)-SUM(D230)</f>
        <v/>
      </c>
      <c r="H230" s="220">
        <f>SUM(E230)-SUM(F230)</f>
        <v/>
      </c>
      <c r="I230" s="221">
        <f>IF(A230="Total",VLOOKUP(B230,CORRESPONDANCE[#All],2,FALSE),I231)</f>
        <v/>
      </c>
      <c r="J230" s="350">
        <f>LEFT(A230,1)</f>
        <v/>
      </c>
      <c r="K230" s="347">
        <f>"TURVILLA"&amp;" - "&amp;A230</f>
        <v/>
      </c>
      <c r="L230" s="347">
        <f>+VLOOKUP(K230,TL[],4,FALSE)</f>
        <v/>
      </c>
    </row>
    <row r="231">
      <c r="G231" s="220">
        <f>SUM(C231)-SUM(D231)</f>
        <v/>
      </c>
      <c r="H231" s="220">
        <f>SUM(E231)-SUM(F231)</f>
        <v/>
      </c>
      <c r="I231" s="221">
        <f>IF(A231="Total",VLOOKUP(B231,CORRESPONDANCE[#All],2,FALSE),I232)</f>
        <v/>
      </c>
      <c r="J231" s="350">
        <f>LEFT(A231,1)</f>
        <v/>
      </c>
      <c r="K231" s="347">
        <f>"TURVILLA"&amp;" - "&amp;A231</f>
        <v/>
      </c>
      <c r="L231" s="347">
        <f>+VLOOKUP(K231,TL[],4,FALSE)</f>
        <v/>
      </c>
    </row>
    <row r="232">
      <c r="G232" s="220">
        <f>SUM(C232)-SUM(D232)</f>
        <v/>
      </c>
      <c r="H232" s="220">
        <f>SUM(E232)-SUM(F232)</f>
        <v/>
      </c>
      <c r="I232" s="221">
        <f>IF(A232="Total",VLOOKUP(B232,CORRESPONDANCE[#All],2,FALSE),I233)</f>
        <v/>
      </c>
      <c r="J232" s="350">
        <f>LEFT(A232,1)</f>
        <v/>
      </c>
      <c r="K232" s="347">
        <f>"TURVILLA"&amp;" - "&amp;A232</f>
        <v/>
      </c>
      <c r="L232" s="347">
        <f>+VLOOKUP(K232,TL[],4,FALSE)</f>
        <v/>
      </c>
    </row>
    <row r="233">
      <c r="G233" s="220">
        <f>SUM(C233)-SUM(D233)</f>
        <v/>
      </c>
      <c r="H233" s="220">
        <f>SUM(E233)-SUM(F233)</f>
        <v/>
      </c>
      <c r="I233" s="221">
        <f>IF(A233="Total",VLOOKUP(B233,CORRESPONDANCE[#All],2,FALSE),I234)</f>
        <v/>
      </c>
      <c r="J233" s="350">
        <f>LEFT(A233,1)</f>
        <v/>
      </c>
      <c r="K233" s="347">
        <f>"TURVILLA"&amp;" - "&amp;A233</f>
        <v/>
      </c>
      <c r="L233" s="347">
        <f>+VLOOKUP(K233,TL[],4,FALSE)</f>
        <v/>
      </c>
    </row>
    <row r="234">
      <c r="G234" s="220">
        <f>SUM(C234)-SUM(D234)</f>
        <v/>
      </c>
      <c r="H234" s="220">
        <f>SUM(E234)-SUM(F234)</f>
        <v/>
      </c>
      <c r="I234" s="221">
        <f>IF(A234="Total",VLOOKUP(B234,CORRESPONDANCE[#All],2,FALSE),I235)</f>
        <v/>
      </c>
      <c r="J234" s="350">
        <f>LEFT(A234,1)</f>
        <v/>
      </c>
      <c r="K234" s="347">
        <f>"TURVILLA"&amp;" - "&amp;A234</f>
        <v/>
      </c>
      <c r="L234" s="347">
        <f>+VLOOKUP(K234,TL[],4,FALSE)</f>
        <v/>
      </c>
    </row>
    <row r="235">
      <c r="G235" s="220">
        <f>SUM(C235)-SUM(D235)</f>
        <v/>
      </c>
      <c r="H235" s="220">
        <f>SUM(E235)-SUM(F235)</f>
        <v/>
      </c>
      <c r="I235" s="221">
        <f>IF(A235="Total",VLOOKUP(B235,CORRESPONDANCE[#All],2,FALSE),I236)</f>
        <v/>
      </c>
      <c r="J235" s="350">
        <f>LEFT(A235,1)</f>
        <v/>
      </c>
      <c r="K235" s="347">
        <f>"TURVILLA"&amp;" - "&amp;A235</f>
        <v/>
      </c>
      <c r="L235" s="347">
        <f>+VLOOKUP(K235,TL[],4,FALSE)</f>
        <v/>
      </c>
    </row>
    <row r="236">
      <c r="G236" s="220">
        <f>SUM(C236)-SUM(D236)</f>
        <v/>
      </c>
      <c r="H236" s="220">
        <f>SUM(E236)-SUM(F236)</f>
        <v/>
      </c>
      <c r="I236" s="221">
        <f>IF(A236="Total",VLOOKUP(B236,CORRESPONDANCE[#All],2,FALSE),I237)</f>
        <v/>
      </c>
      <c r="J236" s="350">
        <f>LEFT(A236,1)</f>
        <v/>
      </c>
      <c r="K236" s="347">
        <f>"TURVILLA"&amp;" - "&amp;A236</f>
        <v/>
      </c>
      <c r="L236" s="347">
        <f>+VLOOKUP(K236,TL[],4,FALSE)</f>
        <v/>
      </c>
    </row>
    <row r="237">
      <c r="G237" s="220">
        <f>SUM(C237)-SUM(D237)</f>
        <v/>
      </c>
      <c r="H237" s="220">
        <f>SUM(E237)-SUM(F237)</f>
        <v/>
      </c>
      <c r="I237" s="221">
        <f>IF(A237="Total",VLOOKUP(B237,CORRESPONDANCE[#All],2,FALSE),I238)</f>
        <v/>
      </c>
      <c r="J237" s="350">
        <f>LEFT(A237,1)</f>
        <v/>
      </c>
      <c r="K237" s="347">
        <f>"TURVILLA"&amp;" - "&amp;A237</f>
        <v/>
      </c>
      <c r="L237" s="347">
        <f>+VLOOKUP(K237,TL[],4,FALSE)</f>
        <v/>
      </c>
    </row>
    <row r="238">
      <c r="G238" s="220">
        <f>SUM(C238)-SUM(D238)</f>
        <v/>
      </c>
      <c r="H238" s="220">
        <f>SUM(E238)-SUM(F238)</f>
        <v/>
      </c>
      <c r="I238" s="221">
        <f>IF(A238="Total",VLOOKUP(B238,CORRESPONDANCE[#All],2,FALSE),I239)</f>
        <v/>
      </c>
      <c r="J238" s="350">
        <f>LEFT(A238,1)</f>
        <v/>
      </c>
      <c r="K238" s="347">
        <f>"TURVILLA"&amp;" - "&amp;A238</f>
        <v/>
      </c>
      <c r="L238" s="347">
        <f>+VLOOKUP(K238,TL[],4,FALSE)</f>
        <v/>
      </c>
    </row>
    <row r="239">
      <c r="G239" s="220">
        <f>SUM(C239)-SUM(D239)</f>
        <v/>
      </c>
      <c r="H239" s="220">
        <f>SUM(E239)-SUM(F239)</f>
        <v/>
      </c>
      <c r="I239" s="221">
        <f>IF(A239="Total",VLOOKUP(B239,CORRESPONDANCE[#All],2,FALSE),I240)</f>
        <v/>
      </c>
      <c r="J239" s="350">
        <f>LEFT(A239,1)</f>
        <v/>
      </c>
      <c r="K239" s="347">
        <f>"TURVILLA"&amp;" - "&amp;A239</f>
        <v/>
      </c>
      <c r="L239" s="347">
        <f>+VLOOKUP(K239,TL[],4,FALSE)</f>
        <v/>
      </c>
    </row>
    <row r="240">
      <c r="G240" s="220">
        <f>SUM(C240)-SUM(D240)</f>
        <v/>
      </c>
      <c r="H240" s="220">
        <f>SUM(E240)-SUM(F240)</f>
        <v/>
      </c>
      <c r="I240" s="221">
        <f>IF(A240="Total",VLOOKUP(B240,CORRESPONDANCE[#All],2,FALSE),I241)</f>
        <v/>
      </c>
      <c r="J240" s="350">
        <f>LEFT(A240,1)</f>
        <v/>
      </c>
      <c r="K240" s="347">
        <f>"TURVILLA"&amp;" - "&amp;A240</f>
        <v/>
      </c>
      <c r="L240" s="347">
        <f>+VLOOKUP(K240,TL[],4,FALSE)</f>
        <v/>
      </c>
    </row>
    <row r="241">
      <c r="G241" s="220">
        <f>SUM(C241)-SUM(D241)</f>
        <v/>
      </c>
      <c r="H241" s="220">
        <f>SUM(E241)-SUM(F241)</f>
        <v/>
      </c>
      <c r="I241" s="221">
        <f>IF(A241="Total",VLOOKUP(B241,CORRESPONDANCE[#All],2,FALSE),I242)</f>
        <v/>
      </c>
      <c r="J241" s="350">
        <f>LEFT(A241,1)</f>
        <v/>
      </c>
      <c r="K241" s="347">
        <f>"TURVILLA"&amp;" - "&amp;A241</f>
        <v/>
      </c>
      <c r="L241" s="347">
        <f>+VLOOKUP(K241,TL[],4,FALSE)</f>
        <v/>
      </c>
    </row>
    <row r="242">
      <c r="G242" s="220">
        <f>SUM(C242)-SUM(D242)</f>
        <v/>
      </c>
      <c r="H242" s="220">
        <f>SUM(E242)-SUM(F242)</f>
        <v/>
      </c>
      <c r="I242" s="221">
        <f>IF(A242="Total",VLOOKUP(B242,CORRESPONDANCE[#All],2,FALSE),I243)</f>
        <v/>
      </c>
      <c r="J242" s="350">
        <f>LEFT(A242,1)</f>
        <v/>
      </c>
      <c r="K242" s="347">
        <f>"TURVILLA"&amp;" - "&amp;A242</f>
        <v/>
      </c>
      <c r="L242" s="347">
        <f>+VLOOKUP(K242,TL[],4,FALSE)</f>
        <v/>
      </c>
    </row>
    <row r="243">
      <c r="G243" s="220">
        <f>SUM(C243)-SUM(D243)</f>
        <v/>
      </c>
      <c r="H243" s="220">
        <f>SUM(E243)-SUM(F243)</f>
        <v/>
      </c>
      <c r="I243" s="221">
        <f>IF(A243="Total",VLOOKUP(B243,CORRESPONDANCE[#All],2,FALSE),I244)</f>
        <v/>
      </c>
      <c r="J243" s="350">
        <f>LEFT(A243,1)</f>
        <v/>
      </c>
      <c r="K243" s="347">
        <f>"TURVILLA"&amp;" - "&amp;A243</f>
        <v/>
      </c>
      <c r="L243" s="347">
        <f>+VLOOKUP(K243,TL[],4,FALSE)</f>
        <v/>
      </c>
    </row>
    <row r="244">
      <c r="G244" s="220">
        <f>SUM(C244)-SUM(D244)</f>
        <v/>
      </c>
      <c r="H244" s="220">
        <f>SUM(E244)-SUM(F244)</f>
        <v/>
      </c>
      <c r="I244" s="221">
        <f>IF(A244="Total",VLOOKUP(B244,CORRESPONDANCE[#All],2,FALSE),I245)</f>
        <v/>
      </c>
      <c r="J244" s="350">
        <f>LEFT(A244,1)</f>
        <v/>
      </c>
      <c r="K244" s="347">
        <f>"TURVILLA"&amp;" - "&amp;A244</f>
        <v/>
      </c>
      <c r="L244" s="347">
        <f>+VLOOKUP(K244,TL[],4,FALSE)</f>
        <v/>
      </c>
    </row>
    <row r="245">
      <c r="G245" s="220">
        <f>SUM(C245)-SUM(D245)</f>
        <v/>
      </c>
      <c r="H245" s="220">
        <f>SUM(E245)-SUM(F245)</f>
        <v/>
      </c>
      <c r="I245" s="221">
        <f>IF(A245="Total",VLOOKUP(B245,CORRESPONDANCE[#All],2,FALSE),I246)</f>
        <v/>
      </c>
      <c r="J245" s="350">
        <f>LEFT(A245,1)</f>
        <v/>
      </c>
      <c r="K245" s="347">
        <f>"TURVILLA"&amp;" - "&amp;A245</f>
        <v/>
      </c>
      <c r="L245" s="347">
        <f>+VLOOKUP(K245,TL[],4,FALSE)</f>
        <v/>
      </c>
    </row>
    <row r="246">
      <c r="G246" s="220">
        <f>SUM(C246)-SUM(D246)</f>
        <v/>
      </c>
      <c r="H246" s="220">
        <f>SUM(E246)-SUM(F246)</f>
        <v/>
      </c>
      <c r="I246" s="221">
        <f>IF(A246="Total",VLOOKUP(B246,CORRESPONDANCE[#All],2,FALSE),I247)</f>
        <v/>
      </c>
      <c r="J246" s="350">
        <f>LEFT(A246,1)</f>
        <v/>
      </c>
      <c r="K246" s="347">
        <f>"TURVILLA"&amp;" - "&amp;A246</f>
        <v/>
      </c>
      <c r="L246" s="347">
        <f>+VLOOKUP(K246,TL[],4,FALSE)</f>
        <v/>
      </c>
    </row>
    <row r="247">
      <c r="G247" s="220">
        <f>SUM(C247)-SUM(D247)</f>
        <v/>
      </c>
      <c r="H247" s="220">
        <f>SUM(E247)-SUM(F247)</f>
        <v/>
      </c>
      <c r="I247" s="221">
        <f>IF(A247="Total",VLOOKUP(B247,CORRESPONDANCE[#All],2,FALSE),I248)</f>
        <v/>
      </c>
      <c r="J247" s="350">
        <f>LEFT(A247,1)</f>
        <v/>
      </c>
      <c r="K247" s="347">
        <f>"TURVILLA"&amp;" - "&amp;A247</f>
        <v/>
      </c>
      <c r="L247" s="347">
        <f>+VLOOKUP(K247,TL[],4,FALSE)</f>
        <v/>
      </c>
    </row>
    <row r="248">
      <c r="G248" s="220">
        <f>SUM(C248)-SUM(D248)</f>
        <v/>
      </c>
      <c r="H248" s="220">
        <f>SUM(E248)-SUM(F248)</f>
        <v/>
      </c>
      <c r="I248" s="221">
        <f>IF(A248="Total",VLOOKUP(B248,CORRESPONDANCE[#All],2,FALSE),I249)</f>
        <v/>
      </c>
      <c r="J248" s="350">
        <f>LEFT(A248,1)</f>
        <v/>
      </c>
      <c r="K248" s="347">
        <f>"TURVILLA"&amp;" - "&amp;A248</f>
        <v/>
      </c>
      <c r="L248" s="347">
        <f>+VLOOKUP(K248,TL[],4,FALSE)</f>
        <v/>
      </c>
    </row>
    <row r="249">
      <c r="G249" s="220">
        <f>SUM(C249)-SUM(D249)</f>
        <v/>
      </c>
      <c r="H249" s="220">
        <f>SUM(E249)-SUM(F249)</f>
        <v/>
      </c>
      <c r="I249" s="221">
        <f>IF(A249="Total",VLOOKUP(B249,CORRESPONDANCE[#All],2,FALSE),I250)</f>
        <v/>
      </c>
      <c r="J249" s="350">
        <f>LEFT(A249,1)</f>
        <v/>
      </c>
      <c r="K249" s="347">
        <f>"TURVILLA"&amp;" - "&amp;A249</f>
        <v/>
      </c>
      <c r="L249" s="347">
        <f>+VLOOKUP(K249,TL[],4,FALSE)</f>
        <v/>
      </c>
    </row>
    <row r="250">
      <c r="G250" s="220">
        <f>SUM(C250)-SUM(D250)</f>
        <v/>
      </c>
      <c r="H250" s="220">
        <f>SUM(E250)-SUM(F250)</f>
        <v/>
      </c>
      <c r="I250" s="221">
        <f>IF(A250="Total",VLOOKUP(B250,CORRESPONDANCE[#All],2,FALSE),I251)</f>
        <v/>
      </c>
      <c r="J250" s="350">
        <f>LEFT(A250,1)</f>
        <v/>
      </c>
      <c r="K250" s="347">
        <f>"TURVILLA"&amp;" - "&amp;A250</f>
        <v/>
      </c>
      <c r="L250" s="347">
        <f>+VLOOKUP(K250,TL[],4,FALSE)</f>
        <v/>
      </c>
    </row>
    <row r="251">
      <c r="G251" s="220">
        <f>SUM(C251)-SUM(D251)</f>
        <v/>
      </c>
      <c r="H251" s="220">
        <f>SUM(E251)-SUM(F251)</f>
        <v/>
      </c>
      <c r="I251" s="221">
        <f>IF(A251="Total",VLOOKUP(B251,CORRESPONDANCE[#All],2,FALSE),I252)</f>
        <v/>
      </c>
      <c r="J251" s="350">
        <f>LEFT(A251,1)</f>
        <v/>
      </c>
      <c r="K251" s="347">
        <f>"TURVILLA"&amp;" - "&amp;A251</f>
        <v/>
      </c>
      <c r="L251" s="347">
        <f>+VLOOKUP(K251,TL[],4,FALSE)</f>
        <v/>
      </c>
    </row>
    <row r="252">
      <c r="G252" s="220">
        <f>SUM(C252)-SUM(D252)</f>
        <v/>
      </c>
      <c r="H252" s="220">
        <f>SUM(E252)-SUM(F252)</f>
        <v/>
      </c>
      <c r="I252" s="221">
        <f>IF(A252="Total",VLOOKUP(B252,CORRESPONDANCE[#All],2,FALSE),I253)</f>
        <v/>
      </c>
      <c r="J252" s="350">
        <f>LEFT(A252,1)</f>
        <v/>
      </c>
      <c r="K252" s="347">
        <f>"TURVILLA"&amp;" - "&amp;A252</f>
        <v/>
      </c>
      <c r="L252" s="347">
        <f>+VLOOKUP(K252,TL[],4,FALSE)</f>
        <v/>
      </c>
    </row>
    <row r="253">
      <c r="G253" s="220">
        <f>SUM(C253)-SUM(D253)</f>
        <v/>
      </c>
      <c r="H253" s="220">
        <f>SUM(E253)-SUM(F253)</f>
        <v/>
      </c>
      <c r="I253" s="221">
        <f>IF(A253="Total",VLOOKUP(B253,CORRESPONDANCE[#All],2,FALSE),I254)</f>
        <v/>
      </c>
      <c r="J253" s="350">
        <f>LEFT(A253,1)</f>
        <v/>
      </c>
      <c r="K253" s="347">
        <f>"TURVILLA"&amp;" - "&amp;A253</f>
        <v/>
      </c>
      <c r="L253" s="347">
        <f>+VLOOKUP(K253,TL[],4,FALSE)</f>
        <v/>
      </c>
    </row>
    <row r="254">
      <c r="G254" s="220">
        <f>SUM(C254)-SUM(D254)</f>
        <v/>
      </c>
      <c r="H254" s="220">
        <f>SUM(E254)-SUM(F254)</f>
        <v/>
      </c>
      <c r="I254" s="221">
        <f>IF(A254="Total",VLOOKUP(B254,CORRESPONDANCE[#All],2,FALSE),I255)</f>
        <v/>
      </c>
      <c r="J254" s="350">
        <f>LEFT(A254,1)</f>
        <v/>
      </c>
      <c r="K254" s="347">
        <f>"TURVILLA"&amp;" - "&amp;A254</f>
        <v/>
      </c>
      <c r="L254" s="347">
        <f>+VLOOKUP(K254,TL[],4,FALSE)</f>
        <v/>
      </c>
    </row>
    <row r="255">
      <c r="G255" s="220">
        <f>SUM(C255)-SUM(D255)</f>
        <v/>
      </c>
      <c r="H255" s="220">
        <f>SUM(E255)-SUM(F255)</f>
        <v/>
      </c>
      <c r="I255" s="221">
        <f>IF(A255="Total",VLOOKUP(B255,CORRESPONDANCE[#All],2,FALSE),I256)</f>
        <v/>
      </c>
      <c r="J255" s="350">
        <f>LEFT(A255,1)</f>
        <v/>
      </c>
      <c r="K255" s="347">
        <f>"TURVILLA"&amp;" - "&amp;A255</f>
        <v/>
      </c>
      <c r="L255" s="347">
        <f>+VLOOKUP(K255,TL[],4,FALSE)</f>
        <v/>
      </c>
    </row>
    <row r="256">
      <c r="G256" s="220">
        <f>SUM(C256)-SUM(D256)</f>
        <v/>
      </c>
      <c r="H256" s="220">
        <f>SUM(E256)-SUM(F256)</f>
        <v/>
      </c>
      <c r="I256" s="221">
        <f>IF(A256="Total",VLOOKUP(B256,CORRESPONDANCE[#All],2,FALSE),I257)</f>
        <v/>
      </c>
      <c r="J256" s="350">
        <f>LEFT(A256,1)</f>
        <v/>
      </c>
      <c r="K256" s="347">
        <f>"TURVILLA"&amp;" - "&amp;A256</f>
        <v/>
      </c>
      <c r="L256" s="347">
        <f>+VLOOKUP(K256,TL[],4,FALSE)</f>
        <v/>
      </c>
    </row>
    <row r="257">
      <c r="G257" s="220">
        <f>SUM(C257)-SUM(D257)</f>
        <v/>
      </c>
      <c r="H257" s="220">
        <f>SUM(E257)-SUM(F257)</f>
        <v/>
      </c>
      <c r="I257" s="221">
        <f>IF(A257="Total",VLOOKUP(B257,CORRESPONDANCE[#All],2,FALSE),I258)</f>
        <v/>
      </c>
      <c r="J257" s="350">
        <f>LEFT(A257,1)</f>
        <v/>
      </c>
      <c r="K257" s="347">
        <f>"TURVILLA"&amp;" - "&amp;A257</f>
        <v/>
      </c>
      <c r="L257" s="347">
        <f>+VLOOKUP(K257,TL[],4,FALSE)</f>
        <v/>
      </c>
    </row>
    <row r="258">
      <c r="G258" s="220">
        <f>SUM(C258)-SUM(D258)</f>
        <v/>
      </c>
      <c r="H258" s="220">
        <f>SUM(E258)-SUM(F258)</f>
        <v/>
      </c>
      <c r="I258" s="221">
        <f>IF(A258="Total",VLOOKUP(B258,CORRESPONDANCE[#All],2,FALSE),I259)</f>
        <v/>
      </c>
      <c r="J258" s="350">
        <f>LEFT(A258,1)</f>
        <v/>
      </c>
      <c r="K258" s="347">
        <f>"TURVILLA"&amp;" - "&amp;A258</f>
        <v/>
      </c>
      <c r="L258" s="347">
        <f>+VLOOKUP(K258,TL[],4,FALSE)</f>
        <v/>
      </c>
    </row>
    <row r="259">
      <c r="G259" s="220">
        <f>SUM(C259)-SUM(D259)</f>
        <v/>
      </c>
      <c r="H259" s="220">
        <f>SUM(E259)-SUM(F259)</f>
        <v/>
      </c>
      <c r="I259" s="221">
        <f>IF(A259="Total",VLOOKUP(B259,CORRESPONDANCE[#All],2,FALSE),I260)</f>
        <v/>
      </c>
      <c r="J259" s="350">
        <f>LEFT(A259,1)</f>
        <v/>
      </c>
      <c r="K259" s="347">
        <f>"TURVILLA"&amp;" - "&amp;A259</f>
        <v/>
      </c>
      <c r="L259" s="347">
        <f>+VLOOKUP(K259,TL[],4,FALSE)</f>
        <v/>
      </c>
    </row>
    <row r="260">
      <c r="G260" s="220">
        <f>SUM(C260)-SUM(D260)</f>
        <v/>
      </c>
      <c r="H260" s="220">
        <f>SUM(E260)-SUM(F260)</f>
        <v/>
      </c>
      <c r="I260" s="221">
        <f>IF(A260="Total",VLOOKUP(B260,CORRESPONDANCE[#All],2,FALSE),I261)</f>
        <v/>
      </c>
      <c r="J260" s="350">
        <f>LEFT(A260,1)</f>
        <v/>
      </c>
      <c r="K260" s="347">
        <f>"TURVILLA"&amp;" - "&amp;A260</f>
        <v/>
      </c>
      <c r="L260" s="347">
        <f>+VLOOKUP(K260,TL[],4,FALSE)</f>
        <v/>
      </c>
    </row>
    <row r="261">
      <c r="G261" s="220">
        <f>SUM(C261)-SUM(D261)</f>
        <v/>
      </c>
      <c r="H261" s="220">
        <f>SUM(E261)-SUM(F261)</f>
        <v/>
      </c>
      <c r="I261" s="221">
        <f>IF(A261="Total",VLOOKUP(B261,CORRESPONDANCE[#All],2,FALSE),I262)</f>
        <v/>
      </c>
      <c r="J261" s="350">
        <f>LEFT(A261,1)</f>
        <v/>
      </c>
      <c r="K261" s="347">
        <f>"TURVILLA"&amp;" - "&amp;A261</f>
        <v/>
      </c>
      <c r="L261" s="347">
        <f>+VLOOKUP(K261,TL[],4,FALSE)</f>
        <v/>
      </c>
    </row>
    <row r="262">
      <c r="G262" s="220">
        <f>SUM(C262)-SUM(D262)</f>
        <v/>
      </c>
      <c r="H262" s="220">
        <f>SUM(E262)-SUM(F262)</f>
        <v/>
      </c>
      <c r="I262" s="221">
        <f>IF(A262="Total",VLOOKUP(B262,CORRESPONDANCE[#All],2,FALSE),I263)</f>
        <v/>
      </c>
      <c r="J262" s="350">
        <f>LEFT(A262,1)</f>
        <v/>
      </c>
      <c r="K262" s="347">
        <f>"TURVILLA"&amp;" - "&amp;A262</f>
        <v/>
      </c>
      <c r="L262" s="347">
        <f>+VLOOKUP(K262,TL[],4,FALSE)</f>
        <v/>
      </c>
    </row>
    <row r="263">
      <c r="G263" s="220">
        <f>SUM(C263)-SUM(D263)</f>
        <v/>
      </c>
      <c r="H263" s="220">
        <f>SUM(E263)-SUM(F263)</f>
        <v/>
      </c>
      <c r="I263" s="221">
        <f>IF(A263="Total",VLOOKUP(B263,CORRESPONDANCE[#All],2,FALSE),I264)</f>
        <v/>
      </c>
      <c r="J263" s="350">
        <f>LEFT(A263,1)</f>
        <v/>
      </c>
      <c r="K263" s="347">
        <f>"TURVILLA"&amp;" - "&amp;A263</f>
        <v/>
      </c>
      <c r="L263" s="347">
        <f>+VLOOKUP(K263,TL[],4,FALSE)</f>
        <v/>
      </c>
    </row>
    <row r="264">
      <c r="G264" s="220">
        <f>SUM(C264)-SUM(D264)</f>
        <v/>
      </c>
      <c r="H264" s="220">
        <f>SUM(E264)-SUM(F264)</f>
        <v/>
      </c>
      <c r="I264" s="221">
        <f>IF(A264="Total",VLOOKUP(B264,CORRESPONDANCE[#All],2,FALSE),I265)</f>
        <v/>
      </c>
      <c r="J264" s="350">
        <f>LEFT(A264,1)</f>
        <v/>
      </c>
      <c r="K264" s="347">
        <f>"TURVILLA"&amp;" - "&amp;A264</f>
        <v/>
      </c>
      <c r="L264" s="347">
        <f>+VLOOKUP(K264,TL[],4,FALSE)</f>
        <v/>
      </c>
    </row>
    <row r="265">
      <c r="G265" s="220">
        <f>SUM(C265)-SUM(D265)</f>
        <v/>
      </c>
      <c r="H265" s="220">
        <f>SUM(E265)-SUM(F265)</f>
        <v/>
      </c>
      <c r="I265" s="221">
        <f>IF(A265="Total",VLOOKUP(B265,CORRESPONDANCE[#All],2,FALSE),I266)</f>
        <v/>
      </c>
      <c r="J265" s="350">
        <f>LEFT(A265,1)</f>
        <v/>
      </c>
      <c r="K265" s="347">
        <f>"TURVILLA"&amp;" - "&amp;A265</f>
        <v/>
      </c>
      <c r="L265" s="347">
        <f>+VLOOKUP(K265,TL[],4,FALSE)</f>
        <v/>
      </c>
    </row>
    <row r="266">
      <c r="G266" s="220">
        <f>SUM(C266)-SUM(D266)</f>
        <v/>
      </c>
      <c r="H266" s="220">
        <f>SUM(E266)-SUM(F266)</f>
        <v/>
      </c>
      <c r="I266" s="221">
        <f>IF(A266="Total",VLOOKUP(B266,CORRESPONDANCE[#All],2,FALSE),I267)</f>
        <v/>
      </c>
      <c r="J266" s="350">
        <f>LEFT(A266,1)</f>
        <v/>
      </c>
      <c r="K266" s="347">
        <f>"TURVILLA"&amp;" - "&amp;A266</f>
        <v/>
      </c>
      <c r="L266" s="347">
        <f>+VLOOKUP(K266,TL[],4,FALSE)</f>
        <v/>
      </c>
    </row>
    <row r="267">
      <c r="G267" s="220">
        <f>SUM(C267)-SUM(D267)</f>
        <v/>
      </c>
      <c r="H267" s="220">
        <f>SUM(E267)-SUM(F267)</f>
        <v/>
      </c>
      <c r="I267" s="221">
        <f>IF(A267="Total",VLOOKUP(B267,CORRESPONDANCE[#All],2,FALSE),I268)</f>
        <v/>
      </c>
      <c r="J267" s="350">
        <f>LEFT(A267,1)</f>
        <v/>
      </c>
      <c r="K267" s="347">
        <f>"TURVILLA"&amp;" - "&amp;A267</f>
        <v/>
      </c>
      <c r="L267" s="347">
        <f>+VLOOKUP(K267,TL[],4,FALSE)</f>
        <v/>
      </c>
    </row>
    <row r="268">
      <c r="G268" s="220">
        <f>SUM(C268)-SUM(D268)</f>
        <v/>
      </c>
      <c r="H268" s="220">
        <f>SUM(E268)-SUM(F268)</f>
        <v/>
      </c>
      <c r="I268" s="221">
        <f>IF(A268="Total",VLOOKUP(B268,CORRESPONDANCE[#All],2,FALSE),I269)</f>
        <v/>
      </c>
      <c r="J268" s="350">
        <f>LEFT(A268,1)</f>
        <v/>
      </c>
      <c r="K268" s="347">
        <f>"TURVILLA"&amp;" - "&amp;A268</f>
        <v/>
      </c>
      <c r="L268" s="347">
        <f>+VLOOKUP(K268,TL[],4,FALSE)</f>
        <v/>
      </c>
    </row>
    <row r="269">
      <c r="G269" s="220">
        <f>SUM(C269)-SUM(D269)</f>
        <v/>
      </c>
      <c r="H269" s="220">
        <f>SUM(E269)-SUM(F269)</f>
        <v/>
      </c>
      <c r="I269" s="221">
        <f>IF(A269="Total",VLOOKUP(B269,CORRESPONDANCE[#All],2,FALSE),I270)</f>
        <v/>
      </c>
      <c r="J269" s="350">
        <f>LEFT(A269,1)</f>
        <v/>
      </c>
      <c r="K269" s="347">
        <f>"TURVILLA"&amp;" - "&amp;A269</f>
        <v/>
      </c>
      <c r="L269" s="347">
        <f>+VLOOKUP(K269,TL[],4,FALSE)</f>
        <v/>
      </c>
    </row>
    <row r="270">
      <c r="G270" s="220">
        <f>SUM(C270)-SUM(D270)</f>
        <v/>
      </c>
      <c r="H270" s="220">
        <f>SUM(E270)-SUM(F270)</f>
        <v/>
      </c>
      <c r="I270" s="221">
        <f>IF(A270="Total",VLOOKUP(B270,CORRESPONDANCE[#All],2,FALSE),I271)</f>
        <v/>
      </c>
      <c r="J270" s="350">
        <f>LEFT(A270,1)</f>
        <v/>
      </c>
      <c r="K270" s="347">
        <f>"TURVILLA"&amp;" - "&amp;A270</f>
        <v/>
      </c>
      <c r="L270" s="347">
        <f>+VLOOKUP(K270,TL[],4,FALSE)</f>
        <v/>
      </c>
    </row>
    <row r="271">
      <c r="G271" s="220">
        <f>SUM(C271)-SUM(D271)</f>
        <v/>
      </c>
      <c r="H271" s="220">
        <f>SUM(E271)-SUM(F271)</f>
        <v/>
      </c>
      <c r="I271" s="221">
        <f>IF(A271="Total",VLOOKUP(B271,CORRESPONDANCE[#All],2,FALSE),I272)</f>
        <v/>
      </c>
      <c r="J271" s="350">
        <f>LEFT(A271,1)</f>
        <v/>
      </c>
      <c r="K271" s="347">
        <f>"TURVILLA"&amp;" - "&amp;A271</f>
        <v/>
      </c>
      <c r="L271" s="347">
        <f>+VLOOKUP(K271,TL[],4,FALSE)</f>
        <v/>
      </c>
    </row>
    <row r="272">
      <c r="G272" s="220">
        <f>SUM(C272)-SUM(D272)</f>
        <v/>
      </c>
      <c r="H272" s="220">
        <f>SUM(E272)-SUM(F272)</f>
        <v/>
      </c>
      <c r="I272" s="221">
        <f>IF(A272="Total",VLOOKUP(B272,CORRESPONDANCE[#All],2,FALSE),I273)</f>
        <v/>
      </c>
      <c r="J272" s="350">
        <f>LEFT(A272,1)</f>
        <v/>
      </c>
      <c r="K272" s="347">
        <f>"TURVILLA"&amp;" - "&amp;A272</f>
        <v/>
      </c>
      <c r="L272" s="347">
        <f>+VLOOKUP(K272,TL[],4,FALSE)</f>
        <v/>
      </c>
    </row>
    <row r="273">
      <c r="G273" s="220">
        <f>SUM(C273)-SUM(D273)</f>
        <v/>
      </c>
      <c r="H273" s="220">
        <f>SUM(E273)-SUM(F273)</f>
        <v/>
      </c>
      <c r="I273" s="221">
        <f>IF(A273="Total",VLOOKUP(B273,CORRESPONDANCE[#All],2,FALSE),I274)</f>
        <v/>
      </c>
      <c r="J273" s="350">
        <f>LEFT(A273,1)</f>
        <v/>
      </c>
      <c r="K273" s="347">
        <f>"TURVILLA"&amp;" - "&amp;A273</f>
        <v/>
      </c>
      <c r="L273" s="347">
        <f>+VLOOKUP(K273,TL[],4,FALSE)</f>
        <v/>
      </c>
    </row>
    <row r="274">
      <c r="G274" s="220">
        <f>SUM(C274)-SUM(D274)</f>
        <v/>
      </c>
      <c r="H274" s="220">
        <f>SUM(E274)-SUM(F274)</f>
        <v/>
      </c>
      <c r="I274" s="221">
        <f>IF(A274="Total",VLOOKUP(B274,CORRESPONDANCE[#All],2,FALSE),I275)</f>
        <v/>
      </c>
      <c r="J274" s="350">
        <f>LEFT(A274,1)</f>
        <v/>
      </c>
      <c r="K274" s="347">
        <f>"TURVILLA"&amp;" - "&amp;A274</f>
        <v/>
      </c>
      <c r="L274" s="347">
        <f>+VLOOKUP(K274,TL[],4,FALSE)</f>
        <v/>
      </c>
    </row>
    <row r="275">
      <c r="G275" s="220">
        <f>SUM(C275)-SUM(D275)</f>
        <v/>
      </c>
      <c r="H275" s="220">
        <f>SUM(E275)-SUM(F275)</f>
        <v/>
      </c>
      <c r="I275" s="221">
        <f>IF(A275="Total",VLOOKUP(B275,CORRESPONDANCE[#All],2,FALSE),I276)</f>
        <v/>
      </c>
      <c r="J275" s="350">
        <f>LEFT(A275,1)</f>
        <v/>
      </c>
      <c r="K275" s="347">
        <f>"TURVILLA"&amp;" - "&amp;A275</f>
        <v/>
      </c>
      <c r="L275" s="347">
        <f>+VLOOKUP(K275,TL[],4,FALSE)</f>
        <v/>
      </c>
    </row>
    <row r="276">
      <c r="G276" s="220">
        <f>SUM(C276)-SUM(D276)</f>
        <v/>
      </c>
      <c r="H276" s="220">
        <f>SUM(E276)-SUM(F276)</f>
        <v/>
      </c>
      <c r="I276" s="221">
        <f>IF(A276="Total",VLOOKUP(B276,CORRESPONDANCE[#All],2,FALSE),I277)</f>
        <v/>
      </c>
      <c r="J276" s="350">
        <f>LEFT(A276,1)</f>
        <v/>
      </c>
      <c r="K276" s="347">
        <f>"TURVILLA"&amp;" - "&amp;A276</f>
        <v/>
      </c>
      <c r="L276" s="347">
        <f>+VLOOKUP(K276,TL[],4,FALSE)</f>
        <v/>
      </c>
    </row>
    <row r="277">
      <c r="G277" s="220">
        <f>SUM(C277)-SUM(D277)</f>
        <v/>
      </c>
      <c r="H277" s="220">
        <f>SUM(E277)-SUM(F277)</f>
        <v/>
      </c>
      <c r="I277" s="221">
        <f>IF(A277="Total",VLOOKUP(B277,CORRESPONDANCE[#All],2,FALSE),I278)</f>
        <v/>
      </c>
      <c r="J277" s="350">
        <f>LEFT(A277,1)</f>
        <v/>
      </c>
      <c r="K277" s="347">
        <f>"TURVILLA"&amp;" - "&amp;A277</f>
        <v/>
      </c>
      <c r="L277" s="347">
        <f>+VLOOKUP(K277,TL[],4,FALSE)</f>
        <v/>
      </c>
    </row>
    <row r="278">
      <c r="G278" s="220">
        <f>SUM(C278)-SUM(D278)</f>
        <v/>
      </c>
      <c r="H278" s="220">
        <f>SUM(E278)-SUM(F278)</f>
        <v/>
      </c>
      <c r="I278" s="221">
        <f>IF(A278="Total",VLOOKUP(B278,CORRESPONDANCE[#All],2,FALSE),I279)</f>
        <v/>
      </c>
      <c r="J278" s="350">
        <f>LEFT(A278,1)</f>
        <v/>
      </c>
      <c r="K278" s="347">
        <f>"TURVILLA"&amp;" - "&amp;A278</f>
        <v/>
      </c>
      <c r="L278" s="347">
        <f>+VLOOKUP(K278,TL[],4,FALSE)</f>
        <v/>
      </c>
    </row>
    <row r="279">
      <c r="G279" s="220">
        <f>SUM(C279)-SUM(D279)</f>
        <v/>
      </c>
      <c r="H279" s="220">
        <f>SUM(E279)-SUM(F279)</f>
        <v/>
      </c>
      <c r="I279" s="221">
        <f>IF(A279="Total",VLOOKUP(B279,CORRESPONDANCE[#All],2,FALSE),I280)</f>
        <v/>
      </c>
      <c r="J279" s="350">
        <f>LEFT(A279,1)</f>
        <v/>
      </c>
      <c r="K279" s="347">
        <f>"TURVILLA"&amp;" - "&amp;A279</f>
        <v/>
      </c>
      <c r="L279" s="347">
        <f>+VLOOKUP(K279,TL[],4,FALSE)</f>
        <v/>
      </c>
    </row>
    <row r="280">
      <c r="G280" s="220">
        <f>SUM(C280)-SUM(D280)</f>
        <v/>
      </c>
      <c r="H280" s="220">
        <f>SUM(E280)-SUM(F280)</f>
        <v/>
      </c>
      <c r="I280" s="221">
        <f>IF(A280="Total",VLOOKUP(B280,CORRESPONDANCE[#All],2,FALSE),I281)</f>
        <v/>
      </c>
      <c r="J280" s="350">
        <f>LEFT(A280,1)</f>
        <v/>
      </c>
      <c r="K280" s="347">
        <f>"TURVILLA"&amp;" - "&amp;A280</f>
        <v/>
      </c>
      <c r="L280" s="347">
        <f>+VLOOKUP(K280,TL[],4,FALSE)</f>
        <v/>
      </c>
    </row>
    <row r="281">
      <c r="G281" s="220">
        <f>SUM(C281)-SUM(D281)</f>
        <v/>
      </c>
      <c r="H281" s="220">
        <f>SUM(E281)-SUM(F281)</f>
        <v/>
      </c>
      <c r="I281" s="221">
        <f>IF(A281="Total",VLOOKUP(B281,CORRESPONDANCE[#All],2,FALSE),I282)</f>
        <v/>
      </c>
      <c r="J281" s="350">
        <f>LEFT(A281,1)</f>
        <v/>
      </c>
      <c r="K281" s="347">
        <f>"TURVILLA"&amp;" - "&amp;A281</f>
        <v/>
      </c>
      <c r="L281" s="347">
        <f>+VLOOKUP(K281,TL[],4,FALSE)</f>
        <v/>
      </c>
    </row>
    <row r="282">
      <c r="G282" s="220">
        <f>SUM(C282)-SUM(D282)</f>
        <v/>
      </c>
      <c r="H282" s="220">
        <f>SUM(E282)-SUM(F282)</f>
        <v/>
      </c>
      <c r="I282" s="221">
        <f>IF(A282="Total",VLOOKUP(B282,CORRESPONDANCE[#All],2,FALSE),I283)</f>
        <v/>
      </c>
      <c r="J282" s="350">
        <f>LEFT(A282,1)</f>
        <v/>
      </c>
      <c r="K282" s="347">
        <f>"TURVILLA"&amp;" - "&amp;A282</f>
        <v/>
      </c>
      <c r="L282" s="347">
        <f>+VLOOKUP(K282,TL[],4,FALSE)</f>
        <v/>
      </c>
    </row>
    <row r="283">
      <c r="G283" s="220">
        <f>SUM(C283)-SUM(D283)</f>
        <v/>
      </c>
      <c r="H283" s="220">
        <f>SUM(E283)-SUM(F283)</f>
        <v/>
      </c>
      <c r="I283" s="221">
        <f>IF(A283="Total",VLOOKUP(B283,CORRESPONDANCE[#All],2,FALSE),I284)</f>
        <v/>
      </c>
      <c r="J283" s="350">
        <f>LEFT(A283,1)</f>
        <v/>
      </c>
      <c r="K283" s="347">
        <f>"TURVILLA"&amp;" - "&amp;A283</f>
        <v/>
      </c>
      <c r="L283" s="347">
        <f>+VLOOKUP(K283,TL[],4,FALSE)</f>
        <v/>
      </c>
    </row>
    <row r="284">
      <c r="G284" s="220">
        <f>SUM(C284)-SUM(D284)</f>
        <v/>
      </c>
      <c r="H284" s="220">
        <f>SUM(E284)-SUM(F284)</f>
        <v/>
      </c>
      <c r="I284" s="221">
        <f>IF(A284="Total",VLOOKUP(B284,CORRESPONDANCE[#All],2,FALSE),I285)</f>
        <v/>
      </c>
      <c r="J284" s="350">
        <f>LEFT(A284,1)</f>
        <v/>
      </c>
      <c r="K284" s="347">
        <f>"TURVILLA"&amp;" - "&amp;A284</f>
        <v/>
      </c>
      <c r="L284" s="347">
        <f>+VLOOKUP(K284,TL[],4,FALSE)</f>
        <v/>
      </c>
    </row>
    <row r="285">
      <c r="G285" s="220">
        <f>SUM(C285)-SUM(D285)</f>
        <v/>
      </c>
      <c r="H285" s="220">
        <f>SUM(E285)-SUM(F285)</f>
        <v/>
      </c>
      <c r="I285" s="221">
        <f>IF(A285="Total",VLOOKUP(B285,CORRESPONDANCE[#All],2,FALSE),I286)</f>
        <v/>
      </c>
      <c r="J285" s="350">
        <f>LEFT(A285,1)</f>
        <v/>
      </c>
      <c r="K285" s="347">
        <f>"TURVILLA"&amp;" - "&amp;A285</f>
        <v/>
      </c>
      <c r="L285" s="347">
        <f>+VLOOKUP(K285,TL[],4,FALSE)</f>
        <v/>
      </c>
    </row>
    <row r="286">
      <c r="G286" s="220">
        <f>SUM(C286)-SUM(D286)</f>
        <v/>
      </c>
      <c r="H286" s="220">
        <f>SUM(E286)-SUM(F286)</f>
        <v/>
      </c>
      <c r="I286" s="221">
        <f>IF(A286="Total",VLOOKUP(B286,CORRESPONDANCE[#All],2,FALSE),I287)</f>
        <v/>
      </c>
      <c r="J286" s="350">
        <f>LEFT(A286,1)</f>
        <v/>
      </c>
      <c r="K286" s="347">
        <f>"TURVILLA"&amp;" - "&amp;A286</f>
        <v/>
      </c>
      <c r="L286" s="347">
        <f>+VLOOKUP(K286,TL[],4,FALSE)</f>
        <v/>
      </c>
    </row>
    <row r="287">
      <c r="G287" s="220">
        <f>SUM(C287)-SUM(D287)</f>
        <v/>
      </c>
      <c r="H287" s="220">
        <f>SUM(E287)-SUM(F287)</f>
        <v/>
      </c>
      <c r="I287" s="221">
        <f>IF(A287="Total",VLOOKUP(B287,CORRESPONDANCE[#All],2,FALSE),I288)</f>
        <v/>
      </c>
      <c r="J287" s="350">
        <f>LEFT(A287,1)</f>
        <v/>
      </c>
      <c r="K287" s="347">
        <f>"TURVILLA"&amp;" - "&amp;A287</f>
        <v/>
      </c>
      <c r="L287" s="347">
        <f>+VLOOKUP(K287,TL[],4,FALSE)</f>
        <v/>
      </c>
    </row>
    <row r="288">
      <c r="G288" s="220">
        <f>SUM(C288)-SUM(D288)</f>
        <v/>
      </c>
      <c r="H288" s="220">
        <f>SUM(E288)-SUM(F288)</f>
        <v/>
      </c>
      <c r="I288" s="221">
        <f>IF(A288="Total",VLOOKUP(B288,CORRESPONDANCE[#All],2,FALSE),I289)</f>
        <v/>
      </c>
      <c r="J288" s="350">
        <f>LEFT(A288,1)</f>
        <v/>
      </c>
      <c r="K288" s="347">
        <f>"TURVILLA"&amp;" - "&amp;A288</f>
        <v/>
      </c>
      <c r="L288" s="347">
        <f>+VLOOKUP(K288,TL[],4,FALSE)</f>
        <v/>
      </c>
    </row>
    <row r="289">
      <c r="G289" s="220">
        <f>SUM(C289)-SUM(D289)</f>
        <v/>
      </c>
      <c r="H289" s="220">
        <f>SUM(E289)-SUM(F289)</f>
        <v/>
      </c>
      <c r="I289" s="221">
        <f>IF(A289="Total",VLOOKUP(B289,CORRESPONDANCE[#All],2,FALSE),I290)</f>
        <v/>
      </c>
      <c r="J289" s="350">
        <f>LEFT(A289,1)</f>
        <v/>
      </c>
      <c r="K289" s="347">
        <f>"TURVILLA"&amp;" - "&amp;A289</f>
        <v/>
      </c>
      <c r="L289" s="347">
        <f>+VLOOKUP(K289,TL[],4,FALSE)</f>
        <v/>
      </c>
    </row>
    <row r="290">
      <c r="G290" s="220">
        <f>SUM(C290)-SUM(D290)</f>
        <v/>
      </c>
      <c r="H290" s="220">
        <f>SUM(E290)-SUM(F290)</f>
        <v/>
      </c>
      <c r="I290" s="221">
        <f>IF(A290="Total",VLOOKUP(B290,CORRESPONDANCE[#All],2,FALSE),I291)</f>
        <v/>
      </c>
      <c r="J290" s="350">
        <f>LEFT(A290,1)</f>
        <v/>
      </c>
      <c r="K290" s="347">
        <f>"TURVILLA"&amp;" - "&amp;A290</f>
        <v/>
      </c>
      <c r="L290" s="347">
        <f>+VLOOKUP(K290,TL[],4,FALSE)</f>
        <v/>
      </c>
    </row>
    <row r="291">
      <c r="G291" s="220">
        <f>SUM(C291)-SUM(D291)</f>
        <v/>
      </c>
      <c r="H291" s="220">
        <f>SUM(E291)-SUM(F291)</f>
        <v/>
      </c>
      <c r="I291" s="221">
        <f>IF(A291="Total",VLOOKUP(B291,CORRESPONDANCE[#All],2,FALSE),I292)</f>
        <v/>
      </c>
      <c r="J291" s="350">
        <f>LEFT(A291,1)</f>
        <v/>
      </c>
      <c r="K291" s="347">
        <f>"TURVILLA"&amp;" - "&amp;A291</f>
        <v/>
      </c>
      <c r="L291" s="347">
        <f>+VLOOKUP(K291,TL[],4,FALSE)</f>
        <v/>
      </c>
    </row>
    <row r="292">
      <c r="G292" s="220">
        <f>SUM(C292)-SUM(D292)</f>
        <v/>
      </c>
      <c r="H292" s="220">
        <f>SUM(E292)-SUM(F292)</f>
        <v/>
      </c>
      <c r="I292" s="221">
        <f>IF(A292="Total",VLOOKUP(B292,CORRESPONDANCE[#All],2,FALSE),I293)</f>
        <v/>
      </c>
      <c r="J292" s="350">
        <f>LEFT(A292,1)</f>
        <v/>
      </c>
      <c r="K292" s="347">
        <f>"TURVILLA"&amp;" - "&amp;A292</f>
        <v/>
      </c>
      <c r="L292" s="347">
        <f>+VLOOKUP(K292,TL[],4,FALSE)</f>
        <v/>
      </c>
    </row>
    <row r="293">
      <c r="G293" s="220">
        <f>SUM(C293)-SUM(D293)</f>
        <v/>
      </c>
      <c r="H293" s="220">
        <f>SUM(E293)-SUM(F293)</f>
        <v/>
      </c>
      <c r="I293" s="221">
        <f>IF(A293="Total",VLOOKUP(B293,CORRESPONDANCE[#All],2,FALSE),I294)</f>
        <v/>
      </c>
      <c r="J293" s="350">
        <f>LEFT(A293,1)</f>
        <v/>
      </c>
      <c r="K293" s="347">
        <f>"TURVILLA"&amp;" - "&amp;A293</f>
        <v/>
      </c>
      <c r="L293" s="347">
        <f>+VLOOKUP(K293,TL[],4,FALSE)</f>
        <v/>
      </c>
    </row>
    <row r="294">
      <c r="G294" s="220">
        <f>SUM(C294)-SUM(D294)</f>
        <v/>
      </c>
      <c r="H294" s="220">
        <f>SUM(E294)-SUM(F294)</f>
        <v/>
      </c>
      <c r="I294" s="221">
        <f>IF(A294="Total",VLOOKUP(B294,CORRESPONDANCE[#All],2,FALSE),I295)</f>
        <v/>
      </c>
      <c r="J294" s="350">
        <f>LEFT(A294,1)</f>
        <v/>
      </c>
      <c r="K294" s="347">
        <f>"TURVILLA"&amp;" - "&amp;A294</f>
        <v/>
      </c>
      <c r="L294" s="347">
        <f>+VLOOKUP(K294,TL[],4,FALSE)</f>
        <v/>
      </c>
    </row>
    <row r="295">
      <c r="G295" s="220">
        <f>SUM(C295)-SUM(D295)</f>
        <v/>
      </c>
      <c r="H295" s="220">
        <f>SUM(E295)-SUM(F295)</f>
        <v/>
      </c>
      <c r="I295" s="221">
        <f>IF(A295="Total",VLOOKUP(B295,CORRESPONDANCE[#All],2,FALSE),I296)</f>
        <v/>
      </c>
      <c r="J295" s="350">
        <f>LEFT(A295,1)</f>
        <v/>
      </c>
      <c r="K295" s="347">
        <f>"TURVILLA"&amp;" - "&amp;A295</f>
        <v/>
      </c>
      <c r="L295" s="347">
        <f>+VLOOKUP(K295,TL[],4,FALSE)</f>
        <v/>
      </c>
    </row>
    <row r="296">
      <c r="G296" s="220">
        <f>SUM(C296)-SUM(D296)</f>
        <v/>
      </c>
      <c r="H296" s="220">
        <f>SUM(E296)-SUM(F296)</f>
        <v/>
      </c>
      <c r="I296" s="221">
        <f>IF(A296="Total",VLOOKUP(B296,CORRESPONDANCE[#All],2,FALSE),I297)</f>
        <v/>
      </c>
      <c r="J296" s="350">
        <f>LEFT(A296,1)</f>
        <v/>
      </c>
      <c r="K296" s="347">
        <f>"TURVILLA"&amp;" - "&amp;A296</f>
        <v/>
      </c>
      <c r="L296" s="347">
        <f>+VLOOKUP(K296,TL[],4,FALSE)</f>
        <v/>
      </c>
    </row>
    <row r="297">
      <c r="G297" s="220">
        <f>SUM(C297)-SUM(D297)</f>
        <v/>
      </c>
      <c r="H297" s="220">
        <f>SUM(E297)-SUM(F297)</f>
        <v/>
      </c>
      <c r="I297" s="221">
        <f>IF(A297="Total",VLOOKUP(B297,CORRESPONDANCE[#All],2,FALSE),I298)</f>
        <v/>
      </c>
      <c r="J297" s="350">
        <f>LEFT(A297,1)</f>
        <v/>
      </c>
      <c r="K297" s="347">
        <f>"TURVILLA"&amp;" - "&amp;A297</f>
        <v/>
      </c>
      <c r="L297" s="347">
        <f>+VLOOKUP(K297,TL[],4,FALSE)</f>
        <v/>
      </c>
    </row>
    <row r="298">
      <c r="G298" s="220">
        <f>SUM(C298)-SUM(D298)</f>
        <v/>
      </c>
      <c r="H298" s="220">
        <f>SUM(E298)-SUM(F298)</f>
        <v/>
      </c>
      <c r="I298" s="221">
        <f>IF(A298="Total",VLOOKUP(B298,CORRESPONDANCE[#All],2,FALSE),I299)</f>
        <v/>
      </c>
      <c r="J298" s="350">
        <f>LEFT(A298,1)</f>
        <v/>
      </c>
      <c r="K298" s="347">
        <f>"TURVILLA"&amp;" - "&amp;A298</f>
        <v/>
      </c>
      <c r="L298" s="347">
        <f>+VLOOKUP(K298,TL[],4,FALSE)</f>
        <v/>
      </c>
    </row>
    <row r="299">
      <c r="G299" s="220">
        <f>SUM(C299)-SUM(D299)</f>
        <v/>
      </c>
      <c r="H299" s="220">
        <f>SUM(E299)-SUM(F299)</f>
        <v/>
      </c>
      <c r="I299" s="221">
        <f>IF(A299="Total",VLOOKUP(B299,CORRESPONDANCE[#All],2,FALSE),I300)</f>
        <v/>
      </c>
      <c r="J299" s="350">
        <f>LEFT(A299,1)</f>
        <v/>
      </c>
      <c r="K299" s="347">
        <f>"TURVILLA"&amp;" - "&amp;A299</f>
        <v/>
      </c>
      <c r="L299" s="347">
        <f>+VLOOKUP(K299,TL[],4,FALSE)</f>
        <v/>
      </c>
    </row>
    <row r="300">
      <c r="G300" s="220">
        <f>SUM(C300)-SUM(D300)</f>
        <v/>
      </c>
      <c r="H300" s="220">
        <f>SUM(E300)-SUM(F300)</f>
        <v/>
      </c>
      <c r="I300" s="221">
        <f>IF(A300="Total",VLOOKUP(B300,CORRESPONDANCE[#All],2,FALSE),I301)</f>
        <v/>
      </c>
      <c r="J300" s="350">
        <f>LEFT(A300,1)</f>
        <v/>
      </c>
      <c r="K300" s="347">
        <f>"TURVILLA"&amp;" - "&amp;A300</f>
        <v/>
      </c>
      <c r="L300" s="347">
        <f>+VLOOKUP(K300,TL[],4,FALSE)</f>
        <v/>
      </c>
    </row>
    <row r="301">
      <c r="G301" s="220">
        <f>SUM(C301)-SUM(D301)</f>
        <v/>
      </c>
      <c r="H301" s="220">
        <f>SUM(E301)-SUM(F301)</f>
        <v/>
      </c>
      <c r="I301" s="221">
        <f>IF(A301="Total",VLOOKUP(B301,CORRESPONDANCE[#All],2,FALSE),I302)</f>
        <v/>
      </c>
      <c r="J301" s="350">
        <f>LEFT(A301,1)</f>
        <v/>
      </c>
      <c r="K301" s="347">
        <f>"TURVILLA"&amp;" - "&amp;A301</f>
        <v/>
      </c>
      <c r="L301" s="347">
        <f>+VLOOKUP(K301,TL[],4,FALSE)</f>
        <v/>
      </c>
    </row>
    <row r="302">
      <c r="G302" s="220">
        <f>SUM(C302)-SUM(D302)</f>
        <v/>
      </c>
      <c r="H302" s="220">
        <f>SUM(E302)-SUM(F302)</f>
        <v/>
      </c>
      <c r="I302" s="221">
        <f>IF(A302="Total",VLOOKUP(B302,CORRESPONDANCE[#All],2,FALSE),I303)</f>
        <v/>
      </c>
      <c r="J302" s="350">
        <f>LEFT(A302,1)</f>
        <v/>
      </c>
      <c r="K302" s="347">
        <f>"TURVILLA"&amp;" - "&amp;A302</f>
        <v/>
      </c>
      <c r="L302" s="347">
        <f>+VLOOKUP(K302,TL[],4,FALSE)</f>
        <v/>
      </c>
    </row>
    <row r="303">
      <c r="G303" s="220">
        <f>SUM(C303)-SUM(D303)</f>
        <v/>
      </c>
      <c r="H303" s="220">
        <f>SUM(E303)-SUM(F303)</f>
        <v/>
      </c>
      <c r="I303" s="221">
        <f>IF(A303="Total",VLOOKUP(B303,CORRESPONDANCE[#All],2,FALSE),I304)</f>
        <v/>
      </c>
      <c r="J303" s="350">
        <f>LEFT(A303,1)</f>
        <v/>
      </c>
      <c r="K303" s="347">
        <f>"TURVILLA"&amp;" - "&amp;A303</f>
        <v/>
      </c>
      <c r="L303" s="347">
        <f>+VLOOKUP(K303,TL[],4,FALSE)</f>
        <v/>
      </c>
    </row>
    <row r="304">
      <c r="G304" s="220">
        <f>SUM(C304)-SUM(D304)</f>
        <v/>
      </c>
      <c r="H304" s="220">
        <f>SUM(E304)-SUM(F304)</f>
        <v/>
      </c>
      <c r="I304" s="221">
        <f>IF(A304="Total",VLOOKUP(B304,CORRESPONDANCE[#All],2,FALSE),I305)</f>
        <v/>
      </c>
      <c r="J304" s="350">
        <f>LEFT(A304,1)</f>
        <v/>
      </c>
      <c r="K304" s="347">
        <f>"TURVILLA"&amp;" - "&amp;A304</f>
        <v/>
      </c>
      <c r="L304" s="347">
        <f>+VLOOKUP(K304,TL[],4,FALSE)</f>
        <v/>
      </c>
    </row>
    <row r="305">
      <c r="G305" s="220">
        <f>SUM(C305)-SUM(D305)</f>
        <v/>
      </c>
      <c r="H305" s="220">
        <f>SUM(E305)-SUM(F305)</f>
        <v/>
      </c>
      <c r="I305" s="221">
        <f>IF(A305="Total",VLOOKUP(B305,CORRESPONDANCE[#All],2,FALSE),I306)</f>
        <v/>
      </c>
      <c r="J305" s="350">
        <f>LEFT(A305,1)</f>
        <v/>
      </c>
      <c r="K305" s="347">
        <f>"TURVILLA"&amp;" - "&amp;A305</f>
        <v/>
      </c>
      <c r="L305" s="347">
        <f>+VLOOKUP(K305,TL[],4,FALSE)</f>
        <v/>
      </c>
    </row>
    <row r="306">
      <c r="G306" s="220">
        <f>SUM(C306)-SUM(D306)</f>
        <v/>
      </c>
      <c r="H306" s="220">
        <f>SUM(E306)-SUM(F306)</f>
        <v/>
      </c>
      <c r="I306" s="221">
        <f>IF(A306="Total",VLOOKUP(B306,CORRESPONDANCE[#All],2,FALSE),I307)</f>
        <v/>
      </c>
      <c r="J306" s="350">
        <f>LEFT(A306,1)</f>
        <v/>
      </c>
      <c r="K306" s="347">
        <f>"TURVILLA"&amp;" - "&amp;A306</f>
        <v/>
      </c>
      <c r="L306" s="347">
        <f>+VLOOKUP(K306,TL[],4,FALSE)</f>
        <v/>
      </c>
    </row>
    <row r="307">
      <c r="G307" s="220">
        <f>SUM(C307)-SUM(D307)</f>
        <v/>
      </c>
      <c r="H307" s="220">
        <f>SUM(E307)-SUM(F307)</f>
        <v/>
      </c>
      <c r="I307" s="221">
        <f>IF(A307="Total",VLOOKUP(B307,CORRESPONDANCE[#All],2,FALSE),I308)</f>
        <v/>
      </c>
      <c r="J307" s="350">
        <f>LEFT(A307,1)</f>
        <v/>
      </c>
      <c r="K307" s="347">
        <f>"TURVILLA"&amp;" - "&amp;A307</f>
        <v/>
      </c>
      <c r="L307" s="347">
        <f>+VLOOKUP(K307,TL[],4,FALSE)</f>
        <v/>
      </c>
    </row>
    <row r="308">
      <c r="G308" s="220">
        <f>SUM(C308)-SUM(D308)</f>
        <v/>
      </c>
      <c r="H308" s="220">
        <f>SUM(E308)-SUM(F308)</f>
        <v/>
      </c>
      <c r="I308" s="221">
        <f>IF(A308="Total",VLOOKUP(B308,CORRESPONDANCE[#All],2,FALSE),I309)</f>
        <v/>
      </c>
      <c r="J308" s="350">
        <f>LEFT(A308,1)</f>
        <v/>
      </c>
      <c r="K308" s="347">
        <f>"TURVILLA"&amp;" - "&amp;A308</f>
        <v/>
      </c>
      <c r="L308" s="347">
        <f>+VLOOKUP(K308,TL[],4,FALSE)</f>
        <v/>
      </c>
    </row>
    <row r="309">
      <c r="G309" s="220">
        <f>SUM(C309)-SUM(D309)</f>
        <v/>
      </c>
      <c r="H309" s="220">
        <f>SUM(E309)-SUM(F309)</f>
        <v/>
      </c>
      <c r="I309" s="221">
        <f>IF(A309="Total",VLOOKUP(B309,CORRESPONDANCE[#All],2,FALSE),I310)</f>
        <v/>
      </c>
      <c r="J309" s="350">
        <f>LEFT(A309,1)</f>
        <v/>
      </c>
      <c r="K309" s="347">
        <f>"TURVILLA"&amp;" - "&amp;A309</f>
        <v/>
      </c>
      <c r="L309" s="347">
        <f>+VLOOKUP(K309,TL[],4,FALSE)</f>
        <v/>
      </c>
    </row>
    <row r="310">
      <c r="G310" s="220">
        <f>SUM(C310)-SUM(D310)</f>
        <v/>
      </c>
      <c r="H310" s="220">
        <f>SUM(E310)-SUM(F310)</f>
        <v/>
      </c>
      <c r="I310" s="221">
        <f>IF(A310="Total",VLOOKUP(B310,CORRESPONDANCE[#All],2,FALSE),I311)</f>
        <v/>
      </c>
      <c r="J310" s="350">
        <f>LEFT(A310,1)</f>
        <v/>
      </c>
      <c r="K310" s="347">
        <f>"TURVILLA"&amp;" - "&amp;A310</f>
        <v/>
      </c>
      <c r="L310" s="347">
        <f>+VLOOKUP(K310,TL[],4,FALSE)</f>
        <v/>
      </c>
    </row>
    <row r="311">
      <c r="G311" s="220">
        <f>SUM(C311)-SUM(D311)</f>
        <v/>
      </c>
      <c r="H311" s="220">
        <f>SUM(E311)-SUM(F311)</f>
        <v/>
      </c>
      <c r="I311" s="221">
        <f>IF(A311="Total",VLOOKUP(B311,CORRESPONDANCE[#All],2,FALSE),I312)</f>
        <v/>
      </c>
      <c r="J311" s="350">
        <f>LEFT(A311,1)</f>
        <v/>
      </c>
      <c r="K311" s="347">
        <f>"TURVILLA"&amp;" - "&amp;A311</f>
        <v/>
      </c>
      <c r="L311" s="347">
        <f>+VLOOKUP(K311,TL[],4,FALSE)</f>
        <v/>
      </c>
    </row>
    <row r="312">
      <c r="G312" s="220">
        <f>SUM(C312)-SUM(D312)</f>
        <v/>
      </c>
      <c r="H312" s="220">
        <f>SUM(E312)-SUM(F312)</f>
        <v/>
      </c>
      <c r="I312" s="221">
        <f>IF(A312="Total",VLOOKUP(B312,CORRESPONDANCE[#All],2,FALSE),I313)</f>
        <v/>
      </c>
      <c r="J312" s="350">
        <f>LEFT(A312,1)</f>
        <v/>
      </c>
      <c r="K312" s="347">
        <f>"TURVILLA"&amp;" - "&amp;A312</f>
        <v/>
      </c>
      <c r="L312" s="347">
        <f>+VLOOKUP(K312,TL[],4,FALSE)</f>
        <v/>
      </c>
    </row>
    <row r="313">
      <c r="G313" s="220">
        <f>SUM(C313)-SUM(D313)</f>
        <v/>
      </c>
      <c r="H313" s="220">
        <f>SUM(E313)-SUM(F313)</f>
        <v/>
      </c>
      <c r="I313" s="221">
        <f>IF(A313="Total",VLOOKUP(B313,CORRESPONDANCE[#All],2,FALSE),I314)</f>
        <v/>
      </c>
      <c r="J313" s="350">
        <f>LEFT(A313,1)</f>
        <v/>
      </c>
      <c r="K313" s="347">
        <f>"TURVILLA"&amp;" - "&amp;A313</f>
        <v/>
      </c>
      <c r="L313" s="347">
        <f>+VLOOKUP(K313,TL[],4,FALSE)</f>
        <v/>
      </c>
    </row>
    <row r="314">
      <c r="G314" s="220">
        <f>SUM(C314)-SUM(D314)</f>
        <v/>
      </c>
      <c r="H314" s="220">
        <f>SUM(E314)-SUM(F314)</f>
        <v/>
      </c>
      <c r="I314" s="221">
        <f>IF(A314="Total",VLOOKUP(B314,CORRESPONDANCE[#All],2,FALSE),I315)</f>
        <v/>
      </c>
      <c r="J314" s="350">
        <f>LEFT(A314,1)</f>
        <v/>
      </c>
      <c r="K314" s="347">
        <f>"TURVILLA"&amp;" - "&amp;A314</f>
        <v/>
      </c>
      <c r="L314" s="347">
        <f>+VLOOKUP(K314,TL[],4,FALSE)</f>
        <v/>
      </c>
    </row>
    <row r="315">
      <c r="G315" s="220">
        <f>SUM(C315)-SUM(D315)</f>
        <v/>
      </c>
      <c r="H315" s="220">
        <f>SUM(E315)-SUM(F315)</f>
        <v/>
      </c>
      <c r="I315" s="221">
        <f>IF(A315="Total",VLOOKUP(B315,CORRESPONDANCE[#All],2,FALSE),I316)</f>
        <v/>
      </c>
      <c r="J315" s="350">
        <f>LEFT(A315,1)</f>
        <v/>
      </c>
      <c r="K315" s="347">
        <f>"TURVILLA"&amp;" - "&amp;A315</f>
        <v/>
      </c>
      <c r="L315" s="347">
        <f>+VLOOKUP(K315,TL[],4,FALSE)</f>
        <v/>
      </c>
    </row>
    <row r="316">
      <c r="G316" s="220">
        <f>SUM(C316)-SUM(D316)</f>
        <v/>
      </c>
      <c r="H316" s="220">
        <f>SUM(E316)-SUM(F316)</f>
        <v/>
      </c>
      <c r="I316" s="221">
        <f>IF(A316="Total",VLOOKUP(B316,CORRESPONDANCE[#All],2,FALSE),I317)</f>
        <v/>
      </c>
      <c r="J316" s="350">
        <f>LEFT(A316,1)</f>
        <v/>
      </c>
      <c r="K316" s="347">
        <f>"TURVILLA"&amp;" - "&amp;A316</f>
        <v/>
      </c>
      <c r="L316" s="347">
        <f>+VLOOKUP(K316,TL[],4,FALSE)</f>
        <v/>
      </c>
    </row>
    <row r="317">
      <c r="G317" s="220">
        <f>SUM(C317)-SUM(D317)</f>
        <v/>
      </c>
      <c r="H317" s="220">
        <f>SUM(E317)-SUM(F317)</f>
        <v/>
      </c>
      <c r="I317" s="221">
        <f>IF(A317="Total",VLOOKUP(B317,CORRESPONDANCE[#All],2,FALSE),I318)</f>
        <v/>
      </c>
      <c r="J317" s="350">
        <f>LEFT(A317,1)</f>
        <v/>
      </c>
      <c r="K317" s="347">
        <f>"TURVILLA"&amp;" - "&amp;A317</f>
        <v/>
      </c>
      <c r="L317" s="347">
        <f>+VLOOKUP(K317,TL[],4,FALSE)</f>
        <v/>
      </c>
    </row>
    <row r="318">
      <c r="G318" s="220">
        <f>SUM(C318)-SUM(D318)</f>
        <v/>
      </c>
      <c r="H318" s="220">
        <f>SUM(E318)-SUM(F318)</f>
        <v/>
      </c>
      <c r="I318" s="221">
        <f>IF(A318="Total",VLOOKUP(B318,CORRESPONDANCE[#All],2,FALSE),I319)</f>
        <v/>
      </c>
      <c r="J318" s="350">
        <f>LEFT(A318,1)</f>
        <v/>
      </c>
      <c r="K318" s="347">
        <f>"TURVILLA"&amp;" - "&amp;A318</f>
        <v/>
      </c>
      <c r="L318" s="347">
        <f>+VLOOKUP(K318,TL[],4,FALSE)</f>
        <v/>
      </c>
    </row>
    <row r="319">
      <c r="G319" s="220">
        <f>SUM(C319)-SUM(D319)</f>
        <v/>
      </c>
      <c r="H319" s="220">
        <f>SUM(E319)-SUM(F319)</f>
        <v/>
      </c>
      <c r="I319" s="221">
        <f>IF(A319="Total",VLOOKUP(B319,CORRESPONDANCE[#All],2,FALSE),I320)</f>
        <v/>
      </c>
      <c r="J319" s="350">
        <f>LEFT(A319,1)</f>
        <v/>
      </c>
      <c r="K319" s="347">
        <f>"TURVILLA"&amp;" - "&amp;A319</f>
        <v/>
      </c>
      <c r="L319" s="347">
        <f>+VLOOKUP(K319,TL[],4,FALSE)</f>
        <v/>
      </c>
    </row>
    <row r="320">
      <c r="G320" s="220">
        <f>SUM(C320)-SUM(D320)</f>
        <v/>
      </c>
      <c r="H320" s="220">
        <f>SUM(E320)-SUM(F320)</f>
        <v/>
      </c>
      <c r="I320" s="221">
        <f>IF(A320="Total",VLOOKUP(B320,CORRESPONDANCE[#All],2,FALSE),I321)</f>
        <v/>
      </c>
      <c r="J320" s="350">
        <f>LEFT(A320,1)</f>
        <v/>
      </c>
      <c r="K320" s="347">
        <f>"TURVILLA"&amp;" - "&amp;A320</f>
        <v/>
      </c>
      <c r="L320" s="347">
        <f>+VLOOKUP(K320,TL[],4,FALSE)</f>
        <v/>
      </c>
    </row>
    <row r="321">
      <c r="G321" s="220">
        <f>SUM(C321)-SUM(D321)</f>
        <v/>
      </c>
      <c r="H321" s="220">
        <f>SUM(E321)-SUM(F321)</f>
        <v/>
      </c>
      <c r="I321" s="221">
        <f>IF(A321="Total",VLOOKUP(B321,CORRESPONDANCE[#All],2,FALSE),I322)</f>
        <v/>
      </c>
      <c r="J321" s="350">
        <f>LEFT(A321,1)</f>
        <v/>
      </c>
      <c r="K321" s="347">
        <f>"TURVILLA"&amp;" - "&amp;A321</f>
        <v/>
      </c>
      <c r="L321" s="347">
        <f>+VLOOKUP(K321,TL[],4,FALSE)</f>
        <v/>
      </c>
    </row>
    <row r="322">
      <c r="G322" s="220">
        <f>SUM(C322)-SUM(D322)</f>
        <v/>
      </c>
      <c r="H322" s="220">
        <f>SUM(E322)-SUM(F322)</f>
        <v/>
      </c>
      <c r="I322" s="221">
        <f>IF(A322="Total",VLOOKUP(B322,CORRESPONDANCE[#All],2,FALSE),I323)</f>
        <v/>
      </c>
      <c r="J322" s="350">
        <f>LEFT(A322,1)</f>
        <v/>
      </c>
      <c r="K322" s="347">
        <f>"TURVILLA"&amp;" - "&amp;A322</f>
        <v/>
      </c>
      <c r="L322" s="347">
        <f>+VLOOKUP(K322,TL[],4,FALSE)</f>
        <v/>
      </c>
    </row>
    <row r="323">
      <c r="G323" s="220">
        <f>SUM(C323)-SUM(D323)</f>
        <v/>
      </c>
      <c r="H323" s="220">
        <f>SUM(E323)-SUM(F323)</f>
        <v/>
      </c>
      <c r="I323" s="221">
        <f>IF(A323="Total",VLOOKUP(B323,CORRESPONDANCE[#All],2,FALSE),I324)</f>
        <v/>
      </c>
      <c r="J323" s="350">
        <f>LEFT(A323,1)</f>
        <v/>
      </c>
      <c r="K323" s="347">
        <f>"TURVILLA"&amp;" - "&amp;A323</f>
        <v/>
      </c>
      <c r="L323" s="347">
        <f>+VLOOKUP(K323,TL[],4,FALSE)</f>
        <v/>
      </c>
    </row>
    <row r="324">
      <c r="G324" s="220">
        <f>SUM(C324)-SUM(D324)</f>
        <v/>
      </c>
      <c r="H324" s="220">
        <f>SUM(E324)-SUM(F324)</f>
        <v/>
      </c>
      <c r="I324" s="221">
        <f>IF(A324="Total",VLOOKUP(B324,CORRESPONDANCE[#All],2,FALSE),I325)</f>
        <v/>
      </c>
      <c r="J324" s="350">
        <f>LEFT(A324,1)</f>
        <v/>
      </c>
      <c r="K324" s="347">
        <f>"TURVILLA"&amp;" - "&amp;A324</f>
        <v/>
      </c>
      <c r="L324" s="347">
        <f>+VLOOKUP(K324,TL[],4,FALSE)</f>
        <v/>
      </c>
    </row>
    <row r="325">
      <c r="G325" s="220">
        <f>SUM(C325)-SUM(D325)</f>
        <v/>
      </c>
      <c r="H325" s="220">
        <f>SUM(E325)-SUM(F325)</f>
        <v/>
      </c>
      <c r="I325" s="221">
        <f>IF(A325="Total",VLOOKUP(B325,CORRESPONDANCE[#All],2,FALSE),I326)</f>
        <v/>
      </c>
      <c r="J325" s="350">
        <f>LEFT(A325,1)</f>
        <v/>
      </c>
      <c r="K325" s="347">
        <f>"TURVILLA"&amp;" - "&amp;A325</f>
        <v/>
      </c>
      <c r="L325" s="347">
        <f>+VLOOKUP(K325,TL[],4,FALSE)</f>
        <v/>
      </c>
    </row>
    <row r="326">
      <c r="G326" s="220">
        <f>SUM(C326)-SUM(D326)</f>
        <v/>
      </c>
      <c r="H326" s="220">
        <f>SUM(E326)-SUM(F326)</f>
        <v/>
      </c>
      <c r="I326" s="221">
        <f>IF(A326="Total",VLOOKUP(B326,CORRESPONDANCE[#All],2,FALSE),I327)</f>
        <v/>
      </c>
      <c r="J326" s="350">
        <f>LEFT(A326,1)</f>
        <v/>
      </c>
      <c r="K326" s="347">
        <f>"TURVILLA"&amp;" - "&amp;A326</f>
        <v/>
      </c>
      <c r="L326" s="347">
        <f>+VLOOKUP(K326,TL[],4,FALSE)</f>
        <v/>
      </c>
    </row>
    <row r="327">
      <c r="G327" s="220">
        <f>SUM(C327)-SUM(D327)</f>
        <v/>
      </c>
      <c r="H327" s="220">
        <f>SUM(E327)-SUM(F327)</f>
        <v/>
      </c>
      <c r="I327" s="221">
        <f>IF(A327="Total",VLOOKUP(B327,CORRESPONDANCE[#All],2,FALSE),I328)</f>
        <v/>
      </c>
      <c r="J327" s="350">
        <f>LEFT(A327,1)</f>
        <v/>
      </c>
      <c r="K327" s="347">
        <f>"TURVILLA"&amp;" - "&amp;A327</f>
        <v/>
      </c>
      <c r="L327" s="347">
        <f>+VLOOKUP(K327,TL[],4,FALSE)</f>
        <v/>
      </c>
    </row>
    <row r="328">
      <c r="G328" s="220">
        <f>SUM(C328)-SUM(D328)</f>
        <v/>
      </c>
      <c r="H328" s="220">
        <f>SUM(E328)-SUM(F328)</f>
        <v/>
      </c>
      <c r="I328" s="221">
        <f>IF(A328="Total",VLOOKUP(B328,CORRESPONDANCE[#All],2,FALSE),I329)</f>
        <v/>
      </c>
      <c r="J328" s="350">
        <f>LEFT(A328,1)</f>
        <v/>
      </c>
      <c r="K328" s="347">
        <f>"TURVILLA"&amp;" - "&amp;A328</f>
        <v/>
      </c>
      <c r="L328" s="347">
        <f>+VLOOKUP(K328,TL[],4,FALSE)</f>
        <v/>
      </c>
    </row>
  </sheetData>
  <autoFilter ref="A1:L203"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272"/>
  <sheetViews>
    <sheetView zoomScale="85" zoomScaleNormal="85" workbookViewId="0">
      <selection activeCell="D9" sqref="D9"/>
    </sheetView>
  </sheetViews>
  <sheetFormatPr baseColWidth="10" defaultColWidth="11.5703125" defaultRowHeight="12.75"/>
  <cols>
    <col width="11.5703125" customWidth="1" style="225" min="1" max="1"/>
    <col width="46" bestFit="1" customWidth="1" style="351" min="2" max="2"/>
    <col width="13.28515625" customWidth="1" style="216" min="3" max="6"/>
    <col width="13.28515625" customWidth="1" style="223" min="7" max="8"/>
    <col width="11.5703125" customWidth="1" style="224" min="9" max="9"/>
    <col width="11.5703125" customWidth="1" style="347" min="10" max="16384"/>
  </cols>
  <sheetData>
    <row r="1" ht="15" customHeight="1" s="161">
      <c r="A1" s="290" t="n"/>
      <c r="B1" s="290" t="n"/>
      <c r="C1" s="290" t="n"/>
      <c r="D1" s="290" t="n"/>
      <c r="E1" s="290" t="n"/>
      <c r="F1" s="290" t="n"/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 ht="15" customHeight="1" s="161">
      <c r="A2" s="290" t="n"/>
      <c r="B2" s="290" t="n"/>
      <c r="C2" s="290" t="n"/>
      <c r="D2" s="290" t="n"/>
      <c r="E2" s="290" t="n"/>
      <c r="F2" s="290" t="n"/>
      <c r="G2" s="220">
        <f>SUM(C2)-SUM(D2)</f>
        <v/>
      </c>
      <c r="H2" s="220">
        <f>SUM(E2)-SUM(F2)</f>
        <v/>
      </c>
      <c r="I2" s="221">
        <f>IF(A2="Total",VLOOKUP(B2,CORRESPONDANCE[#All],2,FALSE),I3)</f>
        <v/>
      </c>
      <c r="J2" s="350">
        <f>LEFT(A2,1)</f>
        <v/>
      </c>
      <c r="K2" s="347">
        <f>"HART"&amp;" - "&amp;A2</f>
        <v/>
      </c>
      <c r="L2" s="347">
        <f>+VLOOKUP(K2,TL[],4,FALSE)</f>
        <v/>
      </c>
    </row>
    <row r="3" ht="15" customHeight="1" s="161">
      <c r="A3" s="290" t="n"/>
      <c r="B3" s="290" t="n"/>
      <c r="C3" s="290" t="n"/>
      <c r="D3" s="290" t="n"/>
      <c r="E3" s="290" t="n"/>
      <c r="F3" s="290" t="n"/>
      <c r="G3" s="220">
        <f>SUM(C3)-SUM(D3)</f>
        <v/>
      </c>
      <c r="H3" s="220">
        <f>SUM(E3)-SUM(F3)</f>
        <v/>
      </c>
      <c r="I3" s="221">
        <f>IF(A3="Total",VLOOKUP(B3,CORRESPONDANCE[#All],2,FALSE),I4)</f>
        <v/>
      </c>
      <c r="J3" s="350">
        <f>LEFT(A3,1)</f>
        <v/>
      </c>
      <c r="K3" s="347">
        <f>"HART"&amp;" - "&amp;A3</f>
        <v/>
      </c>
      <c r="L3" s="347">
        <f>+VLOOKUP(K3,TL[],4,FALSE)</f>
        <v/>
      </c>
    </row>
    <row r="4" ht="15" customHeight="1" s="161">
      <c r="A4" s="290" t="n"/>
      <c r="B4" s="290" t="n"/>
      <c r="C4" s="290" t="n"/>
      <c r="D4" s="290" t="n"/>
      <c r="E4" s="290" t="n"/>
      <c r="F4" s="290" t="n"/>
      <c r="G4" s="220">
        <f>SUM(C4)-SUM(D4)</f>
        <v/>
      </c>
      <c r="H4" s="220">
        <f>SUM(E4)-SUM(F4)</f>
        <v/>
      </c>
      <c r="I4" s="221">
        <f>IF(A4="Total",VLOOKUP(B4,CORRESPONDANCE[#All],2,FALSE),I5)</f>
        <v/>
      </c>
      <c r="J4" s="350">
        <f>LEFT(A4,1)</f>
        <v/>
      </c>
      <c r="K4" s="347">
        <f>"HART"&amp;" - "&amp;A4</f>
        <v/>
      </c>
      <c r="L4" s="347">
        <f>+VLOOKUP(K4,TL[],4,FALSE)</f>
        <v/>
      </c>
    </row>
    <row r="5" ht="15" customHeight="1" s="161">
      <c r="A5" s="290" t="n"/>
      <c r="B5" s="290" t="n"/>
      <c r="C5" s="290" t="n"/>
      <c r="D5" s="290" t="n"/>
      <c r="E5" s="290" t="n"/>
      <c r="F5" s="290" t="n"/>
      <c r="G5" s="220">
        <f>SUM(C5)-SUM(D5)</f>
        <v/>
      </c>
      <c r="H5" s="220">
        <f>SUM(E5)-SUM(F5)</f>
        <v/>
      </c>
      <c r="I5" s="221">
        <f>IF(A5="Total",VLOOKUP(B5,CORRESPONDANCE[#All],2,FALSE),I6)</f>
        <v/>
      </c>
      <c r="J5" s="350">
        <f>LEFT(A5,1)</f>
        <v/>
      </c>
      <c r="K5" s="347">
        <f>"HART"&amp;" - "&amp;A5</f>
        <v/>
      </c>
      <c r="L5" s="347">
        <f>+VLOOKUP(K5,TL[],4,FALSE)</f>
        <v/>
      </c>
    </row>
    <row r="6" ht="15" customHeight="1" s="161">
      <c r="A6" s="290" t="n"/>
      <c r="B6" s="290" t="n"/>
      <c r="C6" s="290" t="n"/>
      <c r="D6" s="290" t="n"/>
      <c r="E6" s="290" t="n"/>
      <c r="F6" s="290" t="n"/>
      <c r="G6" s="220">
        <f>SUM(C6)-SUM(D6)</f>
        <v/>
      </c>
      <c r="H6" s="220">
        <f>SUM(E6)-SUM(F6)</f>
        <v/>
      </c>
      <c r="I6" s="221">
        <f>IF(A6="Total",VLOOKUP(B6,CORRESPONDANCE[#All],2,FALSE),I7)</f>
        <v/>
      </c>
      <c r="J6" s="350">
        <f>LEFT(A6,1)</f>
        <v/>
      </c>
      <c r="K6" s="347">
        <f>"HART"&amp;" - "&amp;A6</f>
        <v/>
      </c>
      <c r="L6" s="347">
        <f>+VLOOKUP(K6,TL[],4,FALSE)</f>
        <v/>
      </c>
    </row>
    <row r="7" ht="15" customHeight="1" s="161">
      <c r="A7" s="290" t="n"/>
      <c r="B7" s="290" t="n"/>
      <c r="C7" s="290" t="n"/>
      <c r="D7" s="290" t="n"/>
      <c r="E7" s="290" t="n"/>
      <c r="F7" s="290" t="n"/>
      <c r="G7" s="220">
        <f>SUM(C7)-SUM(D7)</f>
        <v/>
      </c>
      <c r="H7" s="220">
        <f>SUM(E7)-SUM(F7)</f>
        <v/>
      </c>
      <c r="I7" s="221">
        <f>IF(A7="Total",VLOOKUP(B7,CORRESPONDANCE[#All],2,FALSE),I8)</f>
        <v/>
      </c>
      <c r="J7" s="350">
        <f>LEFT(A7,1)</f>
        <v/>
      </c>
      <c r="K7" s="347">
        <f>"HART"&amp;" - "&amp;A7</f>
        <v/>
      </c>
      <c r="L7" s="347">
        <f>+VLOOKUP(K7,TL[],4,FALSE)</f>
        <v/>
      </c>
    </row>
    <row r="8" ht="15" customHeight="1" s="161">
      <c r="A8" s="290" t="n"/>
      <c r="B8" s="290" t="n"/>
      <c r="C8" s="290" t="n"/>
      <c r="D8" s="290" t="n"/>
      <c r="E8" s="290" t="n"/>
      <c r="F8" s="290" t="n"/>
      <c r="G8" s="220">
        <f>SUM(C8)-SUM(D8)</f>
        <v/>
      </c>
      <c r="H8" s="220">
        <f>SUM(E8)-SUM(F8)</f>
        <v/>
      </c>
      <c r="I8" s="221">
        <f>IF(A8="Total",VLOOKUP(B8,CORRESPONDANCE[#All],2,FALSE),I9)</f>
        <v/>
      </c>
      <c r="J8" s="350">
        <f>LEFT(A8,1)</f>
        <v/>
      </c>
      <c r="K8" s="347">
        <f>"HART"&amp;" - "&amp;A8</f>
        <v/>
      </c>
      <c r="L8" s="347">
        <f>+VLOOKUP(K8,TL[],4,FALSE)</f>
        <v/>
      </c>
    </row>
    <row r="9" ht="15" customHeight="1" s="161">
      <c r="A9" s="290" t="n"/>
      <c r="B9" s="290" t="n"/>
      <c r="C9" s="290" t="n"/>
      <c r="D9" s="290" t="n"/>
      <c r="E9" s="290" t="n"/>
      <c r="F9" s="290" t="n"/>
      <c r="G9" s="220">
        <f>SUM(C9)-SUM(D9)</f>
        <v/>
      </c>
      <c r="H9" s="220">
        <f>SUM(E9)-SUM(F9)</f>
        <v/>
      </c>
      <c r="I9" s="221">
        <f>IF(A9="Total",VLOOKUP(B9,CORRESPONDANCE[#All],2,FALSE),I10)</f>
        <v/>
      </c>
      <c r="J9" s="350">
        <f>LEFT(A9,1)</f>
        <v/>
      </c>
      <c r="K9" s="347">
        <f>"HART"&amp;" - "&amp;A9</f>
        <v/>
      </c>
      <c r="L9" s="347">
        <f>+VLOOKUP(K9,TL[],4,FALSE)</f>
        <v/>
      </c>
    </row>
    <row r="10" ht="15" customHeight="1" s="161">
      <c r="A10" s="290" t="n"/>
      <c r="B10" s="290" t="n"/>
      <c r="C10" s="290" t="n"/>
      <c r="D10" s="290" t="n"/>
      <c r="E10" s="290" t="n"/>
      <c r="F10" s="290" t="n"/>
      <c r="G10" s="220">
        <f>SUM(C10)-SUM(D10)</f>
        <v/>
      </c>
      <c r="H10" s="220">
        <f>SUM(E10)-SUM(F10)</f>
        <v/>
      </c>
      <c r="I10" s="221">
        <f>IF(A10="Total",VLOOKUP(B10,CORRESPONDANCE[#All],2,FALSE),I11)</f>
        <v/>
      </c>
      <c r="J10" s="350">
        <f>LEFT(A10,1)</f>
        <v/>
      </c>
      <c r="K10" s="347">
        <f>"HART"&amp;" - "&amp;A10</f>
        <v/>
      </c>
      <c r="L10" s="347">
        <f>+VLOOKUP(K10,TL[],4,FALSE)</f>
        <v/>
      </c>
    </row>
    <row r="11" ht="15" customHeight="1" s="161">
      <c r="A11" s="290" t="n"/>
      <c r="B11" s="290" t="n"/>
      <c r="C11" s="290" t="n"/>
      <c r="D11" s="290" t="n"/>
      <c r="E11" s="290" t="n"/>
      <c r="F11" s="290" t="n"/>
      <c r="G11" s="220">
        <f>SUM(C11)-SUM(D11)</f>
        <v/>
      </c>
      <c r="H11" s="220">
        <f>SUM(E11)-SUM(F11)</f>
        <v/>
      </c>
      <c r="I11" s="221">
        <f>IF(A11="Total",VLOOKUP(B11,CORRESPONDANCE[#All],2,FALSE),I12)</f>
        <v/>
      </c>
      <c r="J11" s="350">
        <f>LEFT(A11,1)</f>
        <v/>
      </c>
      <c r="K11" s="347">
        <f>"HART"&amp;" - "&amp;A11</f>
        <v/>
      </c>
      <c r="L11" s="347">
        <f>+VLOOKUP(K11,TL[],4,FALSE)</f>
        <v/>
      </c>
    </row>
    <row r="12" ht="15" customHeight="1" s="161">
      <c r="A12" s="290" t="n"/>
      <c r="B12" s="290" t="n"/>
      <c r="C12" s="290" t="n"/>
      <c r="D12" s="290" t="n"/>
      <c r="E12" s="290" t="n"/>
      <c r="F12" s="290" t="n"/>
      <c r="G12" s="220">
        <f>SUM(C12)-SUM(D12)</f>
        <v/>
      </c>
      <c r="H12" s="220">
        <f>SUM(E12)-SUM(F12)</f>
        <v/>
      </c>
      <c r="I12" s="221">
        <f>IF(A12="Total",VLOOKUP(B12,CORRESPONDANCE[#All],2,FALSE),I13)</f>
        <v/>
      </c>
      <c r="J12" s="350">
        <f>LEFT(A12,1)</f>
        <v/>
      </c>
      <c r="K12" s="347">
        <f>"HART"&amp;" - "&amp;A12</f>
        <v/>
      </c>
      <c r="L12" s="347">
        <f>+VLOOKUP(K12,TL[],4,FALSE)</f>
        <v/>
      </c>
    </row>
    <row r="13" ht="15" customHeight="1" s="161">
      <c r="A13" s="290" t="n"/>
      <c r="B13" s="290" t="n"/>
      <c r="C13" s="290" t="n"/>
      <c r="D13" s="290" t="n"/>
      <c r="E13" s="290" t="n"/>
      <c r="F13" s="290" t="n"/>
      <c r="G13" s="220">
        <f>SUM(C13)-SUM(D13)</f>
        <v/>
      </c>
      <c r="H13" s="220">
        <f>SUM(E13)-SUM(F13)</f>
        <v/>
      </c>
      <c r="I13" s="221">
        <f>IF(A13="Total",VLOOKUP(B13,CORRESPONDANCE[#All],2,FALSE),I14)</f>
        <v/>
      </c>
      <c r="J13" s="350">
        <f>LEFT(A13,1)</f>
        <v/>
      </c>
      <c r="K13" s="347">
        <f>"HART"&amp;" - "&amp;A13</f>
        <v/>
      </c>
      <c r="L13" s="347">
        <f>+VLOOKUP(K13,TL[],4,FALSE)</f>
        <v/>
      </c>
    </row>
    <row r="14" ht="15" customHeight="1" s="161">
      <c r="A14" s="290" t="n"/>
      <c r="B14" s="290" t="n"/>
      <c r="C14" s="290" t="n"/>
      <c r="D14" s="290" t="n"/>
      <c r="E14" s="290" t="n"/>
      <c r="F14" s="290" t="n"/>
      <c r="G14" s="220">
        <f>SUM(C14)-SUM(D14)</f>
        <v/>
      </c>
      <c r="H14" s="220">
        <f>SUM(E14)-SUM(F14)</f>
        <v/>
      </c>
      <c r="I14" s="221">
        <f>IF(A14="Total",VLOOKUP(B14,CORRESPONDANCE[#All],2,FALSE),I15)</f>
        <v/>
      </c>
      <c r="J14" s="350">
        <f>LEFT(A14,1)</f>
        <v/>
      </c>
      <c r="K14" s="347">
        <f>"HART"&amp;" - "&amp;A14</f>
        <v/>
      </c>
      <c r="L14" s="347">
        <f>+VLOOKUP(K14,TL[],4,FALSE)</f>
        <v/>
      </c>
    </row>
    <row r="15" ht="15" customHeight="1" s="161">
      <c r="A15" s="290" t="n"/>
      <c r="B15" s="290" t="n"/>
      <c r="C15" s="290" t="n"/>
      <c r="D15" s="290" t="n"/>
      <c r="E15" s="290" t="n"/>
      <c r="F15" s="290" t="n"/>
      <c r="G15" s="220">
        <f>SUM(C15)-SUM(D15)</f>
        <v/>
      </c>
      <c r="H15" s="220">
        <f>SUM(E15)-SUM(F15)</f>
        <v/>
      </c>
      <c r="I15" s="221">
        <f>IF(A15="Total",VLOOKUP(B15,CORRESPONDANCE[#All],2,FALSE),I16)</f>
        <v/>
      </c>
      <c r="J15" s="350">
        <f>LEFT(A15,1)</f>
        <v/>
      </c>
      <c r="K15" s="347">
        <f>"HART"&amp;" - "&amp;A15</f>
        <v/>
      </c>
      <c r="L15" s="347">
        <f>+VLOOKUP(K15,TL[],4,FALSE)</f>
        <v/>
      </c>
    </row>
    <row r="16" ht="15" customHeight="1" s="161">
      <c r="A16" s="290" t="n"/>
      <c r="B16" s="290" t="n"/>
      <c r="C16" s="290" t="n"/>
      <c r="D16" s="290" t="n"/>
      <c r="E16" s="290" t="n"/>
      <c r="F16" s="290" t="n"/>
      <c r="G16" s="220">
        <f>SUM(C16)-SUM(D16)</f>
        <v/>
      </c>
      <c r="H16" s="220">
        <f>SUM(E16)-SUM(F16)</f>
        <v/>
      </c>
      <c r="I16" s="221">
        <f>IF(A16="Total",VLOOKUP(B16,CORRESPONDANCE[#All],2,FALSE),I17)</f>
        <v/>
      </c>
      <c r="J16" s="350">
        <f>LEFT(A16,1)</f>
        <v/>
      </c>
      <c r="K16" s="347">
        <f>"HART"&amp;" - "&amp;A16</f>
        <v/>
      </c>
      <c r="L16" s="347">
        <f>+VLOOKUP(K16,TL[],4,FALSE)</f>
        <v/>
      </c>
    </row>
    <row r="17" ht="15" customHeight="1" s="161">
      <c r="A17" s="290" t="n"/>
      <c r="B17" s="290" t="n"/>
      <c r="C17" s="290" t="n"/>
      <c r="D17" s="290" t="n"/>
      <c r="E17" s="290" t="n"/>
      <c r="F17" s="290" t="n"/>
      <c r="G17" s="220">
        <f>SUM(C17)-SUM(D17)</f>
        <v/>
      </c>
      <c r="H17" s="220">
        <f>SUM(E17)-SUM(F17)</f>
        <v/>
      </c>
      <c r="I17" s="221">
        <f>IF(A17="Total",VLOOKUP(B17,CORRESPONDANCE[#All],2,FALSE),I18)</f>
        <v/>
      </c>
      <c r="J17" s="350">
        <f>LEFT(A17,1)</f>
        <v/>
      </c>
      <c r="K17" s="347">
        <f>"HART"&amp;" - "&amp;A17</f>
        <v/>
      </c>
      <c r="L17" s="347">
        <f>+VLOOKUP(K17,TL[],4,FALSE)</f>
        <v/>
      </c>
    </row>
    <row r="18" ht="15" customHeight="1" s="161">
      <c r="A18" s="290" t="n"/>
      <c r="B18" s="290" t="n"/>
      <c r="C18" s="290" t="n"/>
      <c r="D18" s="290" t="n"/>
      <c r="E18" s="290" t="n"/>
      <c r="F18" s="290" t="n"/>
      <c r="G18" s="220">
        <f>SUM(C18)-SUM(D18)</f>
        <v/>
      </c>
      <c r="H18" s="220">
        <f>SUM(E18)-SUM(F18)</f>
        <v/>
      </c>
      <c r="I18" s="221">
        <f>IF(A18="Total",VLOOKUP(B18,CORRESPONDANCE[#All],2,FALSE),I19)</f>
        <v/>
      </c>
      <c r="J18" s="350">
        <f>LEFT(A18,1)</f>
        <v/>
      </c>
      <c r="K18" s="347">
        <f>"HART"&amp;" - "&amp;A18</f>
        <v/>
      </c>
      <c r="L18" s="347">
        <f>+VLOOKUP(K18,TL[],4,FALSE)</f>
        <v/>
      </c>
    </row>
    <row r="19" ht="15" customHeight="1" s="161">
      <c r="A19" s="290" t="n"/>
      <c r="B19" s="290" t="n"/>
      <c r="C19" s="290" t="n"/>
      <c r="D19" s="290" t="n"/>
      <c r="E19" s="290" t="n"/>
      <c r="F19" s="290" t="n"/>
      <c r="G19" s="220">
        <f>SUM(C19)-SUM(D19)</f>
        <v/>
      </c>
      <c r="H19" s="220">
        <f>SUM(E19)-SUM(F19)</f>
        <v/>
      </c>
      <c r="I19" s="221">
        <f>IF(A19="Total",VLOOKUP(B19,CORRESPONDANCE[#All],2,FALSE),I20)</f>
        <v/>
      </c>
      <c r="J19" s="350">
        <f>LEFT(A19,1)</f>
        <v/>
      </c>
      <c r="K19" s="347">
        <f>"HART"&amp;" - "&amp;A19</f>
        <v/>
      </c>
      <c r="L19" s="347">
        <f>+VLOOKUP(K19,TL[],4,FALSE)</f>
        <v/>
      </c>
    </row>
    <row r="20" ht="15" customHeight="1" s="161">
      <c r="A20" s="290" t="n"/>
      <c r="B20" s="290" t="n"/>
      <c r="C20" s="290" t="n"/>
      <c r="D20" s="290" t="n"/>
      <c r="E20" s="290" t="n"/>
      <c r="F20" s="290" t="n"/>
      <c r="G20" s="220">
        <f>SUM(C20)-SUM(D20)</f>
        <v/>
      </c>
      <c r="H20" s="220">
        <f>SUM(E20)-SUM(F20)</f>
        <v/>
      </c>
      <c r="I20" s="221">
        <f>IF(A20="Total",VLOOKUP(B20,CORRESPONDANCE[#All],2,FALSE),I21)</f>
        <v/>
      </c>
      <c r="J20" s="350">
        <f>LEFT(A20,1)</f>
        <v/>
      </c>
      <c r="K20" s="347">
        <f>"HART"&amp;" - "&amp;A20</f>
        <v/>
      </c>
      <c r="L20" s="347">
        <f>+VLOOKUP(K20,TL[],4,FALSE)</f>
        <v/>
      </c>
    </row>
    <row r="21" ht="15" customHeight="1" s="161">
      <c r="A21" s="290" t="n"/>
      <c r="B21" s="290" t="n"/>
      <c r="C21" s="290" t="n"/>
      <c r="D21" s="290" t="n"/>
      <c r="E21" s="290" t="n"/>
      <c r="F21" s="290" t="n"/>
      <c r="G21" s="220">
        <f>SUM(C21)-SUM(D21)</f>
        <v/>
      </c>
      <c r="H21" s="220">
        <f>SUM(E21)-SUM(F21)</f>
        <v/>
      </c>
      <c r="I21" s="221">
        <f>IF(A21="Total",VLOOKUP(B21,CORRESPONDANCE[#All],2,FALSE),I22)</f>
        <v/>
      </c>
      <c r="J21" s="350">
        <f>LEFT(A21,1)</f>
        <v/>
      </c>
      <c r="K21" s="347">
        <f>"HART"&amp;" - "&amp;A21</f>
        <v/>
      </c>
      <c r="L21" s="347">
        <f>+VLOOKUP(K21,TL[],4,FALSE)</f>
        <v/>
      </c>
    </row>
    <row r="22" ht="15" customHeight="1" s="161">
      <c r="A22" s="290" t="n"/>
      <c r="B22" s="290" t="n"/>
      <c r="C22" s="290" t="n"/>
      <c r="D22" s="290" t="n"/>
      <c r="E22" s="290" t="n"/>
      <c r="F22" s="290" t="n"/>
      <c r="G22" s="220">
        <f>SUM(C22)-SUM(D22)</f>
        <v/>
      </c>
      <c r="H22" s="220">
        <f>SUM(E22)-SUM(F22)</f>
        <v/>
      </c>
      <c r="I22" s="221">
        <f>IF(A22="Total",VLOOKUP(B22,CORRESPONDANCE[#All],2,FALSE),I23)</f>
        <v/>
      </c>
      <c r="J22" s="350">
        <f>LEFT(A22,1)</f>
        <v/>
      </c>
      <c r="K22" s="347">
        <f>"HART"&amp;" - "&amp;A22</f>
        <v/>
      </c>
      <c r="L22" s="347">
        <f>+VLOOKUP(K22,TL[],4,FALSE)</f>
        <v/>
      </c>
    </row>
    <row r="23" ht="15" customHeight="1" s="161">
      <c r="A23" s="290" t="n"/>
      <c r="B23" s="290" t="n"/>
      <c r="C23" s="290" t="n"/>
      <c r="D23" s="290" t="n"/>
      <c r="E23" s="290" t="n"/>
      <c r="F23" s="290" t="n"/>
      <c r="G23" s="220">
        <f>SUM(C23)-SUM(D23)</f>
        <v/>
      </c>
      <c r="H23" s="220">
        <f>SUM(E23)-SUM(F23)</f>
        <v/>
      </c>
      <c r="I23" s="221">
        <f>IF(A23="Total",VLOOKUP(B23,CORRESPONDANCE[#All],2,FALSE),I24)</f>
        <v/>
      </c>
      <c r="J23" s="350">
        <f>LEFT(A23,1)</f>
        <v/>
      </c>
      <c r="K23" s="347">
        <f>"HART"&amp;" - "&amp;A23</f>
        <v/>
      </c>
      <c r="L23" s="347">
        <f>+VLOOKUP(K23,TL[],4,FALSE)</f>
        <v/>
      </c>
    </row>
    <row r="24" ht="15" customHeight="1" s="161">
      <c r="A24" s="290" t="n"/>
      <c r="B24" s="290" t="n"/>
      <c r="C24" s="290" t="n"/>
      <c r="D24" s="290" t="n"/>
      <c r="E24" s="290" t="n"/>
      <c r="F24" s="290" t="n"/>
      <c r="G24" s="220">
        <f>SUM(C24)-SUM(D24)</f>
        <v/>
      </c>
      <c r="H24" s="220">
        <f>SUM(E24)-SUM(F24)</f>
        <v/>
      </c>
      <c r="I24" s="221">
        <f>IF(A24="Total",VLOOKUP(B24,CORRESPONDANCE[#All],2,FALSE),I25)</f>
        <v/>
      </c>
      <c r="J24" s="350">
        <f>LEFT(A24,1)</f>
        <v/>
      </c>
      <c r="K24" s="347">
        <f>"HART"&amp;" - "&amp;A24</f>
        <v/>
      </c>
      <c r="L24" s="347">
        <f>+VLOOKUP(K24,TL[],4,FALSE)</f>
        <v/>
      </c>
    </row>
    <row r="25" ht="15" customHeight="1" s="161">
      <c r="A25" s="290" t="n"/>
      <c r="B25" s="290" t="n"/>
      <c r="C25" s="290" t="n"/>
      <c r="D25" s="290" t="n"/>
      <c r="E25" s="290" t="n"/>
      <c r="F25" s="290" t="n"/>
      <c r="G25" s="220">
        <f>SUM(C25)-SUM(D25)</f>
        <v/>
      </c>
      <c r="H25" s="220">
        <f>SUM(E25)-SUM(F25)</f>
        <v/>
      </c>
      <c r="I25" s="221">
        <f>IF(A25="Total",VLOOKUP(B25,CORRESPONDANCE[#All],2,FALSE),I26)</f>
        <v/>
      </c>
      <c r="J25" s="350">
        <f>LEFT(A25,1)</f>
        <v/>
      </c>
      <c r="K25" s="347">
        <f>"HART"&amp;" - "&amp;A25</f>
        <v/>
      </c>
      <c r="L25" s="347">
        <f>+VLOOKUP(K25,TL[],4,FALSE)</f>
        <v/>
      </c>
    </row>
    <row r="26" ht="15" customHeight="1" s="161">
      <c r="A26" s="290" t="n"/>
      <c r="B26" s="290" t="n"/>
      <c r="C26" s="290" t="n"/>
      <c r="D26" s="290" t="n"/>
      <c r="E26" s="290" t="n"/>
      <c r="F26" s="290" t="n"/>
      <c r="G26" s="220">
        <f>SUM(C26)-SUM(D26)</f>
        <v/>
      </c>
      <c r="H26" s="220">
        <f>SUM(E26)-SUM(F26)</f>
        <v/>
      </c>
      <c r="I26" s="221">
        <f>IF(A26="Total",VLOOKUP(B26,CORRESPONDANCE[#All],2,FALSE),I27)</f>
        <v/>
      </c>
      <c r="J26" s="350">
        <f>LEFT(A26,1)</f>
        <v/>
      </c>
      <c r="K26" s="347">
        <f>"HART"&amp;" - "&amp;A26</f>
        <v/>
      </c>
      <c r="L26" s="347">
        <f>+VLOOKUP(K26,TL[],4,FALSE)</f>
        <v/>
      </c>
    </row>
    <row r="27" ht="15" customHeight="1" s="161">
      <c r="A27" s="290" t="n"/>
      <c r="B27" s="290" t="n"/>
      <c r="C27" s="290" t="n"/>
      <c r="D27" s="290" t="n"/>
      <c r="E27" s="290" t="n"/>
      <c r="F27" s="290" t="n"/>
      <c r="G27" s="220">
        <f>SUM(C27)-SUM(D27)</f>
        <v/>
      </c>
      <c r="H27" s="220">
        <f>SUM(E27)-SUM(F27)</f>
        <v/>
      </c>
      <c r="I27" s="221">
        <f>IF(A27="Total",VLOOKUP(B27,CORRESPONDANCE[#All],2,FALSE),I28)</f>
        <v/>
      </c>
      <c r="J27" s="350">
        <f>LEFT(A27,1)</f>
        <v/>
      </c>
      <c r="K27" s="347">
        <f>"HART"&amp;" - "&amp;A27</f>
        <v/>
      </c>
      <c r="L27" s="347">
        <f>+VLOOKUP(K27,TL[],4,FALSE)</f>
        <v/>
      </c>
    </row>
    <row r="28" ht="15" customHeight="1" s="161">
      <c r="A28" s="290" t="n"/>
      <c r="B28" s="290" t="n"/>
      <c r="C28" s="290" t="n"/>
      <c r="D28" s="290" t="n"/>
      <c r="E28" s="290" t="n"/>
      <c r="F28" s="290" t="n"/>
      <c r="G28" s="220">
        <f>SUM(C28)-SUM(D28)</f>
        <v/>
      </c>
      <c r="H28" s="220">
        <f>SUM(E28)-SUM(F28)</f>
        <v/>
      </c>
      <c r="I28" s="221">
        <f>IF(A28="Total",VLOOKUP(B28,CORRESPONDANCE[#All],2,FALSE),I29)</f>
        <v/>
      </c>
      <c r="J28" s="350">
        <f>LEFT(A28,1)</f>
        <v/>
      </c>
      <c r="K28" s="347">
        <f>"HART"&amp;" - "&amp;A28</f>
        <v/>
      </c>
      <c r="L28" s="347">
        <f>+VLOOKUP(K28,TL[],4,FALSE)</f>
        <v/>
      </c>
    </row>
    <row r="29" ht="15" customHeight="1" s="161">
      <c r="A29" s="290" t="n"/>
      <c r="B29" s="290" t="n"/>
      <c r="C29" s="290" t="n"/>
      <c r="D29" s="290" t="n"/>
      <c r="E29" s="290" t="n"/>
      <c r="F29" s="290" t="n"/>
      <c r="G29" s="220">
        <f>SUM(C29)-SUM(D29)</f>
        <v/>
      </c>
      <c r="H29" s="220">
        <f>SUM(E29)-SUM(F29)</f>
        <v/>
      </c>
      <c r="I29" s="221">
        <f>IF(A29="Total",VLOOKUP(B29,CORRESPONDANCE[#All],2,FALSE),I30)</f>
        <v/>
      </c>
      <c r="J29" s="350">
        <f>LEFT(A29,1)</f>
        <v/>
      </c>
      <c r="K29" s="347">
        <f>"HART"&amp;" - "&amp;A29</f>
        <v/>
      </c>
      <c r="L29" s="347">
        <f>+VLOOKUP(K29,TL[],4,FALSE)</f>
        <v/>
      </c>
    </row>
    <row r="30" ht="15" customHeight="1" s="161">
      <c r="A30" s="290" t="n"/>
      <c r="B30" s="290" t="n"/>
      <c r="C30" s="290" t="n"/>
      <c r="D30" s="290" t="n"/>
      <c r="E30" s="290" t="n"/>
      <c r="F30" s="290" t="n"/>
      <c r="G30" s="220">
        <f>SUM(C30)-SUM(D30)</f>
        <v/>
      </c>
      <c r="H30" s="220">
        <f>SUM(E30)-SUM(F30)</f>
        <v/>
      </c>
      <c r="I30" s="221">
        <f>IF(A30="Total",VLOOKUP(B30,CORRESPONDANCE[#All],2,FALSE),I31)</f>
        <v/>
      </c>
      <c r="J30" s="350">
        <f>LEFT(A30,1)</f>
        <v/>
      </c>
      <c r="K30" s="347">
        <f>"HART"&amp;" - "&amp;A30</f>
        <v/>
      </c>
      <c r="L30" s="347">
        <f>+VLOOKUP(K30,TL[],4,FALSE)</f>
        <v/>
      </c>
    </row>
    <row r="31" ht="15" customHeight="1" s="161">
      <c r="A31" s="290" t="n"/>
      <c r="B31" s="290" t="n"/>
      <c r="C31" s="290" t="n"/>
      <c r="D31" s="290" t="n"/>
      <c r="E31" s="290" t="n"/>
      <c r="F31" s="290" t="n"/>
      <c r="G31" s="220">
        <f>SUM(C31)-SUM(D31)</f>
        <v/>
      </c>
      <c r="H31" s="220">
        <f>SUM(E31)-SUM(F31)</f>
        <v/>
      </c>
      <c r="I31" s="221">
        <f>IF(A31="Total",VLOOKUP(B31,CORRESPONDANCE[#All],2,FALSE),I32)</f>
        <v/>
      </c>
      <c r="J31" s="350">
        <f>LEFT(A31,1)</f>
        <v/>
      </c>
      <c r="K31" s="347">
        <f>"HART"&amp;" - "&amp;A31</f>
        <v/>
      </c>
      <c r="L31" s="347">
        <f>+VLOOKUP(K31,TL[],4,FALSE)</f>
        <v/>
      </c>
    </row>
    <row r="32" ht="15" customHeight="1" s="161">
      <c r="A32" s="290" t="n"/>
      <c r="B32" s="290" t="n"/>
      <c r="C32" s="290" t="n"/>
      <c r="D32" s="290" t="n"/>
      <c r="E32" s="290" t="n"/>
      <c r="F32" s="290" t="n"/>
      <c r="G32" s="220">
        <f>SUM(C32)-SUM(D32)</f>
        <v/>
      </c>
      <c r="H32" s="220">
        <f>SUM(E32)-SUM(F32)</f>
        <v/>
      </c>
      <c r="I32" s="221">
        <f>IF(A32="Total",VLOOKUP(B32,CORRESPONDANCE[#All],2,FALSE),I33)</f>
        <v/>
      </c>
      <c r="J32" s="350">
        <f>LEFT(A32,1)</f>
        <v/>
      </c>
      <c r="K32" s="347">
        <f>"HART"&amp;" - "&amp;A32</f>
        <v/>
      </c>
      <c r="L32" s="347">
        <f>+VLOOKUP(K32,TL[],4,FALSE)</f>
        <v/>
      </c>
    </row>
    <row r="33" ht="15" customHeight="1" s="161">
      <c r="A33" s="290" t="n"/>
      <c r="B33" s="290" t="n"/>
      <c r="C33" s="290" t="n"/>
      <c r="D33" s="290" t="n"/>
      <c r="E33" s="290" t="n"/>
      <c r="F33" s="290" t="n"/>
      <c r="G33" s="220">
        <f>SUM(C33)-SUM(D33)</f>
        <v/>
      </c>
      <c r="H33" s="220">
        <f>SUM(E33)-SUM(F33)</f>
        <v/>
      </c>
      <c r="I33" s="221">
        <f>IF(A33="Total",VLOOKUP(B33,CORRESPONDANCE[#All],2,FALSE),I34)</f>
        <v/>
      </c>
      <c r="J33" s="350">
        <f>LEFT(A33,1)</f>
        <v/>
      </c>
      <c r="K33" s="347">
        <f>"HART"&amp;" - "&amp;A33</f>
        <v/>
      </c>
      <c r="L33" s="347">
        <f>+VLOOKUP(K33,TL[],4,FALSE)</f>
        <v/>
      </c>
    </row>
    <row r="34" ht="15" customHeight="1" s="161">
      <c r="A34" s="290" t="n"/>
      <c r="B34" s="290" t="n"/>
      <c r="C34" s="290" t="n"/>
      <c r="D34" s="290" t="n"/>
      <c r="E34" s="290" t="n"/>
      <c r="F34" s="290" t="n"/>
      <c r="G34" s="220">
        <f>SUM(C34)-SUM(D34)</f>
        <v/>
      </c>
      <c r="H34" s="220">
        <f>SUM(E34)-SUM(F34)</f>
        <v/>
      </c>
      <c r="I34" s="221">
        <f>IF(A34="Total",VLOOKUP(B34,CORRESPONDANCE[#All],2,FALSE),I35)</f>
        <v/>
      </c>
      <c r="J34" s="350">
        <f>LEFT(A34,1)</f>
        <v/>
      </c>
      <c r="K34" s="347">
        <f>"HART"&amp;" - "&amp;A34</f>
        <v/>
      </c>
      <c r="L34" s="347">
        <f>+VLOOKUP(K34,TL[],4,FALSE)</f>
        <v/>
      </c>
    </row>
    <row r="35" ht="15" customHeight="1" s="161">
      <c r="A35" s="290" t="n"/>
      <c r="B35" s="290" t="n"/>
      <c r="C35" s="290" t="n"/>
      <c r="D35" s="290" t="n"/>
      <c r="E35" s="290" t="n"/>
      <c r="F35" s="290" t="n"/>
      <c r="G35" s="220">
        <f>SUM(C35)-SUM(D35)</f>
        <v/>
      </c>
      <c r="H35" s="220">
        <f>SUM(E35)-SUM(F35)</f>
        <v/>
      </c>
      <c r="I35" s="221">
        <f>IF(A35="Total",VLOOKUP(B35,CORRESPONDANCE[#All],2,FALSE),I36)</f>
        <v/>
      </c>
      <c r="J35" s="350">
        <f>LEFT(A35,1)</f>
        <v/>
      </c>
      <c r="K35" s="347">
        <f>"HART"&amp;" - "&amp;A35</f>
        <v/>
      </c>
      <c r="L35" s="347">
        <f>+VLOOKUP(K35,TL[],4,FALSE)</f>
        <v/>
      </c>
    </row>
    <row r="36" ht="15" customHeight="1" s="161">
      <c r="A36" s="290" t="n"/>
      <c r="B36" s="290" t="n"/>
      <c r="C36" s="290" t="n"/>
      <c r="D36" s="290" t="n"/>
      <c r="E36" s="290" t="n"/>
      <c r="F36" s="290" t="n"/>
      <c r="G36" s="220">
        <f>SUM(C36)-SUM(D36)</f>
        <v/>
      </c>
      <c r="H36" s="220">
        <f>SUM(E36)-SUM(F36)</f>
        <v/>
      </c>
      <c r="I36" s="221">
        <f>IF(A36="Total",VLOOKUP(B36,CORRESPONDANCE[#All],2,FALSE),I37)</f>
        <v/>
      </c>
      <c r="J36" s="350">
        <f>LEFT(A36,1)</f>
        <v/>
      </c>
      <c r="K36" s="347">
        <f>"HART"&amp;" - "&amp;A36</f>
        <v/>
      </c>
      <c r="L36" s="347">
        <f>+VLOOKUP(K36,TL[],4,FALSE)</f>
        <v/>
      </c>
    </row>
    <row r="37" ht="15" customHeight="1" s="161">
      <c r="A37" s="290" t="n"/>
      <c r="B37" s="290" t="n"/>
      <c r="C37" s="290" t="n"/>
      <c r="D37" s="290" t="n"/>
      <c r="E37" s="290" t="n"/>
      <c r="F37" s="290" t="n"/>
      <c r="G37" s="220">
        <f>SUM(C37)-SUM(D37)</f>
        <v/>
      </c>
      <c r="H37" s="220">
        <f>SUM(E37)-SUM(F37)</f>
        <v/>
      </c>
      <c r="I37" s="221">
        <f>IF(A37="Total",VLOOKUP(B37,CORRESPONDANCE[#All],2,FALSE),I38)</f>
        <v/>
      </c>
      <c r="J37" s="350">
        <f>LEFT(A37,1)</f>
        <v/>
      </c>
      <c r="K37" s="347">
        <f>"HART"&amp;" - "&amp;A37</f>
        <v/>
      </c>
      <c r="L37" s="347">
        <f>+VLOOKUP(K37,TL[],4,FALSE)</f>
        <v/>
      </c>
    </row>
    <row r="38" ht="15" customHeight="1" s="161">
      <c r="A38" s="290" t="n"/>
      <c r="B38" s="290" t="n"/>
      <c r="C38" s="290" t="n"/>
      <c r="D38" s="290" t="n"/>
      <c r="E38" s="290" t="n"/>
      <c r="F38" s="290" t="n"/>
      <c r="G38" s="220">
        <f>SUM(C38)-SUM(D38)</f>
        <v/>
      </c>
      <c r="H38" s="220">
        <f>SUM(E38)-SUM(F38)</f>
        <v/>
      </c>
      <c r="I38" s="221">
        <f>IF(A38="Total",VLOOKUP(B38,CORRESPONDANCE[#All],2,FALSE),I39)</f>
        <v/>
      </c>
      <c r="J38" s="350">
        <f>LEFT(A38,1)</f>
        <v/>
      </c>
      <c r="K38" s="347">
        <f>"HART"&amp;" - "&amp;A38</f>
        <v/>
      </c>
      <c r="L38" s="347">
        <f>+VLOOKUP(K38,TL[],4,FALSE)</f>
        <v/>
      </c>
    </row>
    <row r="39" ht="15" customHeight="1" s="161">
      <c r="A39" s="290" t="n"/>
      <c r="B39" s="290" t="n"/>
      <c r="C39" s="290" t="n"/>
      <c r="D39" s="290" t="n"/>
      <c r="E39" s="290" t="n"/>
      <c r="F39" s="290" t="n"/>
      <c r="G39" s="220">
        <f>SUM(C39)-SUM(D39)</f>
        <v/>
      </c>
      <c r="H39" s="220">
        <f>SUM(E39)-SUM(F39)</f>
        <v/>
      </c>
      <c r="I39" s="221">
        <f>IF(A39="Total",VLOOKUP(B39,CORRESPONDANCE[#All],2,FALSE),I40)</f>
        <v/>
      </c>
      <c r="J39" s="350">
        <f>LEFT(A39,1)</f>
        <v/>
      </c>
      <c r="K39" s="347">
        <f>"HART"&amp;" - "&amp;A39</f>
        <v/>
      </c>
      <c r="L39" s="347">
        <f>+VLOOKUP(K39,TL[],4,FALSE)</f>
        <v/>
      </c>
    </row>
    <row r="40" ht="15" customHeight="1" s="161">
      <c r="A40" s="290" t="n"/>
      <c r="B40" s="290" t="n"/>
      <c r="C40" s="290" t="n"/>
      <c r="D40" s="290" t="n"/>
      <c r="E40" s="290" t="n"/>
      <c r="F40" s="290" t="n"/>
      <c r="G40" s="220">
        <f>SUM(C40)-SUM(D40)</f>
        <v/>
      </c>
      <c r="H40" s="220">
        <f>SUM(E40)-SUM(F40)</f>
        <v/>
      </c>
      <c r="I40" s="221">
        <f>IF(A40="Total",VLOOKUP(B40,CORRESPONDANCE[#All],2,FALSE),I41)</f>
        <v/>
      </c>
      <c r="J40" s="350">
        <f>LEFT(A40,1)</f>
        <v/>
      </c>
      <c r="K40" s="347">
        <f>"HART"&amp;" - "&amp;A40</f>
        <v/>
      </c>
      <c r="L40" s="347">
        <f>+VLOOKUP(K40,TL[],4,FALSE)</f>
        <v/>
      </c>
    </row>
    <row r="41" ht="15" customHeight="1" s="161">
      <c r="A41" s="290" t="n"/>
      <c r="B41" s="290" t="n"/>
      <c r="C41" s="290" t="n"/>
      <c r="D41" s="290" t="n"/>
      <c r="E41" s="290" t="n"/>
      <c r="F41" s="290" t="n"/>
      <c r="G41" s="220">
        <f>SUM(C41)-SUM(D41)</f>
        <v/>
      </c>
      <c r="H41" s="220">
        <f>SUM(E41)-SUM(F41)</f>
        <v/>
      </c>
      <c r="I41" s="221">
        <f>IF(A41="Total",VLOOKUP(B41,CORRESPONDANCE[#All],2,FALSE),I42)</f>
        <v/>
      </c>
      <c r="J41" s="350">
        <f>LEFT(A41,1)</f>
        <v/>
      </c>
      <c r="K41" s="347">
        <f>"HART"&amp;" - "&amp;A41</f>
        <v/>
      </c>
      <c r="L41" s="347">
        <f>+VLOOKUP(K41,TL[],4,FALSE)</f>
        <v/>
      </c>
    </row>
    <row r="42" ht="15" customHeight="1" s="161">
      <c r="A42" s="290" t="n"/>
      <c r="B42" s="290" t="n"/>
      <c r="C42" s="290" t="n"/>
      <c r="D42" s="290" t="n"/>
      <c r="E42" s="290" t="n"/>
      <c r="F42" s="290" t="n"/>
      <c r="G42" s="220">
        <f>SUM(C42)-SUM(D42)</f>
        <v/>
      </c>
      <c r="H42" s="220">
        <f>SUM(E42)-SUM(F42)</f>
        <v/>
      </c>
      <c r="I42" s="221">
        <f>IF(A42="Total",VLOOKUP(B42,CORRESPONDANCE[#All],2,FALSE),I43)</f>
        <v/>
      </c>
      <c r="J42" s="350">
        <f>LEFT(A42,1)</f>
        <v/>
      </c>
      <c r="K42" s="347">
        <f>"HART"&amp;" - "&amp;A42</f>
        <v/>
      </c>
      <c r="L42" s="347">
        <f>+VLOOKUP(K42,TL[],4,FALSE)</f>
        <v/>
      </c>
    </row>
    <row r="43" ht="15" customHeight="1" s="161">
      <c r="A43" s="290" t="n"/>
      <c r="B43" s="290" t="n"/>
      <c r="C43" s="290" t="n"/>
      <c r="D43" s="290" t="n"/>
      <c r="E43" s="290" t="n"/>
      <c r="F43" s="290" t="n"/>
      <c r="G43" s="220">
        <f>SUM(C43)-SUM(D43)</f>
        <v/>
      </c>
      <c r="H43" s="220">
        <f>SUM(E43)-SUM(F43)</f>
        <v/>
      </c>
      <c r="I43" s="221">
        <f>IF(A43="Total",VLOOKUP(B43,CORRESPONDANCE[#All],2,FALSE),I44)</f>
        <v/>
      </c>
      <c r="J43" s="350">
        <f>LEFT(A43,1)</f>
        <v/>
      </c>
      <c r="K43" s="347">
        <f>"HART"&amp;" - "&amp;A43</f>
        <v/>
      </c>
      <c r="L43" s="347">
        <f>+VLOOKUP(K43,TL[],4,FALSE)</f>
        <v/>
      </c>
    </row>
    <row r="44" ht="15" customHeight="1" s="161">
      <c r="A44" s="290" t="n"/>
      <c r="B44" s="290" t="n"/>
      <c r="C44" s="290" t="n"/>
      <c r="D44" s="290" t="n"/>
      <c r="E44" s="290" t="n"/>
      <c r="F44" s="290" t="n"/>
      <c r="G44" s="220">
        <f>SUM(C44)-SUM(D44)</f>
        <v/>
      </c>
      <c r="H44" s="220">
        <f>SUM(E44)-SUM(F44)</f>
        <v/>
      </c>
      <c r="I44" s="221">
        <f>IF(A44="Total",VLOOKUP(B44,CORRESPONDANCE[#All],2,FALSE),I45)</f>
        <v/>
      </c>
      <c r="J44" s="350">
        <f>LEFT(A44,1)</f>
        <v/>
      </c>
      <c r="K44" s="347">
        <f>"HART"&amp;" - "&amp;A44</f>
        <v/>
      </c>
      <c r="L44" s="347">
        <f>+VLOOKUP(K44,TL[],4,FALSE)</f>
        <v/>
      </c>
    </row>
    <row r="45" ht="15" customHeight="1" s="161">
      <c r="A45" s="290" t="n"/>
      <c r="B45" s="290" t="n"/>
      <c r="C45" s="290" t="n"/>
      <c r="D45" s="290" t="n"/>
      <c r="E45" s="290" t="n"/>
      <c r="F45" s="290" t="n"/>
      <c r="G45" s="220">
        <f>SUM(C45)-SUM(D45)</f>
        <v/>
      </c>
      <c r="H45" s="220">
        <f>SUM(E45)-SUM(F45)</f>
        <v/>
      </c>
      <c r="I45" s="221">
        <f>IF(A45="Total",VLOOKUP(B45,CORRESPONDANCE[#All],2,FALSE),I46)</f>
        <v/>
      </c>
      <c r="J45" s="350">
        <f>LEFT(A45,1)</f>
        <v/>
      </c>
      <c r="K45" s="347">
        <f>"HART"&amp;" - "&amp;A45</f>
        <v/>
      </c>
      <c r="L45" s="347">
        <f>+VLOOKUP(K45,TL[],4,FALSE)</f>
        <v/>
      </c>
    </row>
    <row r="46" ht="15" customHeight="1" s="161">
      <c r="A46" s="290" t="n"/>
      <c r="B46" s="290" t="n"/>
      <c r="C46" s="290" t="n"/>
      <c r="D46" s="290" t="n"/>
      <c r="E46" s="290" t="n"/>
      <c r="F46" s="290" t="n"/>
      <c r="G46" s="220">
        <f>SUM(C46)-SUM(D46)</f>
        <v/>
      </c>
      <c r="H46" s="220">
        <f>SUM(E46)-SUM(F46)</f>
        <v/>
      </c>
      <c r="I46" s="221">
        <f>IF(A46="Total",VLOOKUP(B46,CORRESPONDANCE[#All],2,FALSE),I47)</f>
        <v/>
      </c>
      <c r="J46" s="350">
        <f>LEFT(A46,1)</f>
        <v/>
      </c>
      <c r="K46" s="347">
        <f>"HART"&amp;" - "&amp;A46</f>
        <v/>
      </c>
      <c r="L46" s="347">
        <f>+VLOOKUP(K46,TL[],4,FALSE)</f>
        <v/>
      </c>
    </row>
    <row r="47" ht="15" customHeight="1" s="161">
      <c r="A47" s="290" t="n"/>
      <c r="B47" s="290" t="n"/>
      <c r="C47" s="290" t="n"/>
      <c r="D47" s="290" t="n"/>
      <c r="E47" s="290" t="n"/>
      <c r="F47" s="290" t="n"/>
      <c r="G47" s="220">
        <f>SUM(C47)-SUM(D47)</f>
        <v/>
      </c>
      <c r="H47" s="220">
        <f>SUM(E47)-SUM(F47)</f>
        <v/>
      </c>
      <c r="I47" s="221">
        <f>IF(A47="Total",VLOOKUP(B47,CORRESPONDANCE[#All],2,FALSE),I48)</f>
        <v/>
      </c>
      <c r="J47" s="350">
        <f>LEFT(A47,1)</f>
        <v/>
      </c>
      <c r="K47" s="347">
        <f>"HART"&amp;" - "&amp;A47</f>
        <v/>
      </c>
      <c r="L47" s="347">
        <f>+VLOOKUP(K47,TL[],4,FALSE)</f>
        <v/>
      </c>
    </row>
    <row r="48" ht="15" customHeight="1" s="161">
      <c r="A48" s="290" t="n"/>
      <c r="B48" s="290" t="n"/>
      <c r="C48" s="290" t="n"/>
      <c r="D48" s="290" t="n"/>
      <c r="E48" s="290" t="n"/>
      <c r="F48" s="290" t="n"/>
      <c r="G48" s="220">
        <f>SUM(C48)-SUM(D48)</f>
        <v/>
      </c>
      <c r="H48" s="220">
        <f>SUM(E48)-SUM(F48)</f>
        <v/>
      </c>
      <c r="I48" s="221">
        <f>IF(A48="Total",VLOOKUP(B48,CORRESPONDANCE[#All],2,FALSE),I49)</f>
        <v/>
      </c>
      <c r="J48" s="350">
        <f>LEFT(A48,1)</f>
        <v/>
      </c>
      <c r="K48" s="347">
        <f>"HART"&amp;" - "&amp;A48</f>
        <v/>
      </c>
      <c r="L48" s="347">
        <f>+VLOOKUP(K48,TL[],4,FALSE)</f>
        <v/>
      </c>
    </row>
    <row r="49" ht="15" customHeight="1" s="161">
      <c r="A49" s="290" t="n"/>
      <c r="B49" s="290" t="n"/>
      <c r="C49" s="290" t="n"/>
      <c r="D49" s="290" t="n"/>
      <c r="E49" s="290" t="n"/>
      <c r="F49" s="290" t="n"/>
      <c r="G49" s="220">
        <f>SUM(C49)-SUM(D49)</f>
        <v/>
      </c>
      <c r="H49" s="220">
        <f>SUM(E49)-SUM(F49)</f>
        <v/>
      </c>
      <c r="I49" s="221">
        <f>IF(A49="Total",VLOOKUP(B49,CORRESPONDANCE[#All],2,FALSE),I50)</f>
        <v/>
      </c>
      <c r="J49" s="350">
        <f>LEFT(A49,1)</f>
        <v/>
      </c>
      <c r="K49" s="347">
        <f>"HART"&amp;" - "&amp;A49</f>
        <v/>
      </c>
      <c r="L49" s="347">
        <f>+VLOOKUP(K49,TL[],4,FALSE)</f>
        <v/>
      </c>
    </row>
    <row r="50" ht="15" customHeight="1" s="161">
      <c r="A50" s="290" t="n"/>
      <c r="B50" s="290" t="n"/>
      <c r="C50" s="290" t="n"/>
      <c r="D50" s="290" t="n"/>
      <c r="E50" s="290" t="n"/>
      <c r="F50" s="290" t="n"/>
      <c r="G50" s="220">
        <f>SUM(C50)-SUM(D50)</f>
        <v/>
      </c>
      <c r="H50" s="220">
        <f>SUM(E50)-SUM(F50)</f>
        <v/>
      </c>
      <c r="I50" s="221">
        <f>IF(A50="Total",VLOOKUP(B50,CORRESPONDANCE[#All],2,FALSE),I51)</f>
        <v/>
      </c>
      <c r="J50" s="350">
        <f>LEFT(A50,1)</f>
        <v/>
      </c>
      <c r="K50" s="347">
        <f>"HART"&amp;" - "&amp;A50</f>
        <v/>
      </c>
      <c r="L50" s="347">
        <f>+VLOOKUP(K50,TL[],4,FALSE)</f>
        <v/>
      </c>
    </row>
    <row r="51" ht="15" customHeight="1" s="161">
      <c r="A51" s="290" t="n"/>
      <c r="B51" s="290" t="n"/>
      <c r="C51" s="290" t="n"/>
      <c r="D51" s="290" t="n"/>
      <c r="E51" s="290" t="n"/>
      <c r="F51" s="290" t="n"/>
      <c r="G51" s="220">
        <f>SUM(C51)-SUM(D51)</f>
        <v/>
      </c>
      <c r="H51" s="220">
        <f>SUM(E51)-SUM(F51)</f>
        <v/>
      </c>
      <c r="I51" s="221">
        <f>IF(A51="Total",VLOOKUP(B51,CORRESPONDANCE[#All],2,FALSE),I52)</f>
        <v/>
      </c>
      <c r="J51" s="350">
        <f>LEFT(A51,1)</f>
        <v/>
      </c>
      <c r="K51" s="347">
        <f>"HART"&amp;" - "&amp;A51</f>
        <v/>
      </c>
      <c r="L51" s="347">
        <f>+VLOOKUP(K51,TL[],4,FALSE)</f>
        <v/>
      </c>
    </row>
    <row r="52" ht="15" customHeight="1" s="161">
      <c r="A52" s="290" t="n"/>
      <c r="B52" s="290" t="n"/>
      <c r="C52" s="290" t="n"/>
      <c r="D52" s="290" t="n"/>
      <c r="E52" s="290" t="n"/>
      <c r="F52" s="290" t="n"/>
      <c r="G52" s="220">
        <f>SUM(C52)-SUM(D52)</f>
        <v/>
      </c>
      <c r="H52" s="220">
        <f>SUM(E52)-SUM(F52)</f>
        <v/>
      </c>
      <c r="I52" s="221">
        <f>IF(A52="Total",VLOOKUP(B52,CORRESPONDANCE[#All],2,FALSE),I53)</f>
        <v/>
      </c>
      <c r="J52" s="350">
        <f>LEFT(A52,1)</f>
        <v/>
      </c>
      <c r="K52" s="347">
        <f>"HART"&amp;" - "&amp;A52</f>
        <v/>
      </c>
      <c r="L52" s="347">
        <f>+VLOOKUP(K52,TL[],4,FALSE)</f>
        <v/>
      </c>
    </row>
    <row r="53" ht="15" customHeight="1" s="161">
      <c r="A53" s="290" t="n"/>
      <c r="B53" s="290" t="n"/>
      <c r="C53" s="290" t="n"/>
      <c r="D53" s="290" t="n"/>
      <c r="E53" s="290" t="n"/>
      <c r="F53" s="290" t="n"/>
      <c r="G53" s="220">
        <f>SUM(C53)-SUM(D53)</f>
        <v/>
      </c>
      <c r="H53" s="220">
        <f>SUM(E53)-SUM(F53)</f>
        <v/>
      </c>
      <c r="I53" s="221">
        <f>IF(A53="Total",VLOOKUP(B53,CORRESPONDANCE[#All],2,FALSE),I54)</f>
        <v/>
      </c>
      <c r="J53" s="350">
        <f>LEFT(A53,1)</f>
        <v/>
      </c>
      <c r="K53" s="347">
        <f>"HART"&amp;" - "&amp;A53</f>
        <v/>
      </c>
      <c r="L53" s="347">
        <f>+VLOOKUP(K53,TL[],4,FALSE)</f>
        <v/>
      </c>
    </row>
    <row r="54" ht="15" customHeight="1" s="161">
      <c r="A54" s="290" t="n"/>
      <c r="B54" s="290" t="n"/>
      <c r="C54" s="290" t="n"/>
      <c r="D54" s="290" t="n"/>
      <c r="E54" s="290" t="n"/>
      <c r="F54" s="290" t="n"/>
      <c r="G54" s="220">
        <f>SUM(C54)-SUM(D54)</f>
        <v/>
      </c>
      <c r="H54" s="220">
        <f>SUM(E54)-SUM(F54)</f>
        <v/>
      </c>
      <c r="I54" s="221">
        <f>IF(A54="Total",VLOOKUP(B54,CORRESPONDANCE[#All],2,FALSE),I55)</f>
        <v/>
      </c>
      <c r="J54" s="350">
        <f>LEFT(A54,1)</f>
        <v/>
      </c>
      <c r="K54" s="347">
        <f>"HART"&amp;" - "&amp;A54</f>
        <v/>
      </c>
      <c r="L54" s="347">
        <f>+VLOOKUP(K54,TL[],4,FALSE)</f>
        <v/>
      </c>
    </row>
    <row r="55" ht="15" customHeight="1" s="161">
      <c r="A55" s="290" t="n"/>
      <c r="B55" s="290" t="n"/>
      <c r="C55" s="290" t="n"/>
      <c r="D55" s="290" t="n"/>
      <c r="E55" s="290" t="n"/>
      <c r="F55" s="290" t="n"/>
      <c r="G55" s="220">
        <f>SUM(C55)-SUM(D55)</f>
        <v/>
      </c>
      <c r="H55" s="220">
        <f>SUM(E55)-SUM(F55)</f>
        <v/>
      </c>
      <c r="I55" s="221">
        <f>IF(A55="Total",VLOOKUP(B55,CORRESPONDANCE[#All],2,FALSE),I56)</f>
        <v/>
      </c>
      <c r="J55" s="350">
        <f>LEFT(A55,1)</f>
        <v/>
      </c>
      <c r="K55" s="347">
        <f>"HART"&amp;" - "&amp;A55</f>
        <v/>
      </c>
      <c r="L55" s="347">
        <f>+VLOOKUP(K55,TL[],4,FALSE)</f>
        <v/>
      </c>
    </row>
    <row r="56" ht="15" customHeight="1" s="161">
      <c r="A56" s="290" t="n"/>
      <c r="B56" s="290" t="n"/>
      <c r="C56" s="290" t="n"/>
      <c r="D56" s="290" t="n"/>
      <c r="E56" s="290" t="n"/>
      <c r="F56" s="290" t="n"/>
      <c r="G56" s="220">
        <f>SUM(C56)-SUM(D56)</f>
        <v/>
      </c>
      <c r="H56" s="220">
        <f>SUM(E56)-SUM(F56)</f>
        <v/>
      </c>
      <c r="I56" s="221">
        <f>IF(A56="Total",VLOOKUP(B56,CORRESPONDANCE[#All],2,FALSE),I57)</f>
        <v/>
      </c>
      <c r="J56" s="350">
        <f>LEFT(A56,1)</f>
        <v/>
      </c>
      <c r="K56" s="347">
        <f>"HART"&amp;" - "&amp;A56</f>
        <v/>
      </c>
      <c r="L56" s="347">
        <f>+VLOOKUP(K56,TL[],4,FALSE)</f>
        <v/>
      </c>
    </row>
    <row r="57" ht="15" customHeight="1" s="161">
      <c r="A57" s="290" t="n"/>
      <c r="B57" s="290" t="n"/>
      <c r="C57" s="290" t="n"/>
      <c r="D57" s="290" t="n"/>
      <c r="E57" s="290" t="n"/>
      <c r="F57" s="290" t="n"/>
      <c r="G57" s="220">
        <f>SUM(C57)-SUM(D57)</f>
        <v/>
      </c>
      <c r="H57" s="220">
        <f>SUM(E57)-SUM(F57)</f>
        <v/>
      </c>
      <c r="I57" s="221">
        <f>IF(A57="Total",VLOOKUP(B57,CORRESPONDANCE[#All],2,FALSE),I58)</f>
        <v/>
      </c>
      <c r="J57" s="350">
        <f>LEFT(A57,1)</f>
        <v/>
      </c>
      <c r="K57" s="347">
        <f>"HART"&amp;" - "&amp;A57</f>
        <v/>
      </c>
      <c r="L57" s="347">
        <f>+VLOOKUP(K57,TL[],4,FALSE)</f>
        <v/>
      </c>
    </row>
    <row r="58" ht="15" customHeight="1" s="161">
      <c r="A58" s="290" t="n"/>
      <c r="B58" s="290" t="n"/>
      <c r="C58" s="290" t="n"/>
      <c r="D58" s="290" t="n"/>
      <c r="E58" s="290" t="n"/>
      <c r="F58" s="290" t="n"/>
      <c r="G58" s="220">
        <f>SUM(C58)-SUM(D58)</f>
        <v/>
      </c>
      <c r="H58" s="220">
        <f>SUM(E58)-SUM(F58)</f>
        <v/>
      </c>
      <c r="I58" s="221">
        <f>IF(A58="Total",VLOOKUP(B58,CORRESPONDANCE[#All],2,FALSE),I59)</f>
        <v/>
      </c>
      <c r="J58" s="350">
        <f>LEFT(A58,1)</f>
        <v/>
      </c>
      <c r="K58" s="347">
        <f>"HART"&amp;" - "&amp;A58</f>
        <v/>
      </c>
      <c r="L58" s="347">
        <f>+VLOOKUP(K58,TL[],4,FALSE)</f>
        <v/>
      </c>
    </row>
    <row r="59" ht="15" customHeight="1" s="161">
      <c r="A59" s="290" t="n"/>
      <c r="B59" s="290" t="n"/>
      <c r="C59" s="290" t="n"/>
      <c r="D59" s="290" t="n"/>
      <c r="E59" s="290" t="n"/>
      <c r="F59" s="290" t="n"/>
      <c r="G59" s="220">
        <f>SUM(C59)-SUM(D59)</f>
        <v/>
      </c>
      <c r="H59" s="220">
        <f>SUM(E59)-SUM(F59)</f>
        <v/>
      </c>
      <c r="I59" s="221">
        <f>IF(A59="Total",VLOOKUP(B59,CORRESPONDANCE[#All],2,FALSE),I60)</f>
        <v/>
      </c>
      <c r="J59" s="350">
        <f>LEFT(A59,1)</f>
        <v/>
      </c>
      <c r="K59" s="347">
        <f>"HART"&amp;" - "&amp;A59</f>
        <v/>
      </c>
      <c r="L59" s="347">
        <f>+VLOOKUP(K59,TL[],4,FALSE)</f>
        <v/>
      </c>
    </row>
    <row r="60" ht="15" customHeight="1" s="161">
      <c r="A60" s="290" t="n"/>
      <c r="B60" s="290" t="n"/>
      <c r="C60" s="290" t="n"/>
      <c r="D60" s="290" t="n"/>
      <c r="E60" s="290" t="n"/>
      <c r="F60" s="290" t="n"/>
      <c r="G60" s="220">
        <f>SUM(C60)-SUM(D60)</f>
        <v/>
      </c>
      <c r="H60" s="220">
        <f>SUM(E60)-SUM(F60)</f>
        <v/>
      </c>
      <c r="I60" s="221">
        <f>IF(A60="Total",VLOOKUP(B60,CORRESPONDANCE[#All],2,FALSE),I61)</f>
        <v/>
      </c>
      <c r="J60" s="350">
        <f>LEFT(A60,1)</f>
        <v/>
      </c>
      <c r="K60" s="347">
        <f>"HART"&amp;" - "&amp;A60</f>
        <v/>
      </c>
      <c r="L60" s="347">
        <f>+VLOOKUP(K60,TL[],4,FALSE)</f>
        <v/>
      </c>
    </row>
    <row r="61" ht="15" customHeight="1" s="161">
      <c r="A61" s="290" t="n"/>
      <c r="B61" s="290" t="n"/>
      <c r="C61" s="290" t="n"/>
      <c r="D61" s="290" t="n"/>
      <c r="E61" s="290" t="n"/>
      <c r="F61" s="290" t="n"/>
      <c r="G61" s="220">
        <f>SUM(C61)-SUM(D61)</f>
        <v/>
      </c>
      <c r="H61" s="220">
        <f>SUM(E61)-SUM(F61)</f>
        <v/>
      </c>
      <c r="I61" s="221">
        <f>IF(A61="Total",VLOOKUP(B61,CORRESPONDANCE[#All],2,FALSE),I62)</f>
        <v/>
      </c>
      <c r="J61" s="350">
        <f>LEFT(A61,1)</f>
        <v/>
      </c>
      <c r="K61" s="347">
        <f>"HART"&amp;" - "&amp;A61</f>
        <v/>
      </c>
      <c r="L61" s="347">
        <f>+VLOOKUP(K61,TL[],4,FALSE)</f>
        <v/>
      </c>
    </row>
    <row r="62" ht="15" customHeight="1" s="161">
      <c r="A62" s="290" t="n"/>
      <c r="B62" s="290" t="n"/>
      <c r="C62" s="290" t="n"/>
      <c r="D62" s="290" t="n"/>
      <c r="E62" s="290" t="n"/>
      <c r="F62" s="290" t="n"/>
      <c r="G62" s="220">
        <f>SUM(C62)-SUM(D62)</f>
        <v/>
      </c>
      <c r="H62" s="220">
        <f>SUM(E62)-SUM(F62)</f>
        <v/>
      </c>
      <c r="I62" s="221">
        <f>IF(A62="Total",VLOOKUP(B62,CORRESPONDANCE[#All],2,FALSE),I63)</f>
        <v/>
      </c>
      <c r="J62" s="350">
        <f>LEFT(A62,1)</f>
        <v/>
      </c>
      <c r="K62" s="347">
        <f>"HART"&amp;" - "&amp;A62</f>
        <v/>
      </c>
      <c r="L62" s="347">
        <f>+VLOOKUP(K62,TL[],4,FALSE)</f>
        <v/>
      </c>
    </row>
    <row r="63" ht="15" customHeight="1" s="161">
      <c r="A63" s="290" t="n"/>
      <c r="B63" s="290" t="n"/>
      <c r="C63" s="290" t="n"/>
      <c r="D63" s="290" t="n"/>
      <c r="E63" s="290" t="n"/>
      <c r="F63" s="290" t="n"/>
      <c r="G63" s="220">
        <f>SUM(C63)-SUM(D63)</f>
        <v/>
      </c>
      <c r="H63" s="220">
        <f>SUM(E63)-SUM(F63)</f>
        <v/>
      </c>
      <c r="I63" s="221">
        <f>IF(A63="Total",VLOOKUP(B63,CORRESPONDANCE[#All],2,FALSE),I64)</f>
        <v/>
      </c>
      <c r="J63" s="350">
        <f>LEFT(A63,1)</f>
        <v/>
      </c>
      <c r="K63" s="347">
        <f>"HART"&amp;" - "&amp;A63</f>
        <v/>
      </c>
      <c r="L63" s="347">
        <f>+VLOOKUP(K63,TL[],4,FALSE)</f>
        <v/>
      </c>
    </row>
    <row r="64" ht="15" customHeight="1" s="161">
      <c r="A64" s="290" t="n"/>
      <c r="B64" s="290" t="n"/>
      <c r="C64" s="290" t="n"/>
      <c r="D64" s="290" t="n"/>
      <c r="E64" s="290" t="n"/>
      <c r="F64" s="290" t="n"/>
      <c r="G64" s="220">
        <f>SUM(C64)-SUM(D64)</f>
        <v/>
      </c>
      <c r="H64" s="220">
        <f>SUM(E64)-SUM(F64)</f>
        <v/>
      </c>
      <c r="I64" s="221">
        <f>IF(A64="Total",VLOOKUP(B64,CORRESPONDANCE[#All],2,FALSE),I65)</f>
        <v/>
      </c>
      <c r="J64" s="350">
        <f>LEFT(A64,1)</f>
        <v/>
      </c>
      <c r="K64" s="347">
        <f>"HART"&amp;" - "&amp;A64</f>
        <v/>
      </c>
      <c r="L64" s="347">
        <f>+VLOOKUP(K64,TL[],4,FALSE)</f>
        <v/>
      </c>
    </row>
    <row r="65" ht="15" customHeight="1" s="161">
      <c r="A65" s="290" t="n"/>
      <c r="B65" s="290" t="n"/>
      <c r="C65" s="290" t="n"/>
      <c r="D65" s="290" t="n"/>
      <c r="E65" s="290" t="n"/>
      <c r="F65" s="290" t="n"/>
      <c r="G65" s="220">
        <f>SUM(C65)-SUM(D65)</f>
        <v/>
      </c>
      <c r="H65" s="220">
        <f>SUM(E65)-SUM(F65)</f>
        <v/>
      </c>
      <c r="I65" s="221">
        <f>IF(A65="Total",VLOOKUP(B65,CORRESPONDANCE[#All],2,FALSE),I66)</f>
        <v/>
      </c>
      <c r="J65" s="350">
        <f>LEFT(A65,1)</f>
        <v/>
      </c>
      <c r="K65" s="347">
        <f>"HART"&amp;" - "&amp;A65</f>
        <v/>
      </c>
      <c r="L65" s="347">
        <f>+VLOOKUP(K65,TL[],4,FALSE)</f>
        <v/>
      </c>
    </row>
    <row r="66" ht="15" customHeight="1" s="161">
      <c r="A66" s="290" t="n"/>
      <c r="B66" s="290" t="n"/>
      <c r="C66" s="290" t="n"/>
      <c r="D66" s="290" t="n"/>
      <c r="E66" s="290" t="n"/>
      <c r="F66" s="290" t="n"/>
      <c r="G66" s="220">
        <f>SUM(C66)-SUM(D66)</f>
        <v/>
      </c>
      <c r="H66" s="220">
        <f>SUM(E66)-SUM(F66)</f>
        <v/>
      </c>
      <c r="I66" s="221">
        <f>IF(A66="Total",VLOOKUP(B66,CORRESPONDANCE[#All],2,FALSE),I67)</f>
        <v/>
      </c>
      <c r="J66" s="350">
        <f>LEFT(A66,1)</f>
        <v/>
      </c>
      <c r="K66" s="347">
        <f>"HART"&amp;" - "&amp;A66</f>
        <v/>
      </c>
      <c r="L66" s="347">
        <f>+VLOOKUP(K66,TL[],4,FALSE)</f>
        <v/>
      </c>
    </row>
    <row r="67" ht="15" customHeight="1" s="161">
      <c r="A67" s="290" t="n"/>
      <c r="B67" s="290" t="n"/>
      <c r="C67" s="290" t="n"/>
      <c r="D67" s="290" t="n"/>
      <c r="E67" s="290" t="n"/>
      <c r="F67" s="290" t="n"/>
      <c r="G67" s="220">
        <f>SUM(C67)-SUM(D67)</f>
        <v/>
      </c>
      <c r="H67" s="220">
        <f>SUM(E67)-SUM(F67)</f>
        <v/>
      </c>
      <c r="I67" s="221">
        <f>IF(A67="Total",VLOOKUP(B67,CORRESPONDANCE[#All],2,FALSE),I68)</f>
        <v/>
      </c>
      <c r="J67" s="350">
        <f>LEFT(A67,1)</f>
        <v/>
      </c>
      <c r="K67" s="347">
        <f>"HART"&amp;" - "&amp;A67</f>
        <v/>
      </c>
      <c r="L67" s="347">
        <f>+VLOOKUP(K67,TL[],4,FALSE)</f>
        <v/>
      </c>
    </row>
    <row r="68" ht="15" customHeight="1" s="161">
      <c r="A68" s="290" t="n"/>
      <c r="B68" s="290" t="n"/>
      <c r="C68" s="290" t="n"/>
      <c r="D68" s="290" t="n"/>
      <c r="E68" s="290" t="n"/>
      <c r="F68" s="290" t="n"/>
      <c r="G68" s="220">
        <f>SUM(C68)-SUM(D68)</f>
        <v/>
      </c>
      <c r="H68" s="220">
        <f>SUM(E68)-SUM(F68)</f>
        <v/>
      </c>
      <c r="I68" s="221">
        <f>IF(A68="Total",VLOOKUP(B68,CORRESPONDANCE[#All],2,FALSE),I69)</f>
        <v/>
      </c>
      <c r="J68" s="350">
        <f>LEFT(A68,1)</f>
        <v/>
      </c>
      <c r="K68" s="347">
        <f>"HART"&amp;" - "&amp;A68</f>
        <v/>
      </c>
      <c r="L68" s="347">
        <f>+VLOOKUP(K68,TL[],4,FALSE)</f>
        <v/>
      </c>
    </row>
    <row r="69" ht="15" customHeight="1" s="161">
      <c r="A69" s="290" t="n"/>
      <c r="B69" s="290" t="n"/>
      <c r="C69" s="290" t="n"/>
      <c r="D69" s="290" t="n"/>
      <c r="E69" s="290" t="n"/>
      <c r="F69" s="290" t="n"/>
      <c r="G69" s="220">
        <f>SUM(C69)-SUM(D69)</f>
        <v/>
      </c>
      <c r="H69" s="220">
        <f>SUM(E69)-SUM(F69)</f>
        <v/>
      </c>
      <c r="I69" s="221">
        <f>IF(A69="Total",VLOOKUP(B69,CORRESPONDANCE[#All],2,FALSE),I70)</f>
        <v/>
      </c>
      <c r="J69" s="350">
        <f>LEFT(A69,1)</f>
        <v/>
      </c>
      <c r="K69" s="347">
        <f>"HART"&amp;" - "&amp;A69</f>
        <v/>
      </c>
      <c r="L69" s="347">
        <f>+VLOOKUP(K69,TL[],4,FALSE)</f>
        <v/>
      </c>
    </row>
    <row r="70" ht="15" customHeight="1" s="161">
      <c r="A70" s="290" t="n"/>
      <c r="B70" s="290" t="n"/>
      <c r="C70" s="290" t="n"/>
      <c r="D70" s="290" t="n"/>
      <c r="E70" s="290" t="n"/>
      <c r="F70" s="290" t="n"/>
      <c r="G70" s="220">
        <f>SUM(C70)-SUM(D70)</f>
        <v/>
      </c>
      <c r="H70" s="220">
        <f>SUM(E70)-SUM(F70)</f>
        <v/>
      </c>
      <c r="I70" s="221">
        <f>IF(A70="Total",VLOOKUP(B70,CORRESPONDANCE[#All],2,FALSE),I71)</f>
        <v/>
      </c>
      <c r="J70" s="350">
        <f>LEFT(A70,1)</f>
        <v/>
      </c>
      <c r="K70" s="347">
        <f>"HART"&amp;" - "&amp;A70</f>
        <v/>
      </c>
      <c r="L70" s="347">
        <f>+VLOOKUP(K70,TL[],4,FALSE)</f>
        <v/>
      </c>
    </row>
    <row r="71" ht="15" customHeight="1" s="161">
      <c r="A71" s="290" t="n"/>
      <c r="B71" s="290" t="n"/>
      <c r="C71" s="290" t="n"/>
      <c r="D71" s="290" t="n"/>
      <c r="E71" s="290" t="n"/>
      <c r="F71" s="290" t="n"/>
      <c r="G71" s="220">
        <f>SUM(C71)-SUM(D71)</f>
        <v/>
      </c>
      <c r="H71" s="220">
        <f>SUM(E71)-SUM(F71)</f>
        <v/>
      </c>
      <c r="I71" s="221">
        <f>IF(A71="Total",VLOOKUP(B71,CORRESPONDANCE[#All],2,FALSE),I72)</f>
        <v/>
      </c>
      <c r="J71" s="350">
        <f>LEFT(A71,1)</f>
        <v/>
      </c>
      <c r="K71" s="347">
        <f>"HART"&amp;" - "&amp;A71</f>
        <v/>
      </c>
      <c r="L71" s="347">
        <f>+VLOOKUP(K71,TL[],4,FALSE)</f>
        <v/>
      </c>
    </row>
    <row r="72" ht="15" customHeight="1" s="161">
      <c r="A72" s="290" t="n"/>
      <c r="B72" s="290" t="n"/>
      <c r="C72" s="290" t="n"/>
      <c r="D72" s="290" t="n"/>
      <c r="E72" s="290" t="n"/>
      <c r="F72" s="290" t="n"/>
      <c r="G72" s="220">
        <f>SUM(C72)-SUM(D72)</f>
        <v/>
      </c>
      <c r="H72" s="220">
        <f>SUM(E72)-SUM(F72)</f>
        <v/>
      </c>
      <c r="I72" s="221">
        <f>IF(A72="Total",VLOOKUP(B72,CORRESPONDANCE[#All],2,FALSE),I73)</f>
        <v/>
      </c>
      <c r="J72" s="350">
        <f>LEFT(A72,1)</f>
        <v/>
      </c>
      <c r="K72" s="347">
        <f>"HART"&amp;" - "&amp;A72</f>
        <v/>
      </c>
      <c r="L72" s="347">
        <f>+VLOOKUP(K72,TL[],4,FALSE)</f>
        <v/>
      </c>
    </row>
    <row r="73" ht="15" customHeight="1" s="161">
      <c r="A73" s="290" t="n"/>
      <c r="B73" s="290" t="n"/>
      <c r="C73" s="290" t="n"/>
      <c r="D73" s="290" t="n"/>
      <c r="E73" s="290" t="n"/>
      <c r="F73" s="290" t="n"/>
      <c r="G73" s="220">
        <f>SUM(C73)-SUM(D73)</f>
        <v/>
      </c>
      <c r="H73" s="220">
        <f>SUM(E73)-SUM(F73)</f>
        <v/>
      </c>
      <c r="I73" s="221">
        <f>IF(A73="Total",VLOOKUP(B73,CORRESPONDANCE[#All],2,FALSE),I74)</f>
        <v/>
      </c>
      <c r="J73" s="350">
        <f>LEFT(A73,1)</f>
        <v/>
      </c>
      <c r="K73" s="347">
        <f>"HART"&amp;" - "&amp;A73</f>
        <v/>
      </c>
      <c r="L73" s="347">
        <f>+VLOOKUP(K73,TL[],4,FALSE)</f>
        <v/>
      </c>
    </row>
    <row r="74" ht="15" customHeight="1" s="161">
      <c r="A74" s="290" t="n"/>
      <c r="B74" s="290" t="n"/>
      <c r="C74" s="290" t="n"/>
      <c r="D74" s="290" t="n"/>
      <c r="E74" s="290" t="n"/>
      <c r="F74" s="290" t="n"/>
      <c r="G74" s="220">
        <f>SUM(C74)-SUM(D74)</f>
        <v/>
      </c>
      <c r="H74" s="220">
        <f>SUM(E74)-SUM(F74)</f>
        <v/>
      </c>
      <c r="I74" s="221">
        <f>IF(A74="Total",VLOOKUP(B74,CORRESPONDANCE[#All],2,FALSE),I75)</f>
        <v/>
      </c>
      <c r="J74" s="350">
        <f>LEFT(A74,1)</f>
        <v/>
      </c>
      <c r="K74" s="347">
        <f>"HART"&amp;" - "&amp;A74</f>
        <v/>
      </c>
      <c r="L74" s="347">
        <f>+VLOOKUP(K74,TL[],4,FALSE)</f>
        <v/>
      </c>
    </row>
    <row r="75" ht="15" customHeight="1" s="161">
      <c r="A75" s="290" t="n"/>
      <c r="B75" s="290" t="n"/>
      <c r="C75" s="290" t="n"/>
      <c r="D75" s="290" t="n"/>
      <c r="E75" s="290" t="n"/>
      <c r="F75" s="290" t="n"/>
      <c r="G75" s="220">
        <f>SUM(C75)-SUM(D75)</f>
        <v/>
      </c>
      <c r="H75" s="220">
        <f>SUM(E75)-SUM(F75)</f>
        <v/>
      </c>
      <c r="I75" s="221">
        <f>IF(A75="Total",VLOOKUP(B75,CORRESPONDANCE[#All],2,FALSE),I76)</f>
        <v/>
      </c>
      <c r="J75" s="350">
        <f>LEFT(A75,1)</f>
        <v/>
      </c>
      <c r="K75" s="347">
        <f>"HART"&amp;" - "&amp;A75</f>
        <v/>
      </c>
      <c r="L75" s="347">
        <f>+VLOOKUP(K75,TL[],4,FALSE)</f>
        <v/>
      </c>
    </row>
    <row r="76" ht="15" customHeight="1" s="161">
      <c r="A76" s="290" t="n"/>
      <c r="B76" s="290" t="n"/>
      <c r="C76" s="290" t="n"/>
      <c r="D76" s="290" t="n"/>
      <c r="E76" s="290" t="n"/>
      <c r="F76" s="290" t="n"/>
      <c r="G76" s="220">
        <f>SUM(C76)-SUM(D76)</f>
        <v/>
      </c>
      <c r="H76" s="220">
        <f>SUM(E76)-SUM(F76)</f>
        <v/>
      </c>
      <c r="I76" s="221">
        <f>IF(A76="Total",VLOOKUP(B76,CORRESPONDANCE[#All],2,FALSE),I77)</f>
        <v/>
      </c>
      <c r="J76" s="350">
        <f>LEFT(A76,1)</f>
        <v/>
      </c>
      <c r="K76" s="347">
        <f>"HART"&amp;" - "&amp;A76</f>
        <v/>
      </c>
      <c r="L76" s="347">
        <f>+VLOOKUP(K76,TL[],4,FALSE)</f>
        <v/>
      </c>
    </row>
    <row r="77" ht="15" customHeight="1" s="161">
      <c r="A77" s="290" t="n"/>
      <c r="B77" s="290" t="n"/>
      <c r="C77" s="290" t="n"/>
      <c r="D77" s="290" t="n"/>
      <c r="E77" s="290" t="n"/>
      <c r="F77" s="290" t="n"/>
      <c r="G77" s="220">
        <f>SUM(C77)-SUM(D77)</f>
        <v/>
      </c>
      <c r="H77" s="220">
        <f>SUM(E77)-SUM(F77)</f>
        <v/>
      </c>
      <c r="I77" s="221">
        <f>IF(A77="Total",VLOOKUP(B77,CORRESPONDANCE[#All],2,FALSE),I78)</f>
        <v/>
      </c>
      <c r="J77" s="350">
        <f>LEFT(A77,1)</f>
        <v/>
      </c>
      <c r="K77" s="347">
        <f>"HART"&amp;" - "&amp;A77</f>
        <v/>
      </c>
      <c r="L77" s="347">
        <f>+VLOOKUP(K77,TL[],4,FALSE)</f>
        <v/>
      </c>
    </row>
    <row r="78" ht="15" customHeight="1" s="161">
      <c r="A78" s="290" t="n"/>
      <c r="B78" s="290" t="n"/>
      <c r="C78" s="290" t="n"/>
      <c r="D78" s="290" t="n"/>
      <c r="E78" s="290" t="n"/>
      <c r="F78" s="290" t="n"/>
      <c r="G78" s="220">
        <f>SUM(C78)-SUM(D78)</f>
        <v/>
      </c>
      <c r="H78" s="220">
        <f>SUM(E78)-SUM(F78)</f>
        <v/>
      </c>
      <c r="I78" s="221">
        <f>IF(A78="Total",VLOOKUP(B78,CORRESPONDANCE[#All],2,FALSE),I79)</f>
        <v/>
      </c>
      <c r="J78" s="350">
        <f>LEFT(A78,1)</f>
        <v/>
      </c>
      <c r="K78" s="347">
        <f>"HART"&amp;" - "&amp;A78</f>
        <v/>
      </c>
      <c r="L78" s="347">
        <f>+VLOOKUP(K78,TL[],4,FALSE)</f>
        <v/>
      </c>
    </row>
    <row r="79" ht="15" customHeight="1" s="161">
      <c r="A79" s="290" t="n"/>
      <c r="B79" s="290" t="n"/>
      <c r="C79" s="290" t="n"/>
      <c r="D79" s="290" t="n"/>
      <c r="E79" s="290" t="n"/>
      <c r="F79" s="290" t="n"/>
      <c r="G79" s="220">
        <f>SUM(C79)-SUM(D79)</f>
        <v/>
      </c>
      <c r="H79" s="220">
        <f>SUM(E79)-SUM(F79)</f>
        <v/>
      </c>
      <c r="I79" s="221">
        <f>IF(A79="Total",VLOOKUP(B79,CORRESPONDANCE[#All],2,FALSE),I80)</f>
        <v/>
      </c>
      <c r="J79" s="350">
        <f>LEFT(A79,1)</f>
        <v/>
      </c>
      <c r="K79" s="347">
        <f>"HART"&amp;" - "&amp;A79</f>
        <v/>
      </c>
      <c r="L79" s="347">
        <f>+VLOOKUP(K79,TL[],4,FALSE)</f>
        <v/>
      </c>
    </row>
    <row r="80" ht="15" customHeight="1" s="161">
      <c r="A80" s="290" t="n"/>
      <c r="B80" s="290" t="n"/>
      <c r="C80" s="290" t="n"/>
      <c r="D80" s="290" t="n"/>
      <c r="E80" s="290" t="n"/>
      <c r="F80" s="290" t="n"/>
      <c r="G80" s="220">
        <f>SUM(C80)-SUM(D80)</f>
        <v/>
      </c>
      <c r="H80" s="220">
        <f>SUM(E80)-SUM(F80)</f>
        <v/>
      </c>
      <c r="I80" s="221">
        <f>IF(A80="Total",VLOOKUP(B80,CORRESPONDANCE[#All],2,FALSE),I81)</f>
        <v/>
      </c>
      <c r="J80" s="350">
        <f>LEFT(A80,1)</f>
        <v/>
      </c>
      <c r="K80" s="347">
        <f>"HART"&amp;" - "&amp;A80</f>
        <v/>
      </c>
      <c r="L80" s="347">
        <f>+VLOOKUP(K80,TL[],4,FALSE)</f>
        <v/>
      </c>
    </row>
    <row r="81" ht="15" customHeight="1" s="161">
      <c r="A81" s="290" t="n"/>
      <c r="B81" s="290" t="n"/>
      <c r="C81" s="290" t="n"/>
      <c r="D81" s="290" t="n"/>
      <c r="E81" s="290" t="n"/>
      <c r="F81" s="290" t="n"/>
      <c r="G81" s="220">
        <f>SUM(C81)-SUM(D81)</f>
        <v/>
      </c>
      <c r="H81" s="220">
        <f>SUM(E81)-SUM(F81)</f>
        <v/>
      </c>
      <c r="I81" s="221">
        <f>IF(A81="Total",VLOOKUP(B81,CORRESPONDANCE[#All],2,FALSE),I82)</f>
        <v/>
      </c>
      <c r="J81" s="350">
        <f>LEFT(A81,1)</f>
        <v/>
      </c>
      <c r="K81" s="347">
        <f>"HART"&amp;" - "&amp;A81</f>
        <v/>
      </c>
      <c r="L81" s="347">
        <f>+VLOOKUP(K81,TL[],4,FALSE)</f>
        <v/>
      </c>
    </row>
    <row r="82" ht="15" customHeight="1" s="161">
      <c r="A82" s="290" t="n"/>
      <c r="B82" s="290" t="n"/>
      <c r="C82" s="290" t="n"/>
      <c r="D82" s="290" t="n"/>
      <c r="E82" s="290" t="n"/>
      <c r="F82" s="290" t="n"/>
      <c r="G82" s="220">
        <f>SUM(C82)-SUM(D82)</f>
        <v/>
      </c>
      <c r="H82" s="220">
        <f>SUM(E82)-SUM(F82)</f>
        <v/>
      </c>
      <c r="I82" s="221">
        <f>IF(A82="Total",VLOOKUP(B82,CORRESPONDANCE[#All],2,FALSE),I83)</f>
        <v/>
      </c>
      <c r="J82" s="350">
        <f>LEFT(A82,1)</f>
        <v/>
      </c>
      <c r="K82" s="347">
        <f>"HART"&amp;" - "&amp;A82</f>
        <v/>
      </c>
      <c r="L82" s="347">
        <f>+VLOOKUP(K82,TL[],4,FALSE)</f>
        <v/>
      </c>
    </row>
    <row r="83" ht="15" customHeight="1" s="161">
      <c r="A83" s="290" t="n"/>
      <c r="B83" s="290" t="n"/>
      <c r="C83" s="290" t="n"/>
      <c r="D83" s="290" t="n"/>
      <c r="E83" s="290" t="n"/>
      <c r="F83" s="290" t="n"/>
      <c r="G83" s="220">
        <f>SUM(C83)-SUM(D83)</f>
        <v/>
      </c>
      <c r="H83" s="220">
        <f>SUM(E83)-SUM(F83)</f>
        <v/>
      </c>
      <c r="I83" s="221">
        <f>IF(A83="Total",VLOOKUP(B83,CORRESPONDANCE[#All],2,FALSE),I84)</f>
        <v/>
      </c>
      <c r="J83" s="350">
        <f>LEFT(A83,1)</f>
        <v/>
      </c>
      <c r="K83" s="347">
        <f>"HART"&amp;" - "&amp;A83</f>
        <v/>
      </c>
      <c r="L83" s="347">
        <f>+VLOOKUP(K83,TL[],4,FALSE)</f>
        <v/>
      </c>
    </row>
    <row r="84" ht="15" customHeight="1" s="161">
      <c r="A84" s="290" t="n"/>
      <c r="B84" s="290" t="n"/>
      <c r="C84" s="290" t="n"/>
      <c r="D84" s="290" t="n"/>
      <c r="E84" s="290" t="n"/>
      <c r="F84" s="290" t="n"/>
      <c r="G84" s="220">
        <f>SUM(C84)-SUM(D84)</f>
        <v/>
      </c>
      <c r="H84" s="220">
        <f>SUM(E84)-SUM(F84)</f>
        <v/>
      </c>
      <c r="I84" s="221">
        <f>IF(A84="Total",VLOOKUP(B84,CORRESPONDANCE[#All],2,FALSE),I85)</f>
        <v/>
      </c>
      <c r="J84" s="350">
        <f>LEFT(A84,1)</f>
        <v/>
      </c>
      <c r="K84" s="347">
        <f>"HART"&amp;" - "&amp;A84</f>
        <v/>
      </c>
      <c r="L84" s="347">
        <f>+VLOOKUP(K84,TL[],4,FALSE)</f>
        <v/>
      </c>
    </row>
    <row r="85" ht="15" customHeight="1" s="161">
      <c r="A85" s="290" t="n"/>
      <c r="B85" s="290" t="n"/>
      <c r="C85" s="290" t="n"/>
      <c r="D85" s="290" t="n"/>
      <c r="E85" s="290" t="n"/>
      <c r="F85" s="290" t="n"/>
      <c r="G85" s="220">
        <f>SUM(C85)-SUM(D85)</f>
        <v/>
      </c>
      <c r="H85" s="220">
        <f>SUM(E85)-SUM(F85)</f>
        <v/>
      </c>
      <c r="I85" s="221">
        <f>IF(A85="Total",VLOOKUP(B85,CORRESPONDANCE[#All],2,FALSE),I86)</f>
        <v/>
      </c>
      <c r="J85" s="350">
        <f>LEFT(A85,1)</f>
        <v/>
      </c>
      <c r="K85" s="347">
        <f>"HART"&amp;" - "&amp;A85</f>
        <v/>
      </c>
      <c r="L85" s="347">
        <f>+VLOOKUP(K85,TL[],4,FALSE)</f>
        <v/>
      </c>
    </row>
    <row r="86" ht="15" customHeight="1" s="161">
      <c r="A86" s="290" t="n"/>
      <c r="B86" s="290" t="n"/>
      <c r="C86" s="290" t="n"/>
      <c r="D86" s="290" t="n"/>
      <c r="E86" s="290" t="n"/>
      <c r="F86" s="290" t="n"/>
      <c r="G86" s="220">
        <f>SUM(C86)-SUM(D86)</f>
        <v/>
      </c>
      <c r="H86" s="220">
        <f>SUM(E86)-SUM(F86)</f>
        <v/>
      </c>
      <c r="I86" s="221">
        <f>IF(A86="Total",VLOOKUP(B86,CORRESPONDANCE[#All],2,FALSE),I87)</f>
        <v/>
      </c>
      <c r="J86" s="350">
        <f>LEFT(A86,1)</f>
        <v/>
      </c>
      <c r="K86" s="347">
        <f>"HART"&amp;" - "&amp;A86</f>
        <v/>
      </c>
      <c r="L86" s="347">
        <f>+VLOOKUP(K86,TL[],4,FALSE)</f>
        <v/>
      </c>
    </row>
    <row r="87" ht="15" customHeight="1" s="161">
      <c r="A87" s="290" t="n"/>
      <c r="B87" s="290" t="n"/>
      <c r="C87" s="290" t="n"/>
      <c r="D87" s="290" t="n"/>
      <c r="E87" s="290" t="n"/>
      <c r="F87" s="290" t="n"/>
      <c r="G87" s="220">
        <f>SUM(C87)-SUM(D87)</f>
        <v/>
      </c>
      <c r="H87" s="220">
        <f>SUM(E87)-SUM(F87)</f>
        <v/>
      </c>
      <c r="I87" s="221">
        <f>IF(A87="Total",VLOOKUP(B87,CORRESPONDANCE[#All],2,FALSE),I88)</f>
        <v/>
      </c>
      <c r="J87" s="350">
        <f>LEFT(A87,1)</f>
        <v/>
      </c>
      <c r="K87" s="347">
        <f>"HART"&amp;" - "&amp;A87</f>
        <v/>
      </c>
      <c r="L87" s="347">
        <f>+VLOOKUP(K87,TL[],4,FALSE)</f>
        <v/>
      </c>
    </row>
    <row r="88" ht="15" customHeight="1" s="161">
      <c r="A88" s="290" t="n"/>
      <c r="B88" s="290" t="n"/>
      <c r="C88" s="290" t="n"/>
      <c r="D88" s="290" t="n"/>
      <c r="E88" s="290" t="n"/>
      <c r="F88" s="290" t="n"/>
      <c r="G88" s="220">
        <f>SUM(C88)-SUM(D88)</f>
        <v/>
      </c>
      <c r="H88" s="220">
        <f>SUM(E88)-SUM(F88)</f>
        <v/>
      </c>
      <c r="I88" s="221">
        <f>IF(A88="Total",VLOOKUP(B88,CORRESPONDANCE[#All],2,FALSE),I89)</f>
        <v/>
      </c>
      <c r="J88" s="350">
        <f>LEFT(A88,1)</f>
        <v/>
      </c>
      <c r="K88" s="347">
        <f>"HART"&amp;" - "&amp;A88</f>
        <v/>
      </c>
      <c r="L88" s="347">
        <f>+VLOOKUP(K88,TL[],4,FALSE)</f>
        <v/>
      </c>
    </row>
    <row r="89" ht="15" customHeight="1" s="161">
      <c r="A89" s="290" t="n"/>
      <c r="B89" s="290" t="n"/>
      <c r="C89" s="290" t="n"/>
      <c r="D89" s="290" t="n"/>
      <c r="E89" s="290" t="n"/>
      <c r="F89" s="290" t="n"/>
      <c r="G89" s="220">
        <f>SUM(C89)-SUM(D89)</f>
        <v/>
      </c>
      <c r="H89" s="220">
        <f>SUM(E89)-SUM(F89)</f>
        <v/>
      </c>
      <c r="I89" s="221">
        <f>IF(A89="Total",VLOOKUP(B89,CORRESPONDANCE[#All],2,FALSE),I90)</f>
        <v/>
      </c>
      <c r="J89" s="350">
        <f>LEFT(A89,1)</f>
        <v/>
      </c>
      <c r="K89" s="347">
        <f>"HART"&amp;" - "&amp;A89</f>
        <v/>
      </c>
      <c r="L89" s="347">
        <f>+VLOOKUP(K89,TL[],4,FALSE)</f>
        <v/>
      </c>
    </row>
    <row r="90" ht="15" customHeight="1" s="161">
      <c r="A90" s="290" t="n"/>
      <c r="B90" s="290" t="n"/>
      <c r="C90" s="290" t="n"/>
      <c r="D90" s="290" t="n"/>
      <c r="E90" s="290" t="n"/>
      <c r="F90" s="290" t="n"/>
      <c r="G90" s="220">
        <f>SUM(C90)-SUM(D90)</f>
        <v/>
      </c>
      <c r="H90" s="220">
        <f>SUM(E90)-SUM(F90)</f>
        <v/>
      </c>
      <c r="I90" s="221">
        <f>IF(A90="Total",VLOOKUP(B90,CORRESPONDANCE[#All],2,FALSE),I91)</f>
        <v/>
      </c>
      <c r="J90" s="350">
        <f>LEFT(A90,1)</f>
        <v/>
      </c>
      <c r="K90" s="347">
        <f>"HART"&amp;" - "&amp;A90</f>
        <v/>
      </c>
      <c r="L90" s="347">
        <f>+VLOOKUP(K90,TL[],4,FALSE)</f>
        <v/>
      </c>
    </row>
    <row r="91" ht="15" customHeight="1" s="161">
      <c r="A91" s="290" t="n"/>
      <c r="B91" s="290" t="n"/>
      <c r="C91" s="290" t="n"/>
      <c r="D91" s="290" t="n"/>
      <c r="E91" s="290" t="n"/>
      <c r="F91" s="290" t="n"/>
      <c r="G91" s="220">
        <f>SUM(C91)-SUM(D91)</f>
        <v/>
      </c>
      <c r="H91" s="220">
        <f>SUM(E91)-SUM(F91)</f>
        <v/>
      </c>
      <c r="I91" s="221">
        <f>IF(A91="Total",VLOOKUP(B91,CORRESPONDANCE[#All],2,FALSE),I92)</f>
        <v/>
      </c>
      <c r="J91" s="350">
        <f>LEFT(A91,1)</f>
        <v/>
      </c>
      <c r="K91" s="347">
        <f>"HART"&amp;" - "&amp;A91</f>
        <v/>
      </c>
      <c r="L91" s="347">
        <f>+VLOOKUP(K91,TL[],4,FALSE)</f>
        <v/>
      </c>
    </row>
    <row r="92" ht="15" customHeight="1" s="161">
      <c r="A92" s="290" t="n"/>
      <c r="B92" s="290" t="n"/>
      <c r="C92" s="290" t="n"/>
      <c r="D92" s="290" t="n"/>
      <c r="E92" s="290" t="n"/>
      <c r="F92" s="290" t="n"/>
      <c r="G92" s="220">
        <f>SUM(C92)-SUM(D92)</f>
        <v/>
      </c>
      <c r="H92" s="220">
        <f>SUM(E92)-SUM(F92)</f>
        <v/>
      </c>
      <c r="I92" s="221">
        <f>IF(A92="Total",VLOOKUP(B92,CORRESPONDANCE[#All],2,FALSE),I93)</f>
        <v/>
      </c>
      <c r="J92" s="350">
        <f>LEFT(A92,1)</f>
        <v/>
      </c>
      <c r="K92" s="347">
        <f>"HART"&amp;" - "&amp;A92</f>
        <v/>
      </c>
      <c r="L92" s="347">
        <f>+VLOOKUP(K92,TL[],4,FALSE)</f>
        <v/>
      </c>
    </row>
    <row r="93" ht="15" customHeight="1" s="161">
      <c r="A93" s="290" t="n"/>
      <c r="B93" s="290" t="n"/>
      <c r="C93" s="290" t="n"/>
      <c r="D93" s="290" t="n"/>
      <c r="E93" s="290" t="n"/>
      <c r="F93" s="290" t="n"/>
      <c r="G93" s="220">
        <f>SUM(C93)-SUM(D93)</f>
        <v/>
      </c>
      <c r="H93" s="220">
        <f>SUM(E93)-SUM(F93)</f>
        <v/>
      </c>
      <c r="I93" s="221">
        <f>IF(A93="Total",VLOOKUP(B93,CORRESPONDANCE[#All],2,FALSE),I94)</f>
        <v/>
      </c>
      <c r="J93" s="350">
        <f>LEFT(A93,1)</f>
        <v/>
      </c>
      <c r="K93" s="347">
        <f>"HART"&amp;" - "&amp;A93</f>
        <v/>
      </c>
      <c r="L93" s="347">
        <f>+VLOOKUP(K93,TL[],4,FALSE)</f>
        <v/>
      </c>
    </row>
    <row r="94" ht="15" customHeight="1" s="161">
      <c r="A94" s="290" t="n"/>
      <c r="B94" s="290" t="n"/>
      <c r="C94" s="290" t="n"/>
      <c r="D94" s="290" t="n"/>
      <c r="E94" s="290" t="n"/>
      <c r="F94" s="290" t="n"/>
      <c r="G94" s="220">
        <f>SUM(C94)-SUM(D94)</f>
        <v/>
      </c>
      <c r="H94" s="220">
        <f>SUM(E94)-SUM(F94)</f>
        <v/>
      </c>
      <c r="I94" s="221">
        <f>IF(A94="Total",VLOOKUP(B94,CORRESPONDANCE[#All],2,FALSE),I95)</f>
        <v/>
      </c>
      <c r="J94" s="350">
        <f>LEFT(A94,1)</f>
        <v/>
      </c>
      <c r="K94" s="347">
        <f>"HART"&amp;" - "&amp;A94</f>
        <v/>
      </c>
      <c r="L94" s="347">
        <f>+VLOOKUP(K94,TL[],4,FALSE)</f>
        <v/>
      </c>
    </row>
    <row r="95" ht="15" customHeight="1" s="161">
      <c r="A95" s="290" t="n"/>
      <c r="B95" s="290" t="n"/>
      <c r="C95" s="290" t="n"/>
      <c r="D95" s="290" t="n"/>
      <c r="E95" s="290" t="n"/>
      <c r="F95" s="290" t="n"/>
      <c r="G95" s="220">
        <f>SUM(C95)-SUM(D95)</f>
        <v/>
      </c>
      <c r="H95" s="220">
        <f>SUM(E95)-SUM(F95)</f>
        <v/>
      </c>
      <c r="I95" s="221">
        <f>IF(A95="Total",VLOOKUP(B95,CORRESPONDANCE[#All],2,FALSE),I96)</f>
        <v/>
      </c>
      <c r="J95" s="350">
        <f>LEFT(A95,1)</f>
        <v/>
      </c>
      <c r="K95" s="347">
        <f>"HART"&amp;" - "&amp;A95</f>
        <v/>
      </c>
      <c r="L95" s="347">
        <f>+VLOOKUP(K95,TL[],4,FALSE)</f>
        <v/>
      </c>
    </row>
    <row r="96" ht="15" customHeight="1" s="161">
      <c r="A96" s="290" t="n"/>
      <c r="B96" s="290" t="n"/>
      <c r="C96" s="290" t="n"/>
      <c r="D96" s="290" t="n"/>
      <c r="E96" s="290" t="n"/>
      <c r="F96" s="290" t="n"/>
      <c r="G96" s="220">
        <f>SUM(C96)-SUM(D96)</f>
        <v/>
      </c>
      <c r="H96" s="220">
        <f>SUM(E96)-SUM(F96)</f>
        <v/>
      </c>
      <c r="I96" s="221">
        <f>IF(A96="Total",VLOOKUP(B96,CORRESPONDANCE[#All],2,FALSE),I97)</f>
        <v/>
      </c>
      <c r="J96" s="350">
        <f>LEFT(A96,1)</f>
        <v/>
      </c>
      <c r="K96" s="347">
        <f>"HART"&amp;" - "&amp;A96</f>
        <v/>
      </c>
      <c r="L96" s="347">
        <f>+VLOOKUP(K96,TL[],4,FALSE)</f>
        <v/>
      </c>
    </row>
    <row r="97" ht="15" customHeight="1" s="161">
      <c r="A97" s="290" t="n"/>
      <c r="B97" s="290" t="n"/>
      <c r="C97" s="290" t="n"/>
      <c r="D97" s="290" t="n"/>
      <c r="E97" s="290" t="n"/>
      <c r="F97" s="290" t="n"/>
      <c r="G97" s="220">
        <f>SUM(C97)-SUM(D97)</f>
        <v/>
      </c>
      <c r="H97" s="220">
        <f>SUM(E97)-SUM(F97)</f>
        <v/>
      </c>
      <c r="I97" s="221">
        <f>IF(A97="Total",VLOOKUP(B97,CORRESPONDANCE[#All],2,FALSE),I98)</f>
        <v/>
      </c>
      <c r="J97" s="350">
        <f>LEFT(A97,1)</f>
        <v/>
      </c>
      <c r="K97" s="347">
        <f>"HART"&amp;" - "&amp;A97</f>
        <v/>
      </c>
      <c r="L97" s="347">
        <f>+VLOOKUP(K97,TL[],4,FALSE)</f>
        <v/>
      </c>
    </row>
    <row r="98" ht="15" customHeight="1" s="161">
      <c r="A98" s="290" t="n"/>
      <c r="B98" s="290" t="n"/>
      <c r="C98" s="290" t="n"/>
      <c r="D98" s="290" t="n"/>
      <c r="E98" s="290" t="n"/>
      <c r="F98" s="290" t="n"/>
      <c r="G98" s="220">
        <f>SUM(C98)-SUM(D98)</f>
        <v/>
      </c>
      <c r="H98" s="220">
        <f>SUM(E98)-SUM(F98)</f>
        <v/>
      </c>
      <c r="I98" s="221">
        <f>IF(A98="Total",VLOOKUP(B98,CORRESPONDANCE[#All],2,FALSE),I99)</f>
        <v/>
      </c>
      <c r="J98" s="350">
        <f>LEFT(A98,1)</f>
        <v/>
      </c>
      <c r="K98" s="347">
        <f>"HART"&amp;" - "&amp;A98</f>
        <v/>
      </c>
      <c r="L98" s="347">
        <f>+VLOOKUP(K98,TL[],4,FALSE)</f>
        <v/>
      </c>
    </row>
    <row r="99" ht="15" customHeight="1" s="161">
      <c r="A99" s="290" t="n"/>
      <c r="B99" s="290" t="n"/>
      <c r="C99" s="290" t="n"/>
      <c r="D99" s="290" t="n"/>
      <c r="E99" s="290" t="n"/>
      <c r="F99" s="290" t="n"/>
      <c r="G99" s="220">
        <f>SUM(C99)-SUM(D99)</f>
        <v/>
      </c>
      <c r="H99" s="220">
        <f>SUM(E99)-SUM(F99)</f>
        <v/>
      </c>
      <c r="I99" s="221">
        <f>IF(A99="Total",VLOOKUP(B99,CORRESPONDANCE[#All],2,FALSE),I100)</f>
        <v/>
      </c>
      <c r="J99" s="350">
        <f>LEFT(A99,1)</f>
        <v/>
      </c>
      <c r="K99" s="347">
        <f>"HART"&amp;" - "&amp;A99</f>
        <v/>
      </c>
      <c r="L99" s="347">
        <f>+VLOOKUP(K99,TL[],4,FALSE)</f>
        <v/>
      </c>
    </row>
    <row r="100" ht="15" customHeight="1" s="161">
      <c r="A100" s="290" t="n"/>
      <c r="B100" s="290" t="n"/>
      <c r="C100" s="290" t="n"/>
      <c r="D100" s="290" t="n"/>
      <c r="E100" s="290" t="n"/>
      <c r="F100" s="290" t="n"/>
      <c r="G100" s="220">
        <f>SUM(C100)-SUM(D100)</f>
        <v/>
      </c>
      <c r="H100" s="220">
        <f>SUM(E100)-SUM(F100)</f>
        <v/>
      </c>
      <c r="I100" s="221">
        <f>IF(A100="Total",VLOOKUP(B100,CORRESPONDANCE[#All],2,FALSE),I101)</f>
        <v/>
      </c>
      <c r="J100" s="350">
        <f>LEFT(A100,1)</f>
        <v/>
      </c>
      <c r="K100" s="347">
        <f>"HART"&amp;" - "&amp;A100</f>
        <v/>
      </c>
      <c r="L100" s="347">
        <f>+VLOOKUP(K100,TL[],4,FALSE)</f>
        <v/>
      </c>
    </row>
    <row r="101" ht="15" customHeight="1" s="161">
      <c r="A101" s="290" t="n"/>
      <c r="B101" s="290" t="n"/>
      <c r="C101" s="290" t="n"/>
      <c r="D101" s="290" t="n"/>
      <c r="E101" s="290" t="n"/>
      <c r="F101" s="290" t="n"/>
      <c r="G101" s="220">
        <f>SUM(C101)-SUM(D101)</f>
        <v/>
      </c>
      <c r="H101" s="220">
        <f>SUM(E101)-SUM(F101)</f>
        <v/>
      </c>
      <c r="I101" s="221">
        <f>IF(A101="Total",VLOOKUP(B101,CORRESPONDANCE[#All],2,FALSE),I102)</f>
        <v/>
      </c>
      <c r="J101" s="350">
        <f>LEFT(A101,1)</f>
        <v/>
      </c>
      <c r="K101" s="347">
        <f>"HART"&amp;" - "&amp;A101</f>
        <v/>
      </c>
      <c r="L101" s="347">
        <f>+VLOOKUP(K101,TL[],4,FALSE)</f>
        <v/>
      </c>
    </row>
    <row r="102" ht="15" customHeight="1" s="161">
      <c r="A102" s="290" t="n"/>
      <c r="B102" s="290" t="n"/>
      <c r="C102" s="290" t="n"/>
      <c r="D102" s="290" t="n"/>
      <c r="E102" s="290" t="n"/>
      <c r="F102" s="290" t="n"/>
      <c r="G102" s="220">
        <f>SUM(C102)-SUM(D102)</f>
        <v/>
      </c>
      <c r="H102" s="220">
        <f>SUM(E102)-SUM(F102)</f>
        <v/>
      </c>
      <c r="I102" s="221">
        <f>IF(A102="Total",VLOOKUP(B102,CORRESPONDANCE[#All],2,FALSE),I103)</f>
        <v/>
      </c>
      <c r="J102" s="350">
        <f>LEFT(A102,1)</f>
        <v/>
      </c>
      <c r="K102" s="347">
        <f>"HART"&amp;" - "&amp;A102</f>
        <v/>
      </c>
      <c r="L102" s="347">
        <f>+VLOOKUP(K102,TL[],4,FALSE)</f>
        <v/>
      </c>
    </row>
    <row r="103" ht="15" customHeight="1" s="161">
      <c r="A103" s="290" t="n"/>
      <c r="B103" s="290" t="n"/>
      <c r="C103" s="290" t="n"/>
      <c r="D103" s="290" t="n"/>
      <c r="E103" s="290" t="n"/>
      <c r="F103" s="290" t="n"/>
      <c r="G103" s="220">
        <f>SUM(C103)-SUM(D103)</f>
        <v/>
      </c>
      <c r="H103" s="220">
        <f>SUM(E103)-SUM(F103)</f>
        <v/>
      </c>
      <c r="I103" s="221">
        <f>IF(A103="Total",VLOOKUP(B103,CORRESPONDANCE[#All],2,FALSE),I104)</f>
        <v/>
      </c>
      <c r="J103" s="350">
        <f>LEFT(A103,1)</f>
        <v/>
      </c>
      <c r="K103" s="347">
        <f>"HART"&amp;" - "&amp;A103</f>
        <v/>
      </c>
      <c r="L103" s="347">
        <f>+VLOOKUP(K103,TL[],4,FALSE)</f>
        <v/>
      </c>
    </row>
    <row r="104" ht="15" customHeight="1" s="161">
      <c r="A104" s="290" t="n"/>
      <c r="B104" s="290" t="n"/>
      <c r="C104" s="290" t="n"/>
      <c r="D104" s="290" t="n"/>
      <c r="E104" s="290" t="n"/>
      <c r="F104" s="290" t="n"/>
      <c r="G104" s="220">
        <f>SUM(C104)-SUM(D104)</f>
        <v/>
      </c>
      <c r="H104" s="220">
        <f>SUM(E104)-SUM(F104)</f>
        <v/>
      </c>
      <c r="I104" s="221">
        <f>IF(A104="Total",VLOOKUP(B104,CORRESPONDANCE[#All],2,FALSE),I105)</f>
        <v/>
      </c>
      <c r="J104" s="350">
        <f>LEFT(A104,1)</f>
        <v/>
      </c>
      <c r="K104" s="347">
        <f>"HART"&amp;" - "&amp;A104</f>
        <v/>
      </c>
      <c r="L104" s="347">
        <f>+VLOOKUP(K104,TL[],4,FALSE)</f>
        <v/>
      </c>
    </row>
    <row r="105" ht="15" customHeight="1" s="161">
      <c r="A105" s="290" t="n"/>
      <c r="B105" s="290" t="n"/>
      <c r="C105" s="290" t="n"/>
      <c r="D105" s="290" t="n"/>
      <c r="E105" s="290" t="n"/>
      <c r="F105" s="290" t="n"/>
      <c r="G105" s="220">
        <f>SUM(C105)-SUM(D105)</f>
        <v/>
      </c>
      <c r="H105" s="220">
        <f>SUM(E105)-SUM(F105)</f>
        <v/>
      </c>
      <c r="I105" s="221">
        <f>IF(A105="Total",VLOOKUP(B105,CORRESPONDANCE[#All],2,FALSE),I106)</f>
        <v/>
      </c>
      <c r="J105" s="350">
        <f>LEFT(A105,1)</f>
        <v/>
      </c>
      <c r="K105" s="347">
        <f>"HART"&amp;" - "&amp;A105</f>
        <v/>
      </c>
      <c r="L105" s="347">
        <f>+VLOOKUP(K105,TL[],4,FALSE)</f>
        <v/>
      </c>
    </row>
    <row r="106" ht="15" customHeight="1" s="161">
      <c r="A106" s="290" t="n"/>
      <c r="B106" s="290" t="n"/>
      <c r="C106" s="290" t="n"/>
      <c r="D106" s="290" t="n"/>
      <c r="E106" s="290" t="n"/>
      <c r="F106" s="290" t="n"/>
      <c r="G106" s="220">
        <f>SUM(C106)-SUM(D106)</f>
        <v/>
      </c>
      <c r="H106" s="220">
        <f>SUM(E106)-SUM(F106)</f>
        <v/>
      </c>
      <c r="I106" s="221">
        <f>IF(A106="Total",VLOOKUP(B106,CORRESPONDANCE[#All],2,FALSE),I107)</f>
        <v/>
      </c>
      <c r="J106" s="350">
        <f>LEFT(A106,1)</f>
        <v/>
      </c>
      <c r="K106" s="347">
        <f>"HART"&amp;" - "&amp;A106</f>
        <v/>
      </c>
      <c r="L106" s="347">
        <f>+VLOOKUP(K106,TL[],4,FALSE)</f>
        <v/>
      </c>
    </row>
    <row r="107" ht="15" customHeight="1" s="161">
      <c r="A107" s="290" t="n"/>
      <c r="B107" s="290" t="n"/>
      <c r="C107" s="290" t="n"/>
      <c r="D107" s="290" t="n"/>
      <c r="E107" s="290" t="n"/>
      <c r="F107" s="290" t="n"/>
      <c r="G107" s="220">
        <f>SUM(C107)-SUM(D107)</f>
        <v/>
      </c>
      <c r="H107" s="220">
        <f>SUM(E107)-SUM(F107)</f>
        <v/>
      </c>
      <c r="I107" s="221">
        <f>IF(A107="Total",VLOOKUP(B107,CORRESPONDANCE[#All],2,FALSE),I108)</f>
        <v/>
      </c>
      <c r="J107" s="350">
        <f>LEFT(A107,1)</f>
        <v/>
      </c>
      <c r="K107" s="347">
        <f>"HART"&amp;" - "&amp;A107</f>
        <v/>
      </c>
      <c r="L107" s="347">
        <f>+VLOOKUP(K107,TL[],4,FALSE)</f>
        <v/>
      </c>
    </row>
    <row r="108" ht="15" customHeight="1" s="161">
      <c r="A108" s="290" t="n"/>
      <c r="B108" s="290" t="n"/>
      <c r="C108" s="290" t="n"/>
      <c r="D108" s="290" t="n"/>
      <c r="E108" s="290" t="n"/>
      <c r="F108" s="290" t="n"/>
      <c r="G108" s="220">
        <f>SUM(C108)-SUM(D108)</f>
        <v/>
      </c>
      <c r="H108" s="220">
        <f>SUM(E108)-SUM(F108)</f>
        <v/>
      </c>
      <c r="I108" s="221">
        <f>IF(A108="Total",VLOOKUP(B108,CORRESPONDANCE[#All],2,FALSE),I109)</f>
        <v/>
      </c>
      <c r="J108" s="350">
        <f>LEFT(A108,1)</f>
        <v/>
      </c>
      <c r="K108" s="347">
        <f>"HART"&amp;" - "&amp;A108</f>
        <v/>
      </c>
      <c r="L108" s="347">
        <f>+VLOOKUP(K108,TL[],4,FALSE)</f>
        <v/>
      </c>
    </row>
    <row r="109" ht="15" customHeight="1" s="161">
      <c r="A109" s="290" t="n"/>
      <c r="B109" s="290" t="n"/>
      <c r="C109" s="290" t="n"/>
      <c r="D109" s="290" t="n"/>
      <c r="E109" s="290" t="n"/>
      <c r="F109" s="290" t="n"/>
      <c r="G109" s="220">
        <f>SUM(C109)-SUM(D109)</f>
        <v/>
      </c>
      <c r="H109" s="220">
        <f>SUM(E109)-SUM(F109)</f>
        <v/>
      </c>
      <c r="I109" s="221">
        <f>IF(A109="Total",VLOOKUP(B109,CORRESPONDANCE[#All],2,FALSE),I110)</f>
        <v/>
      </c>
      <c r="J109" s="350">
        <f>LEFT(A109,1)</f>
        <v/>
      </c>
      <c r="K109" s="347">
        <f>"HART"&amp;" - "&amp;A109</f>
        <v/>
      </c>
      <c r="L109" s="347">
        <f>+VLOOKUP(K109,TL[],4,FALSE)</f>
        <v/>
      </c>
    </row>
    <row r="110" ht="15" customHeight="1" s="161">
      <c r="A110" s="290" t="n"/>
      <c r="B110" s="290" t="n"/>
      <c r="C110" s="290" t="n"/>
      <c r="D110" s="290" t="n"/>
      <c r="E110" s="290" t="n"/>
      <c r="F110" s="290" t="n"/>
      <c r="G110" s="220">
        <f>SUM(C110)-SUM(D110)</f>
        <v/>
      </c>
      <c r="H110" s="220">
        <f>SUM(E110)-SUM(F110)</f>
        <v/>
      </c>
      <c r="I110" s="221">
        <f>IF(A110="Total",VLOOKUP(B110,CORRESPONDANCE[#All],2,FALSE),I111)</f>
        <v/>
      </c>
      <c r="J110" s="350">
        <f>LEFT(A110,1)</f>
        <v/>
      </c>
      <c r="K110" s="347">
        <f>"HART"&amp;" - "&amp;A110</f>
        <v/>
      </c>
      <c r="L110" s="347">
        <f>+VLOOKUP(K110,TL[],4,FALSE)</f>
        <v/>
      </c>
    </row>
    <row r="111" ht="15" customHeight="1" s="161">
      <c r="A111" s="290" t="n"/>
      <c r="B111" s="290" t="n"/>
      <c r="C111" s="290" t="n"/>
      <c r="D111" s="290" t="n"/>
      <c r="E111" s="290" t="n"/>
      <c r="F111" s="290" t="n"/>
      <c r="G111" s="220">
        <f>SUM(C111)-SUM(D111)</f>
        <v/>
      </c>
      <c r="H111" s="220">
        <f>SUM(E111)-SUM(F111)</f>
        <v/>
      </c>
      <c r="I111" s="221">
        <f>IF(A111="Total",VLOOKUP(B111,CORRESPONDANCE[#All],2,FALSE),I112)</f>
        <v/>
      </c>
      <c r="J111" s="350">
        <f>LEFT(A111,1)</f>
        <v/>
      </c>
      <c r="K111" s="347">
        <f>"HART"&amp;" - "&amp;A111</f>
        <v/>
      </c>
      <c r="L111" s="347">
        <f>+VLOOKUP(K111,TL[],4,FALSE)</f>
        <v/>
      </c>
    </row>
    <row r="112" ht="15" customHeight="1" s="161">
      <c r="A112" s="290" t="n"/>
      <c r="B112" s="290" t="n"/>
      <c r="C112" s="290" t="n"/>
      <c r="D112" s="290" t="n"/>
      <c r="E112" s="290" t="n"/>
      <c r="F112" s="290" t="n"/>
      <c r="G112" s="220">
        <f>SUM(C112)-SUM(D112)</f>
        <v/>
      </c>
      <c r="H112" s="220">
        <f>SUM(E112)-SUM(F112)</f>
        <v/>
      </c>
      <c r="I112" s="221">
        <f>IF(A112="Total",VLOOKUP(B112,CORRESPONDANCE[#All],2,FALSE),I113)</f>
        <v/>
      </c>
      <c r="J112" s="350">
        <f>LEFT(A112,1)</f>
        <v/>
      </c>
      <c r="K112" s="347">
        <f>"HART"&amp;" - "&amp;A112</f>
        <v/>
      </c>
      <c r="L112" s="347">
        <f>+VLOOKUP(K112,TL[],4,FALSE)</f>
        <v/>
      </c>
    </row>
    <row r="113" ht="15" customHeight="1" s="161">
      <c r="A113" s="290" t="n"/>
      <c r="B113" s="290" t="n"/>
      <c r="C113" s="290" t="n"/>
      <c r="D113" s="290" t="n"/>
      <c r="E113" s="290" t="n"/>
      <c r="F113" s="290" t="n"/>
      <c r="G113" s="220">
        <f>SUM(C113)-SUM(D113)</f>
        <v/>
      </c>
      <c r="H113" s="220">
        <f>SUM(E113)-SUM(F113)</f>
        <v/>
      </c>
      <c r="I113" s="221">
        <f>IF(A113="Total",VLOOKUP(B113,CORRESPONDANCE[#All],2,FALSE),I114)</f>
        <v/>
      </c>
      <c r="J113" s="350">
        <f>LEFT(A113,1)</f>
        <v/>
      </c>
      <c r="K113" s="347">
        <f>"HART"&amp;" - "&amp;A113</f>
        <v/>
      </c>
      <c r="L113" s="347">
        <f>+VLOOKUP(K113,TL[],4,FALSE)</f>
        <v/>
      </c>
    </row>
    <row r="114" ht="15" customHeight="1" s="161">
      <c r="A114" s="290" t="n"/>
      <c r="B114" s="290" t="n"/>
      <c r="C114" s="290" t="n"/>
      <c r="D114" s="290" t="n"/>
      <c r="E114" s="290" t="n"/>
      <c r="F114" s="290" t="n"/>
      <c r="G114" s="220">
        <f>SUM(C114)-SUM(D114)</f>
        <v/>
      </c>
      <c r="H114" s="220">
        <f>SUM(E114)-SUM(F114)</f>
        <v/>
      </c>
      <c r="I114" s="221">
        <f>IF(A114="Total",VLOOKUP(B114,CORRESPONDANCE[#All],2,FALSE),I115)</f>
        <v/>
      </c>
      <c r="J114" s="350">
        <f>LEFT(A114,1)</f>
        <v/>
      </c>
      <c r="K114" s="347">
        <f>"HART"&amp;" - "&amp;A114</f>
        <v/>
      </c>
      <c r="L114" s="347">
        <f>+VLOOKUP(K114,TL[],4,FALSE)</f>
        <v/>
      </c>
    </row>
    <row r="115" ht="15" customHeight="1" s="161">
      <c r="A115" s="290" t="n"/>
      <c r="B115" s="290" t="n"/>
      <c r="C115" s="290" t="n"/>
      <c r="D115" s="290" t="n"/>
      <c r="E115" s="290" t="n"/>
      <c r="F115" s="290" t="n"/>
      <c r="G115" s="220">
        <f>SUM(C115)-SUM(D115)</f>
        <v/>
      </c>
      <c r="H115" s="220">
        <f>SUM(E115)-SUM(F115)</f>
        <v/>
      </c>
      <c r="I115" s="221">
        <f>IF(A115="Total",VLOOKUP(B115,CORRESPONDANCE[#All],2,FALSE),I116)</f>
        <v/>
      </c>
      <c r="J115" s="350">
        <f>LEFT(A115,1)</f>
        <v/>
      </c>
      <c r="K115" s="347">
        <f>"HART"&amp;" - "&amp;A115</f>
        <v/>
      </c>
      <c r="L115" s="347">
        <f>+VLOOKUP(K115,TL[],4,FALSE)</f>
        <v/>
      </c>
    </row>
    <row r="116" ht="15" customHeight="1" s="161">
      <c r="A116" s="290" t="n"/>
      <c r="B116" s="290" t="n"/>
      <c r="C116" s="290" t="n"/>
      <c r="D116" s="290" t="n"/>
      <c r="E116" s="290" t="n"/>
      <c r="F116" s="290" t="n"/>
      <c r="G116" s="220">
        <f>SUM(C116)-SUM(D116)</f>
        <v/>
      </c>
      <c r="H116" s="220">
        <f>SUM(E116)-SUM(F116)</f>
        <v/>
      </c>
      <c r="I116" s="221">
        <f>IF(A116="Total",VLOOKUP(B116,CORRESPONDANCE[#All],2,FALSE),I117)</f>
        <v/>
      </c>
      <c r="J116" s="350">
        <f>LEFT(A116,1)</f>
        <v/>
      </c>
      <c r="K116" s="347">
        <f>"HART"&amp;" - "&amp;A116</f>
        <v/>
      </c>
      <c r="L116" s="347">
        <f>+VLOOKUP(K116,TL[],4,FALSE)</f>
        <v/>
      </c>
    </row>
    <row r="117" ht="15" customHeight="1" s="161">
      <c r="A117" s="290" t="n"/>
      <c r="B117" s="290" t="n"/>
      <c r="C117" s="290" t="n"/>
      <c r="D117" s="290" t="n"/>
      <c r="E117" s="290" t="n"/>
      <c r="F117" s="290" t="n"/>
      <c r="G117" s="220">
        <f>SUM(C117)-SUM(D117)</f>
        <v/>
      </c>
      <c r="H117" s="220">
        <f>SUM(E117)-SUM(F117)</f>
        <v/>
      </c>
      <c r="I117" s="221">
        <f>IF(A117="Total",VLOOKUP(B117,CORRESPONDANCE[#All],2,FALSE),I118)</f>
        <v/>
      </c>
      <c r="J117" s="350">
        <f>LEFT(A117,1)</f>
        <v/>
      </c>
      <c r="K117" s="347">
        <f>"HART"&amp;" - "&amp;A117</f>
        <v/>
      </c>
      <c r="L117" s="347">
        <f>+VLOOKUP(K117,TL[],4,FALSE)</f>
        <v/>
      </c>
    </row>
    <row r="118" ht="15" customHeight="1" s="161">
      <c r="A118" s="290" t="n"/>
      <c r="B118" s="290" t="n"/>
      <c r="C118" s="290" t="n"/>
      <c r="D118" s="290" t="n"/>
      <c r="E118" s="290" t="n"/>
      <c r="F118" s="290" t="n"/>
      <c r="G118" s="220">
        <f>SUM(C118)-SUM(D118)</f>
        <v/>
      </c>
      <c r="H118" s="220">
        <f>SUM(E118)-SUM(F118)</f>
        <v/>
      </c>
      <c r="I118" s="221">
        <f>IF(A118="Total",VLOOKUP(B118,CORRESPONDANCE[#All],2,FALSE),I119)</f>
        <v/>
      </c>
      <c r="J118" s="350">
        <f>LEFT(A118,1)</f>
        <v/>
      </c>
      <c r="K118" s="347">
        <f>"HART"&amp;" - "&amp;A118</f>
        <v/>
      </c>
      <c r="L118" s="347">
        <f>+VLOOKUP(K118,TL[],4,FALSE)</f>
        <v/>
      </c>
    </row>
    <row r="119" ht="15" customHeight="1" s="161">
      <c r="A119" s="290" t="n"/>
      <c r="B119" s="290" t="n"/>
      <c r="C119" s="290" t="n"/>
      <c r="D119" s="290" t="n"/>
      <c r="E119" s="290" t="n"/>
      <c r="F119" s="290" t="n"/>
      <c r="G119" s="220">
        <f>SUM(C119)-SUM(D119)</f>
        <v/>
      </c>
      <c r="H119" s="220">
        <f>SUM(E119)-SUM(F119)</f>
        <v/>
      </c>
      <c r="I119" s="221">
        <f>IF(A119="Total",VLOOKUP(B119,CORRESPONDANCE[#All],2,FALSE),I120)</f>
        <v/>
      </c>
      <c r="J119" s="350">
        <f>LEFT(A119,1)</f>
        <v/>
      </c>
      <c r="K119" s="347">
        <f>"HART"&amp;" - "&amp;A119</f>
        <v/>
      </c>
      <c r="L119" s="347">
        <f>+VLOOKUP(K119,TL[],4,FALSE)</f>
        <v/>
      </c>
    </row>
    <row r="120" ht="15" customHeight="1" s="161">
      <c r="A120" s="290" t="n"/>
      <c r="B120" s="290" t="n"/>
      <c r="C120" s="290" t="n"/>
      <c r="D120" s="290" t="n"/>
      <c r="E120" s="290" t="n"/>
      <c r="F120" s="290" t="n"/>
      <c r="G120" s="220">
        <f>SUM(C120)-SUM(D120)</f>
        <v/>
      </c>
      <c r="H120" s="220">
        <f>SUM(E120)-SUM(F120)</f>
        <v/>
      </c>
      <c r="I120" s="221">
        <f>IF(A120="Total",VLOOKUP(B120,CORRESPONDANCE[#All],2,FALSE),I121)</f>
        <v/>
      </c>
      <c r="J120" s="350">
        <f>LEFT(A120,1)</f>
        <v/>
      </c>
      <c r="K120" s="347">
        <f>"HART"&amp;" - "&amp;A120</f>
        <v/>
      </c>
      <c r="L120" s="347">
        <f>+VLOOKUP(K120,TL[],4,FALSE)</f>
        <v/>
      </c>
    </row>
    <row r="121" ht="15" customHeight="1" s="161">
      <c r="A121" s="290" t="n"/>
      <c r="B121" s="290" t="n"/>
      <c r="C121" s="290" t="n"/>
      <c r="D121" s="290" t="n"/>
      <c r="E121" s="290" t="n"/>
      <c r="F121" s="290" t="n"/>
      <c r="G121" s="220">
        <f>SUM(C121)-SUM(D121)</f>
        <v/>
      </c>
      <c r="H121" s="220">
        <f>SUM(E121)-SUM(F121)</f>
        <v/>
      </c>
      <c r="I121" s="221">
        <f>IF(A121="Total",VLOOKUP(B121,CORRESPONDANCE[#All],2,FALSE),I122)</f>
        <v/>
      </c>
      <c r="J121" s="350">
        <f>LEFT(A121,1)</f>
        <v/>
      </c>
      <c r="K121" s="347">
        <f>"HART"&amp;" - "&amp;A121</f>
        <v/>
      </c>
      <c r="L121" s="347">
        <f>+VLOOKUP(K121,TL[],4,FALSE)</f>
        <v/>
      </c>
    </row>
    <row r="122" ht="15" customHeight="1" s="161">
      <c r="A122" s="290" t="n"/>
      <c r="B122" s="290" t="n"/>
      <c r="C122" s="290" t="n"/>
      <c r="D122" s="290" t="n"/>
      <c r="E122" s="290" t="n"/>
      <c r="F122" s="290" t="n"/>
      <c r="G122" s="220">
        <f>SUM(C122)-SUM(D122)</f>
        <v/>
      </c>
      <c r="H122" s="220">
        <f>SUM(E122)-SUM(F122)</f>
        <v/>
      </c>
      <c r="I122" s="221">
        <f>IF(A122="Total",VLOOKUP(B122,CORRESPONDANCE[#All],2,FALSE),I123)</f>
        <v/>
      </c>
      <c r="J122" s="350">
        <f>LEFT(A122,1)</f>
        <v/>
      </c>
      <c r="K122" s="347">
        <f>"HART"&amp;" - "&amp;A122</f>
        <v/>
      </c>
      <c r="L122" s="347">
        <f>+VLOOKUP(K122,TL[],4,FALSE)</f>
        <v/>
      </c>
    </row>
    <row r="123" ht="15" customHeight="1" s="161">
      <c r="A123" s="290" t="n"/>
      <c r="B123" s="290" t="n"/>
      <c r="C123" s="290" t="n"/>
      <c r="D123" s="290" t="n"/>
      <c r="E123" s="290" t="n"/>
      <c r="F123" s="290" t="n"/>
      <c r="G123" s="220">
        <f>SUM(C123)-SUM(D123)</f>
        <v/>
      </c>
      <c r="H123" s="220">
        <f>SUM(E123)-SUM(F123)</f>
        <v/>
      </c>
      <c r="I123" s="221">
        <f>IF(A123="Total",VLOOKUP(B123,CORRESPONDANCE[#All],2,FALSE),I124)</f>
        <v/>
      </c>
      <c r="J123" s="350">
        <f>LEFT(A123,1)</f>
        <v/>
      </c>
      <c r="K123" s="347">
        <f>"HART"&amp;" - "&amp;A123</f>
        <v/>
      </c>
      <c r="L123" s="347">
        <f>+VLOOKUP(K123,TL[],4,FALSE)</f>
        <v/>
      </c>
    </row>
    <row r="124" ht="15" customHeight="1" s="161">
      <c r="A124" s="290" t="n"/>
      <c r="B124" s="290" t="n"/>
      <c r="C124" s="290" t="n"/>
      <c r="D124" s="290" t="n"/>
      <c r="E124" s="290" t="n"/>
      <c r="F124" s="290" t="n"/>
      <c r="G124" s="220">
        <f>SUM(C124)-SUM(D124)</f>
        <v/>
      </c>
      <c r="H124" s="220">
        <f>SUM(E124)-SUM(F124)</f>
        <v/>
      </c>
      <c r="I124" s="221">
        <f>IF(A124="Total",VLOOKUP(B124,CORRESPONDANCE[#All],2,FALSE),I125)</f>
        <v/>
      </c>
      <c r="J124" s="350">
        <f>LEFT(A124,1)</f>
        <v/>
      </c>
      <c r="K124" s="347">
        <f>"HART"&amp;" - "&amp;A124</f>
        <v/>
      </c>
      <c r="L124" s="347">
        <f>+VLOOKUP(K124,TL[],4,FALSE)</f>
        <v/>
      </c>
    </row>
    <row r="125" ht="15" customHeight="1" s="161">
      <c r="A125" s="290" t="n"/>
      <c r="B125" s="290" t="n"/>
      <c r="C125" s="290" t="n"/>
      <c r="D125" s="290" t="n"/>
      <c r="E125" s="290" t="n"/>
      <c r="F125" s="290" t="n"/>
      <c r="G125" s="220">
        <f>SUM(C125)-SUM(D125)</f>
        <v/>
      </c>
      <c r="H125" s="220">
        <f>SUM(E125)-SUM(F125)</f>
        <v/>
      </c>
      <c r="I125" s="221">
        <f>IF(A125="Total",VLOOKUP(B125,CORRESPONDANCE[#All],2,FALSE),I126)</f>
        <v/>
      </c>
      <c r="J125" s="350">
        <f>LEFT(A125,1)</f>
        <v/>
      </c>
      <c r="K125" s="347">
        <f>"HART"&amp;" - "&amp;A125</f>
        <v/>
      </c>
      <c r="L125" s="347">
        <f>+VLOOKUP(K125,TL[],4,FALSE)</f>
        <v/>
      </c>
    </row>
    <row r="126" ht="15" customHeight="1" s="161">
      <c r="A126" s="290" t="n"/>
      <c r="B126" s="290" t="n"/>
      <c r="C126" s="290" t="n"/>
      <c r="D126" s="290" t="n"/>
      <c r="E126" s="290" t="n"/>
      <c r="F126" s="290" t="n"/>
      <c r="G126" s="220">
        <f>SUM(C126)-SUM(D126)</f>
        <v/>
      </c>
      <c r="H126" s="220">
        <f>SUM(E126)-SUM(F126)</f>
        <v/>
      </c>
      <c r="I126" s="221">
        <f>IF(A126="Total",VLOOKUP(B126,CORRESPONDANCE[#All],2,FALSE),I127)</f>
        <v/>
      </c>
      <c r="J126" s="350">
        <f>LEFT(A126,1)</f>
        <v/>
      </c>
      <c r="K126" s="347">
        <f>"HART"&amp;" - "&amp;A126</f>
        <v/>
      </c>
      <c r="L126" s="347">
        <f>+VLOOKUP(K126,TL[],4,FALSE)</f>
        <v/>
      </c>
    </row>
    <row r="127" ht="15" customHeight="1" s="161">
      <c r="A127" s="290" t="n"/>
      <c r="B127" s="290" t="n"/>
      <c r="C127" s="290" t="n"/>
      <c r="D127" s="290" t="n"/>
      <c r="E127" s="290" t="n"/>
      <c r="F127" s="290" t="n"/>
      <c r="G127" s="220">
        <f>SUM(C127)-SUM(D127)</f>
        <v/>
      </c>
      <c r="H127" s="220">
        <f>SUM(E127)-SUM(F127)</f>
        <v/>
      </c>
      <c r="I127" s="221">
        <f>IF(A127="Total",VLOOKUP(B127,CORRESPONDANCE[#All],2,FALSE),I128)</f>
        <v/>
      </c>
      <c r="J127" s="350">
        <f>LEFT(A127,1)</f>
        <v/>
      </c>
      <c r="K127" s="347">
        <f>"HART"&amp;" - "&amp;A127</f>
        <v/>
      </c>
      <c r="L127" s="347">
        <f>+VLOOKUP(K127,TL[],4,FALSE)</f>
        <v/>
      </c>
    </row>
    <row r="128" ht="15" customHeight="1" s="161">
      <c r="A128" s="290" t="n"/>
      <c r="B128" s="290" t="n"/>
      <c r="C128" s="290" t="n"/>
      <c r="D128" s="290" t="n"/>
      <c r="E128" s="290" t="n"/>
      <c r="F128" s="290" t="n"/>
      <c r="G128" s="220">
        <f>SUM(C128)-SUM(D128)</f>
        <v/>
      </c>
      <c r="H128" s="220">
        <f>SUM(E128)-SUM(F128)</f>
        <v/>
      </c>
      <c r="I128" s="221">
        <f>IF(A128="Total",VLOOKUP(B128,CORRESPONDANCE[#All],2,FALSE),I129)</f>
        <v/>
      </c>
      <c r="J128" s="350">
        <f>LEFT(A128,1)</f>
        <v/>
      </c>
      <c r="K128" s="347">
        <f>"HART"&amp;" - "&amp;A128</f>
        <v/>
      </c>
      <c r="L128" s="347">
        <f>+VLOOKUP(K128,TL[],4,FALSE)</f>
        <v/>
      </c>
    </row>
    <row r="129" ht="15" customHeight="1" s="161">
      <c r="A129" s="290" t="n"/>
      <c r="B129" s="290" t="n"/>
      <c r="C129" s="290" t="n"/>
      <c r="D129" s="290" t="n"/>
      <c r="E129" s="290" t="n"/>
      <c r="F129" s="290" t="n"/>
      <c r="G129" s="220">
        <f>SUM(C129)-SUM(D129)</f>
        <v/>
      </c>
      <c r="H129" s="220">
        <f>SUM(E129)-SUM(F129)</f>
        <v/>
      </c>
      <c r="I129" s="221">
        <f>IF(A129="Total",VLOOKUP(B129,CORRESPONDANCE[#All],2,FALSE),I130)</f>
        <v/>
      </c>
      <c r="J129" s="350">
        <f>LEFT(A129,1)</f>
        <v/>
      </c>
      <c r="K129" s="347">
        <f>"HART"&amp;" - "&amp;A129</f>
        <v/>
      </c>
      <c r="L129" s="347">
        <f>+VLOOKUP(K129,TL[],4,FALSE)</f>
        <v/>
      </c>
    </row>
    <row r="130" ht="15" customHeight="1" s="161">
      <c r="A130" s="290" t="n"/>
      <c r="B130" s="290" t="n"/>
      <c r="C130" s="290" t="n"/>
      <c r="D130" s="290" t="n"/>
      <c r="E130" s="290" t="n"/>
      <c r="F130" s="290" t="n"/>
      <c r="G130" s="220">
        <f>SUM(C130)-SUM(D130)</f>
        <v/>
      </c>
      <c r="H130" s="220">
        <f>SUM(E130)-SUM(F130)</f>
        <v/>
      </c>
      <c r="I130" s="221">
        <f>IF(A130="Total",VLOOKUP(B130,CORRESPONDANCE[#All],2,FALSE),I131)</f>
        <v/>
      </c>
      <c r="J130" s="350">
        <f>LEFT(A130,1)</f>
        <v/>
      </c>
      <c r="K130" s="347">
        <f>"HART"&amp;" - "&amp;A130</f>
        <v/>
      </c>
      <c r="L130" s="347">
        <f>+VLOOKUP(K130,TL[],4,FALSE)</f>
        <v/>
      </c>
    </row>
    <row r="131" ht="15" customHeight="1" s="161">
      <c r="A131" s="290" t="n"/>
      <c r="B131" s="290" t="n"/>
      <c r="C131" s="290" t="n"/>
      <c r="D131" s="290" t="n"/>
      <c r="E131" s="290" t="n"/>
      <c r="F131" s="290" t="n"/>
      <c r="G131" s="220">
        <f>SUM(C131)-SUM(D131)</f>
        <v/>
      </c>
      <c r="H131" s="220">
        <f>SUM(E131)-SUM(F131)</f>
        <v/>
      </c>
      <c r="I131" s="221">
        <f>IF(A131="Total",VLOOKUP(B131,CORRESPONDANCE[#All],2,FALSE),I132)</f>
        <v/>
      </c>
      <c r="J131" s="350">
        <f>LEFT(A131,1)</f>
        <v/>
      </c>
      <c r="K131" s="347">
        <f>"HART"&amp;" - "&amp;A131</f>
        <v/>
      </c>
      <c r="L131" s="347">
        <f>+VLOOKUP(K131,TL[],4,FALSE)</f>
        <v/>
      </c>
    </row>
    <row r="132" ht="15" customHeight="1" s="161">
      <c r="A132" s="290" t="n"/>
      <c r="B132" s="290" t="n"/>
      <c r="C132" s="290" t="n"/>
      <c r="D132" s="290" t="n"/>
      <c r="E132" s="290" t="n"/>
      <c r="F132" s="290" t="n"/>
      <c r="G132" s="220">
        <f>SUM(C132)-SUM(D132)</f>
        <v/>
      </c>
      <c r="H132" s="220">
        <f>SUM(E132)-SUM(F132)</f>
        <v/>
      </c>
      <c r="I132" s="221">
        <f>IF(A132="Total",VLOOKUP(B132,CORRESPONDANCE[#All],2,FALSE),I133)</f>
        <v/>
      </c>
      <c r="J132" s="350">
        <f>LEFT(A132,1)</f>
        <v/>
      </c>
      <c r="K132" s="347">
        <f>"HART"&amp;" - "&amp;A132</f>
        <v/>
      </c>
      <c r="L132" s="347">
        <f>+VLOOKUP(K132,TL[],4,FALSE)</f>
        <v/>
      </c>
    </row>
    <row r="133" ht="15" customHeight="1" s="161">
      <c r="A133" s="290" t="n"/>
      <c r="B133" s="290" t="n"/>
      <c r="C133" s="290" t="n"/>
      <c r="D133" s="290" t="n"/>
      <c r="E133" s="290" t="n"/>
      <c r="F133" s="290" t="n"/>
      <c r="G133" s="220">
        <f>SUM(C133)-SUM(D133)</f>
        <v/>
      </c>
      <c r="H133" s="220">
        <f>SUM(E133)-SUM(F133)</f>
        <v/>
      </c>
      <c r="I133" s="221">
        <f>IF(A133="Total",VLOOKUP(B133,CORRESPONDANCE[#All],2,FALSE),I134)</f>
        <v/>
      </c>
      <c r="J133" s="350">
        <f>LEFT(A133,1)</f>
        <v/>
      </c>
      <c r="K133" s="347">
        <f>"HART"&amp;" - "&amp;A133</f>
        <v/>
      </c>
      <c r="L133" s="347">
        <f>+VLOOKUP(K133,TL[],4,FALSE)</f>
        <v/>
      </c>
    </row>
    <row r="134" ht="15" customHeight="1" s="161">
      <c r="A134" s="290" t="n"/>
      <c r="B134" s="290" t="n"/>
      <c r="C134" s="290" t="n"/>
      <c r="D134" s="290" t="n"/>
      <c r="E134" s="290" t="n"/>
      <c r="F134" s="290" t="n"/>
      <c r="G134" s="220">
        <f>SUM(C134)-SUM(D134)</f>
        <v/>
      </c>
      <c r="H134" s="220">
        <f>SUM(E134)-SUM(F134)</f>
        <v/>
      </c>
      <c r="I134" s="221">
        <f>IF(A134="Total",VLOOKUP(B134,CORRESPONDANCE[#All],2,FALSE),I135)</f>
        <v/>
      </c>
      <c r="J134" s="350">
        <f>LEFT(A134,1)</f>
        <v/>
      </c>
      <c r="K134" s="347">
        <f>"HART"&amp;" - "&amp;A134</f>
        <v/>
      </c>
      <c r="L134" s="347">
        <f>+VLOOKUP(K134,TL[],4,FALSE)</f>
        <v/>
      </c>
    </row>
    <row r="135" ht="15" customHeight="1" s="161">
      <c r="A135" s="290" t="n"/>
      <c r="B135" s="290" t="n"/>
      <c r="C135" s="290" t="n"/>
      <c r="D135" s="290" t="n"/>
      <c r="E135" s="290" t="n"/>
      <c r="F135" s="290" t="n"/>
      <c r="G135" s="220">
        <f>SUM(C135)-SUM(D135)</f>
        <v/>
      </c>
      <c r="H135" s="220">
        <f>SUM(E135)-SUM(F135)</f>
        <v/>
      </c>
      <c r="I135" s="221">
        <f>IF(A135="Total",VLOOKUP(B135,CORRESPONDANCE[#All],2,FALSE),I136)</f>
        <v/>
      </c>
      <c r="J135" s="350">
        <f>LEFT(A135,1)</f>
        <v/>
      </c>
      <c r="K135" s="347">
        <f>"HART"&amp;" - "&amp;A135</f>
        <v/>
      </c>
      <c r="L135" s="347">
        <f>+VLOOKUP(K135,TL[],4,FALSE)</f>
        <v/>
      </c>
    </row>
    <row r="136" ht="15" customHeight="1" s="161">
      <c r="A136" s="290" t="n"/>
      <c r="B136" s="290" t="n"/>
      <c r="C136" s="290" t="n"/>
      <c r="D136" s="290" t="n"/>
      <c r="E136" s="290" t="n"/>
      <c r="F136" s="290" t="n"/>
      <c r="G136" s="220">
        <f>SUM(C136)-SUM(D136)</f>
        <v/>
      </c>
      <c r="H136" s="220">
        <f>SUM(E136)-SUM(F136)</f>
        <v/>
      </c>
      <c r="I136" s="221">
        <f>IF(A136="Total",VLOOKUP(B136,CORRESPONDANCE[#All],2,FALSE),I137)</f>
        <v/>
      </c>
      <c r="J136" s="350">
        <f>LEFT(A136,1)</f>
        <v/>
      </c>
      <c r="K136" s="347">
        <f>"HART"&amp;" - "&amp;A136</f>
        <v/>
      </c>
      <c r="L136" s="347">
        <f>+VLOOKUP(K136,TL[],4,FALSE)</f>
        <v/>
      </c>
    </row>
    <row r="137" ht="15" customHeight="1" s="161">
      <c r="A137" s="290" t="n"/>
      <c r="B137" s="290" t="n"/>
      <c r="C137" s="290" t="n"/>
      <c r="D137" s="290" t="n"/>
      <c r="E137" s="290" t="n"/>
      <c r="F137" s="290" t="n"/>
      <c r="G137" s="220">
        <f>SUM(C137)-SUM(D137)</f>
        <v/>
      </c>
      <c r="H137" s="220">
        <f>SUM(E137)-SUM(F137)</f>
        <v/>
      </c>
      <c r="I137" s="221">
        <f>IF(A137="Total",VLOOKUP(B137,CORRESPONDANCE[#All],2,FALSE),I138)</f>
        <v/>
      </c>
      <c r="J137" s="350">
        <f>LEFT(A137,1)</f>
        <v/>
      </c>
      <c r="K137" s="347">
        <f>"HART"&amp;" - "&amp;A137</f>
        <v/>
      </c>
      <c r="L137" s="347">
        <f>+VLOOKUP(K137,TL[],4,FALSE)</f>
        <v/>
      </c>
    </row>
    <row r="138" ht="15" customHeight="1" s="161">
      <c r="A138" s="290" t="n"/>
      <c r="B138" s="290" t="n"/>
      <c r="C138" s="290" t="n"/>
      <c r="D138" s="290" t="n"/>
      <c r="E138" s="290" t="n"/>
      <c r="F138" s="290" t="n"/>
      <c r="G138" s="220">
        <f>SUM(C138)-SUM(D138)</f>
        <v/>
      </c>
      <c r="H138" s="220">
        <f>SUM(E138)-SUM(F138)</f>
        <v/>
      </c>
      <c r="I138" s="221">
        <f>IF(A138="Total",VLOOKUP(B138,CORRESPONDANCE[#All],2,FALSE),I139)</f>
        <v/>
      </c>
      <c r="J138" s="350">
        <f>LEFT(A138,1)</f>
        <v/>
      </c>
      <c r="K138" s="347">
        <f>"HART"&amp;" - "&amp;A138</f>
        <v/>
      </c>
      <c r="L138" s="347">
        <f>+VLOOKUP(K138,TL[],4,FALSE)</f>
        <v/>
      </c>
    </row>
    <row r="139" ht="15" customHeight="1" s="161">
      <c r="A139" s="290" t="n"/>
      <c r="B139" s="290" t="n"/>
      <c r="C139" s="290" t="n"/>
      <c r="D139" s="290" t="n"/>
      <c r="E139" s="290" t="n"/>
      <c r="F139" s="290" t="n"/>
      <c r="G139" s="220">
        <f>SUM(C139)-SUM(D139)</f>
        <v/>
      </c>
      <c r="H139" s="220">
        <f>SUM(E139)-SUM(F139)</f>
        <v/>
      </c>
      <c r="I139" s="221">
        <f>IF(A139="Total",VLOOKUP(B139,CORRESPONDANCE[#All],2,FALSE),I140)</f>
        <v/>
      </c>
      <c r="J139" s="350">
        <f>LEFT(A139,1)</f>
        <v/>
      </c>
      <c r="K139" s="347">
        <f>"HART"&amp;" - "&amp;A139</f>
        <v/>
      </c>
      <c r="L139" s="347">
        <f>+VLOOKUP(K139,TL[],4,FALSE)</f>
        <v/>
      </c>
    </row>
    <row r="140" ht="15" customHeight="1" s="161">
      <c r="A140" s="290" t="n"/>
      <c r="B140" s="290" t="n"/>
      <c r="C140" s="290" t="n"/>
      <c r="D140" s="290" t="n"/>
      <c r="E140" s="290" t="n"/>
      <c r="F140" s="290" t="n"/>
      <c r="G140" s="220">
        <f>SUM(C140)-SUM(D140)</f>
        <v/>
      </c>
      <c r="H140" s="220">
        <f>SUM(E140)-SUM(F140)</f>
        <v/>
      </c>
      <c r="I140" s="221">
        <f>IF(A140="Total",VLOOKUP(B140,CORRESPONDANCE[#All],2,FALSE),I141)</f>
        <v/>
      </c>
      <c r="J140" s="350">
        <f>LEFT(A140,1)</f>
        <v/>
      </c>
      <c r="K140" s="347">
        <f>"HART"&amp;" - "&amp;A140</f>
        <v/>
      </c>
      <c r="L140" s="347">
        <f>+VLOOKUP(K140,TL[],4,FALSE)</f>
        <v/>
      </c>
    </row>
    <row r="141" ht="15" customHeight="1" s="161">
      <c r="A141" s="290" t="n"/>
      <c r="B141" s="290" t="n"/>
      <c r="C141" s="290" t="n"/>
      <c r="D141" s="290" t="n"/>
      <c r="E141" s="290" t="n"/>
      <c r="F141" s="290" t="n"/>
      <c r="G141" s="220">
        <f>SUM(C141)-SUM(D141)</f>
        <v/>
      </c>
      <c r="H141" s="220">
        <f>SUM(E141)-SUM(F141)</f>
        <v/>
      </c>
      <c r="I141" s="221">
        <f>IF(A141="Total",VLOOKUP(B141,CORRESPONDANCE[#All],2,FALSE),I142)</f>
        <v/>
      </c>
      <c r="J141" s="350">
        <f>LEFT(A141,1)</f>
        <v/>
      </c>
      <c r="K141" s="347">
        <f>"HART"&amp;" - "&amp;A141</f>
        <v/>
      </c>
      <c r="L141" s="347">
        <f>+VLOOKUP(K141,TL[],4,FALSE)</f>
        <v/>
      </c>
    </row>
    <row r="142" ht="15" customHeight="1" s="161">
      <c r="A142" s="290" t="n"/>
      <c r="B142" s="290" t="n"/>
      <c r="C142" s="290" t="n"/>
      <c r="D142" s="290" t="n"/>
      <c r="E142" s="290" t="n"/>
      <c r="F142" s="290" t="n"/>
      <c r="G142" s="220">
        <f>SUM(C142)-SUM(D142)</f>
        <v/>
      </c>
      <c r="H142" s="220">
        <f>SUM(E142)-SUM(F142)</f>
        <v/>
      </c>
      <c r="I142" s="221">
        <f>IF(A142="Total",VLOOKUP(B142,CORRESPONDANCE[#All],2,FALSE),I143)</f>
        <v/>
      </c>
      <c r="J142" s="350">
        <f>LEFT(A142,1)</f>
        <v/>
      </c>
      <c r="K142" s="347">
        <f>"HART"&amp;" - "&amp;A142</f>
        <v/>
      </c>
      <c r="L142" s="347">
        <f>+VLOOKUP(K142,TL[],4,FALSE)</f>
        <v/>
      </c>
    </row>
    <row r="143" ht="15" customHeight="1" s="161">
      <c r="A143" s="290" t="n"/>
      <c r="B143" s="290" t="n"/>
      <c r="C143" s="290" t="n"/>
      <c r="D143" s="290" t="n"/>
      <c r="E143" s="290" t="n"/>
      <c r="F143" s="290" t="n"/>
      <c r="G143" s="220">
        <f>SUM(C143)-SUM(D143)</f>
        <v/>
      </c>
      <c r="H143" s="220">
        <f>SUM(E143)-SUM(F143)</f>
        <v/>
      </c>
      <c r="I143" s="221">
        <f>IF(A143="Total",VLOOKUP(B143,CORRESPONDANCE[#All],2,FALSE),I144)</f>
        <v/>
      </c>
      <c r="J143" s="350">
        <f>LEFT(A143,1)</f>
        <v/>
      </c>
      <c r="K143" s="347">
        <f>"HART"&amp;" - "&amp;A143</f>
        <v/>
      </c>
      <c r="L143" s="347">
        <f>+VLOOKUP(K143,TL[],4,FALSE)</f>
        <v/>
      </c>
    </row>
    <row r="144" ht="15" customHeight="1" s="161">
      <c r="A144" s="290" t="n"/>
      <c r="B144" s="290" t="n"/>
      <c r="C144" s="290" t="n"/>
      <c r="D144" s="290" t="n"/>
      <c r="E144" s="290" t="n"/>
      <c r="F144" s="290" t="n"/>
      <c r="G144" s="220">
        <f>SUM(C144)-SUM(D144)</f>
        <v/>
      </c>
      <c r="H144" s="220">
        <f>SUM(E144)-SUM(F144)</f>
        <v/>
      </c>
      <c r="I144" s="221">
        <f>IF(A144="Total",VLOOKUP(B144,CORRESPONDANCE[#All],2,FALSE),I145)</f>
        <v/>
      </c>
      <c r="J144" s="350">
        <f>LEFT(A144,1)</f>
        <v/>
      </c>
      <c r="K144" s="347">
        <f>"HART"&amp;" - "&amp;A144</f>
        <v/>
      </c>
      <c r="L144" s="347">
        <f>+VLOOKUP(K144,TL[],4,FALSE)</f>
        <v/>
      </c>
    </row>
    <row r="145" ht="15" customHeight="1" s="161">
      <c r="A145" s="290" t="n"/>
      <c r="B145" s="290" t="n"/>
      <c r="C145" s="290" t="n"/>
      <c r="D145" s="290" t="n"/>
      <c r="E145" s="290" t="n"/>
      <c r="F145" s="290" t="n"/>
      <c r="G145" s="220">
        <f>SUM(C145)-SUM(D145)</f>
        <v/>
      </c>
      <c r="H145" s="220">
        <f>SUM(E145)-SUM(F145)</f>
        <v/>
      </c>
      <c r="I145" s="221">
        <f>IF(A145="Total",VLOOKUP(B145,CORRESPONDANCE[#All],2,FALSE),I146)</f>
        <v/>
      </c>
      <c r="J145" s="350">
        <f>LEFT(A145,1)</f>
        <v/>
      </c>
      <c r="K145" s="347">
        <f>"HART"&amp;" - "&amp;A145</f>
        <v/>
      </c>
      <c r="L145" s="347">
        <f>+VLOOKUP(K145,TL[],4,FALSE)</f>
        <v/>
      </c>
    </row>
    <row r="146" ht="15" customHeight="1" s="161">
      <c r="A146" s="290" t="n"/>
      <c r="B146" s="290" t="n"/>
      <c r="C146" s="290" t="n"/>
      <c r="D146" s="290" t="n"/>
      <c r="E146" s="290" t="n"/>
      <c r="F146" s="290" t="n"/>
      <c r="G146" s="220">
        <f>SUM(C146)-SUM(D146)</f>
        <v/>
      </c>
      <c r="H146" s="220">
        <f>SUM(E146)-SUM(F146)</f>
        <v/>
      </c>
      <c r="I146" s="221">
        <f>IF(A146="Total",VLOOKUP(B146,CORRESPONDANCE[#All],2,FALSE),I147)</f>
        <v/>
      </c>
      <c r="J146" s="350">
        <f>LEFT(A146,1)</f>
        <v/>
      </c>
      <c r="K146" s="347">
        <f>"HART"&amp;" - "&amp;A146</f>
        <v/>
      </c>
      <c r="L146" s="347">
        <f>+VLOOKUP(K146,TL[],4,FALSE)</f>
        <v/>
      </c>
    </row>
    <row r="147" ht="15" customHeight="1" s="161">
      <c r="A147" s="290" t="n"/>
      <c r="B147" s="290" t="n"/>
      <c r="C147" s="290" t="n"/>
      <c r="D147" s="290" t="n"/>
      <c r="E147" s="290" t="n"/>
      <c r="F147" s="290" t="n"/>
      <c r="G147" s="220">
        <f>SUM(C147)-SUM(D147)</f>
        <v/>
      </c>
      <c r="H147" s="220">
        <f>SUM(E147)-SUM(F147)</f>
        <v/>
      </c>
      <c r="I147" s="221">
        <f>IF(A147="Total",VLOOKUP(B147,CORRESPONDANCE[#All],2,FALSE),I148)</f>
        <v/>
      </c>
      <c r="J147" s="350">
        <f>LEFT(A147,1)</f>
        <v/>
      </c>
      <c r="K147" s="347">
        <f>"HART"&amp;" - "&amp;A147</f>
        <v/>
      </c>
      <c r="L147" s="347">
        <f>+VLOOKUP(K147,TL[],4,FALSE)</f>
        <v/>
      </c>
    </row>
    <row r="148" ht="15" customHeight="1" s="161">
      <c r="A148" s="290" t="n"/>
      <c r="B148" s="290" t="n"/>
      <c r="C148" s="290" t="n"/>
      <c r="D148" s="290" t="n"/>
      <c r="E148" s="290" t="n"/>
      <c r="F148" s="290" t="n"/>
      <c r="G148" s="220">
        <f>SUM(C148)-SUM(D148)</f>
        <v/>
      </c>
      <c r="H148" s="220">
        <f>SUM(E148)-SUM(F148)</f>
        <v/>
      </c>
      <c r="I148" s="221">
        <f>IF(A148="Total",VLOOKUP(B148,CORRESPONDANCE[#All],2,FALSE),I149)</f>
        <v/>
      </c>
      <c r="J148" s="350">
        <f>LEFT(A148,1)</f>
        <v/>
      </c>
      <c r="K148" s="347">
        <f>"HART"&amp;" - "&amp;A148</f>
        <v/>
      </c>
      <c r="L148" s="347">
        <f>+VLOOKUP(K148,TL[],4,FALSE)</f>
        <v/>
      </c>
    </row>
    <row r="149" ht="15" customHeight="1" s="161">
      <c r="A149" s="290" t="n"/>
      <c r="B149" s="290" t="n"/>
      <c r="C149" s="290" t="n"/>
      <c r="D149" s="290" t="n"/>
      <c r="E149" s="290" t="n"/>
      <c r="F149" s="290" t="n"/>
      <c r="G149" s="220">
        <f>SUM(C149)-SUM(D149)</f>
        <v/>
      </c>
      <c r="H149" s="220">
        <f>SUM(E149)-SUM(F149)</f>
        <v/>
      </c>
      <c r="I149" s="221">
        <f>IF(A149="Total",VLOOKUP(B149,CORRESPONDANCE[#All],2,FALSE),I150)</f>
        <v/>
      </c>
      <c r="J149" s="350">
        <f>LEFT(A149,1)</f>
        <v/>
      </c>
      <c r="K149" s="347">
        <f>"HART"&amp;" - "&amp;A149</f>
        <v/>
      </c>
      <c r="L149" s="347">
        <f>+VLOOKUP(K149,TL[],4,FALSE)</f>
        <v/>
      </c>
    </row>
    <row r="150" ht="15" customHeight="1" s="161">
      <c r="A150" s="290" t="n"/>
      <c r="B150" s="290" t="n"/>
      <c r="C150" s="290" t="n"/>
      <c r="D150" s="290" t="n"/>
      <c r="E150" s="290" t="n"/>
      <c r="F150" s="290" t="n"/>
      <c r="G150" s="220">
        <f>SUM(C150)-SUM(D150)</f>
        <v/>
      </c>
      <c r="H150" s="220">
        <f>SUM(E150)-SUM(F150)</f>
        <v/>
      </c>
      <c r="I150" s="221">
        <f>IF(A150="Total",VLOOKUP(B150,CORRESPONDANCE[#All],2,FALSE),I151)</f>
        <v/>
      </c>
      <c r="J150" s="350">
        <f>LEFT(A150,1)</f>
        <v/>
      </c>
      <c r="K150" s="347">
        <f>"HART"&amp;" - "&amp;A150</f>
        <v/>
      </c>
      <c r="L150" s="347">
        <f>+VLOOKUP(K150,TL[],4,FALSE)</f>
        <v/>
      </c>
    </row>
    <row r="151" ht="15" customHeight="1" s="161">
      <c r="A151" s="290" t="n"/>
      <c r="B151" s="290" t="n"/>
      <c r="C151" s="290" t="n"/>
      <c r="D151" s="290" t="n"/>
      <c r="E151" s="290" t="n"/>
      <c r="F151" s="290" t="n"/>
      <c r="G151" s="220">
        <f>SUM(C151)-SUM(D151)</f>
        <v/>
      </c>
      <c r="H151" s="220">
        <f>SUM(E151)-SUM(F151)</f>
        <v/>
      </c>
      <c r="I151" s="221">
        <f>IF(A151="Total",VLOOKUP(B151,CORRESPONDANCE[#All],2,FALSE),I152)</f>
        <v/>
      </c>
      <c r="J151" s="350">
        <f>LEFT(A151,1)</f>
        <v/>
      </c>
      <c r="K151" s="347">
        <f>"HART"&amp;" - "&amp;A151</f>
        <v/>
      </c>
      <c r="L151" s="347">
        <f>+VLOOKUP(K151,TL[],4,FALSE)</f>
        <v/>
      </c>
    </row>
    <row r="152" ht="15" customHeight="1" s="161">
      <c r="A152" s="290" t="n"/>
      <c r="B152" s="290" t="n"/>
      <c r="C152" s="290" t="n"/>
      <c r="D152" s="290" t="n"/>
      <c r="E152" s="290" t="n"/>
      <c r="F152" s="290" t="n"/>
      <c r="G152" s="220">
        <f>SUM(C152)-SUM(D152)</f>
        <v/>
      </c>
      <c r="H152" s="220">
        <f>SUM(E152)-SUM(F152)</f>
        <v/>
      </c>
      <c r="I152" s="221">
        <f>IF(A152="Total",VLOOKUP(B152,CORRESPONDANCE[#All],2,FALSE),I153)</f>
        <v/>
      </c>
      <c r="J152" s="350">
        <f>LEFT(A152,1)</f>
        <v/>
      </c>
      <c r="K152" s="347">
        <f>"HART"&amp;" - "&amp;A152</f>
        <v/>
      </c>
      <c r="L152" s="347">
        <f>+VLOOKUP(K152,TL[],4,FALSE)</f>
        <v/>
      </c>
    </row>
    <row r="153" ht="15" customHeight="1" s="161">
      <c r="A153" s="290" t="n"/>
      <c r="B153" s="290" t="n"/>
      <c r="C153" s="290" t="n"/>
      <c r="D153" s="290" t="n"/>
      <c r="E153" s="290" t="n"/>
      <c r="F153" s="290" t="n"/>
      <c r="G153" s="220">
        <f>SUM(C153)-SUM(D153)</f>
        <v/>
      </c>
      <c r="H153" s="220">
        <f>SUM(E153)-SUM(F153)</f>
        <v/>
      </c>
      <c r="I153" s="221">
        <f>IF(A153="Total",VLOOKUP(B153,CORRESPONDANCE[#All],2,FALSE),I154)</f>
        <v/>
      </c>
      <c r="J153" s="350">
        <f>LEFT(A153,1)</f>
        <v/>
      </c>
      <c r="K153" s="347">
        <f>"HART"&amp;" - "&amp;A153</f>
        <v/>
      </c>
      <c r="L153" s="347">
        <f>+VLOOKUP(K153,TL[],4,FALSE)</f>
        <v/>
      </c>
    </row>
    <row r="154" ht="15" customHeight="1" s="161">
      <c r="A154" s="290" t="n"/>
      <c r="B154" s="290" t="n"/>
      <c r="C154" s="290" t="n"/>
      <c r="D154" s="290" t="n"/>
      <c r="E154" s="290" t="n"/>
      <c r="F154" s="290" t="n"/>
      <c r="G154" s="220">
        <f>SUM(C154)-SUM(D154)</f>
        <v/>
      </c>
      <c r="H154" s="220">
        <f>SUM(E154)-SUM(F154)</f>
        <v/>
      </c>
      <c r="I154" s="221">
        <f>IF(A154="Total",VLOOKUP(B154,CORRESPONDANCE[#All],2,FALSE),I155)</f>
        <v/>
      </c>
      <c r="J154" s="350">
        <f>LEFT(A154,1)</f>
        <v/>
      </c>
      <c r="K154" s="347">
        <f>"HART"&amp;" - "&amp;A154</f>
        <v/>
      </c>
      <c r="L154" s="347">
        <f>+VLOOKUP(K154,TL[],4,FALSE)</f>
        <v/>
      </c>
    </row>
    <row r="155" ht="15" customHeight="1" s="161">
      <c r="A155" s="290" t="n"/>
      <c r="B155" s="290" t="n"/>
      <c r="C155" s="290" t="n"/>
      <c r="D155" s="290" t="n"/>
      <c r="E155" s="290" t="n"/>
      <c r="F155" s="290" t="n"/>
      <c r="G155" s="220">
        <f>SUM(C155)-SUM(D155)</f>
        <v/>
      </c>
      <c r="H155" s="220">
        <f>SUM(E155)-SUM(F155)</f>
        <v/>
      </c>
      <c r="I155" s="221">
        <f>IF(A155="Total",VLOOKUP(B155,CORRESPONDANCE[#All],2,FALSE),I156)</f>
        <v/>
      </c>
      <c r="J155" s="350">
        <f>LEFT(A155,1)</f>
        <v/>
      </c>
      <c r="K155" s="347">
        <f>"HART"&amp;" - "&amp;A155</f>
        <v/>
      </c>
      <c r="L155" s="347">
        <f>+VLOOKUP(K155,TL[],4,FALSE)</f>
        <v/>
      </c>
    </row>
    <row r="156" ht="15" customHeight="1" s="161">
      <c r="A156" s="290" t="n"/>
      <c r="B156" s="290" t="n"/>
      <c r="C156" s="290" t="n"/>
      <c r="D156" s="290" t="n"/>
      <c r="E156" s="290" t="n"/>
      <c r="F156" s="290" t="n"/>
      <c r="G156" s="220">
        <f>SUM(C156)-SUM(D156)</f>
        <v/>
      </c>
      <c r="H156" s="220">
        <f>SUM(E156)-SUM(F156)</f>
        <v/>
      </c>
      <c r="I156" s="221">
        <f>IF(A156="Total",VLOOKUP(B156,CORRESPONDANCE[#All],2,FALSE),I157)</f>
        <v/>
      </c>
      <c r="J156" s="350">
        <f>LEFT(A156,1)</f>
        <v/>
      </c>
      <c r="K156" s="347">
        <f>"HART"&amp;" - "&amp;A156</f>
        <v/>
      </c>
      <c r="L156" s="347">
        <f>+VLOOKUP(K156,TL[],4,FALSE)</f>
        <v/>
      </c>
    </row>
    <row r="157" ht="15" customHeight="1" s="161">
      <c r="A157" s="290" t="n"/>
      <c r="B157" s="290" t="n"/>
      <c r="C157" s="290" t="n"/>
      <c r="D157" s="290" t="n"/>
      <c r="E157" s="290" t="n"/>
      <c r="F157" s="290" t="n"/>
      <c r="G157" s="220">
        <f>SUM(C157)-SUM(D157)</f>
        <v/>
      </c>
      <c r="H157" s="220">
        <f>SUM(E157)-SUM(F157)</f>
        <v/>
      </c>
      <c r="I157" s="221">
        <f>IF(A157="Total",VLOOKUP(B157,CORRESPONDANCE[#All],2,FALSE),I158)</f>
        <v/>
      </c>
      <c r="J157" s="350">
        <f>LEFT(A157,1)</f>
        <v/>
      </c>
      <c r="K157" s="347">
        <f>"HART"&amp;" - "&amp;A157</f>
        <v/>
      </c>
      <c r="L157" s="347">
        <f>+VLOOKUP(K157,TL[],4,FALSE)</f>
        <v/>
      </c>
    </row>
    <row r="158" ht="15" customHeight="1" s="161">
      <c r="A158" s="290" t="n"/>
      <c r="B158" s="290" t="n"/>
      <c r="C158" s="290" t="n"/>
      <c r="D158" s="290" t="n"/>
      <c r="E158" s="290" t="n"/>
      <c r="F158" s="290" t="n"/>
      <c r="G158" s="220">
        <f>SUM(C158)-SUM(D158)</f>
        <v/>
      </c>
      <c r="H158" s="220">
        <f>SUM(E158)-SUM(F158)</f>
        <v/>
      </c>
      <c r="I158" s="221">
        <f>IF(A158="Total",VLOOKUP(B158,CORRESPONDANCE[#All],2,FALSE),I159)</f>
        <v/>
      </c>
      <c r="J158" s="350">
        <f>LEFT(A158,1)</f>
        <v/>
      </c>
      <c r="K158" s="347">
        <f>"HART"&amp;" - "&amp;A158</f>
        <v/>
      </c>
      <c r="L158" s="347">
        <f>+VLOOKUP(K158,TL[],4,FALSE)</f>
        <v/>
      </c>
    </row>
    <row r="159" ht="15" customHeight="1" s="161">
      <c r="A159" s="290" t="n"/>
      <c r="B159" s="290" t="n"/>
      <c r="C159" s="290" t="n"/>
      <c r="D159" s="290" t="n"/>
      <c r="E159" s="290" t="n"/>
      <c r="F159" s="290" t="n"/>
      <c r="G159" s="220">
        <f>SUM(C159)-SUM(D159)</f>
        <v/>
      </c>
      <c r="H159" s="220">
        <f>SUM(E159)-SUM(F159)</f>
        <v/>
      </c>
      <c r="I159" s="221">
        <f>IF(A159="Total",VLOOKUP(B159,CORRESPONDANCE[#All],2,FALSE),I160)</f>
        <v/>
      </c>
      <c r="J159" s="350">
        <f>LEFT(A159,1)</f>
        <v/>
      </c>
      <c r="K159" s="347">
        <f>"HART"&amp;" - "&amp;A159</f>
        <v/>
      </c>
      <c r="L159" s="347">
        <f>+VLOOKUP(K159,TL[],4,FALSE)</f>
        <v/>
      </c>
    </row>
    <row r="160" ht="15" customHeight="1" s="161">
      <c r="A160" s="290" t="n"/>
      <c r="B160" s="290" t="n"/>
      <c r="C160" s="290" t="n"/>
      <c r="D160" s="290" t="n"/>
      <c r="E160" s="290" t="n"/>
      <c r="F160" s="290" t="n"/>
      <c r="G160" s="220">
        <f>SUM(C160)-SUM(D160)</f>
        <v/>
      </c>
      <c r="H160" s="220">
        <f>SUM(E160)-SUM(F160)</f>
        <v/>
      </c>
      <c r="I160" s="221">
        <f>IF(A160="Total",VLOOKUP(B160,CORRESPONDANCE[#All],2,FALSE),I161)</f>
        <v/>
      </c>
      <c r="J160" s="350">
        <f>LEFT(A160,1)</f>
        <v/>
      </c>
      <c r="K160" s="347">
        <f>"HART"&amp;" - "&amp;A160</f>
        <v/>
      </c>
      <c r="L160" s="347">
        <f>+VLOOKUP(K160,TL[],4,FALSE)</f>
        <v/>
      </c>
    </row>
    <row r="161" ht="15" customHeight="1" s="161">
      <c r="A161" s="290" t="n"/>
      <c r="B161" s="290" t="n"/>
      <c r="C161" s="290" t="n"/>
      <c r="D161" s="290" t="n"/>
      <c r="E161" s="290" t="n"/>
      <c r="F161" s="290" t="n"/>
      <c r="G161" s="220">
        <f>SUM(C161)-SUM(D161)</f>
        <v/>
      </c>
      <c r="H161" s="220">
        <f>SUM(E161)-SUM(F161)</f>
        <v/>
      </c>
      <c r="I161" s="221">
        <f>IF(A161="Total",VLOOKUP(B161,CORRESPONDANCE[#All],2,FALSE),I162)</f>
        <v/>
      </c>
      <c r="J161" s="350">
        <f>LEFT(A161,1)</f>
        <v/>
      </c>
      <c r="K161" s="347">
        <f>"HART"&amp;" - "&amp;A161</f>
        <v/>
      </c>
      <c r="L161" s="347">
        <f>+VLOOKUP(K161,TL[],4,FALSE)</f>
        <v/>
      </c>
    </row>
    <row r="162" ht="15" customHeight="1" s="161">
      <c r="A162" s="290" t="n"/>
      <c r="B162" s="290" t="n"/>
      <c r="C162" s="290" t="n"/>
      <c r="D162" s="290" t="n"/>
      <c r="E162" s="290" t="n"/>
      <c r="F162" s="290" t="n"/>
      <c r="G162" s="220">
        <f>SUM(C162)-SUM(D162)</f>
        <v/>
      </c>
      <c r="H162" s="220">
        <f>SUM(E162)-SUM(F162)</f>
        <v/>
      </c>
      <c r="I162" s="221">
        <f>IF(A162="Total",VLOOKUP(B162,CORRESPONDANCE[#All],2,FALSE),I163)</f>
        <v/>
      </c>
      <c r="J162" s="350">
        <f>LEFT(A162,1)</f>
        <v/>
      </c>
      <c r="K162" s="347">
        <f>"HART"&amp;" - "&amp;A162</f>
        <v/>
      </c>
      <c r="L162" s="347">
        <f>+VLOOKUP(K162,TL[],4,FALSE)</f>
        <v/>
      </c>
    </row>
    <row r="163" ht="15" customHeight="1" s="161">
      <c r="A163" s="290" t="n"/>
      <c r="B163" s="290" t="n"/>
      <c r="C163" s="290" t="n"/>
      <c r="D163" s="290" t="n"/>
      <c r="E163" s="290" t="n"/>
      <c r="F163" s="290" t="n"/>
      <c r="G163" s="220">
        <f>SUM(C163)-SUM(D163)</f>
        <v/>
      </c>
      <c r="H163" s="220">
        <f>SUM(E163)-SUM(F163)</f>
        <v/>
      </c>
      <c r="I163" s="221">
        <f>IF(A163="Total",VLOOKUP(B163,CORRESPONDANCE[#All],2,FALSE),I164)</f>
        <v/>
      </c>
      <c r="J163" s="350">
        <f>LEFT(A163,1)</f>
        <v/>
      </c>
      <c r="K163" s="347">
        <f>"HART"&amp;" - "&amp;A163</f>
        <v/>
      </c>
      <c r="L163" s="347">
        <f>+VLOOKUP(K163,TL[],4,FALSE)</f>
        <v/>
      </c>
    </row>
    <row r="164" ht="15" customHeight="1" s="161">
      <c r="A164" s="290" t="n"/>
      <c r="B164" s="290" t="n"/>
      <c r="C164" s="290" t="n"/>
      <c r="D164" s="290" t="n"/>
      <c r="E164" s="290" t="n"/>
      <c r="F164" s="290" t="n"/>
      <c r="G164" s="220">
        <f>SUM(C164)-SUM(D164)</f>
        <v/>
      </c>
      <c r="H164" s="220">
        <f>SUM(E164)-SUM(F164)</f>
        <v/>
      </c>
      <c r="I164" s="221">
        <f>IF(A164="Total",VLOOKUP(B164,CORRESPONDANCE[#All],2,FALSE),I165)</f>
        <v/>
      </c>
      <c r="J164" s="350">
        <f>LEFT(A164,1)</f>
        <v/>
      </c>
      <c r="K164" s="347">
        <f>"HART"&amp;" - "&amp;A164</f>
        <v/>
      </c>
      <c r="L164" s="347">
        <f>+VLOOKUP(K164,TL[],4,FALSE)</f>
        <v/>
      </c>
    </row>
    <row r="165" ht="15" customHeight="1" s="161">
      <c r="A165" s="290" t="n"/>
      <c r="B165" s="290" t="n"/>
      <c r="C165" s="290" t="n"/>
      <c r="D165" s="290" t="n"/>
      <c r="E165" s="290" t="n"/>
      <c r="F165" s="290" t="n"/>
      <c r="G165" s="220">
        <f>SUM(C165)-SUM(D165)</f>
        <v/>
      </c>
      <c r="H165" s="220">
        <f>SUM(E165)-SUM(F165)</f>
        <v/>
      </c>
      <c r="I165" s="221">
        <f>IF(A165="Total",VLOOKUP(B165,CORRESPONDANCE[#All],2,FALSE),I166)</f>
        <v/>
      </c>
      <c r="J165" s="350">
        <f>LEFT(A165,1)</f>
        <v/>
      </c>
      <c r="K165" s="347">
        <f>"HART"&amp;" - "&amp;A165</f>
        <v/>
      </c>
      <c r="L165" s="347">
        <f>+VLOOKUP(K165,TL[],4,FALSE)</f>
        <v/>
      </c>
    </row>
    <row r="166" ht="15" customHeight="1" s="161">
      <c r="A166" s="290" t="n"/>
      <c r="B166" s="290" t="n"/>
      <c r="C166" s="290" t="n"/>
      <c r="D166" s="290" t="n"/>
      <c r="E166" s="290" t="n"/>
      <c r="F166" s="290" t="n"/>
      <c r="G166" s="220">
        <f>SUM(C166)-SUM(D166)</f>
        <v/>
      </c>
      <c r="H166" s="220">
        <f>SUM(E166)-SUM(F166)</f>
        <v/>
      </c>
      <c r="I166" s="221">
        <f>IF(A166="Total",VLOOKUP(B166,CORRESPONDANCE[#All],2,FALSE),I167)</f>
        <v/>
      </c>
      <c r="J166" s="350">
        <f>LEFT(A166,1)</f>
        <v/>
      </c>
      <c r="K166" s="347">
        <f>"HART"&amp;" - "&amp;A166</f>
        <v/>
      </c>
      <c r="L166" s="347">
        <f>+VLOOKUP(K166,TL[],4,FALSE)</f>
        <v/>
      </c>
    </row>
    <row r="167" ht="15" customHeight="1" s="161">
      <c r="A167" s="290" t="n"/>
      <c r="B167" s="290" t="n"/>
      <c r="C167" s="290" t="n"/>
      <c r="D167" s="290" t="n"/>
      <c r="E167" s="290" t="n"/>
      <c r="F167" s="290" t="n"/>
      <c r="G167" s="220">
        <f>SUM(C167)-SUM(D167)</f>
        <v/>
      </c>
      <c r="H167" s="220">
        <f>SUM(E167)-SUM(F167)</f>
        <v/>
      </c>
      <c r="I167" s="221">
        <f>IF(A167="Total",VLOOKUP(B167,CORRESPONDANCE[#All],2,FALSE),I168)</f>
        <v/>
      </c>
      <c r="J167" s="350">
        <f>LEFT(A167,1)</f>
        <v/>
      </c>
      <c r="K167" s="347">
        <f>"HART"&amp;" - "&amp;A167</f>
        <v/>
      </c>
      <c r="L167" s="347">
        <f>+VLOOKUP(K167,TL[],4,FALSE)</f>
        <v/>
      </c>
    </row>
    <row r="168" ht="15" customHeight="1" s="161">
      <c r="A168" s="290" t="n"/>
      <c r="B168" s="290" t="n"/>
      <c r="C168" s="290" t="n"/>
      <c r="D168" s="290" t="n"/>
      <c r="E168" s="290" t="n"/>
      <c r="F168" s="290" t="n"/>
      <c r="G168" s="220">
        <f>SUM(C168)-SUM(D168)</f>
        <v/>
      </c>
      <c r="H168" s="220">
        <f>SUM(E168)-SUM(F168)</f>
        <v/>
      </c>
      <c r="I168" s="221">
        <f>IF(A168="Total",VLOOKUP(B168,CORRESPONDANCE[#All],2,FALSE),I169)</f>
        <v/>
      </c>
      <c r="J168" s="350">
        <f>LEFT(A168,1)</f>
        <v/>
      </c>
      <c r="K168" s="347">
        <f>"HART"&amp;" - "&amp;A168</f>
        <v/>
      </c>
      <c r="L168" s="347">
        <f>+VLOOKUP(K168,TL[],4,FALSE)</f>
        <v/>
      </c>
    </row>
    <row r="169" ht="15" customHeight="1" s="161">
      <c r="A169" s="290" t="n"/>
      <c r="B169" s="290" t="n"/>
      <c r="C169" s="290" t="n"/>
      <c r="D169" s="290" t="n"/>
      <c r="E169" s="290" t="n"/>
      <c r="F169" s="290" t="n"/>
      <c r="G169" s="220">
        <f>SUM(C169)-SUM(D169)</f>
        <v/>
      </c>
      <c r="H169" s="220">
        <f>SUM(E169)-SUM(F169)</f>
        <v/>
      </c>
      <c r="I169" s="221">
        <f>IF(A169="Total",VLOOKUP(B169,CORRESPONDANCE[#All],2,FALSE),I170)</f>
        <v/>
      </c>
      <c r="J169" s="350">
        <f>LEFT(A169,1)</f>
        <v/>
      </c>
      <c r="K169" s="347">
        <f>"HART"&amp;" - "&amp;A169</f>
        <v/>
      </c>
      <c r="L169" s="347">
        <f>+VLOOKUP(K169,TL[],4,FALSE)</f>
        <v/>
      </c>
    </row>
    <row r="170" ht="15" customHeight="1" s="161">
      <c r="A170" s="290" t="n"/>
      <c r="B170" s="290" t="n"/>
      <c r="C170" s="290" t="n"/>
      <c r="D170" s="290" t="n"/>
      <c r="E170" s="290" t="n"/>
      <c r="F170" s="290" t="n"/>
      <c r="G170" s="220">
        <f>SUM(C170)-SUM(D170)</f>
        <v/>
      </c>
      <c r="H170" s="220">
        <f>SUM(E170)-SUM(F170)</f>
        <v/>
      </c>
      <c r="I170" s="221">
        <f>IF(A170="Total",VLOOKUP(B170,CORRESPONDANCE[#All],2,FALSE),I171)</f>
        <v/>
      </c>
      <c r="J170" s="350">
        <f>LEFT(A170,1)</f>
        <v/>
      </c>
      <c r="K170" s="347">
        <f>"HART"&amp;" - "&amp;A170</f>
        <v/>
      </c>
      <c r="L170" s="347">
        <f>+VLOOKUP(K170,TL[],4,FALSE)</f>
        <v/>
      </c>
    </row>
    <row r="171" ht="15" customHeight="1" s="161">
      <c r="A171" s="290" t="n"/>
      <c r="B171" s="290" t="n"/>
      <c r="C171" s="290" t="n"/>
      <c r="D171" s="290" t="n"/>
      <c r="E171" s="290" t="n"/>
      <c r="F171" s="290" t="n"/>
      <c r="G171" s="220">
        <f>SUM(C171)-SUM(D171)</f>
        <v/>
      </c>
      <c r="H171" s="220">
        <f>SUM(E171)-SUM(F171)</f>
        <v/>
      </c>
      <c r="I171" s="221">
        <f>IF(A171="Total",VLOOKUP(B171,CORRESPONDANCE[#All],2,FALSE),I172)</f>
        <v/>
      </c>
      <c r="J171" s="350">
        <f>LEFT(A171,1)</f>
        <v/>
      </c>
      <c r="K171" s="347">
        <f>"HART"&amp;" - "&amp;A171</f>
        <v/>
      </c>
      <c r="L171" s="347">
        <f>+VLOOKUP(K171,TL[],4,FALSE)</f>
        <v/>
      </c>
    </row>
    <row r="172" ht="15" customHeight="1" s="161">
      <c r="A172" s="290" t="n"/>
      <c r="B172" s="290" t="n"/>
      <c r="C172" s="290" t="n"/>
      <c r="D172" s="290" t="n"/>
      <c r="E172" s="290" t="n"/>
      <c r="F172" s="290" t="n"/>
      <c r="G172" s="220">
        <f>SUM(C172)-SUM(D172)</f>
        <v/>
      </c>
      <c r="H172" s="220">
        <f>SUM(E172)-SUM(F172)</f>
        <v/>
      </c>
      <c r="I172" s="221">
        <f>IF(A172="Total",VLOOKUP(B172,CORRESPONDANCE[#All],2,FALSE),I173)</f>
        <v/>
      </c>
      <c r="J172" s="350">
        <f>LEFT(A172,1)</f>
        <v/>
      </c>
      <c r="K172" s="347">
        <f>"HART"&amp;" - "&amp;A172</f>
        <v/>
      </c>
      <c r="L172" s="347">
        <f>+VLOOKUP(K172,TL[],4,FALSE)</f>
        <v/>
      </c>
    </row>
    <row r="173" ht="15" customHeight="1" s="161">
      <c r="A173" s="290" t="n"/>
      <c r="B173" s="290" t="n"/>
      <c r="C173" s="290" t="n"/>
      <c r="D173" s="290" t="n"/>
      <c r="E173" s="290" t="n"/>
      <c r="F173" s="290" t="n"/>
      <c r="G173" s="220">
        <f>SUM(C173)-SUM(D173)</f>
        <v/>
      </c>
      <c r="H173" s="220">
        <f>SUM(E173)-SUM(F173)</f>
        <v/>
      </c>
      <c r="I173" s="221">
        <f>IF(A173="Total",VLOOKUP(B173,CORRESPONDANCE[#All],2,FALSE),I174)</f>
        <v/>
      </c>
      <c r="J173" s="350">
        <f>LEFT(A173,1)</f>
        <v/>
      </c>
      <c r="K173" s="347">
        <f>"HART"&amp;" - "&amp;A173</f>
        <v/>
      </c>
      <c r="L173" s="347">
        <f>+VLOOKUP(K173,TL[],4,FALSE)</f>
        <v/>
      </c>
    </row>
    <row r="174" ht="15" customHeight="1" s="161">
      <c r="A174" s="290" t="n"/>
      <c r="B174" s="290" t="n"/>
      <c r="C174" s="290" t="n"/>
      <c r="D174" s="290" t="n"/>
      <c r="E174" s="290" t="n"/>
      <c r="F174" s="290" t="n"/>
      <c r="G174" s="220">
        <f>SUM(C174)-SUM(D174)</f>
        <v/>
      </c>
      <c r="H174" s="220">
        <f>SUM(E174)-SUM(F174)</f>
        <v/>
      </c>
      <c r="I174" s="221">
        <f>IF(A174="Total",VLOOKUP(B174,CORRESPONDANCE[#All],2,FALSE),I175)</f>
        <v/>
      </c>
      <c r="J174" s="350">
        <f>LEFT(A174,1)</f>
        <v/>
      </c>
      <c r="K174" s="347">
        <f>"HART"&amp;" - "&amp;A174</f>
        <v/>
      </c>
      <c r="L174" s="347">
        <f>+VLOOKUP(K174,TL[],4,FALSE)</f>
        <v/>
      </c>
    </row>
    <row r="175" ht="15" customHeight="1" s="161">
      <c r="A175" s="290" t="n"/>
      <c r="B175" s="290" t="n"/>
      <c r="C175" s="290" t="n"/>
      <c r="D175" s="290" t="n"/>
      <c r="E175" s="290" t="n"/>
      <c r="F175" s="290" t="n"/>
      <c r="G175" s="220">
        <f>SUM(C175)-SUM(D175)</f>
        <v/>
      </c>
      <c r="H175" s="220">
        <f>SUM(E175)-SUM(F175)</f>
        <v/>
      </c>
      <c r="I175" s="221">
        <f>IF(A175="Total",VLOOKUP(B175,CORRESPONDANCE[#All],2,FALSE),I176)</f>
        <v/>
      </c>
      <c r="J175" s="350">
        <f>LEFT(A175,1)</f>
        <v/>
      </c>
      <c r="K175" s="347">
        <f>"HART"&amp;" - "&amp;A175</f>
        <v/>
      </c>
      <c r="L175" s="347">
        <f>+VLOOKUP(K175,TL[],4,FALSE)</f>
        <v/>
      </c>
    </row>
    <row r="176" ht="15" customHeight="1" s="161">
      <c r="A176" s="290" t="n"/>
      <c r="B176" s="290" t="n"/>
      <c r="C176" s="290" t="n"/>
      <c r="D176" s="290" t="n"/>
      <c r="E176" s="290" t="n"/>
      <c r="F176" s="290" t="n"/>
      <c r="G176" s="220">
        <f>SUM(C176)-SUM(D176)</f>
        <v/>
      </c>
      <c r="H176" s="220">
        <f>SUM(E176)-SUM(F176)</f>
        <v/>
      </c>
      <c r="I176" s="221">
        <f>IF(A176="Total",VLOOKUP(B176,CORRESPONDANCE[#All],2,FALSE),I177)</f>
        <v/>
      </c>
      <c r="J176" s="350">
        <f>LEFT(A176,1)</f>
        <v/>
      </c>
      <c r="K176" s="347">
        <f>"HART"&amp;" - "&amp;A176</f>
        <v/>
      </c>
      <c r="L176" s="347">
        <f>+VLOOKUP(K176,TL[],4,FALSE)</f>
        <v/>
      </c>
    </row>
    <row r="177" ht="15" customHeight="1" s="161">
      <c r="A177" s="289" t="n"/>
      <c r="B177" s="289" t="n"/>
      <c r="C177" s="289" t="n"/>
      <c r="D177" s="289" t="n"/>
      <c r="E177" s="289" t="n"/>
      <c r="F177" s="289" t="n"/>
      <c r="G177" s="220">
        <f>SUM(C177)-SUM(D177)</f>
        <v/>
      </c>
      <c r="H177" s="220">
        <f>SUM(E177)-SUM(F177)</f>
        <v/>
      </c>
      <c r="I177" s="221">
        <f>IF(A177="Total",VLOOKUP(B177,CORRESPONDANCE[#All],2,FALSE),I178)</f>
        <v/>
      </c>
      <c r="J177" s="350">
        <f>LEFT(A177,1)</f>
        <v/>
      </c>
      <c r="K177" s="347">
        <f>"HART"&amp;" - "&amp;A177</f>
        <v/>
      </c>
      <c r="L177" s="347">
        <f>+VLOOKUP(K177,TL[],4,FALSE)</f>
        <v/>
      </c>
    </row>
    <row r="178" ht="15" customHeight="1" s="161">
      <c r="A178" s="289" t="n"/>
      <c r="B178" s="289" t="n"/>
      <c r="C178" s="289" t="n"/>
      <c r="D178" s="289" t="n"/>
      <c r="E178" s="289" t="n"/>
      <c r="F178" s="289" t="n"/>
      <c r="G178" s="220">
        <f>SUM(C178)-SUM(D178)</f>
        <v/>
      </c>
      <c r="H178" s="220">
        <f>SUM(E178)-SUM(F178)</f>
        <v/>
      </c>
      <c r="I178" s="221">
        <f>IF(A178="Total",VLOOKUP(B178,CORRESPONDANCE[#All],2,FALSE),I179)</f>
        <v/>
      </c>
      <c r="J178" s="350">
        <f>LEFT(A178,1)</f>
        <v/>
      </c>
      <c r="K178" s="347">
        <f>"HART"&amp;" - "&amp;A178</f>
        <v/>
      </c>
      <c r="L178" s="347">
        <f>+VLOOKUP(K178,TL[],4,FALSE)</f>
        <v/>
      </c>
    </row>
    <row r="179" ht="15" customHeight="1" s="161">
      <c r="A179" s="289" t="n"/>
      <c r="B179" s="289" t="n"/>
      <c r="C179" s="289" t="n"/>
      <c r="D179" s="289" t="n"/>
      <c r="E179" s="289" t="n"/>
      <c r="F179" s="289" t="n"/>
      <c r="G179" s="220">
        <f>SUM(C179)-SUM(D179)</f>
        <v/>
      </c>
      <c r="H179" s="220">
        <f>SUM(E179)-SUM(F179)</f>
        <v/>
      </c>
      <c r="I179" s="221">
        <f>IF(A179="Total",VLOOKUP(B179,CORRESPONDANCE[#All],2,FALSE),I180)</f>
        <v/>
      </c>
      <c r="J179" s="350">
        <f>LEFT(A179,1)</f>
        <v/>
      </c>
      <c r="K179" s="347">
        <f>"HART"&amp;" - "&amp;A179</f>
        <v/>
      </c>
      <c r="L179" s="347">
        <f>+VLOOKUP(K179,TL[],4,FALSE)</f>
        <v/>
      </c>
    </row>
    <row r="180" ht="15" customHeight="1" s="161">
      <c r="A180" s="289" t="n"/>
      <c r="B180" s="289" t="n"/>
      <c r="C180" s="289" t="n"/>
      <c r="D180" s="289" t="n"/>
      <c r="E180" s="289" t="n"/>
      <c r="F180" s="289" t="n"/>
      <c r="G180" s="220">
        <f>SUM(C180)-SUM(D180)</f>
        <v/>
      </c>
      <c r="H180" s="220">
        <f>SUM(E180)-SUM(F180)</f>
        <v/>
      </c>
      <c r="I180" s="221">
        <f>IF(A180="Total",VLOOKUP(B180,CORRESPONDANCE[#All],2,FALSE),I181)</f>
        <v/>
      </c>
      <c r="J180" s="350">
        <f>LEFT(A180,1)</f>
        <v/>
      </c>
      <c r="K180" s="347">
        <f>"HART"&amp;" - "&amp;A180</f>
        <v/>
      </c>
      <c r="L180" s="347">
        <f>+VLOOKUP(K180,TL[],4,FALSE)</f>
        <v/>
      </c>
    </row>
    <row r="181" ht="15" customHeight="1" s="161">
      <c r="A181" s="289" t="n"/>
      <c r="B181" s="289" t="n"/>
      <c r="C181" s="289" t="n"/>
      <c r="D181" s="289" t="n"/>
      <c r="E181" s="289" t="n"/>
      <c r="F181" s="289" t="n"/>
      <c r="G181" s="220">
        <f>SUM(C181)-SUM(D181)</f>
        <v/>
      </c>
      <c r="H181" s="220">
        <f>SUM(E181)-SUM(F181)</f>
        <v/>
      </c>
      <c r="I181" s="221">
        <f>IF(A181="Total",VLOOKUP(B181,CORRESPONDANCE[#All],2,FALSE),I182)</f>
        <v/>
      </c>
      <c r="J181" s="350">
        <f>LEFT(A181,1)</f>
        <v/>
      </c>
      <c r="K181" s="347">
        <f>"HART"&amp;" - "&amp;A181</f>
        <v/>
      </c>
      <c r="L181" s="347">
        <f>+VLOOKUP(K181,TL[],4,FALSE)</f>
        <v/>
      </c>
    </row>
    <row r="182" ht="15" customHeight="1" s="161">
      <c r="A182" s="289" t="n"/>
      <c r="B182" s="289" t="n"/>
      <c r="C182" s="289" t="n"/>
      <c r="D182" s="289" t="n"/>
      <c r="E182" s="289" t="n"/>
      <c r="F182" s="289" t="n"/>
      <c r="G182" s="220">
        <f>SUM(C182)-SUM(D182)</f>
        <v/>
      </c>
      <c r="H182" s="220">
        <f>SUM(E182)-SUM(F182)</f>
        <v/>
      </c>
      <c r="I182" s="221">
        <f>IF(A182="Total",VLOOKUP(B182,CORRESPONDANCE[#All],2,FALSE),I183)</f>
        <v/>
      </c>
      <c r="J182" s="350">
        <f>LEFT(A182,1)</f>
        <v/>
      </c>
      <c r="K182" s="347">
        <f>"HART"&amp;" - "&amp;A182</f>
        <v/>
      </c>
      <c r="L182" s="347">
        <f>+VLOOKUP(K182,TL[],4,FALSE)</f>
        <v/>
      </c>
    </row>
    <row r="183" ht="15" customHeight="1" s="161">
      <c r="A183" s="289" t="n"/>
      <c r="B183" s="289" t="n"/>
      <c r="C183" s="289" t="n"/>
      <c r="D183" s="289" t="n"/>
      <c r="E183" s="289" t="n"/>
      <c r="F183" s="289" t="n"/>
      <c r="G183" s="220">
        <f>SUM(C183)-SUM(D183)</f>
        <v/>
      </c>
      <c r="H183" s="220">
        <f>SUM(E183)-SUM(F183)</f>
        <v/>
      </c>
      <c r="I183" s="221">
        <f>IF(A183="Total",VLOOKUP(B183,CORRESPONDANCE[#All],2,FALSE),I184)</f>
        <v/>
      </c>
      <c r="J183" s="350">
        <f>LEFT(A183,1)</f>
        <v/>
      </c>
      <c r="K183" s="347">
        <f>"HART"&amp;" - "&amp;A183</f>
        <v/>
      </c>
      <c r="L183" s="347">
        <f>+VLOOKUP(K183,TL[],4,FALSE)</f>
        <v/>
      </c>
    </row>
    <row r="184" ht="15" customHeight="1" s="161">
      <c r="A184" s="289" t="n"/>
      <c r="B184" s="289" t="n"/>
      <c r="C184" s="289" t="n"/>
      <c r="D184" s="289" t="n"/>
      <c r="E184" s="289" t="n"/>
      <c r="F184" s="289" t="n"/>
      <c r="G184" s="220">
        <f>SUM(C184)-SUM(D184)</f>
        <v/>
      </c>
      <c r="H184" s="220">
        <f>SUM(E184)-SUM(F184)</f>
        <v/>
      </c>
      <c r="I184" s="221">
        <f>IF(A184="Total",VLOOKUP(B184,CORRESPONDANCE[#All],2,FALSE),I185)</f>
        <v/>
      </c>
      <c r="J184" s="350">
        <f>LEFT(A184,1)</f>
        <v/>
      </c>
      <c r="K184" s="347">
        <f>"HART"&amp;" - "&amp;A184</f>
        <v/>
      </c>
      <c r="L184" s="347">
        <f>+VLOOKUP(K184,TL[],4,FALSE)</f>
        <v/>
      </c>
    </row>
    <row r="185" ht="15" customHeight="1" s="161">
      <c r="A185" s="289" t="n"/>
      <c r="B185" s="289" t="n"/>
      <c r="C185" s="289" t="n"/>
      <c r="D185" s="289" t="n"/>
      <c r="E185" s="289" t="n"/>
      <c r="F185" s="289" t="n"/>
      <c r="G185" s="220">
        <f>SUM(C185)-SUM(D185)</f>
        <v/>
      </c>
      <c r="H185" s="220">
        <f>SUM(E185)-SUM(F185)</f>
        <v/>
      </c>
      <c r="I185" s="221">
        <f>IF(A185="Total",VLOOKUP(B185,CORRESPONDANCE[#All],2,FALSE),I186)</f>
        <v/>
      </c>
      <c r="J185" s="350">
        <f>LEFT(A185,1)</f>
        <v/>
      </c>
      <c r="K185" s="347">
        <f>"HART"&amp;" - "&amp;A185</f>
        <v/>
      </c>
      <c r="L185" s="347">
        <f>+VLOOKUP(K185,TL[],4,FALSE)</f>
        <v/>
      </c>
    </row>
    <row r="186" ht="15" customHeight="1" s="161">
      <c r="A186" s="289" t="n"/>
      <c r="B186" s="289" t="n"/>
      <c r="C186" s="289" t="n"/>
      <c r="D186" s="289" t="n"/>
      <c r="E186" s="289" t="n"/>
      <c r="F186" s="289" t="n"/>
      <c r="G186" s="220">
        <f>SUM(C186)-SUM(D186)</f>
        <v/>
      </c>
      <c r="H186" s="220">
        <f>SUM(E186)-SUM(F186)</f>
        <v/>
      </c>
      <c r="I186" s="221">
        <f>IF(A186="Total",VLOOKUP(B186,CORRESPONDANCE[#All],2,FALSE),I187)</f>
        <v/>
      </c>
      <c r="J186" s="350">
        <f>LEFT(A186,1)</f>
        <v/>
      </c>
      <c r="K186" s="347">
        <f>"HART"&amp;" - "&amp;A186</f>
        <v/>
      </c>
      <c r="L186" s="347">
        <f>+VLOOKUP(K186,TL[],4,FALSE)</f>
        <v/>
      </c>
    </row>
    <row r="187" ht="15" customHeight="1" s="161">
      <c r="A187" s="289" t="n"/>
      <c r="B187" s="289" t="n"/>
      <c r="C187" s="289" t="n"/>
      <c r="D187" s="289" t="n"/>
      <c r="E187" s="289" t="n"/>
      <c r="F187" s="289" t="n"/>
      <c r="G187" s="220">
        <f>SUM(C187)-SUM(D187)</f>
        <v/>
      </c>
      <c r="H187" s="220">
        <f>SUM(E187)-SUM(F187)</f>
        <v/>
      </c>
      <c r="I187" s="221">
        <f>IF(A187="Total",VLOOKUP(B187,CORRESPONDANCE[#All],2,FALSE),I188)</f>
        <v/>
      </c>
      <c r="J187" s="350">
        <f>LEFT(A187,1)</f>
        <v/>
      </c>
      <c r="K187" s="347">
        <f>"HART"&amp;" - "&amp;A187</f>
        <v/>
      </c>
      <c r="L187" s="347">
        <f>+VLOOKUP(K187,TL[],4,FALSE)</f>
        <v/>
      </c>
    </row>
    <row r="188" ht="15" customHeight="1" s="161">
      <c r="A188" s="289" t="n"/>
      <c r="B188" s="289" t="n"/>
      <c r="C188" s="289" t="n"/>
      <c r="D188" s="289" t="n"/>
      <c r="E188" s="289" t="n"/>
      <c r="F188" s="289" t="n"/>
      <c r="G188" s="220">
        <f>SUM(C188)-SUM(D188)</f>
        <v/>
      </c>
      <c r="H188" s="220">
        <f>SUM(E188)-SUM(F188)</f>
        <v/>
      </c>
      <c r="I188" s="221">
        <f>IF(A188="Total",VLOOKUP(B188,CORRESPONDANCE[#All],2,FALSE),I189)</f>
        <v/>
      </c>
      <c r="J188" s="350">
        <f>LEFT(A188,1)</f>
        <v/>
      </c>
      <c r="K188" s="347">
        <f>"HART"&amp;" - "&amp;A188</f>
        <v/>
      </c>
      <c r="L188" s="347">
        <f>+VLOOKUP(K188,TL[],4,FALSE)</f>
        <v/>
      </c>
    </row>
    <row r="189" ht="15" customHeight="1" s="161">
      <c r="A189" s="289" t="n"/>
      <c r="B189" s="289" t="n"/>
      <c r="C189" s="289" t="n"/>
      <c r="D189" s="289" t="n"/>
      <c r="E189" s="289" t="n"/>
      <c r="F189" s="289" t="n"/>
      <c r="G189" s="220">
        <f>SUM(C189)-SUM(D189)</f>
        <v/>
      </c>
      <c r="H189" s="220">
        <f>SUM(E189)-SUM(F189)</f>
        <v/>
      </c>
      <c r="I189" s="221">
        <f>IF(A189="Total",VLOOKUP(B189,CORRESPONDANCE[#All],2,FALSE),I190)</f>
        <v/>
      </c>
      <c r="J189" s="350">
        <f>LEFT(A189,1)</f>
        <v/>
      </c>
      <c r="K189" s="347">
        <f>"HART"&amp;" - "&amp;A189</f>
        <v/>
      </c>
      <c r="L189" s="347">
        <f>+VLOOKUP(K189,TL[],4,FALSE)</f>
        <v/>
      </c>
    </row>
    <row r="190" ht="15" customHeight="1" s="161">
      <c r="A190" s="289" t="n"/>
      <c r="B190" s="289" t="n"/>
      <c r="C190" s="289" t="n"/>
      <c r="D190" s="289" t="n"/>
      <c r="E190" s="289" t="n"/>
      <c r="F190" s="289" t="n"/>
      <c r="G190" s="220">
        <f>SUM(C190)-SUM(D190)</f>
        <v/>
      </c>
      <c r="H190" s="220">
        <f>SUM(E190)-SUM(F190)</f>
        <v/>
      </c>
      <c r="I190" s="221">
        <f>IF(A190="Total",VLOOKUP(B190,CORRESPONDANCE[#All],2,FALSE),I191)</f>
        <v/>
      </c>
      <c r="J190" s="350">
        <f>LEFT(A190,1)</f>
        <v/>
      </c>
      <c r="K190" s="347">
        <f>"HART"&amp;" - "&amp;A190</f>
        <v/>
      </c>
      <c r="L190" s="347">
        <f>+VLOOKUP(K190,TL[],4,FALSE)</f>
        <v/>
      </c>
    </row>
    <row r="191" ht="15" customHeight="1" s="161">
      <c r="A191" s="289" t="n"/>
      <c r="B191" s="289" t="n"/>
      <c r="C191" s="289" t="n"/>
      <c r="D191" s="289" t="n"/>
      <c r="E191" s="289" t="n"/>
      <c r="F191" s="289" t="n"/>
      <c r="G191" s="220">
        <f>SUM(C191)-SUM(D191)</f>
        <v/>
      </c>
      <c r="H191" s="220">
        <f>SUM(E191)-SUM(F191)</f>
        <v/>
      </c>
      <c r="I191" s="221">
        <f>IF(A191="Total",VLOOKUP(B191,CORRESPONDANCE[#All],2,FALSE),I192)</f>
        <v/>
      </c>
      <c r="J191" s="350">
        <f>LEFT(A191,1)</f>
        <v/>
      </c>
      <c r="K191" s="347">
        <f>"HART"&amp;" - "&amp;A191</f>
        <v/>
      </c>
      <c r="L191" s="347">
        <f>+VLOOKUP(K191,TL[],4,FALSE)</f>
        <v/>
      </c>
    </row>
    <row r="192" ht="15" customHeight="1" s="161">
      <c r="A192" s="289" t="n"/>
      <c r="B192" s="289" t="n"/>
      <c r="C192" s="289" t="n"/>
      <c r="D192" s="289" t="n"/>
      <c r="E192" s="289" t="n"/>
      <c r="F192" s="289" t="n"/>
      <c r="G192" s="220">
        <f>SUM(C192)-SUM(D192)</f>
        <v/>
      </c>
      <c r="H192" s="220">
        <f>SUM(E192)-SUM(F192)</f>
        <v/>
      </c>
      <c r="I192" s="221">
        <f>IF(A192="Total",VLOOKUP(B192,CORRESPONDANCE[#All],2,FALSE),I193)</f>
        <v/>
      </c>
      <c r="J192" s="350">
        <f>LEFT(A192,1)</f>
        <v/>
      </c>
      <c r="K192" s="347">
        <f>"HART"&amp;" - "&amp;A192</f>
        <v/>
      </c>
      <c r="L192" s="347">
        <f>+VLOOKUP(K192,TL[],4,FALSE)</f>
        <v/>
      </c>
    </row>
    <row r="193" ht="15" customHeight="1" s="161">
      <c r="A193" s="289" t="n"/>
      <c r="B193" s="289" t="n"/>
      <c r="C193" s="289" t="n"/>
      <c r="D193" s="289" t="n"/>
      <c r="E193" s="289" t="n"/>
      <c r="F193" s="289" t="n"/>
      <c r="G193" s="220">
        <f>SUM(C193)-SUM(D193)</f>
        <v/>
      </c>
      <c r="H193" s="220">
        <f>SUM(E193)-SUM(F193)</f>
        <v/>
      </c>
      <c r="I193" s="221">
        <f>IF(A193="Total",VLOOKUP(B193,CORRESPONDANCE[#All],2,FALSE),I194)</f>
        <v/>
      </c>
      <c r="J193" s="350">
        <f>LEFT(A193,1)</f>
        <v/>
      </c>
      <c r="K193" s="347">
        <f>"HART"&amp;" - "&amp;A193</f>
        <v/>
      </c>
      <c r="L193" s="347">
        <f>+VLOOKUP(K193,TL[],4,FALSE)</f>
        <v/>
      </c>
    </row>
    <row r="194" ht="15" customHeight="1" s="161">
      <c r="A194" s="289" t="n"/>
      <c r="B194" s="289" t="n"/>
      <c r="C194" s="289" t="n"/>
      <c r="D194" s="289" t="n"/>
      <c r="E194" s="289" t="n"/>
      <c r="F194" s="289" t="n"/>
      <c r="G194" s="220">
        <f>SUM(C194)-SUM(D194)</f>
        <v/>
      </c>
      <c r="H194" s="220">
        <f>SUM(E194)-SUM(F194)</f>
        <v/>
      </c>
      <c r="I194" s="221">
        <f>IF(A194="Total",VLOOKUP(B194,CORRESPONDANCE[#All],2,FALSE),I195)</f>
        <v/>
      </c>
      <c r="J194" s="350">
        <f>LEFT(A194,1)</f>
        <v/>
      </c>
      <c r="K194" s="347">
        <f>"HART"&amp;" - "&amp;A194</f>
        <v/>
      </c>
      <c r="L194" s="347">
        <f>+VLOOKUP(K194,TL[],4,FALSE)</f>
        <v/>
      </c>
    </row>
    <row r="195" ht="15" customHeight="1" s="161">
      <c r="A195" s="289" t="n"/>
      <c r="B195" s="289" t="n"/>
      <c r="C195" s="289" t="n"/>
      <c r="D195" s="289" t="n"/>
      <c r="E195" s="289" t="n"/>
      <c r="F195" s="289" t="n"/>
      <c r="G195" s="220">
        <f>SUM(C195)-SUM(D195)</f>
        <v/>
      </c>
      <c r="H195" s="220">
        <f>SUM(E195)-SUM(F195)</f>
        <v/>
      </c>
      <c r="I195" s="221">
        <f>IF(A195="Total",VLOOKUP(B195,CORRESPONDANCE[#All],2,FALSE),I196)</f>
        <v/>
      </c>
      <c r="J195" s="350">
        <f>LEFT(A195,1)</f>
        <v/>
      </c>
      <c r="K195" s="347">
        <f>"HART"&amp;" - "&amp;A195</f>
        <v/>
      </c>
      <c r="L195" s="347">
        <f>+VLOOKUP(K195,TL[],4,FALSE)</f>
        <v/>
      </c>
    </row>
    <row r="196" ht="15" customHeight="1" s="161">
      <c r="A196" s="289" t="n"/>
      <c r="B196" s="289" t="n"/>
      <c r="C196" s="289" t="n"/>
      <c r="D196" s="289" t="n"/>
      <c r="E196" s="289" t="n"/>
      <c r="F196" s="289" t="n"/>
      <c r="G196" s="220">
        <f>SUM(C196)-SUM(D196)</f>
        <v/>
      </c>
      <c r="H196" s="220">
        <f>SUM(E196)-SUM(F196)</f>
        <v/>
      </c>
      <c r="I196" s="221">
        <f>IF(A196="Total",VLOOKUP(B196,CORRESPONDANCE[#All],2,FALSE),I197)</f>
        <v/>
      </c>
      <c r="J196" s="350">
        <f>LEFT(A196,1)</f>
        <v/>
      </c>
      <c r="K196" s="347">
        <f>"HART"&amp;" - "&amp;A196</f>
        <v/>
      </c>
      <c r="L196" s="347">
        <f>+VLOOKUP(K196,TL[],4,FALSE)</f>
        <v/>
      </c>
    </row>
    <row r="197" ht="15" customHeight="1" s="161">
      <c r="A197" s="289" t="n"/>
      <c r="B197" s="289" t="n"/>
      <c r="C197" s="289" t="n"/>
      <c r="D197" s="289" t="n"/>
      <c r="E197" s="289" t="n"/>
      <c r="F197" s="289" t="n"/>
      <c r="G197" s="220">
        <f>SUM(C197)-SUM(D197)</f>
        <v/>
      </c>
      <c r="H197" s="220">
        <f>SUM(E197)-SUM(F197)</f>
        <v/>
      </c>
      <c r="I197" s="221">
        <f>IF(A197="Total",VLOOKUP(B197,CORRESPONDANCE[#All],2,FALSE),I198)</f>
        <v/>
      </c>
      <c r="J197" s="350">
        <f>LEFT(A197,1)</f>
        <v/>
      </c>
      <c r="K197" s="347">
        <f>"HART"&amp;" - "&amp;A197</f>
        <v/>
      </c>
      <c r="L197" s="347">
        <f>+VLOOKUP(K197,TL[],4,FALSE)</f>
        <v/>
      </c>
    </row>
    <row r="198" ht="15" customHeight="1" s="161">
      <c r="A198" s="289" t="n"/>
      <c r="B198" s="289" t="n"/>
      <c r="C198" s="289" t="n"/>
      <c r="D198" s="289" t="n"/>
      <c r="E198" s="289" t="n"/>
      <c r="F198" s="289" t="n"/>
      <c r="G198" s="220">
        <f>SUM(C198)-SUM(D198)</f>
        <v/>
      </c>
      <c r="H198" s="220">
        <f>SUM(E198)-SUM(F198)</f>
        <v/>
      </c>
      <c r="I198" s="221">
        <f>IF(A198="Total",VLOOKUP(B198,CORRESPONDANCE[#All],2,FALSE),I199)</f>
        <v/>
      </c>
      <c r="J198" s="350">
        <f>LEFT(A198,1)</f>
        <v/>
      </c>
      <c r="K198" s="347">
        <f>"HART"&amp;" - "&amp;A198</f>
        <v/>
      </c>
      <c r="L198" s="347">
        <f>+VLOOKUP(K198,TL[],4,FALSE)</f>
        <v/>
      </c>
    </row>
    <row r="199" ht="15" customHeight="1" s="161">
      <c r="A199" s="289" t="n"/>
      <c r="B199" s="289" t="n"/>
      <c r="C199" s="289" t="n"/>
      <c r="D199" s="289" t="n"/>
      <c r="E199" s="289" t="n"/>
      <c r="F199" s="289" t="n"/>
      <c r="G199" s="220">
        <f>SUM(C199)-SUM(D199)</f>
        <v/>
      </c>
      <c r="H199" s="220">
        <f>SUM(E199)-SUM(F199)</f>
        <v/>
      </c>
      <c r="I199" s="221">
        <f>IF(A199="Total",VLOOKUP(B199,CORRESPONDANCE[#All],2,FALSE),I200)</f>
        <v/>
      </c>
      <c r="J199" s="350">
        <f>LEFT(A199,1)</f>
        <v/>
      </c>
      <c r="K199" s="347">
        <f>"HART"&amp;" - "&amp;A199</f>
        <v/>
      </c>
      <c r="L199" s="347">
        <f>+VLOOKUP(K199,TL[],4,FALSE)</f>
        <v/>
      </c>
    </row>
    <row r="200" ht="15" customHeight="1" s="161">
      <c r="A200" s="289" t="n"/>
      <c r="B200" s="289" t="n"/>
      <c r="C200" s="289" t="n"/>
      <c r="D200" s="289" t="n"/>
      <c r="E200" s="289" t="n"/>
      <c r="F200" s="289" t="n"/>
      <c r="G200" s="220">
        <f>SUM(C200)-SUM(D200)</f>
        <v/>
      </c>
      <c r="H200" s="220">
        <f>SUM(E200)-SUM(F200)</f>
        <v/>
      </c>
      <c r="I200" s="221">
        <f>IF(A200="Total",VLOOKUP(B200,CORRESPONDANCE[#All],2,FALSE),I201)</f>
        <v/>
      </c>
      <c r="J200" s="350">
        <f>LEFT(A200,1)</f>
        <v/>
      </c>
      <c r="K200" s="347">
        <f>"HART"&amp;" - "&amp;A200</f>
        <v/>
      </c>
      <c r="L200" s="347">
        <f>+VLOOKUP(K200,TL[],4,FALSE)</f>
        <v/>
      </c>
    </row>
    <row r="201" ht="15" customHeight="1" s="161">
      <c r="A201" s="289" t="n"/>
      <c r="B201" s="289" t="n"/>
      <c r="C201" s="289" t="n"/>
      <c r="D201" s="289" t="n"/>
      <c r="E201" s="289" t="n"/>
      <c r="F201" s="289" t="n"/>
      <c r="G201" s="220">
        <f>SUM(C201)-SUM(D201)</f>
        <v/>
      </c>
      <c r="H201" s="220">
        <f>SUM(E201)-SUM(F201)</f>
        <v/>
      </c>
      <c r="I201" s="221">
        <f>IF(A201="Total",VLOOKUP(B201,CORRESPONDANCE[#All],2,FALSE),I202)</f>
        <v/>
      </c>
      <c r="J201" s="350">
        <f>LEFT(A201,1)</f>
        <v/>
      </c>
      <c r="K201" s="347">
        <f>"HART"&amp;" - "&amp;A201</f>
        <v/>
      </c>
      <c r="L201" s="347">
        <f>+VLOOKUP(K201,TL[],4,FALSE)</f>
        <v/>
      </c>
    </row>
    <row r="202" ht="15" customHeight="1" s="161">
      <c r="A202" s="289" t="n"/>
      <c r="B202" s="289" t="n"/>
      <c r="C202" s="289" t="n"/>
      <c r="D202" s="289" t="n"/>
      <c r="E202" s="289" t="n"/>
      <c r="F202" s="289" t="n"/>
      <c r="G202" s="220">
        <f>SUM(C202)-SUM(D202)</f>
        <v/>
      </c>
      <c r="H202" s="220">
        <f>SUM(E202)-SUM(F202)</f>
        <v/>
      </c>
      <c r="I202" s="221">
        <f>IF(A202="Total",VLOOKUP(B202,CORRESPONDANCE[#All],2,FALSE),I203)</f>
        <v/>
      </c>
      <c r="J202" s="350">
        <f>LEFT(A202,1)</f>
        <v/>
      </c>
      <c r="K202" s="347">
        <f>"HART"&amp;" - "&amp;A202</f>
        <v/>
      </c>
      <c r="L202" s="347">
        <f>+VLOOKUP(K202,TL[],4,FALSE)</f>
        <v/>
      </c>
    </row>
    <row r="203" ht="15" customHeight="1" s="161">
      <c r="A203" s="289" t="n"/>
      <c r="B203" s="289" t="n"/>
      <c r="C203" s="289" t="n"/>
      <c r="D203" s="289" t="n"/>
      <c r="E203" s="289" t="n"/>
      <c r="F203" s="289" t="n"/>
      <c r="G203" s="220">
        <f>SUM(C203)-SUM(D203)</f>
        <v/>
      </c>
      <c r="H203" s="220">
        <f>SUM(E203)-SUM(F203)</f>
        <v/>
      </c>
      <c r="I203" s="221">
        <f>IF(A203="Total",VLOOKUP(B203,CORRESPONDANCE[#All],2,FALSE),I204)</f>
        <v/>
      </c>
      <c r="J203" s="350">
        <f>LEFT(A203,1)</f>
        <v/>
      </c>
      <c r="K203" s="347">
        <f>"HART"&amp;" - "&amp;A203</f>
        <v/>
      </c>
      <c r="L203" s="347">
        <f>+VLOOKUP(K203,TL[],4,FALSE)</f>
        <v/>
      </c>
    </row>
    <row r="204" ht="15" customHeight="1" s="161">
      <c r="A204" s="289" t="n"/>
      <c r="B204" s="289" t="n"/>
      <c r="C204" s="289" t="n"/>
      <c r="D204" s="289" t="n"/>
      <c r="E204" s="289" t="n"/>
      <c r="F204" s="289" t="n"/>
      <c r="G204" s="220">
        <f>SUM(C204)-SUM(D204)</f>
        <v/>
      </c>
      <c r="H204" s="220">
        <f>SUM(E204)-SUM(F204)</f>
        <v/>
      </c>
      <c r="I204" s="221">
        <f>IF(A204="Total",VLOOKUP(B204,CORRESPONDANCE[#All],2,FALSE),I205)</f>
        <v/>
      </c>
      <c r="J204" s="350">
        <f>LEFT(A204,1)</f>
        <v/>
      </c>
      <c r="K204" s="347">
        <f>"HART"&amp;" - "&amp;A204</f>
        <v/>
      </c>
      <c r="L204" s="347">
        <f>+VLOOKUP(K204,TL[],4,FALSE)</f>
        <v/>
      </c>
    </row>
    <row r="205" ht="15" customHeight="1" s="161">
      <c r="A205" s="289" t="n"/>
      <c r="B205" s="289" t="n"/>
      <c r="C205" s="289" t="n"/>
      <c r="D205" s="289" t="n"/>
      <c r="E205" s="289" t="n"/>
      <c r="F205" s="289" t="n"/>
      <c r="G205" s="220">
        <f>SUM(C205)-SUM(D205)</f>
        <v/>
      </c>
      <c r="H205" s="220">
        <f>SUM(E205)-SUM(F205)</f>
        <v/>
      </c>
      <c r="I205" s="221">
        <f>IF(A205="Total",VLOOKUP(B205,CORRESPONDANCE[#All],2,FALSE),I206)</f>
        <v/>
      </c>
      <c r="J205" s="350">
        <f>LEFT(A205,1)</f>
        <v/>
      </c>
      <c r="K205" s="347">
        <f>"HART"&amp;" - "&amp;A205</f>
        <v/>
      </c>
      <c r="L205" s="347">
        <f>+VLOOKUP(K205,TL[],4,FALSE)</f>
        <v/>
      </c>
    </row>
    <row r="206" ht="15" customHeight="1" s="161">
      <c r="A206" s="289" t="n"/>
      <c r="B206" s="289" t="n"/>
      <c r="C206" s="289" t="n"/>
      <c r="D206" s="289" t="n"/>
      <c r="E206" s="289" t="n"/>
      <c r="F206" s="289" t="n"/>
      <c r="G206" s="220">
        <f>SUM(C206)-SUM(D206)</f>
        <v/>
      </c>
      <c r="H206" s="220">
        <f>SUM(E206)-SUM(F206)</f>
        <v/>
      </c>
      <c r="I206" s="221">
        <f>IF(A206="Total",VLOOKUP(B206,CORRESPONDANCE[#All],2,FALSE),I207)</f>
        <v/>
      </c>
      <c r="J206" s="350">
        <f>LEFT(A206,1)</f>
        <v/>
      </c>
      <c r="K206" s="347">
        <f>"HART"&amp;" - "&amp;A206</f>
        <v/>
      </c>
      <c r="L206" s="347">
        <f>+VLOOKUP(K206,TL[],4,FALSE)</f>
        <v/>
      </c>
    </row>
    <row r="207" ht="15" customHeight="1" s="161">
      <c r="A207" s="289" t="n"/>
      <c r="B207" s="289" t="n"/>
      <c r="C207" s="289" t="n"/>
      <c r="D207" s="289" t="n"/>
      <c r="E207" s="289" t="n"/>
      <c r="F207" s="289" t="n"/>
      <c r="G207" s="220">
        <f>SUM(C207)-SUM(D207)</f>
        <v/>
      </c>
      <c r="H207" s="220">
        <f>SUM(E207)-SUM(F207)</f>
        <v/>
      </c>
      <c r="I207" s="221">
        <f>IF(A207="Total",VLOOKUP(B207,CORRESPONDANCE[#All],2,FALSE),I208)</f>
        <v/>
      </c>
      <c r="J207" s="350">
        <f>LEFT(A207,1)</f>
        <v/>
      </c>
      <c r="K207" s="347">
        <f>"HART"&amp;" - "&amp;A207</f>
        <v/>
      </c>
      <c r="L207" s="347">
        <f>+VLOOKUP(K207,TL[],4,FALSE)</f>
        <v/>
      </c>
    </row>
    <row r="208" ht="15" customHeight="1" s="161">
      <c r="A208" s="289" t="n"/>
      <c r="B208" s="289" t="n"/>
      <c r="C208" s="289" t="n"/>
      <c r="D208" s="289" t="n"/>
      <c r="E208" s="289" t="n"/>
      <c r="F208" s="289" t="n"/>
      <c r="G208" s="220">
        <f>SUM(C208)-SUM(D208)</f>
        <v/>
      </c>
      <c r="H208" s="220">
        <f>SUM(E208)-SUM(F208)</f>
        <v/>
      </c>
      <c r="I208" s="221">
        <f>IF(A208="Total",VLOOKUP(B208,CORRESPONDANCE[#All],2,FALSE),I209)</f>
        <v/>
      </c>
      <c r="J208" s="350">
        <f>LEFT(A208,1)</f>
        <v/>
      </c>
      <c r="K208" s="347">
        <f>"HART"&amp;" - "&amp;A208</f>
        <v/>
      </c>
      <c r="L208" s="347">
        <f>+VLOOKUP(K208,TL[],4,FALSE)</f>
        <v/>
      </c>
    </row>
    <row r="209" ht="15" customHeight="1" s="161">
      <c r="A209" s="289" t="n"/>
      <c r="B209" s="289" t="n"/>
      <c r="C209" s="289" t="n"/>
      <c r="D209" s="289" t="n"/>
      <c r="E209" s="289" t="n"/>
      <c r="F209" s="289" t="n"/>
      <c r="G209" s="220">
        <f>SUM(C209)-SUM(D209)</f>
        <v/>
      </c>
      <c r="H209" s="220">
        <f>SUM(E209)-SUM(F209)</f>
        <v/>
      </c>
      <c r="I209" s="221">
        <f>IF(A209="Total",VLOOKUP(B209,CORRESPONDANCE[#All],2,FALSE),I210)</f>
        <v/>
      </c>
      <c r="J209" s="350">
        <f>LEFT(A209,1)</f>
        <v/>
      </c>
      <c r="K209" s="347">
        <f>"HART"&amp;" - "&amp;A209</f>
        <v/>
      </c>
      <c r="L209" s="347">
        <f>+VLOOKUP(K209,TL[],4,FALSE)</f>
        <v/>
      </c>
    </row>
    <row r="210" ht="15" customHeight="1" s="161">
      <c r="A210" s="289" t="n"/>
      <c r="B210" s="289" t="n"/>
      <c r="C210" s="289" t="n"/>
      <c r="D210" s="289" t="n"/>
      <c r="E210" s="289" t="n"/>
      <c r="F210" s="289" t="n"/>
      <c r="G210" s="220">
        <f>SUM(C210)-SUM(D210)</f>
        <v/>
      </c>
      <c r="H210" s="220">
        <f>SUM(E210)-SUM(F210)</f>
        <v/>
      </c>
      <c r="I210" s="221">
        <f>IF(A210="Total",VLOOKUP(B210,CORRESPONDANCE[#All],2,FALSE),I211)</f>
        <v/>
      </c>
      <c r="J210" s="350">
        <f>LEFT(A210,1)</f>
        <v/>
      </c>
      <c r="K210" s="347">
        <f>"HART"&amp;" - "&amp;A210</f>
        <v/>
      </c>
      <c r="L210" s="347">
        <f>+VLOOKUP(K210,TL[],4,FALSE)</f>
        <v/>
      </c>
    </row>
    <row r="211" ht="15" customHeight="1" s="161">
      <c r="A211" s="289" t="n"/>
      <c r="B211" s="289" t="n"/>
      <c r="C211" s="289" t="n"/>
      <c r="D211" s="289" t="n"/>
      <c r="E211" s="289" t="n"/>
      <c r="F211" s="289" t="n"/>
      <c r="G211" s="220">
        <f>SUM(C211)-SUM(D211)</f>
        <v/>
      </c>
      <c r="H211" s="220">
        <f>SUM(E211)-SUM(F211)</f>
        <v/>
      </c>
      <c r="I211" s="221">
        <f>IF(A211="Total",VLOOKUP(B211,CORRESPONDANCE[#All],2,FALSE),I212)</f>
        <v/>
      </c>
      <c r="J211" s="350">
        <f>LEFT(A211,1)</f>
        <v/>
      </c>
      <c r="K211" s="347">
        <f>"HART"&amp;" - "&amp;A211</f>
        <v/>
      </c>
      <c r="L211" s="347">
        <f>+VLOOKUP(K211,TL[],4,FALSE)</f>
        <v/>
      </c>
    </row>
    <row r="212" ht="15" customHeight="1" s="161">
      <c r="A212" s="289" t="n"/>
      <c r="B212" s="289" t="n"/>
      <c r="C212" s="289" t="n"/>
      <c r="D212" s="289" t="n"/>
      <c r="E212" s="289" t="n"/>
      <c r="F212" s="289" t="n"/>
      <c r="G212" s="220">
        <f>SUM(C212)-SUM(D212)</f>
        <v/>
      </c>
      <c r="H212" s="220">
        <f>SUM(E212)-SUM(F212)</f>
        <v/>
      </c>
      <c r="I212" s="221">
        <f>IF(A212="Total",VLOOKUP(B212,CORRESPONDANCE[#All],2,FALSE),I213)</f>
        <v/>
      </c>
      <c r="J212" s="350">
        <f>LEFT(A212,1)</f>
        <v/>
      </c>
      <c r="K212" s="347">
        <f>"HART"&amp;" - "&amp;A212</f>
        <v/>
      </c>
      <c r="L212" s="347">
        <f>+VLOOKUP(K212,TL[],4,FALSE)</f>
        <v/>
      </c>
    </row>
    <row r="213" ht="15" customHeight="1" s="161">
      <c r="A213" s="289" t="n"/>
      <c r="B213" s="289" t="n"/>
      <c r="C213" s="289" t="n"/>
      <c r="D213" s="289" t="n"/>
      <c r="E213" s="289" t="n"/>
      <c r="F213" s="289" t="n"/>
      <c r="G213" s="220">
        <f>SUM(C213)-SUM(D213)</f>
        <v/>
      </c>
      <c r="H213" s="220">
        <f>SUM(E213)-SUM(F213)</f>
        <v/>
      </c>
      <c r="I213" s="221">
        <f>IF(A213="Total",VLOOKUP(B213,CORRESPONDANCE[#All],2,FALSE),I214)</f>
        <v/>
      </c>
      <c r="J213" s="350">
        <f>LEFT(A213,1)</f>
        <v/>
      </c>
      <c r="K213" s="347">
        <f>"HART"&amp;" - "&amp;A213</f>
        <v/>
      </c>
      <c r="L213" s="347">
        <f>+VLOOKUP(K213,TL[],4,FALSE)</f>
        <v/>
      </c>
    </row>
    <row r="214" ht="15" customHeight="1" s="161">
      <c r="A214" s="289" t="n"/>
      <c r="B214" s="289" t="n"/>
      <c r="C214" s="289" t="n"/>
      <c r="D214" s="289" t="n"/>
      <c r="E214" s="289" t="n"/>
      <c r="F214" s="289" t="n"/>
      <c r="G214" s="220">
        <f>SUM(C214)-SUM(D214)</f>
        <v/>
      </c>
      <c r="H214" s="220">
        <f>SUM(E214)-SUM(F214)</f>
        <v/>
      </c>
      <c r="I214" s="221">
        <f>IF(A214="Total",VLOOKUP(B214,CORRESPONDANCE[#All],2,FALSE),I215)</f>
        <v/>
      </c>
      <c r="J214" s="350">
        <f>LEFT(A214,1)</f>
        <v/>
      </c>
      <c r="K214" s="347">
        <f>"HART"&amp;" - "&amp;A214</f>
        <v/>
      </c>
      <c r="L214" s="347">
        <f>+VLOOKUP(K214,TL[],4,FALSE)</f>
        <v/>
      </c>
    </row>
    <row r="215" ht="15" customHeight="1" s="161">
      <c r="A215" s="289" t="n"/>
      <c r="B215" s="289" t="n"/>
      <c r="C215" s="289" t="n"/>
      <c r="D215" s="289" t="n"/>
      <c r="E215" s="289" t="n"/>
      <c r="F215" s="289" t="n"/>
      <c r="G215" s="220">
        <f>SUM(C215)-SUM(D215)</f>
        <v/>
      </c>
      <c r="H215" s="220">
        <f>SUM(E215)-SUM(F215)</f>
        <v/>
      </c>
      <c r="I215" s="221">
        <f>IF(A215="Total",VLOOKUP(B215,CORRESPONDANCE[#All],2,FALSE),I216)</f>
        <v/>
      </c>
      <c r="J215" s="350">
        <f>LEFT(A215,1)</f>
        <v/>
      </c>
      <c r="K215" s="347">
        <f>"HART"&amp;" - "&amp;A215</f>
        <v/>
      </c>
      <c r="L215" s="347">
        <f>+VLOOKUP(K215,TL[],4,FALSE)</f>
        <v/>
      </c>
    </row>
    <row r="216" ht="15" customHeight="1" s="161">
      <c r="A216" s="289" t="n"/>
      <c r="B216" s="289" t="n"/>
      <c r="C216" s="289" t="n"/>
      <c r="D216" s="289" t="n"/>
      <c r="E216" s="289" t="n"/>
      <c r="F216" s="289" t="n"/>
      <c r="G216" s="220">
        <f>SUM(C216)-SUM(D216)</f>
        <v/>
      </c>
      <c r="H216" s="220">
        <f>SUM(E216)-SUM(F216)</f>
        <v/>
      </c>
      <c r="I216" s="221">
        <f>IF(A216="Total",VLOOKUP(B216,CORRESPONDANCE[#All],2,FALSE),I217)</f>
        <v/>
      </c>
      <c r="J216" s="350">
        <f>LEFT(A216,1)</f>
        <v/>
      </c>
      <c r="K216" s="347">
        <f>"HART"&amp;" - "&amp;A216</f>
        <v/>
      </c>
      <c r="L216" s="347">
        <f>+VLOOKUP(K216,TL[],4,FALSE)</f>
        <v/>
      </c>
    </row>
    <row r="217" ht="15" customHeight="1" s="161">
      <c r="A217" s="289" t="n"/>
      <c r="B217" s="289" t="n"/>
      <c r="C217" s="289" t="n"/>
      <c r="D217" s="289" t="n"/>
      <c r="E217" s="289" t="n"/>
      <c r="F217" s="289" t="n"/>
      <c r="G217" s="220">
        <f>SUM(C217)-SUM(D217)</f>
        <v/>
      </c>
      <c r="H217" s="220">
        <f>SUM(E217)-SUM(F217)</f>
        <v/>
      </c>
      <c r="I217" s="221">
        <f>IF(A217="Total",VLOOKUP(B217,CORRESPONDANCE[#All],2,FALSE),I218)</f>
        <v/>
      </c>
      <c r="J217" s="350">
        <f>LEFT(A217,1)</f>
        <v/>
      </c>
      <c r="K217" s="347">
        <f>"HART"&amp;" - "&amp;A217</f>
        <v/>
      </c>
      <c r="L217" s="347">
        <f>+VLOOKUP(K217,TL[],4,FALSE)</f>
        <v/>
      </c>
    </row>
    <row r="218" ht="15" customHeight="1" s="161">
      <c r="A218" s="289" t="n"/>
      <c r="B218" s="289" t="n"/>
      <c r="C218" s="289" t="n"/>
      <c r="D218" s="289" t="n"/>
      <c r="E218" s="289" t="n"/>
      <c r="F218" s="289" t="n"/>
      <c r="G218" s="220">
        <f>SUM(C218)-SUM(D218)</f>
        <v/>
      </c>
      <c r="H218" s="220">
        <f>SUM(E218)-SUM(F218)</f>
        <v/>
      </c>
      <c r="I218" s="221">
        <f>IF(A218="Total",VLOOKUP(B218,CORRESPONDANCE[#All],2,FALSE),I219)</f>
        <v/>
      </c>
      <c r="J218" s="350">
        <f>LEFT(A218,1)</f>
        <v/>
      </c>
      <c r="K218" s="347">
        <f>"HART"&amp;" - "&amp;A218</f>
        <v/>
      </c>
      <c r="L218" s="347">
        <f>+VLOOKUP(K218,TL[],4,FALSE)</f>
        <v/>
      </c>
    </row>
    <row r="219" ht="15" customHeight="1" s="161">
      <c r="A219" s="289" t="n"/>
      <c r="B219" s="289" t="n"/>
      <c r="C219" s="289" t="n"/>
      <c r="D219" s="289" t="n"/>
      <c r="E219" s="289" t="n"/>
      <c r="F219" s="289" t="n"/>
      <c r="G219" s="220">
        <f>SUM(C219)-SUM(D219)</f>
        <v/>
      </c>
      <c r="H219" s="220">
        <f>SUM(E219)-SUM(F219)</f>
        <v/>
      </c>
      <c r="I219" s="221">
        <f>IF(A219="Total",VLOOKUP(B219,CORRESPONDANCE[#All],2,FALSE),I220)</f>
        <v/>
      </c>
      <c r="J219" s="350">
        <f>LEFT(A219,1)</f>
        <v/>
      </c>
      <c r="K219" s="347">
        <f>"HART"&amp;" - "&amp;A219</f>
        <v/>
      </c>
      <c r="L219" s="347">
        <f>+VLOOKUP(K219,TL[],4,FALSE)</f>
        <v/>
      </c>
    </row>
    <row r="220" ht="15" customHeight="1" s="161">
      <c r="A220" s="289" t="n"/>
      <c r="B220" s="289" t="n"/>
      <c r="C220" s="289" t="n"/>
      <c r="D220" s="289" t="n"/>
      <c r="E220" s="289" t="n"/>
      <c r="F220" s="289" t="n"/>
      <c r="G220" s="220">
        <f>SUM(C220)-SUM(D220)</f>
        <v/>
      </c>
      <c r="H220" s="220">
        <f>SUM(E220)-SUM(F220)</f>
        <v/>
      </c>
      <c r="I220" s="221">
        <f>IF(A220="Total",VLOOKUP(B220,CORRESPONDANCE[#All],2,FALSE),I221)</f>
        <v/>
      </c>
      <c r="J220" s="350">
        <f>LEFT(A220,1)</f>
        <v/>
      </c>
      <c r="K220" s="347">
        <f>"HART"&amp;" - "&amp;A220</f>
        <v/>
      </c>
      <c r="L220" s="347">
        <f>+VLOOKUP(K220,TL[],4,FALSE)</f>
        <v/>
      </c>
    </row>
    <row r="221" ht="15" customHeight="1" s="161">
      <c r="A221" s="289" t="n"/>
      <c r="B221" s="289" t="n"/>
      <c r="C221" s="289" t="n"/>
      <c r="D221" s="289" t="n"/>
      <c r="E221" s="289" t="n"/>
      <c r="F221" s="289" t="n"/>
      <c r="G221" s="220">
        <f>SUM(C221)-SUM(D221)</f>
        <v/>
      </c>
      <c r="H221" s="220">
        <f>SUM(E221)-SUM(F221)</f>
        <v/>
      </c>
      <c r="I221" s="221">
        <f>IF(A221="Total",VLOOKUP(B221,CORRESPONDANCE[#All],2,FALSE),I222)</f>
        <v/>
      </c>
      <c r="J221" s="350">
        <f>LEFT(A221,1)</f>
        <v/>
      </c>
      <c r="K221" s="347">
        <f>"HART"&amp;" - "&amp;A221</f>
        <v/>
      </c>
      <c r="L221" s="347">
        <f>+VLOOKUP(K221,TL[],4,FALSE)</f>
        <v/>
      </c>
    </row>
    <row r="222" ht="15" customHeight="1" s="161">
      <c r="A222" s="289" t="n"/>
      <c r="B222" s="289" t="n"/>
      <c r="C222" s="289" t="n"/>
      <c r="D222" s="289" t="n"/>
      <c r="E222" s="289" t="n"/>
      <c r="F222" s="289" t="n"/>
      <c r="G222" s="220">
        <f>SUM(C222)-SUM(D222)</f>
        <v/>
      </c>
      <c r="H222" s="220">
        <f>SUM(E222)-SUM(F222)</f>
        <v/>
      </c>
      <c r="I222" s="221">
        <f>IF(A222="Total",VLOOKUP(B222,CORRESPONDANCE[#All],2,FALSE),I223)</f>
        <v/>
      </c>
      <c r="J222" s="350">
        <f>LEFT(A222,1)</f>
        <v/>
      </c>
      <c r="K222" s="347">
        <f>"HART"&amp;" - "&amp;A222</f>
        <v/>
      </c>
      <c r="L222" s="347">
        <f>+VLOOKUP(K222,TL[],4,FALSE)</f>
        <v/>
      </c>
    </row>
    <row r="223" ht="15" customHeight="1" s="161">
      <c r="A223" s="289" t="n"/>
      <c r="B223" s="289" t="n"/>
      <c r="C223" s="289" t="n"/>
      <c r="D223" s="289" t="n"/>
      <c r="E223" s="289" t="n"/>
      <c r="F223" s="289" t="n"/>
      <c r="G223" s="220">
        <f>SUM(C223)-SUM(D223)</f>
        <v/>
      </c>
      <c r="H223" s="220">
        <f>SUM(E223)-SUM(F223)</f>
        <v/>
      </c>
      <c r="I223" s="221">
        <f>IF(A223="Total",VLOOKUP(B223,CORRESPONDANCE[#All],2,FALSE),I224)</f>
        <v/>
      </c>
      <c r="J223" s="350">
        <f>LEFT(A223,1)</f>
        <v/>
      </c>
      <c r="K223" s="347">
        <f>"HART"&amp;" - "&amp;A223</f>
        <v/>
      </c>
      <c r="L223" s="347">
        <f>+VLOOKUP(K223,TL[],4,FALSE)</f>
        <v/>
      </c>
    </row>
    <row r="224" ht="15" customHeight="1" s="161">
      <c r="A224" s="289" t="n"/>
      <c r="B224" s="289" t="n"/>
      <c r="C224" s="289" t="n"/>
      <c r="D224" s="289" t="n"/>
      <c r="E224" s="289" t="n"/>
      <c r="F224" s="289" t="n"/>
      <c r="G224" s="220">
        <f>SUM(C224)-SUM(D224)</f>
        <v/>
      </c>
      <c r="H224" s="220">
        <f>SUM(E224)-SUM(F224)</f>
        <v/>
      </c>
      <c r="I224" s="221">
        <f>IF(A224="Total",VLOOKUP(B224,CORRESPONDANCE[#All],2,FALSE),I225)</f>
        <v/>
      </c>
      <c r="J224" s="350">
        <f>LEFT(A224,1)</f>
        <v/>
      </c>
      <c r="K224" s="347">
        <f>"HART"&amp;" - "&amp;A224</f>
        <v/>
      </c>
      <c r="L224" s="347">
        <f>+VLOOKUP(K224,TL[],4,FALSE)</f>
        <v/>
      </c>
    </row>
    <row r="225" ht="15" customHeight="1" s="161">
      <c r="A225" s="289" t="n"/>
      <c r="B225" s="289" t="n"/>
      <c r="C225" s="289" t="n"/>
      <c r="D225" s="289" t="n"/>
      <c r="E225" s="289" t="n"/>
      <c r="F225" s="289" t="n"/>
      <c r="G225" s="220">
        <f>SUM(C225)-SUM(D225)</f>
        <v/>
      </c>
      <c r="H225" s="220">
        <f>SUM(E225)-SUM(F225)</f>
        <v/>
      </c>
      <c r="I225" s="221">
        <f>IF(A225="Total",VLOOKUP(B225,CORRESPONDANCE[#All],2,FALSE),I226)</f>
        <v/>
      </c>
      <c r="J225" s="350">
        <f>LEFT(A225,1)</f>
        <v/>
      </c>
      <c r="K225" s="347">
        <f>"HART"&amp;" - "&amp;A225</f>
        <v/>
      </c>
      <c r="L225" s="347">
        <f>+VLOOKUP(K225,TL[],4,FALSE)</f>
        <v/>
      </c>
    </row>
    <row r="226" ht="15" customHeight="1" s="161">
      <c r="A226" s="289" t="n"/>
      <c r="B226" s="289" t="n"/>
      <c r="C226" s="289" t="n"/>
      <c r="D226" s="289" t="n"/>
      <c r="E226" s="289" t="n"/>
      <c r="F226" s="289" t="n"/>
      <c r="G226" s="220">
        <f>SUM(C226)-SUM(D226)</f>
        <v/>
      </c>
      <c r="H226" s="220">
        <f>SUM(E226)-SUM(F226)</f>
        <v/>
      </c>
      <c r="I226" s="221">
        <f>IF(A226="Total",VLOOKUP(B226,CORRESPONDANCE[#All],2,FALSE),I227)</f>
        <v/>
      </c>
      <c r="J226" s="350">
        <f>LEFT(A226,1)</f>
        <v/>
      </c>
      <c r="K226" s="347">
        <f>"HART"&amp;" - "&amp;A226</f>
        <v/>
      </c>
      <c r="L226" s="347">
        <f>+VLOOKUP(K226,TL[],4,FALSE)</f>
        <v/>
      </c>
    </row>
    <row r="227" ht="15" customHeight="1" s="161">
      <c r="A227" s="289" t="n"/>
      <c r="B227" s="289" t="n"/>
      <c r="C227" s="289" t="n"/>
      <c r="D227" s="289" t="n"/>
      <c r="E227" s="289" t="n"/>
      <c r="F227" s="289" t="n"/>
      <c r="G227" s="220">
        <f>SUM(C227)-SUM(D227)</f>
        <v/>
      </c>
      <c r="H227" s="220">
        <f>SUM(E227)-SUM(F227)</f>
        <v/>
      </c>
      <c r="I227" s="221">
        <f>IF(A227="Total",VLOOKUP(B227,CORRESPONDANCE[#All],2,FALSE),I228)</f>
        <v/>
      </c>
      <c r="J227" s="350">
        <f>LEFT(A227,1)</f>
        <v/>
      </c>
      <c r="K227" s="347">
        <f>"HART"&amp;" - "&amp;A227</f>
        <v/>
      </c>
      <c r="L227" s="347">
        <f>+VLOOKUP(K227,TL[],4,FALSE)</f>
        <v/>
      </c>
    </row>
    <row r="228" ht="15" customHeight="1" s="161">
      <c r="A228" s="289" t="n"/>
      <c r="B228" s="289" t="n"/>
      <c r="C228" s="289" t="n"/>
      <c r="D228" s="289" t="n"/>
      <c r="E228" s="289" t="n"/>
      <c r="F228" s="289" t="n"/>
      <c r="G228" s="220">
        <f>SUM(C228)-SUM(D228)</f>
        <v/>
      </c>
      <c r="H228" s="220">
        <f>SUM(E228)-SUM(F228)</f>
        <v/>
      </c>
      <c r="I228" s="221">
        <f>IF(A228="Total",VLOOKUP(B228,CORRESPONDANCE[#All],2,FALSE),I229)</f>
        <v/>
      </c>
      <c r="J228" s="350">
        <f>LEFT(A228,1)</f>
        <v/>
      </c>
      <c r="K228" s="347">
        <f>"HART"&amp;" - "&amp;A228</f>
        <v/>
      </c>
      <c r="L228" s="347">
        <f>+VLOOKUP(K228,TL[],4,FALSE)</f>
        <v/>
      </c>
    </row>
    <row r="229" ht="15" customHeight="1" s="161">
      <c r="A229" s="289" t="n"/>
      <c r="B229" s="289" t="n"/>
      <c r="C229" s="289" t="n"/>
      <c r="D229" s="289" t="n"/>
      <c r="E229" s="289" t="n"/>
      <c r="F229" s="289" t="n"/>
      <c r="G229" s="220">
        <f>SUM(C229)-SUM(D229)</f>
        <v/>
      </c>
      <c r="H229" s="220">
        <f>SUM(E229)-SUM(F229)</f>
        <v/>
      </c>
      <c r="I229" s="221">
        <f>IF(A229="Total",VLOOKUP(B229,CORRESPONDANCE[#All],2,FALSE),I230)</f>
        <v/>
      </c>
      <c r="J229" s="350">
        <f>LEFT(A229,1)</f>
        <v/>
      </c>
      <c r="K229" s="347">
        <f>"HART"&amp;" - "&amp;A229</f>
        <v/>
      </c>
      <c r="L229" s="347">
        <f>+VLOOKUP(K229,TL[],4,FALSE)</f>
        <v/>
      </c>
    </row>
    <row r="230" ht="15" customHeight="1" s="161">
      <c r="A230" s="289" t="n"/>
      <c r="B230" s="289" t="n"/>
      <c r="C230" s="289" t="n"/>
      <c r="D230" s="289" t="n"/>
      <c r="E230" s="289" t="n"/>
      <c r="F230" s="289" t="n"/>
      <c r="G230" s="220">
        <f>SUM(C230)-SUM(D230)</f>
        <v/>
      </c>
      <c r="H230" s="220">
        <f>SUM(E230)-SUM(F230)</f>
        <v/>
      </c>
      <c r="I230" s="221">
        <f>IF(A230="Total",VLOOKUP(B230,CORRESPONDANCE[#All],2,FALSE),I231)</f>
        <v/>
      </c>
      <c r="J230" s="350">
        <f>LEFT(A230,1)</f>
        <v/>
      </c>
      <c r="K230" s="347">
        <f>"HART"&amp;" - "&amp;A230</f>
        <v/>
      </c>
      <c r="L230" s="347">
        <f>+VLOOKUP(K230,TL[],4,FALSE)</f>
        <v/>
      </c>
    </row>
    <row r="231" ht="15" customHeight="1" s="161">
      <c r="A231" s="289" t="n"/>
      <c r="B231" s="289" t="n"/>
      <c r="C231" s="289" t="n"/>
      <c r="D231" s="289" t="n"/>
      <c r="E231" s="289" t="n"/>
      <c r="F231" s="289" t="n"/>
      <c r="G231" s="220">
        <f>SUM(C231)-SUM(D231)</f>
        <v/>
      </c>
      <c r="H231" s="220">
        <f>SUM(E231)-SUM(F231)</f>
        <v/>
      </c>
      <c r="I231" s="221">
        <f>IF(A231="Total",VLOOKUP(B231,CORRESPONDANCE[#All],2,FALSE),I232)</f>
        <v/>
      </c>
      <c r="J231" s="350">
        <f>LEFT(A231,1)</f>
        <v/>
      </c>
      <c r="K231" s="347">
        <f>"HART"&amp;" - "&amp;A231</f>
        <v/>
      </c>
      <c r="L231" s="347">
        <f>+VLOOKUP(K231,TL[],4,FALSE)</f>
        <v/>
      </c>
    </row>
    <row r="232" ht="15" customHeight="1" s="161">
      <c r="A232" s="289" t="n"/>
      <c r="B232" s="289" t="n"/>
      <c r="C232" s="289" t="n"/>
      <c r="D232" s="289" t="n"/>
      <c r="E232" s="289" t="n"/>
      <c r="F232" s="289" t="n"/>
      <c r="G232" s="220">
        <f>SUM(C232)-SUM(D232)</f>
        <v/>
      </c>
      <c r="H232" s="220">
        <f>SUM(E232)-SUM(F232)</f>
        <v/>
      </c>
      <c r="I232" s="221">
        <f>IF(A232="Total",VLOOKUP(B232,CORRESPONDANCE[#All],2,FALSE),I233)</f>
        <v/>
      </c>
      <c r="J232" s="350">
        <f>LEFT(A232,1)</f>
        <v/>
      </c>
      <c r="K232" s="347">
        <f>"HART"&amp;" - "&amp;A232</f>
        <v/>
      </c>
      <c r="L232" s="347">
        <f>+VLOOKUP(K232,TL[],4,FALSE)</f>
        <v/>
      </c>
    </row>
    <row r="233" ht="15" customHeight="1" s="161">
      <c r="A233" s="289" t="n"/>
      <c r="B233" s="289" t="n"/>
      <c r="C233" s="289" t="n"/>
      <c r="D233" s="289" t="n"/>
      <c r="E233" s="289" t="n"/>
      <c r="F233" s="289" t="n"/>
      <c r="G233" s="220">
        <f>SUM(C233)-SUM(D233)</f>
        <v/>
      </c>
      <c r="H233" s="220">
        <f>SUM(E233)-SUM(F233)</f>
        <v/>
      </c>
      <c r="I233" s="221">
        <f>IF(A233="Total",VLOOKUP(B233,CORRESPONDANCE[#All],2,FALSE),I234)</f>
        <v/>
      </c>
      <c r="J233" s="350">
        <f>LEFT(A233,1)</f>
        <v/>
      </c>
      <c r="K233" s="347">
        <f>"HART"&amp;" - "&amp;A233</f>
        <v/>
      </c>
      <c r="L233" s="347">
        <f>+VLOOKUP(K233,TL[],4,FALSE)</f>
        <v/>
      </c>
    </row>
    <row r="234" ht="15" customHeight="1" s="161">
      <c r="A234" s="289" t="n"/>
      <c r="B234" s="289" t="n"/>
      <c r="C234" s="289" t="n"/>
      <c r="D234" s="289" t="n"/>
      <c r="E234" s="289" t="n"/>
      <c r="F234" s="289" t="n"/>
      <c r="G234" s="220">
        <f>SUM(C234)-SUM(D234)</f>
        <v/>
      </c>
      <c r="H234" s="220">
        <f>SUM(E234)-SUM(F234)</f>
        <v/>
      </c>
      <c r="I234" s="221">
        <f>IF(A234="Total",VLOOKUP(B234,CORRESPONDANCE[#All],2,FALSE),I235)</f>
        <v/>
      </c>
      <c r="J234" s="350">
        <f>LEFT(A234,1)</f>
        <v/>
      </c>
      <c r="K234" s="347">
        <f>"HART"&amp;" - "&amp;A234</f>
        <v/>
      </c>
      <c r="L234" s="347">
        <f>+VLOOKUP(K234,TL[],4,FALSE)</f>
        <v/>
      </c>
    </row>
    <row r="235" ht="15" customHeight="1" s="161">
      <c r="A235" s="289" t="n"/>
      <c r="B235" s="289" t="n"/>
      <c r="C235" s="289" t="n"/>
      <c r="D235" s="289" t="n"/>
      <c r="E235" s="289" t="n"/>
      <c r="F235" s="289" t="n"/>
      <c r="G235" s="220">
        <f>SUM(C235)-SUM(D235)</f>
        <v/>
      </c>
      <c r="H235" s="220">
        <f>SUM(E235)-SUM(F235)</f>
        <v/>
      </c>
      <c r="I235" s="221">
        <f>IF(A235="Total",VLOOKUP(B235,CORRESPONDANCE[#All],2,FALSE),I236)</f>
        <v/>
      </c>
      <c r="J235" s="350">
        <f>LEFT(A235,1)</f>
        <v/>
      </c>
      <c r="K235" s="347">
        <f>"HART"&amp;" - "&amp;A235</f>
        <v/>
      </c>
      <c r="L235" s="347">
        <f>+VLOOKUP(K235,TL[],4,FALSE)</f>
        <v/>
      </c>
    </row>
    <row r="236" ht="15" customHeight="1" s="161">
      <c r="A236" s="289" t="n"/>
      <c r="B236" s="289" t="n"/>
      <c r="C236" s="289" t="n"/>
      <c r="D236" s="289" t="n"/>
      <c r="E236" s="289" t="n"/>
      <c r="F236" s="289" t="n"/>
      <c r="G236" s="220">
        <f>SUM(C236)-SUM(D236)</f>
        <v/>
      </c>
      <c r="H236" s="220">
        <f>SUM(E236)-SUM(F236)</f>
        <v/>
      </c>
      <c r="I236" s="221">
        <f>IF(A236="Total",VLOOKUP(B236,CORRESPONDANCE[#All],2,FALSE),I237)</f>
        <v/>
      </c>
      <c r="J236" s="350">
        <f>LEFT(A236,1)</f>
        <v/>
      </c>
      <c r="K236" s="347">
        <f>"HART"&amp;" - "&amp;A236</f>
        <v/>
      </c>
      <c r="L236" s="347">
        <f>+VLOOKUP(K236,TL[],4,FALSE)</f>
        <v/>
      </c>
    </row>
    <row r="237" ht="15" customHeight="1" s="161">
      <c r="A237" s="289" t="n"/>
      <c r="B237" s="289" t="n"/>
      <c r="C237" s="289" t="n"/>
      <c r="D237" s="289" t="n"/>
      <c r="E237" s="289" t="n"/>
      <c r="F237" s="289" t="n"/>
      <c r="G237" s="220">
        <f>SUM(C237)-SUM(D237)</f>
        <v/>
      </c>
      <c r="H237" s="220">
        <f>SUM(E237)-SUM(F237)</f>
        <v/>
      </c>
      <c r="I237" s="221">
        <f>IF(A237="Total",VLOOKUP(B237,CORRESPONDANCE[#All],2,FALSE),I238)</f>
        <v/>
      </c>
      <c r="J237" s="350">
        <f>LEFT(A237,1)</f>
        <v/>
      </c>
      <c r="K237" s="347">
        <f>"HART"&amp;" - "&amp;A237</f>
        <v/>
      </c>
      <c r="L237" s="347">
        <f>+VLOOKUP(K237,TL[],4,FALSE)</f>
        <v/>
      </c>
    </row>
    <row r="238" ht="15" customHeight="1" s="161">
      <c r="A238" s="289" t="n"/>
      <c r="B238" s="289" t="n"/>
      <c r="C238" s="289" t="n"/>
      <c r="D238" s="289" t="n"/>
      <c r="E238" s="289" t="n"/>
      <c r="F238" s="289" t="n"/>
      <c r="G238" s="220">
        <f>SUM(C238)-SUM(D238)</f>
        <v/>
      </c>
      <c r="H238" s="220">
        <f>SUM(E238)-SUM(F238)</f>
        <v/>
      </c>
      <c r="I238" s="221">
        <f>IF(A238="Total",VLOOKUP(B238,CORRESPONDANCE[#All],2,FALSE),I239)</f>
        <v/>
      </c>
      <c r="J238" s="350">
        <f>LEFT(A238,1)</f>
        <v/>
      </c>
      <c r="K238" s="347">
        <f>"HART"&amp;" - "&amp;A238</f>
        <v/>
      </c>
      <c r="L238" s="347">
        <f>+VLOOKUP(K238,TL[],4,FALSE)</f>
        <v/>
      </c>
    </row>
    <row r="239" ht="15" customHeight="1" s="161">
      <c r="A239" s="289" t="n"/>
      <c r="B239" s="289" t="n"/>
      <c r="C239" s="289" t="n"/>
      <c r="D239" s="289" t="n"/>
      <c r="E239" s="289" t="n"/>
      <c r="F239" s="289" t="n"/>
      <c r="G239" s="220">
        <f>SUM(C239)-SUM(D239)</f>
        <v/>
      </c>
      <c r="H239" s="220">
        <f>SUM(E239)-SUM(F239)</f>
        <v/>
      </c>
      <c r="I239" s="221">
        <f>IF(A239="Total",VLOOKUP(B239,CORRESPONDANCE[#All],2,FALSE),I240)</f>
        <v/>
      </c>
      <c r="J239" s="350">
        <f>LEFT(A239,1)</f>
        <v/>
      </c>
      <c r="K239" s="347">
        <f>"HART"&amp;" - "&amp;A239</f>
        <v/>
      </c>
      <c r="L239" s="347">
        <f>+VLOOKUP(K239,TL[],4,FALSE)</f>
        <v/>
      </c>
    </row>
    <row r="240" ht="15" customHeight="1" s="161">
      <c r="A240" s="289" t="n"/>
      <c r="B240" s="289" t="n"/>
      <c r="C240" s="289" t="n"/>
      <c r="D240" s="289" t="n"/>
      <c r="E240" s="289" t="n"/>
      <c r="F240" s="289" t="n"/>
      <c r="G240" s="220">
        <f>SUM(C240)-SUM(D240)</f>
        <v/>
      </c>
      <c r="H240" s="220">
        <f>SUM(E240)-SUM(F240)</f>
        <v/>
      </c>
      <c r="I240" s="221">
        <f>IF(A240="Total",VLOOKUP(B240,CORRESPONDANCE[#All],2,FALSE),I241)</f>
        <v/>
      </c>
      <c r="J240" s="350">
        <f>LEFT(A240,1)</f>
        <v/>
      </c>
      <c r="K240" s="347">
        <f>"HART"&amp;" - "&amp;A240</f>
        <v/>
      </c>
      <c r="L240" s="347">
        <f>+VLOOKUP(K240,TL[],4,FALSE)</f>
        <v/>
      </c>
    </row>
    <row r="241" ht="15" customHeight="1" s="161">
      <c r="A241" s="289" t="n"/>
      <c r="B241" s="289" t="n"/>
      <c r="C241" s="289" t="n"/>
      <c r="D241" s="289" t="n"/>
      <c r="E241" s="289" t="n"/>
      <c r="F241" s="289" t="n"/>
      <c r="G241" s="220">
        <f>SUM(C241)-SUM(D241)</f>
        <v/>
      </c>
      <c r="H241" s="220">
        <f>SUM(E241)-SUM(F241)</f>
        <v/>
      </c>
      <c r="I241" s="221">
        <f>IF(A241="Total",VLOOKUP(B241,CORRESPONDANCE[#All],2,FALSE),I242)</f>
        <v/>
      </c>
      <c r="J241" s="350">
        <f>LEFT(A241,1)</f>
        <v/>
      </c>
      <c r="K241" s="347">
        <f>"HART"&amp;" - "&amp;A241</f>
        <v/>
      </c>
      <c r="L241" s="347">
        <f>+VLOOKUP(K241,TL[],4,FALSE)</f>
        <v/>
      </c>
    </row>
    <row r="242" ht="15" customHeight="1" s="161">
      <c r="A242" s="289" t="n"/>
      <c r="B242" s="289" t="n"/>
      <c r="C242" s="289" t="n"/>
      <c r="D242" s="289" t="n"/>
      <c r="E242" s="289" t="n"/>
      <c r="F242" s="289" t="n"/>
      <c r="G242" s="220">
        <f>SUM(C242)-SUM(D242)</f>
        <v/>
      </c>
      <c r="H242" s="220">
        <f>SUM(E242)-SUM(F242)</f>
        <v/>
      </c>
      <c r="I242" s="221">
        <f>IF(A242="Total",VLOOKUP(B242,CORRESPONDANCE[#All],2,FALSE),I243)</f>
        <v/>
      </c>
      <c r="J242" s="350">
        <f>LEFT(A242,1)</f>
        <v/>
      </c>
      <c r="K242" s="347">
        <f>"HART"&amp;" - "&amp;A242</f>
        <v/>
      </c>
      <c r="L242" s="347">
        <f>+VLOOKUP(K242,TL[],4,FALSE)</f>
        <v/>
      </c>
    </row>
    <row r="243" ht="15" customHeight="1" s="161">
      <c r="A243" s="289" t="n"/>
      <c r="B243" s="289" t="n"/>
      <c r="C243" s="289" t="n"/>
      <c r="D243" s="289" t="n"/>
      <c r="E243" s="289" t="n"/>
      <c r="F243" s="289" t="n"/>
      <c r="G243" s="220">
        <f>SUM(C243)-SUM(D243)</f>
        <v/>
      </c>
      <c r="H243" s="220">
        <f>SUM(E243)-SUM(F243)</f>
        <v/>
      </c>
      <c r="I243" s="221">
        <f>IF(A243="Total",VLOOKUP(B243,CORRESPONDANCE[#All],2,FALSE),I244)</f>
        <v/>
      </c>
      <c r="J243" s="350">
        <f>LEFT(A243,1)</f>
        <v/>
      </c>
      <c r="K243" s="347">
        <f>"HART"&amp;" - "&amp;A243</f>
        <v/>
      </c>
      <c r="L243" s="347">
        <f>+VLOOKUP(K243,TL[],4,FALSE)</f>
        <v/>
      </c>
    </row>
    <row r="244" ht="15" customHeight="1" s="161">
      <c r="A244" s="289" t="n"/>
      <c r="B244" s="289" t="n"/>
      <c r="C244" s="289" t="n"/>
      <c r="D244" s="289" t="n"/>
      <c r="E244" s="289" t="n"/>
      <c r="F244" s="289" t="n"/>
      <c r="G244" s="220">
        <f>SUM(C244)-SUM(D244)</f>
        <v/>
      </c>
      <c r="H244" s="220">
        <f>SUM(E244)-SUM(F244)</f>
        <v/>
      </c>
      <c r="I244" s="221">
        <f>IF(A244="Total",VLOOKUP(B244,CORRESPONDANCE[#All],2,FALSE),I245)</f>
        <v/>
      </c>
      <c r="J244" s="350">
        <f>LEFT(A244,1)</f>
        <v/>
      </c>
      <c r="K244" s="347">
        <f>"HART"&amp;" - "&amp;A244</f>
        <v/>
      </c>
      <c r="L244" s="347">
        <f>+VLOOKUP(K244,TL[],4,FALSE)</f>
        <v/>
      </c>
    </row>
    <row r="245" ht="15" customHeight="1" s="161">
      <c r="A245" s="289" t="n"/>
      <c r="B245" s="289" t="n"/>
      <c r="C245" s="289" t="n"/>
      <c r="D245" s="289" t="n"/>
      <c r="E245" s="289" t="n"/>
      <c r="F245" s="289" t="n"/>
      <c r="G245" s="220">
        <f>SUM(C245)-SUM(D245)</f>
        <v/>
      </c>
      <c r="H245" s="220">
        <f>SUM(E245)-SUM(F245)</f>
        <v/>
      </c>
      <c r="I245" s="221">
        <f>IF(A245="Total",VLOOKUP(B245,CORRESPONDANCE[#All],2,FALSE),I246)</f>
        <v/>
      </c>
      <c r="J245" s="350">
        <f>LEFT(A245,1)</f>
        <v/>
      </c>
      <c r="K245" s="347">
        <f>"HART"&amp;" - "&amp;A245</f>
        <v/>
      </c>
      <c r="L245" s="347">
        <f>+VLOOKUP(K245,TL[],4,FALSE)</f>
        <v/>
      </c>
    </row>
    <row r="246" ht="15" customHeight="1" s="161">
      <c r="A246" s="289" t="n"/>
      <c r="B246" s="289" t="n"/>
      <c r="C246" s="289" t="n"/>
      <c r="D246" s="289" t="n"/>
      <c r="E246" s="289" t="n"/>
      <c r="F246" s="289" t="n"/>
      <c r="G246" s="220">
        <f>SUM(C246)-SUM(D246)</f>
        <v/>
      </c>
      <c r="H246" s="220">
        <f>SUM(E246)-SUM(F246)</f>
        <v/>
      </c>
      <c r="I246" s="221">
        <f>IF(A246="Total",VLOOKUP(B246,CORRESPONDANCE[#All],2,FALSE),I247)</f>
        <v/>
      </c>
      <c r="J246" s="350">
        <f>LEFT(A246,1)</f>
        <v/>
      </c>
      <c r="K246" s="347">
        <f>"HART"&amp;" - "&amp;A246</f>
        <v/>
      </c>
      <c r="L246" s="347">
        <f>+VLOOKUP(K246,TL[],4,FALSE)</f>
        <v/>
      </c>
    </row>
    <row r="247" ht="15" customHeight="1" s="161">
      <c r="A247" s="289" t="n"/>
      <c r="B247" s="289" t="n"/>
      <c r="C247" s="289" t="n"/>
      <c r="D247" s="289" t="n"/>
      <c r="E247" s="289" t="n"/>
      <c r="F247" s="289" t="n"/>
      <c r="G247" s="220">
        <f>SUM(C247)-SUM(D247)</f>
        <v/>
      </c>
      <c r="H247" s="220">
        <f>SUM(E247)-SUM(F247)</f>
        <v/>
      </c>
      <c r="I247" s="221">
        <f>IF(A247="Total",VLOOKUP(B247,CORRESPONDANCE[#All],2,FALSE),I248)</f>
        <v/>
      </c>
      <c r="J247" s="350">
        <f>LEFT(A247,1)</f>
        <v/>
      </c>
      <c r="K247" s="347">
        <f>"HART"&amp;" - "&amp;A247</f>
        <v/>
      </c>
      <c r="L247" s="347">
        <f>+VLOOKUP(K247,TL[],4,FALSE)</f>
        <v/>
      </c>
    </row>
    <row r="248" ht="15" customHeight="1" s="161">
      <c r="A248" s="289" t="n"/>
      <c r="B248" s="289" t="n"/>
      <c r="C248" s="289" t="n"/>
      <c r="D248" s="289" t="n"/>
      <c r="E248" s="289" t="n"/>
      <c r="F248" s="289" t="n"/>
      <c r="G248" s="220">
        <f>SUM(C248)-SUM(D248)</f>
        <v/>
      </c>
      <c r="H248" s="220">
        <f>SUM(E248)-SUM(F248)</f>
        <v/>
      </c>
      <c r="I248" s="221">
        <f>IF(A248="Total",VLOOKUP(B248,CORRESPONDANCE[#All],2,FALSE),I249)</f>
        <v/>
      </c>
      <c r="J248" s="350">
        <f>LEFT(A248,1)</f>
        <v/>
      </c>
      <c r="K248" s="347">
        <f>"HART"&amp;" - "&amp;A248</f>
        <v/>
      </c>
      <c r="L248" s="347">
        <f>+VLOOKUP(K248,TL[],4,FALSE)</f>
        <v/>
      </c>
    </row>
    <row r="249" ht="15" customHeight="1" s="161">
      <c r="A249" s="289" t="n"/>
      <c r="B249" s="289" t="n"/>
      <c r="C249" s="289" t="n"/>
      <c r="D249" s="289" t="n"/>
      <c r="E249" s="289" t="n"/>
      <c r="F249" s="289" t="n"/>
      <c r="G249" s="220">
        <f>SUM(C249)-SUM(D249)</f>
        <v/>
      </c>
      <c r="H249" s="220">
        <f>SUM(E249)-SUM(F249)</f>
        <v/>
      </c>
      <c r="I249" s="221">
        <f>IF(A249="Total",VLOOKUP(B249,CORRESPONDANCE[#All],2,FALSE),I250)</f>
        <v/>
      </c>
      <c r="J249" s="350">
        <f>LEFT(A249,1)</f>
        <v/>
      </c>
      <c r="K249" s="347">
        <f>"HART"&amp;" - "&amp;A249</f>
        <v/>
      </c>
      <c r="L249" s="347">
        <f>+VLOOKUP(K249,TL[],4,FALSE)</f>
        <v/>
      </c>
    </row>
    <row r="250" ht="15" customHeight="1" s="161">
      <c r="A250" s="289" t="n"/>
      <c r="B250" s="289" t="n"/>
      <c r="C250" s="289" t="n"/>
      <c r="D250" s="289" t="n"/>
      <c r="E250" s="289" t="n"/>
      <c r="F250" s="289" t="n"/>
      <c r="G250" s="220">
        <f>SUM(C250)-SUM(D250)</f>
        <v/>
      </c>
      <c r="H250" s="220">
        <f>SUM(E250)-SUM(F250)</f>
        <v/>
      </c>
      <c r="I250" s="221">
        <f>IF(A250="Total",VLOOKUP(B250,CORRESPONDANCE[#All],2,FALSE),I251)</f>
        <v/>
      </c>
      <c r="J250" s="350">
        <f>LEFT(A250,1)</f>
        <v/>
      </c>
      <c r="K250" s="347">
        <f>"HART"&amp;" - "&amp;A250</f>
        <v/>
      </c>
      <c r="L250" s="347">
        <f>+VLOOKUP(K250,TL[],4,FALSE)</f>
        <v/>
      </c>
    </row>
    <row r="251" ht="15" customHeight="1" s="161">
      <c r="A251" s="289" t="n"/>
      <c r="B251" s="289" t="n"/>
      <c r="C251" s="289" t="n"/>
      <c r="D251" s="289" t="n"/>
      <c r="E251" s="289" t="n"/>
      <c r="F251" s="289" t="n"/>
      <c r="G251" s="220">
        <f>SUM(C251)-SUM(D251)</f>
        <v/>
      </c>
      <c r="H251" s="220">
        <f>SUM(E251)-SUM(F251)</f>
        <v/>
      </c>
      <c r="I251" s="221">
        <f>IF(A251="Total",VLOOKUP(B251,CORRESPONDANCE[#All],2,FALSE),I252)</f>
        <v/>
      </c>
      <c r="J251" s="350">
        <f>LEFT(A251,1)</f>
        <v/>
      </c>
      <c r="K251" s="347">
        <f>"HART"&amp;" - "&amp;A251</f>
        <v/>
      </c>
      <c r="L251" s="347">
        <f>+VLOOKUP(K251,TL[],4,FALSE)</f>
        <v/>
      </c>
    </row>
    <row r="252" ht="15" customHeight="1" s="161">
      <c r="A252" s="289" t="n"/>
      <c r="B252" s="289" t="n"/>
      <c r="C252" s="289" t="n"/>
      <c r="D252" s="289" t="n"/>
      <c r="E252" s="289" t="n"/>
      <c r="F252" s="289" t="n"/>
      <c r="G252" s="220">
        <f>SUM(C252)-SUM(D252)</f>
        <v/>
      </c>
      <c r="H252" s="220">
        <f>SUM(E252)-SUM(F252)</f>
        <v/>
      </c>
      <c r="I252" s="221">
        <f>IF(A252="Total",VLOOKUP(B252,CORRESPONDANCE[#All],2,FALSE),I253)</f>
        <v/>
      </c>
      <c r="J252" s="350">
        <f>LEFT(A252,1)</f>
        <v/>
      </c>
      <c r="K252" s="347">
        <f>"HART"&amp;" - "&amp;A252</f>
        <v/>
      </c>
      <c r="L252" s="347">
        <f>+VLOOKUP(K252,TL[],4,FALSE)</f>
        <v/>
      </c>
    </row>
    <row r="253" ht="15" customHeight="1" s="161">
      <c r="A253" s="289" t="n"/>
      <c r="B253" s="289" t="n"/>
      <c r="C253" s="289" t="n"/>
      <c r="D253" s="289" t="n"/>
      <c r="E253" s="289" t="n"/>
      <c r="F253" s="289" t="n"/>
      <c r="G253" s="220">
        <f>SUM(C253)-SUM(D253)</f>
        <v/>
      </c>
      <c r="H253" s="220">
        <f>SUM(E253)-SUM(F253)</f>
        <v/>
      </c>
      <c r="I253" s="221">
        <f>IF(A253="Total",VLOOKUP(B253,CORRESPONDANCE[#All],2,FALSE),I254)</f>
        <v/>
      </c>
      <c r="J253" s="350">
        <f>LEFT(A253,1)</f>
        <v/>
      </c>
      <c r="K253" s="347">
        <f>"HART"&amp;" - "&amp;A253</f>
        <v/>
      </c>
      <c r="L253" s="347">
        <f>+VLOOKUP(K253,TL[],4,FALSE)</f>
        <v/>
      </c>
    </row>
    <row r="254" ht="15" customHeight="1" s="161">
      <c r="A254" s="289" t="n"/>
      <c r="B254" s="289" t="n"/>
      <c r="C254" s="289" t="n"/>
      <c r="D254" s="289" t="n"/>
      <c r="E254" s="289" t="n"/>
      <c r="F254" s="289" t="n"/>
      <c r="G254" s="220">
        <f>SUM(C254)-SUM(D254)</f>
        <v/>
      </c>
      <c r="H254" s="220">
        <f>SUM(E254)-SUM(F254)</f>
        <v/>
      </c>
      <c r="I254" s="221">
        <f>IF(A254="Total",VLOOKUP(B254,CORRESPONDANCE[#All],2,FALSE),I255)</f>
        <v/>
      </c>
      <c r="J254" s="350">
        <f>LEFT(A254,1)</f>
        <v/>
      </c>
      <c r="K254" s="347">
        <f>"HART"&amp;" - "&amp;A254</f>
        <v/>
      </c>
      <c r="L254" s="347">
        <f>+VLOOKUP(K254,TL[],4,FALSE)</f>
        <v/>
      </c>
    </row>
    <row r="255" ht="15" customHeight="1" s="161">
      <c r="A255" s="289" t="n"/>
      <c r="B255" s="289" t="n"/>
      <c r="C255" s="289" t="n"/>
      <c r="D255" s="289" t="n"/>
      <c r="E255" s="289" t="n"/>
      <c r="F255" s="289" t="n"/>
      <c r="G255" s="220">
        <f>SUM(C255)-SUM(D255)</f>
        <v/>
      </c>
      <c r="H255" s="220">
        <f>SUM(E255)-SUM(F255)</f>
        <v/>
      </c>
      <c r="I255" s="221">
        <f>IF(A255="Total",VLOOKUP(B255,CORRESPONDANCE[#All],2,FALSE),I256)</f>
        <v/>
      </c>
      <c r="J255" s="350">
        <f>LEFT(A255,1)</f>
        <v/>
      </c>
      <c r="K255" s="347">
        <f>"HART"&amp;" - "&amp;A255</f>
        <v/>
      </c>
      <c r="L255" s="347">
        <f>+VLOOKUP(K255,TL[],4,FALSE)</f>
        <v/>
      </c>
    </row>
    <row r="256" ht="15" customHeight="1" s="161">
      <c r="A256" s="289" t="n"/>
      <c r="B256" s="289" t="n"/>
      <c r="C256" s="289" t="n"/>
      <c r="D256" s="289" t="n"/>
      <c r="E256" s="289" t="n"/>
      <c r="F256" s="289" t="n"/>
      <c r="G256" s="220">
        <f>SUM(C256)-SUM(D256)</f>
        <v/>
      </c>
      <c r="H256" s="220">
        <f>SUM(E256)-SUM(F256)</f>
        <v/>
      </c>
      <c r="I256" s="221">
        <f>IF(A256="Total",VLOOKUP(B256,CORRESPONDANCE[#All],2,FALSE),I257)</f>
        <v/>
      </c>
      <c r="J256" s="350">
        <f>LEFT(A256,1)</f>
        <v/>
      </c>
      <c r="K256" s="347">
        <f>"HART"&amp;" - "&amp;A256</f>
        <v/>
      </c>
      <c r="L256" s="347">
        <f>+VLOOKUP(K256,TL[],4,FALSE)</f>
        <v/>
      </c>
    </row>
    <row r="257" ht="15" customHeight="1" s="161">
      <c r="A257" s="289" t="n"/>
      <c r="B257" s="289" t="n"/>
      <c r="C257" s="289" t="n"/>
      <c r="D257" s="289" t="n"/>
      <c r="E257" s="289" t="n"/>
      <c r="F257" s="289" t="n"/>
      <c r="G257" s="220">
        <f>SUM(C257)-SUM(D257)</f>
        <v/>
      </c>
      <c r="H257" s="220">
        <f>SUM(E257)-SUM(F257)</f>
        <v/>
      </c>
      <c r="I257" s="221">
        <f>IF(A257="Total",VLOOKUP(B257,CORRESPONDANCE[#All],2,FALSE),I258)</f>
        <v/>
      </c>
      <c r="J257" s="350">
        <f>LEFT(A257,1)</f>
        <v/>
      </c>
      <c r="K257" s="347">
        <f>"HART"&amp;" - "&amp;A257</f>
        <v/>
      </c>
      <c r="L257" s="347">
        <f>+VLOOKUP(K257,TL[],4,FALSE)</f>
        <v/>
      </c>
    </row>
    <row r="258" ht="15" customHeight="1" s="161">
      <c r="A258" s="289" t="n"/>
      <c r="B258" s="289" t="n"/>
      <c r="C258" s="289" t="n"/>
      <c r="D258" s="289" t="n"/>
      <c r="E258" s="289" t="n"/>
      <c r="F258" s="289" t="n"/>
      <c r="G258" s="220">
        <f>SUM(C258)-SUM(D258)</f>
        <v/>
      </c>
      <c r="H258" s="220">
        <f>SUM(E258)-SUM(F258)</f>
        <v/>
      </c>
      <c r="I258" s="221">
        <f>IF(A258="Total",VLOOKUP(B258,CORRESPONDANCE[#All],2,FALSE),I259)</f>
        <v/>
      </c>
      <c r="J258" s="350">
        <f>LEFT(A258,1)</f>
        <v/>
      </c>
      <c r="K258" s="347">
        <f>"HART"&amp;" - "&amp;A258</f>
        <v/>
      </c>
      <c r="L258" s="347">
        <f>+VLOOKUP(K258,TL[],4,FALSE)</f>
        <v/>
      </c>
    </row>
    <row r="259" ht="15" customHeight="1" s="161">
      <c r="A259" s="289" t="n"/>
      <c r="B259" s="289" t="n"/>
      <c r="C259" s="289" t="n"/>
      <c r="D259" s="289" t="n"/>
      <c r="E259" s="289" t="n"/>
      <c r="F259" s="289" t="n"/>
      <c r="G259" s="220">
        <f>SUM(C259)-SUM(D259)</f>
        <v/>
      </c>
      <c r="H259" s="220">
        <f>SUM(E259)-SUM(F259)</f>
        <v/>
      </c>
      <c r="I259" s="221">
        <f>IF(A259="Total",VLOOKUP(B259,CORRESPONDANCE[#All],2,FALSE),I260)</f>
        <v/>
      </c>
      <c r="J259" s="350">
        <f>LEFT(A259,1)</f>
        <v/>
      </c>
      <c r="K259" s="347">
        <f>"HART"&amp;" - "&amp;A259</f>
        <v/>
      </c>
      <c r="L259" s="347">
        <f>+VLOOKUP(K259,TL[],4,FALSE)</f>
        <v/>
      </c>
    </row>
    <row r="260" ht="15" customHeight="1" s="161">
      <c r="A260" s="289" t="n"/>
      <c r="B260" s="289" t="n"/>
      <c r="C260" s="289" t="n"/>
      <c r="D260" s="289" t="n"/>
      <c r="E260" s="289" t="n"/>
      <c r="F260" s="289" t="n"/>
      <c r="G260" s="220">
        <f>SUM(C260)-SUM(D260)</f>
        <v/>
      </c>
      <c r="H260" s="220">
        <f>SUM(E260)-SUM(F260)</f>
        <v/>
      </c>
      <c r="I260" s="221">
        <f>IF(A260="Total",VLOOKUP(B260,CORRESPONDANCE[#All],2,FALSE),I261)</f>
        <v/>
      </c>
      <c r="J260" s="350">
        <f>LEFT(A260,1)</f>
        <v/>
      </c>
      <c r="K260" s="347">
        <f>"HART"&amp;" - "&amp;A260</f>
        <v/>
      </c>
      <c r="L260" s="347">
        <f>+VLOOKUP(K260,TL[],4,FALSE)</f>
        <v/>
      </c>
    </row>
    <row r="261" ht="15" customHeight="1" s="161">
      <c r="A261" s="289" t="n"/>
      <c r="B261" s="289" t="n"/>
      <c r="C261" s="289" t="n"/>
      <c r="D261" s="289" t="n"/>
      <c r="E261" s="289" t="n"/>
      <c r="F261" s="289" t="n"/>
      <c r="G261" s="220">
        <f>SUM(C261)-SUM(D261)</f>
        <v/>
      </c>
      <c r="H261" s="220">
        <f>SUM(E261)-SUM(F261)</f>
        <v/>
      </c>
      <c r="I261" s="221">
        <f>IF(A261="Total",VLOOKUP(B261,CORRESPONDANCE[#All],2,FALSE),I262)</f>
        <v/>
      </c>
      <c r="J261" s="350">
        <f>LEFT(A261,1)</f>
        <v/>
      </c>
      <c r="K261" s="347">
        <f>"HART"&amp;" - "&amp;A261</f>
        <v/>
      </c>
      <c r="L261" s="347">
        <f>+VLOOKUP(K261,TL[],4,FALSE)</f>
        <v/>
      </c>
    </row>
    <row r="262" ht="15" customHeight="1" s="161">
      <c r="A262" s="289" t="n"/>
      <c r="B262" s="289" t="n"/>
      <c r="C262" s="289" t="n"/>
      <c r="D262" s="289" t="n"/>
      <c r="E262" s="289" t="n"/>
      <c r="F262" s="289" t="n"/>
      <c r="G262" s="220">
        <f>SUM(C262)-SUM(D262)</f>
        <v/>
      </c>
      <c r="H262" s="220">
        <f>SUM(E262)-SUM(F262)</f>
        <v/>
      </c>
      <c r="I262" s="221">
        <f>IF(A262="Total",VLOOKUP(B262,CORRESPONDANCE[#All],2,FALSE),I263)</f>
        <v/>
      </c>
      <c r="J262" s="350">
        <f>LEFT(A262,1)</f>
        <v/>
      </c>
      <c r="K262" s="347">
        <f>"HART"&amp;" - "&amp;A262</f>
        <v/>
      </c>
      <c r="L262" s="347">
        <f>+VLOOKUP(K262,TL[],4,FALSE)</f>
        <v/>
      </c>
    </row>
    <row r="263" ht="15" customHeight="1" s="161">
      <c r="A263" s="289" t="n"/>
      <c r="B263" s="289" t="n"/>
      <c r="C263" s="289" t="n"/>
      <c r="D263" s="289" t="n"/>
      <c r="E263" s="289" t="n"/>
      <c r="F263" s="289" t="n"/>
      <c r="G263" s="220">
        <f>SUM(C263)-SUM(D263)</f>
        <v/>
      </c>
      <c r="H263" s="220">
        <f>SUM(E263)-SUM(F263)</f>
        <v/>
      </c>
      <c r="I263" s="221">
        <f>IF(A263="Total",VLOOKUP(B263,CORRESPONDANCE[#All],2,FALSE),I264)</f>
        <v/>
      </c>
      <c r="J263" s="350">
        <f>LEFT(A263,1)</f>
        <v/>
      </c>
      <c r="K263" s="347">
        <f>"HART"&amp;" - "&amp;A263</f>
        <v/>
      </c>
      <c r="L263" s="347">
        <f>+VLOOKUP(K263,TL[],4,FALSE)</f>
        <v/>
      </c>
    </row>
    <row r="264" ht="15" customHeight="1" s="161">
      <c r="A264" s="289" t="n"/>
      <c r="B264" s="289" t="n"/>
      <c r="C264" s="289" t="n"/>
      <c r="D264" s="289" t="n"/>
      <c r="E264" s="289" t="n"/>
      <c r="F264" s="289" t="n"/>
    </row>
    <row r="265" ht="15" customHeight="1" s="161">
      <c r="A265" s="289" t="n"/>
      <c r="B265" s="289" t="n"/>
      <c r="C265" s="289" t="n"/>
      <c r="D265" s="289" t="n"/>
      <c r="E265" s="289" t="n"/>
      <c r="F265" s="289" t="n"/>
    </row>
    <row r="266" ht="15" customHeight="1" s="161">
      <c r="A266" s="289" t="n"/>
      <c r="B266" s="289" t="n"/>
      <c r="C266" s="289" t="n"/>
      <c r="D266" s="289" t="n"/>
      <c r="E266" s="289" t="n"/>
      <c r="F266" s="289" t="n"/>
    </row>
    <row r="267" ht="15" customHeight="1" s="161">
      <c r="A267" s="289" t="n"/>
      <c r="B267" s="289" t="n"/>
      <c r="C267" s="289" t="n"/>
      <c r="D267" s="289" t="n"/>
      <c r="E267" s="289" t="n"/>
      <c r="F267" s="289" t="n"/>
    </row>
    <row r="268" ht="15" customHeight="1" s="161">
      <c r="A268" s="289" t="n"/>
      <c r="B268" s="289" t="n"/>
      <c r="C268" s="289" t="n"/>
      <c r="D268" s="289" t="n"/>
      <c r="E268" s="289" t="n"/>
      <c r="F268" s="289" t="n"/>
    </row>
    <row r="269" ht="15" customHeight="1" s="161">
      <c r="A269" s="289" t="n"/>
      <c r="B269" s="289" t="n"/>
      <c r="C269" s="289" t="n"/>
      <c r="D269" s="289" t="n"/>
      <c r="E269" s="289" t="n"/>
      <c r="F269" s="289" t="n"/>
    </row>
    <row r="270" ht="15" customHeight="1" s="161">
      <c r="A270" s="289" t="n"/>
      <c r="B270" s="289" t="n"/>
      <c r="C270" s="289" t="n"/>
      <c r="D270" s="289" t="n"/>
      <c r="E270" s="289" t="n"/>
      <c r="F270" s="289" t="n"/>
    </row>
    <row r="271" ht="15" customHeight="1" s="161">
      <c r="A271" s="289" t="n"/>
      <c r="B271" s="289" t="n"/>
      <c r="C271" s="289" t="n"/>
      <c r="D271" s="289" t="n"/>
      <c r="E271" s="289" t="n"/>
      <c r="F271" s="289" t="n"/>
    </row>
    <row r="272" ht="15" customHeight="1" s="161">
      <c r="A272" s="289" t="n"/>
      <c r="B272" s="289" t="n"/>
      <c r="C272" s="289" t="n"/>
      <c r="D272" s="289" t="n"/>
      <c r="E272" s="289" t="n"/>
      <c r="F272" s="289" t="n"/>
    </row>
  </sheetData>
  <autoFilter ref="A1:L249"/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252"/>
  <sheetViews>
    <sheetView zoomScale="85" zoomScaleNormal="85" workbookViewId="0">
      <selection activeCell="F12" sqref="F12"/>
    </sheetView>
  </sheetViews>
  <sheetFormatPr baseColWidth="10" defaultColWidth="11.5703125" defaultRowHeight="12.75"/>
  <cols>
    <col width="12.28515625" bestFit="1" customWidth="1" style="213" min="1" max="1"/>
    <col width="46" bestFit="1" customWidth="1" style="347" min="2" max="2"/>
    <col width="13.28515625" customWidth="1" style="223" min="3" max="8"/>
    <col width="11.7109375" bestFit="1" customWidth="1" style="224" min="9" max="9"/>
    <col width="11.5703125" customWidth="1" style="347" min="10" max="10"/>
    <col width="17.5703125" bestFit="1" customWidth="1" style="347" min="11" max="11"/>
    <col width="11.5703125" customWidth="1" style="347" min="12" max="16384"/>
  </cols>
  <sheetData>
    <row r="1">
      <c r="A1" s="213" t="inlineStr">
        <is>
          <t xml:space="preserve">    N° </t>
        </is>
      </c>
      <c r="B1" s="347" t="inlineStr">
        <is>
          <t>P&amp;L</t>
        </is>
      </c>
      <c r="C1" s="216" t="n"/>
      <c r="D1" s="216" t="n"/>
      <c r="E1" s="216" t="n"/>
      <c r="F1" s="216" t="n"/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>
      <c r="A2" s="213" t="n">
        <v>1</v>
      </c>
      <c r="B2" s="347" t="inlineStr">
        <is>
          <t>Ventes nettes totales</t>
        </is>
      </c>
      <c r="C2" s="216" t="n">
        <v>228176.94</v>
      </c>
      <c r="D2" s="216" t="n"/>
      <c r="E2" s="216" t="n">
        <v>228176.94</v>
      </c>
      <c r="F2" s="216" t="n"/>
      <c r="G2" s="220">
        <f>-SUM(C2)+SUM(D2)</f>
        <v/>
      </c>
      <c r="H2" s="220">
        <f>-SUM(E2)+SUM(F2)</f>
        <v/>
      </c>
      <c r="I2" s="221" t="n">
        <v>1</v>
      </c>
      <c r="J2" s="350" t="inlineStr">
        <is>
          <t>T</t>
        </is>
      </c>
      <c r="K2" s="347">
        <f>"VICTOIRE"&amp;" - "&amp;A2</f>
        <v/>
      </c>
      <c r="L2" s="347">
        <f>+VLOOKUP(K2,TL[],4,FALSE)</f>
        <v/>
      </c>
    </row>
    <row r="3">
      <c r="A3" s="213" t="n">
        <v>2</v>
      </c>
      <c r="B3" s="347" t="inlineStr">
        <is>
          <t>Ventes produits alimentaires</t>
        </is>
      </c>
      <c r="C3" s="216" t="n">
        <v>225059.06</v>
      </c>
      <c r="D3" s="216" t="n"/>
      <c r="E3" s="216" t="n">
        <v>225059.06</v>
      </c>
      <c r="F3" s="216" t="n"/>
      <c r="G3" s="220">
        <f>-SUM(C3)+SUM(D3)</f>
        <v/>
      </c>
      <c r="H3" s="220">
        <f>-SUM(E3)+SUM(F3)</f>
        <v/>
      </c>
      <c r="I3" s="221" t="n">
        <v>2</v>
      </c>
      <c r="J3" s="350" t="inlineStr">
        <is>
          <t>T</t>
        </is>
      </c>
      <c r="K3" s="347">
        <f>"VICTOIRE"&amp;" - "&amp;A3</f>
        <v/>
      </c>
      <c r="L3" s="347">
        <f>+VLOOKUP(K3,TL[],4,FALSE)</f>
        <v/>
      </c>
    </row>
    <row r="4">
      <c r="A4" s="213" t="n">
        <v>3</v>
      </c>
      <c r="B4" s="347" t="inlineStr">
        <is>
          <t>Coût achat nourriture</t>
        </is>
      </c>
      <c r="C4" s="216" t="n">
        <v>49662.43</v>
      </c>
      <c r="D4" s="216" t="n"/>
      <c r="E4" s="216" t="n">
        <v>49662.43</v>
      </c>
      <c r="F4" s="216" t="n"/>
      <c r="G4" s="220">
        <f>SUM(C4)-SUM(D4)</f>
        <v/>
      </c>
      <c r="H4" s="220">
        <f>SUM(E4)-SUM(F4)</f>
        <v/>
      </c>
      <c r="I4" s="221" t="n">
        <v>3</v>
      </c>
      <c r="J4" s="350" t="inlineStr">
        <is>
          <t>T</t>
        </is>
      </c>
      <c r="K4" s="347">
        <f>"VICTOIRE"&amp;" - "&amp;A4</f>
        <v/>
      </c>
      <c r="L4" s="347">
        <f>+VLOOKUP(K4,TL[],4,FALSE)</f>
        <v/>
      </c>
    </row>
    <row r="5">
      <c r="A5" s="213" t="n">
        <v>4</v>
      </c>
      <c r="B5" s="347" t="inlineStr">
        <is>
          <t>Repas employés</t>
        </is>
      </c>
      <c r="C5" s="216" t="n">
        <v>1353.01</v>
      </c>
      <c r="D5" s="216" t="n"/>
      <c r="E5" s="216" t="n">
        <v>1353.01</v>
      </c>
      <c r="F5" s="216" t="n"/>
      <c r="G5" s="220">
        <f>SUM(C5)-SUM(D5)</f>
        <v/>
      </c>
      <c r="H5" s="220">
        <f>SUM(E5)-SUM(F5)</f>
        <v/>
      </c>
      <c r="I5" s="221" t="n">
        <v>4</v>
      </c>
      <c r="J5" s="350" t="inlineStr">
        <is>
          <t>T</t>
        </is>
      </c>
      <c r="K5" s="347">
        <f>"VICTOIRE"&amp;" - "&amp;A5</f>
        <v/>
      </c>
      <c r="L5" s="347">
        <f>+VLOOKUP(K5,TL[],4,FALSE)</f>
        <v/>
      </c>
    </row>
    <row r="6">
      <c r="A6" s="213" t="n">
        <v>5</v>
      </c>
      <c r="B6" s="347" t="inlineStr">
        <is>
          <t>Déchets Pertes</t>
        </is>
      </c>
      <c r="C6" s="216" t="n">
        <v>1893.68</v>
      </c>
      <c r="D6" s="216" t="n"/>
      <c r="E6" s="216" t="n">
        <v>1893.68</v>
      </c>
      <c r="F6" s="216" t="n"/>
      <c r="G6" s="220">
        <f>SUM(C6)-SUM(D6)</f>
        <v/>
      </c>
      <c r="H6" s="220">
        <f>SUM(E6)-SUM(F6)</f>
        <v/>
      </c>
      <c r="I6" s="221" t="n">
        <v>5</v>
      </c>
      <c r="J6" s="350" t="inlineStr">
        <is>
          <t>T</t>
        </is>
      </c>
      <c r="K6" s="347">
        <f>"VICTOIRE"&amp;" - "&amp;A6</f>
        <v/>
      </c>
      <c r="L6" s="347">
        <f>+VLOOKUP(K6,TL[],4,FALSE)</f>
        <v/>
      </c>
    </row>
    <row r="7">
      <c r="A7" s="213" t="n">
        <v>6</v>
      </c>
      <c r="B7" s="347" t="inlineStr">
        <is>
          <t>Coût emballages</t>
        </is>
      </c>
      <c r="C7" s="216" t="n">
        <v>4062.77</v>
      </c>
      <c r="D7" s="216" t="n"/>
      <c r="E7" s="216" t="n">
        <v>4062.77</v>
      </c>
      <c r="F7" s="216" t="n"/>
      <c r="G7" s="220">
        <f>SUM(C7)-SUM(D7)</f>
        <v/>
      </c>
      <c r="H7" s="220">
        <f>SUM(E7)-SUM(F7)</f>
        <v/>
      </c>
      <c r="I7" s="221" t="n">
        <v>6</v>
      </c>
      <c r="J7" s="350" t="inlineStr">
        <is>
          <t>T</t>
        </is>
      </c>
      <c r="K7" s="347">
        <f>"VICTOIRE"&amp;" - "&amp;A7</f>
        <v/>
      </c>
      <c r="L7" s="347">
        <f>+VLOOKUP(K7,TL[],4,FALSE)</f>
        <v/>
      </c>
    </row>
    <row r="8">
      <c r="A8" s="213" t="n">
        <v>6.1</v>
      </c>
      <c r="B8" s="347" t="inlineStr">
        <is>
          <t>Vaisselle réutilisable</t>
        </is>
      </c>
      <c r="C8" s="216" t="n">
        <v>164.78</v>
      </c>
      <c r="D8" s="216" t="n"/>
      <c r="E8" s="216" t="n">
        <v>164.78</v>
      </c>
      <c r="F8" s="216" t="n"/>
      <c r="G8" s="220">
        <f>SUM(C8)-SUM(D8)</f>
        <v/>
      </c>
      <c r="H8" s="220">
        <f>SUM(E8)-SUM(F8)</f>
        <v/>
      </c>
      <c r="I8" s="221" t="inlineStr">
        <is>
          <t>6.1</t>
        </is>
      </c>
      <c r="J8" s="350" t="inlineStr">
        <is>
          <t>T</t>
        </is>
      </c>
      <c r="K8" s="347">
        <f>"VICTOIRE"&amp;" - "&amp;A8</f>
        <v/>
      </c>
      <c r="L8" s="347">
        <f>+VLOOKUP(K8,TL[],4,FALSE)</f>
        <v/>
      </c>
    </row>
    <row r="9">
      <c r="A9" s="213" t="n">
        <v>7</v>
      </c>
      <c r="B9" s="347" t="inlineStr">
        <is>
          <t>Marge brute</t>
        </is>
      </c>
      <c r="C9" s="216" t="n">
        <v>167922.39</v>
      </c>
      <c r="D9" s="216" t="n"/>
      <c r="E9" s="216" t="n">
        <v>167922.39</v>
      </c>
      <c r="F9" s="216" t="n"/>
      <c r="G9" s="220">
        <f>SUM(C9)-SUM(D9)</f>
        <v/>
      </c>
      <c r="H9" s="220">
        <f>SUM(E9)-SUM(F9)</f>
        <v/>
      </c>
      <c r="I9" s="221" t="n">
        <v>7</v>
      </c>
      <c r="J9" s="350" t="inlineStr">
        <is>
          <t>T</t>
        </is>
      </c>
      <c r="K9" s="347">
        <f>"VICTOIRE"&amp;" - "&amp;A9</f>
        <v/>
      </c>
      <c r="L9" s="347">
        <f>+VLOOKUP(K9,TL[],4,FALSE)</f>
        <v/>
      </c>
    </row>
    <row r="10">
      <c r="A10" s="213" t="n">
        <v>8</v>
      </c>
      <c r="B10" s="347" t="inlineStr">
        <is>
          <t>Main d'œuvre brute équipiers</t>
        </is>
      </c>
      <c r="C10" s="216" t="n">
        <v>27614.92</v>
      </c>
      <c r="D10" s="216" t="n"/>
      <c r="E10" s="216" t="n">
        <v>27614.92</v>
      </c>
      <c r="F10" s="216" t="n"/>
      <c r="G10" s="220">
        <f>SUM(C10)-SUM(D10)</f>
        <v/>
      </c>
      <c r="H10" s="220">
        <f>SUM(E10)-SUM(F10)</f>
        <v/>
      </c>
      <c r="I10" s="221" t="n">
        <v>8</v>
      </c>
      <c r="J10" s="350" t="inlineStr">
        <is>
          <t>T</t>
        </is>
      </c>
      <c r="K10" s="347">
        <f>"VICTOIRE"&amp;" - "&amp;A10</f>
        <v/>
      </c>
      <c r="L10" s="347">
        <f>+VLOOKUP(K10,TL[],4,FALSE)</f>
        <v/>
      </c>
    </row>
    <row r="11">
      <c r="A11" s="213" t="n">
        <v>9</v>
      </c>
      <c r="B11" s="347" t="inlineStr">
        <is>
          <t>Charges sociales équipiers</t>
        </is>
      </c>
      <c r="C11" s="216" t="n">
        <v>3379.71</v>
      </c>
      <c r="D11" s="216" t="n"/>
      <c r="E11" s="216" t="n">
        <v>3379.71</v>
      </c>
      <c r="F11" s="216" t="n"/>
      <c r="G11" s="220">
        <f>SUM(C11)-SUM(D11)</f>
        <v/>
      </c>
      <c r="H11" s="220">
        <f>SUM(E11)-SUM(F11)</f>
        <v/>
      </c>
      <c r="I11" s="221" t="n">
        <v>9</v>
      </c>
      <c r="J11" s="350" t="inlineStr">
        <is>
          <t>T</t>
        </is>
      </c>
      <c r="K11" s="347">
        <f>"VICTOIRE"&amp;" - "&amp;A11</f>
        <v/>
      </c>
      <c r="L11" s="347">
        <f>+VLOOKUP(K11,TL[],4,FALSE)</f>
        <v/>
      </c>
    </row>
    <row r="12">
      <c r="A12" s="213" t="n">
        <v>10</v>
      </c>
      <c r="B12" s="347" t="inlineStr">
        <is>
          <t>Main d'œuvre brute équipe de gestion</t>
        </is>
      </c>
      <c r="C12" s="216" t="n">
        <v>18309.69</v>
      </c>
      <c r="D12" s="216" t="n"/>
      <c r="E12" s="216" t="n">
        <v>18309.69</v>
      </c>
      <c r="F12" s="216" t="n"/>
      <c r="G12" s="220">
        <f>SUM(C12)-SUM(D12)</f>
        <v/>
      </c>
      <c r="H12" s="220">
        <f>SUM(E12)-SUM(F12)</f>
        <v/>
      </c>
      <c r="I12" s="221" t="n">
        <v>10</v>
      </c>
      <c r="J12" s="350" t="inlineStr">
        <is>
          <t>T</t>
        </is>
      </c>
      <c r="K12" s="347">
        <f>"VICTOIRE"&amp;" - "&amp;A12</f>
        <v/>
      </c>
      <c r="L12" s="347">
        <f>+VLOOKUP(K12,TL[],4,FALSE)</f>
        <v/>
      </c>
    </row>
    <row r="13">
      <c r="A13" s="213" t="n">
        <v>11</v>
      </c>
      <c r="B13" s="347" t="inlineStr">
        <is>
          <t>Charges sociales équipe de gestion</t>
        </is>
      </c>
      <c r="C13" s="216" t="n">
        <v>4405.86</v>
      </c>
      <c r="D13" s="216" t="n"/>
      <c r="E13" s="216" t="n">
        <v>4405.86</v>
      </c>
      <c r="F13" s="216" t="n"/>
      <c r="G13" s="220">
        <f>SUM(C13)-SUM(D13)</f>
        <v/>
      </c>
      <c r="H13" s="220">
        <f>SUM(E13)-SUM(F13)</f>
        <v/>
      </c>
      <c r="I13" s="221" t="n">
        <v>11</v>
      </c>
      <c r="J13" s="350" t="inlineStr">
        <is>
          <t>T</t>
        </is>
      </c>
      <c r="K13" s="347">
        <f>"VICTOIRE"&amp;" - "&amp;A13</f>
        <v/>
      </c>
      <c r="L13" s="347">
        <f>+VLOOKUP(K13,TL[],4,FALSE)</f>
        <v/>
      </c>
    </row>
    <row r="14">
      <c r="A14" s="213" t="n">
        <v>12</v>
      </c>
      <c r="B14" s="347" t="inlineStr">
        <is>
          <t>Aides et exonérations sociales</t>
        </is>
      </c>
      <c r="C14" s="216" t="n">
        <v>-500</v>
      </c>
      <c r="D14" s="216" t="n"/>
      <c r="E14" s="216" t="n">
        <v>-500</v>
      </c>
      <c r="F14" s="216" t="n"/>
      <c r="G14" s="220">
        <f>SUM(C14)-SUM(D14)</f>
        <v/>
      </c>
      <c r="H14" s="220">
        <f>SUM(E14)-SUM(F14)</f>
        <v/>
      </c>
      <c r="I14" s="221" t="n">
        <v>12</v>
      </c>
      <c r="J14" s="350" t="inlineStr">
        <is>
          <t>T</t>
        </is>
      </c>
      <c r="K14" s="347">
        <f>"VICTOIRE"&amp;" - "&amp;A14</f>
        <v/>
      </c>
      <c r="L14" s="347">
        <f>+VLOOKUP(K14,TL[],4,FALSE)</f>
        <v/>
      </c>
    </row>
    <row r="15">
      <c r="A15" s="213" t="n">
        <v>13</v>
      </c>
      <c r="B15" s="347" t="inlineStr">
        <is>
          <t>Divers MO</t>
        </is>
      </c>
      <c r="C15" s="216" t="n"/>
      <c r="D15" s="216" t="n"/>
      <c r="E15" s="216" t="n"/>
      <c r="F15" s="216" t="n"/>
      <c r="G15" s="220">
        <f>SUM(C15)-SUM(D15)</f>
        <v/>
      </c>
      <c r="H15" s="220">
        <f>SUM(E15)-SUM(F15)</f>
        <v/>
      </c>
      <c r="I15" s="221" t="n">
        <v>13</v>
      </c>
      <c r="J15" s="350" t="inlineStr">
        <is>
          <t>T</t>
        </is>
      </c>
      <c r="K15" s="347">
        <f>"VICTOIRE"&amp;" - "&amp;A15</f>
        <v/>
      </c>
      <c r="L15" s="347">
        <f>+VLOOKUP(K15,TL[],4,FALSE)</f>
        <v/>
      </c>
    </row>
    <row r="16">
      <c r="A16" s="213" t="n">
        <v>14</v>
      </c>
      <c r="B16" s="347" t="inlineStr">
        <is>
          <t>Sous total Main d'œuvre</t>
        </is>
      </c>
      <c r="C16" s="216" t="n">
        <v>53210.17999999999</v>
      </c>
      <c r="D16" s="216" t="n"/>
      <c r="E16" s="216" t="n">
        <v>53210.17999999999</v>
      </c>
      <c r="F16" s="216" t="n"/>
      <c r="G16" s="220">
        <f>SUM(C16)-SUM(D16)</f>
        <v/>
      </c>
      <c r="H16" s="220">
        <f>SUM(E16)-SUM(F16)</f>
        <v/>
      </c>
      <c r="I16" s="221" t="n">
        <v>14</v>
      </c>
      <c r="J16" s="350" t="inlineStr">
        <is>
          <t>T</t>
        </is>
      </c>
      <c r="K16" s="347">
        <f>"VICTOIRE"&amp;" - "&amp;A16</f>
        <v/>
      </c>
      <c r="L16" s="347">
        <f>+VLOOKUP(K16,TL[],4,FALSE)</f>
        <v/>
      </c>
    </row>
    <row r="17">
      <c r="A17" s="213" t="n">
        <v>15</v>
      </c>
      <c r="B17" s="347" t="inlineStr">
        <is>
          <t>Nettoyage</t>
        </is>
      </c>
      <c r="C17" s="216" t="n">
        <v>9540</v>
      </c>
      <c r="D17" s="216" t="n"/>
      <c r="E17" s="216" t="n">
        <v>9540</v>
      </c>
      <c r="F17" s="216" t="n"/>
      <c r="G17" s="220">
        <f>SUM(C17)-SUM(D17)</f>
        <v/>
      </c>
      <c r="H17" s="220">
        <f>SUM(E17)-SUM(F17)</f>
        <v/>
      </c>
      <c r="I17" s="221" t="n">
        <v>15</v>
      </c>
      <c r="J17" s="350" t="inlineStr">
        <is>
          <t>T</t>
        </is>
      </c>
      <c r="K17" s="347">
        <f>"VICTOIRE"&amp;" - "&amp;A17</f>
        <v/>
      </c>
      <c r="L17" s="347">
        <f>+VLOOKUP(K17,TL[],4,FALSE)</f>
        <v/>
      </c>
    </row>
    <row r="18">
      <c r="A18" s="213" t="n">
        <v>16</v>
      </c>
      <c r="B18" s="347" t="inlineStr">
        <is>
          <t>Sécurité et Gardiennage</t>
        </is>
      </c>
      <c r="C18" s="216" t="n">
        <v>58.23</v>
      </c>
      <c r="D18" s="216" t="n"/>
      <c r="E18" s="216" t="n">
        <v>58.23</v>
      </c>
      <c r="F18" s="216" t="n"/>
      <c r="G18" s="220">
        <f>SUM(C18)-SUM(D18)</f>
        <v/>
      </c>
      <c r="H18" s="220">
        <f>SUM(E18)-SUM(F18)</f>
        <v/>
      </c>
      <c r="I18" s="221" t="n">
        <v>16</v>
      </c>
      <c r="J18" s="350" t="inlineStr">
        <is>
          <t>T</t>
        </is>
      </c>
      <c r="K18" s="347">
        <f>"VICTOIRE"&amp;" - "&amp;A18</f>
        <v/>
      </c>
      <c r="L18" s="347">
        <f>+VLOOKUP(K18,TL[],4,FALSE)</f>
        <v/>
      </c>
    </row>
    <row r="19">
      <c r="A19" s="213" t="n">
        <v>17</v>
      </c>
      <c r="B19" s="347" t="inlineStr">
        <is>
          <t>Frais bancaires</t>
        </is>
      </c>
      <c r="C19" s="216" t="n">
        <v>1677.22</v>
      </c>
      <c r="D19" s="216" t="n"/>
      <c r="E19" s="216" t="n">
        <v>1677.22</v>
      </c>
      <c r="F19" s="216" t="n"/>
      <c r="G19" s="220">
        <f>SUM(C19)-SUM(D19)</f>
        <v/>
      </c>
      <c r="H19" s="220">
        <f>SUM(E19)-SUM(F19)</f>
        <v/>
      </c>
      <c r="I19" s="221" t="n">
        <v>17</v>
      </c>
      <c r="J19" s="350" t="inlineStr">
        <is>
          <t>T</t>
        </is>
      </c>
      <c r="K19" s="347">
        <f>"VICTOIRE"&amp;" - "&amp;A19</f>
        <v/>
      </c>
      <c r="L19" s="347">
        <f>+VLOOKUP(K19,TL[],4,FALSE)</f>
        <v/>
      </c>
    </row>
    <row r="20">
      <c r="A20" s="213" t="n">
        <v>18</v>
      </c>
      <c r="B20" s="347" t="inlineStr">
        <is>
          <t>Contrats Maintenance et réparations</t>
        </is>
      </c>
      <c r="C20" s="216" t="n">
        <v>2890.53</v>
      </c>
      <c r="D20" s="216" t="n"/>
      <c r="E20" s="216" t="n">
        <v>2890.53</v>
      </c>
      <c r="F20" s="216" t="n"/>
      <c r="G20" s="220">
        <f>SUM(C20)-SUM(D20)</f>
        <v/>
      </c>
      <c r="H20" s="220">
        <f>SUM(E20)-SUM(F20)</f>
        <v/>
      </c>
      <c r="I20" s="221" t="n">
        <v>18</v>
      </c>
      <c r="J20" s="350" t="inlineStr">
        <is>
          <t>T</t>
        </is>
      </c>
      <c r="K20" s="347">
        <f>"VICTOIRE"&amp;" - "&amp;A20</f>
        <v/>
      </c>
      <c r="L20" s="347">
        <f>+VLOOKUP(K20,TL[],4,FALSE)</f>
        <v/>
      </c>
    </row>
    <row r="21">
      <c r="A21" s="213" t="n">
        <v>19</v>
      </c>
      <c r="B21" s="347" t="inlineStr">
        <is>
          <t>Autres Services Extérieurs</t>
        </is>
      </c>
      <c r="C21" s="216" t="n">
        <v>4651.02</v>
      </c>
      <c r="D21" s="216" t="n"/>
      <c r="E21" s="216" t="n">
        <v>4651.02</v>
      </c>
      <c r="F21" s="216" t="n"/>
      <c r="G21" s="220">
        <f>SUM(C21)-SUM(D21)</f>
        <v/>
      </c>
      <c r="H21" s="220">
        <f>SUM(E21)-SUM(F21)</f>
        <v/>
      </c>
      <c r="I21" s="221" t="n">
        <v>19</v>
      </c>
      <c r="J21" s="350" t="inlineStr">
        <is>
          <t>T</t>
        </is>
      </c>
      <c r="K21" s="347">
        <f>"VICTOIRE"&amp;" - "&amp;A21</f>
        <v/>
      </c>
      <c r="L21" s="347">
        <f>+VLOOKUP(K21,TL[],4,FALSE)</f>
        <v/>
      </c>
    </row>
    <row r="22">
      <c r="A22" s="213" t="n">
        <v>20</v>
      </c>
      <c r="B22" s="347" t="inlineStr">
        <is>
          <t>Sous total Services Extérieurs</t>
        </is>
      </c>
      <c r="C22" s="216" t="n">
        <v>18817</v>
      </c>
      <c r="D22" s="216" t="n"/>
      <c r="E22" s="216" t="n">
        <v>18817</v>
      </c>
      <c r="F22" s="216" t="n"/>
      <c r="G22" s="220">
        <f>SUM(C22)-SUM(D22)</f>
        <v/>
      </c>
      <c r="H22" s="220">
        <f>SUM(E22)-SUM(F22)</f>
        <v/>
      </c>
      <c r="I22" s="221" t="n">
        <v>20</v>
      </c>
      <c r="J22" s="350" t="inlineStr">
        <is>
          <t>T</t>
        </is>
      </c>
      <c r="K22" s="347">
        <f>"VICTOIRE"&amp;" - "&amp;A22</f>
        <v/>
      </c>
      <c r="L22" s="347">
        <f>+VLOOKUP(K22,TL[],4,FALSE)</f>
        <v/>
      </c>
    </row>
    <row r="23">
      <c r="A23" s="213" t="n">
        <v>21</v>
      </c>
      <c r="B23" s="347" t="inlineStr">
        <is>
          <t>Commissions Food Tech</t>
        </is>
      </c>
      <c r="C23" s="216" t="n"/>
      <c r="D23" s="216" t="n"/>
      <c r="E23" s="216" t="n"/>
      <c r="F23" s="216" t="n"/>
      <c r="G23" s="220">
        <f>SUM(C23)-SUM(D23)</f>
        <v/>
      </c>
      <c r="H23" s="220">
        <f>SUM(E23)-SUM(F23)</f>
        <v/>
      </c>
      <c r="I23" s="221" t="n">
        <v>21</v>
      </c>
      <c r="J23" s="350" t="inlineStr">
        <is>
          <t>T</t>
        </is>
      </c>
      <c r="K23" s="347">
        <f>"VICTOIRE"&amp;" - "&amp;A23</f>
        <v/>
      </c>
      <c r="L23" s="347">
        <f>+VLOOKUP(K23,TL[],4,FALSE)</f>
        <v/>
      </c>
    </row>
    <row r="24">
      <c r="A24" s="213" t="n">
        <v>22</v>
      </c>
      <c r="B24" s="347" t="inlineStr">
        <is>
          <t>Publicité GIE</t>
        </is>
      </c>
      <c r="C24" s="216" t="n">
        <v>9030.299999999999</v>
      </c>
      <c r="D24" s="216" t="n"/>
      <c r="E24" s="216" t="n">
        <v>9030.299999999999</v>
      </c>
      <c r="F24" s="216" t="n"/>
      <c r="G24" s="220">
        <f>SUM(C24)-SUM(D24)</f>
        <v/>
      </c>
      <c r="H24" s="220">
        <f>SUM(E24)-SUM(F24)</f>
        <v/>
      </c>
      <c r="I24" s="221" t="n">
        <v>22</v>
      </c>
      <c r="J24" s="350" t="inlineStr">
        <is>
          <t>T</t>
        </is>
      </c>
      <c r="K24" s="347">
        <f>"VICTOIRE"&amp;" - "&amp;A24</f>
        <v/>
      </c>
      <c r="L24" s="347">
        <f>+VLOOKUP(K24,TL[],4,FALSE)</f>
        <v/>
      </c>
    </row>
    <row r="25">
      <c r="A25" s="213" t="n">
        <v>23</v>
      </c>
      <c r="B25" s="347" t="inlineStr">
        <is>
          <t>Promotion locale</t>
        </is>
      </c>
      <c r="C25" s="216" t="n">
        <v>5162.43</v>
      </c>
      <c r="D25" s="216" t="n"/>
      <c r="E25" s="216" t="n">
        <v>5162.43</v>
      </c>
      <c r="F25" s="216" t="n"/>
      <c r="G25" s="220">
        <f>SUM(C25)-SUM(D25)</f>
        <v/>
      </c>
      <c r="H25" s="220">
        <f>SUM(E25)-SUM(F25)</f>
        <v/>
      </c>
      <c r="I25" s="221" t="n">
        <v>23</v>
      </c>
      <c r="J25" s="350" t="inlineStr">
        <is>
          <t>T</t>
        </is>
      </c>
      <c r="K25" s="347">
        <f>"VICTOIRE"&amp;" - "&amp;A25</f>
        <v/>
      </c>
      <c r="L25" s="347">
        <f>+VLOOKUP(K25,TL[],4,FALSE)</f>
        <v/>
      </c>
    </row>
    <row r="26">
      <c r="A26" s="213" t="n">
        <v>24</v>
      </c>
      <c r="B26" s="347" t="inlineStr">
        <is>
          <t>Electricité, eau, gaz, téléphone</t>
        </is>
      </c>
      <c r="C26" s="216" t="n">
        <v>8650.75</v>
      </c>
      <c r="D26" s="216" t="n"/>
      <c r="E26" s="216" t="n">
        <v>8650.75</v>
      </c>
      <c r="F26" s="216" t="n"/>
      <c r="G26" s="220">
        <f>SUM(C26)-SUM(D26)</f>
        <v/>
      </c>
      <c r="H26" s="220">
        <f>SUM(E26)-SUM(F26)</f>
        <v/>
      </c>
      <c r="I26" s="221" t="n">
        <v>24</v>
      </c>
      <c r="J26" s="350" t="inlineStr">
        <is>
          <t>T</t>
        </is>
      </c>
      <c r="K26" s="347">
        <f>"VICTOIRE"&amp;" - "&amp;A26</f>
        <v/>
      </c>
      <c r="L26" s="347">
        <f>+VLOOKUP(K26,TL[],4,FALSE)</f>
        <v/>
      </c>
    </row>
    <row r="27">
      <c r="A27" s="213" t="n">
        <v>25</v>
      </c>
      <c r="B27" s="347" t="inlineStr">
        <is>
          <t>Fournitures exploitation et bureau</t>
        </is>
      </c>
      <c r="C27" s="216" t="n">
        <v>2492.22</v>
      </c>
      <c r="D27" s="216" t="n"/>
      <c r="E27" s="216" t="n">
        <v>2492.22</v>
      </c>
      <c r="F27" s="216" t="n"/>
      <c r="G27" s="220">
        <f>SUM(C27)-SUM(D27)</f>
        <v/>
      </c>
      <c r="H27" s="220">
        <f>SUM(E27)-SUM(F27)</f>
        <v/>
      </c>
      <c r="I27" s="221" t="n">
        <v>25</v>
      </c>
      <c r="J27" s="350" t="inlineStr">
        <is>
          <t>T</t>
        </is>
      </c>
      <c r="K27" s="347">
        <f>"VICTOIRE"&amp;" - "&amp;A27</f>
        <v/>
      </c>
      <c r="L27" s="347">
        <f>+VLOOKUP(K27,TL[],4,FALSE)</f>
        <v/>
      </c>
    </row>
    <row r="28">
      <c r="A28" s="213" t="n">
        <v>26</v>
      </c>
      <c r="B28" s="347" t="inlineStr">
        <is>
          <t>Frais de déplacements et Evènements</t>
        </is>
      </c>
      <c r="C28" s="216" t="n">
        <v>268.03</v>
      </c>
      <c r="D28" s="216" t="n"/>
      <c r="E28" s="216" t="n">
        <v>268.03</v>
      </c>
      <c r="F28" s="216" t="n"/>
      <c r="G28" s="220">
        <f>SUM(C28)-SUM(D28)</f>
        <v/>
      </c>
      <c r="H28" s="220">
        <f>SUM(E28)-SUM(F28)</f>
        <v/>
      </c>
      <c r="I28" s="221" t="n">
        <v>26</v>
      </c>
      <c r="J28" s="350" t="inlineStr">
        <is>
          <t>T</t>
        </is>
      </c>
      <c r="K28" s="347">
        <f>"VICTOIRE"&amp;" - "&amp;A28</f>
        <v/>
      </c>
      <c r="L28" s="347">
        <f>+VLOOKUP(K28,TL[],4,FALSE)</f>
        <v/>
      </c>
    </row>
    <row r="29">
      <c r="A29" s="213" t="n">
        <v>27</v>
      </c>
      <c r="B29" s="347" t="inlineStr">
        <is>
          <t>Divers</t>
        </is>
      </c>
      <c r="C29" s="216" t="n">
        <v>173.12</v>
      </c>
      <c r="D29" s="216" t="n"/>
      <c r="E29" s="216" t="n">
        <v>173.12</v>
      </c>
      <c r="F29" s="216" t="n"/>
      <c r="G29" s="220">
        <f>SUM(C29)-SUM(D29)</f>
        <v/>
      </c>
      <c r="H29" s="220">
        <f>SUM(E29)-SUM(F29)</f>
        <v/>
      </c>
      <c r="I29" s="221" t="n">
        <v>27</v>
      </c>
      <c r="J29" s="350" t="inlineStr">
        <is>
          <t>T</t>
        </is>
      </c>
      <c r="K29" s="347">
        <f>"VICTOIRE"&amp;" - "&amp;A29</f>
        <v/>
      </c>
      <c r="L29" s="347">
        <f>+VLOOKUP(K29,TL[],4,FALSE)</f>
        <v/>
      </c>
    </row>
    <row r="30">
      <c r="A30" s="213" t="n">
        <v>28</v>
      </c>
      <c r="B30" s="347" t="inlineStr">
        <is>
          <t>Profit après contrôlables (PAC)</t>
        </is>
      </c>
      <c r="C30" s="216" t="n">
        <v>70118.36000000002</v>
      </c>
      <c r="D30" s="216" t="n"/>
      <c r="E30" s="216" t="n">
        <v>70118.36000000002</v>
      </c>
      <c r="F30" s="216" t="n"/>
      <c r="G30" s="220">
        <f>SUM(C30)-SUM(D30)</f>
        <v/>
      </c>
      <c r="H30" s="220">
        <f>SUM(E30)-SUM(F30)</f>
        <v/>
      </c>
      <c r="I30" s="221" t="n">
        <v>28</v>
      </c>
      <c r="J30" s="350" t="inlineStr">
        <is>
          <t>T</t>
        </is>
      </c>
      <c r="K30" s="347">
        <f>"VICTOIRE"&amp;" - "&amp;A30</f>
        <v/>
      </c>
      <c r="L30" s="347">
        <f>+VLOOKUP(K30,TL[],4,FALSE)</f>
        <v/>
      </c>
    </row>
    <row r="31">
      <c r="A31" s="213" t="n">
        <v>29</v>
      </c>
      <c r="B31" s="347" t="inlineStr">
        <is>
          <t>Redevance standard</t>
        </is>
      </c>
      <c r="C31" s="216" t="n">
        <v>28522.12</v>
      </c>
      <c r="D31" s="216" t="n"/>
      <c r="E31" s="216" t="n">
        <v>28522.12</v>
      </c>
      <c r="F31" s="216" t="n"/>
      <c r="G31" s="220">
        <f>SUM(C31)-SUM(D31)</f>
        <v/>
      </c>
      <c r="H31" s="220">
        <f>SUM(E31)-SUM(F31)</f>
        <v/>
      </c>
      <c r="I31" s="221" t="n">
        <v>29</v>
      </c>
      <c r="J31" s="350" t="inlineStr">
        <is>
          <t>T</t>
        </is>
      </c>
      <c r="K31" s="347">
        <f>"VICTOIRE"&amp;" - "&amp;A31</f>
        <v/>
      </c>
      <c r="L31" s="347">
        <f>+VLOOKUP(K31,TL[],4,FALSE)</f>
        <v/>
      </c>
    </row>
    <row r="32">
      <c r="A32" s="213" t="n">
        <v>30</v>
      </c>
      <c r="B32" s="347" t="inlineStr">
        <is>
          <t>Indexation loyer externe</t>
        </is>
      </c>
      <c r="C32" s="216" t="n"/>
      <c r="D32" s="216" t="n"/>
      <c r="E32" s="216" t="n"/>
      <c r="F32" s="216" t="n"/>
      <c r="G32" s="220">
        <f>SUM(C32)-SUM(D32)</f>
        <v/>
      </c>
      <c r="H32" s="220">
        <f>SUM(E32)-SUM(F32)</f>
        <v/>
      </c>
      <c r="I32" s="221" t="n">
        <v>30</v>
      </c>
      <c r="J32" s="350" t="inlineStr">
        <is>
          <t>T</t>
        </is>
      </c>
      <c r="K32" s="347">
        <f>"VICTOIRE"&amp;" - "&amp;A32</f>
        <v/>
      </c>
      <c r="L32" s="347">
        <f>+VLOOKUP(K32,TL[],4,FALSE)</f>
        <v/>
      </c>
    </row>
    <row r="33">
      <c r="A33" s="213" t="n">
        <v>31</v>
      </c>
      <c r="B33" s="347" t="inlineStr">
        <is>
          <t>Incentives et Avoirs de redevance</t>
        </is>
      </c>
      <c r="C33" s="216" t="n">
        <v>-423.42</v>
      </c>
      <c r="D33" s="216" t="n"/>
      <c r="E33" s="216" t="n">
        <v>-423.42</v>
      </c>
      <c r="F33" s="216" t="n"/>
      <c r="G33" s="220">
        <f>SUM(C33)-SUM(D33)</f>
        <v/>
      </c>
      <c r="H33" s="220">
        <f>SUM(E33)-SUM(F33)</f>
        <v/>
      </c>
      <c r="I33" s="221" t="n">
        <v>31</v>
      </c>
      <c r="J33" s="350" t="inlineStr">
        <is>
          <t>T</t>
        </is>
      </c>
      <c r="K33" s="347">
        <f>"VICTOIRE"&amp;" - "&amp;A33</f>
        <v/>
      </c>
      <c r="L33" s="347">
        <f>+VLOOKUP(K33,TL[],4,FALSE)</f>
        <v/>
      </c>
    </row>
    <row r="34">
      <c r="A34" s="213" t="n">
        <v>32</v>
      </c>
      <c r="B34" s="347" t="inlineStr">
        <is>
          <t>Sous total Redevance effective</t>
        </is>
      </c>
      <c r="C34" s="216" t="n">
        <v>28098.7</v>
      </c>
      <c r="D34" s="216" t="n"/>
      <c r="E34" s="216" t="n">
        <v>28098.7</v>
      </c>
      <c r="F34" s="216" t="n"/>
      <c r="G34" s="220">
        <f>SUM(C34)-SUM(D34)</f>
        <v/>
      </c>
      <c r="H34" s="220">
        <f>SUM(E34)-SUM(F34)</f>
        <v/>
      </c>
      <c r="I34" s="221" t="n">
        <v>32</v>
      </c>
      <c r="J34" s="350" t="inlineStr">
        <is>
          <t>T</t>
        </is>
      </c>
      <c r="K34" s="347">
        <f>"VICTOIRE"&amp;" - "&amp;A34</f>
        <v/>
      </c>
      <c r="L34" s="347">
        <f>+VLOOKUP(K34,TL[],4,FALSE)</f>
        <v/>
      </c>
    </row>
    <row r="35">
      <c r="A35" s="213" t="n">
        <v>33</v>
      </c>
      <c r="B35" s="347" t="inlineStr">
        <is>
          <t>Charges locatives et copro</t>
        </is>
      </c>
      <c r="C35" s="216" t="n"/>
      <c r="D35" s="216" t="n"/>
      <c r="E35" s="216" t="n"/>
      <c r="F35" s="216" t="n"/>
      <c r="G35" s="220">
        <f>SUM(C35)-SUM(D35)</f>
        <v/>
      </c>
      <c r="H35" s="220">
        <f>SUM(E35)-SUM(F35)</f>
        <v/>
      </c>
      <c r="I35" s="221" t="n">
        <v>33</v>
      </c>
      <c r="J35" s="350" t="inlineStr">
        <is>
          <t>T</t>
        </is>
      </c>
      <c r="K35" s="347">
        <f>"VICTOIRE"&amp;" - "&amp;A35</f>
        <v/>
      </c>
      <c r="L35" s="347">
        <f>+VLOOKUP(K35,TL[],4,FALSE)</f>
        <v/>
      </c>
    </row>
    <row r="36">
      <c r="A36" s="213" t="n">
        <v>34</v>
      </c>
      <c r="B36" s="347" t="inlineStr">
        <is>
          <t>Redevance service 5%</t>
        </is>
      </c>
      <c r="C36" s="216" t="n">
        <v>11408.85</v>
      </c>
      <c r="D36" s="216" t="n"/>
      <c r="E36" s="216" t="n">
        <v>11408.85</v>
      </c>
      <c r="F36" s="216" t="n"/>
      <c r="G36" s="220">
        <f>SUM(C36)-SUM(D36)</f>
        <v/>
      </c>
      <c r="H36" s="220">
        <f>SUM(E36)-SUM(F36)</f>
        <v/>
      </c>
      <c r="I36" s="221" t="n">
        <v>34</v>
      </c>
      <c r="J36" s="350" t="inlineStr">
        <is>
          <t>T</t>
        </is>
      </c>
      <c r="K36" s="347">
        <f>"VICTOIRE"&amp;" - "&amp;A36</f>
        <v/>
      </c>
      <c r="L36" s="347">
        <f>+VLOOKUP(K36,TL[],4,FALSE)</f>
        <v/>
      </c>
    </row>
    <row r="37">
      <c r="A37" s="213" t="n">
        <v>35</v>
      </c>
      <c r="B37" s="347" t="inlineStr">
        <is>
          <t>Frais comptables et juridiques</t>
        </is>
      </c>
      <c r="C37" s="216" t="n">
        <v>1588</v>
      </c>
      <c r="D37" s="216" t="n"/>
      <c r="E37" s="216" t="n">
        <v>1588</v>
      </c>
      <c r="F37" s="216" t="n"/>
      <c r="G37" s="220">
        <f>SUM(C37)-SUM(D37)</f>
        <v/>
      </c>
      <c r="H37" s="220">
        <f>SUM(E37)-SUM(F37)</f>
        <v/>
      </c>
      <c r="I37" s="221" t="n">
        <v>35</v>
      </c>
      <c r="J37" s="350" t="inlineStr">
        <is>
          <t>T</t>
        </is>
      </c>
      <c r="K37" s="347">
        <f>"VICTOIRE"&amp;" - "&amp;A37</f>
        <v/>
      </c>
      <c r="L37" s="347">
        <f>+VLOOKUP(K37,TL[],4,FALSE)</f>
        <v/>
      </c>
    </row>
    <row r="38">
      <c r="A38" s="213" t="n">
        <v>36</v>
      </c>
      <c r="B38" s="347" t="inlineStr">
        <is>
          <t>Assurances</t>
        </is>
      </c>
      <c r="C38" s="216" t="n">
        <v>1380.05</v>
      </c>
      <c r="D38" s="216" t="n"/>
      <c r="E38" s="216" t="n">
        <v>1380.05</v>
      </c>
      <c r="F38" s="216" t="n"/>
      <c r="G38" s="220">
        <f>SUM(C38)-SUM(D38)</f>
        <v/>
      </c>
      <c r="H38" s="220">
        <f>SUM(E38)-SUM(F38)</f>
        <v/>
      </c>
      <c r="I38" s="221" t="n">
        <v>36</v>
      </c>
      <c r="J38" s="350" t="inlineStr">
        <is>
          <t>T</t>
        </is>
      </c>
      <c r="K38" s="347">
        <f>"VICTOIRE"&amp;" - "&amp;A38</f>
        <v/>
      </c>
      <c r="L38" s="347">
        <f>+VLOOKUP(K38,TL[],4,FALSE)</f>
        <v/>
      </c>
    </row>
    <row r="39">
      <c r="A39" s="213" t="n">
        <v>37</v>
      </c>
      <c r="B39" s="347" t="inlineStr">
        <is>
          <t>Taxes</t>
        </is>
      </c>
      <c r="C39" s="216" t="n">
        <v>2010.55</v>
      </c>
      <c r="D39" s="216" t="n"/>
      <c r="E39" s="216" t="n">
        <v>2010.55</v>
      </c>
      <c r="F39" s="216" t="n"/>
      <c r="G39" s="220">
        <f>SUM(C39)-SUM(D39)</f>
        <v/>
      </c>
      <c r="H39" s="220">
        <f>SUM(E39)-SUM(F39)</f>
        <v/>
      </c>
      <c r="I39" s="221" t="n">
        <v>37</v>
      </c>
      <c r="J39" s="350" t="inlineStr">
        <is>
          <t>T</t>
        </is>
      </c>
      <c r="K39" s="347">
        <f>"VICTOIRE"&amp;" - "&amp;A39</f>
        <v/>
      </c>
      <c r="L39" s="347">
        <f>+VLOOKUP(K39,TL[],4,FALSE)</f>
        <v/>
      </c>
    </row>
    <row r="40">
      <c r="A40" s="213" t="n">
        <v>38</v>
      </c>
      <c r="B40" s="347" t="inlineStr">
        <is>
          <t>Dépréciations amortissements</t>
        </is>
      </c>
      <c r="C40" s="216" t="n">
        <v>6110</v>
      </c>
      <c r="D40" s="216" t="n"/>
      <c r="E40" s="216" t="n">
        <v>6110</v>
      </c>
      <c r="F40" s="216" t="n"/>
      <c r="G40" s="220">
        <f>SUM(C40)-SUM(D40)</f>
        <v/>
      </c>
      <c r="H40" s="220">
        <f>SUM(E40)-SUM(F40)</f>
        <v/>
      </c>
      <c r="I40" s="221" t="n">
        <v>38</v>
      </c>
      <c r="J40" s="350" t="inlineStr">
        <is>
          <t>T</t>
        </is>
      </c>
      <c r="K40" s="347">
        <f>"VICTOIRE"&amp;" - "&amp;A40</f>
        <v/>
      </c>
      <c r="L40" s="347">
        <f>+VLOOKUP(K40,TL[],4,FALSE)</f>
        <v/>
      </c>
    </row>
    <row r="41">
      <c r="A41" s="213" t="n">
        <v>39</v>
      </c>
      <c r="B41" s="347" t="inlineStr">
        <is>
          <t>Crédit bail</t>
        </is>
      </c>
      <c r="C41" s="216" t="n">
        <v>218.56</v>
      </c>
      <c r="D41" s="216" t="n"/>
      <c r="E41" s="216" t="n">
        <v>218.56</v>
      </c>
      <c r="F41" s="216" t="n"/>
      <c r="G41" s="220">
        <f>SUM(C41)-SUM(D41)</f>
        <v/>
      </c>
      <c r="H41" s="220">
        <f>SUM(E41)-SUM(F41)</f>
        <v/>
      </c>
      <c r="I41" s="221" t="n">
        <v>39</v>
      </c>
      <c r="J41" s="350" t="inlineStr">
        <is>
          <t>T</t>
        </is>
      </c>
      <c r="K41" s="347">
        <f>"VICTOIRE"&amp;" - "&amp;A41</f>
        <v/>
      </c>
      <c r="L41" s="347">
        <f>+VLOOKUP(K41,TL[],4,FALSE)</f>
        <v/>
      </c>
    </row>
    <row r="42">
      <c r="A42" s="213" t="n">
        <v>40</v>
      </c>
      <c r="B42" s="347" t="inlineStr">
        <is>
          <t>Dépenses / Revenus divers</t>
        </is>
      </c>
      <c r="C42" s="216" t="n">
        <v>2121.58</v>
      </c>
      <c r="D42" s="216" t="n"/>
      <c r="E42" s="216" t="n">
        <v>2121.58</v>
      </c>
      <c r="F42" s="216" t="n"/>
      <c r="G42" s="220">
        <f>SUM(C42)-SUM(D42)</f>
        <v/>
      </c>
      <c r="H42" s="220">
        <f>SUM(E42)-SUM(F42)</f>
        <v/>
      </c>
      <c r="I42" s="221" t="n">
        <v>40</v>
      </c>
      <c r="J42" s="350" t="inlineStr">
        <is>
          <t>T</t>
        </is>
      </c>
      <c r="K42" s="347">
        <f>"VICTOIRE"&amp;" - "&amp;A42</f>
        <v/>
      </c>
      <c r="L42" s="347">
        <f>+VLOOKUP(K42,TL[],4,FALSE)</f>
        <v/>
      </c>
    </row>
    <row r="43">
      <c r="A43" s="213" t="n">
        <v>41.1</v>
      </c>
      <c r="B43" s="347" t="inlineStr">
        <is>
          <t>Ventes non alimentaires</t>
        </is>
      </c>
      <c r="C43" s="216" t="n">
        <v>3117.88</v>
      </c>
      <c r="D43" s="216" t="n"/>
      <c r="E43" s="216" t="n">
        <v>3117.88</v>
      </c>
      <c r="F43" s="216" t="n"/>
      <c r="G43" s="220">
        <f>-SUM(C43)+SUM(D43)</f>
        <v/>
      </c>
      <c r="H43" s="220">
        <f>-SUM(E43)+SUM(F43)</f>
        <v/>
      </c>
      <c r="I43" s="221" t="inlineStr">
        <is>
          <t>41.1</t>
        </is>
      </c>
      <c r="J43" s="350" t="inlineStr">
        <is>
          <t>T</t>
        </is>
      </c>
      <c r="K43" s="347">
        <f>"VICTOIRE"&amp;" - "&amp;A43</f>
        <v/>
      </c>
      <c r="L43" s="347">
        <f>+VLOOKUP(K43,TL[],4,FALSE)</f>
        <v/>
      </c>
    </row>
    <row r="44">
      <c r="A44" s="213" t="n">
        <v>41.2</v>
      </c>
      <c r="B44" s="347" t="inlineStr">
        <is>
          <t>Coût non alimentaire</t>
        </is>
      </c>
      <c r="C44" s="216" t="n">
        <v>2975.81</v>
      </c>
      <c r="D44" s="216" t="n"/>
      <c r="E44" s="216" t="n">
        <v>2975.81</v>
      </c>
      <c r="F44" s="216" t="n"/>
      <c r="G44" s="220">
        <f>SUM(C44)-SUM(D44)</f>
        <v/>
      </c>
      <c r="H44" s="220">
        <f>SUM(E44)-SUM(F44)</f>
        <v/>
      </c>
      <c r="I44" s="221" t="inlineStr">
        <is>
          <t>41.2</t>
        </is>
      </c>
      <c r="J44" s="350" t="inlineStr">
        <is>
          <t>T</t>
        </is>
      </c>
      <c r="K44" s="347">
        <f>"VICTOIRE"&amp;" - "&amp;A44</f>
        <v/>
      </c>
      <c r="L44" s="347">
        <f>+VLOOKUP(K44,TL[],4,FALSE)</f>
        <v/>
      </c>
    </row>
    <row r="45">
      <c r="A45" s="213" t="n">
        <v>41</v>
      </c>
      <c r="B45" s="347" t="inlineStr">
        <is>
          <t>Résultat net non alimentaire</t>
        </is>
      </c>
      <c r="C45" s="216" t="n">
        <v>142.0700000000002</v>
      </c>
      <c r="D45" s="216" t="n"/>
      <c r="E45" s="216" t="n">
        <v>142.0700000000002</v>
      </c>
      <c r="F45" s="216" t="n"/>
      <c r="G45" s="220">
        <f>SUM(C45)-SUM(D45)</f>
        <v/>
      </c>
      <c r="H45" s="220">
        <f>SUM(E45)-SUM(F45)</f>
        <v/>
      </c>
      <c r="I45" s="221" t="n">
        <v>41</v>
      </c>
      <c r="J45" s="350" t="inlineStr">
        <is>
          <t>T</t>
        </is>
      </c>
      <c r="K45" s="347">
        <f>"VICTOIRE"&amp;" - "&amp;A45</f>
        <v/>
      </c>
      <c r="L45" s="347">
        <f>+VLOOKUP(K45,TL[],4,FALSE)</f>
        <v/>
      </c>
    </row>
    <row r="46">
      <c r="A46" s="213" t="n">
        <v>42</v>
      </c>
      <c r="B46" s="347" t="inlineStr">
        <is>
          <t>Charges / Revenus financiers</t>
        </is>
      </c>
      <c r="C46" s="216" t="n">
        <v>12.74</v>
      </c>
      <c r="D46" s="216" t="n"/>
      <c r="E46" s="216" t="n">
        <v>12.74</v>
      </c>
      <c r="F46" s="216" t="n"/>
      <c r="G46" s="220">
        <f>SUM(C46)-SUM(D46)</f>
        <v/>
      </c>
      <c r="H46" s="220">
        <f>SUM(E46)-SUM(F46)</f>
        <v/>
      </c>
      <c r="I46" s="221" t="n">
        <v>42</v>
      </c>
      <c r="J46" s="350" t="inlineStr">
        <is>
          <t>T</t>
        </is>
      </c>
      <c r="K46" s="347">
        <f>"VICTOIRE"&amp;" - "&amp;A46</f>
        <v/>
      </c>
      <c r="L46" s="347">
        <f>+VLOOKUP(K46,TL[],4,FALSE)</f>
        <v/>
      </c>
    </row>
    <row r="47">
      <c r="A47" s="213" t="n">
        <v>43</v>
      </c>
      <c r="B47" s="347" t="inlineStr">
        <is>
          <t>Résultat net d'exploitation (SOI)</t>
        </is>
      </c>
      <c r="C47" s="216" t="n">
        <v>17311.40000000001</v>
      </c>
      <c r="D47" s="216" t="n"/>
      <c r="E47" s="216" t="n">
        <v>17311.40000000001</v>
      </c>
      <c r="F47" s="216" t="n"/>
      <c r="G47" s="220">
        <f>SUM(C47)-SUM(D47)</f>
        <v/>
      </c>
      <c r="H47" s="220">
        <f>SUM(E47)-SUM(F47)</f>
        <v/>
      </c>
      <c r="I47" s="221" t="n">
        <v>43</v>
      </c>
      <c r="J47" s="350" t="inlineStr">
        <is>
          <t>T</t>
        </is>
      </c>
      <c r="K47" s="347">
        <f>"VICTOIRE"&amp;" - "&amp;A47</f>
        <v/>
      </c>
      <c r="L47" s="347">
        <f>+VLOOKUP(K47,TL[],4,FALSE)</f>
        <v/>
      </c>
    </row>
    <row r="48">
      <c r="A48" s="213" t="n">
        <v>44</v>
      </c>
      <c r="B48" s="347" t="inlineStr">
        <is>
          <t>Cash Flow avant fin, G&amp;A et IS</t>
        </is>
      </c>
      <c r="C48" s="216" t="n">
        <v>23652.70000000001</v>
      </c>
      <c r="D48" s="216" t="n"/>
      <c r="E48" s="216" t="n">
        <v>23652.70000000001</v>
      </c>
      <c r="F48" s="216" t="n"/>
      <c r="G48" s="220">
        <f>SUM(C48)-SUM(D48)</f>
        <v/>
      </c>
      <c r="H48" s="220">
        <f>SUM(E48)-SUM(F48)</f>
        <v/>
      </c>
      <c r="I48" s="221" t="n">
        <v>44</v>
      </c>
      <c r="J48" s="350" t="inlineStr">
        <is>
          <t>T</t>
        </is>
      </c>
      <c r="K48" s="347">
        <f>"VICTOIRE"&amp;" - "&amp;A48</f>
        <v/>
      </c>
      <c r="L48" s="347">
        <f>+VLOOKUP(K48,TL[],4,FALSE)</f>
        <v/>
      </c>
    </row>
    <row r="49">
      <c r="A49" s="213" t="n">
        <v>45</v>
      </c>
      <c r="B49" s="347" t="inlineStr">
        <is>
          <t>Charges et produits exceptionnels</t>
        </is>
      </c>
      <c r="C49" s="216" t="n"/>
      <c r="D49" s="216" t="n"/>
      <c r="E49" s="216" t="n"/>
      <c r="F49" s="216" t="n"/>
      <c r="G49" s="220">
        <f>SUM(C49)-SUM(D49)</f>
        <v/>
      </c>
      <c r="H49" s="220">
        <f>SUM(E49)-SUM(F49)</f>
        <v/>
      </c>
      <c r="I49" s="221" t="n">
        <v>45</v>
      </c>
      <c r="J49" s="350" t="inlineStr">
        <is>
          <t>T</t>
        </is>
      </c>
      <c r="K49" s="347">
        <f>"VICTOIRE"&amp;" - "&amp;A49</f>
        <v/>
      </c>
      <c r="L49" s="347">
        <f>+VLOOKUP(K49,TL[],4,FALSE)</f>
        <v/>
      </c>
    </row>
    <row r="50">
      <c r="A50" s="213" t="n">
        <v>46</v>
      </c>
      <c r="B50" s="347" t="inlineStr">
        <is>
          <t>G&amp;A (Frais administratifs)</t>
        </is>
      </c>
      <c r="C50" s="216" t="n">
        <v>18396</v>
      </c>
      <c r="D50" s="216" t="n"/>
      <c r="E50" s="216" t="n">
        <v>18396</v>
      </c>
      <c r="F50" s="216" t="n"/>
      <c r="G50" s="220">
        <f>SUM(C50)-SUM(D50)</f>
        <v/>
      </c>
      <c r="H50" s="220">
        <f>SUM(E50)-SUM(F50)</f>
        <v/>
      </c>
      <c r="I50" s="221" t="n">
        <v>46</v>
      </c>
      <c r="J50" s="350" t="inlineStr">
        <is>
          <t>T</t>
        </is>
      </c>
      <c r="K50" s="347">
        <f>"VICTOIRE"&amp;" - "&amp;A50</f>
        <v/>
      </c>
      <c r="L50" s="347">
        <f>+VLOOKUP(K50,TL[],4,FALSE)</f>
        <v/>
      </c>
    </row>
    <row r="51">
      <c r="A51" s="213" t="n">
        <v>47</v>
      </c>
      <c r="B51" s="347" t="inlineStr">
        <is>
          <t>Revenu net avant impôt</t>
        </is>
      </c>
      <c r="C51" s="216" t="n">
        <v>-1084.599999999995</v>
      </c>
      <c r="D51" s="216" t="n"/>
      <c r="E51" s="216" t="n">
        <v>-1084.599999999995</v>
      </c>
      <c r="F51" s="216" t="n"/>
      <c r="G51" s="220">
        <f>SUM(C51)-SUM(D51)</f>
        <v/>
      </c>
      <c r="H51" s="220">
        <f>SUM(E51)-SUM(F51)</f>
        <v/>
      </c>
      <c r="I51" s="221" t="n">
        <v>47</v>
      </c>
      <c r="J51" s="350" t="inlineStr">
        <is>
          <t>T</t>
        </is>
      </c>
      <c r="K51" s="347">
        <f>"VICTOIRE"&amp;" - "&amp;A51</f>
        <v/>
      </c>
      <c r="L51" s="347">
        <f>+VLOOKUP(K51,TL[],4,FALSE)</f>
        <v/>
      </c>
    </row>
    <row r="52">
      <c r="A52" s="213" t="n">
        <v>48</v>
      </c>
      <c r="B52" s="347" t="inlineStr">
        <is>
          <t>Impôt sur les sociétés</t>
        </is>
      </c>
      <c r="C52" s="216" t="n">
        <v>-397.69</v>
      </c>
      <c r="D52" s="216" t="n"/>
      <c r="E52" s="216" t="n">
        <v>-397.69</v>
      </c>
      <c r="F52" s="216" t="n"/>
      <c r="G52" s="220">
        <f>SUM(C52)-SUM(D52)</f>
        <v/>
      </c>
      <c r="H52" s="220">
        <f>SUM(E52)-SUM(F52)</f>
        <v/>
      </c>
      <c r="I52" s="221" t="n">
        <v>48</v>
      </c>
      <c r="J52" s="350" t="inlineStr">
        <is>
          <t>T</t>
        </is>
      </c>
      <c r="K52" s="347">
        <f>"VICTOIRE"&amp;" - "&amp;A52</f>
        <v/>
      </c>
      <c r="L52" s="347">
        <f>+VLOOKUP(K52,TL[],4,FALSE)</f>
        <v/>
      </c>
    </row>
    <row r="53">
      <c r="A53" s="213" t="n">
        <v>49</v>
      </c>
      <c r="B53" s="347" t="inlineStr">
        <is>
          <t>Résultat net</t>
        </is>
      </c>
      <c r="C53" s="216" t="n">
        <v>-686.9099999999949</v>
      </c>
      <c r="D53" s="216" t="n"/>
      <c r="E53" s="216" t="n">
        <v>-686.9099999999949</v>
      </c>
      <c r="F53" s="216" t="n"/>
      <c r="G53" s="220">
        <f>SUM(C53)-SUM(D53)</f>
        <v/>
      </c>
      <c r="H53" s="220">
        <f>SUM(E53)-SUM(F53)</f>
        <v/>
      </c>
      <c r="I53" s="221" t="n">
        <v>49</v>
      </c>
      <c r="J53" s="350" t="inlineStr">
        <is>
          <t>T</t>
        </is>
      </c>
      <c r="K53" s="347">
        <f>"VICTOIRE"&amp;" - "&amp;A53</f>
        <v/>
      </c>
      <c r="L53" s="347">
        <f>+VLOOKUP(K53,TL[],4,FALSE)</f>
        <v/>
      </c>
    </row>
    <row r="54">
      <c r="C54" s="216" t="n"/>
      <c r="D54" s="216" t="n"/>
      <c r="E54" s="216" t="n"/>
      <c r="F54" s="216" t="n"/>
      <c r="G54" s="220" t="n"/>
      <c r="H54" s="220" t="n"/>
      <c r="I54" s="221" t="n"/>
      <c r="J54" s="350">
        <f>LEFT(A54,1)</f>
        <v/>
      </c>
      <c r="K54" s="347">
        <f>"VICTOIRE"&amp;" - "&amp;A54</f>
        <v/>
      </c>
      <c r="L54" s="347">
        <f>+VLOOKUP(K54,TL[],4,FALSE)</f>
        <v/>
      </c>
    </row>
    <row r="55">
      <c r="C55" s="216" t="n"/>
      <c r="D55" s="216" t="n"/>
      <c r="E55" s="216" t="n"/>
      <c r="F55" s="216" t="n"/>
      <c r="G55" s="220" t="n"/>
      <c r="H55" s="220" t="n"/>
      <c r="I55" s="221" t="n"/>
      <c r="J55" s="350">
        <f>LEFT(A55,1)</f>
        <v/>
      </c>
      <c r="K55" s="347">
        <f>"VICTOIRE"&amp;" - "&amp;A55</f>
        <v/>
      </c>
      <c r="L55" s="347">
        <f>+VLOOKUP(K55,TL[],4,FALSE)</f>
        <v/>
      </c>
    </row>
    <row r="56">
      <c r="C56" s="216" t="n"/>
      <c r="D56" s="216" t="n"/>
      <c r="E56" s="216" t="n"/>
      <c r="F56" s="216" t="n"/>
      <c r="G56" s="220" t="n"/>
      <c r="H56" s="220" t="n"/>
      <c r="I56" s="221" t="n"/>
      <c r="J56" s="350">
        <f>LEFT(A56,1)</f>
        <v/>
      </c>
      <c r="K56" s="347">
        <f>"VICTOIRE"&amp;" - "&amp;A56</f>
        <v/>
      </c>
      <c r="L56" s="347">
        <f>+VLOOKUP(K56,TL[],4,FALSE)</f>
        <v/>
      </c>
    </row>
    <row r="57">
      <c r="C57" s="216" t="n"/>
      <c r="D57" s="216" t="n"/>
      <c r="E57" s="216" t="n"/>
      <c r="F57" s="216" t="n"/>
      <c r="G57" s="220" t="n"/>
      <c r="H57" s="220" t="n"/>
      <c r="I57" s="221" t="n"/>
      <c r="J57" s="350">
        <f>LEFT(A57,1)</f>
        <v/>
      </c>
      <c r="K57" s="347">
        <f>"VICTOIRE"&amp;" - "&amp;A57</f>
        <v/>
      </c>
      <c r="L57" s="347">
        <f>+VLOOKUP(K57,TL[],4,FALSE)</f>
        <v/>
      </c>
    </row>
    <row r="58">
      <c r="C58" s="216" t="n"/>
      <c r="D58" s="216" t="n"/>
      <c r="E58" s="216" t="n"/>
      <c r="F58" s="216" t="n"/>
      <c r="G58" s="220" t="n"/>
      <c r="H58" s="220" t="n"/>
      <c r="I58" s="221" t="n"/>
      <c r="J58" s="350">
        <f>LEFT(A58,1)</f>
        <v/>
      </c>
      <c r="K58" s="347">
        <f>"VICTOIRE"&amp;" - "&amp;A58</f>
        <v/>
      </c>
      <c r="L58" s="347">
        <f>+VLOOKUP(K58,TL[],4,FALSE)</f>
        <v/>
      </c>
    </row>
    <row r="59">
      <c r="C59" s="216" t="n"/>
      <c r="D59" s="216" t="n"/>
      <c r="E59" s="216" t="n"/>
      <c r="F59" s="216" t="n"/>
      <c r="G59" s="220" t="n"/>
      <c r="H59" s="220" t="n"/>
      <c r="I59" s="221" t="n"/>
      <c r="J59" s="350">
        <f>LEFT(A59,1)</f>
        <v/>
      </c>
      <c r="K59" s="347">
        <f>"VICTOIRE"&amp;" - "&amp;A59</f>
        <v/>
      </c>
      <c r="L59" s="347">
        <f>+VLOOKUP(K59,TL[],4,FALSE)</f>
        <v/>
      </c>
    </row>
    <row r="60">
      <c r="C60" s="216" t="n"/>
      <c r="D60" s="216" t="n"/>
      <c r="E60" s="216" t="n"/>
      <c r="F60" s="216" t="n"/>
      <c r="G60" s="220" t="n"/>
      <c r="H60" s="220" t="n"/>
      <c r="I60" s="221" t="n"/>
      <c r="J60" s="350">
        <f>LEFT(A60,1)</f>
        <v/>
      </c>
      <c r="K60" s="347">
        <f>"VICTOIRE"&amp;" - "&amp;A60</f>
        <v/>
      </c>
      <c r="L60" s="347">
        <f>+VLOOKUP(K60,TL[],4,FALSE)</f>
        <v/>
      </c>
    </row>
    <row r="61">
      <c r="C61" s="216" t="n"/>
      <c r="D61" s="216" t="n"/>
      <c r="E61" s="216" t="n"/>
      <c r="F61" s="216" t="n"/>
      <c r="G61" s="220" t="n"/>
      <c r="H61" s="220" t="n"/>
      <c r="I61" s="221" t="n"/>
      <c r="J61" s="350">
        <f>LEFT(A61,1)</f>
        <v/>
      </c>
      <c r="K61" s="347">
        <f>"VICTOIRE"&amp;" - "&amp;A61</f>
        <v/>
      </c>
      <c r="L61" s="347">
        <f>+VLOOKUP(K61,TL[],4,FALSE)</f>
        <v/>
      </c>
    </row>
    <row r="62">
      <c r="C62" s="216" t="n"/>
      <c r="D62" s="216" t="n"/>
      <c r="E62" s="216" t="n"/>
      <c r="F62" s="216" t="n"/>
      <c r="G62" s="220" t="n"/>
      <c r="H62" s="220" t="n"/>
      <c r="I62" s="221" t="n"/>
      <c r="J62" s="350">
        <f>LEFT(A62,1)</f>
        <v/>
      </c>
      <c r="K62" s="347">
        <f>"VICTOIRE"&amp;" - "&amp;A62</f>
        <v/>
      </c>
      <c r="L62" s="347">
        <f>+VLOOKUP(K62,TL[],4,FALSE)</f>
        <v/>
      </c>
    </row>
    <row r="63">
      <c r="C63" s="216" t="n"/>
      <c r="D63" s="216" t="n"/>
      <c r="E63" s="216" t="n"/>
      <c r="F63" s="216" t="n"/>
      <c r="G63" s="220" t="n"/>
      <c r="H63" s="220" t="n"/>
      <c r="I63" s="221" t="n"/>
      <c r="J63" s="350">
        <f>LEFT(A63,1)</f>
        <v/>
      </c>
      <c r="K63" s="347">
        <f>"VICTOIRE"&amp;" - "&amp;A63</f>
        <v/>
      </c>
      <c r="L63" s="347">
        <f>+VLOOKUP(K63,TL[],4,FALSE)</f>
        <v/>
      </c>
    </row>
    <row r="64">
      <c r="C64" s="216" t="n"/>
      <c r="D64" s="216" t="n"/>
      <c r="E64" s="216" t="n"/>
      <c r="F64" s="216" t="n"/>
      <c r="G64" s="220" t="n"/>
      <c r="H64" s="220" t="n"/>
      <c r="I64" s="221" t="n"/>
      <c r="J64" s="350">
        <f>LEFT(A64,1)</f>
        <v/>
      </c>
      <c r="K64" s="347">
        <f>"VICTOIRE"&amp;" - "&amp;A64</f>
        <v/>
      </c>
      <c r="L64" s="347">
        <f>+VLOOKUP(K64,TL[],4,FALSE)</f>
        <v/>
      </c>
    </row>
    <row r="65">
      <c r="C65" s="216" t="n"/>
      <c r="D65" s="216" t="n"/>
      <c r="E65" s="216" t="n"/>
      <c r="F65" s="216" t="n"/>
      <c r="G65" s="220" t="n"/>
      <c r="H65" s="220" t="n"/>
      <c r="I65" s="221" t="n"/>
      <c r="J65" s="350">
        <f>LEFT(A65,1)</f>
        <v/>
      </c>
      <c r="K65" s="347">
        <f>"VICTOIRE"&amp;" - "&amp;A65</f>
        <v/>
      </c>
      <c r="L65" s="347">
        <f>+VLOOKUP(K65,TL[],4,FALSE)</f>
        <v/>
      </c>
    </row>
    <row r="66">
      <c r="C66" s="216" t="n"/>
      <c r="D66" s="216" t="n"/>
      <c r="E66" s="216" t="n"/>
      <c r="F66" s="216" t="n"/>
      <c r="G66" s="220" t="n"/>
      <c r="H66" s="220" t="n"/>
      <c r="I66" s="221" t="n"/>
      <c r="J66" s="350">
        <f>LEFT(A66,1)</f>
        <v/>
      </c>
      <c r="K66" s="347">
        <f>"VICTOIRE"&amp;" - "&amp;A66</f>
        <v/>
      </c>
      <c r="L66" s="347">
        <f>+VLOOKUP(K66,TL[],4,FALSE)</f>
        <v/>
      </c>
    </row>
    <row r="67">
      <c r="C67" s="216" t="n"/>
      <c r="D67" s="216" t="n"/>
      <c r="E67" s="216" t="n"/>
      <c r="F67" s="216" t="n"/>
      <c r="G67" s="220" t="n"/>
      <c r="H67" s="220" t="n"/>
      <c r="I67" s="221" t="n"/>
      <c r="J67" s="350">
        <f>LEFT(A67,1)</f>
        <v/>
      </c>
      <c r="K67" s="347">
        <f>"VICTOIRE"&amp;" - "&amp;A67</f>
        <v/>
      </c>
      <c r="L67" s="347">
        <f>+VLOOKUP(K67,TL[],4,FALSE)</f>
        <v/>
      </c>
    </row>
    <row r="68">
      <c r="C68" s="216" t="n"/>
      <c r="D68" s="216" t="n"/>
      <c r="E68" s="216" t="n"/>
      <c r="F68" s="216" t="n"/>
      <c r="G68" s="220" t="n"/>
      <c r="H68" s="220" t="n"/>
      <c r="I68" s="221" t="n"/>
      <c r="J68" s="350">
        <f>LEFT(A68,1)</f>
        <v/>
      </c>
      <c r="K68" s="347">
        <f>"VICTOIRE"&amp;" - "&amp;A68</f>
        <v/>
      </c>
      <c r="L68" s="347">
        <f>+VLOOKUP(K68,TL[],4,FALSE)</f>
        <v/>
      </c>
    </row>
    <row r="69">
      <c r="C69" s="216" t="n"/>
      <c r="D69" s="216" t="n"/>
      <c r="E69" s="216" t="n"/>
      <c r="F69" s="216" t="n"/>
      <c r="G69" s="220" t="n"/>
      <c r="H69" s="220" t="n"/>
      <c r="I69" s="221" t="n"/>
      <c r="J69" s="350">
        <f>LEFT(A69,1)</f>
        <v/>
      </c>
      <c r="K69" s="347">
        <f>"VICTOIRE"&amp;" - "&amp;A69</f>
        <v/>
      </c>
      <c r="L69" s="347">
        <f>+VLOOKUP(K69,TL[],4,FALSE)</f>
        <v/>
      </c>
    </row>
    <row r="70">
      <c r="C70" s="216" t="n"/>
      <c r="D70" s="216" t="n"/>
      <c r="E70" s="216" t="n"/>
      <c r="F70" s="216" t="n"/>
      <c r="G70" s="220" t="n"/>
      <c r="H70" s="220" t="n"/>
      <c r="I70" s="221" t="n"/>
      <c r="J70" s="350">
        <f>LEFT(A70,1)</f>
        <v/>
      </c>
      <c r="K70" s="347">
        <f>"VICTOIRE"&amp;" - "&amp;A70</f>
        <v/>
      </c>
      <c r="L70" s="347">
        <f>+VLOOKUP(K70,TL[],4,FALSE)</f>
        <v/>
      </c>
    </row>
    <row r="71">
      <c r="C71" s="216" t="n"/>
      <c r="D71" s="216" t="n"/>
      <c r="E71" s="216" t="n"/>
      <c r="F71" s="216" t="n"/>
      <c r="G71" s="220" t="n"/>
      <c r="H71" s="220" t="n"/>
      <c r="I71" s="221" t="n"/>
      <c r="J71" s="350">
        <f>LEFT(A71,1)</f>
        <v/>
      </c>
      <c r="K71" s="347">
        <f>"VICTOIRE"&amp;" - "&amp;A71</f>
        <v/>
      </c>
      <c r="L71" s="347">
        <f>+VLOOKUP(K71,TL[],4,FALSE)</f>
        <v/>
      </c>
    </row>
    <row r="72">
      <c r="C72" s="216" t="n"/>
      <c r="D72" s="216" t="n"/>
      <c r="E72" s="216" t="n"/>
      <c r="F72" s="216" t="n"/>
      <c r="G72" s="220" t="n"/>
      <c r="H72" s="220" t="n"/>
      <c r="I72" s="221" t="n"/>
      <c r="J72" s="350">
        <f>LEFT(A72,1)</f>
        <v/>
      </c>
      <c r="K72" s="347">
        <f>"VICTOIRE"&amp;" - "&amp;A72</f>
        <v/>
      </c>
      <c r="L72" s="347">
        <f>+VLOOKUP(K72,TL[],4,FALSE)</f>
        <v/>
      </c>
    </row>
    <row r="73">
      <c r="C73" s="216" t="n"/>
      <c r="D73" s="216" t="n"/>
      <c r="E73" s="216" t="n"/>
      <c r="F73" s="216" t="n"/>
      <c r="G73" s="220" t="n"/>
      <c r="H73" s="220" t="n"/>
      <c r="I73" s="221" t="n"/>
      <c r="J73" s="350">
        <f>LEFT(A73,1)</f>
        <v/>
      </c>
      <c r="K73" s="347">
        <f>"VICTOIRE"&amp;" - "&amp;A73</f>
        <v/>
      </c>
      <c r="L73" s="347">
        <f>+VLOOKUP(K73,TL[],4,FALSE)</f>
        <v/>
      </c>
    </row>
    <row r="74">
      <c r="C74" s="216" t="n"/>
      <c r="D74" s="216" t="n"/>
      <c r="E74" s="216" t="n"/>
      <c r="F74" s="216" t="n"/>
      <c r="G74" s="220" t="n"/>
      <c r="H74" s="220" t="n"/>
      <c r="I74" s="221" t="n"/>
      <c r="J74" s="350">
        <f>LEFT(A74,1)</f>
        <v/>
      </c>
      <c r="K74" s="347">
        <f>"VICTOIRE"&amp;" - "&amp;A74</f>
        <v/>
      </c>
      <c r="L74" s="347">
        <f>+VLOOKUP(K74,TL[],4,FALSE)</f>
        <v/>
      </c>
    </row>
    <row r="75">
      <c r="C75" s="216" t="n"/>
      <c r="D75" s="216" t="n"/>
      <c r="E75" s="216" t="n"/>
      <c r="F75" s="216" t="n"/>
      <c r="G75" s="220" t="n"/>
      <c r="H75" s="220" t="n"/>
      <c r="I75" s="221" t="n"/>
      <c r="J75" s="350">
        <f>LEFT(A75,1)</f>
        <v/>
      </c>
      <c r="K75" s="347">
        <f>"VICTOIRE"&amp;" - "&amp;A75</f>
        <v/>
      </c>
      <c r="L75" s="347">
        <f>+VLOOKUP(K75,TL[],4,FALSE)</f>
        <v/>
      </c>
    </row>
    <row r="76">
      <c r="C76" s="216" t="n"/>
      <c r="D76" s="216" t="n"/>
      <c r="E76" s="216" t="n"/>
      <c r="F76" s="216" t="n"/>
      <c r="G76" s="220" t="n"/>
      <c r="H76" s="220" t="n"/>
      <c r="I76" s="221" t="n"/>
      <c r="J76" s="350">
        <f>LEFT(A76,1)</f>
        <v/>
      </c>
      <c r="K76" s="347">
        <f>"VICTOIRE"&amp;" - "&amp;A76</f>
        <v/>
      </c>
      <c r="L76" s="347">
        <f>+VLOOKUP(K76,TL[],4,FALSE)</f>
        <v/>
      </c>
    </row>
    <row r="77">
      <c r="C77" s="216" t="n"/>
      <c r="D77" s="216" t="n"/>
      <c r="E77" s="216" t="n"/>
      <c r="F77" s="216" t="n"/>
      <c r="G77" s="220" t="n"/>
      <c r="H77" s="220" t="n"/>
      <c r="I77" s="221" t="n"/>
      <c r="J77" s="350">
        <f>LEFT(A77,1)</f>
        <v/>
      </c>
      <c r="K77" s="347">
        <f>"VICTOIRE"&amp;" - "&amp;A77</f>
        <v/>
      </c>
      <c r="L77" s="347">
        <f>+VLOOKUP(K77,TL[],4,FALSE)</f>
        <v/>
      </c>
    </row>
    <row r="78">
      <c r="C78" s="216" t="n"/>
      <c r="D78" s="216" t="n"/>
      <c r="E78" s="216" t="n"/>
      <c r="F78" s="216" t="n"/>
      <c r="G78" s="220" t="n"/>
      <c r="H78" s="220" t="n"/>
      <c r="I78" s="221" t="n"/>
      <c r="J78" s="350">
        <f>LEFT(A78,1)</f>
        <v/>
      </c>
      <c r="K78" s="347">
        <f>"VICTOIRE"&amp;" - "&amp;A78</f>
        <v/>
      </c>
      <c r="L78" s="347">
        <f>+VLOOKUP(K78,TL[],4,FALSE)</f>
        <v/>
      </c>
    </row>
    <row r="79">
      <c r="C79" s="216" t="n"/>
      <c r="D79" s="216" t="n"/>
      <c r="E79" s="216" t="n"/>
      <c r="F79" s="216" t="n"/>
      <c r="G79" s="220" t="n"/>
      <c r="H79" s="220" t="n"/>
      <c r="I79" s="221" t="n"/>
      <c r="J79" s="350">
        <f>LEFT(A79,1)</f>
        <v/>
      </c>
      <c r="K79" s="347">
        <f>"VICTOIRE"&amp;" - "&amp;A79</f>
        <v/>
      </c>
      <c r="L79" s="347">
        <f>+VLOOKUP(K79,TL[],4,FALSE)</f>
        <v/>
      </c>
    </row>
    <row r="80">
      <c r="C80" s="216" t="n"/>
      <c r="D80" s="216" t="n"/>
      <c r="E80" s="216" t="n"/>
      <c r="F80" s="216" t="n"/>
      <c r="G80" s="220" t="n"/>
      <c r="H80" s="220" t="n"/>
      <c r="I80" s="221" t="n"/>
      <c r="J80" s="350">
        <f>LEFT(A80,1)</f>
        <v/>
      </c>
      <c r="K80" s="347">
        <f>"VICTOIRE"&amp;" - "&amp;A80</f>
        <v/>
      </c>
      <c r="L80" s="347">
        <f>+VLOOKUP(K80,TL[],4,FALSE)</f>
        <v/>
      </c>
    </row>
    <row r="81">
      <c r="C81" s="216" t="n"/>
      <c r="D81" s="216" t="n"/>
      <c r="E81" s="216" t="n"/>
      <c r="F81" s="216" t="n"/>
      <c r="G81" s="220" t="n"/>
      <c r="H81" s="220" t="n"/>
      <c r="I81" s="221" t="n"/>
      <c r="J81" s="350">
        <f>LEFT(A81,1)</f>
        <v/>
      </c>
      <c r="K81" s="347">
        <f>"VICTOIRE"&amp;" - "&amp;A81</f>
        <v/>
      </c>
      <c r="L81" s="347">
        <f>+VLOOKUP(K81,TL[],4,FALSE)</f>
        <v/>
      </c>
    </row>
    <row r="82">
      <c r="C82" s="216" t="n"/>
      <c r="D82" s="216" t="n"/>
      <c r="E82" s="216" t="n"/>
      <c r="F82" s="216" t="n"/>
      <c r="G82" s="220" t="n"/>
      <c r="H82" s="220" t="n"/>
      <c r="I82" s="221" t="n"/>
      <c r="J82" s="350">
        <f>LEFT(A82,1)</f>
        <v/>
      </c>
      <c r="K82" s="347">
        <f>"VICTOIRE"&amp;" - "&amp;A82</f>
        <v/>
      </c>
      <c r="L82" s="347">
        <f>+VLOOKUP(K82,TL[],4,FALSE)</f>
        <v/>
      </c>
    </row>
    <row r="83">
      <c r="C83" s="216" t="n"/>
      <c r="D83" s="216" t="n"/>
      <c r="E83" s="216" t="n"/>
      <c r="F83" s="216" t="n"/>
      <c r="G83" s="220" t="n"/>
      <c r="H83" s="220" t="n"/>
      <c r="I83" s="221" t="n"/>
      <c r="J83" s="350">
        <f>LEFT(A83,1)</f>
        <v/>
      </c>
      <c r="K83" s="347">
        <f>"VICTOIRE"&amp;" - "&amp;A83</f>
        <v/>
      </c>
      <c r="L83" s="347">
        <f>+VLOOKUP(K83,TL[],4,FALSE)</f>
        <v/>
      </c>
    </row>
    <row r="84">
      <c r="C84" s="216" t="n"/>
      <c r="D84" s="216" t="n"/>
      <c r="E84" s="216" t="n"/>
      <c r="F84" s="216" t="n"/>
      <c r="G84" s="220" t="n"/>
      <c r="H84" s="220" t="n"/>
      <c r="I84" s="221" t="n"/>
      <c r="J84" s="350">
        <f>LEFT(A84,1)</f>
        <v/>
      </c>
      <c r="K84" s="347">
        <f>"VICTOIRE"&amp;" - "&amp;A84</f>
        <v/>
      </c>
      <c r="L84" s="347">
        <f>+VLOOKUP(K84,TL[],4,FALSE)</f>
        <v/>
      </c>
    </row>
    <row r="85">
      <c r="C85" s="216" t="n"/>
      <c r="D85" s="216" t="n"/>
      <c r="E85" s="216" t="n"/>
      <c r="F85" s="216" t="n"/>
      <c r="G85" s="220" t="n"/>
      <c r="H85" s="220" t="n"/>
      <c r="I85" s="221" t="n"/>
      <c r="J85" s="350">
        <f>LEFT(A85,1)</f>
        <v/>
      </c>
      <c r="K85" s="347">
        <f>"VICTOIRE"&amp;" - "&amp;A85</f>
        <v/>
      </c>
      <c r="L85" s="347">
        <f>+VLOOKUP(K85,TL[],4,FALSE)</f>
        <v/>
      </c>
    </row>
    <row r="86">
      <c r="C86" s="216" t="n"/>
      <c r="D86" s="216" t="n"/>
      <c r="E86" s="216" t="n"/>
      <c r="F86" s="216" t="n"/>
      <c r="G86" s="220" t="n"/>
      <c r="H86" s="220" t="n"/>
      <c r="I86" s="221" t="n"/>
      <c r="J86" s="350">
        <f>LEFT(A86,1)</f>
        <v/>
      </c>
      <c r="K86" s="347">
        <f>"VICTOIRE"&amp;" - "&amp;A86</f>
        <v/>
      </c>
      <c r="L86" s="347">
        <f>+VLOOKUP(K86,TL[],4,FALSE)</f>
        <v/>
      </c>
    </row>
    <row r="87">
      <c r="C87" s="216" t="n"/>
      <c r="D87" s="216" t="n"/>
      <c r="E87" s="216" t="n"/>
      <c r="F87" s="216" t="n"/>
      <c r="G87" s="220" t="n"/>
      <c r="H87" s="220" t="n"/>
      <c r="I87" s="221" t="n"/>
      <c r="J87" s="350">
        <f>LEFT(A87,1)</f>
        <v/>
      </c>
      <c r="K87" s="347">
        <f>"VICTOIRE"&amp;" - "&amp;A87</f>
        <v/>
      </c>
      <c r="L87" s="347">
        <f>+VLOOKUP(K87,TL[],4,FALSE)</f>
        <v/>
      </c>
    </row>
    <row r="88">
      <c r="C88" s="216" t="n"/>
      <c r="D88" s="216" t="n"/>
      <c r="E88" s="216" t="n"/>
      <c r="F88" s="216" t="n"/>
      <c r="G88" s="220" t="n"/>
      <c r="H88" s="220" t="n"/>
      <c r="I88" s="221" t="n"/>
      <c r="J88" s="350">
        <f>LEFT(A88,1)</f>
        <v/>
      </c>
      <c r="K88" s="347">
        <f>"VICTOIRE"&amp;" - "&amp;A88</f>
        <v/>
      </c>
      <c r="L88" s="347">
        <f>+VLOOKUP(K88,TL[],4,FALSE)</f>
        <v/>
      </c>
    </row>
    <row r="89">
      <c r="C89" s="216" t="n"/>
      <c r="D89" s="216" t="n"/>
      <c r="E89" s="216" t="n"/>
      <c r="F89" s="216" t="n"/>
      <c r="G89" s="220" t="n"/>
      <c r="H89" s="220" t="n"/>
      <c r="I89" s="221" t="n"/>
      <c r="J89" s="350">
        <f>LEFT(A89,1)</f>
        <v/>
      </c>
      <c r="K89" s="347">
        <f>"VICTOIRE"&amp;" - "&amp;A89</f>
        <v/>
      </c>
      <c r="L89" s="347">
        <f>+VLOOKUP(K89,TL[],4,FALSE)</f>
        <v/>
      </c>
    </row>
    <row r="90">
      <c r="C90" s="216" t="n"/>
      <c r="D90" s="216" t="n"/>
      <c r="E90" s="216" t="n"/>
      <c r="F90" s="216" t="n"/>
      <c r="G90" s="220" t="n"/>
      <c r="H90" s="220" t="n"/>
      <c r="I90" s="221" t="n"/>
      <c r="J90" s="350">
        <f>LEFT(A90,1)</f>
        <v/>
      </c>
      <c r="K90" s="347">
        <f>"VICTOIRE"&amp;" - "&amp;A90</f>
        <v/>
      </c>
      <c r="L90" s="347">
        <f>+VLOOKUP(K90,TL[],4,FALSE)</f>
        <v/>
      </c>
    </row>
    <row r="91">
      <c r="C91" s="216" t="n"/>
      <c r="D91" s="216" t="n"/>
      <c r="E91" s="216" t="n"/>
      <c r="F91" s="216" t="n"/>
      <c r="G91" s="220" t="n"/>
      <c r="H91" s="220" t="n"/>
      <c r="I91" s="221" t="n"/>
      <c r="J91" s="350">
        <f>LEFT(A91,1)</f>
        <v/>
      </c>
      <c r="K91" s="347">
        <f>"VICTOIRE"&amp;" - "&amp;A91</f>
        <v/>
      </c>
      <c r="L91" s="347">
        <f>+VLOOKUP(K91,TL[],4,FALSE)</f>
        <v/>
      </c>
    </row>
    <row r="92">
      <c r="C92" s="216" t="n"/>
      <c r="D92" s="216" t="n"/>
      <c r="E92" s="216" t="n"/>
      <c r="F92" s="216" t="n"/>
      <c r="G92" s="220" t="n"/>
      <c r="H92" s="220" t="n"/>
      <c r="I92" s="221" t="n"/>
      <c r="J92" s="350">
        <f>LEFT(A92,1)</f>
        <v/>
      </c>
      <c r="K92" s="347">
        <f>"VICTOIRE"&amp;" - "&amp;A92</f>
        <v/>
      </c>
      <c r="L92" s="347">
        <f>+VLOOKUP(K92,TL[],4,FALSE)</f>
        <v/>
      </c>
    </row>
    <row r="93">
      <c r="C93" s="216" t="n"/>
      <c r="D93" s="216" t="n"/>
      <c r="E93" s="216" t="n"/>
      <c r="F93" s="216" t="n"/>
      <c r="G93" s="220" t="n"/>
      <c r="H93" s="220" t="n"/>
      <c r="I93" s="221" t="n"/>
      <c r="J93" s="350">
        <f>LEFT(A93,1)</f>
        <v/>
      </c>
      <c r="K93" s="347">
        <f>"VICTOIRE"&amp;" - "&amp;A93</f>
        <v/>
      </c>
      <c r="L93" s="347">
        <f>+VLOOKUP(K93,TL[],4,FALSE)</f>
        <v/>
      </c>
    </row>
    <row r="94">
      <c r="C94" s="216" t="n"/>
      <c r="D94" s="216" t="n"/>
      <c r="E94" s="216" t="n"/>
      <c r="F94" s="216" t="n"/>
      <c r="G94" s="220" t="n"/>
      <c r="H94" s="220" t="n"/>
      <c r="I94" s="221" t="n"/>
      <c r="J94" s="350">
        <f>LEFT(A94,1)</f>
        <v/>
      </c>
      <c r="K94" s="347">
        <f>"VICTOIRE"&amp;" - "&amp;A94</f>
        <v/>
      </c>
      <c r="L94" s="347">
        <f>+VLOOKUP(K94,TL[],4,FALSE)</f>
        <v/>
      </c>
    </row>
    <row r="95">
      <c r="C95" s="216" t="n"/>
      <c r="D95" s="216" t="n"/>
      <c r="E95" s="216" t="n"/>
      <c r="F95" s="216" t="n"/>
      <c r="G95" s="220" t="n"/>
      <c r="H95" s="220" t="n"/>
      <c r="I95" s="221" t="n"/>
      <c r="J95" s="350">
        <f>LEFT(A95,1)</f>
        <v/>
      </c>
      <c r="K95" s="347">
        <f>"VICTOIRE"&amp;" - "&amp;A95</f>
        <v/>
      </c>
      <c r="L95" s="347">
        <f>+VLOOKUP(K95,TL[],4,FALSE)</f>
        <v/>
      </c>
    </row>
    <row r="96">
      <c r="C96" s="216" t="n"/>
      <c r="D96" s="216" t="n"/>
      <c r="E96" s="216" t="n"/>
      <c r="F96" s="216" t="n"/>
      <c r="G96" s="220" t="n"/>
      <c r="H96" s="220" t="n"/>
      <c r="I96" s="221" t="n"/>
      <c r="J96" s="350">
        <f>LEFT(A96,1)</f>
        <v/>
      </c>
      <c r="K96" s="347">
        <f>"VICTOIRE"&amp;" - "&amp;A96</f>
        <v/>
      </c>
      <c r="L96" s="347">
        <f>+VLOOKUP(K96,TL[],4,FALSE)</f>
        <v/>
      </c>
    </row>
    <row r="97">
      <c r="C97" s="216" t="n"/>
      <c r="D97" s="216" t="n"/>
      <c r="E97" s="216" t="n"/>
      <c r="F97" s="216" t="n"/>
      <c r="G97" s="220" t="n"/>
      <c r="H97" s="220" t="n"/>
      <c r="I97" s="221" t="n"/>
      <c r="J97" s="350">
        <f>LEFT(A97,1)</f>
        <v/>
      </c>
      <c r="K97" s="347">
        <f>"VICTOIRE"&amp;" - "&amp;A97</f>
        <v/>
      </c>
      <c r="L97" s="347">
        <f>+VLOOKUP(K97,TL[],4,FALSE)</f>
        <v/>
      </c>
    </row>
    <row r="98">
      <c r="C98" s="216" t="n"/>
      <c r="D98" s="216" t="n"/>
      <c r="E98" s="216" t="n"/>
      <c r="F98" s="216" t="n"/>
      <c r="G98" s="220" t="n"/>
      <c r="H98" s="220" t="n"/>
      <c r="I98" s="221" t="n"/>
      <c r="J98" s="350">
        <f>LEFT(A98,1)</f>
        <v/>
      </c>
      <c r="K98" s="347">
        <f>"VICTOIRE"&amp;" - "&amp;A98</f>
        <v/>
      </c>
      <c r="L98" s="347">
        <f>+VLOOKUP(K98,TL[],4,FALSE)</f>
        <v/>
      </c>
    </row>
    <row r="99">
      <c r="C99" s="216" t="n"/>
      <c r="D99" s="216" t="n"/>
      <c r="E99" s="216" t="n"/>
      <c r="F99" s="216" t="n"/>
      <c r="G99" s="220" t="n"/>
      <c r="H99" s="220" t="n"/>
      <c r="I99" s="221" t="n"/>
      <c r="J99" s="350">
        <f>LEFT(A99,1)</f>
        <v/>
      </c>
      <c r="K99" s="347">
        <f>"VICTOIRE"&amp;" - "&amp;A99</f>
        <v/>
      </c>
      <c r="L99" s="347">
        <f>+VLOOKUP(K99,TL[],4,FALSE)</f>
        <v/>
      </c>
    </row>
    <row r="100">
      <c r="C100" s="216" t="n"/>
      <c r="D100" s="216" t="n"/>
      <c r="E100" s="216" t="n"/>
      <c r="F100" s="216" t="n"/>
      <c r="G100" s="220" t="n"/>
      <c r="H100" s="220" t="n"/>
      <c r="I100" s="221" t="n"/>
      <c r="J100" s="350">
        <f>LEFT(A100,1)</f>
        <v/>
      </c>
      <c r="K100" s="347">
        <f>"VICTOIRE"&amp;" - "&amp;A100</f>
        <v/>
      </c>
      <c r="L100" s="347">
        <f>+VLOOKUP(K100,TL[],4,FALSE)</f>
        <v/>
      </c>
    </row>
    <row r="101">
      <c r="C101" s="216" t="n"/>
      <c r="D101" s="216" t="n"/>
      <c r="E101" s="216" t="n"/>
      <c r="F101" s="216" t="n"/>
      <c r="G101" s="220" t="n"/>
      <c r="H101" s="220" t="n"/>
      <c r="I101" s="221" t="n"/>
      <c r="J101" s="350">
        <f>LEFT(A101,1)</f>
        <v/>
      </c>
      <c r="K101" s="347">
        <f>"VICTOIRE"&amp;" - "&amp;A101</f>
        <v/>
      </c>
      <c r="L101" s="347">
        <f>+VLOOKUP(K101,TL[],4,FALSE)</f>
        <v/>
      </c>
    </row>
    <row r="102">
      <c r="C102" s="216" t="n"/>
      <c r="D102" s="216" t="n"/>
      <c r="E102" s="216" t="n"/>
      <c r="F102" s="216" t="n"/>
      <c r="G102" s="220" t="n"/>
      <c r="H102" s="220" t="n"/>
      <c r="I102" s="221" t="n"/>
      <c r="J102" s="350">
        <f>LEFT(A102,1)</f>
        <v/>
      </c>
      <c r="K102" s="347">
        <f>"VICTOIRE"&amp;" - "&amp;A102</f>
        <v/>
      </c>
      <c r="L102" s="347">
        <f>+VLOOKUP(K102,TL[],4,FALSE)</f>
        <v/>
      </c>
    </row>
    <row r="103">
      <c r="C103" s="216" t="n"/>
      <c r="D103" s="216" t="n"/>
      <c r="E103" s="216" t="n"/>
      <c r="F103" s="216" t="n"/>
      <c r="G103" s="220" t="n"/>
      <c r="H103" s="220" t="n"/>
      <c r="I103" s="221" t="n"/>
      <c r="J103" s="350">
        <f>LEFT(A103,1)</f>
        <v/>
      </c>
      <c r="K103" s="347">
        <f>"VICTOIRE"&amp;" - "&amp;A103</f>
        <v/>
      </c>
      <c r="L103" s="347">
        <f>+VLOOKUP(K103,TL[],4,FALSE)</f>
        <v/>
      </c>
    </row>
    <row r="104">
      <c r="C104" s="216" t="n"/>
      <c r="D104" s="216" t="n"/>
      <c r="E104" s="216" t="n"/>
      <c r="F104" s="216" t="n"/>
      <c r="G104" s="220" t="n"/>
      <c r="H104" s="220" t="n"/>
      <c r="I104" s="221" t="n"/>
      <c r="J104" s="350">
        <f>LEFT(A104,1)</f>
        <v/>
      </c>
      <c r="K104" s="347">
        <f>"VICTOIRE"&amp;" - "&amp;A104</f>
        <v/>
      </c>
      <c r="L104" s="347">
        <f>+VLOOKUP(K104,TL[],4,FALSE)</f>
        <v/>
      </c>
    </row>
    <row r="105">
      <c r="C105" s="216" t="n"/>
      <c r="D105" s="216" t="n"/>
      <c r="E105" s="216" t="n"/>
      <c r="F105" s="216" t="n"/>
      <c r="G105" s="220" t="n"/>
      <c r="H105" s="220" t="n"/>
      <c r="I105" s="221" t="n"/>
      <c r="J105" s="350">
        <f>LEFT(A105,1)</f>
        <v/>
      </c>
      <c r="K105" s="347">
        <f>"VICTOIRE"&amp;" - "&amp;A105</f>
        <v/>
      </c>
      <c r="L105" s="347">
        <f>+VLOOKUP(K105,TL[],4,FALSE)</f>
        <v/>
      </c>
    </row>
    <row r="106">
      <c r="C106" s="216" t="n"/>
      <c r="D106" s="216" t="n"/>
      <c r="E106" s="216" t="n"/>
      <c r="F106" s="216" t="n"/>
      <c r="G106" s="220" t="n"/>
      <c r="H106" s="220" t="n"/>
      <c r="I106" s="221" t="n"/>
      <c r="J106" s="350">
        <f>LEFT(A106,1)</f>
        <v/>
      </c>
      <c r="K106" s="347">
        <f>"VICTOIRE"&amp;" - "&amp;A106</f>
        <v/>
      </c>
      <c r="L106" s="347">
        <f>+VLOOKUP(K106,TL[],4,FALSE)</f>
        <v/>
      </c>
    </row>
    <row r="107">
      <c r="C107" s="216" t="n"/>
      <c r="D107" s="216" t="n"/>
      <c r="E107" s="216" t="n"/>
      <c r="F107" s="216" t="n"/>
      <c r="G107" s="220" t="n"/>
      <c r="H107" s="220" t="n"/>
      <c r="I107" s="221" t="n"/>
      <c r="J107" s="350">
        <f>LEFT(A107,1)</f>
        <v/>
      </c>
      <c r="K107" s="347">
        <f>"VICTOIRE"&amp;" - "&amp;A107</f>
        <v/>
      </c>
      <c r="L107" s="347">
        <f>+VLOOKUP(K107,TL[],4,FALSE)</f>
        <v/>
      </c>
    </row>
    <row r="108">
      <c r="C108" s="216" t="n"/>
      <c r="D108" s="216" t="n"/>
      <c r="E108" s="216" t="n"/>
      <c r="F108" s="216" t="n"/>
      <c r="G108" s="220" t="n"/>
      <c r="H108" s="220" t="n"/>
      <c r="I108" s="221" t="n"/>
      <c r="J108" s="350">
        <f>LEFT(A108,1)</f>
        <v/>
      </c>
      <c r="K108" s="347">
        <f>"VICTOIRE"&amp;" - "&amp;A108</f>
        <v/>
      </c>
      <c r="L108" s="347">
        <f>+VLOOKUP(K108,TL[],4,FALSE)</f>
        <v/>
      </c>
    </row>
    <row r="109">
      <c r="C109" s="216" t="n"/>
      <c r="D109" s="216" t="n"/>
      <c r="E109" s="216" t="n"/>
      <c r="F109" s="216" t="n"/>
      <c r="G109" s="220" t="n"/>
      <c r="H109" s="220" t="n"/>
      <c r="I109" s="221" t="n"/>
      <c r="J109" s="350">
        <f>LEFT(A109,1)</f>
        <v/>
      </c>
      <c r="K109" s="347">
        <f>"VICTOIRE"&amp;" - "&amp;A109</f>
        <v/>
      </c>
      <c r="L109" s="347">
        <f>+VLOOKUP(K109,TL[],4,FALSE)</f>
        <v/>
      </c>
    </row>
    <row r="110">
      <c r="C110" s="216" t="n"/>
      <c r="D110" s="216" t="n"/>
      <c r="E110" s="216" t="n"/>
      <c r="F110" s="216" t="n"/>
      <c r="G110" s="220" t="n"/>
      <c r="H110" s="220" t="n"/>
      <c r="I110" s="221" t="n"/>
      <c r="J110" s="350">
        <f>LEFT(A110,1)</f>
        <v/>
      </c>
      <c r="K110" s="347">
        <f>"VICTOIRE"&amp;" - "&amp;A110</f>
        <v/>
      </c>
      <c r="L110" s="347">
        <f>+VLOOKUP(K110,TL[],4,FALSE)</f>
        <v/>
      </c>
    </row>
    <row r="111">
      <c r="C111" s="216" t="n"/>
      <c r="D111" s="216" t="n"/>
      <c r="E111" s="216" t="n"/>
      <c r="F111" s="216" t="n"/>
      <c r="G111" s="220" t="n"/>
      <c r="H111" s="220" t="n"/>
      <c r="I111" s="221" t="n"/>
      <c r="J111" s="350">
        <f>LEFT(A111,1)</f>
        <v/>
      </c>
      <c r="K111" s="347">
        <f>"VICTOIRE"&amp;" - "&amp;A111</f>
        <v/>
      </c>
      <c r="L111" s="347">
        <f>+VLOOKUP(K111,TL[],4,FALSE)</f>
        <v/>
      </c>
    </row>
    <row r="112">
      <c r="C112" s="216" t="n"/>
      <c r="D112" s="216" t="n"/>
      <c r="E112" s="216" t="n"/>
      <c r="F112" s="216" t="n"/>
      <c r="G112" s="220" t="n"/>
      <c r="H112" s="220" t="n"/>
      <c r="I112" s="221" t="n"/>
      <c r="J112" s="350">
        <f>LEFT(A112,1)</f>
        <v/>
      </c>
      <c r="K112" s="347">
        <f>"VICTOIRE"&amp;" - "&amp;A112</f>
        <v/>
      </c>
      <c r="L112" s="347">
        <f>+VLOOKUP(K112,TL[],4,FALSE)</f>
        <v/>
      </c>
    </row>
    <row r="113">
      <c r="C113" s="216" t="n"/>
      <c r="D113" s="216" t="n"/>
      <c r="E113" s="216" t="n"/>
      <c r="F113" s="216" t="n"/>
      <c r="G113" s="220" t="n"/>
      <c r="H113" s="220" t="n"/>
      <c r="I113" s="221" t="n"/>
      <c r="J113" s="350">
        <f>LEFT(A113,1)</f>
        <v/>
      </c>
      <c r="K113" s="347">
        <f>"VICTOIRE"&amp;" - "&amp;A113</f>
        <v/>
      </c>
      <c r="L113" s="347">
        <f>+VLOOKUP(K113,TL[],4,FALSE)</f>
        <v/>
      </c>
    </row>
    <row r="114">
      <c r="C114" s="216" t="n"/>
      <c r="D114" s="216" t="n"/>
      <c r="E114" s="216" t="n"/>
      <c r="F114" s="216" t="n"/>
      <c r="G114" s="220" t="n"/>
      <c r="H114" s="220" t="n"/>
      <c r="I114" s="221" t="n"/>
      <c r="J114" s="350">
        <f>LEFT(A114,1)</f>
        <v/>
      </c>
      <c r="K114" s="347">
        <f>"VICTOIRE"&amp;" - "&amp;A114</f>
        <v/>
      </c>
      <c r="L114" s="347">
        <f>+VLOOKUP(K114,TL[],4,FALSE)</f>
        <v/>
      </c>
    </row>
    <row r="115">
      <c r="C115" s="216" t="n"/>
      <c r="D115" s="216" t="n"/>
      <c r="E115" s="216" t="n"/>
      <c r="F115" s="216" t="n"/>
      <c r="G115" s="220" t="n"/>
      <c r="H115" s="220" t="n"/>
      <c r="I115" s="221" t="n"/>
      <c r="J115" s="350">
        <f>LEFT(A115,1)</f>
        <v/>
      </c>
      <c r="K115" s="347">
        <f>"VICTOIRE"&amp;" - "&amp;A115</f>
        <v/>
      </c>
      <c r="L115" s="347">
        <f>+VLOOKUP(K115,TL[],4,FALSE)</f>
        <v/>
      </c>
    </row>
    <row r="116">
      <c r="C116" s="216" t="n"/>
      <c r="D116" s="216" t="n"/>
      <c r="E116" s="216" t="n"/>
      <c r="F116" s="216" t="n"/>
      <c r="G116" s="220" t="n"/>
      <c r="H116" s="220" t="n"/>
      <c r="I116" s="221" t="n"/>
      <c r="J116" s="350">
        <f>LEFT(A116,1)</f>
        <v/>
      </c>
      <c r="K116" s="347">
        <f>"VICTOIRE"&amp;" - "&amp;A116</f>
        <v/>
      </c>
      <c r="L116" s="347">
        <f>+VLOOKUP(K116,TL[],4,FALSE)</f>
        <v/>
      </c>
    </row>
    <row r="117">
      <c r="C117" s="216" t="n"/>
      <c r="D117" s="216" t="n"/>
      <c r="E117" s="216" t="n"/>
      <c r="F117" s="216" t="n"/>
      <c r="G117" s="220" t="n"/>
      <c r="H117" s="220" t="n"/>
      <c r="I117" s="221" t="n"/>
      <c r="J117" s="350">
        <f>LEFT(A117,1)</f>
        <v/>
      </c>
      <c r="K117" s="347">
        <f>"VICTOIRE"&amp;" - "&amp;A117</f>
        <v/>
      </c>
      <c r="L117" s="347">
        <f>+VLOOKUP(K117,TL[],4,FALSE)</f>
        <v/>
      </c>
    </row>
    <row r="118">
      <c r="C118" s="216" t="n"/>
      <c r="D118" s="216" t="n"/>
      <c r="E118" s="216" t="n"/>
      <c r="F118" s="216" t="n"/>
      <c r="G118" s="220" t="n"/>
      <c r="H118" s="220" t="n"/>
      <c r="I118" s="221" t="n"/>
      <c r="J118" s="350">
        <f>LEFT(A118,1)</f>
        <v/>
      </c>
      <c r="K118" s="347">
        <f>"VICTOIRE"&amp;" - "&amp;A118</f>
        <v/>
      </c>
      <c r="L118" s="347">
        <f>+VLOOKUP(K118,TL[],4,FALSE)</f>
        <v/>
      </c>
    </row>
    <row r="119">
      <c r="C119" s="216" t="n"/>
      <c r="D119" s="216" t="n"/>
      <c r="E119" s="216" t="n"/>
      <c r="F119" s="216" t="n"/>
      <c r="G119" s="220" t="n"/>
      <c r="H119" s="220" t="n"/>
      <c r="I119" s="221" t="n"/>
      <c r="J119" s="350">
        <f>LEFT(A119,1)</f>
        <v/>
      </c>
      <c r="K119" s="347">
        <f>"VICTOIRE"&amp;" - "&amp;A119</f>
        <v/>
      </c>
      <c r="L119" s="347">
        <f>+VLOOKUP(K119,TL[],4,FALSE)</f>
        <v/>
      </c>
    </row>
    <row r="120">
      <c r="C120" s="216" t="n"/>
      <c r="D120" s="216" t="n"/>
      <c r="E120" s="216" t="n"/>
      <c r="F120" s="216" t="n"/>
      <c r="G120" s="220" t="n"/>
      <c r="H120" s="220" t="n"/>
      <c r="I120" s="221" t="n"/>
      <c r="J120" s="350">
        <f>LEFT(A120,1)</f>
        <v/>
      </c>
      <c r="K120" s="347">
        <f>"VICTOIRE"&amp;" - "&amp;A120</f>
        <v/>
      </c>
      <c r="L120" s="347">
        <f>+VLOOKUP(K120,TL[],4,FALSE)</f>
        <v/>
      </c>
    </row>
    <row r="121">
      <c r="C121" s="216" t="n"/>
      <c r="D121" s="216" t="n"/>
      <c r="E121" s="216" t="n"/>
      <c r="F121" s="216" t="n"/>
      <c r="G121" s="220" t="n"/>
      <c r="H121" s="220" t="n"/>
      <c r="I121" s="221" t="n"/>
      <c r="J121" s="350">
        <f>LEFT(A121,1)</f>
        <v/>
      </c>
      <c r="K121" s="347">
        <f>"VICTOIRE"&amp;" - "&amp;A121</f>
        <v/>
      </c>
      <c r="L121" s="347">
        <f>+VLOOKUP(K121,TL[],4,FALSE)</f>
        <v/>
      </c>
    </row>
    <row r="122">
      <c r="C122" s="216" t="n"/>
      <c r="D122" s="216" t="n"/>
      <c r="E122" s="216" t="n"/>
      <c r="F122" s="216" t="n"/>
      <c r="G122" s="220" t="n"/>
      <c r="H122" s="220" t="n"/>
      <c r="I122" s="221" t="n"/>
      <c r="J122" s="350">
        <f>LEFT(A122,1)</f>
        <v/>
      </c>
      <c r="K122" s="347">
        <f>"VICTOIRE"&amp;" - "&amp;A122</f>
        <v/>
      </c>
      <c r="L122" s="347">
        <f>+VLOOKUP(K122,TL[],4,FALSE)</f>
        <v/>
      </c>
    </row>
    <row r="123">
      <c r="C123" s="216" t="n"/>
      <c r="D123" s="216" t="n"/>
      <c r="E123" s="216" t="n"/>
      <c r="F123" s="216" t="n"/>
      <c r="G123" s="220" t="n"/>
      <c r="H123" s="220" t="n"/>
      <c r="I123" s="221" t="n"/>
      <c r="J123" s="350">
        <f>LEFT(A123,1)</f>
        <v/>
      </c>
      <c r="K123" s="347">
        <f>"VICTOIRE"&amp;" - "&amp;A123</f>
        <v/>
      </c>
      <c r="L123" s="347">
        <f>+VLOOKUP(K123,TL[],4,FALSE)</f>
        <v/>
      </c>
    </row>
    <row r="124">
      <c r="C124" s="216" t="n"/>
      <c r="D124" s="216" t="n"/>
      <c r="E124" s="216" t="n"/>
      <c r="F124" s="216" t="n"/>
      <c r="G124" s="220" t="n"/>
      <c r="H124" s="220" t="n"/>
      <c r="I124" s="221" t="n"/>
      <c r="J124" s="350">
        <f>LEFT(A124,1)</f>
        <v/>
      </c>
      <c r="K124" s="347">
        <f>"VICTOIRE"&amp;" - "&amp;A124</f>
        <v/>
      </c>
      <c r="L124" s="347">
        <f>+VLOOKUP(K124,TL[],4,FALSE)</f>
        <v/>
      </c>
    </row>
    <row r="125">
      <c r="C125" s="216" t="n"/>
      <c r="D125" s="216" t="n"/>
      <c r="E125" s="216" t="n"/>
      <c r="F125" s="216" t="n"/>
      <c r="G125" s="220" t="n"/>
      <c r="H125" s="220" t="n"/>
      <c r="I125" s="221" t="n"/>
      <c r="J125" s="350">
        <f>LEFT(A125,1)</f>
        <v/>
      </c>
      <c r="K125" s="347">
        <f>"VICTOIRE"&amp;" - "&amp;A125</f>
        <v/>
      </c>
      <c r="L125" s="347">
        <f>+VLOOKUP(K125,TL[],4,FALSE)</f>
        <v/>
      </c>
    </row>
    <row r="126">
      <c r="C126" s="216" t="n"/>
      <c r="D126" s="216" t="n"/>
      <c r="E126" s="216" t="n"/>
      <c r="F126" s="216" t="n"/>
      <c r="G126" s="220" t="n"/>
      <c r="H126" s="220" t="n"/>
      <c r="I126" s="221" t="n"/>
      <c r="J126" s="350">
        <f>LEFT(A126,1)</f>
        <v/>
      </c>
      <c r="K126" s="347">
        <f>"VICTOIRE"&amp;" - "&amp;A126</f>
        <v/>
      </c>
      <c r="L126" s="347">
        <f>+VLOOKUP(K126,TL[],4,FALSE)</f>
        <v/>
      </c>
    </row>
    <row r="127">
      <c r="C127" s="216" t="n"/>
      <c r="D127" s="216" t="n"/>
      <c r="E127" s="216" t="n"/>
      <c r="F127" s="216" t="n"/>
      <c r="G127" s="220" t="n"/>
      <c r="H127" s="220" t="n"/>
      <c r="I127" s="221" t="n"/>
      <c r="J127" s="350">
        <f>LEFT(A127,1)</f>
        <v/>
      </c>
      <c r="K127" s="347">
        <f>"VICTOIRE"&amp;" - "&amp;A127</f>
        <v/>
      </c>
      <c r="L127" s="347">
        <f>+VLOOKUP(K127,TL[],4,FALSE)</f>
        <v/>
      </c>
    </row>
    <row r="128">
      <c r="C128" s="216" t="n"/>
      <c r="D128" s="216" t="n"/>
      <c r="E128" s="216" t="n"/>
      <c r="F128" s="216" t="n"/>
      <c r="G128" s="220" t="n"/>
      <c r="H128" s="220" t="n"/>
      <c r="I128" s="221" t="n"/>
      <c r="J128" s="350">
        <f>LEFT(A128,1)</f>
        <v/>
      </c>
      <c r="K128" s="347">
        <f>"VICTOIRE"&amp;" - "&amp;A128</f>
        <v/>
      </c>
      <c r="L128" s="347">
        <f>+VLOOKUP(K128,TL[],4,FALSE)</f>
        <v/>
      </c>
    </row>
    <row r="129">
      <c r="C129" s="216" t="n"/>
      <c r="D129" s="216" t="n"/>
      <c r="E129" s="216" t="n"/>
      <c r="F129" s="216" t="n"/>
      <c r="G129" s="220" t="n"/>
      <c r="H129" s="220" t="n"/>
      <c r="I129" s="221" t="n"/>
      <c r="J129" s="350">
        <f>LEFT(A129,1)</f>
        <v/>
      </c>
      <c r="K129" s="347">
        <f>"VICTOIRE"&amp;" - "&amp;A129</f>
        <v/>
      </c>
      <c r="L129" s="347">
        <f>+VLOOKUP(K129,TL[],4,FALSE)</f>
        <v/>
      </c>
    </row>
    <row r="130">
      <c r="C130" s="216" t="n"/>
      <c r="D130" s="216" t="n"/>
      <c r="E130" s="216" t="n"/>
      <c r="F130" s="216" t="n"/>
      <c r="G130" s="220" t="n"/>
      <c r="H130" s="220" t="n"/>
      <c r="I130" s="221" t="n"/>
      <c r="J130" s="350">
        <f>LEFT(A130,1)</f>
        <v/>
      </c>
      <c r="K130" s="347">
        <f>"VICTOIRE"&amp;" - "&amp;A130</f>
        <v/>
      </c>
      <c r="L130" s="347">
        <f>+VLOOKUP(K130,TL[],4,FALSE)</f>
        <v/>
      </c>
    </row>
    <row r="131">
      <c r="C131" s="216" t="n"/>
      <c r="D131" s="216" t="n"/>
      <c r="E131" s="216" t="n"/>
      <c r="F131" s="216" t="n"/>
      <c r="G131" s="220" t="n"/>
      <c r="H131" s="220" t="n"/>
      <c r="I131" s="221" t="n"/>
      <c r="J131" s="350">
        <f>LEFT(A131,1)</f>
        <v/>
      </c>
      <c r="K131" s="347">
        <f>"VICTOIRE"&amp;" - "&amp;A131</f>
        <v/>
      </c>
      <c r="L131" s="347">
        <f>+VLOOKUP(K131,TL[],4,FALSE)</f>
        <v/>
      </c>
    </row>
    <row r="132">
      <c r="C132" s="216" t="n"/>
      <c r="D132" s="216" t="n"/>
      <c r="E132" s="216" t="n"/>
      <c r="F132" s="216" t="n"/>
      <c r="G132" s="220" t="n"/>
      <c r="H132" s="220" t="n"/>
      <c r="I132" s="221" t="n"/>
      <c r="J132" s="350">
        <f>LEFT(A132,1)</f>
        <v/>
      </c>
      <c r="K132" s="347">
        <f>"VICTOIRE"&amp;" - "&amp;A132</f>
        <v/>
      </c>
      <c r="L132" s="347">
        <f>+VLOOKUP(K132,TL[],4,FALSE)</f>
        <v/>
      </c>
    </row>
    <row r="133">
      <c r="C133" s="216" t="n"/>
      <c r="D133" s="216" t="n"/>
      <c r="E133" s="216" t="n"/>
      <c r="F133" s="216" t="n"/>
      <c r="G133" s="220" t="n"/>
      <c r="H133" s="220" t="n"/>
      <c r="I133" s="221" t="n"/>
      <c r="J133" s="350">
        <f>LEFT(A133,1)</f>
        <v/>
      </c>
      <c r="K133" s="347">
        <f>"VICTOIRE"&amp;" - "&amp;A133</f>
        <v/>
      </c>
      <c r="L133" s="347">
        <f>+VLOOKUP(K133,TL[],4,FALSE)</f>
        <v/>
      </c>
    </row>
    <row r="134">
      <c r="C134" s="216" t="n"/>
      <c r="D134" s="216" t="n"/>
      <c r="E134" s="216" t="n"/>
      <c r="F134" s="216" t="n"/>
      <c r="G134" s="220" t="n"/>
      <c r="H134" s="220" t="n"/>
      <c r="I134" s="221" t="n"/>
      <c r="J134" s="350">
        <f>LEFT(A134,1)</f>
        <v/>
      </c>
      <c r="K134" s="347">
        <f>"VICTOIRE"&amp;" - "&amp;A134</f>
        <v/>
      </c>
      <c r="L134" s="347">
        <f>+VLOOKUP(K134,TL[],4,FALSE)</f>
        <v/>
      </c>
    </row>
    <row r="135">
      <c r="C135" s="216" t="n"/>
      <c r="D135" s="216" t="n"/>
      <c r="E135" s="216" t="n"/>
      <c r="F135" s="216" t="n"/>
      <c r="G135" s="220" t="n"/>
      <c r="H135" s="220" t="n"/>
      <c r="I135" s="221" t="n"/>
      <c r="J135" s="350">
        <f>LEFT(A135,1)</f>
        <v/>
      </c>
      <c r="K135" s="347">
        <f>"VICTOIRE"&amp;" - "&amp;A135</f>
        <v/>
      </c>
      <c r="L135" s="347">
        <f>+VLOOKUP(K135,TL[],4,FALSE)</f>
        <v/>
      </c>
    </row>
    <row r="136">
      <c r="C136" s="216" t="n"/>
      <c r="D136" s="216" t="n"/>
      <c r="E136" s="216" t="n"/>
      <c r="F136" s="216" t="n"/>
      <c r="G136" s="220" t="n"/>
      <c r="H136" s="220" t="n"/>
      <c r="I136" s="221" t="n"/>
      <c r="J136" s="350">
        <f>LEFT(A136,1)</f>
        <v/>
      </c>
      <c r="K136" s="347">
        <f>"VICTOIRE"&amp;" - "&amp;A136</f>
        <v/>
      </c>
      <c r="L136" s="347">
        <f>+VLOOKUP(K136,TL[],4,FALSE)</f>
        <v/>
      </c>
    </row>
    <row r="137">
      <c r="C137" s="216" t="n"/>
      <c r="D137" s="216" t="n"/>
      <c r="E137" s="216" t="n"/>
      <c r="F137" s="216" t="n"/>
      <c r="G137" s="220" t="n"/>
      <c r="H137" s="220" t="n"/>
      <c r="I137" s="221" t="n"/>
      <c r="J137" s="350">
        <f>LEFT(A137,1)</f>
        <v/>
      </c>
      <c r="K137" s="347">
        <f>"VICTOIRE"&amp;" - "&amp;A137</f>
        <v/>
      </c>
      <c r="L137" s="347">
        <f>+VLOOKUP(K137,TL[],4,FALSE)</f>
        <v/>
      </c>
    </row>
    <row r="138">
      <c r="C138" s="216" t="n"/>
      <c r="D138" s="216" t="n"/>
      <c r="E138" s="216" t="n"/>
      <c r="F138" s="216" t="n"/>
      <c r="G138" s="220" t="n"/>
      <c r="H138" s="220" t="n"/>
      <c r="I138" s="221" t="n"/>
      <c r="J138" s="350">
        <f>LEFT(A138,1)</f>
        <v/>
      </c>
      <c r="K138" s="347">
        <f>"VICTOIRE"&amp;" - "&amp;A138</f>
        <v/>
      </c>
      <c r="L138" s="347">
        <f>+VLOOKUP(K138,TL[],4,FALSE)</f>
        <v/>
      </c>
    </row>
    <row r="139">
      <c r="C139" s="216" t="n"/>
      <c r="D139" s="216" t="n"/>
      <c r="E139" s="216" t="n"/>
      <c r="F139" s="216" t="n"/>
      <c r="G139" s="220" t="n"/>
      <c r="H139" s="220" t="n"/>
      <c r="I139" s="221" t="n"/>
      <c r="J139" s="350">
        <f>LEFT(A139,1)</f>
        <v/>
      </c>
      <c r="K139" s="347">
        <f>"VICTOIRE"&amp;" - "&amp;A139</f>
        <v/>
      </c>
      <c r="L139" s="347">
        <f>+VLOOKUP(K139,TL[],4,FALSE)</f>
        <v/>
      </c>
    </row>
    <row r="140">
      <c r="C140" s="216" t="n"/>
      <c r="D140" s="216" t="n"/>
      <c r="E140" s="216" t="n"/>
      <c r="F140" s="216" t="n"/>
      <c r="G140" s="220" t="n"/>
      <c r="H140" s="220" t="n"/>
      <c r="I140" s="221" t="n"/>
      <c r="J140" s="350">
        <f>LEFT(A140,1)</f>
        <v/>
      </c>
      <c r="K140" s="347">
        <f>"VICTOIRE"&amp;" - "&amp;A140</f>
        <v/>
      </c>
      <c r="L140" s="347">
        <f>+VLOOKUP(K140,TL[],4,FALSE)</f>
        <v/>
      </c>
    </row>
    <row r="141">
      <c r="C141" s="216" t="n"/>
      <c r="D141" s="216" t="n"/>
      <c r="E141" s="216" t="n"/>
      <c r="F141" s="216" t="n"/>
      <c r="G141" s="220" t="n"/>
      <c r="H141" s="220" t="n"/>
      <c r="I141" s="221" t="n"/>
      <c r="J141" s="350">
        <f>LEFT(A141,1)</f>
        <v/>
      </c>
      <c r="K141" s="347">
        <f>"VICTOIRE"&amp;" - "&amp;A141</f>
        <v/>
      </c>
      <c r="L141" s="347">
        <f>+VLOOKUP(K141,TL[],4,FALSE)</f>
        <v/>
      </c>
    </row>
    <row r="142">
      <c r="C142" s="216" t="n"/>
      <c r="D142" s="216" t="n"/>
      <c r="E142" s="216" t="n"/>
      <c r="F142" s="216" t="n"/>
      <c r="G142" s="220" t="n"/>
      <c r="H142" s="220" t="n"/>
      <c r="I142" s="221" t="n"/>
      <c r="J142" s="350">
        <f>LEFT(A142,1)</f>
        <v/>
      </c>
      <c r="K142" s="347">
        <f>"VICTOIRE"&amp;" - "&amp;A142</f>
        <v/>
      </c>
      <c r="L142" s="347">
        <f>+VLOOKUP(K142,TL[],4,FALSE)</f>
        <v/>
      </c>
    </row>
    <row r="143">
      <c r="C143" s="216" t="n"/>
      <c r="D143" s="216" t="n"/>
      <c r="E143" s="216" t="n"/>
      <c r="F143" s="216" t="n"/>
      <c r="G143" s="220" t="n"/>
      <c r="H143" s="220" t="n"/>
      <c r="I143" s="221" t="n"/>
      <c r="J143" s="350">
        <f>LEFT(A143,1)</f>
        <v/>
      </c>
      <c r="K143" s="347">
        <f>"VICTOIRE"&amp;" - "&amp;A143</f>
        <v/>
      </c>
      <c r="L143" s="347">
        <f>+VLOOKUP(K143,TL[],4,FALSE)</f>
        <v/>
      </c>
    </row>
    <row r="144">
      <c r="C144" s="216" t="n"/>
      <c r="D144" s="216" t="n"/>
      <c r="E144" s="216" t="n"/>
      <c r="F144" s="216" t="n"/>
      <c r="G144" s="220" t="n"/>
      <c r="H144" s="220" t="n"/>
      <c r="I144" s="221" t="n"/>
      <c r="J144" s="350">
        <f>LEFT(A144,1)</f>
        <v/>
      </c>
      <c r="K144" s="347">
        <f>"VICTOIRE"&amp;" - "&amp;A144</f>
        <v/>
      </c>
      <c r="L144" s="347">
        <f>+VLOOKUP(K144,TL[],4,FALSE)</f>
        <v/>
      </c>
    </row>
    <row r="145">
      <c r="C145" s="216" t="n"/>
      <c r="D145" s="216" t="n"/>
      <c r="E145" s="216" t="n"/>
      <c r="F145" s="216" t="n"/>
      <c r="G145" s="220" t="n"/>
      <c r="H145" s="220" t="n"/>
      <c r="I145" s="221" t="n"/>
      <c r="J145" s="350">
        <f>LEFT(A145,1)</f>
        <v/>
      </c>
      <c r="K145" s="347">
        <f>"VICTOIRE"&amp;" - "&amp;A145</f>
        <v/>
      </c>
      <c r="L145" s="347">
        <f>+VLOOKUP(K145,TL[],4,FALSE)</f>
        <v/>
      </c>
    </row>
    <row r="146">
      <c r="C146" s="216" t="n"/>
      <c r="D146" s="216" t="n"/>
      <c r="E146" s="216" t="n"/>
      <c r="F146" s="216" t="n"/>
      <c r="G146" s="220" t="n"/>
      <c r="H146" s="220" t="n"/>
      <c r="I146" s="221" t="n"/>
      <c r="J146" s="350">
        <f>LEFT(A146,1)</f>
        <v/>
      </c>
      <c r="K146" s="347">
        <f>"VICTOIRE"&amp;" - "&amp;A146</f>
        <v/>
      </c>
      <c r="L146" s="347">
        <f>+VLOOKUP(K146,TL[],4,FALSE)</f>
        <v/>
      </c>
    </row>
    <row r="147">
      <c r="C147" s="216" t="n"/>
      <c r="D147" s="216" t="n"/>
      <c r="E147" s="216" t="n"/>
      <c r="F147" s="216" t="n"/>
      <c r="G147" s="220" t="n"/>
      <c r="H147" s="220" t="n"/>
      <c r="I147" s="221" t="n"/>
      <c r="J147" s="350">
        <f>LEFT(A147,1)</f>
        <v/>
      </c>
      <c r="K147" s="347">
        <f>"VICTOIRE"&amp;" - "&amp;A147</f>
        <v/>
      </c>
      <c r="L147" s="347">
        <f>+VLOOKUP(K147,TL[],4,FALSE)</f>
        <v/>
      </c>
    </row>
    <row r="148">
      <c r="C148" s="216" t="n"/>
      <c r="D148" s="216" t="n"/>
      <c r="E148" s="216" t="n"/>
      <c r="F148" s="216" t="n"/>
      <c r="G148" s="220" t="n"/>
      <c r="H148" s="220" t="n"/>
      <c r="I148" s="221" t="n"/>
      <c r="J148" s="350">
        <f>LEFT(A148,1)</f>
        <v/>
      </c>
      <c r="K148" s="347">
        <f>"VICTOIRE"&amp;" - "&amp;A148</f>
        <v/>
      </c>
      <c r="L148" s="347">
        <f>+VLOOKUP(K148,TL[],4,FALSE)</f>
        <v/>
      </c>
    </row>
    <row r="149">
      <c r="C149" s="216" t="n"/>
      <c r="D149" s="216" t="n"/>
      <c r="E149" s="216" t="n"/>
      <c r="F149" s="216" t="n"/>
      <c r="G149" s="220" t="n"/>
      <c r="H149" s="220" t="n"/>
      <c r="I149" s="221" t="n"/>
      <c r="J149" s="350">
        <f>LEFT(A149,1)</f>
        <v/>
      </c>
      <c r="K149" s="347">
        <f>"VICTOIRE"&amp;" - "&amp;A149</f>
        <v/>
      </c>
      <c r="L149" s="347">
        <f>+VLOOKUP(K149,TL[],4,FALSE)</f>
        <v/>
      </c>
    </row>
    <row r="150">
      <c r="C150" s="216" t="n"/>
      <c r="D150" s="216" t="n"/>
      <c r="E150" s="216" t="n"/>
      <c r="F150" s="216" t="n"/>
      <c r="G150" s="220" t="n"/>
      <c r="H150" s="220" t="n"/>
      <c r="I150" s="221" t="n"/>
      <c r="J150" s="350">
        <f>LEFT(A150,1)</f>
        <v/>
      </c>
      <c r="K150" s="347">
        <f>"VICTOIRE"&amp;" - "&amp;A150</f>
        <v/>
      </c>
      <c r="L150" s="347">
        <f>+VLOOKUP(K150,TL[],4,FALSE)</f>
        <v/>
      </c>
    </row>
    <row r="151">
      <c r="C151" s="216" t="n"/>
      <c r="D151" s="216" t="n"/>
      <c r="E151" s="216" t="n"/>
      <c r="F151" s="216" t="n"/>
      <c r="G151" s="220" t="n"/>
      <c r="H151" s="220" t="n"/>
      <c r="I151" s="221" t="n"/>
      <c r="J151" s="350">
        <f>LEFT(A151,1)</f>
        <v/>
      </c>
      <c r="K151" s="347">
        <f>"VICTOIRE"&amp;" - "&amp;A151</f>
        <v/>
      </c>
      <c r="L151" s="347">
        <f>+VLOOKUP(K151,TL[],4,FALSE)</f>
        <v/>
      </c>
    </row>
    <row r="152">
      <c r="C152" s="216" t="n"/>
      <c r="D152" s="216" t="n"/>
      <c r="E152" s="216" t="n"/>
      <c r="F152" s="216" t="n"/>
      <c r="G152" s="220" t="n"/>
      <c r="H152" s="220" t="n"/>
      <c r="I152" s="221" t="n"/>
      <c r="J152" s="350">
        <f>LEFT(A152,1)</f>
        <v/>
      </c>
      <c r="K152" s="347">
        <f>"VICTOIRE"&amp;" - "&amp;A152</f>
        <v/>
      </c>
      <c r="L152" s="347">
        <f>+VLOOKUP(K152,TL[],4,FALSE)</f>
        <v/>
      </c>
    </row>
    <row r="153">
      <c r="C153" s="216" t="n"/>
      <c r="D153" s="216" t="n"/>
      <c r="E153" s="216" t="n"/>
      <c r="F153" s="216" t="n"/>
      <c r="G153" s="220" t="n"/>
      <c r="H153" s="220" t="n"/>
      <c r="I153" s="221" t="n"/>
      <c r="J153" s="350">
        <f>LEFT(A153,1)</f>
        <v/>
      </c>
      <c r="K153" s="347">
        <f>"VICTOIRE"&amp;" - "&amp;A153</f>
        <v/>
      </c>
      <c r="L153" s="347">
        <f>+VLOOKUP(K153,TL[],4,FALSE)</f>
        <v/>
      </c>
    </row>
    <row r="154">
      <c r="C154" s="216" t="n"/>
      <c r="D154" s="216" t="n"/>
      <c r="E154" s="216" t="n"/>
      <c r="F154" s="216" t="n"/>
      <c r="G154" s="220" t="n"/>
      <c r="H154" s="220" t="n"/>
      <c r="I154" s="221" t="n"/>
      <c r="J154" s="350">
        <f>LEFT(A154,1)</f>
        <v/>
      </c>
      <c r="K154" s="347">
        <f>"VICTOIRE"&amp;" - "&amp;A154</f>
        <v/>
      </c>
      <c r="L154" s="347">
        <f>+VLOOKUP(K154,TL[],4,FALSE)</f>
        <v/>
      </c>
    </row>
    <row r="155">
      <c r="C155" s="216" t="n"/>
      <c r="D155" s="216" t="n"/>
      <c r="E155" s="216" t="n"/>
      <c r="F155" s="216" t="n"/>
      <c r="G155" s="220" t="n"/>
      <c r="H155" s="220" t="n"/>
      <c r="I155" s="221" t="n"/>
      <c r="J155" s="350">
        <f>LEFT(A155,1)</f>
        <v/>
      </c>
      <c r="K155" s="347">
        <f>"VICTOIRE"&amp;" - "&amp;A155</f>
        <v/>
      </c>
      <c r="L155" s="347">
        <f>+VLOOKUP(K155,TL[],4,FALSE)</f>
        <v/>
      </c>
    </row>
    <row r="156">
      <c r="C156" s="216" t="n"/>
      <c r="D156" s="216" t="n"/>
      <c r="E156" s="216" t="n"/>
      <c r="F156" s="216" t="n"/>
      <c r="G156" s="220" t="n"/>
      <c r="H156" s="220" t="n"/>
      <c r="I156" s="221" t="n"/>
      <c r="J156" s="350">
        <f>LEFT(A156,1)</f>
        <v/>
      </c>
      <c r="K156" s="347">
        <f>"VICTOIRE"&amp;" - "&amp;A156</f>
        <v/>
      </c>
      <c r="L156" s="347">
        <f>+VLOOKUP(K156,TL[],4,FALSE)</f>
        <v/>
      </c>
    </row>
    <row r="157">
      <c r="C157" s="216" t="n"/>
      <c r="D157" s="216" t="n"/>
      <c r="E157" s="216" t="n"/>
      <c r="F157" s="216" t="n"/>
      <c r="G157" s="220" t="n"/>
      <c r="H157" s="220" t="n"/>
      <c r="I157" s="221" t="n"/>
      <c r="J157" s="350">
        <f>LEFT(A157,1)</f>
        <v/>
      </c>
      <c r="K157" s="347">
        <f>"VICTOIRE"&amp;" - "&amp;A157</f>
        <v/>
      </c>
      <c r="L157" s="347">
        <f>+VLOOKUP(K157,TL[],4,FALSE)</f>
        <v/>
      </c>
    </row>
    <row r="158">
      <c r="C158" s="216" t="n"/>
      <c r="D158" s="216" t="n"/>
      <c r="E158" s="216" t="n"/>
      <c r="F158" s="216" t="n"/>
      <c r="G158" s="220" t="n"/>
      <c r="H158" s="220" t="n"/>
      <c r="I158" s="221" t="n"/>
      <c r="J158" s="350">
        <f>LEFT(A158,1)</f>
        <v/>
      </c>
      <c r="K158" s="347">
        <f>"VICTOIRE"&amp;" - "&amp;A158</f>
        <v/>
      </c>
      <c r="L158" s="347">
        <f>+VLOOKUP(K158,TL[],4,FALSE)</f>
        <v/>
      </c>
    </row>
    <row r="159">
      <c r="C159" s="216" t="n"/>
      <c r="D159" s="216" t="n"/>
      <c r="E159" s="216" t="n"/>
      <c r="F159" s="216" t="n"/>
      <c r="G159" s="220" t="n"/>
      <c r="H159" s="220" t="n"/>
      <c r="I159" s="221" t="n"/>
      <c r="J159" s="350">
        <f>LEFT(A159,1)</f>
        <v/>
      </c>
      <c r="K159" s="347">
        <f>"VICTOIRE"&amp;" - "&amp;A159</f>
        <v/>
      </c>
      <c r="L159" s="347">
        <f>+VLOOKUP(K159,TL[],4,FALSE)</f>
        <v/>
      </c>
    </row>
    <row r="160">
      <c r="C160" s="216" t="n"/>
      <c r="D160" s="216" t="n"/>
      <c r="E160" s="216" t="n"/>
      <c r="F160" s="216" t="n"/>
      <c r="G160" s="220" t="n"/>
      <c r="H160" s="220" t="n"/>
      <c r="I160" s="221" t="n"/>
      <c r="J160" s="350">
        <f>LEFT(A160,1)</f>
        <v/>
      </c>
      <c r="K160" s="347">
        <f>"VICTOIRE"&amp;" - "&amp;A160</f>
        <v/>
      </c>
      <c r="L160" s="347">
        <f>+VLOOKUP(K160,TL[],4,FALSE)</f>
        <v/>
      </c>
    </row>
    <row r="161">
      <c r="C161" s="216" t="n"/>
      <c r="D161" s="216" t="n"/>
      <c r="E161" s="216" t="n"/>
      <c r="F161" s="216" t="n"/>
      <c r="G161" s="220" t="n"/>
      <c r="H161" s="220" t="n"/>
      <c r="I161" s="221" t="n"/>
      <c r="J161" s="350">
        <f>LEFT(A161,1)</f>
        <v/>
      </c>
      <c r="K161" s="347">
        <f>"VICTOIRE"&amp;" - "&amp;A161</f>
        <v/>
      </c>
      <c r="L161" s="347">
        <f>+VLOOKUP(K161,TL[],4,FALSE)</f>
        <v/>
      </c>
    </row>
    <row r="162">
      <c r="C162" s="216" t="n"/>
      <c r="D162" s="216" t="n"/>
      <c r="E162" s="216" t="n"/>
      <c r="F162" s="216" t="n"/>
      <c r="G162" s="220" t="n"/>
      <c r="H162" s="220" t="n"/>
      <c r="I162" s="221" t="n"/>
      <c r="J162" s="350">
        <f>LEFT(A162,1)</f>
        <v/>
      </c>
      <c r="K162" s="347">
        <f>"VICTOIRE"&amp;" - "&amp;A162</f>
        <v/>
      </c>
      <c r="L162" s="347">
        <f>+VLOOKUP(K162,TL[],4,FALSE)</f>
        <v/>
      </c>
    </row>
    <row r="163">
      <c r="C163" s="216" t="n"/>
      <c r="D163" s="216" t="n"/>
      <c r="E163" s="216" t="n"/>
      <c r="F163" s="216" t="n"/>
      <c r="G163" s="220" t="n"/>
      <c r="H163" s="220" t="n"/>
      <c r="I163" s="221" t="n"/>
      <c r="J163" s="350">
        <f>LEFT(A163,1)</f>
        <v/>
      </c>
      <c r="K163" s="347">
        <f>"VICTOIRE"&amp;" - "&amp;A163</f>
        <v/>
      </c>
      <c r="L163" s="347">
        <f>+VLOOKUP(K163,TL[],4,FALSE)</f>
        <v/>
      </c>
    </row>
    <row r="164">
      <c r="C164" s="216" t="n"/>
      <c r="D164" s="216" t="n"/>
      <c r="E164" s="216" t="n"/>
      <c r="F164" s="216" t="n"/>
      <c r="G164" s="220" t="n"/>
      <c r="H164" s="220" t="n"/>
      <c r="I164" s="221" t="n"/>
      <c r="J164" s="350">
        <f>LEFT(A164,1)</f>
        <v/>
      </c>
      <c r="K164" s="347">
        <f>"VICTOIRE"&amp;" - "&amp;A164</f>
        <v/>
      </c>
      <c r="L164" s="347">
        <f>+VLOOKUP(K164,TL[],4,FALSE)</f>
        <v/>
      </c>
    </row>
    <row r="165">
      <c r="C165" s="216" t="n"/>
      <c r="D165" s="216" t="n"/>
      <c r="E165" s="216" t="n"/>
      <c r="F165" s="216" t="n"/>
      <c r="G165" s="220" t="n"/>
      <c r="H165" s="220" t="n"/>
      <c r="I165" s="221" t="n"/>
      <c r="J165" s="350">
        <f>LEFT(A165,1)</f>
        <v/>
      </c>
      <c r="K165" s="347">
        <f>"VICTOIRE"&amp;" - "&amp;A165</f>
        <v/>
      </c>
      <c r="L165" s="347">
        <f>+VLOOKUP(K165,TL[],4,FALSE)</f>
        <v/>
      </c>
    </row>
    <row r="166">
      <c r="C166" s="216" t="n"/>
      <c r="D166" s="216" t="n"/>
      <c r="E166" s="216" t="n"/>
      <c r="F166" s="216" t="n"/>
      <c r="G166" s="220" t="n"/>
      <c r="H166" s="220" t="n"/>
      <c r="I166" s="221" t="n"/>
      <c r="J166" s="350">
        <f>LEFT(A166,1)</f>
        <v/>
      </c>
      <c r="K166" s="347">
        <f>"VICTOIRE"&amp;" - "&amp;A166</f>
        <v/>
      </c>
      <c r="L166" s="347">
        <f>+VLOOKUP(K166,TL[],4,FALSE)</f>
        <v/>
      </c>
    </row>
    <row r="167">
      <c r="C167" s="216" t="n"/>
      <c r="D167" s="216" t="n"/>
      <c r="E167" s="216" t="n"/>
      <c r="F167" s="216" t="n"/>
      <c r="G167" s="220" t="n"/>
      <c r="H167" s="220" t="n"/>
      <c r="I167" s="221" t="n"/>
      <c r="J167" s="350">
        <f>LEFT(A167,1)</f>
        <v/>
      </c>
      <c r="K167" s="347">
        <f>"VICTOIRE"&amp;" - "&amp;A167</f>
        <v/>
      </c>
      <c r="L167" s="347">
        <f>+VLOOKUP(K167,TL[],4,FALSE)</f>
        <v/>
      </c>
    </row>
    <row r="168">
      <c r="C168" s="216" t="n"/>
      <c r="D168" s="216" t="n"/>
      <c r="E168" s="216" t="n"/>
      <c r="F168" s="216" t="n"/>
      <c r="G168" s="220" t="n"/>
      <c r="H168" s="220" t="n"/>
      <c r="I168" s="221" t="n"/>
      <c r="J168" s="350">
        <f>LEFT(A168,1)</f>
        <v/>
      </c>
      <c r="K168" s="347">
        <f>"VICTOIRE"&amp;" - "&amp;A168</f>
        <v/>
      </c>
      <c r="L168" s="347">
        <f>+VLOOKUP(K168,TL[],4,FALSE)</f>
        <v/>
      </c>
    </row>
    <row r="169">
      <c r="C169" s="216" t="n"/>
      <c r="D169" s="216" t="n"/>
      <c r="E169" s="216" t="n"/>
      <c r="F169" s="216" t="n"/>
      <c r="G169" s="220" t="n"/>
      <c r="H169" s="220" t="n"/>
      <c r="I169" s="221" t="n"/>
      <c r="J169" s="350">
        <f>LEFT(A169,1)</f>
        <v/>
      </c>
      <c r="K169" s="347">
        <f>"VICTOIRE"&amp;" - "&amp;A169</f>
        <v/>
      </c>
      <c r="L169" s="347">
        <f>+VLOOKUP(K169,TL[],4,FALSE)</f>
        <v/>
      </c>
    </row>
    <row r="170">
      <c r="C170" s="216" t="n"/>
      <c r="D170" s="216" t="n"/>
      <c r="E170" s="216" t="n"/>
      <c r="F170" s="216" t="n"/>
      <c r="G170" s="220" t="n"/>
      <c r="H170" s="220" t="n"/>
      <c r="I170" s="221" t="n"/>
      <c r="J170" s="350">
        <f>LEFT(A170,1)</f>
        <v/>
      </c>
      <c r="K170" s="347">
        <f>"VICTOIRE"&amp;" - "&amp;A170</f>
        <v/>
      </c>
      <c r="L170" s="347">
        <f>+VLOOKUP(K170,TL[],4,FALSE)</f>
        <v/>
      </c>
    </row>
    <row r="171">
      <c r="C171" s="216" t="n"/>
      <c r="D171" s="216" t="n"/>
      <c r="E171" s="216" t="n"/>
      <c r="F171" s="216" t="n"/>
      <c r="G171" s="220" t="n"/>
      <c r="H171" s="220" t="n"/>
      <c r="I171" s="221" t="n"/>
      <c r="J171" s="350">
        <f>LEFT(A171,1)</f>
        <v/>
      </c>
      <c r="K171" s="347">
        <f>"VICTOIRE"&amp;" - "&amp;A171</f>
        <v/>
      </c>
      <c r="L171" s="347">
        <f>+VLOOKUP(K171,TL[],4,FALSE)</f>
        <v/>
      </c>
    </row>
    <row r="172">
      <c r="C172" s="216" t="n"/>
      <c r="D172" s="216" t="n"/>
      <c r="E172" s="216" t="n"/>
      <c r="F172" s="216" t="n"/>
      <c r="G172" s="220" t="n"/>
      <c r="H172" s="220" t="n"/>
      <c r="I172" s="221" t="n"/>
      <c r="J172" s="350">
        <f>LEFT(A172,1)</f>
        <v/>
      </c>
      <c r="K172" s="347">
        <f>"VICTOIRE"&amp;" - "&amp;A172</f>
        <v/>
      </c>
      <c r="L172" s="347">
        <f>+VLOOKUP(K172,TL[],4,FALSE)</f>
        <v/>
      </c>
    </row>
    <row r="173">
      <c r="C173" s="216" t="n"/>
      <c r="D173" s="216" t="n"/>
      <c r="E173" s="216" t="n"/>
      <c r="F173" s="216" t="n"/>
      <c r="G173" s="220" t="n"/>
      <c r="H173" s="220" t="n"/>
      <c r="I173" s="221" t="n"/>
      <c r="J173" s="350">
        <f>LEFT(A173,1)</f>
        <v/>
      </c>
      <c r="K173" s="347">
        <f>"VICTOIRE"&amp;" - "&amp;A173</f>
        <v/>
      </c>
      <c r="L173" s="347">
        <f>+VLOOKUP(K173,TL[],4,FALSE)</f>
        <v/>
      </c>
    </row>
    <row r="174">
      <c r="C174" s="216" t="n"/>
      <c r="D174" s="216" t="n"/>
      <c r="E174" s="216" t="n"/>
      <c r="F174" s="216" t="n"/>
      <c r="G174" s="220">
        <f>SUM(C174)-SUM(D174)</f>
        <v/>
      </c>
      <c r="H174" s="220">
        <f>SUM(E174)-SUM(F174)</f>
        <v/>
      </c>
      <c r="I174" s="221">
        <f>IF(A174="Total",VLOOKUP(B174,CORRESPONDANCE[#All],2,FALSE),I175)</f>
        <v/>
      </c>
      <c r="J174" s="350">
        <f>LEFT(A174,1)</f>
        <v/>
      </c>
      <c r="K174" s="347">
        <f>"VICTOIRE"&amp;" - "&amp;A174</f>
        <v/>
      </c>
      <c r="L174" s="347">
        <f>+VLOOKUP(K174,TL[],4,FALSE)</f>
        <v/>
      </c>
    </row>
    <row r="175">
      <c r="C175" s="216" t="n"/>
      <c r="D175" s="216" t="n"/>
      <c r="E175" s="216" t="n"/>
      <c r="F175" s="216" t="n"/>
      <c r="G175" s="220">
        <f>SUM(C175)-SUM(D175)</f>
        <v/>
      </c>
      <c r="H175" s="220">
        <f>SUM(E175)-SUM(F175)</f>
        <v/>
      </c>
      <c r="I175" s="221">
        <f>IF(A175="Total",VLOOKUP(B175,CORRESPONDANCE[#All],2,FALSE),I176)</f>
        <v/>
      </c>
      <c r="J175" s="350">
        <f>LEFT(A175,1)</f>
        <v/>
      </c>
      <c r="K175" s="347">
        <f>"VICTOIRE"&amp;" - "&amp;A175</f>
        <v/>
      </c>
      <c r="L175" s="347">
        <f>+VLOOKUP(K175,TL[],4,FALSE)</f>
        <v/>
      </c>
    </row>
    <row r="176">
      <c r="C176" s="216" t="n"/>
      <c r="D176" s="216" t="n"/>
      <c r="E176" s="216" t="n"/>
      <c r="F176" s="216" t="n"/>
      <c r="G176" s="220">
        <f>SUM(C176)-SUM(D176)</f>
        <v/>
      </c>
      <c r="H176" s="220">
        <f>SUM(E176)-SUM(F176)</f>
        <v/>
      </c>
      <c r="I176" s="221">
        <f>IF(A176="Total",VLOOKUP(B176,CORRESPONDANCE[#All],2,FALSE),I177)</f>
        <v/>
      </c>
      <c r="J176" s="350">
        <f>LEFT(A176,1)</f>
        <v/>
      </c>
      <c r="K176" s="347">
        <f>"VICTOIRE"&amp;" - "&amp;A176</f>
        <v/>
      </c>
      <c r="L176" s="347">
        <f>+VLOOKUP(K176,TL[],4,FALSE)</f>
        <v/>
      </c>
    </row>
    <row r="177">
      <c r="C177" s="216" t="n"/>
      <c r="D177" s="216" t="n"/>
      <c r="E177" s="216" t="n"/>
      <c r="F177" s="216" t="n"/>
      <c r="G177" s="220">
        <f>SUM(C177)-SUM(D177)</f>
        <v/>
      </c>
      <c r="H177" s="220">
        <f>SUM(E177)-SUM(F177)</f>
        <v/>
      </c>
      <c r="I177" s="221">
        <f>IF(A177="Total",VLOOKUP(B177,CORRESPONDANCE[#All],2,FALSE),I178)</f>
        <v/>
      </c>
      <c r="J177" s="350">
        <f>LEFT(A177,1)</f>
        <v/>
      </c>
      <c r="K177" s="347">
        <f>"VICTOIRE"&amp;" - "&amp;A177</f>
        <v/>
      </c>
      <c r="L177" s="347">
        <f>+VLOOKUP(K177,TL[],4,FALSE)</f>
        <v/>
      </c>
    </row>
    <row r="178">
      <c r="C178" s="216" t="n"/>
      <c r="D178" s="216" t="n"/>
      <c r="E178" s="216" t="n"/>
      <c r="F178" s="216" t="n"/>
      <c r="G178" s="220">
        <f>SUM(C178)-SUM(D178)</f>
        <v/>
      </c>
      <c r="H178" s="220">
        <f>SUM(E178)-SUM(F178)</f>
        <v/>
      </c>
      <c r="I178" s="221">
        <f>IF(A178="Total",VLOOKUP(B178,CORRESPONDANCE[#All],2,FALSE),I179)</f>
        <v/>
      </c>
      <c r="J178" s="350">
        <f>LEFT(A178,1)</f>
        <v/>
      </c>
      <c r="K178" s="347">
        <f>"VICTOIRE"&amp;" - "&amp;A178</f>
        <v/>
      </c>
      <c r="L178" s="347">
        <f>+VLOOKUP(K178,TL[],4,FALSE)</f>
        <v/>
      </c>
    </row>
    <row r="179">
      <c r="C179" s="216" t="n"/>
      <c r="D179" s="216" t="n"/>
      <c r="E179" s="216" t="n"/>
      <c r="F179" s="216" t="n"/>
      <c r="G179" s="220">
        <f>SUM(C179)-SUM(D179)</f>
        <v/>
      </c>
      <c r="H179" s="220">
        <f>SUM(E179)-SUM(F179)</f>
        <v/>
      </c>
      <c r="I179" s="221">
        <f>IF(A179="Total",VLOOKUP(B179,CORRESPONDANCE[#All],2,FALSE),I180)</f>
        <v/>
      </c>
      <c r="J179" s="350">
        <f>LEFT(A179,1)</f>
        <v/>
      </c>
      <c r="K179" s="347">
        <f>"VICTOIRE"&amp;" - "&amp;A179</f>
        <v/>
      </c>
      <c r="L179" s="347">
        <f>+VLOOKUP(K179,TL[],4,FALSE)</f>
        <v/>
      </c>
    </row>
    <row r="180">
      <c r="C180" s="216" t="n"/>
      <c r="D180" s="216" t="n"/>
      <c r="E180" s="216" t="n"/>
      <c r="F180" s="216" t="n"/>
      <c r="G180" s="220">
        <f>SUM(C180)-SUM(D180)</f>
        <v/>
      </c>
      <c r="H180" s="220">
        <f>SUM(E180)-SUM(F180)</f>
        <v/>
      </c>
      <c r="I180" s="221">
        <f>IF(A180="Total",VLOOKUP(B180,CORRESPONDANCE[#All],2,FALSE),I181)</f>
        <v/>
      </c>
      <c r="J180" s="350">
        <f>LEFT(A180,1)</f>
        <v/>
      </c>
      <c r="K180" s="347">
        <f>"VICTOIRE"&amp;" - "&amp;A180</f>
        <v/>
      </c>
      <c r="L180" s="347">
        <f>+VLOOKUP(K180,TL[],4,FALSE)</f>
        <v/>
      </c>
    </row>
    <row r="181">
      <c r="C181" s="216" t="n"/>
      <c r="D181" s="216" t="n"/>
      <c r="E181" s="216" t="n"/>
      <c r="F181" s="216" t="n"/>
      <c r="G181" s="220">
        <f>SUM(C181)-SUM(D181)</f>
        <v/>
      </c>
      <c r="H181" s="220">
        <f>SUM(E181)-SUM(F181)</f>
        <v/>
      </c>
      <c r="I181" s="221">
        <f>IF(A181="Total",VLOOKUP(B181,CORRESPONDANCE[#All],2,FALSE),I182)</f>
        <v/>
      </c>
      <c r="J181" s="350">
        <f>LEFT(A181,1)</f>
        <v/>
      </c>
      <c r="K181" s="347">
        <f>"VICTOIRE"&amp;" - "&amp;A181</f>
        <v/>
      </c>
      <c r="L181" s="347">
        <f>+VLOOKUP(K181,TL[],4,FALSE)</f>
        <v/>
      </c>
    </row>
    <row r="182">
      <c r="C182" s="216" t="n"/>
      <c r="D182" s="216" t="n"/>
      <c r="E182" s="216" t="n"/>
      <c r="F182" s="216" t="n"/>
      <c r="G182" s="220">
        <f>SUM(C182)-SUM(D182)</f>
        <v/>
      </c>
      <c r="H182" s="220">
        <f>SUM(E182)-SUM(F182)</f>
        <v/>
      </c>
      <c r="I182" s="221">
        <f>IF(A182="Total",VLOOKUP(B182,CORRESPONDANCE[#All],2,FALSE),I183)</f>
        <v/>
      </c>
      <c r="J182" s="350">
        <f>LEFT(A182,1)</f>
        <v/>
      </c>
      <c r="K182" s="347">
        <f>"VICTOIRE"&amp;" - "&amp;A182</f>
        <v/>
      </c>
      <c r="L182" s="347">
        <f>+VLOOKUP(K182,TL[],4,FALSE)</f>
        <v/>
      </c>
    </row>
    <row r="183">
      <c r="C183" s="216" t="n"/>
      <c r="D183" s="216" t="n"/>
      <c r="E183" s="216" t="n"/>
      <c r="F183" s="216" t="n"/>
      <c r="G183" s="220">
        <f>SUM(C183)-SUM(D183)</f>
        <v/>
      </c>
      <c r="H183" s="220">
        <f>SUM(E183)-SUM(F183)</f>
        <v/>
      </c>
      <c r="I183" s="221">
        <f>IF(A183="Total",VLOOKUP(B183,CORRESPONDANCE[#All],2,FALSE),I184)</f>
        <v/>
      </c>
      <c r="J183" s="350">
        <f>LEFT(A183,1)</f>
        <v/>
      </c>
      <c r="K183" s="347">
        <f>"VICTOIRE"&amp;" - "&amp;A183</f>
        <v/>
      </c>
      <c r="L183" s="347">
        <f>+VLOOKUP(K183,TL[],4,FALSE)</f>
        <v/>
      </c>
    </row>
    <row r="184">
      <c r="C184" s="216" t="n"/>
      <c r="D184" s="216" t="n"/>
      <c r="E184" s="216" t="n"/>
      <c r="F184" s="216" t="n"/>
      <c r="G184" s="220">
        <f>SUM(C184)-SUM(D184)</f>
        <v/>
      </c>
      <c r="H184" s="220">
        <f>SUM(E184)-SUM(F184)</f>
        <v/>
      </c>
      <c r="I184" s="221">
        <f>IF(A184="Total",VLOOKUP(B184,CORRESPONDANCE[#All],2,FALSE),I185)</f>
        <v/>
      </c>
      <c r="J184" s="350">
        <f>LEFT(A184,1)</f>
        <v/>
      </c>
      <c r="K184" s="347">
        <f>"VICTOIRE"&amp;" - "&amp;A184</f>
        <v/>
      </c>
      <c r="L184" s="347">
        <f>+VLOOKUP(K184,TL[],4,FALSE)</f>
        <v/>
      </c>
    </row>
    <row r="185">
      <c r="C185" s="216" t="n"/>
      <c r="D185" s="216" t="n"/>
      <c r="E185" s="216" t="n"/>
      <c r="F185" s="216" t="n"/>
      <c r="G185" s="220">
        <f>SUM(C185)-SUM(D185)</f>
        <v/>
      </c>
      <c r="H185" s="220">
        <f>SUM(E185)-SUM(F185)</f>
        <v/>
      </c>
      <c r="I185" s="221">
        <f>IF(A185="Total",VLOOKUP(B185,CORRESPONDANCE[#All],2,FALSE),I186)</f>
        <v/>
      </c>
      <c r="J185" s="350">
        <f>LEFT(A185,1)</f>
        <v/>
      </c>
      <c r="K185" s="347">
        <f>"VICTOIRE"&amp;" - "&amp;A185</f>
        <v/>
      </c>
      <c r="L185" s="347">
        <f>+VLOOKUP(K185,TL[],4,FALSE)</f>
        <v/>
      </c>
    </row>
    <row r="186">
      <c r="C186" s="216" t="n"/>
      <c r="D186" s="216" t="n"/>
      <c r="E186" s="216" t="n"/>
      <c r="F186" s="216" t="n"/>
      <c r="G186" s="220">
        <f>SUM(C186)-SUM(D186)</f>
        <v/>
      </c>
      <c r="H186" s="220">
        <f>SUM(E186)-SUM(F186)</f>
        <v/>
      </c>
      <c r="I186" s="221">
        <f>IF(A186="Total",VLOOKUP(B186,CORRESPONDANCE[#All],2,FALSE),I187)</f>
        <v/>
      </c>
      <c r="J186" s="350">
        <f>LEFT(A186,1)</f>
        <v/>
      </c>
      <c r="K186" s="347">
        <f>"VICTOIRE"&amp;" - "&amp;A186</f>
        <v/>
      </c>
      <c r="L186" s="347">
        <f>+VLOOKUP(K186,TL[],4,FALSE)</f>
        <v/>
      </c>
    </row>
    <row r="187">
      <c r="C187" s="216" t="n"/>
      <c r="D187" s="216" t="n"/>
      <c r="E187" s="216" t="n"/>
      <c r="F187" s="216" t="n"/>
      <c r="G187" s="220">
        <f>SUM(C187)-SUM(D187)</f>
        <v/>
      </c>
      <c r="H187" s="220">
        <f>SUM(E187)-SUM(F187)</f>
        <v/>
      </c>
      <c r="I187" s="221">
        <f>IF(A187="Total",VLOOKUP(B187,CORRESPONDANCE[#All],2,FALSE),I188)</f>
        <v/>
      </c>
      <c r="J187" s="350">
        <f>LEFT(A187,1)</f>
        <v/>
      </c>
      <c r="K187" s="347">
        <f>"VICTOIRE"&amp;" - "&amp;A187</f>
        <v/>
      </c>
      <c r="L187" s="347">
        <f>+VLOOKUP(K187,TL[],4,FALSE)</f>
        <v/>
      </c>
    </row>
    <row r="188">
      <c r="C188" s="216" t="n"/>
      <c r="D188" s="216" t="n"/>
      <c r="E188" s="216" t="n"/>
      <c r="F188" s="216" t="n"/>
      <c r="G188" s="220">
        <f>SUM(C188)-SUM(D188)</f>
        <v/>
      </c>
      <c r="H188" s="220">
        <f>SUM(E188)-SUM(F188)</f>
        <v/>
      </c>
      <c r="I188" s="221">
        <f>IF(A188="Total",VLOOKUP(B188,CORRESPONDANCE[#All],2,FALSE),I189)</f>
        <v/>
      </c>
      <c r="J188" s="350">
        <f>LEFT(A188,1)</f>
        <v/>
      </c>
      <c r="K188" s="347">
        <f>"VICTOIRE"&amp;" - "&amp;A188</f>
        <v/>
      </c>
      <c r="L188" s="347">
        <f>+VLOOKUP(K188,TL[],4,FALSE)</f>
        <v/>
      </c>
    </row>
    <row r="189">
      <c r="C189" s="216" t="n"/>
      <c r="D189" s="216" t="n"/>
      <c r="E189" s="216" t="n"/>
      <c r="F189" s="216" t="n"/>
      <c r="G189" s="220">
        <f>SUM(C189)-SUM(D189)</f>
        <v/>
      </c>
      <c r="H189" s="220">
        <f>SUM(E189)-SUM(F189)</f>
        <v/>
      </c>
      <c r="I189" s="221">
        <f>IF(A189="Total",VLOOKUP(B189,CORRESPONDANCE[#All],2,FALSE),I190)</f>
        <v/>
      </c>
      <c r="J189" s="350">
        <f>LEFT(A189,1)</f>
        <v/>
      </c>
      <c r="K189" s="347">
        <f>"VICTOIRE"&amp;" - "&amp;A189</f>
        <v/>
      </c>
      <c r="L189" s="347">
        <f>+VLOOKUP(K189,TL[],4,FALSE)</f>
        <v/>
      </c>
    </row>
    <row r="190">
      <c r="C190" s="216" t="n"/>
      <c r="D190" s="216" t="n"/>
      <c r="E190" s="216" t="n"/>
      <c r="F190" s="216" t="n"/>
      <c r="G190" s="220">
        <f>SUM(C190)-SUM(D190)</f>
        <v/>
      </c>
      <c r="H190" s="220">
        <f>SUM(E190)-SUM(F190)</f>
        <v/>
      </c>
      <c r="I190" s="221">
        <f>IF(A190="Total",VLOOKUP(B190,CORRESPONDANCE[#All],2,FALSE),I191)</f>
        <v/>
      </c>
      <c r="J190" s="350">
        <f>LEFT(A190,1)</f>
        <v/>
      </c>
      <c r="K190" s="347">
        <f>"VICTOIRE"&amp;" - "&amp;A190</f>
        <v/>
      </c>
      <c r="L190" s="347">
        <f>+VLOOKUP(K190,TL[],4,FALSE)</f>
        <v/>
      </c>
    </row>
    <row r="191">
      <c r="C191" s="216" t="n"/>
      <c r="D191" s="216" t="n"/>
      <c r="E191" s="216" t="n"/>
      <c r="F191" s="216" t="n"/>
      <c r="G191" s="220">
        <f>SUM(C191)-SUM(D191)</f>
        <v/>
      </c>
      <c r="H191" s="220">
        <f>SUM(E191)-SUM(F191)</f>
        <v/>
      </c>
      <c r="I191" s="221">
        <f>IF(A191="Total",VLOOKUP(B191,CORRESPONDANCE[#All],2,FALSE),I192)</f>
        <v/>
      </c>
      <c r="J191" s="350">
        <f>LEFT(A191,1)</f>
        <v/>
      </c>
      <c r="K191" s="347">
        <f>"VICTOIRE"&amp;" - "&amp;A191</f>
        <v/>
      </c>
      <c r="L191" s="347">
        <f>+VLOOKUP(K191,TL[],4,FALSE)</f>
        <v/>
      </c>
    </row>
    <row r="192">
      <c r="C192" s="216" t="n"/>
      <c r="D192" s="216" t="n"/>
      <c r="E192" s="216" t="n"/>
      <c r="F192" s="216" t="n"/>
      <c r="G192" s="220">
        <f>SUM(C192)-SUM(D192)</f>
        <v/>
      </c>
      <c r="H192" s="220">
        <f>SUM(E192)-SUM(F192)</f>
        <v/>
      </c>
      <c r="I192" s="221">
        <f>IF(A192="Total",VLOOKUP(B192,CORRESPONDANCE[#All],2,FALSE),I193)</f>
        <v/>
      </c>
      <c r="J192" s="350">
        <f>LEFT(A192,1)</f>
        <v/>
      </c>
      <c r="K192" s="347">
        <f>"VICTOIRE"&amp;" - "&amp;A192</f>
        <v/>
      </c>
      <c r="L192" s="347">
        <f>+VLOOKUP(K192,TL[],4,FALSE)</f>
        <v/>
      </c>
    </row>
    <row r="193">
      <c r="C193" s="216" t="n"/>
      <c r="D193" s="216" t="n"/>
      <c r="E193" s="216" t="n"/>
      <c r="F193" s="216" t="n"/>
      <c r="G193" s="220">
        <f>SUM(C193)-SUM(D193)</f>
        <v/>
      </c>
      <c r="H193" s="220">
        <f>SUM(E193)-SUM(F193)</f>
        <v/>
      </c>
      <c r="I193" s="221">
        <f>IF(A193="Total",VLOOKUP(B193,CORRESPONDANCE[#All],2,FALSE),I194)</f>
        <v/>
      </c>
      <c r="J193" s="350">
        <f>LEFT(A193,1)</f>
        <v/>
      </c>
      <c r="K193" s="347">
        <f>"VICTOIRE"&amp;" - "&amp;A193</f>
        <v/>
      </c>
      <c r="L193" s="347">
        <f>+VLOOKUP(K193,TL[],4,FALSE)</f>
        <v/>
      </c>
    </row>
    <row r="194">
      <c r="C194" s="216" t="n"/>
      <c r="D194" s="216" t="n"/>
      <c r="E194" s="216" t="n"/>
      <c r="F194" s="216" t="n"/>
      <c r="G194" s="220">
        <f>SUM(C194)-SUM(D194)</f>
        <v/>
      </c>
      <c r="H194" s="220">
        <f>SUM(E194)-SUM(F194)</f>
        <v/>
      </c>
      <c r="I194" s="221">
        <f>IF(A194="Total",VLOOKUP(B194,CORRESPONDANCE[#All],2,FALSE),I195)</f>
        <v/>
      </c>
      <c r="J194" s="350">
        <f>LEFT(A194,1)</f>
        <v/>
      </c>
      <c r="K194" s="347">
        <f>"VICTOIRE"&amp;" - "&amp;A194</f>
        <v/>
      </c>
      <c r="L194" s="347">
        <f>+VLOOKUP(K194,TL[],4,FALSE)</f>
        <v/>
      </c>
    </row>
    <row r="195">
      <c r="C195" s="216" t="n"/>
      <c r="D195" s="216" t="n"/>
      <c r="E195" s="216" t="n"/>
      <c r="F195" s="216" t="n"/>
      <c r="G195" s="220">
        <f>SUM(C195)-SUM(D195)</f>
        <v/>
      </c>
      <c r="H195" s="220">
        <f>SUM(E195)-SUM(F195)</f>
        <v/>
      </c>
      <c r="I195" s="221">
        <f>IF(A195="Total",VLOOKUP(B195,CORRESPONDANCE[#All],2,FALSE),I196)</f>
        <v/>
      </c>
      <c r="J195" s="350">
        <f>LEFT(A195,1)</f>
        <v/>
      </c>
      <c r="K195" s="347">
        <f>"VICTOIRE"&amp;" - "&amp;A195</f>
        <v/>
      </c>
      <c r="L195" s="347">
        <f>+VLOOKUP(K195,TL[],4,FALSE)</f>
        <v/>
      </c>
    </row>
    <row r="196">
      <c r="C196" s="216" t="n"/>
      <c r="D196" s="216" t="n"/>
      <c r="E196" s="216" t="n"/>
      <c r="F196" s="216" t="n"/>
      <c r="G196" s="220">
        <f>SUM(C196)-SUM(D196)</f>
        <v/>
      </c>
      <c r="H196" s="220">
        <f>SUM(E196)-SUM(F196)</f>
        <v/>
      </c>
      <c r="I196" s="221">
        <f>IF(A196="Total",VLOOKUP(B196,CORRESPONDANCE[#All],2,FALSE),I197)</f>
        <v/>
      </c>
      <c r="J196" s="350">
        <f>LEFT(A196,1)</f>
        <v/>
      </c>
      <c r="K196" s="347">
        <f>"VICTOIRE"&amp;" - "&amp;A196</f>
        <v/>
      </c>
      <c r="L196" s="347">
        <f>+VLOOKUP(K196,TL[],4,FALSE)</f>
        <v/>
      </c>
    </row>
    <row r="197">
      <c r="C197" s="216" t="n"/>
      <c r="D197" s="216" t="n"/>
      <c r="E197" s="216" t="n"/>
      <c r="F197" s="216" t="n"/>
      <c r="G197" s="220">
        <f>SUM(C197)-SUM(D197)</f>
        <v/>
      </c>
      <c r="H197" s="220">
        <f>SUM(E197)-SUM(F197)</f>
        <v/>
      </c>
      <c r="I197" s="221">
        <f>IF(A197="Total",VLOOKUP(B197,CORRESPONDANCE[#All],2,FALSE),I198)</f>
        <v/>
      </c>
      <c r="J197" s="350">
        <f>LEFT(A197,1)</f>
        <v/>
      </c>
      <c r="K197" s="347">
        <f>"VICTOIRE"&amp;" - "&amp;A197</f>
        <v/>
      </c>
      <c r="L197" s="347">
        <f>+VLOOKUP(K197,TL[],4,FALSE)</f>
        <v/>
      </c>
    </row>
    <row r="198">
      <c r="C198" s="216" t="n"/>
      <c r="D198" s="216" t="n"/>
      <c r="E198" s="216" t="n"/>
      <c r="F198" s="216" t="n"/>
      <c r="G198" s="220">
        <f>SUM(C198)-SUM(D198)</f>
        <v/>
      </c>
      <c r="H198" s="220">
        <f>SUM(E198)-SUM(F198)</f>
        <v/>
      </c>
      <c r="I198" s="221">
        <f>IF(A198="Total",VLOOKUP(B198,CORRESPONDANCE[#All],2,FALSE),I199)</f>
        <v/>
      </c>
      <c r="J198" s="350">
        <f>LEFT(A198,1)</f>
        <v/>
      </c>
      <c r="K198" s="347">
        <f>"VICTOIRE"&amp;" - "&amp;A198</f>
        <v/>
      </c>
      <c r="L198" s="347">
        <f>+VLOOKUP(K198,TL[],4,FALSE)</f>
        <v/>
      </c>
    </row>
    <row r="199">
      <c r="C199" s="216" t="n"/>
      <c r="D199" s="216" t="n"/>
      <c r="E199" s="216" t="n"/>
      <c r="F199" s="216" t="n"/>
      <c r="G199" s="220">
        <f>SUM(C199)-SUM(D199)</f>
        <v/>
      </c>
      <c r="H199" s="220">
        <f>SUM(E199)-SUM(F199)</f>
        <v/>
      </c>
      <c r="I199" s="221">
        <f>IF(A199="Total",VLOOKUP(B199,CORRESPONDANCE[#All],2,FALSE),I200)</f>
        <v/>
      </c>
      <c r="J199" s="350">
        <f>LEFT(A199,1)</f>
        <v/>
      </c>
      <c r="K199" s="347">
        <f>"VICTOIRE"&amp;" - "&amp;A199</f>
        <v/>
      </c>
      <c r="L199" s="347">
        <f>+VLOOKUP(K199,TL[],4,FALSE)</f>
        <v/>
      </c>
    </row>
    <row r="200">
      <c r="C200" s="216" t="n"/>
      <c r="D200" s="216" t="n"/>
      <c r="E200" s="216" t="n"/>
      <c r="F200" s="216" t="n"/>
      <c r="G200" s="220">
        <f>SUM(C200)-SUM(D200)</f>
        <v/>
      </c>
      <c r="H200" s="220">
        <f>SUM(E200)-SUM(F200)</f>
        <v/>
      </c>
      <c r="I200" s="221">
        <f>IF(A200="Total",VLOOKUP(B200,CORRESPONDANCE[#All],2,FALSE),I201)</f>
        <v/>
      </c>
      <c r="J200" s="350">
        <f>LEFT(A200,1)</f>
        <v/>
      </c>
      <c r="K200" s="347">
        <f>"VICTOIRE"&amp;" - "&amp;A200</f>
        <v/>
      </c>
      <c r="L200" s="347">
        <f>+VLOOKUP(K200,TL[],4,FALSE)</f>
        <v/>
      </c>
    </row>
    <row r="201">
      <c r="C201" s="216" t="n"/>
      <c r="D201" s="216" t="n"/>
      <c r="E201" s="216" t="n"/>
      <c r="F201" s="216" t="n"/>
      <c r="G201" s="220">
        <f>SUM(C201)-SUM(D201)</f>
        <v/>
      </c>
      <c r="H201" s="220">
        <f>SUM(E201)-SUM(F201)</f>
        <v/>
      </c>
      <c r="I201" s="221">
        <f>IF(A201="Total",VLOOKUP(B201,CORRESPONDANCE[#All],2,FALSE),I202)</f>
        <v/>
      </c>
      <c r="J201" s="350">
        <f>LEFT(A201,1)</f>
        <v/>
      </c>
      <c r="K201" s="347">
        <f>"VICTOIRE"&amp;" - "&amp;A201</f>
        <v/>
      </c>
      <c r="L201" s="347">
        <f>+VLOOKUP(K201,TL[],4,FALSE)</f>
        <v/>
      </c>
    </row>
    <row r="202">
      <c r="C202" s="216" t="n"/>
      <c r="D202" s="216" t="n"/>
      <c r="E202" s="216" t="n"/>
      <c r="F202" s="216" t="n"/>
      <c r="G202" s="220">
        <f>SUM(C202)-SUM(D202)</f>
        <v/>
      </c>
      <c r="H202" s="220">
        <f>SUM(E202)-SUM(F202)</f>
        <v/>
      </c>
      <c r="I202" s="221">
        <f>IF(A202="Total",VLOOKUP(B202,CORRESPONDANCE[#All],2,FALSE),I203)</f>
        <v/>
      </c>
      <c r="J202" s="350">
        <f>LEFT(A202,1)</f>
        <v/>
      </c>
      <c r="K202" s="347">
        <f>"VICTOIRE"&amp;" - "&amp;A202</f>
        <v/>
      </c>
      <c r="L202" s="347">
        <f>+VLOOKUP(K202,TL[],4,FALSE)</f>
        <v/>
      </c>
    </row>
    <row r="203">
      <c r="C203" s="216" t="n"/>
      <c r="D203" s="216" t="n"/>
      <c r="E203" s="216" t="n"/>
      <c r="F203" s="216" t="n"/>
      <c r="G203" s="220">
        <f>SUM(C203)-SUM(D203)</f>
        <v/>
      </c>
      <c r="H203" s="220">
        <f>SUM(E203)-SUM(F203)</f>
        <v/>
      </c>
      <c r="I203" s="221">
        <f>IF(A203="Total",VLOOKUP(B203,CORRESPONDANCE[#All],2,FALSE),I204)</f>
        <v/>
      </c>
      <c r="J203" s="350">
        <f>LEFT(A203,1)</f>
        <v/>
      </c>
      <c r="K203" s="347">
        <f>"VICTOIRE"&amp;" - "&amp;A203</f>
        <v/>
      </c>
      <c r="L203" s="347">
        <f>+VLOOKUP(K203,TL[],4,FALSE)</f>
        <v/>
      </c>
    </row>
    <row r="204">
      <c r="C204" s="216" t="n"/>
      <c r="D204" s="216" t="n"/>
      <c r="E204" s="216" t="n"/>
      <c r="F204" s="216" t="n"/>
      <c r="G204" s="220">
        <f>SUM(C204)-SUM(D204)</f>
        <v/>
      </c>
      <c r="H204" s="220">
        <f>SUM(E204)-SUM(F204)</f>
        <v/>
      </c>
      <c r="I204" s="221">
        <f>IF(A204="Total",VLOOKUP(B204,CORRESPONDANCE[#All],2,FALSE),I205)</f>
        <v/>
      </c>
      <c r="J204" s="350">
        <f>LEFT(A204,1)</f>
        <v/>
      </c>
      <c r="K204" s="347">
        <f>"VICTOIRE"&amp;" - "&amp;A204</f>
        <v/>
      </c>
      <c r="L204" s="347">
        <f>+VLOOKUP(K204,TL[],4,FALSE)</f>
        <v/>
      </c>
    </row>
    <row r="205">
      <c r="C205" s="216" t="n"/>
      <c r="D205" s="216" t="n"/>
      <c r="E205" s="216" t="n"/>
      <c r="F205" s="216" t="n"/>
      <c r="G205" s="220">
        <f>SUM(C205)-SUM(D205)</f>
        <v/>
      </c>
      <c r="H205" s="220">
        <f>SUM(E205)-SUM(F205)</f>
        <v/>
      </c>
      <c r="I205" s="221">
        <f>IF(A205="Total",VLOOKUP(B205,CORRESPONDANCE[#All],2,FALSE),I206)</f>
        <v/>
      </c>
      <c r="J205" s="350">
        <f>LEFT(A205,1)</f>
        <v/>
      </c>
      <c r="K205" s="347">
        <f>"VICTOIRE"&amp;" - "&amp;A205</f>
        <v/>
      </c>
      <c r="L205" s="347">
        <f>+VLOOKUP(K205,TL[],4,FALSE)</f>
        <v/>
      </c>
    </row>
    <row r="206">
      <c r="C206" s="216" t="n"/>
      <c r="D206" s="216" t="n"/>
      <c r="E206" s="216" t="n"/>
      <c r="F206" s="216" t="n"/>
      <c r="G206" s="220">
        <f>SUM(C206)-SUM(D206)</f>
        <v/>
      </c>
      <c r="H206" s="220">
        <f>SUM(E206)-SUM(F206)</f>
        <v/>
      </c>
      <c r="I206" s="221">
        <f>IF(A206="Total",VLOOKUP(B206,CORRESPONDANCE[#All],2,FALSE),I207)</f>
        <v/>
      </c>
      <c r="J206" s="350">
        <f>LEFT(A206,1)</f>
        <v/>
      </c>
      <c r="K206" s="347">
        <f>"VICTOIRE"&amp;" - "&amp;A206</f>
        <v/>
      </c>
      <c r="L206" s="347">
        <f>+VLOOKUP(K206,TL[],4,FALSE)</f>
        <v/>
      </c>
    </row>
    <row r="207">
      <c r="C207" s="216" t="n"/>
      <c r="D207" s="216" t="n"/>
      <c r="E207" s="216" t="n"/>
      <c r="F207" s="216" t="n"/>
      <c r="G207" s="220">
        <f>SUM(C207)-SUM(D207)</f>
        <v/>
      </c>
      <c r="H207" s="220">
        <f>SUM(E207)-SUM(F207)</f>
        <v/>
      </c>
      <c r="I207" s="221">
        <f>IF(A207="Total",VLOOKUP(B207,CORRESPONDANCE[#All],2,FALSE),I208)</f>
        <v/>
      </c>
      <c r="J207" s="350">
        <f>LEFT(A207,1)</f>
        <v/>
      </c>
      <c r="K207" s="347">
        <f>"VICTOIRE"&amp;" - "&amp;A207</f>
        <v/>
      </c>
      <c r="L207" s="347">
        <f>+VLOOKUP(K207,TL[],4,FALSE)</f>
        <v/>
      </c>
    </row>
    <row r="208">
      <c r="C208" s="216" t="n"/>
      <c r="D208" s="216" t="n"/>
      <c r="E208" s="216" t="n"/>
      <c r="F208" s="216" t="n"/>
      <c r="G208" s="220">
        <f>SUM(C208)-SUM(D208)</f>
        <v/>
      </c>
      <c r="H208" s="220">
        <f>SUM(E208)-SUM(F208)</f>
        <v/>
      </c>
      <c r="I208" s="221">
        <f>IF(A208="Total",VLOOKUP(B208,CORRESPONDANCE[#All],2,FALSE),I209)</f>
        <v/>
      </c>
      <c r="J208" s="350">
        <f>LEFT(A208,1)</f>
        <v/>
      </c>
      <c r="K208" s="347">
        <f>"VICTOIRE"&amp;" - "&amp;A208</f>
        <v/>
      </c>
      <c r="L208" s="347">
        <f>+VLOOKUP(K208,TL[],4,FALSE)</f>
        <v/>
      </c>
    </row>
    <row r="209">
      <c r="C209" s="216" t="n"/>
      <c r="D209" s="216" t="n"/>
      <c r="E209" s="216" t="n"/>
      <c r="F209" s="216" t="n"/>
      <c r="G209" s="220">
        <f>SUM(C209)-SUM(D209)</f>
        <v/>
      </c>
      <c r="H209" s="220">
        <f>SUM(E209)-SUM(F209)</f>
        <v/>
      </c>
      <c r="I209" s="221">
        <f>IF(A209="Total",VLOOKUP(B209,CORRESPONDANCE[#All],2,FALSE),I210)</f>
        <v/>
      </c>
      <c r="J209" s="350">
        <f>LEFT(A209,1)</f>
        <v/>
      </c>
      <c r="K209" s="347">
        <f>"VICTOIRE"&amp;" - "&amp;A209</f>
        <v/>
      </c>
      <c r="L209" s="347">
        <f>+VLOOKUP(K209,TL[],4,FALSE)</f>
        <v/>
      </c>
    </row>
    <row r="210">
      <c r="C210" s="216" t="n"/>
      <c r="D210" s="216" t="n"/>
      <c r="E210" s="216" t="n"/>
      <c r="F210" s="216" t="n"/>
      <c r="G210" s="220">
        <f>SUM(C210)-SUM(D210)</f>
        <v/>
      </c>
      <c r="H210" s="220">
        <f>SUM(E210)-SUM(F210)</f>
        <v/>
      </c>
      <c r="I210" s="221">
        <f>IF(A210="Total",VLOOKUP(B210,CORRESPONDANCE[#All],2,FALSE),I211)</f>
        <v/>
      </c>
      <c r="J210" s="350">
        <f>LEFT(A210,1)</f>
        <v/>
      </c>
      <c r="K210" s="347">
        <f>"VICTOIRE"&amp;" - "&amp;A210</f>
        <v/>
      </c>
      <c r="L210" s="347">
        <f>+VLOOKUP(K210,TL[],4,FALSE)</f>
        <v/>
      </c>
    </row>
    <row r="211">
      <c r="C211" s="216" t="n"/>
      <c r="D211" s="216" t="n"/>
      <c r="E211" s="216" t="n"/>
      <c r="F211" s="216" t="n"/>
      <c r="G211" s="220">
        <f>SUM(C211)-SUM(D211)</f>
        <v/>
      </c>
      <c r="H211" s="220">
        <f>SUM(E211)-SUM(F211)</f>
        <v/>
      </c>
      <c r="I211" s="221">
        <f>IF(A211="Total",VLOOKUP(B211,CORRESPONDANCE[#All],2,FALSE),I212)</f>
        <v/>
      </c>
      <c r="J211" s="350">
        <f>LEFT(A211,1)</f>
        <v/>
      </c>
      <c r="K211" s="347">
        <f>"VICTOIRE"&amp;" - "&amp;A211</f>
        <v/>
      </c>
      <c r="L211" s="347">
        <f>+VLOOKUP(K211,TL[],4,FALSE)</f>
        <v/>
      </c>
    </row>
    <row r="212">
      <c r="C212" s="216" t="n"/>
      <c r="D212" s="216" t="n"/>
      <c r="E212" s="216" t="n"/>
      <c r="F212" s="216" t="n"/>
      <c r="G212" s="220">
        <f>SUM(C212)-SUM(D212)</f>
        <v/>
      </c>
      <c r="H212" s="220">
        <f>SUM(E212)-SUM(F212)</f>
        <v/>
      </c>
      <c r="I212" s="221">
        <f>IF(A212="Total",VLOOKUP(B212,CORRESPONDANCE[#All],2,FALSE),I213)</f>
        <v/>
      </c>
      <c r="J212" s="350">
        <f>LEFT(A212,1)</f>
        <v/>
      </c>
      <c r="K212" s="347">
        <f>"VICTOIRE"&amp;" - "&amp;A212</f>
        <v/>
      </c>
      <c r="L212" s="347">
        <f>+VLOOKUP(K212,TL[],4,FALSE)</f>
        <v/>
      </c>
    </row>
    <row r="213">
      <c r="C213" s="216" t="n"/>
      <c r="D213" s="216" t="n"/>
      <c r="E213" s="216" t="n"/>
      <c r="F213" s="216" t="n"/>
      <c r="G213" s="220">
        <f>SUM(C213)-SUM(D213)</f>
        <v/>
      </c>
      <c r="H213" s="220">
        <f>SUM(E213)-SUM(F213)</f>
        <v/>
      </c>
      <c r="I213" s="221">
        <f>IF(A213="Total",VLOOKUP(B213,CORRESPONDANCE[#All],2,FALSE),I214)</f>
        <v/>
      </c>
      <c r="J213" s="350">
        <f>LEFT(A213,1)</f>
        <v/>
      </c>
      <c r="K213" s="347">
        <f>"VICTOIRE"&amp;" - "&amp;A213</f>
        <v/>
      </c>
      <c r="L213" s="347">
        <f>+VLOOKUP(K213,TL[],4,FALSE)</f>
        <v/>
      </c>
    </row>
    <row r="214">
      <c r="C214" s="216" t="n"/>
      <c r="D214" s="216" t="n"/>
      <c r="E214" s="216" t="n"/>
      <c r="F214" s="216" t="n"/>
      <c r="G214" s="220">
        <f>SUM(C214)-SUM(D214)</f>
        <v/>
      </c>
      <c r="H214" s="220">
        <f>SUM(E214)-SUM(F214)</f>
        <v/>
      </c>
      <c r="I214" s="221">
        <f>IF(A214="Total",VLOOKUP(B214,CORRESPONDANCE[#All],2,FALSE),I215)</f>
        <v/>
      </c>
      <c r="J214" s="350">
        <f>LEFT(A214,1)</f>
        <v/>
      </c>
      <c r="K214" s="347">
        <f>"VICTOIRE"&amp;" - "&amp;A214</f>
        <v/>
      </c>
      <c r="L214" s="347">
        <f>+VLOOKUP(K214,TL[],4,FALSE)</f>
        <v/>
      </c>
    </row>
    <row r="215">
      <c r="C215" s="216" t="n"/>
      <c r="D215" s="216" t="n"/>
      <c r="E215" s="216" t="n"/>
      <c r="F215" s="216" t="n"/>
      <c r="G215" s="220">
        <f>SUM(C215)-SUM(D215)</f>
        <v/>
      </c>
      <c r="H215" s="220">
        <f>SUM(E215)-SUM(F215)</f>
        <v/>
      </c>
      <c r="I215" s="221">
        <f>IF(A215="Total",VLOOKUP(B215,CORRESPONDANCE[#All],2,FALSE),I216)</f>
        <v/>
      </c>
      <c r="J215" s="350">
        <f>LEFT(A215,1)</f>
        <v/>
      </c>
      <c r="K215" s="347">
        <f>"VICTOIRE"&amp;" - "&amp;A215</f>
        <v/>
      </c>
      <c r="L215" s="347">
        <f>+VLOOKUP(K215,TL[],4,FALSE)</f>
        <v/>
      </c>
    </row>
    <row r="216">
      <c r="C216" s="216" t="n"/>
      <c r="D216" s="216" t="n"/>
      <c r="E216" s="216" t="n"/>
      <c r="F216" s="216" t="n"/>
      <c r="G216" s="220">
        <f>SUM(C216)-SUM(D216)</f>
        <v/>
      </c>
      <c r="H216" s="220">
        <f>SUM(E216)-SUM(F216)</f>
        <v/>
      </c>
      <c r="I216" s="221">
        <f>IF(A216="Total",VLOOKUP(B216,CORRESPONDANCE[#All],2,FALSE),I217)</f>
        <v/>
      </c>
      <c r="J216" s="350">
        <f>LEFT(A216,1)</f>
        <v/>
      </c>
      <c r="K216" s="347">
        <f>"VICTOIRE"&amp;" - "&amp;A216</f>
        <v/>
      </c>
      <c r="L216" s="347">
        <f>+VLOOKUP(K216,TL[],4,FALSE)</f>
        <v/>
      </c>
    </row>
    <row r="217">
      <c r="C217" s="216" t="n"/>
      <c r="D217" s="216" t="n"/>
      <c r="E217" s="216" t="n"/>
      <c r="F217" s="216" t="n"/>
      <c r="G217" s="220">
        <f>SUM(C217)-SUM(D217)</f>
        <v/>
      </c>
      <c r="H217" s="220">
        <f>SUM(E217)-SUM(F217)</f>
        <v/>
      </c>
      <c r="I217" s="221">
        <f>IF(A217="Total",VLOOKUP(B217,CORRESPONDANCE[#All],2,FALSE),I218)</f>
        <v/>
      </c>
      <c r="J217" s="350">
        <f>LEFT(A217,1)</f>
        <v/>
      </c>
      <c r="K217" s="347">
        <f>"VICTOIRE"&amp;" - "&amp;A217</f>
        <v/>
      </c>
      <c r="L217" s="347">
        <f>+VLOOKUP(K217,TL[],4,FALSE)</f>
        <v/>
      </c>
    </row>
    <row r="218">
      <c r="C218" s="216" t="n"/>
      <c r="D218" s="216" t="n"/>
      <c r="E218" s="216" t="n"/>
      <c r="F218" s="216" t="n"/>
      <c r="G218" s="220">
        <f>SUM(C218)-SUM(D218)</f>
        <v/>
      </c>
      <c r="H218" s="220">
        <f>SUM(E218)-SUM(F218)</f>
        <v/>
      </c>
      <c r="I218" s="221">
        <f>IF(A218="Total",VLOOKUP(B218,CORRESPONDANCE[#All],2,FALSE),I219)</f>
        <v/>
      </c>
      <c r="J218" s="350">
        <f>LEFT(A218,1)</f>
        <v/>
      </c>
      <c r="K218" s="347">
        <f>"VICTOIRE"&amp;" - "&amp;A218</f>
        <v/>
      </c>
      <c r="L218" s="347">
        <f>+VLOOKUP(K218,TL[],4,FALSE)</f>
        <v/>
      </c>
    </row>
    <row r="219">
      <c r="C219" s="216" t="n"/>
      <c r="D219" s="216" t="n"/>
      <c r="E219" s="216" t="n"/>
      <c r="F219" s="216" t="n"/>
      <c r="G219" s="220">
        <f>SUM(C219)-SUM(D219)</f>
        <v/>
      </c>
      <c r="H219" s="220">
        <f>SUM(E219)-SUM(F219)</f>
        <v/>
      </c>
      <c r="I219" s="221">
        <f>IF(A219="Total",VLOOKUP(B219,CORRESPONDANCE[#All],2,FALSE),I220)</f>
        <v/>
      </c>
      <c r="J219" s="350">
        <f>LEFT(A219,1)</f>
        <v/>
      </c>
      <c r="K219" s="347">
        <f>"VICTOIRE"&amp;" - "&amp;A219</f>
        <v/>
      </c>
      <c r="L219" s="347">
        <f>+VLOOKUP(K219,TL[],4,FALSE)</f>
        <v/>
      </c>
    </row>
    <row r="220">
      <c r="C220" s="216" t="n"/>
      <c r="D220" s="216" t="n"/>
      <c r="E220" s="216" t="n"/>
      <c r="F220" s="216" t="n"/>
      <c r="G220" s="220">
        <f>SUM(C220)-SUM(D220)</f>
        <v/>
      </c>
      <c r="H220" s="220">
        <f>SUM(E220)-SUM(F220)</f>
        <v/>
      </c>
      <c r="I220" s="221">
        <f>IF(A220="Total",VLOOKUP(B220,CORRESPONDANCE[#All],2,FALSE),I221)</f>
        <v/>
      </c>
      <c r="J220" s="350">
        <f>LEFT(A220,1)</f>
        <v/>
      </c>
      <c r="K220" s="347">
        <f>"VICTOIRE"&amp;" - "&amp;A220</f>
        <v/>
      </c>
      <c r="L220" s="347">
        <f>+VLOOKUP(K220,TL[],4,FALSE)</f>
        <v/>
      </c>
    </row>
    <row r="221">
      <c r="C221" s="216" t="n"/>
      <c r="D221" s="216" t="n"/>
      <c r="E221" s="216" t="n"/>
      <c r="F221" s="216" t="n"/>
      <c r="G221" s="220">
        <f>SUM(C221)-SUM(D221)</f>
        <v/>
      </c>
      <c r="H221" s="220">
        <f>SUM(E221)-SUM(F221)</f>
        <v/>
      </c>
      <c r="I221" s="221">
        <f>IF(A221="Total",VLOOKUP(B221,CORRESPONDANCE[#All],2,FALSE),I222)</f>
        <v/>
      </c>
      <c r="J221" s="350">
        <f>LEFT(A221,1)</f>
        <v/>
      </c>
      <c r="K221" s="347">
        <f>"VICTOIRE"&amp;" - "&amp;A221</f>
        <v/>
      </c>
      <c r="L221" s="347">
        <f>+VLOOKUP(K221,TL[],4,FALSE)</f>
        <v/>
      </c>
    </row>
    <row r="222">
      <c r="C222" s="216" t="n"/>
      <c r="D222" s="216" t="n"/>
      <c r="E222" s="216" t="n"/>
      <c r="F222" s="216" t="n"/>
      <c r="G222" s="220">
        <f>SUM(C222)-SUM(D222)</f>
        <v/>
      </c>
      <c r="H222" s="220">
        <f>SUM(E222)-SUM(F222)</f>
        <v/>
      </c>
      <c r="I222" s="221">
        <f>IF(A222="Total",VLOOKUP(B222,CORRESPONDANCE[#All],2,FALSE),I223)</f>
        <v/>
      </c>
      <c r="J222" s="350">
        <f>LEFT(A222,1)</f>
        <v/>
      </c>
      <c r="K222" s="347">
        <f>"VICTOIRE"&amp;" - "&amp;A222</f>
        <v/>
      </c>
      <c r="L222" s="347">
        <f>+VLOOKUP(K222,TL[],4,FALSE)</f>
        <v/>
      </c>
    </row>
    <row r="223">
      <c r="C223" s="216" t="n"/>
      <c r="D223" s="216" t="n"/>
      <c r="E223" s="216" t="n"/>
      <c r="F223" s="216" t="n"/>
      <c r="G223" s="220">
        <f>SUM(C223)-SUM(D223)</f>
        <v/>
      </c>
      <c r="H223" s="220">
        <f>SUM(E223)-SUM(F223)</f>
        <v/>
      </c>
      <c r="I223" s="221">
        <f>IF(A223="Total",VLOOKUP(B223,CORRESPONDANCE[#All],2,FALSE),I224)</f>
        <v/>
      </c>
      <c r="J223" s="350">
        <f>LEFT(A223,1)</f>
        <v/>
      </c>
      <c r="K223" s="347">
        <f>"VICTOIRE"&amp;" - "&amp;A223</f>
        <v/>
      </c>
      <c r="L223" s="347">
        <f>+VLOOKUP(K223,TL[],4,FALSE)</f>
        <v/>
      </c>
    </row>
    <row r="224">
      <c r="C224" s="216" t="n"/>
      <c r="D224" s="216" t="n"/>
      <c r="E224" s="216" t="n"/>
      <c r="F224" s="216" t="n"/>
      <c r="G224" s="220">
        <f>SUM(C224)-SUM(D224)</f>
        <v/>
      </c>
      <c r="H224" s="220">
        <f>SUM(E224)-SUM(F224)</f>
        <v/>
      </c>
      <c r="I224" s="221">
        <f>IF(A224="Total",VLOOKUP(B224,CORRESPONDANCE[#All],2,FALSE),I225)</f>
        <v/>
      </c>
      <c r="J224" s="350">
        <f>LEFT(A224,1)</f>
        <v/>
      </c>
      <c r="K224" s="347">
        <f>"VICTOIRE"&amp;" - "&amp;A224</f>
        <v/>
      </c>
      <c r="L224" s="347">
        <f>+VLOOKUP(K224,TL[],4,FALSE)</f>
        <v/>
      </c>
    </row>
    <row r="225">
      <c r="C225" s="216" t="n"/>
      <c r="D225" s="216" t="n"/>
      <c r="E225" s="216" t="n"/>
      <c r="F225" s="216" t="n"/>
      <c r="G225" s="220">
        <f>SUM(C225)-SUM(D225)</f>
        <v/>
      </c>
      <c r="H225" s="220">
        <f>SUM(E225)-SUM(F225)</f>
        <v/>
      </c>
      <c r="I225" s="221">
        <f>IF(A225="Total",VLOOKUP(B225,CORRESPONDANCE[#All],2,FALSE),I226)</f>
        <v/>
      </c>
      <c r="J225" s="350">
        <f>LEFT(A225,1)</f>
        <v/>
      </c>
      <c r="K225" s="347">
        <f>"VICTOIRE"&amp;" - "&amp;A225</f>
        <v/>
      </c>
      <c r="L225" s="347">
        <f>+VLOOKUP(K225,TL[],4,FALSE)</f>
        <v/>
      </c>
    </row>
    <row r="226">
      <c r="C226" s="216" t="n"/>
      <c r="D226" s="216" t="n"/>
      <c r="E226" s="216" t="n"/>
      <c r="F226" s="216" t="n"/>
      <c r="G226" s="220">
        <f>SUM(C226)-SUM(D226)</f>
        <v/>
      </c>
      <c r="H226" s="220">
        <f>SUM(E226)-SUM(F226)</f>
        <v/>
      </c>
      <c r="I226" s="221">
        <f>IF(A226="Total",VLOOKUP(B226,CORRESPONDANCE[#All],2,FALSE),I227)</f>
        <v/>
      </c>
      <c r="J226" s="350">
        <f>LEFT(A226,1)</f>
        <v/>
      </c>
      <c r="K226" s="347">
        <f>"VICTOIRE"&amp;" - "&amp;A226</f>
        <v/>
      </c>
      <c r="L226" s="347">
        <f>+VLOOKUP(K226,TL[],4,FALSE)</f>
        <v/>
      </c>
    </row>
    <row r="227">
      <c r="C227" s="216" t="n"/>
      <c r="D227" s="216" t="n"/>
      <c r="E227" s="216" t="n"/>
      <c r="F227" s="216" t="n"/>
      <c r="G227" s="220">
        <f>SUM(C227)-SUM(D227)</f>
        <v/>
      </c>
      <c r="H227" s="220">
        <f>SUM(E227)-SUM(F227)</f>
        <v/>
      </c>
      <c r="I227" s="221">
        <f>IF(A227="Total",VLOOKUP(B227,CORRESPONDANCE[#All],2,FALSE),I228)</f>
        <v/>
      </c>
      <c r="J227" s="350">
        <f>LEFT(A227,1)</f>
        <v/>
      </c>
      <c r="K227" s="347">
        <f>"VICTOIRE"&amp;" - "&amp;A227</f>
        <v/>
      </c>
      <c r="L227" s="347">
        <f>+VLOOKUP(K227,TL[],4,FALSE)</f>
        <v/>
      </c>
    </row>
    <row r="228">
      <c r="C228" s="216" t="n"/>
      <c r="D228" s="216" t="n"/>
      <c r="E228" s="216" t="n"/>
      <c r="F228" s="216" t="n"/>
      <c r="G228" s="220">
        <f>SUM(C228)-SUM(D228)</f>
        <v/>
      </c>
      <c r="H228" s="220">
        <f>SUM(E228)-SUM(F228)</f>
        <v/>
      </c>
      <c r="I228" s="221">
        <f>IF(A228="Total",VLOOKUP(B228,CORRESPONDANCE[#All],2,FALSE),I229)</f>
        <v/>
      </c>
      <c r="J228" s="350">
        <f>LEFT(A228,1)</f>
        <v/>
      </c>
      <c r="K228" s="347">
        <f>"VICTOIRE"&amp;" - "&amp;A228</f>
        <v/>
      </c>
      <c r="L228" s="347">
        <f>+VLOOKUP(K228,TL[],4,FALSE)</f>
        <v/>
      </c>
    </row>
    <row r="229">
      <c r="C229" s="216" t="n"/>
      <c r="D229" s="216" t="n"/>
      <c r="E229" s="216" t="n"/>
      <c r="F229" s="216" t="n"/>
      <c r="G229" s="220">
        <f>SUM(C229)-SUM(D229)</f>
        <v/>
      </c>
      <c r="H229" s="220">
        <f>SUM(E229)-SUM(F229)</f>
        <v/>
      </c>
      <c r="I229" s="221">
        <f>IF(A229="Total",VLOOKUP(B229,CORRESPONDANCE[#All],2,FALSE),I230)</f>
        <v/>
      </c>
      <c r="J229" s="350">
        <f>LEFT(A229,1)</f>
        <v/>
      </c>
      <c r="K229" s="347">
        <f>"VICTOIRE"&amp;" - "&amp;A229</f>
        <v/>
      </c>
      <c r="L229" s="347">
        <f>+VLOOKUP(K229,TL[],4,FALSE)</f>
        <v/>
      </c>
    </row>
    <row r="230">
      <c r="C230" s="216" t="n"/>
      <c r="D230" s="216" t="n"/>
      <c r="E230" s="216" t="n"/>
      <c r="F230" s="216" t="n"/>
      <c r="G230" s="220">
        <f>SUM(C230)-SUM(D230)</f>
        <v/>
      </c>
      <c r="H230" s="220">
        <f>SUM(E230)-SUM(F230)</f>
        <v/>
      </c>
      <c r="I230" s="221">
        <f>IF(A230="Total",VLOOKUP(B230,CORRESPONDANCE[#All],2,FALSE),I231)</f>
        <v/>
      </c>
      <c r="J230" s="350">
        <f>LEFT(A230,1)</f>
        <v/>
      </c>
      <c r="K230" s="347">
        <f>"VICTOIRE"&amp;" - "&amp;A230</f>
        <v/>
      </c>
      <c r="L230" s="347">
        <f>+VLOOKUP(K230,TL[],4,FALSE)</f>
        <v/>
      </c>
    </row>
    <row r="231">
      <c r="C231" s="216" t="n"/>
      <c r="D231" s="216" t="n"/>
      <c r="E231" s="216" t="n"/>
      <c r="F231" s="216" t="n"/>
      <c r="G231" s="220">
        <f>SUM(C231)-SUM(D231)</f>
        <v/>
      </c>
      <c r="H231" s="220">
        <f>SUM(E231)-SUM(F231)</f>
        <v/>
      </c>
      <c r="I231" s="221">
        <f>IF(A231="Total",VLOOKUP(B231,CORRESPONDANCE[#All],2,FALSE),I232)</f>
        <v/>
      </c>
      <c r="J231" s="350">
        <f>LEFT(A231,1)</f>
        <v/>
      </c>
      <c r="K231" s="347">
        <f>"VICTOIRE"&amp;" - "&amp;A231</f>
        <v/>
      </c>
      <c r="L231" s="347">
        <f>+VLOOKUP(K231,TL[],4,FALSE)</f>
        <v/>
      </c>
    </row>
    <row r="232">
      <c r="C232" s="216" t="n"/>
      <c r="D232" s="216" t="n"/>
      <c r="E232" s="216" t="n"/>
      <c r="F232" s="216" t="n"/>
      <c r="G232" s="220">
        <f>SUM(C232)-SUM(D232)</f>
        <v/>
      </c>
      <c r="H232" s="220">
        <f>SUM(E232)-SUM(F232)</f>
        <v/>
      </c>
      <c r="I232" s="221">
        <f>IF(A232="Total",VLOOKUP(B232,CORRESPONDANCE[#All],2,FALSE),I233)</f>
        <v/>
      </c>
      <c r="J232" s="350">
        <f>LEFT(A232,1)</f>
        <v/>
      </c>
      <c r="K232" s="347">
        <f>"VICTOIRE"&amp;" - "&amp;A232</f>
        <v/>
      </c>
      <c r="L232" s="347">
        <f>+VLOOKUP(K232,TL[],4,FALSE)</f>
        <v/>
      </c>
    </row>
    <row r="233">
      <c r="C233" s="216" t="n"/>
      <c r="D233" s="216" t="n"/>
      <c r="E233" s="216" t="n"/>
      <c r="F233" s="216" t="n"/>
      <c r="G233" s="220">
        <f>SUM(C233)-SUM(D233)</f>
        <v/>
      </c>
      <c r="H233" s="220">
        <f>SUM(E233)-SUM(F233)</f>
        <v/>
      </c>
      <c r="I233" s="221">
        <f>IF(A233="Total",VLOOKUP(B233,CORRESPONDANCE[#All],2,FALSE),I234)</f>
        <v/>
      </c>
      <c r="J233" s="350">
        <f>LEFT(A233,1)</f>
        <v/>
      </c>
      <c r="K233" s="347">
        <f>"VICTOIRE"&amp;" - "&amp;A233</f>
        <v/>
      </c>
      <c r="L233" s="347">
        <f>+VLOOKUP(K233,TL[],4,FALSE)</f>
        <v/>
      </c>
    </row>
    <row r="234">
      <c r="C234" s="216" t="n"/>
      <c r="D234" s="216" t="n"/>
      <c r="E234" s="216" t="n"/>
      <c r="F234" s="216" t="n"/>
      <c r="G234" s="220">
        <f>SUM(C234)-SUM(D234)</f>
        <v/>
      </c>
      <c r="H234" s="220">
        <f>SUM(E234)-SUM(F234)</f>
        <v/>
      </c>
      <c r="I234" s="221">
        <f>IF(A234="Total",VLOOKUP(B234,CORRESPONDANCE[#All],2,FALSE),I235)</f>
        <v/>
      </c>
      <c r="J234" s="350">
        <f>LEFT(A234,1)</f>
        <v/>
      </c>
      <c r="K234" s="347">
        <f>"VICTOIRE"&amp;" - "&amp;A234</f>
        <v/>
      </c>
      <c r="L234" s="347">
        <f>+VLOOKUP(K234,TL[],4,FALSE)</f>
        <v/>
      </c>
    </row>
    <row r="235">
      <c r="C235" s="216" t="n"/>
      <c r="D235" s="216" t="n"/>
      <c r="E235" s="216" t="n"/>
      <c r="F235" s="216" t="n"/>
      <c r="G235" s="220">
        <f>SUM(C235)-SUM(D235)</f>
        <v/>
      </c>
      <c r="H235" s="220">
        <f>SUM(E235)-SUM(F235)</f>
        <v/>
      </c>
      <c r="I235" s="221">
        <f>IF(A235="Total",VLOOKUP(B235,CORRESPONDANCE[#All],2,FALSE),I236)</f>
        <v/>
      </c>
      <c r="J235" s="350">
        <f>LEFT(A235,1)</f>
        <v/>
      </c>
      <c r="K235" s="347">
        <f>"VICTOIRE"&amp;" - "&amp;A235</f>
        <v/>
      </c>
      <c r="L235" s="347">
        <f>+VLOOKUP(K235,TL[],4,FALSE)</f>
        <v/>
      </c>
    </row>
    <row r="236">
      <c r="C236" s="216" t="n"/>
      <c r="D236" s="216" t="n"/>
      <c r="E236" s="216" t="n"/>
      <c r="F236" s="216" t="n"/>
      <c r="G236" s="220">
        <f>SUM(C236)-SUM(D236)</f>
        <v/>
      </c>
      <c r="H236" s="220">
        <f>SUM(E236)-SUM(F236)</f>
        <v/>
      </c>
      <c r="I236" s="221">
        <f>IF(A236="Total",VLOOKUP(B236,CORRESPONDANCE[#All],2,FALSE),I237)</f>
        <v/>
      </c>
      <c r="J236" s="350">
        <f>LEFT(A236,1)</f>
        <v/>
      </c>
      <c r="K236" s="347">
        <f>"VICTOIRE"&amp;" - "&amp;A236</f>
        <v/>
      </c>
      <c r="L236" s="347">
        <f>+VLOOKUP(K236,TL[],4,FALSE)</f>
        <v/>
      </c>
    </row>
    <row r="237">
      <c r="C237" s="216" t="n"/>
      <c r="D237" s="216" t="n"/>
      <c r="E237" s="216" t="n"/>
      <c r="F237" s="216" t="n"/>
      <c r="G237" s="220">
        <f>SUM(C237)-SUM(D237)</f>
        <v/>
      </c>
      <c r="H237" s="220">
        <f>SUM(E237)-SUM(F237)</f>
        <v/>
      </c>
      <c r="I237" s="221">
        <f>IF(A237="Total",VLOOKUP(B237,CORRESPONDANCE[#All],2,FALSE),I238)</f>
        <v/>
      </c>
      <c r="J237" s="350">
        <f>LEFT(A237,1)</f>
        <v/>
      </c>
      <c r="K237" s="347">
        <f>"VICTOIRE"&amp;" - "&amp;A237</f>
        <v/>
      </c>
      <c r="L237" s="347">
        <f>+VLOOKUP(K237,TL[],4,FALSE)</f>
        <v/>
      </c>
    </row>
    <row r="238">
      <c r="C238" s="216" t="n"/>
      <c r="D238" s="216" t="n"/>
      <c r="E238" s="216" t="n"/>
      <c r="F238" s="216" t="n"/>
      <c r="G238" s="220">
        <f>SUM(C238)-SUM(D238)</f>
        <v/>
      </c>
      <c r="H238" s="220">
        <f>SUM(E238)-SUM(F238)</f>
        <v/>
      </c>
      <c r="I238" s="221">
        <f>IF(A238="Total",VLOOKUP(B238,CORRESPONDANCE[#All],2,FALSE),I239)</f>
        <v/>
      </c>
      <c r="J238" s="350">
        <f>LEFT(A238,1)</f>
        <v/>
      </c>
      <c r="K238" s="347">
        <f>"VICTOIRE"&amp;" - "&amp;A238</f>
        <v/>
      </c>
      <c r="L238" s="347">
        <f>+VLOOKUP(K238,TL[],4,FALSE)</f>
        <v/>
      </c>
    </row>
    <row r="239">
      <c r="C239" s="216" t="n"/>
      <c r="D239" s="216" t="n"/>
      <c r="E239" s="216" t="n"/>
      <c r="F239" s="216" t="n"/>
      <c r="G239" s="220">
        <f>SUM(C239)-SUM(D239)</f>
        <v/>
      </c>
      <c r="H239" s="220">
        <f>SUM(E239)-SUM(F239)</f>
        <v/>
      </c>
      <c r="I239" s="221">
        <f>IF(A239="Total",VLOOKUP(B239,CORRESPONDANCE[#All],2,FALSE),I240)</f>
        <v/>
      </c>
      <c r="J239" s="350">
        <f>LEFT(A239,1)</f>
        <v/>
      </c>
      <c r="K239" s="347">
        <f>"VICTOIRE"&amp;" - "&amp;A239</f>
        <v/>
      </c>
      <c r="L239" s="347">
        <f>+VLOOKUP(K239,TL[],4,FALSE)</f>
        <v/>
      </c>
    </row>
    <row r="240">
      <c r="C240" s="216" t="n"/>
      <c r="D240" s="216" t="n"/>
      <c r="E240" s="216" t="n"/>
      <c r="F240" s="216" t="n"/>
      <c r="G240" s="220">
        <f>SUM(C240)-SUM(D240)</f>
        <v/>
      </c>
      <c r="H240" s="220">
        <f>SUM(E240)-SUM(F240)</f>
        <v/>
      </c>
      <c r="I240" s="221">
        <f>IF(A240="Total",VLOOKUP(B240,CORRESPONDANCE[#All],2,FALSE),I241)</f>
        <v/>
      </c>
      <c r="J240" s="350">
        <f>LEFT(A240,1)</f>
        <v/>
      </c>
      <c r="K240" s="347">
        <f>"VICTOIRE"&amp;" - "&amp;A240</f>
        <v/>
      </c>
      <c r="L240" s="347">
        <f>+VLOOKUP(K240,TL[],4,FALSE)</f>
        <v/>
      </c>
    </row>
    <row r="241">
      <c r="C241" s="216" t="n"/>
      <c r="D241" s="216" t="n"/>
      <c r="E241" s="216" t="n"/>
      <c r="F241" s="216" t="n"/>
      <c r="G241" s="220">
        <f>SUM(C241)-SUM(D241)</f>
        <v/>
      </c>
      <c r="H241" s="220">
        <f>SUM(E241)-SUM(F241)</f>
        <v/>
      </c>
      <c r="I241" s="221">
        <f>IF(A241="Total",VLOOKUP(B241,CORRESPONDANCE[#All],2,FALSE),I242)</f>
        <v/>
      </c>
      <c r="J241" s="350">
        <f>LEFT(A241,1)</f>
        <v/>
      </c>
      <c r="K241" s="347">
        <f>"VICTOIRE"&amp;" - "&amp;A241</f>
        <v/>
      </c>
      <c r="L241" s="347">
        <f>+VLOOKUP(K241,TL[],4,FALSE)</f>
        <v/>
      </c>
    </row>
    <row r="242">
      <c r="C242" s="216" t="n"/>
      <c r="D242" s="216" t="n"/>
      <c r="E242" s="216" t="n"/>
      <c r="F242" s="216" t="n"/>
      <c r="G242" s="220">
        <f>SUM(C242)-SUM(D242)</f>
        <v/>
      </c>
      <c r="H242" s="220">
        <f>SUM(E242)-SUM(F242)</f>
        <v/>
      </c>
      <c r="I242" s="221">
        <f>IF(A242="Total",VLOOKUP(B242,CORRESPONDANCE[#All],2,FALSE),I243)</f>
        <v/>
      </c>
      <c r="J242" s="350">
        <f>LEFT(A242,1)</f>
        <v/>
      </c>
      <c r="K242" s="347">
        <f>"VICTOIRE"&amp;" - "&amp;A242</f>
        <v/>
      </c>
      <c r="L242" s="347">
        <f>+VLOOKUP(K242,TL[],4,FALSE)</f>
        <v/>
      </c>
    </row>
    <row r="243">
      <c r="C243" s="216" t="n"/>
      <c r="D243" s="216" t="n"/>
      <c r="E243" s="216" t="n"/>
      <c r="F243" s="216" t="n"/>
      <c r="G243" s="220">
        <f>SUM(C243)-SUM(D243)</f>
        <v/>
      </c>
      <c r="H243" s="220">
        <f>SUM(E243)-SUM(F243)</f>
        <v/>
      </c>
      <c r="I243" s="221">
        <f>IF(A243="Total",VLOOKUP(B243,CORRESPONDANCE[#All],2,FALSE),I244)</f>
        <v/>
      </c>
      <c r="J243" s="350">
        <f>LEFT(A243,1)</f>
        <v/>
      </c>
      <c r="K243" s="347">
        <f>"VICTOIRE"&amp;" - "&amp;A243</f>
        <v/>
      </c>
      <c r="L243" s="347">
        <f>+VLOOKUP(K243,TL[],4,FALSE)</f>
        <v/>
      </c>
    </row>
    <row r="244">
      <c r="C244" s="216" t="n"/>
      <c r="D244" s="216" t="n"/>
      <c r="E244" s="216" t="n"/>
      <c r="F244" s="216" t="n"/>
      <c r="G244" s="220">
        <f>SUM(C244)-SUM(D244)</f>
        <v/>
      </c>
      <c r="H244" s="220">
        <f>SUM(E244)-SUM(F244)</f>
        <v/>
      </c>
      <c r="I244" s="221">
        <f>IF(A244="Total",VLOOKUP(B244,CORRESPONDANCE[#All],2,FALSE),I245)</f>
        <v/>
      </c>
      <c r="J244" s="350">
        <f>LEFT(A244,1)</f>
        <v/>
      </c>
      <c r="K244" s="347">
        <f>"VICTOIRE"&amp;" - "&amp;A244</f>
        <v/>
      </c>
      <c r="L244" s="347">
        <f>+VLOOKUP(K244,TL[],4,FALSE)</f>
        <v/>
      </c>
    </row>
    <row r="245">
      <c r="C245" s="216" t="n"/>
      <c r="D245" s="216" t="n"/>
      <c r="E245" s="216" t="n"/>
      <c r="F245" s="216" t="n"/>
      <c r="G245" s="220">
        <f>SUM(C245)-SUM(D245)</f>
        <v/>
      </c>
      <c r="H245" s="220">
        <f>SUM(E245)-SUM(F245)</f>
        <v/>
      </c>
      <c r="I245" s="221">
        <f>IF(A245="Total",VLOOKUP(B245,CORRESPONDANCE[#All],2,FALSE),I246)</f>
        <v/>
      </c>
      <c r="J245" s="350">
        <f>LEFT(A245,1)</f>
        <v/>
      </c>
      <c r="K245" s="347">
        <f>"VICTOIRE"&amp;" - "&amp;A245</f>
        <v/>
      </c>
      <c r="L245" s="347">
        <f>+VLOOKUP(K245,TL[],4,FALSE)</f>
        <v/>
      </c>
    </row>
    <row r="246">
      <c r="C246" s="216" t="n"/>
      <c r="D246" s="216" t="n"/>
      <c r="E246" s="216" t="n"/>
      <c r="F246" s="216" t="n"/>
      <c r="G246" s="220">
        <f>SUM(C246)-SUM(D246)</f>
        <v/>
      </c>
      <c r="H246" s="220">
        <f>SUM(E246)-SUM(F246)</f>
        <v/>
      </c>
      <c r="I246" s="221">
        <f>IF(A246="Total",VLOOKUP(B246,CORRESPONDANCE[#All],2,FALSE),I247)</f>
        <v/>
      </c>
      <c r="J246" s="350">
        <f>LEFT(A246,1)</f>
        <v/>
      </c>
      <c r="K246" s="347">
        <f>"VICTOIRE"&amp;" - "&amp;A246</f>
        <v/>
      </c>
      <c r="L246" s="347">
        <f>+VLOOKUP(K246,TL[],4,FALSE)</f>
        <v/>
      </c>
    </row>
    <row r="247">
      <c r="C247" s="216" t="n"/>
      <c r="D247" s="216" t="n"/>
      <c r="E247" s="216" t="n"/>
      <c r="F247" s="216" t="n"/>
      <c r="G247" s="220">
        <f>SUM(C247)-SUM(D247)</f>
        <v/>
      </c>
      <c r="H247" s="220">
        <f>SUM(E247)-SUM(F247)</f>
        <v/>
      </c>
      <c r="I247" s="221">
        <f>IF(A247="Total",VLOOKUP(B247,CORRESPONDANCE[#All],2,FALSE),I248)</f>
        <v/>
      </c>
      <c r="J247" s="350">
        <f>LEFT(A247,1)</f>
        <v/>
      </c>
      <c r="K247" s="347">
        <f>"VICTOIRE"&amp;" - "&amp;A247</f>
        <v/>
      </c>
      <c r="L247" s="347">
        <f>+VLOOKUP(K247,TL[],4,FALSE)</f>
        <v/>
      </c>
    </row>
    <row r="248">
      <c r="C248" s="216" t="n"/>
      <c r="D248" s="216" t="n"/>
      <c r="E248" s="216" t="n"/>
      <c r="F248" s="216" t="n"/>
      <c r="G248" s="220">
        <f>SUM(C248)-SUM(D248)</f>
        <v/>
      </c>
      <c r="H248" s="220">
        <f>SUM(E248)-SUM(F248)</f>
        <v/>
      </c>
      <c r="I248" s="221">
        <f>IF(A248="Total",VLOOKUP(B248,CORRESPONDANCE[#All],2,FALSE),I249)</f>
        <v/>
      </c>
      <c r="J248" s="350">
        <f>LEFT(A248,1)</f>
        <v/>
      </c>
      <c r="K248" s="347">
        <f>"VICTOIRE"&amp;" - "&amp;A248</f>
        <v/>
      </c>
      <c r="L248" s="347">
        <f>+VLOOKUP(K248,TL[],4,FALSE)</f>
        <v/>
      </c>
    </row>
    <row r="249">
      <c r="C249" s="216" t="n"/>
      <c r="D249" s="216" t="n"/>
      <c r="E249" s="216" t="n"/>
      <c r="F249" s="216" t="n"/>
      <c r="G249" s="220">
        <f>SUM(C249)-SUM(D249)</f>
        <v/>
      </c>
      <c r="H249" s="220">
        <f>SUM(E249)-SUM(F249)</f>
        <v/>
      </c>
      <c r="I249" s="221">
        <f>IF(A249="Total",VLOOKUP(B249,CORRESPONDANCE[#All],2,FALSE),I250)</f>
        <v/>
      </c>
      <c r="J249" s="350">
        <f>LEFT(A249,1)</f>
        <v/>
      </c>
      <c r="K249" s="347">
        <f>"VICTOIRE"&amp;" - "&amp;A249</f>
        <v/>
      </c>
      <c r="L249" s="347">
        <f>+VLOOKUP(K249,TL[],4,FALSE)</f>
        <v/>
      </c>
    </row>
    <row r="250">
      <c r="C250" s="216" t="n"/>
      <c r="D250" s="216" t="n"/>
      <c r="E250" s="216" t="n"/>
      <c r="F250" s="216" t="n"/>
      <c r="G250" s="220" t="n"/>
      <c r="H250" s="220" t="n"/>
      <c r="I250" s="221" t="n"/>
      <c r="J250" s="350" t="n"/>
      <c r="K250" s="347">
        <f>"VICTOIRE"&amp;" - "&amp;A250</f>
        <v/>
      </c>
      <c r="L250" s="347">
        <f>+VLOOKUP(K250,TL[],4,FALSE)</f>
        <v/>
      </c>
    </row>
    <row r="251">
      <c r="C251" s="216" t="n"/>
      <c r="D251" s="216" t="n"/>
      <c r="E251" s="216" t="n"/>
      <c r="F251" s="216" t="n"/>
      <c r="G251" s="220" t="n"/>
      <c r="H251" s="220" t="n"/>
      <c r="I251" s="221" t="n"/>
      <c r="J251" s="350" t="n"/>
      <c r="K251" s="347">
        <f>"VICTOIRE"&amp;" - "&amp;A251</f>
        <v/>
      </c>
      <c r="L251" s="347">
        <f>+VLOOKUP(K251,TL[],4,FALSE)</f>
        <v/>
      </c>
    </row>
    <row r="252">
      <c r="C252" s="216" t="n"/>
      <c r="D252" s="216" t="n"/>
      <c r="E252" s="216" t="n"/>
      <c r="F252" s="216" t="n"/>
      <c r="G252" s="220" t="n"/>
      <c r="H252" s="220" t="n"/>
      <c r="I252" s="221" t="n"/>
      <c r="J252" s="350" t="n"/>
      <c r="K252" s="347">
        <f>"VICTOIRE"&amp;" - "&amp;A252</f>
        <v/>
      </c>
      <c r="L252" s="347">
        <f>+VLOOKUP(K252,TL[],4,FALSE)</f>
        <v/>
      </c>
    </row>
  </sheetData>
  <autoFilter ref="A1:L252"/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290"/>
  <sheetViews>
    <sheetView zoomScale="85" zoomScaleNormal="85" workbookViewId="0">
      <selection activeCell="A1" sqref="A1:F1048576"/>
    </sheetView>
  </sheetViews>
  <sheetFormatPr baseColWidth="10" defaultColWidth="11.5703125" defaultRowHeight="12.75"/>
  <cols>
    <col width="13.28515625" customWidth="1" style="223" min="7" max="8"/>
    <col width="11.7109375" bestFit="1" customWidth="1" style="224" min="9" max="9"/>
    <col width="11.5703125" customWidth="1" style="347" min="10" max="16384"/>
  </cols>
  <sheetData>
    <row r="1">
      <c r="A1" s="348" t="inlineStr">
        <is>
          <t>Compte</t>
        </is>
      </c>
      <c r="B1" s="348" t="inlineStr">
        <is>
          <t>Libellé</t>
        </is>
      </c>
      <c r="C1" s="348" t="inlineStr">
        <is>
          <t>Solde du 01/01/2025 au 31/01/2025 : Débit</t>
        </is>
      </c>
      <c r="D1" s="348" t="inlineStr">
        <is>
          <t>Solde du 01/01/2025 au 31/01/2025 : Crédit</t>
        </is>
      </c>
      <c r="E1" s="348" t="inlineStr">
        <is>
          <t>Solde du 01/01/2025 au 31/01/2025 : Débit</t>
        </is>
      </c>
      <c r="F1" s="348" t="inlineStr">
        <is>
          <t>Solde du 01/01/2025 au 31/01/2025 : Crédit</t>
        </is>
      </c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>
      <c r="A2" s="348" t="inlineStr">
        <is>
          <t>70100100</t>
        </is>
      </c>
      <c r="B2" s="348" t="inlineStr">
        <is>
          <t>Ventes non alimentaires</t>
        </is>
      </c>
      <c r="C2" s="348" t="n">
        <v>4773.92</v>
      </c>
      <c r="D2" s="348" t="inlineStr"/>
      <c r="E2" s="348" t="n">
        <v>4773.92</v>
      </c>
      <c r="F2" s="348" t="inlineStr"/>
      <c r="G2" s="220">
        <f>SUM(C2)-SUM(D2)</f>
        <v/>
      </c>
      <c r="H2" s="220">
        <f>SUM(E2)-SUM(F2)</f>
        <v/>
      </c>
      <c r="I2" s="221">
        <f>IF(A2="Total",VLOOKUP(B2,CORRESPONDANCE[#All],2,FALSE),I3)</f>
        <v/>
      </c>
      <c r="J2" s="350">
        <f>LEFT(A2,1)</f>
        <v/>
      </c>
      <c r="K2" s="347">
        <f>"TH4"&amp;" - "&amp;A2</f>
        <v/>
      </c>
      <c r="L2" s="347">
        <f>+VLOOKUP(K2,TL[],4,FALSE)</f>
        <v/>
      </c>
    </row>
    <row r="3">
      <c r="A3" s="348" t="inlineStr">
        <is>
          <t>70100200</t>
        </is>
      </c>
      <c r="B3" s="348" t="inlineStr">
        <is>
          <t>Ventes à 5.5 %</t>
        </is>
      </c>
      <c r="C3" s="348" t="inlineStr"/>
      <c r="D3" s="348" t="n">
        <v>1416.32</v>
      </c>
      <c r="E3" s="348" t="inlineStr"/>
      <c r="F3" s="348" t="n">
        <v>1416.32</v>
      </c>
      <c r="G3" s="220">
        <f>SUM(C3)-SUM(D3)</f>
        <v/>
      </c>
      <c r="H3" s="220">
        <f>SUM(E3)-SUM(F3)</f>
        <v/>
      </c>
      <c r="I3" s="221">
        <f>IF(A3="Total",VLOOKUP(B3,CORRESPONDANCE[#All],2,FALSE),I4)</f>
        <v/>
      </c>
      <c r="J3" s="350">
        <f>LEFT(A3,1)</f>
        <v/>
      </c>
      <c r="K3" s="347">
        <f>"TH4"&amp;" - "&amp;A3</f>
        <v/>
      </c>
      <c r="L3" s="347">
        <f>+VLOOKUP(K3,TL[],4,FALSE)</f>
        <v/>
      </c>
    </row>
    <row r="4">
      <c r="A4" s="348" t="inlineStr">
        <is>
          <t>70101000</t>
        </is>
      </c>
      <c r="B4" s="348" t="inlineStr">
        <is>
          <t>Ventes à 10 %</t>
        </is>
      </c>
      <c r="C4" s="348" t="inlineStr"/>
      <c r="D4" s="348" t="n">
        <v>354843.79</v>
      </c>
      <c r="E4" s="348" t="inlineStr"/>
      <c r="F4" s="348" t="n">
        <v>354843.79</v>
      </c>
      <c r="G4" s="220">
        <f>SUM(C4)-SUM(D4)</f>
        <v/>
      </c>
      <c r="H4" s="220">
        <f>SUM(E4)-SUM(F4)</f>
        <v/>
      </c>
      <c r="I4" s="221">
        <f>IF(A4="Total",VLOOKUP(B4,CORRESPONDANCE[#All],2,FALSE),I5)</f>
        <v/>
      </c>
      <c r="J4" s="350">
        <f>LEFT(A4,1)</f>
        <v/>
      </c>
      <c r="K4" s="347">
        <f>"TH4"&amp;" - "&amp;A4</f>
        <v/>
      </c>
      <c r="L4" s="347">
        <f>+VLOOKUP(K4,TL[],4,FALSE)</f>
        <v/>
      </c>
    </row>
    <row r="5">
      <c r="A5" s="348" t="inlineStr">
        <is>
          <t>70102000</t>
        </is>
      </c>
      <c r="B5" s="348" t="inlineStr">
        <is>
          <t>Ventes à 20 %</t>
        </is>
      </c>
      <c r="C5" s="348" t="inlineStr"/>
      <c r="D5" s="348" t="n">
        <v>641.27</v>
      </c>
      <c r="E5" s="348" t="inlineStr"/>
      <c r="F5" s="348" t="n">
        <v>641.27</v>
      </c>
      <c r="G5" s="220">
        <f>SUM(C5)-SUM(D5)</f>
        <v/>
      </c>
      <c r="H5" s="220">
        <f>SUM(E5)-SUM(F5)</f>
        <v/>
      </c>
      <c r="I5" s="221">
        <f>IF(A5="Total",VLOOKUP(B5,CORRESPONDANCE[#All],2,FALSE),I6)</f>
        <v/>
      </c>
      <c r="J5" s="350">
        <f>LEFT(A5,1)</f>
        <v/>
      </c>
      <c r="K5" s="347">
        <f>"TH4"&amp;" - "&amp;A5</f>
        <v/>
      </c>
      <c r="L5" s="347">
        <f>+VLOOKUP(K5,TL[],4,FALSE)</f>
        <v/>
      </c>
    </row>
    <row r="6">
      <c r="A6" s="348" t="inlineStr">
        <is>
          <t>Total</t>
        </is>
      </c>
      <c r="B6" s="348" t="inlineStr">
        <is>
          <t>Table n°2  -  Ventes produits alimentaires</t>
        </is>
      </c>
      <c r="C6" s="348" t="inlineStr"/>
      <c r="D6" s="348" t="n">
        <v>352127.46</v>
      </c>
      <c r="E6" s="348" t="inlineStr"/>
      <c r="F6" s="348" t="n">
        <v>352127.46</v>
      </c>
      <c r="G6" s="220">
        <f>SUM(C6)-SUM(D6)</f>
        <v/>
      </c>
      <c r="H6" s="220">
        <f>SUM(E6)-SUM(F6)</f>
        <v/>
      </c>
      <c r="I6" s="221">
        <f>IF(A6="Total",VLOOKUP(B6,CORRESPONDANCE[#All],2,FALSE),I7)</f>
        <v/>
      </c>
      <c r="J6" s="350">
        <f>LEFT(A6,1)</f>
        <v/>
      </c>
      <c r="K6" s="347">
        <f>"TH4"&amp;" - "&amp;A6</f>
        <v/>
      </c>
      <c r="L6" s="347">
        <f>+VLOOKUP(K6,TL[],4,FALSE)</f>
        <v/>
      </c>
    </row>
    <row r="7">
      <c r="A7" s="348" t="inlineStr">
        <is>
          <t>60110000</t>
        </is>
      </c>
      <c r="B7" s="348" t="inlineStr">
        <is>
          <t>Achats nourriture</t>
        </is>
      </c>
      <c r="C7" s="348" t="n">
        <v>79610.99000000001</v>
      </c>
      <c r="D7" s="348" t="inlineStr"/>
      <c r="E7" s="348" t="n">
        <v>79610.99000000001</v>
      </c>
      <c r="F7" s="348" t="inlineStr"/>
      <c r="G7" s="220">
        <f>SUM(C7)-SUM(D7)</f>
        <v/>
      </c>
      <c r="H7" s="220">
        <f>SUM(E7)-SUM(F7)</f>
        <v/>
      </c>
      <c r="I7" s="221">
        <f>IF(A7="Total",VLOOKUP(B7,CORRESPONDANCE[#All],2,FALSE),I8)</f>
        <v/>
      </c>
      <c r="J7" s="350">
        <f>LEFT(A7,1)</f>
        <v/>
      </c>
      <c r="K7" s="347">
        <f>"TH4"&amp;" - "&amp;A7</f>
        <v/>
      </c>
      <c r="L7" s="347">
        <f>+VLOOKUP(K7,TL[],4,FALSE)</f>
        <v/>
      </c>
    </row>
    <row r="8">
      <c r="A8" s="348" t="inlineStr">
        <is>
          <t>60310000</t>
        </is>
      </c>
      <c r="B8" s="348" t="inlineStr">
        <is>
          <t>Variat. stocks food</t>
        </is>
      </c>
      <c r="C8" s="348" t="n">
        <v>1574.6</v>
      </c>
      <c r="D8" s="348" t="inlineStr"/>
      <c r="E8" s="348" t="n">
        <v>1574.6</v>
      </c>
      <c r="F8" s="348" t="inlineStr"/>
      <c r="G8" s="220">
        <f>SUM(C8)-SUM(D8)</f>
        <v/>
      </c>
      <c r="H8" s="220">
        <f>SUM(E8)-SUM(F8)</f>
        <v/>
      </c>
      <c r="I8" s="221">
        <f>IF(A8="Total",VLOOKUP(B8,CORRESPONDANCE[#All],2,FALSE),I9)</f>
        <v/>
      </c>
      <c r="J8" s="350">
        <f>LEFT(A8,1)</f>
        <v/>
      </c>
      <c r="K8" s="347">
        <f>"TH4"&amp;" - "&amp;A8</f>
        <v/>
      </c>
      <c r="L8" s="347">
        <f>+VLOOKUP(K8,TL[],4,FALSE)</f>
        <v/>
      </c>
    </row>
    <row r="9">
      <c r="A9" s="348" t="inlineStr">
        <is>
          <t>63555000</t>
        </is>
      </c>
      <c r="B9" s="348" t="inlineStr">
        <is>
          <t>Contribution sur boissons sucrées</t>
        </is>
      </c>
      <c r="C9" s="348" t="n">
        <v>1206</v>
      </c>
      <c r="D9" s="348" t="inlineStr"/>
      <c r="E9" s="348" t="n">
        <v>1206</v>
      </c>
      <c r="F9" s="348" t="inlineStr"/>
      <c r="G9" s="220">
        <f>SUM(C9)-SUM(D9)</f>
        <v/>
      </c>
      <c r="H9" s="220">
        <f>SUM(E9)-SUM(F9)</f>
        <v/>
      </c>
      <c r="I9" s="221">
        <f>IF(A9="Total",VLOOKUP(B9,CORRESPONDANCE[#All],2,FALSE),I10)</f>
        <v/>
      </c>
      <c r="J9" s="350">
        <f>LEFT(A9,1)</f>
        <v/>
      </c>
      <c r="K9" s="347">
        <f>"TH4"&amp;" - "&amp;A9</f>
        <v/>
      </c>
      <c r="L9" s="347">
        <f>+VLOOKUP(K9,TL[],4,FALSE)</f>
        <v/>
      </c>
    </row>
    <row r="10">
      <c r="A10" s="348" t="inlineStr">
        <is>
          <t>70800000</t>
        </is>
      </c>
      <c r="B10" s="348" t="inlineStr">
        <is>
          <t>Remise Martin Brower</t>
        </is>
      </c>
      <c r="C10" s="348" t="inlineStr"/>
      <c r="D10" s="348" t="n">
        <v>3023.38</v>
      </c>
      <c r="E10" s="348" t="inlineStr"/>
      <c r="F10" s="348" t="n">
        <v>3023.38</v>
      </c>
      <c r="G10" s="220">
        <f>SUM(C10)-SUM(D10)</f>
        <v/>
      </c>
      <c r="H10" s="220">
        <f>SUM(E10)-SUM(F10)</f>
        <v/>
      </c>
      <c r="I10" s="221">
        <f>IF(A10="Total",VLOOKUP(B10,CORRESPONDANCE[#All],2,FALSE),I11)</f>
        <v/>
      </c>
      <c r="J10" s="350">
        <f>LEFT(A10,1)</f>
        <v/>
      </c>
      <c r="K10" s="347">
        <f>"TH4"&amp;" - "&amp;A10</f>
        <v/>
      </c>
      <c r="L10" s="347">
        <f>+VLOOKUP(K10,TL[],4,FALSE)</f>
        <v/>
      </c>
    </row>
    <row r="11">
      <c r="A11" s="348" t="inlineStr">
        <is>
          <t>Total</t>
        </is>
      </c>
      <c r="B11" s="348" t="inlineStr">
        <is>
          <t>Table n°2  -  Coût nourriture : achat nourriture</t>
        </is>
      </c>
      <c r="C11" s="348" t="n">
        <v>79368.21000000001</v>
      </c>
      <c r="D11" s="348" t="inlineStr"/>
      <c r="E11" s="348" t="n">
        <v>79368.21000000001</v>
      </c>
      <c r="F11" s="348" t="inlineStr"/>
      <c r="G11" s="220">
        <f>SUM(C11)-SUM(D11)</f>
        <v/>
      </c>
      <c r="H11" s="220">
        <f>SUM(E11)-SUM(F11)</f>
        <v/>
      </c>
      <c r="I11" s="221">
        <f>IF(A11="Total",VLOOKUP(B11,CORRESPONDANCE[#All],2,FALSE),I12)</f>
        <v/>
      </c>
      <c r="J11" s="350">
        <f>LEFT(A11,1)</f>
        <v/>
      </c>
      <c r="K11" s="347">
        <f>"TH4"&amp;" - "&amp;A11</f>
        <v/>
      </c>
      <c r="L11" s="347">
        <f>+VLOOKUP(K11,TL[],4,FALSE)</f>
        <v/>
      </c>
    </row>
    <row r="12">
      <c r="A12" s="348" t="inlineStr">
        <is>
          <t>60110300</t>
        </is>
      </c>
      <c r="B12" s="348" t="inlineStr">
        <is>
          <t>Repas employes</t>
        </is>
      </c>
      <c r="C12" s="348" t="n">
        <v>1708.71</v>
      </c>
      <c r="D12" s="348" t="inlineStr"/>
      <c r="E12" s="348" t="n">
        <v>1708.71</v>
      </c>
      <c r="F12" s="348" t="inlineStr"/>
      <c r="G12" s="220">
        <f>SUM(C12)-SUM(D12)</f>
        <v/>
      </c>
      <c r="H12" s="220">
        <f>SUM(E12)-SUM(F12)</f>
        <v/>
      </c>
      <c r="I12" s="221">
        <f>IF(A12="Total",VLOOKUP(B12,CORRESPONDANCE[#All],2,FALSE),I13)</f>
        <v/>
      </c>
      <c r="J12" s="350">
        <f>LEFT(A12,1)</f>
        <v/>
      </c>
      <c r="K12" s="347">
        <f>"TH4"&amp;" - "&amp;A12</f>
        <v/>
      </c>
      <c r="L12" s="347">
        <f>+VLOOKUP(K12,TL[],4,FALSE)</f>
        <v/>
      </c>
    </row>
    <row r="13">
      <c r="A13" s="348" t="inlineStr">
        <is>
          <t>Total</t>
        </is>
      </c>
      <c r="B13" s="348" t="inlineStr">
        <is>
          <t>Table n°2  -  Repas employés</t>
        </is>
      </c>
      <c r="C13" s="348" t="n">
        <v>1708.71</v>
      </c>
      <c r="D13" s="348" t="inlineStr"/>
      <c r="E13" s="348" t="n">
        <v>1708.71</v>
      </c>
      <c r="F13" s="348" t="inlineStr"/>
      <c r="G13" s="220">
        <f>SUM(C13)-SUM(D13)</f>
        <v/>
      </c>
      <c r="H13" s="220">
        <f>SUM(E13)-SUM(F13)</f>
        <v/>
      </c>
      <c r="I13" s="221">
        <f>IF(A13="Total",VLOOKUP(B13,CORRESPONDANCE[#All],2,FALSE),I14)</f>
        <v/>
      </c>
      <c r="J13" s="350">
        <f>LEFT(A13,1)</f>
        <v/>
      </c>
      <c r="K13" s="347">
        <f>"TH4"&amp;" - "&amp;A13</f>
        <v/>
      </c>
      <c r="L13" s="347">
        <f>+VLOOKUP(K13,TL[],4,FALSE)</f>
        <v/>
      </c>
    </row>
    <row r="14">
      <c r="A14" s="348" t="inlineStr">
        <is>
          <t>60110200</t>
        </is>
      </c>
      <c r="B14" s="348" t="inlineStr">
        <is>
          <t>Dechets</t>
        </is>
      </c>
      <c r="C14" s="348" t="n">
        <v>2849.78</v>
      </c>
      <c r="D14" s="348" t="inlineStr"/>
      <c r="E14" s="348" t="n">
        <v>2849.78</v>
      </c>
      <c r="F14" s="348" t="inlineStr"/>
      <c r="G14" s="220">
        <f>SUM(C14)-SUM(D14)</f>
        <v/>
      </c>
      <c r="H14" s="220">
        <f>SUM(E14)-SUM(F14)</f>
        <v/>
      </c>
      <c r="I14" s="221">
        <f>IF(A14="Total",VLOOKUP(B14,CORRESPONDANCE[#All],2,FALSE),I15)</f>
        <v/>
      </c>
      <c r="J14" s="350">
        <f>LEFT(A14,1)</f>
        <v/>
      </c>
      <c r="K14" s="347">
        <f>"TH4"&amp;" - "&amp;A14</f>
        <v/>
      </c>
      <c r="L14" s="347">
        <f>+VLOOKUP(K14,TL[],4,FALSE)</f>
        <v/>
      </c>
    </row>
    <row r="15">
      <c r="A15" s="348" t="inlineStr">
        <is>
          <t>Total</t>
        </is>
      </c>
      <c r="B15" s="348" t="inlineStr">
        <is>
          <t>Table n°2  -  Déchets Pertes</t>
        </is>
      </c>
      <c r="C15" s="348" t="n">
        <v>2849.78</v>
      </c>
      <c r="D15" s="348" t="inlineStr"/>
      <c r="E15" s="348" t="n">
        <v>2849.78</v>
      </c>
      <c r="F15" s="348" t="inlineStr"/>
      <c r="G15" s="220">
        <f>SUM(C15)-SUM(D15)</f>
        <v/>
      </c>
      <c r="H15" s="220">
        <f>SUM(E15)-SUM(F15)</f>
        <v/>
      </c>
      <c r="I15" s="221">
        <f>IF(A15="Total",VLOOKUP(B15,CORRESPONDANCE[#All],2,FALSE),I16)</f>
        <v/>
      </c>
      <c r="J15" s="350">
        <f>LEFT(A15,1)</f>
        <v/>
      </c>
      <c r="K15" s="347">
        <f>"TH4"&amp;" - "&amp;A15</f>
        <v/>
      </c>
      <c r="L15" s="347">
        <f>+VLOOKUP(K15,TL[],4,FALSE)</f>
        <v/>
      </c>
    </row>
    <row r="16">
      <c r="A16" s="348" t="inlineStr">
        <is>
          <t>60220100</t>
        </is>
      </c>
      <c r="B16" s="348" t="inlineStr">
        <is>
          <t>Achat emballage</t>
        </is>
      </c>
      <c r="C16" s="348" t="n">
        <v>8222.219999999999</v>
      </c>
      <c r="D16" s="348" t="inlineStr"/>
      <c r="E16" s="348" t="n">
        <v>8222.219999999999</v>
      </c>
      <c r="F16" s="348" t="inlineStr"/>
      <c r="G16" s="220">
        <f>SUM(C16)-SUM(D16)</f>
        <v/>
      </c>
      <c r="H16" s="220">
        <f>SUM(E16)-SUM(F16)</f>
        <v/>
      </c>
      <c r="I16" s="221">
        <f>IF(A16="Total",VLOOKUP(B16,CORRESPONDANCE[#All],2,FALSE),I17)</f>
        <v/>
      </c>
      <c r="J16" s="350">
        <f>LEFT(A16,1)</f>
        <v/>
      </c>
      <c r="K16" s="347">
        <f>"TH4"&amp;" - "&amp;A16</f>
        <v/>
      </c>
      <c r="L16" s="347">
        <f>+VLOOKUP(K16,TL[],4,FALSE)</f>
        <v/>
      </c>
    </row>
    <row r="17">
      <c r="A17" s="348" t="inlineStr">
        <is>
          <t>60261000</t>
        </is>
      </c>
      <c r="B17" s="348" t="inlineStr">
        <is>
          <t>Cartons collecte</t>
        </is>
      </c>
      <c r="C17" s="348" t="n">
        <v>153.93</v>
      </c>
      <c r="D17" s="348" t="inlineStr"/>
      <c r="E17" s="348" t="n">
        <v>153.93</v>
      </c>
      <c r="F17" s="348" t="inlineStr"/>
      <c r="G17" s="220">
        <f>SUM(C17)-SUM(D17)</f>
        <v/>
      </c>
      <c r="H17" s="220">
        <f>SUM(E17)-SUM(F17)</f>
        <v/>
      </c>
      <c r="I17" s="221">
        <f>IF(A17="Total",VLOOKUP(B17,CORRESPONDANCE[#All],2,FALSE),I18)</f>
        <v/>
      </c>
      <c r="J17" s="350">
        <f>LEFT(A17,1)</f>
        <v/>
      </c>
      <c r="K17" s="347">
        <f>"TH4"&amp;" - "&amp;A17</f>
        <v/>
      </c>
      <c r="L17" s="347">
        <f>+VLOOKUP(K17,TL[],4,FALSE)</f>
        <v/>
      </c>
    </row>
    <row r="18">
      <c r="A18" s="348" t="inlineStr">
        <is>
          <t>60320000</t>
        </is>
      </c>
      <c r="B18" s="348" t="inlineStr">
        <is>
          <t>Variat. stocks paper</t>
        </is>
      </c>
      <c r="C18" s="348" t="inlineStr"/>
      <c r="D18" s="348" t="n">
        <v>195.25</v>
      </c>
      <c r="E18" s="348" t="inlineStr"/>
      <c r="F18" s="348" t="n">
        <v>195.25</v>
      </c>
      <c r="G18" s="220">
        <f>SUM(C18)-SUM(D18)</f>
        <v/>
      </c>
      <c r="H18" s="220">
        <f>SUM(E18)-SUM(F18)</f>
        <v/>
      </c>
      <c r="I18" s="221">
        <f>IF(A18="Total",VLOOKUP(B18,CORRESPONDANCE[#All],2,FALSE),I19)</f>
        <v/>
      </c>
      <c r="J18" s="350">
        <f>LEFT(A18,1)</f>
        <v/>
      </c>
      <c r="K18" s="347">
        <f>"TH4"&amp;" - "&amp;A18</f>
        <v/>
      </c>
      <c r="L18" s="347">
        <f>+VLOOKUP(K18,TL[],4,FALSE)</f>
        <v/>
      </c>
    </row>
    <row r="19">
      <c r="A19" s="348" t="inlineStr">
        <is>
          <t>Total</t>
        </is>
      </c>
      <c r="B19" s="348" t="inlineStr">
        <is>
          <t>Table n°2  -  Coût emballages</t>
        </is>
      </c>
      <c r="C19" s="348" t="n">
        <v>8180.9</v>
      </c>
      <c r="D19" s="348" t="inlineStr"/>
      <c r="E19" s="348" t="n">
        <v>8180.9</v>
      </c>
      <c r="F19" s="348" t="inlineStr"/>
      <c r="G19" s="220">
        <f>SUM(C19)-SUM(D19)</f>
        <v/>
      </c>
      <c r="H19" s="220">
        <f>SUM(E19)-SUM(F19)</f>
        <v/>
      </c>
      <c r="I19" s="221">
        <f>IF(A19="Total",VLOOKUP(B19,CORRESPONDANCE[#All],2,FALSE),I20)</f>
        <v/>
      </c>
      <c r="J19" s="350">
        <f>LEFT(A19,1)</f>
        <v/>
      </c>
      <c r="K19" s="347">
        <f>"TH4"&amp;" - "&amp;A19</f>
        <v/>
      </c>
      <c r="L19" s="347">
        <f>+VLOOKUP(K19,TL[],4,FALSE)</f>
        <v/>
      </c>
    </row>
    <row r="20">
      <c r="A20" s="348" t="inlineStr">
        <is>
          <t>60261200</t>
        </is>
      </c>
      <c r="B20" s="348" t="inlineStr">
        <is>
          <t>Vaisselle Re-Use</t>
        </is>
      </c>
      <c r="C20" s="348" t="n">
        <v>2229.29</v>
      </c>
      <c r="D20" s="348" t="inlineStr"/>
      <c r="E20" s="348" t="n">
        <v>2229.29</v>
      </c>
      <c r="F20" s="348" t="inlineStr"/>
      <c r="G20" s="220">
        <f>SUM(C20)-SUM(D20)</f>
        <v/>
      </c>
      <c r="H20" s="220">
        <f>SUM(E20)-SUM(F20)</f>
        <v/>
      </c>
      <c r="I20" s="221">
        <f>IF(A20="Total",VLOOKUP(B20,CORRESPONDANCE[#All],2,FALSE),I21)</f>
        <v/>
      </c>
      <c r="J20" s="350">
        <f>LEFT(A20,1)</f>
        <v/>
      </c>
      <c r="K20" s="347">
        <f>"TH4"&amp;" - "&amp;A20</f>
        <v/>
      </c>
      <c r="L20" s="347">
        <f>+VLOOKUP(K20,TL[],4,FALSE)</f>
        <v/>
      </c>
    </row>
    <row r="21">
      <c r="A21" s="348" t="inlineStr">
        <is>
          <t>60321000</t>
        </is>
      </c>
      <c r="B21" s="348" t="inlineStr">
        <is>
          <t>Variat. stock vaisselle reuse</t>
        </is>
      </c>
      <c r="C21" s="348" t="inlineStr"/>
      <c r="D21" s="348" t="n">
        <v>1276.86</v>
      </c>
      <c r="E21" s="348" t="inlineStr"/>
      <c r="F21" s="348" t="n">
        <v>1276.86</v>
      </c>
      <c r="G21" s="220">
        <f>SUM(C21)-SUM(D21)</f>
        <v/>
      </c>
      <c r="H21" s="220">
        <f>SUM(E21)-SUM(F21)</f>
        <v/>
      </c>
      <c r="I21" s="221">
        <f>IF(A21="Total",VLOOKUP(B21,CORRESPONDANCE[#All],2,FALSE),I22)</f>
        <v/>
      </c>
      <c r="J21" s="350">
        <f>LEFT(A21,1)</f>
        <v/>
      </c>
      <c r="K21" s="347">
        <f>"TH4"&amp;" - "&amp;A21</f>
        <v/>
      </c>
      <c r="L21" s="347">
        <f>+VLOOKUP(K21,TL[],4,FALSE)</f>
        <v/>
      </c>
    </row>
    <row r="22">
      <c r="A22" s="348" t="inlineStr">
        <is>
          <t>Total</t>
        </is>
      </c>
      <c r="B22" s="348" t="inlineStr">
        <is>
          <t>Table n°2  -  Vaisselle réutilisable</t>
        </is>
      </c>
      <c r="C22" s="348" t="n">
        <v>952.4299999999999</v>
      </c>
      <c r="D22" s="348" t="inlineStr"/>
      <c r="E22" s="348" t="n">
        <v>952.4299999999999</v>
      </c>
      <c r="F22" s="348" t="inlineStr"/>
      <c r="G22" s="220">
        <f>SUM(C22)-SUM(D22)</f>
        <v/>
      </c>
      <c r="H22" s="220">
        <f>SUM(E22)-SUM(F22)</f>
        <v/>
      </c>
      <c r="I22" s="221">
        <f>IF(A22="Total",VLOOKUP(B22,CORRESPONDANCE[#All],2,FALSE),I23)</f>
        <v/>
      </c>
      <c r="J22" s="350">
        <f>LEFT(A22,1)</f>
        <v/>
      </c>
      <c r="K22" s="347">
        <f>"TH4"&amp;" - "&amp;A22</f>
        <v/>
      </c>
      <c r="L22" s="347">
        <f>+VLOOKUP(K22,TL[],4,FALSE)</f>
        <v/>
      </c>
    </row>
    <row r="23">
      <c r="A23" s="348" t="inlineStr">
        <is>
          <t>62140100</t>
        </is>
      </c>
      <c r="B23" s="348" t="inlineStr">
        <is>
          <t>Personnel prêt d'équipiers</t>
        </is>
      </c>
      <c r="C23" s="348" t="n">
        <v>144.77</v>
      </c>
      <c r="D23" s="348" t="inlineStr"/>
      <c r="E23" s="348" t="n">
        <v>144.77</v>
      </c>
      <c r="F23" s="348" t="inlineStr"/>
      <c r="G23" s="220">
        <f>SUM(C23)-SUM(D23)</f>
        <v/>
      </c>
      <c r="H23" s="220">
        <f>SUM(E23)-SUM(F23)</f>
        <v/>
      </c>
      <c r="I23" s="221">
        <f>IF(A23="Total",VLOOKUP(B23,CORRESPONDANCE[#All],2,FALSE),I24)</f>
        <v/>
      </c>
      <c r="J23" s="350">
        <f>LEFT(A23,1)</f>
        <v/>
      </c>
      <c r="K23" s="347">
        <f>"TH4"&amp;" - "&amp;A23</f>
        <v/>
      </c>
      <c r="L23" s="347">
        <f>+VLOOKUP(K23,TL[],4,FALSE)</f>
        <v/>
      </c>
    </row>
    <row r="24">
      <c r="A24" s="348" t="inlineStr">
        <is>
          <t>64110100</t>
        </is>
      </c>
      <c r="B24" s="348" t="inlineStr">
        <is>
          <t>Salaires équipiers</t>
        </is>
      </c>
      <c r="C24" s="348" t="n">
        <v>57154.55</v>
      </c>
      <c r="D24" s="348" t="inlineStr"/>
      <c r="E24" s="348" t="n">
        <v>57154.55</v>
      </c>
      <c r="F24" s="348" t="inlineStr"/>
      <c r="G24" s="220">
        <f>SUM(C24)-SUM(D24)</f>
        <v/>
      </c>
      <c r="H24" s="220">
        <f>SUM(E24)-SUM(F24)</f>
        <v/>
      </c>
      <c r="I24" s="221">
        <f>IF(A24="Total",VLOOKUP(B24,CORRESPONDANCE[#All],2,FALSE),I25)</f>
        <v/>
      </c>
      <c r="J24" s="350">
        <f>LEFT(A24,1)</f>
        <v/>
      </c>
      <c r="K24" s="347">
        <f>"TH4"&amp;" - "&amp;A24</f>
        <v/>
      </c>
      <c r="L24" s="347">
        <f>+VLOOKUP(K24,TL[],4,FALSE)</f>
        <v/>
      </c>
    </row>
    <row r="25">
      <c r="A25" s="348" t="inlineStr">
        <is>
          <t>64123000</t>
        </is>
      </c>
      <c r="B25" s="348" t="inlineStr">
        <is>
          <t>Prov cp équipiers</t>
        </is>
      </c>
      <c r="C25" s="348" t="n">
        <v>1412.81</v>
      </c>
      <c r="D25" s="348" t="inlineStr"/>
      <c r="E25" s="348" t="n">
        <v>1412.81</v>
      </c>
      <c r="F25" s="348" t="inlineStr"/>
      <c r="G25" s="220">
        <f>SUM(C25)-SUM(D25)</f>
        <v/>
      </c>
      <c r="H25" s="220">
        <f>SUM(E25)-SUM(F25)</f>
        <v/>
      </c>
      <c r="I25" s="221">
        <f>IF(A25="Total",VLOOKUP(B25,CORRESPONDANCE[#All],2,FALSE),I26)</f>
        <v/>
      </c>
      <c r="J25" s="350">
        <f>LEFT(A25,1)</f>
        <v/>
      </c>
      <c r="K25" s="347">
        <f>"TH4"&amp;" - "&amp;A25</f>
        <v/>
      </c>
      <c r="L25" s="347">
        <f>+VLOOKUP(K25,TL[],4,FALSE)</f>
        <v/>
      </c>
    </row>
    <row r="26">
      <c r="A26" s="348" t="inlineStr">
        <is>
          <t>64140100</t>
        </is>
      </c>
      <c r="B26" s="348" t="inlineStr">
        <is>
          <t>Avantages en nature équipiers</t>
        </is>
      </c>
      <c r="C26" s="348" t="n">
        <v>2743</v>
      </c>
      <c r="D26" s="348" t="inlineStr"/>
      <c r="E26" s="348" t="n">
        <v>2743</v>
      </c>
      <c r="F26" s="348" t="inlineStr"/>
      <c r="G26" s="220">
        <f>SUM(C26)-SUM(D26)</f>
        <v/>
      </c>
      <c r="H26" s="220">
        <f>SUM(E26)-SUM(F26)</f>
        <v/>
      </c>
      <c r="I26" s="221">
        <f>IF(A26="Total",VLOOKUP(B26,CORRESPONDANCE[#All],2,FALSE),I27)</f>
        <v/>
      </c>
      <c r="J26" s="350">
        <f>LEFT(A26,1)</f>
        <v/>
      </c>
      <c r="K26" s="347">
        <f>"TH4"&amp;" - "&amp;A26</f>
        <v/>
      </c>
      <c r="L26" s="347">
        <f>+VLOOKUP(K26,TL[],4,FALSE)</f>
        <v/>
      </c>
    </row>
    <row r="27">
      <c r="A27" s="348" t="inlineStr">
        <is>
          <t>64141100</t>
        </is>
      </c>
      <c r="B27" s="348" t="inlineStr">
        <is>
          <t>Ind. blanch équipiers</t>
        </is>
      </c>
      <c r="C27" s="348" t="n">
        <v>666.76</v>
      </c>
      <c r="D27" s="348" t="inlineStr"/>
      <c r="E27" s="348" t="n">
        <v>666.76</v>
      </c>
      <c r="F27" s="348" t="inlineStr"/>
      <c r="G27" s="220">
        <f>SUM(C27)-SUM(D27)</f>
        <v/>
      </c>
      <c r="H27" s="220">
        <f>SUM(E27)-SUM(F27)</f>
        <v/>
      </c>
      <c r="I27" s="221">
        <f>IF(A27="Total",VLOOKUP(B27,CORRESPONDANCE[#All],2,FALSE),I28)</f>
        <v/>
      </c>
      <c r="J27" s="350">
        <f>LEFT(A27,1)</f>
        <v/>
      </c>
      <c r="K27" s="347">
        <f>"TH4"&amp;" - "&amp;A27</f>
        <v/>
      </c>
      <c r="L27" s="347">
        <f>+VLOOKUP(K27,TL[],4,FALSE)</f>
        <v/>
      </c>
    </row>
    <row r="28">
      <c r="A28" s="348" t="inlineStr">
        <is>
          <t>79110100</t>
        </is>
      </c>
      <c r="B28" s="348" t="inlineStr">
        <is>
          <t>Avantages en nature equipiers</t>
        </is>
      </c>
      <c r="C28" s="348" t="inlineStr"/>
      <c r="D28" s="348" t="n">
        <v>2743</v>
      </c>
      <c r="E28" s="348" t="inlineStr"/>
      <c r="F28" s="348" t="n">
        <v>2743</v>
      </c>
      <c r="G28" s="220">
        <f>SUM(C28)-SUM(D28)</f>
        <v/>
      </c>
      <c r="H28" s="220">
        <f>SUM(E28)-SUM(F28)</f>
        <v/>
      </c>
      <c r="I28" s="221">
        <f>IF(A28="Total",VLOOKUP(B28,CORRESPONDANCE[#All],2,FALSE),I29)</f>
        <v/>
      </c>
      <c r="J28" s="350">
        <f>LEFT(A28,1)</f>
        <v/>
      </c>
      <c r="K28" s="347">
        <f>"TH4"&amp;" - "&amp;A28</f>
        <v/>
      </c>
      <c r="L28" s="347">
        <f>+VLOOKUP(K28,TL[],4,FALSE)</f>
        <v/>
      </c>
    </row>
    <row r="29">
      <c r="A29" s="348" t="inlineStr">
        <is>
          <t>Total</t>
        </is>
      </c>
      <c r="B29" s="348" t="inlineStr">
        <is>
          <t>Table n°2  -  Main d'œuvre brute équipiers</t>
        </is>
      </c>
      <c r="C29" s="348" t="n">
        <v>59378.89</v>
      </c>
      <c r="D29" s="348" t="inlineStr"/>
      <c r="E29" s="348" t="n">
        <v>59378.89</v>
      </c>
      <c r="F29" s="348" t="inlineStr"/>
      <c r="G29" s="220">
        <f>SUM(C29)-SUM(D29)</f>
        <v/>
      </c>
      <c r="H29" s="220">
        <f>SUM(E29)-SUM(F29)</f>
        <v/>
      </c>
      <c r="I29" s="221">
        <f>IF(A29="Total",VLOOKUP(B29,CORRESPONDANCE[#All],2,FALSE),I30)</f>
        <v/>
      </c>
      <c r="J29" s="350">
        <f>LEFT(A29,1)</f>
        <v/>
      </c>
      <c r="K29" s="347">
        <f>"TH4"&amp;" - "&amp;A29</f>
        <v/>
      </c>
      <c r="L29" s="347">
        <f>+VLOOKUP(K29,TL[],4,FALSE)</f>
        <v/>
      </c>
    </row>
    <row r="30">
      <c r="A30" s="348" t="inlineStr">
        <is>
          <t>62142100</t>
        </is>
      </c>
      <c r="B30" s="348" t="inlineStr">
        <is>
          <t>Personnel prêt équip. charges</t>
        </is>
      </c>
      <c r="C30" s="348" t="n">
        <v>23.79</v>
      </c>
      <c r="D30" s="348" t="inlineStr"/>
      <c r="E30" s="348" t="n">
        <v>23.79</v>
      </c>
      <c r="F30" s="348" t="inlineStr"/>
      <c r="G30" s="220">
        <f>SUM(C30)-SUM(D30)</f>
        <v/>
      </c>
      <c r="H30" s="220">
        <f>SUM(E30)-SUM(F30)</f>
        <v/>
      </c>
      <c r="I30" s="221">
        <f>IF(A30="Total",VLOOKUP(B30,CORRESPONDANCE[#All],2,FALSE),I31)</f>
        <v/>
      </c>
      <c r="J30" s="350">
        <f>LEFT(A30,1)</f>
        <v/>
      </c>
      <c r="K30" s="347">
        <f>"TH4"&amp;" - "&amp;A30</f>
        <v/>
      </c>
      <c r="L30" s="347">
        <f>+VLOOKUP(K30,TL[],4,FALSE)</f>
        <v/>
      </c>
    </row>
    <row r="31">
      <c r="A31" s="348" t="inlineStr">
        <is>
          <t>64504100</t>
        </is>
      </c>
      <c r="B31" s="348" t="inlineStr">
        <is>
          <t>Mutuelle equipiers</t>
        </is>
      </c>
      <c r="C31" s="348" t="n">
        <v>336.93</v>
      </c>
      <c r="D31" s="348" t="inlineStr"/>
      <c r="E31" s="348" t="n">
        <v>336.93</v>
      </c>
      <c r="F31" s="348" t="inlineStr"/>
      <c r="G31" s="220">
        <f>SUM(C31)-SUM(D31)</f>
        <v/>
      </c>
      <c r="H31" s="220">
        <f>SUM(E31)-SUM(F31)</f>
        <v/>
      </c>
      <c r="I31" s="221">
        <f>IF(A31="Total",VLOOKUP(B31,CORRESPONDANCE[#All],2,FALSE),I32)</f>
        <v/>
      </c>
      <c r="J31" s="350">
        <f>LEFT(A31,1)</f>
        <v/>
      </c>
      <c r="K31" s="347">
        <f>"TH4"&amp;" - "&amp;A31</f>
        <v/>
      </c>
      <c r="L31" s="347">
        <f>+VLOOKUP(K31,TL[],4,FALSE)</f>
        <v/>
      </c>
    </row>
    <row r="32">
      <c r="A32" s="348" t="inlineStr">
        <is>
          <t>64510100</t>
        </is>
      </c>
      <c r="B32" s="348" t="inlineStr">
        <is>
          <t>Urssaf équipiers</t>
        </is>
      </c>
      <c r="C32" s="348" t="n">
        <v>3060.04</v>
      </c>
      <c r="D32" s="348" t="inlineStr"/>
      <c r="E32" s="348" t="n">
        <v>3060.04</v>
      </c>
      <c r="F32" s="348" t="inlineStr"/>
      <c r="G32" s="220">
        <f>SUM(C32)-SUM(D32)</f>
        <v/>
      </c>
      <c r="H32" s="220">
        <f>SUM(E32)-SUM(F32)</f>
        <v/>
      </c>
      <c r="I32" s="221">
        <f>IF(A32="Total",VLOOKUP(B32,CORRESPONDANCE[#All],2,FALSE),I33)</f>
        <v/>
      </c>
      <c r="J32" s="350">
        <f>LEFT(A32,1)</f>
        <v/>
      </c>
      <c r="K32" s="347">
        <f>"TH4"&amp;" - "&amp;A32</f>
        <v/>
      </c>
      <c r="L32" s="347">
        <f>+VLOOKUP(K32,TL[],4,FALSE)</f>
        <v/>
      </c>
    </row>
    <row r="33">
      <c r="A33" s="348" t="inlineStr">
        <is>
          <t>64530100</t>
        </is>
      </c>
      <c r="B33" s="348" t="inlineStr">
        <is>
          <t>Retraite et prév équipiers</t>
        </is>
      </c>
      <c r="C33" s="348" t="n">
        <v>1309.53</v>
      </c>
      <c r="D33" s="348" t="inlineStr"/>
      <c r="E33" s="348" t="n">
        <v>1309.53</v>
      </c>
      <c r="F33" s="348" t="inlineStr"/>
      <c r="G33" s="220">
        <f>SUM(C33)-SUM(D33)</f>
        <v/>
      </c>
      <c r="H33" s="220">
        <f>SUM(E33)-SUM(F33)</f>
        <v/>
      </c>
      <c r="I33" s="221">
        <f>IF(A33="Total",VLOOKUP(B33,CORRESPONDANCE[#All],2,FALSE),I34)</f>
        <v/>
      </c>
      <c r="J33" s="350">
        <f>LEFT(A33,1)</f>
        <v/>
      </c>
      <c r="K33" s="347">
        <f>"TH4"&amp;" - "&amp;A33</f>
        <v/>
      </c>
      <c r="L33" s="347">
        <f>+VLOOKUP(K33,TL[],4,FALSE)</f>
        <v/>
      </c>
    </row>
    <row r="34">
      <c r="A34" s="348" t="inlineStr">
        <is>
          <t>64540100</t>
        </is>
      </c>
      <c r="B34" s="348" t="inlineStr">
        <is>
          <t>Pôle emploi équipiers</t>
        </is>
      </c>
      <c r="C34" s="348" t="n">
        <v>1929.61</v>
      </c>
      <c r="D34" s="348" t="inlineStr"/>
      <c r="E34" s="348" t="n">
        <v>1929.61</v>
      </c>
      <c r="F34" s="348" t="inlineStr"/>
      <c r="G34" s="220">
        <f>SUM(C34)-SUM(D34)</f>
        <v/>
      </c>
      <c r="H34" s="220">
        <f>SUM(E34)-SUM(F34)</f>
        <v/>
      </c>
      <c r="I34" s="221">
        <f>IF(A34="Total",VLOOKUP(B34,CORRESPONDANCE[#All],2,FALSE),I35)</f>
        <v/>
      </c>
      <c r="J34" s="350">
        <f>LEFT(A34,1)</f>
        <v/>
      </c>
      <c r="K34" s="347">
        <f>"TH4"&amp;" - "&amp;A34</f>
        <v/>
      </c>
      <c r="L34" s="347">
        <f>+VLOOKUP(K34,TL[],4,FALSE)</f>
        <v/>
      </c>
    </row>
    <row r="35">
      <c r="A35" s="348" t="inlineStr">
        <is>
          <t>64580000</t>
        </is>
      </c>
      <c r="B35" s="348" t="inlineStr">
        <is>
          <t>Ch sociales s cp équipiers</t>
        </is>
      </c>
      <c r="C35" s="348" t="n">
        <v>135.7</v>
      </c>
      <c r="D35" s="348" t="inlineStr"/>
      <c r="E35" s="348" t="n">
        <v>135.7</v>
      </c>
      <c r="F35" s="348" t="inlineStr"/>
      <c r="G35" s="220">
        <f>SUM(C35)-SUM(D35)</f>
        <v/>
      </c>
      <c r="H35" s="220">
        <f>SUM(E35)-SUM(F35)</f>
        <v/>
      </c>
      <c r="I35" s="221">
        <f>IF(A35="Total",VLOOKUP(B35,CORRESPONDANCE[#All],2,FALSE),I36)</f>
        <v/>
      </c>
      <c r="J35" s="350">
        <f>LEFT(A35,1)</f>
        <v/>
      </c>
      <c r="K35" s="347">
        <f>"TH4"&amp;" - "&amp;A35</f>
        <v/>
      </c>
      <c r="L35" s="347">
        <f>+VLOOKUP(K35,TL[],4,FALSE)</f>
        <v/>
      </c>
    </row>
    <row r="36">
      <c r="A36" s="348" t="inlineStr">
        <is>
          <t>Total</t>
        </is>
      </c>
      <c r="B36" s="348" t="inlineStr">
        <is>
          <t>Table n°2  -  Charges sociales équipiers</t>
        </is>
      </c>
      <c r="C36" s="348" t="n">
        <v>6795.6</v>
      </c>
      <c r="D36" s="348" t="inlineStr"/>
      <c r="E36" s="348" t="n">
        <v>6795.6</v>
      </c>
      <c r="F36" s="348" t="inlineStr"/>
      <c r="G36" s="220">
        <f>SUM(C36)-SUM(D36)</f>
        <v/>
      </c>
      <c r="H36" s="220">
        <f>SUM(E36)-SUM(F36)</f>
        <v/>
      </c>
      <c r="I36" s="221">
        <f>IF(A36="Total",VLOOKUP(B36,CORRESPONDANCE[#All],2,FALSE),I37)</f>
        <v/>
      </c>
      <c r="J36" s="350">
        <f>LEFT(A36,1)</f>
        <v/>
      </c>
      <c r="K36" s="347">
        <f>"TH4"&amp;" - "&amp;A36</f>
        <v/>
      </c>
      <c r="L36" s="347">
        <f>+VLOOKUP(K36,TL[],4,FALSE)</f>
        <v/>
      </c>
    </row>
    <row r="37">
      <c r="A37" s="348" t="inlineStr">
        <is>
          <t>64110400</t>
        </is>
      </c>
      <c r="B37" s="348" t="inlineStr">
        <is>
          <t>Salaires managers</t>
        </is>
      </c>
      <c r="C37" s="348" t="n">
        <v>18233.93</v>
      </c>
      <c r="D37" s="348" t="inlineStr"/>
      <c r="E37" s="348" t="n">
        <v>18233.93</v>
      </c>
      <c r="F37" s="348" t="inlineStr"/>
      <c r="G37" s="220">
        <f>SUM(C37)-SUM(D37)</f>
        <v/>
      </c>
      <c r="H37" s="220">
        <f>SUM(E37)-SUM(F37)</f>
        <v/>
      </c>
      <c r="I37" s="221">
        <f>IF(A37="Total",VLOOKUP(B37,CORRESPONDANCE[#All],2,FALSE),I38)</f>
        <v/>
      </c>
      <c r="J37" s="350">
        <f>LEFT(A37,1)</f>
        <v/>
      </c>
      <c r="K37" s="347">
        <f>"TH4"&amp;" - "&amp;A37</f>
        <v/>
      </c>
      <c r="L37" s="347">
        <f>+VLOOKUP(K37,TL[],4,FALSE)</f>
        <v/>
      </c>
    </row>
    <row r="38">
      <c r="A38" s="348" t="inlineStr">
        <is>
          <t>64122000</t>
        </is>
      </c>
      <c r="B38" s="348" t="inlineStr">
        <is>
          <t>Prov cp managers</t>
        </is>
      </c>
      <c r="C38" s="348" t="n">
        <v>560.67</v>
      </c>
      <c r="D38" s="348" t="inlineStr"/>
      <c r="E38" s="348" t="n">
        <v>560.67</v>
      </c>
      <c r="F38" s="348" t="inlineStr"/>
      <c r="G38" s="220">
        <f>SUM(C38)-SUM(D38)</f>
        <v/>
      </c>
      <c r="H38" s="220">
        <f>SUM(E38)-SUM(F38)</f>
        <v/>
      </c>
      <c r="I38" s="221">
        <f>IF(A38="Total",VLOOKUP(B38,CORRESPONDANCE[#All],2,FALSE),I39)</f>
        <v/>
      </c>
      <c r="J38" s="350">
        <f>LEFT(A38,1)</f>
        <v/>
      </c>
      <c r="K38" s="347">
        <f>"TH4"&amp;" - "&amp;A38</f>
        <v/>
      </c>
      <c r="L38" s="347">
        <f>+VLOOKUP(K38,TL[],4,FALSE)</f>
        <v/>
      </c>
    </row>
    <row r="39">
      <c r="A39" s="348" t="inlineStr">
        <is>
          <t>64140400</t>
        </is>
      </c>
      <c r="B39" s="348" t="inlineStr">
        <is>
          <t>Avantages en nature managers</t>
        </is>
      </c>
      <c r="C39" s="348" t="n">
        <v>614.6799999999999</v>
      </c>
      <c r="D39" s="348" t="inlineStr"/>
      <c r="E39" s="348" t="n">
        <v>614.6799999999999</v>
      </c>
      <c r="F39" s="348" t="inlineStr"/>
      <c r="G39" s="220">
        <f>SUM(C39)-SUM(D39)</f>
        <v/>
      </c>
      <c r="H39" s="220">
        <f>SUM(E39)-SUM(F39)</f>
        <v/>
      </c>
      <c r="I39" s="221">
        <f>IF(A39="Total",VLOOKUP(B39,CORRESPONDANCE[#All],2,FALSE),I40)</f>
        <v/>
      </c>
      <c r="J39" s="350">
        <f>LEFT(A39,1)</f>
        <v/>
      </c>
      <c r="K39" s="347">
        <f>"TH4"&amp;" - "&amp;A39</f>
        <v/>
      </c>
      <c r="L39" s="347">
        <f>+VLOOKUP(K39,TL[],4,FALSE)</f>
        <v/>
      </c>
    </row>
    <row r="40">
      <c r="A40" s="348" t="inlineStr">
        <is>
          <t>64141400</t>
        </is>
      </c>
      <c r="B40" s="348" t="inlineStr">
        <is>
          <t>Ind. blanch. managers</t>
        </is>
      </c>
      <c r="C40" s="348" t="n">
        <v>127.47</v>
      </c>
      <c r="D40" s="348" t="inlineStr"/>
      <c r="E40" s="348" t="n">
        <v>127.47</v>
      </c>
      <c r="F40" s="348" t="inlineStr"/>
      <c r="G40" s="220">
        <f>SUM(C40)-SUM(D40)</f>
        <v/>
      </c>
      <c r="H40" s="220">
        <f>SUM(E40)-SUM(F40)</f>
        <v/>
      </c>
      <c r="I40" s="221">
        <f>IF(A40="Total",VLOOKUP(B40,CORRESPONDANCE[#All],2,FALSE),I41)</f>
        <v/>
      </c>
      <c r="J40" s="350">
        <f>LEFT(A40,1)</f>
        <v/>
      </c>
      <c r="K40" s="347">
        <f>"TH4"&amp;" - "&amp;A40</f>
        <v/>
      </c>
      <c r="L40" s="347">
        <f>+VLOOKUP(K40,TL[],4,FALSE)</f>
        <v/>
      </c>
    </row>
    <row r="41">
      <c r="A41" s="348" t="inlineStr">
        <is>
          <t>72611000</t>
        </is>
      </c>
      <c r="B41" s="348" t="inlineStr">
        <is>
          <t>Avantages en nature managers</t>
        </is>
      </c>
      <c r="C41" s="348" t="inlineStr"/>
      <c r="D41" s="348" t="n">
        <v>396.68</v>
      </c>
      <c r="E41" s="348" t="inlineStr"/>
      <c r="F41" s="348" t="n">
        <v>396.68</v>
      </c>
      <c r="G41" s="220">
        <f>SUM(C41)-SUM(D41)</f>
        <v/>
      </c>
      <c r="H41" s="220">
        <f>SUM(E41)-SUM(F41)</f>
        <v/>
      </c>
      <c r="I41" s="221">
        <f>IF(A41="Total",VLOOKUP(B41,CORRESPONDANCE[#All],2,FALSE),I42)</f>
        <v/>
      </c>
      <c r="J41" s="350">
        <f>LEFT(A41,1)</f>
        <v/>
      </c>
      <c r="K41" s="347">
        <f>"TH4"&amp;" - "&amp;A41</f>
        <v/>
      </c>
      <c r="L41" s="347">
        <f>+VLOOKUP(K41,TL[],4,FALSE)</f>
        <v/>
      </c>
    </row>
    <row r="42">
      <c r="A42" s="348" t="inlineStr">
        <is>
          <t>79110500</t>
        </is>
      </c>
      <c r="B42" s="348" t="inlineStr">
        <is>
          <t>Avantage en nature voiture</t>
        </is>
      </c>
      <c r="C42" s="348" t="inlineStr"/>
      <c r="D42" s="348" t="n">
        <v>218</v>
      </c>
      <c r="E42" s="348" t="inlineStr"/>
      <c r="F42" s="348" t="n">
        <v>218</v>
      </c>
      <c r="G42" s="220">
        <f>SUM(C42)-SUM(D42)</f>
        <v/>
      </c>
      <c r="H42" s="220">
        <f>SUM(E42)-SUM(F42)</f>
        <v/>
      </c>
      <c r="I42" s="221">
        <f>IF(A42="Total",VLOOKUP(B42,CORRESPONDANCE[#All],2,FALSE),I43)</f>
        <v/>
      </c>
      <c r="J42" s="350">
        <f>LEFT(A42,1)</f>
        <v/>
      </c>
      <c r="K42" s="347">
        <f>"TH4"&amp;" - "&amp;A42</f>
        <v/>
      </c>
      <c r="L42" s="347">
        <f>+VLOOKUP(K42,TL[],4,FALSE)</f>
        <v/>
      </c>
    </row>
    <row r="43">
      <c r="A43" s="348" t="inlineStr">
        <is>
          <t>Total</t>
        </is>
      </c>
      <c r="B43" s="348" t="inlineStr">
        <is>
          <t>Table n°2  -  Main d'œuvre brute équipe de gestio</t>
        </is>
      </c>
      <c r="C43" s="348" t="n">
        <v>18922.07</v>
      </c>
      <c r="D43" s="348" t="inlineStr"/>
      <c r="E43" s="348" t="n">
        <v>18922.07</v>
      </c>
      <c r="F43" s="348" t="inlineStr"/>
      <c r="G43" s="220">
        <f>SUM(C43)-SUM(D43)</f>
        <v/>
      </c>
      <c r="H43" s="220">
        <f>SUM(E43)-SUM(F43)</f>
        <v/>
      </c>
      <c r="I43" s="221">
        <f>IF(A43="Total",VLOOKUP(B43,CORRESPONDANCE[#All],2,FALSE),I44)</f>
        <v/>
      </c>
      <c r="J43" s="350">
        <f>LEFT(A43,1)</f>
        <v/>
      </c>
      <c r="K43" s="347">
        <f>"TH4"&amp;" - "&amp;A43</f>
        <v/>
      </c>
      <c r="L43" s="347">
        <f>+VLOOKUP(K43,TL[],4,FALSE)</f>
        <v/>
      </c>
    </row>
    <row r="44">
      <c r="A44" s="348" t="inlineStr">
        <is>
          <t>64504400</t>
        </is>
      </c>
      <c r="B44" s="348" t="inlineStr">
        <is>
          <t>Mutuelle managers</t>
        </is>
      </c>
      <c r="C44" s="348" t="n">
        <v>61.26</v>
      </c>
      <c r="D44" s="348" t="inlineStr"/>
      <c r="E44" s="348" t="n">
        <v>61.26</v>
      </c>
      <c r="F44" s="348" t="inlineStr"/>
      <c r="G44" s="220">
        <f>SUM(C44)-SUM(D44)</f>
        <v/>
      </c>
      <c r="H44" s="220">
        <f>SUM(E44)-SUM(F44)</f>
        <v/>
      </c>
      <c r="I44" s="221">
        <f>IF(A44="Total",VLOOKUP(B44,CORRESPONDANCE[#All],2,FALSE),I45)</f>
        <v/>
      </c>
      <c r="J44" s="350">
        <f>LEFT(A44,1)</f>
        <v/>
      </c>
      <c r="K44" s="347">
        <f>"TH4"&amp;" - "&amp;A44</f>
        <v/>
      </c>
      <c r="L44" s="347">
        <f>+VLOOKUP(K44,TL[],4,FALSE)</f>
        <v/>
      </c>
    </row>
    <row r="45">
      <c r="A45" s="348" t="inlineStr">
        <is>
          <t>64510400</t>
        </is>
      </c>
      <c r="B45" s="348" t="inlineStr">
        <is>
          <t>Urssaf managers</t>
        </is>
      </c>
      <c r="C45" s="348" t="n">
        <v>2885.9</v>
      </c>
      <c r="D45" s="348" t="inlineStr"/>
      <c r="E45" s="348" t="n">
        <v>2885.9</v>
      </c>
      <c r="F45" s="348" t="inlineStr"/>
      <c r="G45" s="220">
        <f>SUM(C45)-SUM(D45)</f>
        <v/>
      </c>
      <c r="H45" s="220">
        <f>SUM(E45)-SUM(F45)</f>
        <v/>
      </c>
      <c r="I45" s="221">
        <f>IF(A45="Total",VLOOKUP(B45,CORRESPONDANCE[#All],2,FALSE),I46)</f>
        <v/>
      </c>
      <c r="J45" s="350">
        <f>LEFT(A45,1)</f>
        <v/>
      </c>
      <c r="K45" s="347">
        <f>"TH4"&amp;" - "&amp;A45</f>
        <v/>
      </c>
      <c r="L45" s="347">
        <f>+VLOOKUP(K45,TL[],4,FALSE)</f>
        <v/>
      </c>
    </row>
    <row r="46">
      <c r="A46" s="348" t="inlineStr">
        <is>
          <t>64530400</t>
        </is>
      </c>
      <c r="B46" s="348" t="inlineStr">
        <is>
          <t>Retraite et prév managers</t>
        </is>
      </c>
      <c r="C46" s="348" t="n">
        <v>1064.12</v>
      </c>
      <c r="D46" s="348" t="inlineStr"/>
      <c r="E46" s="348" t="n">
        <v>1064.12</v>
      </c>
      <c r="F46" s="348" t="inlineStr"/>
      <c r="G46" s="220">
        <f>SUM(C46)-SUM(D46)</f>
        <v/>
      </c>
      <c r="H46" s="220">
        <f>SUM(E46)-SUM(F46)</f>
        <v/>
      </c>
      <c r="I46" s="221">
        <f>IF(A46="Total",VLOOKUP(B46,CORRESPONDANCE[#All],2,FALSE),I47)</f>
        <v/>
      </c>
      <c r="J46" s="350">
        <f>LEFT(A46,1)</f>
        <v/>
      </c>
      <c r="K46" s="347">
        <f>"TH4"&amp;" - "&amp;A46</f>
        <v/>
      </c>
      <c r="L46" s="347">
        <f>+VLOOKUP(K46,TL[],4,FALSE)</f>
        <v/>
      </c>
    </row>
    <row r="47">
      <c r="A47" s="348" t="inlineStr">
        <is>
          <t>64540400</t>
        </is>
      </c>
      <c r="B47" s="348" t="inlineStr">
        <is>
          <t>Pôle emploi managers</t>
        </is>
      </c>
      <c r="C47" s="348" t="n">
        <v>606.02</v>
      </c>
      <c r="D47" s="348" t="inlineStr"/>
      <c r="E47" s="348" t="n">
        <v>606.02</v>
      </c>
      <c r="F47" s="348" t="inlineStr"/>
      <c r="G47" s="220">
        <f>SUM(C47)-SUM(D47)</f>
        <v/>
      </c>
      <c r="H47" s="220">
        <f>SUM(E47)-SUM(F47)</f>
        <v/>
      </c>
      <c r="I47" s="221">
        <f>IF(A47="Total",VLOOKUP(B47,CORRESPONDANCE[#All],2,FALSE),I48)</f>
        <v/>
      </c>
      <c r="J47" s="350">
        <f>LEFT(A47,1)</f>
        <v/>
      </c>
      <c r="K47" s="347">
        <f>"TH4"&amp;" - "&amp;A47</f>
        <v/>
      </c>
      <c r="L47" s="347">
        <f>+VLOOKUP(K47,TL[],4,FALSE)</f>
        <v/>
      </c>
    </row>
    <row r="48">
      <c r="A48" s="348" t="inlineStr">
        <is>
          <t>64582000</t>
        </is>
      </c>
      <c r="B48" s="348" t="inlineStr">
        <is>
          <t>Ch sociales s cp managers</t>
        </is>
      </c>
      <c r="C48" s="348" t="n">
        <v>177.85</v>
      </c>
      <c r="D48" s="348" t="inlineStr"/>
      <c r="E48" s="348" t="n">
        <v>177.85</v>
      </c>
      <c r="F48" s="348" t="inlineStr"/>
      <c r="G48" s="220">
        <f>SUM(C48)-SUM(D48)</f>
        <v/>
      </c>
      <c r="H48" s="220">
        <f>SUM(E48)-SUM(F48)</f>
        <v/>
      </c>
      <c r="I48" s="221">
        <f>IF(A48="Total",VLOOKUP(B48,CORRESPONDANCE[#All],2,FALSE),I49)</f>
        <v/>
      </c>
      <c r="J48" s="350">
        <f>LEFT(A48,1)</f>
        <v/>
      </c>
      <c r="K48" s="347">
        <f>"TH4"&amp;" - "&amp;A48</f>
        <v/>
      </c>
      <c r="L48" s="347">
        <f>+VLOOKUP(K48,TL[],4,FALSE)</f>
        <v/>
      </c>
    </row>
    <row r="49">
      <c r="A49" s="348" t="inlineStr">
        <is>
          <t>Total</t>
        </is>
      </c>
      <c r="B49" s="348" t="inlineStr">
        <is>
          <t>Table n°2  -  Charges sociales équipe de gestion</t>
        </is>
      </c>
      <c r="C49" s="348" t="n">
        <v>4795.15</v>
      </c>
      <c r="D49" s="348" t="inlineStr"/>
      <c r="E49" s="348" t="n">
        <v>4795.15</v>
      </c>
      <c r="F49" s="348" t="inlineStr"/>
      <c r="G49" s="220">
        <f>SUM(C49)-SUM(D49)</f>
        <v/>
      </c>
      <c r="H49" s="220">
        <f>SUM(E49)-SUM(F49)</f>
        <v/>
      </c>
      <c r="I49" s="221">
        <f>IF(A49="Total",VLOOKUP(B49,CORRESPONDANCE[#All],2,FALSE),I50)</f>
        <v/>
      </c>
      <c r="J49" s="350">
        <f>LEFT(A49,1)</f>
        <v/>
      </c>
      <c r="K49" s="347">
        <f>"TH4"&amp;" - "&amp;A49</f>
        <v/>
      </c>
      <c r="L49" s="347">
        <f>+VLOOKUP(K49,TL[],4,FALSE)</f>
        <v/>
      </c>
    </row>
    <row r="50">
      <c r="A50" s="348" t="inlineStr">
        <is>
          <t>61521000</t>
        </is>
      </c>
      <c r="B50" s="348" t="inlineStr">
        <is>
          <t>Entretien vitres</t>
        </is>
      </c>
      <c r="C50" s="348" t="n">
        <v>149.17</v>
      </c>
      <c r="D50" s="348" t="inlineStr"/>
      <c r="E50" s="348" t="n">
        <v>149.17</v>
      </c>
      <c r="F50" s="348" t="inlineStr"/>
      <c r="G50" s="220">
        <f>SUM(C50)-SUM(D50)</f>
        <v/>
      </c>
      <c r="H50" s="220">
        <f>SUM(E50)-SUM(F50)</f>
        <v/>
      </c>
      <c r="I50" s="221">
        <f>IF(A50="Total",VLOOKUP(B50,CORRESPONDANCE[#All],2,FALSE),I51)</f>
        <v/>
      </c>
      <c r="J50" s="350">
        <f>LEFT(A50,1)</f>
        <v/>
      </c>
      <c r="K50" s="347">
        <f>"TH4"&amp;" - "&amp;A50</f>
        <v/>
      </c>
      <c r="L50" s="347">
        <f>+VLOOKUP(K50,TL[],4,FALSE)</f>
        <v/>
      </c>
    </row>
    <row r="51">
      <c r="A51" s="348" t="inlineStr">
        <is>
          <t>61561900</t>
        </is>
      </c>
      <c r="B51" s="348" t="inlineStr">
        <is>
          <t>Contrat ménage dératisat° désinfect</t>
        </is>
      </c>
      <c r="C51" s="348" t="n">
        <v>500</v>
      </c>
      <c r="D51" s="348" t="inlineStr"/>
      <c r="E51" s="348" t="n">
        <v>500</v>
      </c>
      <c r="F51" s="348" t="inlineStr"/>
      <c r="G51" s="220">
        <f>SUM(C51)-SUM(D51)</f>
        <v/>
      </c>
      <c r="H51" s="220">
        <f>SUM(E51)-SUM(F51)</f>
        <v/>
      </c>
      <c r="I51" s="221">
        <f>IF(A51="Total",VLOOKUP(B51,CORRESPONDANCE[#All],2,FALSE),I52)</f>
        <v/>
      </c>
      <c r="J51" s="350">
        <f>LEFT(A51,1)</f>
        <v/>
      </c>
      <c r="K51" s="347">
        <f>"TH4"&amp;" - "&amp;A51</f>
        <v/>
      </c>
      <c r="L51" s="347">
        <f>+VLOOKUP(K51,TL[],4,FALSE)</f>
        <v/>
      </c>
    </row>
    <row r="52">
      <c r="A52" s="348" t="inlineStr">
        <is>
          <t>Total</t>
        </is>
      </c>
      <c r="B52" s="348" t="inlineStr">
        <is>
          <t>Table n°2  -  Nettoyage</t>
        </is>
      </c>
      <c r="C52" s="348" t="n">
        <v>649.17</v>
      </c>
      <c r="D52" s="348" t="inlineStr"/>
      <c r="E52" s="348" t="n">
        <v>649.17</v>
      </c>
      <c r="F52" s="348" t="inlineStr"/>
      <c r="G52" s="220">
        <f>SUM(C52)-SUM(D52)</f>
        <v/>
      </c>
      <c r="H52" s="220">
        <f>SUM(E52)-SUM(F52)</f>
        <v/>
      </c>
      <c r="I52" s="221">
        <f>IF(A52="Total",VLOOKUP(B52,CORRESPONDANCE[#All],2,FALSE),I53)</f>
        <v/>
      </c>
      <c r="J52" s="350">
        <f>LEFT(A52,1)</f>
        <v/>
      </c>
      <c r="K52" s="347">
        <f>"TH4"&amp;" - "&amp;A52</f>
        <v/>
      </c>
      <c r="L52" s="347">
        <f>+VLOOKUP(K52,TL[],4,FALSE)</f>
        <v/>
      </c>
    </row>
    <row r="53">
      <c r="A53" s="348" t="inlineStr">
        <is>
          <t>61562000</t>
        </is>
      </c>
      <c r="B53" s="348" t="inlineStr">
        <is>
          <t>Surveillance gardiennage/vidéo</t>
        </is>
      </c>
      <c r="C53" s="348" t="n">
        <v>582</v>
      </c>
      <c r="D53" s="348" t="inlineStr"/>
      <c r="E53" s="348" t="n">
        <v>582</v>
      </c>
      <c r="F53" s="348" t="inlineStr"/>
      <c r="G53" s="220">
        <f>SUM(C53)-SUM(D53)</f>
        <v/>
      </c>
      <c r="H53" s="220">
        <f>SUM(E53)-SUM(F53)</f>
        <v/>
      </c>
      <c r="I53" s="221">
        <f>IF(A53="Total",VLOOKUP(B53,CORRESPONDANCE[#All],2,FALSE),I54)</f>
        <v/>
      </c>
      <c r="J53" s="350">
        <f>LEFT(A53,1)</f>
        <v/>
      </c>
      <c r="K53" s="347">
        <f>"TH4"&amp;" - "&amp;A53</f>
        <v/>
      </c>
      <c r="L53" s="347">
        <f>+VLOOKUP(K53,TL[],4,FALSE)</f>
        <v/>
      </c>
    </row>
    <row r="54">
      <c r="A54" s="348" t="inlineStr">
        <is>
          <t>61564100</t>
        </is>
      </c>
      <c r="B54" s="348" t="inlineStr">
        <is>
          <t>contrat eryma</t>
        </is>
      </c>
      <c r="C54" s="348" t="n">
        <v>40.32</v>
      </c>
      <c r="D54" s="348" t="inlineStr"/>
      <c r="E54" s="348" t="n">
        <v>40.32</v>
      </c>
      <c r="F54" s="348" t="inlineStr"/>
      <c r="G54" s="220">
        <f>SUM(C54)-SUM(D54)</f>
        <v/>
      </c>
      <c r="H54" s="220">
        <f>SUM(E54)-SUM(F54)</f>
        <v/>
      </c>
      <c r="I54" s="221">
        <f>IF(A54="Total",VLOOKUP(B54,CORRESPONDANCE[#All],2,FALSE),I55)</f>
        <v/>
      </c>
      <c r="J54" s="350">
        <f>LEFT(A54,1)</f>
        <v/>
      </c>
      <c r="K54" s="347">
        <f>"TH4"&amp;" - "&amp;A54</f>
        <v/>
      </c>
      <c r="L54" s="347">
        <f>+VLOOKUP(K54,TL[],4,FALSE)</f>
        <v/>
      </c>
    </row>
    <row r="55">
      <c r="A55" s="348" t="inlineStr">
        <is>
          <t>61564600</t>
        </is>
      </c>
      <c r="B55" s="348" t="inlineStr">
        <is>
          <t>Contrat intrusion, incendie</t>
        </is>
      </c>
      <c r="C55" s="348" t="n">
        <v>46.67</v>
      </c>
      <c r="D55" s="348" t="inlineStr"/>
      <c r="E55" s="348" t="n">
        <v>46.67</v>
      </c>
      <c r="F55" s="348" t="inlineStr"/>
      <c r="G55" s="220">
        <f>SUM(C55)-SUM(D55)</f>
        <v/>
      </c>
      <c r="H55" s="220">
        <f>SUM(E55)-SUM(F55)</f>
        <v/>
      </c>
      <c r="I55" s="221">
        <f>IF(A55="Total",VLOOKUP(B55,CORRESPONDANCE[#All],2,FALSE),I56)</f>
        <v/>
      </c>
      <c r="J55" s="350">
        <f>LEFT(A55,1)</f>
        <v/>
      </c>
      <c r="K55" s="347">
        <f>"TH4"&amp;" - "&amp;A55</f>
        <v/>
      </c>
      <c r="L55" s="347">
        <f>+VLOOKUP(K55,TL[],4,FALSE)</f>
        <v/>
      </c>
    </row>
    <row r="56">
      <c r="A56" s="348" t="inlineStr">
        <is>
          <t>Total</t>
        </is>
      </c>
      <c r="B56" s="348" t="inlineStr">
        <is>
          <t>Table n°2  -  Sécurité et Gardiennage</t>
        </is>
      </c>
      <c r="C56" s="348" t="n">
        <v>668.99</v>
      </c>
      <c r="D56" s="348" t="inlineStr"/>
      <c r="E56" s="348" t="n">
        <v>668.99</v>
      </c>
      <c r="F56" s="348" t="inlineStr"/>
      <c r="G56" s="220">
        <f>SUM(C56)-SUM(D56)</f>
        <v/>
      </c>
      <c r="H56" s="220">
        <f>SUM(E56)-SUM(F56)</f>
        <v/>
      </c>
      <c r="I56" s="221">
        <f>IF(A56="Total",VLOOKUP(B56,CORRESPONDANCE[#All],2,FALSE),I57)</f>
        <v/>
      </c>
      <c r="J56" s="350">
        <f>LEFT(A56,1)</f>
        <v/>
      </c>
      <c r="K56" s="347">
        <f>"TH4"&amp;" - "&amp;A56</f>
        <v/>
      </c>
      <c r="L56" s="347">
        <f>+VLOOKUP(K56,TL[],4,FALSE)</f>
        <v/>
      </c>
    </row>
    <row r="57">
      <c r="A57" s="348" t="inlineStr">
        <is>
          <t>62780100</t>
        </is>
      </c>
      <c r="B57" s="348" t="inlineStr">
        <is>
          <t>Commissions bancaires</t>
        </is>
      </c>
      <c r="C57" s="348" t="n">
        <v>225.61</v>
      </c>
      <c r="D57" s="348" t="inlineStr"/>
      <c r="E57" s="348" t="n">
        <v>225.61</v>
      </c>
      <c r="F57" s="348" t="inlineStr"/>
      <c r="G57" s="220">
        <f>SUM(C57)-SUM(D57)</f>
        <v/>
      </c>
      <c r="H57" s="220">
        <f>SUM(E57)-SUM(F57)</f>
        <v/>
      </c>
      <c r="I57" s="221">
        <f>IF(A57="Total",VLOOKUP(B57,CORRESPONDANCE[#All],2,FALSE),I58)</f>
        <v/>
      </c>
      <c r="J57" s="350">
        <f>LEFT(A57,1)</f>
        <v/>
      </c>
      <c r="K57" s="347">
        <f>"TH4"&amp;" - "&amp;A57</f>
        <v/>
      </c>
      <c r="L57" s="347">
        <f>+VLOOKUP(K57,TL[],4,FALSE)</f>
        <v/>
      </c>
    </row>
    <row r="58">
      <c r="A58" s="348" t="inlineStr">
        <is>
          <t>62780200</t>
        </is>
      </c>
      <c r="B58" s="348" t="inlineStr">
        <is>
          <t>Commissions cb</t>
        </is>
      </c>
      <c r="C58" s="348" t="n">
        <v>1403.17</v>
      </c>
      <c r="D58" s="348" t="inlineStr"/>
      <c r="E58" s="348" t="n">
        <v>1403.17</v>
      </c>
      <c r="F58" s="348" t="inlineStr"/>
      <c r="G58" s="220">
        <f>SUM(C58)-SUM(D58)</f>
        <v/>
      </c>
      <c r="H58" s="220">
        <f>SUM(E58)-SUM(F58)</f>
        <v/>
      </c>
      <c r="I58" s="221">
        <f>IF(A58="Total",VLOOKUP(B58,CORRESPONDANCE[#All],2,FALSE),I59)</f>
        <v/>
      </c>
      <c r="J58" s="350">
        <f>LEFT(A58,1)</f>
        <v/>
      </c>
      <c r="K58" s="347">
        <f>"TH4"&amp;" - "&amp;A58</f>
        <v/>
      </c>
      <c r="L58" s="347">
        <f>+VLOOKUP(K58,TL[],4,FALSE)</f>
        <v/>
      </c>
    </row>
    <row r="59">
      <c r="A59" s="348" t="inlineStr">
        <is>
          <t>62780300</t>
        </is>
      </c>
      <c r="B59" s="348" t="inlineStr">
        <is>
          <t>Frais tr</t>
        </is>
      </c>
      <c r="C59" s="348" t="n">
        <v>1034.88</v>
      </c>
      <c r="D59" s="348" t="inlineStr"/>
      <c r="E59" s="348" t="n">
        <v>1034.88</v>
      </c>
      <c r="F59" s="348" t="inlineStr"/>
      <c r="G59" s="220">
        <f>SUM(C59)-SUM(D59)</f>
        <v/>
      </c>
      <c r="H59" s="220">
        <f>SUM(E59)-SUM(F59)</f>
        <v/>
      </c>
      <c r="I59" s="221">
        <f>IF(A59="Total",VLOOKUP(B59,CORRESPONDANCE[#All],2,FALSE),I60)</f>
        <v/>
      </c>
      <c r="J59" s="350">
        <f>LEFT(A59,1)</f>
        <v/>
      </c>
      <c r="K59" s="347">
        <f>"TH4"&amp;" - "&amp;A59</f>
        <v/>
      </c>
      <c r="L59" s="347">
        <f>+VLOOKUP(K59,TL[],4,FALSE)</f>
        <v/>
      </c>
    </row>
    <row r="60">
      <c r="A60" s="348" t="inlineStr">
        <is>
          <t>62780500</t>
        </is>
      </c>
      <c r="B60" s="348" t="inlineStr">
        <is>
          <t>Frais cv</t>
        </is>
      </c>
      <c r="C60" s="348" t="n">
        <v>93.42</v>
      </c>
      <c r="D60" s="348" t="inlineStr"/>
      <c r="E60" s="348" t="n">
        <v>93.42</v>
      </c>
      <c r="F60" s="348" t="inlineStr"/>
      <c r="G60" s="220">
        <f>SUM(C60)-SUM(D60)</f>
        <v/>
      </c>
      <c r="H60" s="220">
        <f>SUM(E60)-SUM(F60)</f>
        <v/>
      </c>
      <c r="I60" s="221">
        <f>IF(A60="Total",VLOOKUP(B60,CORRESPONDANCE[#All],2,FALSE),I61)</f>
        <v/>
      </c>
      <c r="J60" s="350">
        <f>LEFT(A60,1)</f>
        <v/>
      </c>
      <c r="K60" s="347">
        <f>"TH4"&amp;" - "&amp;A60</f>
        <v/>
      </c>
      <c r="L60" s="347">
        <f>+VLOOKUP(K60,TL[],4,FALSE)</f>
        <v/>
      </c>
    </row>
    <row r="61">
      <c r="A61" s="348" t="inlineStr">
        <is>
          <t>62780600</t>
        </is>
      </c>
      <c r="B61" s="348" t="inlineStr">
        <is>
          <t>Frais paypal</t>
        </is>
      </c>
      <c r="C61" s="348" t="n">
        <v>27.99</v>
      </c>
      <c r="D61" s="348" t="inlineStr"/>
      <c r="E61" s="348" t="n">
        <v>27.99</v>
      </c>
      <c r="F61" s="348" t="inlineStr"/>
      <c r="G61" s="220">
        <f>SUM(C61)-SUM(D61)</f>
        <v/>
      </c>
      <c r="H61" s="220">
        <f>SUM(E61)-SUM(F61)</f>
        <v/>
      </c>
      <c r="I61" s="221">
        <f>IF(A61="Total",VLOOKUP(B61,CORRESPONDANCE[#All],2,FALSE),I62)</f>
        <v/>
      </c>
      <c r="J61" s="350">
        <f>LEFT(A61,1)</f>
        <v/>
      </c>
      <c r="K61" s="347">
        <f>"TH4"&amp;" - "&amp;A61</f>
        <v/>
      </c>
      <c r="L61" s="347">
        <f>+VLOOKUP(K61,TL[],4,FALSE)</f>
        <v/>
      </c>
    </row>
    <row r="62">
      <c r="A62" s="348" t="inlineStr">
        <is>
          <t>Total</t>
        </is>
      </c>
      <c r="B62" s="348" t="inlineStr">
        <is>
          <t>Table n°2  -  Frais bancaires</t>
        </is>
      </c>
      <c r="C62" s="348" t="n">
        <v>2785.07</v>
      </c>
      <c r="D62" s="348" t="inlineStr"/>
      <c r="E62" s="348" t="n">
        <v>2785.07</v>
      </c>
      <c r="F62" s="348" t="inlineStr"/>
      <c r="G62" s="220">
        <f>SUM(C62)-SUM(D62)</f>
        <v/>
      </c>
      <c r="H62" s="220">
        <f>SUM(E62)-SUM(F62)</f>
        <v/>
      </c>
      <c r="I62" s="221">
        <f>IF(A62="Total",VLOOKUP(B62,CORRESPONDANCE[#All],2,FALSE),I63)</f>
        <v/>
      </c>
      <c r="J62" s="350">
        <f>LEFT(A62,1)</f>
        <v/>
      </c>
      <c r="K62" s="347">
        <f>"TH4"&amp;" - "&amp;A62</f>
        <v/>
      </c>
      <c r="L62" s="347">
        <f>+VLOOKUP(K62,TL[],4,FALSE)</f>
        <v/>
      </c>
    </row>
    <row r="63">
      <c r="A63" s="348" t="inlineStr">
        <is>
          <t>60630000</t>
        </is>
      </c>
      <c r="B63" s="348" t="inlineStr">
        <is>
          <t>Petit outillage</t>
        </is>
      </c>
      <c r="C63" s="348" t="n">
        <v>520.77</v>
      </c>
      <c r="D63" s="348" t="inlineStr"/>
      <c r="E63" s="348" t="n">
        <v>520.77</v>
      </c>
      <c r="F63" s="348" t="inlineStr"/>
      <c r="G63" s="220">
        <f>SUM(C63)-SUM(D63)</f>
        <v/>
      </c>
      <c r="H63" s="220">
        <f>SUM(E63)-SUM(F63)</f>
        <v/>
      </c>
      <c r="I63" s="221">
        <f>IF(A63="Total",VLOOKUP(B63,CORRESPONDANCE[#All],2,FALSE),I64)</f>
        <v/>
      </c>
      <c r="J63" s="350">
        <f>LEFT(A63,1)</f>
        <v/>
      </c>
      <c r="K63" s="347">
        <f>"TH4"&amp;" - "&amp;A63</f>
        <v/>
      </c>
      <c r="L63" s="347">
        <f>+VLOOKUP(K63,TL[],4,FALSE)</f>
        <v/>
      </c>
    </row>
    <row r="64">
      <c r="A64" s="348" t="inlineStr">
        <is>
          <t>61550000</t>
        </is>
      </c>
      <c r="B64" s="348" t="inlineStr">
        <is>
          <t>Entretien et réparation divers</t>
        </is>
      </c>
      <c r="C64" s="348" t="n">
        <v>834.46</v>
      </c>
      <c r="D64" s="348" t="inlineStr"/>
      <c r="E64" s="348" t="n">
        <v>834.46</v>
      </c>
      <c r="F64" s="348" t="inlineStr"/>
      <c r="G64" s="220">
        <f>SUM(C64)-SUM(D64)</f>
        <v/>
      </c>
      <c r="H64" s="220">
        <f>SUM(E64)-SUM(F64)</f>
        <v/>
      </c>
      <c r="I64" s="221">
        <f>IF(A64="Total",VLOOKUP(B64,CORRESPONDANCE[#All],2,FALSE),I65)</f>
        <v/>
      </c>
      <c r="J64" s="350">
        <f>LEFT(A64,1)</f>
        <v/>
      </c>
      <c r="K64" s="347">
        <f>"TH4"&amp;" - "&amp;A64</f>
        <v/>
      </c>
      <c r="L64" s="347">
        <f>+VLOOKUP(K64,TL[],4,FALSE)</f>
        <v/>
      </c>
    </row>
    <row r="65">
      <c r="A65" s="348" t="inlineStr">
        <is>
          <t>Total</t>
        </is>
      </c>
      <c r="B65" s="348" t="inlineStr">
        <is>
          <t>Table n°2  -  Contrats Maintenance et réparations</t>
        </is>
      </c>
      <c r="C65" s="348" t="n">
        <v>1355.23</v>
      </c>
      <c r="D65" s="348" t="inlineStr"/>
      <c r="E65" s="348" t="n">
        <v>1355.23</v>
      </c>
      <c r="F65" s="348" t="inlineStr"/>
      <c r="G65" s="220">
        <f>SUM(C65)-SUM(D65)</f>
        <v/>
      </c>
      <c r="H65" s="220">
        <f>SUM(E65)-SUM(F65)</f>
        <v/>
      </c>
      <c r="I65" s="221">
        <f>IF(A65="Total",VLOOKUP(B65,CORRESPONDANCE[#All],2,FALSE),I66)</f>
        <v/>
      </c>
      <c r="J65" s="350">
        <f>LEFT(A65,1)</f>
        <v/>
      </c>
      <c r="K65" s="347">
        <f>"TH4"&amp;" - "&amp;A65</f>
        <v/>
      </c>
      <c r="L65" s="347">
        <f>+VLOOKUP(K65,TL[],4,FALSE)</f>
        <v/>
      </c>
    </row>
    <row r="66">
      <c r="A66" s="348" t="inlineStr">
        <is>
          <t>61110000</t>
        </is>
      </c>
      <c r="B66" s="348" t="inlineStr">
        <is>
          <t>Sous-traitance comptable</t>
        </is>
      </c>
      <c r="C66" s="348" t="n">
        <v>200</v>
      </c>
      <c r="D66" s="348" t="inlineStr"/>
      <c r="E66" s="348" t="n">
        <v>200</v>
      </c>
      <c r="F66" s="348" t="inlineStr"/>
      <c r="G66" s="220">
        <f>SUM(C66)-SUM(D66)</f>
        <v/>
      </c>
      <c r="H66" s="220">
        <f>SUM(E66)-SUM(F66)</f>
        <v/>
      </c>
      <c r="I66" s="221">
        <f>IF(A66="Total",VLOOKUP(B66,CORRESPONDANCE[#All],2,FALSE),I67)</f>
        <v/>
      </c>
      <c r="J66" s="350">
        <f>LEFT(A66,1)</f>
        <v/>
      </c>
      <c r="K66" s="347">
        <f>"TH4"&amp;" - "&amp;A66</f>
        <v/>
      </c>
      <c r="L66" s="347">
        <f>+VLOOKUP(K66,TL[],4,FALSE)</f>
        <v/>
      </c>
    </row>
    <row r="67">
      <c r="A67" s="348" t="inlineStr">
        <is>
          <t>61353000</t>
        </is>
      </c>
      <c r="B67" s="348" t="inlineStr">
        <is>
          <t>Location tpe interway</t>
        </is>
      </c>
      <c r="C67" s="348" t="n">
        <v>222.72</v>
      </c>
      <c r="D67" s="348" t="inlineStr"/>
      <c r="E67" s="348" t="n">
        <v>222.72</v>
      </c>
      <c r="F67" s="348" t="inlineStr"/>
      <c r="G67" s="220">
        <f>SUM(C67)-SUM(D67)</f>
        <v/>
      </c>
      <c r="H67" s="220">
        <f>SUM(E67)-SUM(F67)</f>
        <v/>
      </c>
      <c r="I67" s="221">
        <f>IF(A67="Total",VLOOKUP(B67,CORRESPONDANCE[#All],2,FALSE),I68)</f>
        <v/>
      </c>
      <c r="J67" s="350">
        <f>LEFT(A67,1)</f>
        <v/>
      </c>
      <c r="K67" s="347">
        <f>"TH4"&amp;" - "&amp;A67</f>
        <v/>
      </c>
      <c r="L67" s="347">
        <f>+VLOOKUP(K67,TL[],4,FALSE)</f>
        <v/>
      </c>
    </row>
    <row r="68">
      <c r="A68" s="348" t="inlineStr">
        <is>
          <t>61354100</t>
        </is>
      </c>
      <c r="B68" s="348" t="inlineStr">
        <is>
          <t>Location defibrillateur</t>
        </is>
      </c>
      <c r="C68" s="348" t="n">
        <v>46</v>
      </c>
      <c r="D68" s="348" t="inlineStr"/>
      <c r="E68" s="348" t="n">
        <v>46</v>
      </c>
      <c r="F68" s="348" t="inlineStr"/>
      <c r="G68" s="220">
        <f>SUM(C68)-SUM(D68)</f>
        <v/>
      </c>
      <c r="H68" s="220">
        <f>SUM(E68)-SUM(F68)</f>
        <v/>
      </c>
      <c r="I68" s="221">
        <f>IF(A68="Total",VLOOKUP(B68,CORRESPONDANCE[#All],2,FALSE),I69)</f>
        <v/>
      </c>
      <c r="J68" s="350">
        <f>LEFT(A68,1)</f>
        <v/>
      </c>
      <c r="K68" s="347">
        <f>"TH4"&amp;" - "&amp;A68</f>
        <v/>
      </c>
      <c r="L68" s="347">
        <f>+VLOOKUP(K68,TL[],4,FALSE)</f>
        <v/>
      </c>
    </row>
    <row r="69">
      <c r="A69" s="348" t="inlineStr">
        <is>
          <t>61520000</t>
        </is>
      </c>
      <c r="B69" s="348" t="inlineStr">
        <is>
          <t>Entretien espaces verts</t>
        </is>
      </c>
      <c r="C69" s="348" t="n">
        <v>165.67</v>
      </c>
      <c r="D69" s="348" t="inlineStr"/>
      <c r="E69" s="348" t="n">
        <v>165.67</v>
      </c>
      <c r="F69" s="348" t="inlineStr"/>
      <c r="G69" s="220">
        <f>SUM(C69)-SUM(D69)</f>
        <v/>
      </c>
      <c r="H69" s="220">
        <f>SUM(E69)-SUM(F69)</f>
        <v/>
      </c>
      <c r="I69" s="221">
        <f>IF(A69="Total",VLOOKUP(B69,CORRESPONDANCE[#All],2,FALSE),I70)</f>
        <v/>
      </c>
      <c r="J69" s="350">
        <f>LEFT(A69,1)</f>
        <v/>
      </c>
      <c r="K69" s="347">
        <f>"TH4"&amp;" - "&amp;A69</f>
        <v/>
      </c>
      <c r="L69" s="347">
        <f>+VLOOKUP(K69,TL[],4,FALSE)</f>
        <v/>
      </c>
    </row>
    <row r="70">
      <c r="A70" s="348" t="inlineStr">
        <is>
          <t>61552200</t>
        </is>
      </c>
      <c r="B70" s="348" t="inlineStr">
        <is>
          <t>Ercem silliker</t>
        </is>
      </c>
      <c r="C70" s="348" t="n">
        <v>162.49</v>
      </c>
      <c r="D70" s="348" t="inlineStr"/>
      <c r="E70" s="348" t="n">
        <v>162.49</v>
      </c>
      <c r="F70" s="348" t="inlineStr"/>
      <c r="G70" s="220">
        <f>SUM(C70)-SUM(D70)</f>
        <v/>
      </c>
      <c r="H70" s="220">
        <f>SUM(E70)-SUM(F70)</f>
        <v/>
      </c>
      <c r="I70" s="221">
        <f>IF(A70="Total",VLOOKUP(B70,CORRESPONDANCE[#All],2,FALSE),I71)</f>
        <v/>
      </c>
      <c r="J70" s="350">
        <f>LEFT(A70,1)</f>
        <v/>
      </c>
      <c r="K70" s="347">
        <f>"TH4"&amp;" - "&amp;A70</f>
        <v/>
      </c>
      <c r="L70" s="347">
        <f>+VLOOKUP(K70,TL[],4,FALSE)</f>
        <v/>
      </c>
    </row>
    <row r="71">
      <c r="A71" s="348" t="inlineStr">
        <is>
          <t>61560000</t>
        </is>
      </c>
      <c r="B71" s="348" t="inlineStr">
        <is>
          <t>Maintenance mc do</t>
        </is>
      </c>
      <c r="C71" s="348" t="n">
        <v>465</v>
      </c>
      <c r="D71" s="348" t="inlineStr"/>
      <c r="E71" s="348" t="n">
        <v>465</v>
      </c>
      <c r="F71" s="348" t="inlineStr"/>
      <c r="G71" s="220">
        <f>SUM(C71)-SUM(D71)</f>
        <v/>
      </c>
      <c r="H71" s="220">
        <f>SUM(E71)-SUM(F71)</f>
        <v/>
      </c>
      <c r="I71" s="221">
        <f>IF(A71="Total",VLOOKUP(B71,CORRESPONDANCE[#All],2,FALSE),I72)</f>
        <v/>
      </c>
      <c r="J71" s="350">
        <f>LEFT(A71,1)</f>
        <v/>
      </c>
      <c r="K71" s="347">
        <f>"TH4"&amp;" - "&amp;A71</f>
        <v/>
      </c>
      <c r="L71" s="347">
        <f>+VLOOKUP(K71,TL[],4,FALSE)</f>
        <v/>
      </c>
    </row>
    <row r="72">
      <c r="A72" s="348" t="inlineStr">
        <is>
          <t>61561000</t>
        </is>
      </c>
      <c r="B72" s="348" t="inlineStr">
        <is>
          <t>Contrat iron mountain</t>
        </is>
      </c>
      <c r="C72" s="348" t="n">
        <v>27.5</v>
      </c>
      <c r="D72" s="348" t="inlineStr"/>
      <c r="E72" s="348" t="n">
        <v>27.5</v>
      </c>
      <c r="F72" s="348" t="inlineStr"/>
      <c r="G72" s="220">
        <f>SUM(C72)-SUM(D72)</f>
        <v/>
      </c>
      <c r="H72" s="220">
        <f>SUM(E72)-SUM(F72)</f>
        <v/>
      </c>
      <c r="I72" s="221">
        <f>IF(A72="Total",VLOOKUP(B72,CORRESPONDANCE[#All],2,FALSE),I73)</f>
        <v/>
      </c>
      <c r="J72" s="350">
        <f>LEFT(A72,1)</f>
        <v/>
      </c>
      <c r="K72" s="347">
        <f>"TH4"&amp;" - "&amp;A72</f>
        <v/>
      </c>
      <c r="L72" s="347">
        <f>+VLOOKUP(K72,TL[],4,FALSE)</f>
        <v/>
      </c>
    </row>
    <row r="73">
      <c r="A73" s="348" t="inlineStr">
        <is>
          <t>61561100</t>
        </is>
      </c>
      <c r="B73" s="348" t="inlineStr">
        <is>
          <t>Contrat ramassage espèces</t>
        </is>
      </c>
      <c r="C73" s="348" t="n">
        <v>349</v>
      </c>
      <c r="D73" s="348" t="inlineStr"/>
      <c r="E73" s="348" t="n">
        <v>349</v>
      </c>
      <c r="F73" s="348" t="inlineStr"/>
      <c r="G73" s="220">
        <f>SUM(C73)-SUM(D73)</f>
        <v/>
      </c>
      <c r="H73" s="220">
        <f>SUM(E73)-SUM(F73)</f>
        <v/>
      </c>
      <c r="I73" s="221">
        <f>IF(A73="Total",VLOOKUP(B73,CORRESPONDANCE[#All],2,FALSE),I74)</f>
        <v/>
      </c>
      <c r="J73" s="350">
        <f>LEFT(A73,1)</f>
        <v/>
      </c>
      <c r="K73" s="347">
        <f>"TH4"&amp;" - "&amp;A73</f>
        <v/>
      </c>
      <c r="L73" s="347">
        <f>+VLOOKUP(K73,TL[],4,FALSE)</f>
        <v/>
      </c>
    </row>
    <row r="74">
      <c r="A74" s="348" t="inlineStr">
        <is>
          <t>61561200</t>
        </is>
      </c>
      <c r="B74" s="348" t="inlineStr">
        <is>
          <t>Contrat collecte huiles usagées</t>
        </is>
      </c>
      <c r="C74" s="348" t="n">
        <v>99</v>
      </c>
      <c r="D74" s="348" t="inlineStr"/>
      <c r="E74" s="348" t="n">
        <v>99</v>
      </c>
      <c r="F74" s="348" t="inlineStr"/>
      <c r="G74" s="220">
        <f>SUM(C74)-SUM(D74)</f>
        <v/>
      </c>
      <c r="H74" s="220">
        <f>SUM(E74)-SUM(F74)</f>
        <v/>
      </c>
      <c r="I74" s="221">
        <f>IF(A74="Total",VLOOKUP(B74,CORRESPONDANCE[#All],2,FALSE),I75)</f>
        <v/>
      </c>
      <c r="J74" s="350">
        <f>LEFT(A74,1)</f>
        <v/>
      </c>
      <c r="K74" s="347">
        <f>"TH4"&amp;" - "&amp;A74</f>
        <v/>
      </c>
      <c r="L74" s="347">
        <f>+VLOOKUP(K74,TL[],4,FALSE)</f>
        <v/>
      </c>
    </row>
    <row r="75">
      <c r="A75" s="348" t="inlineStr">
        <is>
          <t>61561300</t>
        </is>
      </c>
      <c r="B75" s="348" t="inlineStr">
        <is>
          <t>Contrat reflex services</t>
        </is>
      </c>
      <c r="C75" s="348" t="n">
        <v>325</v>
      </c>
      <c r="D75" s="348" t="inlineStr"/>
      <c r="E75" s="348" t="n">
        <v>325</v>
      </c>
      <c r="F75" s="348" t="inlineStr"/>
      <c r="G75" s="220">
        <f>SUM(C75)-SUM(D75)</f>
        <v/>
      </c>
      <c r="H75" s="220">
        <f>SUM(E75)-SUM(F75)</f>
        <v/>
      </c>
      <c r="I75" s="221">
        <f>IF(A75="Total",VLOOKUP(B75,CORRESPONDANCE[#All],2,FALSE),I76)</f>
        <v/>
      </c>
      <c r="J75" s="350">
        <f>LEFT(A75,1)</f>
        <v/>
      </c>
      <c r="K75" s="347">
        <f>"TH4"&amp;" - "&amp;A75</f>
        <v/>
      </c>
      <c r="L75" s="347">
        <f>+VLOOKUP(K75,TL[],4,FALSE)</f>
        <v/>
      </c>
    </row>
    <row r="76">
      <c r="A76" s="348" t="inlineStr">
        <is>
          <t>61561400</t>
        </is>
      </c>
      <c r="B76" s="348" t="inlineStr">
        <is>
          <t>Contrat entretien aire de jeux</t>
        </is>
      </c>
      <c r="C76" s="348" t="n">
        <v>224</v>
      </c>
      <c r="D76" s="348" t="inlineStr"/>
      <c r="E76" s="348" t="n">
        <v>224</v>
      </c>
      <c r="F76" s="348" t="inlineStr"/>
      <c r="G76" s="220">
        <f>SUM(C76)-SUM(D76)</f>
        <v/>
      </c>
      <c r="H76" s="220">
        <f>SUM(E76)-SUM(F76)</f>
        <v/>
      </c>
      <c r="I76" s="221">
        <f>IF(A76="Total",VLOOKUP(B76,CORRESPONDANCE[#All],2,FALSE),I77)</f>
        <v/>
      </c>
      <c r="J76" s="350">
        <f>LEFT(A76,1)</f>
        <v/>
      </c>
      <c r="K76" s="347">
        <f>"TH4"&amp;" - "&amp;A76</f>
        <v/>
      </c>
      <c r="L76" s="347">
        <f>+VLOOKUP(K76,TL[],4,FALSE)</f>
        <v/>
      </c>
    </row>
    <row r="77">
      <c r="A77" s="348" t="inlineStr">
        <is>
          <t>61561500</t>
        </is>
      </c>
      <c r="B77" s="348" t="inlineStr">
        <is>
          <t>Contrat entretien linge</t>
        </is>
      </c>
      <c r="C77" s="348" t="n">
        <v>63.59</v>
      </c>
      <c r="D77" s="348" t="inlineStr"/>
      <c r="E77" s="348" t="n">
        <v>63.59</v>
      </c>
      <c r="F77" s="348" t="inlineStr"/>
      <c r="G77" s="220">
        <f>SUM(C77)-SUM(D77)</f>
        <v/>
      </c>
      <c r="H77" s="220">
        <f>SUM(E77)-SUM(F77)</f>
        <v/>
      </c>
      <c r="I77" s="221">
        <f>IF(A77="Total",VLOOKUP(B77,CORRESPONDANCE[#All],2,FALSE),I78)</f>
        <v/>
      </c>
      <c r="J77" s="350">
        <f>LEFT(A77,1)</f>
        <v/>
      </c>
      <c r="K77" s="347">
        <f>"TH4"&amp;" - "&amp;A77</f>
        <v/>
      </c>
      <c r="L77" s="347">
        <f>+VLOOKUP(K77,TL[],4,FALSE)</f>
        <v/>
      </c>
    </row>
    <row r="78">
      <c r="A78" s="348" t="inlineStr">
        <is>
          <t>61561700</t>
        </is>
      </c>
      <c r="B78" s="348" t="inlineStr">
        <is>
          <t>Contrat musique</t>
        </is>
      </c>
      <c r="C78" s="348" t="n">
        <v>45</v>
      </c>
      <c r="D78" s="348" t="inlineStr"/>
      <c r="E78" s="348" t="n">
        <v>45</v>
      </c>
      <c r="F78" s="348" t="inlineStr"/>
      <c r="G78" s="220">
        <f>SUM(C78)-SUM(D78)</f>
        <v/>
      </c>
      <c r="H78" s="220">
        <f>SUM(E78)-SUM(F78)</f>
        <v/>
      </c>
      <c r="I78" s="221">
        <f>IF(A78="Total",VLOOKUP(B78,CORRESPONDANCE[#All],2,FALSE),I79)</f>
        <v/>
      </c>
      <c r="J78" s="350">
        <f>LEFT(A78,1)</f>
        <v/>
      </c>
      <c r="K78" s="347">
        <f>"TH4"&amp;" - "&amp;A78</f>
        <v/>
      </c>
      <c r="L78" s="347">
        <f>+VLOOKUP(K78,TL[],4,FALSE)</f>
        <v/>
      </c>
    </row>
    <row r="79">
      <c r="A79" s="348" t="inlineStr">
        <is>
          <t>61561800</t>
        </is>
      </c>
      <c r="B79" s="348" t="inlineStr">
        <is>
          <t>Contrat wifi</t>
        </is>
      </c>
      <c r="C79" s="348" t="n">
        <v>67.2</v>
      </c>
      <c r="D79" s="348" t="inlineStr"/>
      <c r="E79" s="348" t="n">
        <v>67.2</v>
      </c>
      <c r="F79" s="348" t="inlineStr"/>
      <c r="G79" s="220">
        <f>SUM(C79)-SUM(D79)</f>
        <v/>
      </c>
      <c r="H79" s="220">
        <f>SUM(E79)-SUM(F79)</f>
        <v/>
      </c>
      <c r="I79" s="221">
        <f>IF(A79="Total",VLOOKUP(B79,CORRESPONDANCE[#All],2,FALSE),I80)</f>
        <v/>
      </c>
      <c r="J79" s="350">
        <f>LEFT(A79,1)</f>
        <v/>
      </c>
      <c r="K79" s="347">
        <f>"TH4"&amp;" - "&amp;A79</f>
        <v/>
      </c>
      <c r="L79" s="347">
        <f>+VLOOKUP(K79,TL[],4,FALSE)</f>
        <v/>
      </c>
    </row>
    <row r="80">
      <c r="A80" s="348" t="inlineStr">
        <is>
          <t>61562100</t>
        </is>
      </c>
      <c r="B80" s="348" t="inlineStr">
        <is>
          <t>Contrat Véolia</t>
        </is>
      </c>
      <c r="C80" s="348" t="n">
        <v>300</v>
      </c>
      <c r="D80" s="348" t="inlineStr"/>
      <c r="E80" s="348" t="n">
        <v>300</v>
      </c>
      <c r="F80" s="348" t="inlineStr"/>
      <c r="G80" s="220">
        <f>SUM(C80)-SUM(D80)</f>
        <v/>
      </c>
      <c r="H80" s="220">
        <f>SUM(E80)-SUM(F80)</f>
        <v/>
      </c>
      <c r="I80" s="221">
        <f>IF(A80="Total",VLOOKUP(B80,CORRESPONDANCE[#All],2,FALSE),I81)</f>
        <v/>
      </c>
      <c r="J80" s="350">
        <f>LEFT(A80,1)</f>
        <v/>
      </c>
      <c r="K80" s="347">
        <f>"TH4"&amp;" - "&amp;A80</f>
        <v/>
      </c>
      <c r="L80" s="347">
        <f>+VLOOKUP(K80,TL[],4,FALSE)</f>
        <v/>
      </c>
    </row>
    <row r="81">
      <c r="A81" s="348" t="inlineStr">
        <is>
          <t>61562300</t>
        </is>
      </c>
      <c r="B81" s="348" t="inlineStr">
        <is>
          <t>Contrat Helpline</t>
        </is>
      </c>
      <c r="C81" s="348" t="n">
        <v>668.42</v>
      </c>
      <c r="D81" s="348" t="inlineStr"/>
      <c r="E81" s="348" t="n">
        <v>668.42</v>
      </c>
      <c r="F81" s="348" t="inlineStr"/>
      <c r="G81" s="220">
        <f>SUM(C81)-SUM(D81)</f>
        <v/>
      </c>
      <c r="H81" s="220">
        <f>SUM(E81)-SUM(F81)</f>
        <v/>
      </c>
      <c r="I81" s="221">
        <f>IF(A81="Total",VLOOKUP(B81,CORRESPONDANCE[#All],2,FALSE),I82)</f>
        <v/>
      </c>
      <c r="J81" s="350">
        <f>LEFT(A81,1)</f>
        <v/>
      </c>
      <c r="K81" s="347">
        <f>"TH4"&amp;" - "&amp;A81</f>
        <v/>
      </c>
      <c r="L81" s="347">
        <f>+VLOOKUP(K81,TL[],4,FALSE)</f>
        <v/>
      </c>
    </row>
    <row r="82">
      <c r="A82" s="348" t="inlineStr">
        <is>
          <t>61562800</t>
        </is>
      </c>
      <c r="B82" s="348" t="inlineStr">
        <is>
          <t>Contrat mood</t>
        </is>
      </c>
      <c r="C82" s="348" t="n">
        <v>19</v>
      </c>
      <c r="D82" s="348" t="inlineStr"/>
      <c r="E82" s="348" t="n">
        <v>19</v>
      </c>
      <c r="F82" s="348" t="inlineStr"/>
      <c r="G82" s="220">
        <f>SUM(C82)-SUM(D82)</f>
        <v/>
      </c>
      <c r="H82" s="220">
        <f>SUM(E82)-SUM(F82)</f>
        <v/>
      </c>
      <c r="I82" s="221">
        <f>IF(A82="Total",VLOOKUP(B82,CORRESPONDANCE[#All],2,FALSE),I83)</f>
        <v/>
      </c>
      <c r="J82" s="350">
        <f>LEFT(A82,1)</f>
        <v/>
      </c>
      <c r="K82" s="347">
        <f>"TH4"&amp;" - "&amp;A82</f>
        <v/>
      </c>
      <c r="L82" s="347">
        <f>+VLOOKUP(K82,TL[],4,FALSE)</f>
        <v/>
      </c>
    </row>
    <row r="83">
      <c r="A83" s="348" t="inlineStr">
        <is>
          <t>61563000</t>
        </is>
      </c>
      <c r="B83" s="348" t="inlineStr">
        <is>
          <t>Contrat maintenance coca</t>
        </is>
      </c>
      <c r="C83" s="348" t="n">
        <v>150</v>
      </c>
      <c r="D83" s="348" t="inlineStr"/>
      <c r="E83" s="348" t="n">
        <v>150</v>
      </c>
      <c r="F83" s="348" t="inlineStr"/>
      <c r="G83" s="220">
        <f>SUM(C83)-SUM(D83)</f>
        <v/>
      </c>
      <c r="H83" s="220">
        <f>SUM(E83)-SUM(F83)</f>
        <v/>
      </c>
      <c r="I83" s="221">
        <f>IF(A83="Total",VLOOKUP(B83,CORRESPONDANCE[#All],2,FALSE),I84)</f>
        <v/>
      </c>
      <c r="J83" s="350">
        <f>LEFT(A83,1)</f>
        <v/>
      </c>
      <c r="K83" s="347">
        <f>"TH4"&amp;" - "&amp;A83</f>
        <v/>
      </c>
      <c r="L83" s="347">
        <f>+VLOOKUP(K83,TL[],4,FALSE)</f>
        <v/>
      </c>
    </row>
    <row r="84">
      <c r="A84" s="348" t="inlineStr">
        <is>
          <t>61563100</t>
        </is>
      </c>
      <c r="B84" s="348" t="inlineStr">
        <is>
          <t>Contrat maintenance melitta</t>
        </is>
      </c>
      <c r="C84" s="348" t="n">
        <v>119</v>
      </c>
      <c r="D84" s="348" t="inlineStr"/>
      <c r="E84" s="348" t="n">
        <v>119</v>
      </c>
      <c r="F84" s="348" t="inlineStr"/>
      <c r="G84" s="220">
        <f>SUM(C84)-SUM(D84)</f>
        <v/>
      </c>
      <c r="H84" s="220">
        <f>SUM(E84)-SUM(F84)</f>
        <v/>
      </c>
      <c r="I84" s="221">
        <f>IF(A84="Total",VLOOKUP(B84,CORRESPONDANCE[#All],2,FALSE),I85)</f>
        <v/>
      </c>
      <c r="J84" s="350">
        <f>LEFT(A84,1)</f>
        <v/>
      </c>
      <c r="K84" s="347">
        <f>"TH4"&amp;" - "&amp;A84</f>
        <v/>
      </c>
      <c r="L84" s="347">
        <f>+VLOOKUP(K84,TL[],4,FALSE)</f>
        <v/>
      </c>
    </row>
    <row r="85">
      <c r="A85" s="348" t="inlineStr">
        <is>
          <t>61563200</t>
        </is>
      </c>
      <c r="B85" s="348" t="inlineStr">
        <is>
          <t>Contrat acrelec</t>
        </is>
      </c>
      <c r="C85" s="348" t="n">
        <v>385</v>
      </c>
      <c r="D85" s="348" t="inlineStr"/>
      <c r="E85" s="348" t="n">
        <v>385</v>
      </c>
      <c r="F85" s="348" t="inlineStr"/>
      <c r="G85" s="220">
        <f>SUM(C85)-SUM(D85)</f>
        <v/>
      </c>
      <c r="H85" s="220">
        <f>SUM(E85)-SUM(F85)</f>
        <v/>
      </c>
      <c r="I85" s="221">
        <f>IF(A85="Total",VLOOKUP(B85,CORRESPONDANCE[#All],2,FALSE),I86)</f>
        <v/>
      </c>
      <c r="J85" s="350">
        <f>LEFT(A85,1)</f>
        <v/>
      </c>
      <c r="K85" s="347">
        <f>"TH4"&amp;" - "&amp;A85</f>
        <v/>
      </c>
      <c r="L85" s="347">
        <f>+VLOOKUP(K85,TL[],4,FALSE)</f>
        <v/>
      </c>
    </row>
    <row r="86">
      <c r="A86" s="348" t="inlineStr">
        <is>
          <t>61563300</t>
        </is>
      </c>
      <c r="B86" s="348" t="inlineStr">
        <is>
          <t>Contrat interway</t>
        </is>
      </c>
      <c r="C86" s="348" t="n">
        <v>162.67</v>
      </c>
      <c r="D86" s="348" t="inlineStr"/>
      <c r="E86" s="348" t="n">
        <v>162.67</v>
      </c>
      <c r="F86" s="348" t="inlineStr"/>
      <c r="G86" s="220">
        <f>SUM(C86)-SUM(D86)</f>
        <v/>
      </c>
      <c r="H86" s="220">
        <f>SUM(E86)-SUM(F86)</f>
        <v/>
      </c>
      <c r="I86" s="221">
        <f>IF(A86="Total",VLOOKUP(B86,CORRESPONDANCE[#All],2,FALSE),I87)</f>
        <v/>
      </c>
      <c r="J86" s="350">
        <f>LEFT(A86,1)</f>
        <v/>
      </c>
      <c r="K86" s="347">
        <f>"TH4"&amp;" - "&amp;A86</f>
        <v/>
      </c>
      <c r="L86" s="347">
        <f>+VLOOKUP(K86,TL[],4,FALSE)</f>
        <v/>
      </c>
    </row>
    <row r="87">
      <c r="A87" s="348" t="inlineStr">
        <is>
          <t>61563700</t>
        </is>
      </c>
      <c r="B87" s="348" t="inlineStr">
        <is>
          <t>Contrat ats</t>
        </is>
      </c>
      <c r="C87" s="348" t="n">
        <v>20</v>
      </c>
      <c r="D87" s="348" t="inlineStr"/>
      <c r="E87" s="348" t="n">
        <v>20</v>
      </c>
      <c r="F87" s="348" t="inlineStr"/>
      <c r="G87" s="220">
        <f>SUM(C87)-SUM(D87)</f>
        <v/>
      </c>
      <c r="H87" s="220">
        <f>SUM(E87)-SUM(F87)</f>
        <v/>
      </c>
      <c r="I87" s="221">
        <f>IF(A87="Total",VLOOKUP(B87,CORRESPONDANCE[#All],2,FALSE),I88)</f>
        <v/>
      </c>
      <c r="J87" s="350">
        <f>LEFT(A87,1)</f>
        <v/>
      </c>
      <c r="K87" s="347">
        <f>"TH4"&amp;" - "&amp;A87</f>
        <v/>
      </c>
      <c r="L87" s="347">
        <f>+VLOOKUP(K87,TL[],4,FALSE)</f>
        <v/>
      </c>
    </row>
    <row r="88">
      <c r="A88" s="348" t="inlineStr">
        <is>
          <t>61563800</t>
        </is>
      </c>
      <c r="B88" s="348" t="inlineStr">
        <is>
          <t>Contrat jri</t>
        </is>
      </c>
      <c r="C88" s="348" t="n">
        <v>54</v>
      </c>
      <c r="D88" s="348" t="inlineStr"/>
      <c r="E88" s="348" t="n">
        <v>54</v>
      </c>
      <c r="F88" s="348" t="inlineStr"/>
      <c r="G88" s="220">
        <f>SUM(C88)-SUM(D88)</f>
        <v/>
      </c>
      <c r="H88" s="220">
        <f>SUM(E88)-SUM(F88)</f>
        <v/>
      </c>
      <c r="I88" s="221">
        <f>IF(A88="Total",VLOOKUP(B88,CORRESPONDANCE[#All],2,FALSE),I89)</f>
        <v/>
      </c>
      <c r="J88" s="350">
        <f>LEFT(A88,1)</f>
        <v/>
      </c>
      <c r="K88" s="347">
        <f>"TH4"&amp;" - "&amp;A88</f>
        <v/>
      </c>
      <c r="L88" s="347">
        <f>+VLOOKUP(K88,TL[],4,FALSE)</f>
        <v/>
      </c>
    </row>
    <row r="89">
      <c r="A89" s="348" t="inlineStr">
        <is>
          <t>61563900</t>
        </is>
      </c>
      <c r="B89" s="348" t="inlineStr">
        <is>
          <t>contrat grenke</t>
        </is>
      </c>
      <c r="C89" s="348" t="n">
        <v>259</v>
      </c>
      <c r="D89" s="348" t="inlineStr"/>
      <c r="E89" s="348" t="n">
        <v>259</v>
      </c>
      <c r="F89" s="348" t="inlineStr"/>
      <c r="G89" s="220">
        <f>SUM(C89)-SUM(D89)</f>
        <v/>
      </c>
      <c r="H89" s="220">
        <f>SUM(E89)-SUM(F89)</f>
        <v/>
      </c>
      <c r="I89" s="221">
        <f>IF(A89="Total",VLOOKUP(B89,CORRESPONDANCE[#All],2,FALSE),I90)</f>
        <v/>
      </c>
      <c r="J89" s="350">
        <f>LEFT(A89,1)</f>
        <v/>
      </c>
      <c r="K89" s="347">
        <f>"TH4"&amp;" - "&amp;A89</f>
        <v/>
      </c>
      <c r="L89" s="347">
        <f>+VLOOKUP(K89,TL[],4,FALSE)</f>
        <v/>
      </c>
    </row>
    <row r="90">
      <c r="A90" s="348" t="inlineStr">
        <is>
          <t>61564000</t>
        </is>
      </c>
      <c r="B90" s="348" t="inlineStr">
        <is>
          <t>contrat socotec</t>
        </is>
      </c>
      <c r="C90" s="348" t="n">
        <v>170</v>
      </c>
      <c r="D90" s="348" t="inlineStr"/>
      <c r="E90" s="348" t="n">
        <v>170</v>
      </c>
      <c r="F90" s="348" t="inlineStr"/>
      <c r="G90" s="220">
        <f>SUM(C90)-SUM(D90)</f>
        <v/>
      </c>
      <c r="H90" s="220">
        <f>SUM(E90)-SUM(F90)</f>
        <v/>
      </c>
      <c r="I90" s="221">
        <f>IF(A90="Total",VLOOKUP(B90,CORRESPONDANCE[#All],2,FALSE),I91)</f>
        <v/>
      </c>
      <c r="J90" s="350">
        <f>LEFT(A90,1)</f>
        <v/>
      </c>
      <c r="K90" s="347">
        <f>"TH4"&amp;" - "&amp;A90</f>
        <v/>
      </c>
      <c r="L90" s="347">
        <f>+VLOOKUP(K90,TL[],4,FALSE)</f>
        <v/>
      </c>
    </row>
    <row r="91">
      <c r="A91" s="348" t="inlineStr">
        <is>
          <t>61564200</t>
        </is>
      </c>
      <c r="B91" s="348" t="inlineStr">
        <is>
          <t>contrat chubb</t>
        </is>
      </c>
      <c r="C91" s="348" t="n">
        <v>109</v>
      </c>
      <c r="D91" s="348" t="inlineStr"/>
      <c r="E91" s="348" t="n">
        <v>109</v>
      </c>
      <c r="F91" s="348" t="inlineStr"/>
      <c r="G91" s="220">
        <f>SUM(C91)-SUM(D91)</f>
        <v/>
      </c>
      <c r="H91" s="220">
        <f>SUM(E91)-SUM(F91)</f>
        <v/>
      </c>
      <c r="I91" s="221">
        <f>IF(A91="Total",VLOOKUP(B91,CORRESPONDANCE[#All],2,FALSE),I92)</f>
        <v/>
      </c>
      <c r="J91" s="350">
        <f>LEFT(A91,1)</f>
        <v/>
      </c>
      <c r="K91" s="347">
        <f>"TH4"&amp;" - "&amp;A91</f>
        <v/>
      </c>
      <c r="L91" s="347">
        <f>+VLOOKUP(K91,TL[],4,FALSE)</f>
        <v/>
      </c>
    </row>
    <row r="92">
      <c r="A92" s="348" t="inlineStr">
        <is>
          <t>61564300</t>
        </is>
      </c>
      <c r="B92" s="348" t="inlineStr">
        <is>
          <t>contrat steeple</t>
        </is>
      </c>
      <c r="C92" s="348" t="n">
        <v>73.17</v>
      </c>
      <c r="D92" s="348" t="inlineStr"/>
      <c r="E92" s="348" t="n">
        <v>73.17</v>
      </c>
      <c r="F92" s="348" t="inlineStr"/>
      <c r="G92" s="220">
        <f>SUM(C92)-SUM(D92)</f>
        <v/>
      </c>
      <c r="H92" s="220">
        <f>SUM(E92)-SUM(F92)</f>
        <v/>
      </c>
      <c r="I92" s="221">
        <f>IF(A92="Total",VLOOKUP(B92,CORRESPONDANCE[#All],2,FALSE),I93)</f>
        <v/>
      </c>
      <c r="J92" s="350">
        <f>LEFT(A92,1)</f>
        <v/>
      </c>
      <c r="K92" s="347">
        <f>"TH4"&amp;" - "&amp;A92</f>
        <v/>
      </c>
      <c r="L92" s="347">
        <f>+VLOOKUP(K92,TL[],4,FALSE)</f>
        <v/>
      </c>
    </row>
    <row r="93">
      <c r="A93" s="348" t="inlineStr">
        <is>
          <t>61564400</t>
        </is>
      </c>
      <c r="B93" s="348" t="inlineStr">
        <is>
          <t>appli suivi perf mgr</t>
        </is>
      </c>
      <c r="C93" s="348" t="n">
        <v>168</v>
      </c>
      <c r="D93" s="348" t="inlineStr"/>
      <c r="E93" s="348" t="n">
        <v>168</v>
      </c>
      <c r="F93" s="348" t="inlineStr"/>
      <c r="G93" s="220">
        <f>SUM(C93)-SUM(D93)</f>
        <v/>
      </c>
      <c r="H93" s="220">
        <f>SUM(E93)-SUM(F93)</f>
        <v/>
      </c>
      <c r="I93" s="221">
        <f>IF(A93="Total",VLOOKUP(B93,CORRESPONDANCE[#All],2,FALSE),I94)</f>
        <v/>
      </c>
      <c r="J93" s="350">
        <f>LEFT(A93,1)</f>
        <v/>
      </c>
      <c r="K93" s="347">
        <f>"TH4"&amp;" - "&amp;A93</f>
        <v/>
      </c>
      <c r="L93" s="347">
        <f>+VLOOKUP(K93,TL[],4,FALSE)</f>
        <v/>
      </c>
    </row>
    <row r="94">
      <c r="A94" s="348" t="inlineStr">
        <is>
          <t>61564500</t>
        </is>
      </c>
      <c r="B94" s="348" t="inlineStr">
        <is>
          <t>contrat primobox</t>
        </is>
      </c>
      <c r="C94" s="348" t="n">
        <v>10</v>
      </c>
      <c r="D94" s="348" t="inlineStr"/>
      <c r="E94" s="348" t="n">
        <v>10</v>
      </c>
      <c r="F94" s="348" t="inlineStr"/>
      <c r="G94" s="220">
        <f>SUM(C94)-SUM(D94)</f>
        <v/>
      </c>
      <c r="H94" s="220">
        <f>SUM(E94)-SUM(F94)</f>
        <v/>
      </c>
      <c r="I94" s="221">
        <f>IF(A94="Total",VLOOKUP(B94,CORRESPONDANCE[#All],2,FALSE),I95)</f>
        <v/>
      </c>
      <c r="J94" s="350">
        <f>LEFT(A94,1)</f>
        <v/>
      </c>
      <c r="K94" s="347">
        <f>"TH4"&amp;" - "&amp;A94</f>
        <v/>
      </c>
      <c r="L94" s="347">
        <f>+VLOOKUP(K94,TL[],4,FALSE)</f>
        <v/>
      </c>
    </row>
    <row r="95">
      <c r="A95" s="348" t="inlineStr">
        <is>
          <t>61564700</t>
        </is>
      </c>
      <c r="B95" s="348" t="inlineStr">
        <is>
          <t>Contrat coates</t>
        </is>
      </c>
      <c r="C95" s="348" t="n">
        <v>76.7</v>
      </c>
      <c r="D95" s="348" t="inlineStr"/>
      <c r="E95" s="348" t="n">
        <v>76.7</v>
      </c>
      <c r="F95" s="348" t="inlineStr"/>
      <c r="G95" s="220">
        <f>SUM(C95)-SUM(D95)</f>
        <v/>
      </c>
      <c r="H95" s="220">
        <f>SUM(E95)-SUM(F95)</f>
        <v/>
      </c>
      <c r="I95" s="221">
        <f>IF(A95="Total",VLOOKUP(B95,CORRESPONDANCE[#All],2,FALSE),I96)</f>
        <v/>
      </c>
      <c r="J95" s="350">
        <f>LEFT(A95,1)</f>
        <v/>
      </c>
      <c r="K95" s="347">
        <f>"TH4"&amp;" - "&amp;A95</f>
        <v/>
      </c>
      <c r="L95" s="347">
        <f>+VLOOKUP(K95,TL[],4,FALSE)</f>
        <v/>
      </c>
    </row>
    <row r="96">
      <c r="A96" s="348" t="inlineStr">
        <is>
          <t>62630000</t>
        </is>
      </c>
      <c r="B96" s="348" t="inlineStr">
        <is>
          <t>Connexion TPE</t>
        </is>
      </c>
      <c r="C96" s="348" t="n">
        <v>8.83</v>
      </c>
      <c r="D96" s="348" t="inlineStr"/>
      <c r="E96" s="348" t="n">
        <v>8.83</v>
      </c>
      <c r="F96" s="348" t="inlineStr"/>
      <c r="G96" s="220">
        <f>SUM(C96)-SUM(D96)</f>
        <v/>
      </c>
      <c r="H96" s="220">
        <f>SUM(E96)-SUM(F96)</f>
        <v/>
      </c>
      <c r="I96" s="221">
        <f>IF(A96="Total",VLOOKUP(B96,CORRESPONDANCE[#All],2,FALSE),I97)</f>
        <v/>
      </c>
      <c r="J96" s="350">
        <f>LEFT(A96,1)</f>
        <v/>
      </c>
      <c r="K96" s="347">
        <f>"TH4"&amp;" - "&amp;A96</f>
        <v/>
      </c>
      <c r="L96" s="347">
        <f>+VLOOKUP(K96,TL[],4,FALSE)</f>
        <v/>
      </c>
    </row>
    <row r="97">
      <c r="A97" s="348" t="inlineStr">
        <is>
          <t>64750000</t>
        </is>
      </c>
      <c r="B97" s="348" t="inlineStr">
        <is>
          <t>Médecine du travail et pharmacie</t>
        </is>
      </c>
      <c r="C97" s="348" t="n">
        <v>466</v>
      </c>
      <c r="D97" s="348" t="inlineStr"/>
      <c r="E97" s="348" t="n">
        <v>466</v>
      </c>
      <c r="F97" s="348" t="inlineStr"/>
      <c r="G97" s="220">
        <f>SUM(C97)-SUM(D97)</f>
        <v/>
      </c>
      <c r="H97" s="220">
        <f>SUM(E97)-SUM(F97)</f>
        <v/>
      </c>
      <c r="I97" s="221">
        <f>IF(A97="Total",VLOOKUP(B97,CORRESPONDANCE[#All],2,FALSE),I98)</f>
        <v/>
      </c>
      <c r="J97" s="350">
        <f>LEFT(A97,1)</f>
        <v/>
      </c>
      <c r="K97" s="347">
        <f>"TH4"&amp;" - "&amp;A97</f>
        <v/>
      </c>
      <c r="L97" s="347">
        <f>+VLOOKUP(K97,TL[],4,FALSE)</f>
        <v/>
      </c>
    </row>
    <row r="98">
      <c r="A98" s="348" t="inlineStr">
        <is>
          <t>65170000</t>
        </is>
      </c>
      <c r="B98" s="348" t="inlineStr">
        <is>
          <t>Redevance interway</t>
        </is>
      </c>
      <c r="C98" s="348" t="n">
        <v>226.05</v>
      </c>
      <c r="D98" s="348" t="inlineStr"/>
      <c r="E98" s="348" t="n">
        <v>226.05</v>
      </c>
      <c r="F98" s="348" t="inlineStr"/>
      <c r="G98" s="220">
        <f>SUM(C98)-SUM(D98)</f>
        <v/>
      </c>
      <c r="H98" s="220">
        <f>SUM(E98)-SUM(F98)</f>
        <v/>
      </c>
      <c r="I98" s="221">
        <f>IF(A98="Total",VLOOKUP(B98,CORRESPONDANCE[#All],2,FALSE),I99)</f>
        <v/>
      </c>
      <c r="J98" s="350">
        <f>LEFT(A98,1)</f>
        <v/>
      </c>
      <c r="K98" s="347">
        <f>"TH4"&amp;" - "&amp;A98</f>
        <v/>
      </c>
      <c r="L98" s="347">
        <f>+VLOOKUP(K98,TL[],4,FALSE)</f>
        <v/>
      </c>
    </row>
    <row r="99">
      <c r="A99" s="348" t="inlineStr">
        <is>
          <t>Total</t>
        </is>
      </c>
      <c r="B99" s="348" t="inlineStr">
        <is>
          <t>Table n°2  -  Autres Services Extérieurs</t>
        </is>
      </c>
      <c r="C99" s="348" t="n">
        <v>5907.01</v>
      </c>
      <c r="D99" s="348" t="inlineStr"/>
      <c r="E99" s="348" t="n">
        <v>5907.01</v>
      </c>
      <c r="F99" s="348" t="inlineStr"/>
      <c r="G99" s="220">
        <f>SUM(C99)-SUM(D99)</f>
        <v/>
      </c>
      <c r="H99" s="220">
        <f>SUM(E99)-SUM(F99)</f>
        <v/>
      </c>
      <c r="I99" s="221">
        <f>IF(A99="Total",VLOOKUP(B99,CORRESPONDANCE[#All],2,FALSE),I100)</f>
        <v/>
      </c>
      <c r="J99" s="350">
        <f>LEFT(A99,1)</f>
        <v/>
      </c>
      <c r="K99" s="347">
        <f>"TH4"&amp;" - "&amp;A99</f>
        <v/>
      </c>
      <c r="L99" s="347">
        <f>+VLOOKUP(K99,TL[],4,FALSE)</f>
        <v/>
      </c>
    </row>
    <row r="100">
      <c r="A100" s="348" t="inlineStr">
        <is>
          <t>62221000</t>
        </is>
      </c>
      <c r="B100" s="348" t="inlineStr">
        <is>
          <t>Commissions Uber</t>
        </is>
      </c>
      <c r="C100" s="348" t="n">
        <v>2045.95</v>
      </c>
      <c r="D100" s="348" t="inlineStr"/>
      <c r="E100" s="348" t="n">
        <v>2045.95</v>
      </c>
      <c r="F100" s="348" t="inlineStr"/>
      <c r="G100" s="220">
        <f>SUM(C100)-SUM(D100)</f>
        <v/>
      </c>
      <c r="H100" s="220">
        <f>SUM(E100)-SUM(F100)</f>
        <v/>
      </c>
      <c r="I100" s="221">
        <f>IF(A100="Total",VLOOKUP(B100,CORRESPONDANCE[#All],2,FALSE),I101)</f>
        <v/>
      </c>
      <c r="J100" s="350">
        <f>LEFT(A100,1)</f>
        <v/>
      </c>
      <c r="K100" s="347">
        <f>"TH4"&amp;" - "&amp;A100</f>
        <v/>
      </c>
      <c r="L100" s="347">
        <f>+VLOOKUP(K100,TL[],4,FALSE)</f>
        <v/>
      </c>
    </row>
    <row r="101">
      <c r="A101" s="348" t="inlineStr">
        <is>
          <t>Total</t>
        </is>
      </c>
      <c r="B101" s="348" t="inlineStr">
        <is>
          <t>Table n°2  -  Commissions Food Tech</t>
        </is>
      </c>
      <c r="C101" s="348" t="n">
        <v>2045.95</v>
      </c>
      <c r="D101" s="348" t="inlineStr"/>
      <c r="E101" s="348" t="n">
        <v>2045.95</v>
      </c>
      <c r="F101" s="348" t="inlineStr"/>
      <c r="G101" s="220">
        <f>SUM(C101)-SUM(D101)</f>
        <v/>
      </c>
      <c r="H101" s="220">
        <f>SUM(E101)-SUM(F101)</f>
        <v/>
      </c>
      <c r="I101" s="221">
        <f>IF(A101="Total",VLOOKUP(B101,CORRESPONDANCE[#All],2,FALSE),I102)</f>
        <v/>
      </c>
      <c r="J101" s="350">
        <f>LEFT(A101,1)</f>
        <v/>
      </c>
      <c r="K101" s="347">
        <f>"TH4"&amp;" - "&amp;A101</f>
        <v/>
      </c>
      <c r="L101" s="347">
        <f>+VLOOKUP(K101,TL[],4,FALSE)</f>
        <v/>
      </c>
    </row>
    <row r="102">
      <c r="A102" s="348" t="inlineStr">
        <is>
          <t>62300000</t>
        </is>
      </c>
      <c r="B102" s="348" t="inlineStr">
        <is>
          <t>Publicité (redevance 4%)</t>
        </is>
      </c>
      <c r="C102" s="348" t="n">
        <v>14087.42</v>
      </c>
      <c r="D102" s="348" t="inlineStr"/>
      <c r="E102" s="348" t="n">
        <v>14087.42</v>
      </c>
      <c r="F102" s="348" t="inlineStr"/>
      <c r="G102" s="220">
        <f>SUM(C102)-SUM(D102)</f>
        <v/>
      </c>
      <c r="H102" s="220">
        <f>SUM(E102)-SUM(F102)</f>
        <v/>
      </c>
      <c r="I102" s="221">
        <f>IF(A102="Total",VLOOKUP(B102,CORRESPONDANCE[#All],2,FALSE),I103)</f>
        <v/>
      </c>
      <c r="J102" s="350">
        <f>LEFT(A102,1)</f>
        <v/>
      </c>
      <c r="K102" s="347">
        <f>"TH4"&amp;" - "&amp;A102</f>
        <v/>
      </c>
      <c r="L102" s="347">
        <f>+VLOOKUP(K102,TL[],4,FALSE)</f>
        <v/>
      </c>
    </row>
    <row r="103">
      <c r="A103" s="348" t="inlineStr">
        <is>
          <t>Total</t>
        </is>
      </c>
      <c r="B103" s="348" t="inlineStr">
        <is>
          <t>Table n°2  -  Publicité GIE</t>
        </is>
      </c>
      <c r="C103" s="348" t="n">
        <v>14087.42</v>
      </c>
      <c r="D103" s="348" t="inlineStr"/>
      <c r="E103" s="348" t="n">
        <v>14087.42</v>
      </c>
      <c r="F103" s="348" t="inlineStr"/>
      <c r="G103" s="220">
        <f>SUM(C103)-SUM(D103)</f>
        <v/>
      </c>
      <c r="H103" s="220">
        <f>SUM(E103)-SUM(F103)</f>
        <v/>
      </c>
      <c r="I103" s="221">
        <f>IF(A103="Total",VLOOKUP(B103,CORRESPONDANCE[#All],2,FALSE),I104)</f>
        <v/>
      </c>
      <c r="J103" s="350">
        <f>LEFT(A103,1)</f>
        <v/>
      </c>
      <c r="K103" s="347">
        <f>"TH4"&amp;" - "&amp;A103</f>
        <v/>
      </c>
      <c r="L103" s="347">
        <f>+VLOOKUP(K103,TL[],4,FALSE)</f>
        <v/>
      </c>
    </row>
    <row r="104">
      <c r="A104" s="348" t="inlineStr">
        <is>
          <t>62300200</t>
        </is>
      </c>
      <c r="B104" s="348" t="inlineStr">
        <is>
          <t>Promotion locale</t>
        </is>
      </c>
      <c r="C104" s="348" t="n">
        <v>2700</v>
      </c>
      <c r="D104" s="348" t="inlineStr"/>
      <c r="E104" s="348" t="n">
        <v>2700</v>
      </c>
      <c r="F104" s="348" t="inlineStr"/>
      <c r="G104" s="220">
        <f>SUM(C104)-SUM(D104)</f>
        <v/>
      </c>
      <c r="H104" s="220">
        <f>SUM(E104)-SUM(F104)</f>
        <v/>
      </c>
      <c r="I104" s="221">
        <f>IF(A104="Total",VLOOKUP(B104,CORRESPONDANCE[#All],2,FALSE),I105)</f>
        <v/>
      </c>
      <c r="J104" s="350">
        <f>LEFT(A104,1)</f>
        <v/>
      </c>
      <c r="K104" s="347">
        <f>"TH4"&amp;" - "&amp;A104</f>
        <v/>
      </c>
      <c r="L104" s="347">
        <f>+VLOOKUP(K104,TL[],4,FALSE)</f>
        <v/>
      </c>
    </row>
    <row r="105">
      <c r="A105" s="348" t="inlineStr">
        <is>
          <t>62340100</t>
        </is>
      </c>
      <c r="B105" s="348" t="inlineStr">
        <is>
          <t>Pub public rel publiques</t>
        </is>
      </c>
      <c r="C105" s="348" t="n">
        <v>4574.39</v>
      </c>
      <c r="D105" s="348" t="inlineStr"/>
      <c r="E105" s="348" t="n">
        <v>4574.39</v>
      </c>
      <c r="F105" s="348" t="inlineStr"/>
      <c r="G105" s="220">
        <f>SUM(C105)-SUM(D105)</f>
        <v/>
      </c>
      <c r="H105" s="220">
        <f>SUM(E105)-SUM(F105)</f>
        <v/>
      </c>
      <c r="I105" s="221">
        <f>IF(A105="Total",VLOOKUP(B105,CORRESPONDANCE[#All],2,FALSE),I106)</f>
        <v/>
      </c>
      <c r="J105" s="350">
        <f>LEFT(A105,1)</f>
        <v/>
      </c>
      <c r="K105" s="347">
        <f>"TH4"&amp;" - "&amp;A105</f>
        <v/>
      </c>
      <c r="L105" s="347">
        <f>+VLOOKUP(K105,TL[],4,FALSE)</f>
        <v/>
      </c>
    </row>
    <row r="106">
      <c r="A106" s="348" t="inlineStr">
        <is>
          <t>62341500</t>
        </is>
      </c>
      <c r="B106" s="348" t="inlineStr">
        <is>
          <t>Premium</t>
        </is>
      </c>
      <c r="C106" s="348" t="n">
        <v>1266.17</v>
      </c>
      <c r="D106" s="348" t="inlineStr"/>
      <c r="E106" s="348" t="n">
        <v>1266.17</v>
      </c>
      <c r="F106" s="348" t="inlineStr"/>
      <c r="G106" s="220">
        <f>SUM(C106)-SUM(D106)</f>
        <v/>
      </c>
      <c r="H106" s="220">
        <f>SUM(E106)-SUM(F106)</f>
        <v/>
      </c>
      <c r="I106" s="221">
        <f>IF(A106="Total",VLOOKUP(B106,CORRESPONDANCE[#All],2,FALSE),I107)</f>
        <v/>
      </c>
      <c r="J106" s="350">
        <f>LEFT(A106,1)</f>
        <v/>
      </c>
      <c r="K106" s="347">
        <f>"TH4"&amp;" - "&amp;A106</f>
        <v/>
      </c>
      <c r="L106" s="347">
        <f>+VLOOKUP(K106,TL[],4,FALSE)</f>
        <v/>
      </c>
    </row>
    <row r="107">
      <c r="A107" s="348" t="inlineStr">
        <is>
          <t>Total</t>
        </is>
      </c>
      <c r="B107" s="348" t="inlineStr">
        <is>
          <t>Table n°2  -  Promotion locale</t>
        </is>
      </c>
      <c r="C107" s="348" t="n">
        <v>8540.559999999999</v>
      </c>
      <c r="D107" s="348" t="inlineStr"/>
      <c r="E107" s="348" t="n">
        <v>8540.559999999999</v>
      </c>
      <c r="F107" s="348" t="inlineStr"/>
      <c r="G107" s="220">
        <f>SUM(C107)-SUM(D107)</f>
        <v/>
      </c>
      <c r="H107" s="220">
        <f>SUM(E107)-SUM(F107)</f>
        <v/>
      </c>
      <c r="I107" s="221">
        <f>IF(A107="Total",VLOOKUP(B107,CORRESPONDANCE[#All],2,FALSE),I108)</f>
        <v/>
      </c>
      <c r="J107" s="350">
        <f>LEFT(A107,1)</f>
        <v/>
      </c>
      <c r="K107" s="347">
        <f>"TH4"&amp;" - "&amp;A107</f>
        <v/>
      </c>
      <c r="L107" s="347">
        <f>+VLOOKUP(K107,TL[],4,FALSE)</f>
        <v/>
      </c>
    </row>
    <row r="108">
      <c r="A108" s="348" t="inlineStr">
        <is>
          <t>60610100</t>
        </is>
      </c>
      <c r="B108" s="348" t="inlineStr">
        <is>
          <t>Eau restaurant</t>
        </is>
      </c>
      <c r="C108" s="348" t="n">
        <v>812</v>
      </c>
      <c r="D108" s="348" t="inlineStr"/>
      <c r="E108" s="348" t="n">
        <v>812</v>
      </c>
      <c r="F108" s="348" t="inlineStr"/>
      <c r="G108" s="220">
        <f>SUM(C108)-SUM(D108)</f>
        <v/>
      </c>
      <c r="H108" s="220">
        <f>SUM(E108)-SUM(F108)</f>
        <v/>
      </c>
      <c r="I108" s="221">
        <f>IF(A108="Total",VLOOKUP(B108,CORRESPONDANCE[#All],2,FALSE),I109)</f>
        <v/>
      </c>
      <c r="J108" s="350">
        <f>LEFT(A108,1)</f>
        <v/>
      </c>
      <c r="K108" s="347">
        <f>"TH4"&amp;" - "&amp;A108</f>
        <v/>
      </c>
      <c r="L108" s="347">
        <f>+VLOOKUP(K108,TL[],4,FALSE)</f>
        <v/>
      </c>
    </row>
    <row r="109">
      <c r="A109" s="348" t="inlineStr">
        <is>
          <t>60610300</t>
        </is>
      </c>
      <c r="B109" s="348" t="inlineStr">
        <is>
          <t>Electricite restaurant</t>
        </is>
      </c>
      <c r="C109" s="348" t="n">
        <v>8403</v>
      </c>
      <c r="D109" s="348" t="inlineStr"/>
      <c r="E109" s="348" t="n">
        <v>8403</v>
      </c>
      <c r="F109" s="348" t="inlineStr"/>
      <c r="G109" s="220">
        <f>SUM(C109)-SUM(D109)</f>
        <v/>
      </c>
      <c r="H109" s="220">
        <f>SUM(E109)-SUM(F109)</f>
        <v/>
      </c>
      <c r="I109" s="221">
        <f>IF(A109="Total",VLOOKUP(B109,CORRESPONDANCE[#All],2,FALSE),I110)</f>
        <v/>
      </c>
      <c r="J109" s="350">
        <f>LEFT(A109,1)</f>
        <v/>
      </c>
      <c r="K109" s="347">
        <f>"TH4"&amp;" - "&amp;A109</f>
        <v/>
      </c>
      <c r="L109" s="347">
        <f>+VLOOKUP(K109,TL[],4,FALSE)</f>
        <v/>
      </c>
    </row>
    <row r="110">
      <c r="A110" s="348" t="inlineStr">
        <is>
          <t>60610500</t>
        </is>
      </c>
      <c r="B110" s="348" t="inlineStr">
        <is>
          <t>Achats gaz</t>
        </is>
      </c>
      <c r="C110" s="348" t="n">
        <v>270</v>
      </c>
      <c r="D110" s="348" t="inlineStr"/>
      <c r="E110" s="348" t="n">
        <v>270</v>
      </c>
      <c r="F110" s="348" t="inlineStr"/>
      <c r="G110" s="220">
        <f>SUM(C110)-SUM(D110)</f>
        <v/>
      </c>
      <c r="H110" s="220">
        <f>SUM(E110)-SUM(F110)</f>
        <v/>
      </c>
      <c r="I110" s="221">
        <f>IF(A110="Total",VLOOKUP(B110,CORRESPONDANCE[#All],2,FALSE),I111)</f>
        <v/>
      </c>
      <c r="J110" s="350">
        <f>LEFT(A110,1)</f>
        <v/>
      </c>
      <c r="K110" s="347">
        <f>"TH4"&amp;" - "&amp;A110</f>
        <v/>
      </c>
      <c r="L110" s="347">
        <f>+VLOOKUP(K110,TL[],4,FALSE)</f>
        <v/>
      </c>
    </row>
    <row r="111">
      <c r="A111" s="348" t="inlineStr">
        <is>
          <t>62620000</t>
        </is>
      </c>
      <c r="B111" s="348" t="inlineStr">
        <is>
          <t>Frais télécom</t>
        </is>
      </c>
      <c r="C111" s="348" t="n">
        <v>100</v>
      </c>
      <c r="D111" s="348" t="inlineStr"/>
      <c r="E111" s="348" t="n">
        <v>100</v>
      </c>
      <c r="F111" s="348" t="inlineStr"/>
      <c r="G111" s="220">
        <f>SUM(C111)-SUM(D111)</f>
        <v/>
      </c>
      <c r="H111" s="220">
        <f>SUM(E111)-SUM(F111)</f>
        <v/>
      </c>
      <c r="I111" s="221">
        <f>IF(A111="Total",VLOOKUP(B111,CORRESPONDANCE[#All],2,FALSE),I112)</f>
        <v/>
      </c>
      <c r="J111" s="350">
        <f>LEFT(A111,1)</f>
        <v/>
      </c>
      <c r="K111" s="347">
        <f>"TH4"&amp;" - "&amp;A111</f>
        <v/>
      </c>
      <c r="L111" s="347">
        <f>+VLOOKUP(K111,TL[],4,FALSE)</f>
        <v/>
      </c>
    </row>
    <row r="112">
      <c r="A112" s="348" t="inlineStr">
        <is>
          <t>Total</t>
        </is>
      </c>
      <c r="B112" s="348" t="inlineStr">
        <is>
          <t>Table n°2  -  Electricité, eau, gaz, téléphone</t>
        </is>
      </c>
      <c r="C112" s="348" t="n">
        <v>9585</v>
      </c>
      <c r="D112" s="348" t="inlineStr"/>
      <c r="E112" s="348" t="n">
        <v>9585</v>
      </c>
      <c r="F112" s="348" t="inlineStr"/>
      <c r="G112" s="220">
        <f>SUM(C112)-SUM(D112)</f>
        <v/>
      </c>
      <c r="H112" s="220">
        <f>SUM(E112)-SUM(F112)</f>
        <v/>
      </c>
      <c r="I112" s="221">
        <f>IF(A112="Total",VLOOKUP(B112,CORRESPONDANCE[#All],2,FALSE),I113)</f>
        <v/>
      </c>
      <c r="J112" s="350">
        <f>LEFT(A112,1)</f>
        <v/>
      </c>
      <c r="K112" s="347">
        <f>"TH4"&amp;" - "&amp;A112</f>
        <v/>
      </c>
      <c r="L112" s="347">
        <f>+VLOOKUP(K112,TL[],4,FALSE)</f>
        <v/>
      </c>
    </row>
    <row r="113">
      <c r="A113" s="348" t="inlineStr">
        <is>
          <t>60630200</t>
        </is>
      </c>
      <c r="B113" s="348" t="inlineStr">
        <is>
          <t>Fournit exploit et pdts entretien</t>
        </is>
      </c>
      <c r="C113" s="348" t="n">
        <v>2348.01</v>
      </c>
      <c r="D113" s="348" t="inlineStr"/>
      <c r="E113" s="348" t="n">
        <v>2348.01</v>
      </c>
      <c r="F113" s="348" t="inlineStr"/>
      <c r="G113" s="220">
        <f>SUM(C113)-SUM(D113)</f>
        <v/>
      </c>
      <c r="H113" s="220">
        <f>SUM(E113)-SUM(F113)</f>
        <v/>
      </c>
      <c r="I113" s="221">
        <f>IF(A113="Total",VLOOKUP(B113,CORRESPONDANCE[#All],2,FALSE),I114)</f>
        <v/>
      </c>
      <c r="J113" s="350">
        <f>LEFT(A113,1)</f>
        <v/>
      </c>
      <c r="K113" s="347">
        <f>"TH4"&amp;" - "&amp;A113</f>
        <v/>
      </c>
      <c r="L113" s="347">
        <f>+VLOOKUP(K113,TL[],4,FALSE)</f>
        <v/>
      </c>
    </row>
    <row r="114">
      <c r="A114" s="348" t="inlineStr">
        <is>
          <t>60640100</t>
        </is>
      </c>
      <c r="B114" s="348" t="inlineStr">
        <is>
          <t>Ftures bureau restaurant</t>
        </is>
      </c>
      <c r="C114" s="348" t="n">
        <v>149.08</v>
      </c>
      <c r="D114" s="348" t="inlineStr"/>
      <c r="E114" s="348" t="n">
        <v>149.08</v>
      </c>
      <c r="F114" s="348" t="inlineStr"/>
      <c r="G114" s="220">
        <f>SUM(C114)-SUM(D114)</f>
        <v/>
      </c>
      <c r="H114" s="220">
        <f>SUM(E114)-SUM(F114)</f>
        <v/>
      </c>
      <c r="I114" s="221">
        <f>IF(A114="Total",VLOOKUP(B114,CORRESPONDANCE[#All],2,FALSE),I115)</f>
        <v/>
      </c>
      <c r="J114" s="350">
        <f>LEFT(A114,1)</f>
        <v/>
      </c>
      <c r="K114" s="347">
        <f>"TH4"&amp;" - "&amp;A114</f>
        <v/>
      </c>
      <c r="L114" s="347">
        <f>+VLOOKUP(K114,TL[],4,FALSE)</f>
        <v/>
      </c>
    </row>
    <row r="115">
      <c r="A115" s="348" t="inlineStr">
        <is>
          <t>Total</t>
        </is>
      </c>
      <c r="B115" s="348" t="inlineStr">
        <is>
          <t>Table n°2  -  Fournitures exploitation et bureau</t>
        </is>
      </c>
      <c r="C115" s="348" t="n">
        <v>2497.09</v>
      </c>
      <c r="D115" s="348" t="inlineStr"/>
      <c r="E115" s="348" t="n">
        <v>2497.09</v>
      </c>
      <c r="F115" s="348" t="inlineStr"/>
      <c r="G115" s="220">
        <f>SUM(C115)-SUM(D115)</f>
        <v/>
      </c>
      <c r="H115" s="220">
        <f>SUM(E115)-SUM(F115)</f>
        <v/>
      </c>
      <c r="I115" s="221">
        <f>IF(A115="Total",VLOOKUP(B115,CORRESPONDANCE[#All],2,FALSE),I116)</f>
        <v/>
      </c>
      <c r="J115" s="350">
        <f>LEFT(A115,1)</f>
        <v/>
      </c>
      <c r="K115" s="347">
        <f>"TH4"&amp;" - "&amp;A115</f>
        <v/>
      </c>
      <c r="L115" s="347">
        <f>+VLOOKUP(K115,TL[],4,FALSE)</f>
        <v/>
      </c>
    </row>
    <row r="116">
      <c r="A116" s="348" t="inlineStr">
        <is>
          <t>62520400</t>
        </is>
      </c>
      <c r="B116" s="348" t="inlineStr">
        <is>
          <t>Frais déplacement</t>
        </is>
      </c>
      <c r="C116" s="348" t="n">
        <v>256.47</v>
      </c>
      <c r="D116" s="348" t="inlineStr"/>
      <c r="E116" s="348" t="n">
        <v>256.47</v>
      </c>
      <c r="F116" s="348" t="inlineStr"/>
      <c r="G116" s="220">
        <f>SUM(C116)-SUM(D116)</f>
        <v/>
      </c>
      <c r="H116" s="220">
        <f>SUM(E116)-SUM(F116)</f>
        <v/>
      </c>
      <c r="I116" s="221">
        <f>IF(A116="Total",VLOOKUP(B116,CORRESPONDANCE[#All],2,FALSE),I117)</f>
        <v/>
      </c>
      <c r="J116" s="350">
        <f>LEFT(A116,1)</f>
        <v/>
      </c>
      <c r="K116" s="347">
        <f>"TH4"&amp;" - "&amp;A116</f>
        <v/>
      </c>
      <c r="L116" s="347">
        <f>+VLOOKUP(K116,TL[],4,FALSE)</f>
        <v/>
      </c>
    </row>
    <row r="117">
      <c r="A117" s="348" t="inlineStr">
        <is>
          <t>Total</t>
        </is>
      </c>
      <c r="B117" s="348" t="inlineStr">
        <is>
          <t>Table n°2  -  Frais de déplacements et Evènements</t>
        </is>
      </c>
      <c r="C117" s="348" t="n">
        <v>256.47</v>
      </c>
      <c r="D117" s="348" t="inlineStr"/>
      <c r="E117" s="348" t="n">
        <v>256.47</v>
      </c>
      <c r="F117" s="348" t="inlineStr"/>
      <c r="G117" s="220">
        <f>SUM(C117)-SUM(D117)</f>
        <v/>
      </c>
      <c r="H117" s="220">
        <f>SUM(E117)-SUM(F117)</f>
        <v/>
      </c>
      <c r="I117" s="221">
        <f>IF(A117="Total",VLOOKUP(B117,CORRESPONDANCE[#All],2,FALSE),I118)</f>
        <v/>
      </c>
      <c r="J117" s="350">
        <f>LEFT(A117,1)</f>
        <v/>
      </c>
      <c r="K117" s="347">
        <f>"TH4"&amp;" - "&amp;A117</f>
        <v/>
      </c>
      <c r="L117" s="347">
        <f>+VLOOKUP(K117,TL[],4,FALSE)</f>
        <v/>
      </c>
    </row>
    <row r="118">
      <c r="A118" s="348" t="inlineStr">
        <is>
          <t>60630300</t>
        </is>
      </c>
      <c r="B118" s="348" t="inlineStr">
        <is>
          <t>Uniformes</t>
        </is>
      </c>
      <c r="C118" s="348" t="n">
        <v>793.0700000000001</v>
      </c>
      <c r="D118" s="348" t="inlineStr"/>
      <c r="E118" s="348" t="n">
        <v>793.0700000000001</v>
      </c>
      <c r="F118" s="348" t="inlineStr"/>
      <c r="G118" s="220">
        <f>SUM(C118)-SUM(D118)</f>
        <v/>
      </c>
      <c r="H118" s="220">
        <f>SUM(E118)-SUM(F118)</f>
        <v/>
      </c>
      <c r="I118" s="221">
        <f>IF(A118="Total",VLOOKUP(B118,CORRESPONDANCE[#All],2,FALSE),I119)</f>
        <v/>
      </c>
      <c r="J118" s="350">
        <f>LEFT(A118,1)</f>
        <v/>
      </c>
      <c r="K118" s="347">
        <f>"TH4"&amp;" - "&amp;A118</f>
        <v/>
      </c>
      <c r="L118" s="347">
        <f>+VLOOKUP(K118,TL[],4,FALSE)</f>
        <v/>
      </c>
    </row>
    <row r="119">
      <c r="A119" s="348" t="inlineStr">
        <is>
          <t>62570100</t>
        </is>
      </c>
      <c r="B119" s="348" t="inlineStr">
        <is>
          <t>Frais Mission - reception</t>
        </is>
      </c>
      <c r="C119" s="348" t="n">
        <v>374</v>
      </c>
      <c r="D119" s="348" t="inlineStr"/>
      <c r="E119" s="348" t="n">
        <v>374</v>
      </c>
      <c r="F119" s="348" t="inlineStr"/>
      <c r="G119" s="220">
        <f>SUM(C119)-SUM(D119)</f>
        <v/>
      </c>
      <c r="H119" s="220">
        <f>SUM(E119)-SUM(F119)</f>
        <v/>
      </c>
      <c r="I119" s="221">
        <f>IF(A119="Total",VLOOKUP(B119,CORRESPONDANCE[#All],2,FALSE),I120)</f>
        <v/>
      </c>
      <c r="J119" s="350">
        <f>LEFT(A119,1)</f>
        <v/>
      </c>
      <c r="K119" s="347">
        <f>"TH4"&amp;" - "&amp;A119</f>
        <v/>
      </c>
      <c r="L119" s="347">
        <f>+VLOOKUP(K119,TL[],4,FALSE)</f>
        <v/>
      </c>
    </row>
    <row r="120">
      <c r="A120" s="348" t="inlineStr">
        <is>
          <t>62802300</t>
        </is>
      </c>
      <c r="B120" s="348" t="inlineStr">
        <is>
          <t>Divers</t>
        </is>
      </c>
      <c r="C120" s="348" t="n">
        <v>286</v>
      </c>
      <c r="D120" s="348" t="inlineStr"/>
      <c r="E120" s="348" t="n">
        <v>286</v>
      </c>
      <c r="F120" s="348" t="inlineStr"/>
      <c r="G120" s="220">
        <f>SUM(C120)-SUM(D120)</f>
        <v/>
      </c>
      <c r="H120" s="220">
        <f>SUM(E120)-SUM(F120)</f>
        <v/>
      </c>
      <c r="I120" s="221">
        <f>IF(A120="Total",VLOOKUP(B120,CORRESPONDANCE[#All],2,FALSE),I121)</f>
        <v/>
      </c>
      <c r="J120" s="350">
        <f>LEFT(A120,1)</f>
        <v/>
      </c>
      <c r="K120" s="347">
        <f>"TH4"&amp;" - "&amp;A120</f>
        <v/>
      </c>
      <c r="L120" s="347">
        <f>+VLOOKUP(K120,TL[],4,FALSE)</f>
        <v/>
      </c>
    </row>
    <row r="121">
      <c r="A121" s="348" t="inlineStr">
        <is>
          <t>65800000</t>
        </is>
      </c>
      <c r="B121" s="348" t="inlineStr">
        <is>
          <t>Charges diverses gestion courante</t>
        </is>
      </c>
      <c r="C121" s="348" t="n">
        <v>0.03</v>
      </c>
      <c r="D121" s="348" t="inlineStr"/>
      <c r="E121" s="348" t="n">
        <v>0.03</v>
      </c>
      <c r="F121" s="348" t="inlineStr"/>
      <c r="G121" s="220">
        <f>SUM(C121)-SUM(D121)</f>
        <v/>
      </c>
      <c r="H121" s="220">
        <f>SUM(E121)-SUM(F121)</f>
        <v/>
      </c>
      <c r="I121" s="221">
        <f>IF(A121="Total",VLOOKUP(B121,CORRESPONDANCE[#All],2,FALSE),I122)</f>
        <v/>
      </c>
      <c r="J121" s="350">
        <f>LEFT(A121,1)</f>
        <v/>
      </c>
      <c r="K121" s="347">
        <f>"TH4"&amp;" - "&amp;A121</f>
        <v/>
      </c>
      <c r="L121" s="347">
        <f>+VLOOKUP(K121,TL[],4,FALSE)</f>
        <v/>
      </c>
    </row>
    <row r="122">
      <c r="A122" s="348" t="inlineStr">
        <is>
          <t>67110000</t>
        </is>
      </c>
      <c r="B122" s="348" t="inlineStr">
        <is>
          <t>Ecart de caisse</t>
        </is>
      </c>
      <c r="C122" s="348" t="n">
        <v>100.49</v>
      </c>
      <c r="D122" s="348" t="inlineStr"/>
      <c r="E122" s="348" t="n">
        <v>100.49</v>
      </c>
      <c r="F122" s="348" t="inlineStr"/>
      <c r="G122" s="220">
        <f>SUM(C122)-SUM(D122)</f>
        <v/>
      </c>
      <c r="H122" s="220">
        <f>SUM(E122)-SUM(F122)</f>
        <v/>
      </c>
      <c r="I122" s="221">
        <f>IF(A122="Total",VLOOKUP(B122,CORRESPONDANCE[#All],2,FALSE),I123)</f>
        <v/>
      </c>
      <c r="J122" s="350">
        <f>LEFT(A122,1)</f>
        <v/>
      </c>
      <c r="K122" s="347">
        <f>"TH4"&amp;" - "&amp;A122</f>
        <v/>
      </c>
      <c r="L122" s="347">
        <f>+VLOOKUP(K122,TL[],4,FALSE)</f>
        <v/>
      </c>
    </row>
    <row r="123">
      <c r="A123" s="348" t="inlineStr">
        <is>
          <t>77110000</t>
        </is>
      </c>
      <c r="B123" s="348" t="inlineStr">
        <is>
          <t>Ecarts de caisse</t>
        </is>
      </c>
      <c r="C123" s="348" t="inlineStr"/>
      <c r="D123" s="348" t="n">
        <v>69.05</v>
      </c>
      <c r="E123" s="348" t="inlineStr"/>
      <c r="F123" s="348" t="n">
        <v>69.05</v>
      </c>
      <c r="G123" s="220">
        <f>SUM(C123)-SUM(D123)</f>
        <v/>
      </c>
      <c r="H123" s="220">
        <f>SUM(E123)-SUM(F123)</f>
        <v/>
      </c>
      <c r="I123" s="221">
        <f>IF(A123="Total",VLOOKUP(B123,CORRESPONDANCE[#All],2,FALSE),I124)</f>
        <v/>
      </c>
      <c r="J123" s="350">
        <f>LEFT(A123,1)</f>
        <v/>
      </c>
      <c r="K123" s="347">
        <f>"TH4"&amp;" - "&amp;A123</f>
        <v/>
      </c>
      <c r="L123" s="347">
        <f>+VLOOKUP(K123,TL[],4,FALSE)</f>
        <v/>
      </c>
    </row>
    <row r="124">
      <c r="A124" s="348" t="inlineStr">
        <is>
          <t>Total</t>
        </is>
      </c>
      <c r="B124" s="348" t="inlineStr">
        <is>
          <t>Table n°2  -  Divers</t>
        </is>
      </c>
      <c r="C124" s="348" t="n">
        <v>1484.54</v>
      </c>
      <c r="D124" s="348" t="inlineStr"/>
      <c r="E124" s="348" t="n">
        <v>1484.54</v>
      </c>
      <c r="F124" s="348" t="inlineStr"/>
      <c r="G124" s="220">
        <f>SUM(C124)-SUM(D124)</f>
        <v/>
      </c>
      <c r="H124" s="220">
        <f>SUM(E124)-SUM(F124)</f>
        <v/>
      </c>
      <c r="I124" s="221">
        <f>IF(A124="Total",VLOOKUP(B124,CORRESPONDANCE[#All],2,FALSE),I125)</f>
        <v/>
      </c>
      <c r="J124" s="350">
        <f>LEFT(A124,1)</f>
        <v/>
      </c>
      <c r="K124" s="347">
        <f>"TH4"&amp;" - "&amp;A124</f>
        <v/>
      </c>
      <c r="L124" s="347">
        <f>+VLOOKUP(K124,TL[],4,FALSE)</f>
        <v/>
      </c>
    </row>
    <row r="125">
      <c r="A125" s="348" t="inlineStr">
        <is>
          <t>61320000</t>
        </is>
      </c>
      <c r="B125" s="348" t="inlineStr">
        <is>
          <t>Redevance standard 14%</t>
        </is>
      </c>
      <c r="C125" s="348" t="n">
        <v>49965.19</v>
      </c>
      <c r="D125" s="348" t="inlineStr"/>
      <c r="E125" s="348" t="n">
        <v>49965.19</v>
      </c>
      <c r="F125" s="348" t="inlineStr"/>
      <c r="G125" s="220">
        <f>SUM(C125)-SUM(D125)</f>
        <v/>
      </c>
      <c r="H125" s="220">
        <f>SUM(E125)-SUM(F125)</f>
        <v/>
      </c>
      <c r="I125" s="221">
        <f>IF(A125="Total",VLOOKUP(B125,CORRESPONDANCE[#All],2,FALSE),I126)</f>
        <v/>
      </c>
      <c r="J125" s="350">
        <f>LEFT(A125,1)</f>
        <v/>
      </c>
      <c r="K125" s="347">
        <f>"TH4"&amp;" - "&amp;A125</f>
        <v/>
      </c>
      <c r="L125" s="347">
        <f>+VLOOKUP(K125,TL[],4,FALSE)</f>
        <v/>
      </c>
    </row>
    <row r="126">
      <c r="A126" s="348" t="inlineStr">
        <is>
          <t>Total</t>
        </is>
      </c>
      <c r="B126" s="348" t="inlineStr">
        <is>
          <t>Table n°2  -  Redevance standard</t>
        </is>
      </c>
      <c r="C126" s="348" t="n">
        <v>49965.19</v>
      </c>
      <c r="D126" s="348" t="inlineStr"/>
      <c r="E126" s="348" t="n">
        <v>49965.19</v>
      </c>
      <c r="F126" s="348" t="inlineStr"/>
      <c r="G126" s="220">
        <f>SUM(C126)-SUM(D126)</f>
        <v/>
      </c>
      <c r="H126" s="220">
        <f>SUM(E126)-SUM(F126)</f>
        <v/>
      </c>
      <c r="I126" s="221">
        <f>IF(A126="Total",VLOOKUP(B126,CORRESPONDANCE[#All],2,FALSE),I127)</f>
        <v/>
      </c>
      <c r="J126" s="350">
        <f>LEFT(A126,1)</f>
        <v/>
      </c>
      <c r="K126" s="347">
        <f>"TH4"&amp;" - "&amp;A126</f>
        <v/>
      </c>
      <c r="L126" s="347">
        <f>+VLOOKUP(K126,TL[],4,FALSE)</f>
        <v/>
      </c>
    </row>
    <row r="127">
      <c r="A127" s="348" t="inlineStr">
        <is>
          <t>65120000</t>
        </is>
      </c>
      <c r="B127" s="348" t="inlineStr">
        <is>
          <t>Avoirs happy meals 14%</t>
        </is>
      </c>
      <c r="C127" s="348" t="inlineStr"/>
      <c r="D127" s="348" t="n">
        <v>234.84</v>
      </c>
      <c r="E127" s="348" t="inlineStr"/>
      <c r="F127" s="348" t="n">
        <v>234.84</v>
      </c>
      <c r="G127" s="220">
        <f>SUM(C127)-SUM(D127)</f>
        <v/>
      </c>
      <c r="H127" s="220">
        <f>SUM(E127)-SUM(F127)</f>
        <v/>
      </c>
      <c r="I127" s="221">
        <f>IF(A127="Total",VLOOKUP(B127,CORRESPONDANCE[#All],2,FALSE),I128)</f>
        <v/>
      </c>
      <c r="J127" s="350">
        <f>LEFT(A127,1)</f>
        <v/>
      </c>
      <c r="K127" s="347">
        <f>"TH4"&amp;" - "&amp;A127</f>
        <v/>
      </c>
      <c r="L127" s="347">
        <f>+VLOOKUP(K127,TL[],4,FALSE)</f>
        <v/>
      </c>
    </row>
    <row r="128">
      <c r="A128" s="348" t="inlineStr">
        <is>
          <t>65121000</t>
        </is>
      </c>
      <c r="B128" s="348" t="inlineStr">
        <is>
          <t>Avoirs happy meals 5%</t>
        </is>
      </c>
      <c r="C128" s="348" t="inlineStr"/>
      <c r="D128" s="348" t="n">
        <v>659.35</v>
      </c>
      <c r="E128" s="348" t="inlineStr"/>
      <c r="F128" s="348" t="n">
        <v>659.35</v>
      </c>
      <c r="G128" s="220">
        <f>SUM(C128)-SUM(D128)</f>
        <v/>
      </c>
      <c r="H128" s="220">
        <f>SUM(E128)-SUM(F128)</f>
        <v/>
      </c>
      <c r="I128" s="221">
        <f>IF(A128="Total",VLOOKUP(B128,CORRESPONDANCE[#All],2,FALSE),I129)</f>
        <v/>
      </c>
      <c r="J128" s="350">
        <f>LEFT(A128,1)</f>
        <v/>
      </c>
      <c r="K128" s="347">
        <f>"TH4"&amp;" - "&amp;A128</f>
        <v/>
      </c>
      <c r="L128" s="347">
        <f>+VLOOKUP(K128,TL[],4,FALSE)</f>
        <v/>
      </c>
    </row>
    <row r="129">
      <c r="A129" s="348" t="inlineStr">
        <is>
          <t>Total</t>
        </is>
      </c>
      <c r="B129" s="348" t="inlineStr">
        <is>
          <t>Table n°2  -  Incentives et Avoirs de redevance</t>
        </is>
      </c>
      <c r="C129" s="348" t="inlineStr"/>
      <c r="D129" s="348" t="n">
        <v>894.1900000000001</v>
      </c>
      <c r="E129" s="348" t="inlineStr"/>
      <c r="F129" s="348" t="n">
        <v>894.1900000000001</v>
      </c>
      <c r="G129" s="220">
        <f>SUM(C129)-SUM(D129)</f>
        <v/>
      </c>
      <c r="H129" s="220">
        <f>SUM(E129)-SUM(F129)</f>
        <v/>
      </c>
      <c r="I129" s="221">
        <f>IF(A129="Total",VLOOKUP(B129,CORRESPONDANCE[#All],2,FALSE),I130)</f>
        <v/>
      </c>
      <c r="J129" s="350">
        <f>LEFT(A129,1)</f>
        <v/>
      </c>
      <c r="K129" s="347">
        <f>"TH4"&amp;" - "&amp;A129</f>
        <v/>
      </c>
      <c r="L129" s="347">
        <f>+VLOOKUP(K129,TL[],4,FALSE)</f>
        <v/>
      </c>
    </row>
    <row r="130">
      <c r="A130" s="348" t="inlineStr">
        <is>
          <t>61410000</t>
        </is>
      </c>
      <c r="B130" s="348" t="inlineStr">
        <is>
          <t>Charges locat.copropriété</t>
        </is>
      </c>
      <c r="C130" s="348" t="n">
        <v>550</v>
      </c>
      <c r="D130" s="348" t="inlineStr"/>
      <c r="E130" s="348" t="n">
        <v>550</v>
      </c>
      <c r="F130" s="348" t="inlineStr"/>
      <c r="G130" s="220">
        <f>SUM(C130)-SUM(D130)</f>
        <v/>
      </c>
      <c r="H130" s="220">
        <f>SUM(E130)-SUM(F130)</f>
        <v/>
      </c>
      <c r="I130" s="221">
        <f>IF(A130="Total",VLOOKUP(B130,CORRESPONDANCE[#All],2,FALSE),I131)</f>
        <v/>
      </c>
      <c r="J130" s="350">
        <f>LEFT(A130,1)</f>
        <v/>
      </c>
      <c r="K130" s="347">
        <f>"TH4"&amp;" - "&amp;A130</f>
        <v/>
      </c>
      <c r="L130" s="347">
        <f>+VLOOKUP(K130,TL[],4,FALSE)</f>
        <v/>
      </c>
    </row>
    <row r="131">
      <c r="A131" s="348" t="inlineStr">
        <is>
          <t>Total</t>
        </is>
      </c>
      <c r="B131" s="348" t="inlineStr">
        <is>
          <t>Table n°2  -  Charges locatives et copro</t>
        </is>
      </c>
      <c r="C131" s="348" t="n">
        <v>550</v>
      </c>
      <c r="D131" s="348" t="inlineStr"/>
      <c r="E131" s="348" t="n">
        <v>550</v>
      </c>
      <c r="F131" s="348" t="inlineStr"/>
      <c r="G131" s="220">
        <f>SUM(C131)-SUM(D131)</f>
        <v/>
      </c>
      <c r="H131" s="220">
        <f>SUM(E131)-SUM(F131)</f>
        <v/>
      </c>
      <c r="I131" s="221">
        <f>IF(A131="Total",VLOOKUP(B131,CORRESPONDANCE[#All],2,FALSE),I132)</f>
        <v/>
      </c>
      <c r="J131" s="350">
        <f>LEFT(A131,1)</f>
        <v/>
      </c>
      <c r="K131" s="347">
        <f>"TH4"&amp;" - "&amp;A131</f>
        <v/>
      </c>
      <c r="L131" s="347">
        <f>+VLOOKUP(K131,TL[],4,FALSE)</f>
        <v/>
      </c>
    </row>
    <row r="132">
      <c r="A132" s="348" t="inlineStr">
        <is>
          <t>65100100</t>
        </is>
      </c>
      <c r="B132" s="348" t="inlineStr">
        <is>
          <t>Redevance service 5 %</t>
        </is>
      </c>
      <c r="C132" s="348" t="n">
        <v>17844.07</v>
      </c>
      <c r="D132" s="348" t="inlineStr"/>
      <c r="E132" s="348" t="n">
        <v>17844.07</v>
      </c>
      <c r="F132" s="348" t="inlineStr"/>
      <c r="G132" s="220">
        <f>SUM(C132)-SUM(D132)</f>
        <v/>
      </c>
      <c r="H132" s="220">
        <f>SUM(E132)-SUM(F132)</f>
        <v/>
      </c>
      <c r="I132" s="221">
        <f>IF(A132="Total",VLOOKUP(B132,CORRESPONDANCE[#All],2,FALSE),I133)</f>
        <v/>
      </c>
      <c r="J132" s="350">
        <f>LEFT(A132,1)</f>
        <v/>
      </c>
      <c r="K132" s="347">
        <f>"TH4"&amp;" - "&amp;A132</f>
        <v/>
      </c>
      <c r="L132" s="347">
        <f>+VLOOKUP(K132,TL[],4,FALSE)</f>
        <v/>
      </c>
    </row>
    <row r="133">
      <c r="A133" s="348" t="inlineStr">
        <is>
          <t>Total</t>
        </is>
      </c>
      <c r="B133" s="348" t="inlineStr">
        <is>
          <t>Table n°2  -  Redevance service 5%</t>
        </is>
      </c>
      <c r="C133" s="348" t="n">
        <v>17844.07</v>
      </c>
      <c r="D133" s="348" t="inlineStr"/>
      <c r="E133" s="348" t="n">
        <v>17844.07</v>
      </c>
      <c r="F133" s="348" t="inlineStr"/>
      <c r="G133" s="220">
        <f>SUM(C133)-SUM(D133)</f>
        <v/>
      </c>
      <c r="H133" s="220">
        <f>SUM(E133)-SUM(F133)</f>
        <v/>
      </c>
      <c r="I133" s="221">
        <f>IF(A133="Total",VLOOKUP(B133,CORRESPONDANCE[#All],2,FALSE),I134)</f>
        <v/>
      </c>
      <c r="J133" s="350">
        <f>LEFT(A133,1)</f>
        <v/>
      </c>
      <c r="K133" s="347">
        <f>"TH4"&amp;" - "&amp;A133</f>
        <v/>
      </c>
      <c r="L133" s="347">
        <f>+VLOOKUP(K133,TL[],4,FALSE)</f>
        <v/>
      </c>
    </row>
    <row r="134">
      <c r="A134" s="348" t="inlineStr">
        <is>
          <t>62260000</t>
        </is>
      </c>
      <c r="B134" s="348" t="inlineStr">
        <is>
          <t>Honoraires comptables</t>
        </is>
      </c>
      <c r="C134" s="348" t="n">
        <v>860</v>
      </c>
      <c r="D134" s="348" t="inlineStr"/>
      <c r="E134" s="348" t="n">
        <v>860</v>
      </c>
      <c r="F134" s="348" t="inlineStr"/>
      <c r="G134" s="220">
        <f>SUM(C134)-SUM(D134)</f>
        <v/>
      </c>
      <c r="H134" s="220">
        <f>SUM(E134)-SUM(F134)</f>
        <v/>
      </c>
      <c r="I134" s="221">
        <f>IF(A134="Total",VLOOKUP(B134,CORRESPONDANCE[#All],2,FALSE),I135)</f>
        <v/>
      </c>
      <c r="J134" s="350">
        <f>LEFT(A134,1)</f>
        <v/>
      </c>
      <c r="K134" s="347">
        <f>"TH4"&amp;" - "&amp;A134</f>
        <v/>
      </c>
      <c r="L134" s="347">
        <f>+VLOOKUP(K134,TL[],4,FALSE)</f>
        <v/>
      </c>
    </row>
    <row r="135">
      <c r="A135" s="348" t="inlineStr">
        <is>
          <t>62261000</t>
        </is>
      </c>
      <c r="B135" s="348" t="inlineStr">
        <is>
          <t>Honoraires juridiques</t>
        </is>
      </c>
      <c r="C135" s="348" t="n">
        <v>65</v>
      </c>
      <c r="D135" s="348" t="inlineStr"/>
      <c r="E135" s="348" t="n">
        <v>65</v>
      </c>
      <c r="F135" s="348" t="inlineStr"/>
      <c r="G135" s="220">
        <f>SUM(C135)-SUM(D135)</f>
        <v/>
      </c>
      <c r="H135" s="220">
        <f>SUM(E135)-SUM(F135)</f>
        <v/>
      </c>
      <c r="I135" s="221">
        <f>IF(A135="Total",VLOOKUP(B135,CORRESPONDANCE[#All],2,FALSE),I136)</f>
        <v/>
      </c>
      <c r="J135" s="350">
        <f>LEFT(A135,1)</f>
        <v/>
      </c>
      <c r="K135" s="347">
        <f>"TH4"&amp;" - "&amp;A135</f>
        <v/>
      </c>
      <c r="L135" s="347">
        <f>+VLOOKUP(K135,TL[],4,FALSE)</f>
        <v/>
      </c>
    </row>
    <row r="136">
      <c r="A136" s="348" t="inlineStr">
        <is>
          <t>62262000</t>
        </is>
      </c>
      <c r="B136" s="348" t="inlineStr">
        <is>
          <t>honoraires divers</t>
        </is>
      </c>
      <c r="C136" s="348" t="n">
        <v>197.74</v>
      </c>
      <c r="D136" s="348" t="inlineStr"/>
      <c r="E136" s="348" t="n">
        <v>197.74</v>
      </c>
      <c r="F136" s="348" t="inlineStr"/>
      <c r="G136" s="220">
        <f>SUM(C136)-SUM(D136)</f>
        <v/>
      </c>
      <c r="H136" s="220">
        <f>SUM(E136)-SUM(F136)</f>
        <v/>
      </c>
      <c r="I136" s="221">
        <f>IF(A136="Total",VLOOKUP(B136,CORRESPONDANCE[#All],2,FALSE),I137)</f>
        <v/>
      </c>
      <c r="J136" s="350">
        <f>LEFT(A136,1)</f>
        <v/>
      </c>
      <c r="K136" s="347">
        <f>"TH4"&amp;" - "&amp;A136</f>
        <v/>
      </c>
      <c r="L136" s="347">
        <f>+VLOOKUP(K136,TL[],4,FALSE)</f>
        <v/>
      </c>
    </row>
    <row r="137">
      <c r="A137" s="348" t="inlineStr">
        <is>
          <t>62263000</t>
        </is>
      </c>
      <c r="B137" s="348" t="inlineStr">
        <is>
          <t>Honoraires commissariat aux comptes</t>
        </is>
      </c>
      <c r="C137" s="348" t="n">
        <v>430</v>
      </c>
      <c r="D137" s="348" t="inlineStr"/>
      <c r="E137" s="348" t="n">
        <v>430</v>
      </c>
      <c r="F137" s="348" t="inlineStr"/>
      <c r="G137" s="220">
        <f>SUM(C137)-SUM(D137)</f>
        <v/>
      </c>
      <c r="H137" s="220">
        <f>SUM(E137)-SUM(F137)</f>
        <v/>
      </c>
      <c r="I137" s="221">
        <f>IF(A137="Total",VLOOKUP(B137,CORRESPONDANCE[#All],2,FALSE),I138)</f>
        <v/>
      </c>
      <c r="J137" s="350">
        <f>LEFT(A137,1)</f>
        <v/>
      </c>
      <c r="K137" s="347">
        <f>"TH4"&amp;" - "&amp;A137</f>
        <v/>
      </c>
      <c r="L137" s="347">
        <f>+VLOOKUP(K137,TL[],4,FALSE)</f>
        <v/>
      </c>
    </row>
    <row r="138">
      <c r="A138" s="348" t="inlineStr">
        <is>
          <t>Total</t>
        </is>
      </c>
      <c r="B138" s="348" t="inlineStr">
        <is>
          <t>Table n°2  -  Frais comptables et juridiques</t>
        </is>
      </c>
      <c r="C138" s="348" t="n">
        <v>1552.74</v>
      </c>
      <c r="D138" s="348" t="inlineStr"/>
      <c r="E138" s="348" t="n">
        <v>1552.74</v>
      </c>
      <c r="F138" s="348" t="inlineStr"/>
      <c r="G138" s="220">
        <f>SUM(C138)-SUM(D138)</f>
        <v/>
      </c>
      <c r="H138" s="220">
        <f>SUM(E138)-SUM(F138)</f>
        <v/>
      </c>
      <c r="I138" s="221">
        <f>IF(A138="Total",VLOOKUP(B138,CORRESPONDANCE[#All],2,FALSE),I139)</f>
        <v/>
      </c>
      <c r="J138" s="350">
        <f>LEFT(A138,1)</f>
        <v/>
      </c>
      <c r="K138" s="347">
        <f>"TH4"&amp;" - "&amp;A138</f>
        <v/>
      </c>
      <c r="L138" s="347">
        <f>+VLOOKUP(K138,TL[],4,FALSE)</f>
        <v/>
      </c>
    </row>
    <row r="139">
      <c r="A139" s="348" t="inlineStr">
        <is>
          <t>61600100</t>
        </is>
      </c>
      <c r="B139" s="348" t="inlineStr">
        <is>
          <t>Assurance multirisque</t>
        </is>
      </c>
      <c r="C139" s="348" t="n">
        <v>1550</v>
      </c>
      <c r="D139" s="348" t="inlineStr"/>
      <c r="E139" s="348" t="n">
        <v>1550</v>
      </c>
      <c r="F139" s="348" t="inlineStr"/>
      <c r="G139" s="220">
        <f>SUM(C139)-SUM(D139)</f>
        <v/>
      </c>
      <c r="H139" s="220">
        <f>SUM(E139)-SUM(F139)</f>
        <v/>
      </c>
      <c r="I139" s="221">
        <f>IF(A139="Total",VLOOKUP(B139,CORRESPONDANCE[#All],2,FALSE),#REF!)</f>
        <v/>
      </c>
      <c r="J139" s="350">
        <f>LEFT(A139,1)</f>
        <v/>
      </c>
      <c r="K139" s="347">
        <f>"TH4"&amp;" - "&amp;A139</f>
        <v/>
      </c>
      <c r="L139" s="347">
        <f>+VLOOKUP(K139,TL[],4,FALSE)</f>
        <v/>
      </c>
    </row>
    <row r="140">
      <c r="A140" s="348" t="inlineStr">
        <is>
          <t>61600200</t>
        </is>
      </c>
      <c r="B140" s="348" t="inlineStr">
        <is>
          <t>Assurance juridiques</t>
        </is>
      </c>
      <c r="C140" s="348" t="n">
        <v>65</v>
      </c>
      <c r="D140" s="348" t="inlineStr"/>
      <c r="E140" s="348" t="n">
        <v>65</v>
      </c>
      <c r="F140" s="348" t="inlineStr"/>
      <c r="G140" s="220">
        <f>SUM(C140)-SUM(D140)</f>
        <v/>
      </c>
      <c r="H140" s="220">
        <f>SUM(E140)-SUM(F140)</f>
        <v/>
      </c>
      <c r="I140" s="221">
        <f>IF(A140="Total",VLOOKUP(B140,CORRESPONDANCE[#All],2,FALSE),I141)</f>
        <v/>
      </c>
      <c r="J140" s="350">
        <f>LEFT(A140,1)</f>
        <v/>
      </c>
      <c r="K140" s="347">
        <f>"TH4"&amp;" - "&amp;A140</f>
        <v/>
      </c>
      <c r="L140" s="347">
        <f>+VLOOKUP(K140,TL[],4,FALSE)</f>
        <v/>
      </c>
    </row>
    <row r="141">
      <c r="A141" s="348" t="inlineStr">
        <is>
          <t>Total</t>
        </is>
      </c>
      <c r="B141" s="348" t="inlineStr">
        <is>
          <t>Table n°2  -  Assurances</t>
        </is>
      </c>
      <c r="C141" s="348" t="n">
        <v>1615</v>
      </c>
      <c r="D141" s="348" t="inlineStr"/>
      <c r="E141" s="348" t="n">
        <v>1615</v>
      </c>
      <c r="F141" s="348" t="inlineStr"/>
      <c r="G141" s="220">
        <f>SUM(C141)-SUM(D141)</f>
        <v/>
      </c>
      <c r="H141" s="220">
        <f>SUM(E141)-SUM(F141)</f>
        <v/>
      </c>
      <c r="I141" s="221">
        <f>IF(A141="Total",VLOOKUP(B141,CORRESPONDANCE[#All],2,FALSE),I142)</f>
        <v/>
      </c>
      <c r="J141" s="350">
        <f>LEFT(A141,1)</f>
        <v/>
      </c>
      <c r="K141" s="347">
        <f>"TH4"&amp;" - "&amp;A141</f>
        <v/>
      </c>
      <c r="L141" s="347">
        <f>+VLOOKUP(K141,TL[],4,FALSE)</f>
        <v/>
      </c>
    </row>
    <row r="142">
      <c r="A142" s="348" t="inlineStr">
        <is>
          <t>63330000</t>
        </is>
      </c>
      <c r="B142" s="348" t="inlineStr">
        <is>
          <t>Formation professionnelle</t>
        </is>
      </c>
      <c r="C142" s="348" t="n">
        <v>780.1799999999999</v>
      </c>
      <c r="D142" s="348" t="inlineStr"/>
      <c r="E142" s="348" t="n">
        <v>780.1799999999999</v>
      </c>
      <c r="F142" s="348" t="inlineStr"/>
      <c r="G142" s="220">
        <f>SUM(C142)-SUM(D142)</f>
        <v/>
      </c>
      <c r="H142" s="220">
        <f>SUM(E142)-SUM(F142)</f>
        <v/>
      </c>
      <c r="I142" s="221">
        <f>IF(A142="Total",VLOOKUP(B142,CORRESPONDANCE[#All],2,FALSE),I143)</f>
        <v/>
      </c>
      <c r="J142" s="350">
        <f>LEFT(A142,1)</f>
        <v/>
      </c>
      <c r="K142" s="347">
        <f>"TH4"&amp;" - "&amp;A142</f>
        <v/>
      </c>
      <c r="L142" s="347">
        <f>+VLOOKUP(K142,TL[],4,FALSE)</f>
        <v/>
      </c>
    </row>
    <row r="143">
      <c r="A143" s="348" t="inlineStr">
        <is>
          <t>63350000</t>
        </is>
      </c>
      <c r="B143" s="348" t="inlineStr">
        <is>
          <t>Taxe d'apprentissage</t>
        </is>
      </c>
      <c r="C143" s="348" t="n">
        <v>530.53</v>
      </c>
      <c r="D143" s="348" t="inlineStr"/>
      <c r="E143" s="348" t="n">
        <v>530.53</v>
      </c>
      <c r="F143" s="348" t="inlineStr"/>
      <c r="G143" s="220">
        <f>SUM(C143)-SUM(D143)</f>
        <v/>
      </c>
      <c r="H143" s="220">
        <f>SUM(E143)-SUM(F143)</f>
        <v/>
      </c>
      <c r="I143" s="221">
        <f>IF(A143="Total",VLOOKUP(B143,CORRESPONDANCE[#All],2,FALSE),I144)</f>
        <v/>
      </c>
      <c r="J143" s="350">
        <f>LEFT(A143,1)</f>
        <v/>
      </c>
      <c r="K143" s="347">
        <f>"TH4"&amp;" - "&amp;A143</f>
        <v/>
      </c>
      <c r="L143" s="347">
        <f>+VLOOKUP(K143,TL[],4,FALSE)</f>
        <v/>
      </c>
    </row>
    <row r="144">
      <c r="A144" s="348" t="inlineStr">
        <is>
          <t>63511100</t>
        </is>
      </c>
      <c r="B144" s="348" t="inlineStr">
        <is>
          <t>Cfe</t>
        </is>
      </c>
      <c r="C144" s="348" t="n">
        <v>210</v>
      </c>
      <c r="D144" s="348" t="inlineStr"/>
      <c r="E144" s="348" t="n">
        <v>210</v>
      </c>
      <c r="F144" s="348" t="inlineStr"/>
      <c r="G144" s="220">
        <f>SUM(C144)-SUM(D144)</f>
        <v/>
      </c>
      <c r="H144" s="220">
        <f>SUM(E144)-SUM(F144)</f>
        <v/>
      </c>
      <c r="I144" s="221">
        <f>IF(A144="Total",VLOOKUP(B144,CORRESPONDANCE[#All],2,FALSE),I145)</f>
        <v/>
      </c>
      <c r="J144" s="350">
        <f>LEFT(A144,1)</f>
        <v/>
      </c>
      <c r="K144" s="347">
        <f>"TH4"&amp;" - "&amp;A144</f>
        <v/>
      </c>
      <c r="L144" s="347">
        <f>+VLOOKUP(K144,TL[],4,FALSE)</f>
        <v/>
      </c>
    </row>
    <row r="145">
      <c r="A145" s="348" t="inlineStr">
        <is>
          <t>63511200</t>
        </is>
      </c>
      <c r="B145" s="348" t="inlineStr">
        <is>
          <t>Cvae</t>
        </is>
      </c>
      <c r="C145" s="348" t="n">
        <v>460</v>
      </c>
      <c r="D145" s="348" t="inlineStr"/>
      <c r="E145" s="348" t="n">
        <v>460</v>
      </c>
      <c r="F145" s="348" t="inlineStr"/>
      <c r="G145" s="220">
        <f>SUM(C145)-SUM(D145)</f>
        <v/>
      </c>
      <c r="H145" s="220">
        <f>SUM(E145)-SUM(F145)</f>
        <v/>
      </c>
      <c r="I145" s="221">
        <f>IF(A145="Total",VLOOKUP(B145,CORRESPONDANCE[#All],2,FALSE),I146)</f>
        <v/>
      </c>
      <c r="J145" s="350">
        <f>LEFT(A145,1)</f>
        <v/>
      </c>
      <c r="K145" s="347">
        <f>"TH4"&amp;" - "&amp;A145</f>
        <v/>
      </c>
      <c r="L145" s="347">
        <f>+VLOOKUP(K145,TL[],4,FALSE)</f>
        <v/>
      </c>
    </row>
    <row r="146">
      <c r="A146" s="348" t="inlineStr">
        <is>
          <t>63553000</t>
        </is>
      </c>
      <c r="B146" s="348" t="inlineStr">
        <is>
          <t>Taxe publicité</t>
        </is>
      </c>
      <c r="C146" s="348" t="n">
        <v>135</v>
      </c>
      <c r="D146" s="348" t="inlineStr"/>
      <c r="E146" s="348" t="n">
        <v>135</v>
      </c>
      <c r="F146" s="348" t="inlineStr"/>
      <c r="G146" s="220">
        <f>SUM(C146)-SUM(D146)</f>
        <v/>
      </c>
      <c r="H146" s="220">
        <f>SUM(E146)-SUM(F146)</f>
        <v/>
      </c>
      <c r="I146" s="221">
        <f>IF(A146="Total",VLOOKUP(B146,CORRESPONDANCE[#All],2,FALSE),I147)</f>
        <v/>
      </c>
      <c r="J146" s="350">
        <f>LEFT(A146,1)</f>
        <v/>
      </c>
      <c r="K146" s="347">
        <f>"TH4"&amp;" - "&amp;A146</f>
        <v/>
      </c>
      <c r="L146" s="347">
        <f>+VLOOKUP(K146,TL[],4,FALSE)</f>
        <v/>
      </c>
    </row>
    <row r="147">
      <c r="A147" s="348" t="inlineStr">
        <is>
          <t>63730000</t>
        </is>
      </c>
      <c r="B147" s="348" t="inlineStr">
        <is>
          <t>Taxe handicapés</t>
        </is>
      </c>
      <c r="C147" s="348" t="n">
        <v>425</v>
      </c>
      <c r="D147" s="348" t="inlineStr"/>
      <c r="E147" s="348" t="n">
        <v>425</v>
      </c>
      <c r="F147" s="348" t="inlineStr"/>
      <c r="G147" s="220">
        <f>SUM(C147)-SUM(D147)</f>
        <v/>
      </c>
      <c r="H147" s="220">
        <f>SUM(E147)-SUM(F147)</f>
        <v/>
      </c>
      <c r="I147" s="221">
        <f>IF(A147="Total",VLOOKUP(B147,CORRESPONDANCE[#All],2,FALSE),I148)</f>
        <v/>
      </c>
      <c r="J147" s="350">
        <f>LEFT(A147,1)</f>
        <v/>
      </c>
      <c r="K147" s="347">
        <f>"TH4"&amp;" - "&amp;A147</f>
        <v/>
      </c>
      <c r="L147" s="347">
        <f>+VLOOKUP(K147,TL[],4,FALSE)</f>
        <v/>
      </c>
    </row>
    <row r="148">
      <c r="A148" s="348" t="inlineStr">
        <is>
          <t>Total</t>
        </is>
      </c>
      <c r="B148" s="348" t="inlineStr">
        <is>
          <t>Table n°2  -  Taxes</t>
        </is>
      </c>
      <c r="C148" s="348" t="n">
        <v>2540.71</v>
      </c>
      <c r="D148" s="348" t="inlineStr"/>
      <c r="E148" s="348" t="n">
        <v>2540.71</v>
      </c>
      <c r="F148" s="348" t="inlineStr"/>
      <c r="G148" s="220">
        <f>SUM(C148)-SUM(D148)</f>
        <v/>
      </c>
      <c r="H148" s="220">
        <f>SUM(E148)-SUM(F148)</f>
        <v/>
      </c>
      <c r="I148" s="221">
        <f>IF(A148="Total",VLOOKUP(B148,CORRESPONDANCE[#All],2,FALSE),I149)</f>
        <v/>
      </c>
      <c r="J148" s="350">
        <f>LEFT(A148,1)</f>
        <v/>
      </c>
      <c r="K148" s="347">
        <f>"TH4"&amp;" - "&amp;A148</f>
        <v/>
      </c>
      <c r="L148" s="347">
        <f>+VLOOKUP(K148,TL[],4,FALSE)</f>
        <v/>
      </c>
    </row>
    <row r="149">
      <c r="A149" s="348" t="inlineStr">
        <is>
          <t>68111000</t>
        </is>
      </c>
      <c r="B149" s="348" t="inlineStr">
        <is>
          <t>Dot. amort. s/immobil. incorporel.</t>
        </is>
      </c>
      <c r="C149" s="348" t="n">
        <v>11000</v>
      </c>
      <c r="D149" s="348" t="inlineStr"/>
      <c r="E149" s="348" t="n">
        <v>11000</v>
      </c>
      <c r="F149" s="348" t="inlineStr"/>
      <c r="G149" s="220">
        <f>SUM(C149)-SUM(D149)</f>
        <v/>
      </c>
      <c r="H149" s="220">
        <f>SUM(E149)-SUM(F149)</f>
        <v/>
      </c>
      <c r="I149" s="221">
        <f>IF(A149="Total",VLOOKUP(B149,CORRESPONDANCE[#All],2,FALSE),I150)</f>
        <v/>
      </c>
      <c r="J149" s="350">
        <f>LEFT(A149,1)</f>
        <v/>
      </c>
      <c r="K149" s="347">
        <f>"TH4"&amp;" - "&amp;A149</f>
        <v/>
      </c>
      <c r="L149" s="347">
        <f>+VLOOKUP(K149,TL[],4,FALSE)</f>
        <v/>
      </c>
    </row>
    <row r="150">
      <c r="A150" s="348" t="inlineStr">
        <is>
          <t>Total</t>
        </is>
      </c>
      <c r="B150" s="348" t="inlineStr">
        <is>
          <t>Table n°2  -  Dépréciations amortissements</t>
        </is>
      </c>
      <c r="C150" s="348" t="n">
        <v>11000</v>
      </c>
      <c r="D150" s="348" t="inlineStr"/>
      <c r="E150" s="348" t="n">
        <v>11000</v>
      </c>
      <c r="F150" s="348" t="inlineStr"/>
      <c r="G150" s="220">
        <f>SUM(C150)-SUM(D150)</f>
        <v/>
      </c>
      <c r="H150" s="220">
        <f>SUM(E150)-SUM(F150)</f>
        <v/>
      </c>
      <c r="I150" s="221">
        <f>IF(A150="Total",VLOOKUP(B150,CORRESPONDANCE[#All],2,FALSE),I151)</f>
        <v/>
      </c>
      <c r="J150" s="350">
        <f>LEFT(A150,1)</f>
        <v/>
      </c>
      <c r="K150" s="347">
        <f>"TH4"&amp;" - "&amp;A150</f>
        <v/>
      </c>
      <c r="L150" s="347">
        <f>+VLOOKUP(K150,TL[],4,FALSE)</f>
        <v/>
      </c>
    </row>
    <row r="151">
      <c r="A151" s="348" t="inlineStr">
        <is>
          <t>61354300</t>
        </is>
      </c>
      <c r="B151" s="348" t="inlineStr">
        <is>
          <t>Location materiel info</t>
        </is>
      </c>
      <c r="C151" s="348" t="n">
        <v>365.61</v>
      </c>
      <c r="D151" s="348" t="inlineStr"/>
      <c r="E151" s="348" t="n">
        <v>365.61</v>
      </c>
      <c r="F151" s="348" t="inlineStr"/>
      <c r="G151" s="220">
        <f>SUM(C151)-SUM(D151)</f>
        <v/>
      </c>
      <c r="H151" s="220">
        <f>SUM(E151)-SUM(F151)</f>
        <v/>
      </c>
      <c r="I151" s="221">
        <f>IF(A151="Total",VLOOKUP(B151,CORRESPONDANCE[#All],2,FALSE),I152)</f>
        <v/>
      </c>
      <c r="J151" s="350">
        <f>LEFT(A151,1)</f>
        <v/>
      </c>
      <c r="K151" s="347">
        <f>"TH4"&amp;" - "&amp;A151</f>
        <v/>
      </c>
      <c r="L151" s="347">
        <f>+VLOOKUP(K151,TL[],4,FALSE)</f>
        <v/>
      </c>
    </row>
    <row r="152">
      <c r="A152" s="348" t="inlineStr">
        <is>
          <t>Total</t>
        </is>
      </c>
      <c r="B152" s="348" t="inlineStr">
        <is>
          <t>Table n°2  -  Crédit bail</t>
        </is>
      </c>
      <c r="C152" s="348" t="n">
        <v>365.61</v>
      </c>
      <c r="D152" s="348" t="inlineStr"/>
      <c r="E152" s="348" t="n">
        <v>365.61</v>
      </c>
      <c r="F152" s="348" t="inlineStr"/>
      <c r="G152" s="220">
        <f>SUM(C152)-SUM(D152)</f>
        <v/>
      </c>
      <c r="H152" s="220">
        <f>SUM(E152)-SUM(F152)</f>
        <v/>
      </c>
      <c r="I152" s="221">
        <f>IF(A152="Total",VLOOKUP(B152,CORRESPONDANCE[#All],2,FALSE),I153)</f>
        <v/>
      </c>
      <c r="J152" s="350">
        <f>LEFT(A152,1)</f>
        <v/>
      </c>
      <c r="K152" s="347">
        <f>"TH4"&amp;" - "&amp;A152</f>
        <v/>
      </c>
      <c r="L152" s="347">
        <f>+VLOOKUP(K152,TL[],4,FALSE)</f>
        <v/>
      </c>
    </row>
    <row r="153">
      <c r="A153" s="348" t="inlineStr">
        <is>
          <t>62141100</t>
        </is>
      </c>
      <c r="B153" s="348" t="inlineStr">
        <is>
          <t>Prêt personnel hotesses</t>
        </is>
      </c>
      <c r="C153" s="348" t="n">
        <v>429.58</v>
      </c>
      <c r="D153" s="348" t="inlineStr"/>
      <c r="E153" s="348" t="n">
        <v>429.58</v>
      </c>
      <c r="F153" s="348" t="inlineStr"/>
      <c r="G153" s="220">
        <f>SUM(C153)-SUM(D153)</f>
        <v/>
      </c>
      <c r="H153" s="220">
        <f>SUM(E153)-SUM(F153)</f>
        <v/>
      </c>
      <c r="I153" s="221">
        <f>IF(A153="Total",VLOOKUP(B153,CORRESPONDANCE[#All],2,FALSE),I154)</f>
        <v/>
      </c>
      <c r="J153" s="350">
        <f>LEFT(A153,1)</f>
        <v/>
      </c>
      <c r="K153" s="347">
        <f>"TH4"&amp;" - "&amp;A153</f>
        <v/>
      </c>
      <c r="L153" s="347">
        <f>+VLOOKUP(K153,TL[],4,FALSE)</f>
        <v/>
      </c>
    </row>
    <row r="154">
      <c r="A154" s="348" t="inlineStr">
        <is>
          <t>Total</t>
        </is>
      </c>
      <c r="B154" s="348" t="inlineStr">
        <is>
          <t>Table n°2  -  Dépenses / Revenus divers</t>
        </is>
      </c>
      <c r="C154" s="348" t="n">
        <v>429.58</v>
      </c>
      <c r="D154" s="348" t="inlineStr"/>
      <c r="E154" s="348" t="n">
        <v>429.58</v>
      </c>
      <c r="F154" s="348" t="inlineStr"/>
      <c r="G154" s="220">
        <f>SUM(C154)-SUM(D154)</f>
        <v/>
      </c>
      <c r="H154" s="220">
        <f>SUM(E154)-SUM(F154)</f>
        <v/>
      </c>
      <c r="I154" s="221">
        <f>IF(A154="Total",VLOOKUP(B154,CORRESPONDANCE[#All],2,FALSE),I155)</f>
        <v/>
      </c>
      <c r="J154" s="350">
        <f>LEFT(A154,1)</f>
        <v/>
      </c>
      <c r="K154" s="347">
        <f>"TH4"&amp;" - "&amp;A154</f>
        <v/>
      </c>
      <c r="L154" s="347">
        <f>+VLOOKUP(K154,TL[],4,FALSE)</f>
        <v/>
      </c>
    </row>
    <row r="155">
      <c r="A155" s="348" t="inlineStr">
        <is>
          <t>62830000</t>
        </is>
      </c>
      <c r="B155" s="348" t="inlineStr">
        <is>
          <t>Redevance GTH14</t>
        </is>
      </c>
      <c r="C155" s="348" t="n">
        <v>23134</v>
      </c>
      <c r="D155" s="348" t="inlineStr"/>
      <c r="E155" s="348" t="n">
        <v>23134</v>
      </c>
      <c r="F155" s="348" t="inlineStr"/>
      <c r="G155" s="220">
        <f>SUM(C155)-SUM(D155)</f>
        <v/>
      </c>
      <c r="H155" s="220">
        <f>SUM(E155)-SUM(F155)</f>
        <v/>
      </c>
      <c r="I155" s="221">
        <f>IF(A155="Total",VLOOKUP(B155,CORRESPONDANCE[#All],2,FALSE),I156)</f>
        <v/>
      </c>
      <c r="J155" s="350">
        <f>LEFT(A155,1)</f>
        <v/>
      </c>
      <c r="K155" s="347">
        <f>"TH4"&amp;" - "&amp;A155</f>
        <v/>
      </c>
      <c r="L155" s="347">
        <f>+VLOOKUP(K155,TL[],4,FALSE)</f>
        <v/>
      </c>
    </row>
    <row r="156">
      <c r="A156" s="348" t="inlineStr">
        <is>
          <t>62832000</t>
        </is>
      </c>
      <c r="B156" s="348" t="inlineStr">
        <is>
          <t>Redevance MUNGU</t>
        </is>
      </c>
      <c r="C156" s="348" t="n">
        <v>833.33</v>
      </c>
      <c r="D156" s="348" t="inlineStr"/>
      <c r="E156" s="348" t="n">
        <v>833.33</v>
      </c>
      <c r="F156" s="348" t="inlineStr"/>
      <c r="G156" s="220">
        <f>SUM(C156)-SUM(D156)</f>
        <v/>
      </c>
      <c r="H156" s="220">
        <f>SUM(E156)-SUM(F156)</f>
        <v/>
      </c>
      <c r="I156" s="221">
        <f>IF(A156="Total",VLOOKUP(B156,CORRESPONDANCE[#All],2,FALSE),I157)</f>
        <v/>
      </c>
      <c r="J156" s="350">
        <f>LEFT(A156,1)</f>
        <v/>
      </c>
      <c r="K156" s="347">
        <f>"TH4"&amp;" - "&amp;A156</f>
        <v/>
      </c>
      <c r="L156" s="347">
        <f>+VLOOKUP(K156,TL[],4,FALSE)</f>
        <v/>
      </c>
    </row>
    <row r="157">
      <c r="A157" s="348" t="inlineStr">
        <is>
          <t>Total</t>
        </is>
      </c>
      <c r="B157" s="348" t="inlineStr">
        <is>
          <t>Table n°2  -  G&amp;A (Frais administratifs)</t>
        </is>
      </c>
      <c r="C157" s="348" t="n">
        <v>23967.33</v>
      </c>
      <c r="D157" s="348" t="inlineStr"/>
      <c r="E157" s="348" t="n">
        <v>23967.33</v>
      </c>
      <c r="F157" s="348" t="inlineStr"/>
      <c r="G157" s="220">
        <f>SUM(C157)-SUM(D157)</f>
        <v/>
      </c>
      <c r="H157" s="220">
        <f>SUM(E157)-SUM(F157)</f>
        <v/>
      </c>
      <c r="I157" s="221">
        <f>IF(A157="Total",VLOOKUP(B157,CORRESPONDANCE[#All],2,FALSE),I158)</f>
        <v/>
      </c>
      <c r="J157" s="350">
        <f>LEFT(A157,1)</f>
        <v/>
      </c>
      <c r="K157" s="347">
        <f>"TH4"&amp;" - "&amp;A157</f>
        <v/>
      </c>
      <c r="L157" s="347">
        <f>+VLOOKUP(K157,TL[],4,FALSE)</f>
        <v/>
      </c>
    </row>
    <row r="158">
      <c r="A158" s="348" t="inlineStr">
        <is>
          <t>70230000</t>
        </is>
      </c>
      <c r="B158" s="348" t="inlineStr">
        <is>
          <t>Ventes pdts non alimentaires 10%</t>
        </is>
      </c>
      <c r="C158" s="348" t="inlineStr"/>
      <c r="D158" s="348" t="n">
        <v>4773.92</v>
      </c>
      <c r="E158" s="348" t="inlineStr"/>
      <c r="F158" s="348" t="n">
        <v>4773.92</v>
      </c>
      <c r="G158" s="220">
        <f>SUM(C158)-SUM(D158)</f>
        <v/>
      </c>
      <c r="H158" s="220">
        <f>SUM(E158)-SUM(F158)</f>
        <v/>
      </c>
      <c r="I158" s="221">
        <f>IF(A158="Total",VLOOKUP(B158,CORRESPONDANCE[#All],2,FALSE),I159)</f>
        <v/>
      </c>
      <c r="J158" s="350">
        <f>LEFT(A158,1)</f>
        <v/>
      </c>
      <c r="K158" s="347">
        <f>"TH4"&amp;" - "&amp;A158</f>
        <v/>
      </c>
      <c r="L158" s="347">
        <f>+VLOOKUP(K158,TL[],4,FALSE)</f>
        <v/>
      </c>
    </row>
    <row r="159">
      <c r="A159" s="348" t="inlineStr">
        <is>
          <t>Total</t>
        </is>
      </c>
      <c r="B159" s="348" t="inlineStr">
        <is>
          <t>Table n°2  -  Ventes non alimentaires</t>
        </is>
      </c>
      <c r="C159" s="348" t="inlineStr"/>
      <c r="D159" s="348" t="n">
        <v>4773.92</v>
      </c>
      <c r="E159" s="348" t="inlineStr"/>
      <c r="F159" s="348" t="n">
        <v>4773.92</v>
      </c>
      <c r="G159" s="220">
        <f>SUM(C159)-SUM(D159)</f>
        <v/>
      </c>
      <c r="H159" s="220">
        <f>SUM(E159)-SUM(F159)</f>
        <v/>
      </c>
      <c r="I159" s="221">
        <f>IF(A159="Total",VLOOKUP(B159,CORRESPONDANCE[#All],2,FALSE),I160)</f>
        <v/>
      </c>
      <c r="J159" s="350">
        <f>LEFT(A159,1)</f>
        <v/>
      </c>
      <c r="K159" s="347">
        <f>"TH4"&amp;" - "&amp;A159</f>
        <v/>
      </c>
      <c r="L159" s="347">
        <f>+VLOOKUP(K159,TL[],4,FALSE)</f>
        <v/>
      </c>
    </row>
    <row r="160">
      <c r="A160" s="348" t="inlineStr">
        <is>
          <t>60220200</t>
        </is>
      </c>
      <c r="B160" s="348" t="inlineStr">
        <is>
          <t>Achats happy meal</t>
        </is>
      </c>
      <c r="C160" s="348" t="n">
        <v>3577.2</v>
      </c>
      <c r="D160" s="348" t="inlineStr"/>
      <c r="E160" s="348" t="n">
        <v>3577.2</v>
      </c>
      <c r="F160" s="348" t="inlineStr"/>
      <c r="G160" s="220">
        <f>SUM(C160)-SUM(D160)</f>
        <v/>
      </c>
      <c r="H160" s="220">
        <f>SUM(E160)-SUM(F160)</f>
        <v/>
      </c>
      <c r="I160" s="221">
        <f>IF(A160="Total",VLOOKUP(B160,CORRESPONDANCE[#All],2,FALSE),I161)</f>
        <v/>
      </c>
      <c r="J160" s="350">
        <f>LEFT(A160,1)</f>
        <v/>
      </c>
      <c r="K160" s="347">
        <f>"TH4"&amp;" - "&amp;A160</f>
        <v/>
      </c>
      <c r="L160" s="347">
        <f>+VLOOKUP(K160,TL[],4,FALSE)</f>
        <v/>
      </c>
    </row>
    <row r="161">
      <c r="A161" s="348" t="inlineStr">
        <is>
          <t>60320100</t>
        </is>
      </c>
      <c r="B161" s="348" t="inlineStr">
        <is>
          <t>Variat.stock happy meals</t>
        </is>
      </c>
      <c r="C161" s="348" t="n">
        <v>1779.26</v>
      </c>
      <c r="D161" s="348" t="inlineStr"/>
      <c r="E161" s="348" t="n">
        <v>1779.26</v>
      </c>
      <c r="F161" s="348" t="inlineStr"/>
      <c r="G161" s="220">
        <f>SUM(C161)-SUM(D161)</f>
        <v/>
      </c>
      <c r="H161" s="220">
        <f>SUM(E161)-SUM(F161)</f>
        <v/>
      </c>
      <c r="I161" s="221">
        <f>IF(A161="Total",VLOOKUP(B161,CORRESPONDANCE[#All],2,FALSE),I162)</f>
        <v/>
      </c>
      <c r="J161" s="350">
        <f>LEFT(A161,1)</f>
        <v/>
      </c>
      <c r="K161" s="347">
        <f>"TH4"&amp;" - "&amp;A161</f>
        <v/>
      </c>
      <c r="L161" s="347">
        <f>+VLOOKUP(K161,TL[],4,FALSE)</f>
        <v/>
      </c>
    </row>
    <row r="162">
      <c r="A162" s="348" t="inlineStr">
        <is>
          <t>62802400</t>
        </is>
      </c>
      <c r="B162" s="348" t="inlineStr">
        <is>
          <t>Achat coupons cinema</t>
        </is>
      </c>
      <c r="C162" s="348" t="n">
        <v>65.56</v>
      </c>
      <c r="D162" s="348" t="inlineStr"/>
      <c r="E162" s="348" t="n">
        <v>65.56</v>
      </c>
      <c r="F162" s="348" t="inlineStr"/>
      <c r="G162" s="220">
        <f>SUM(C162)-SUM(D162)</f>
        <v/>
      </c>
      <c r="H162" s="220">
        <f>SUM(E162)-SUM(F162)</f>
        <v/>
      </c>
      <c r="I162" s="221">
        <f>IF(A162="Total",VLOOKUP(B162,CORRESPONDANCE[#All],2,FALSE),I163)</f>
        <v/>
      </c>
      <c r="J162" s="350">
        <f>LEFT(A162,1)</f>
        <v/>
      </c>
      <c r="K162" s="347">
        <f>"TH4"&amp;" - "&amp;A162</f>
        <v/>
      </c>
      <c r="L162" s="347">
        <f>+VLOOKUP(K162,TL[],4,FALSE)</f>
        <v/>
      </c>
    </row>
    <row r="163">
      <c r="A163" s="348" t="inlineStr">
        <is>
          <t>Total</t>
        </is>
      </c>
      <c r="B163" s="348" t="inlineStr">
        <is>
          <t>Table n°2  -  Coût non alimentaire</t>
        </is>
      </c>
      <c r="C163" s="348" t="n">
        <v>5422.02</v>
      </c>
      <c r="D163" s="348" t="inlineStr"/>
      <c r="E163" s="348" t="n">
        <v>5422.02</v>
      </c>
      <c r="F163" s="348" t="inlineStr"/>
      <c r="G163" s="220">
        <f>SUM(C163)-SUM(D163)</f>
        <v/>
      </c>
      <c r="H163" s="220">
        <f>SUM(E163)-SUM(F163)</f>
        <v/>
      </c>
      <c r="I163" s="221">
        <f>IF(A163="Total",VLOOKUP(B163,CORRESPONDANCE[#All],2,FALSE),I164)</f>
        <v/>
      </c>
      <c r="J163" s="350">
        <f>LEFT(A163,1)</f>
        <v/>
      </c>
      <c r="K163" s="347">
        <f>"TH4"&amp;" - "&amp;A163</f>
        <v/>
      </c>
      <c r="L163" s="347">
        <f>+VLOOKUP(K163,TL[],4,FALSE)</f>
        <v/>
      </c>
    </row>
    <row r="164">
      <c r="A164" s="348" t="inlineStr"/>
      <c r="B164" s="348" t="inlineStr">
        <is>
          <t>Total général</t>
        </is>
      </c>
      <c r="C164" s="348" t="n">
        <v>360762.63</v>
      </c>
      <c r="D164" s="348" t="n">
        <v>370491.71</v>
      </c>
      <c r="E164" s="348" t="n">
        <v>360762.63</v>
      </c>
      <c r="F164" s="348" t="n">
        <v>370491.71</v>
      </c>
      <c r="G164" s="220">
        <f>SUM(C164)-SUM(D164)</f>
        <v/>
      </c>
      <c r="H164" s="220">
        <f>SUM(E164)-SUM(F164)</f>
        <v/>
      </c>
      <c r="I164" s="221">
        <f>IF(A164="Total",VLOOKUP(B164,CORRESPONDANCE[#All],2,FALSE),I165)</f>
        <v/>
      </c>
      <c r="J164" s="350">
        <f>LEFT(A164,1)</f>
        <v/>
      </c>
      <c r="K164" s="347">
        <f>"TH4"&amp;" - "&amp;A164</f>
        <v/>
      </c>
      <c r="L164" s="347">
        <f>+VLOOKUP(K164,TL[],4,FALSE)</f>
        <v/>
      </c>
    </row>
    <row r="165">
      <c r="G165" s="220">
        <f>SUM(C165)-SUM(D165)</f>
        <v/>
      </c>
      <c r="H165" s="220">
        <f>SUM(E165)-SUM(F165)</f>
        <v/>
      </c>
      <c r="I165" s="221">
        <f>IF(A165="Total",VLOOKUP(B165,CORRESPONDANCE[#All],2,FALSE),I166)</f>
        <v/>
      </c>
      <c r="J165" s="350">
        <f>LEFT(A165,1)</f>
        <v/>
      </c>
      <c r="K165" s="347">
        <f>"TH4"&amp;" - "&amp;A165</f>
        <v/>
      </c>
      <c r="L165" s="347">
        <f>+VLOOKUP(K165,TL[],4,FALSE)</f>
        <v/>
      </c>
    </row>
    <row r="166">
      <c r="G166" s="220">
        <f>SUM(C166)-SUM(D166)</f>
        <v/>
      </c>
      <c r="H166" s="220">
        <f>SUM(E166)-SUM(F166)</f>
        <v/>
      </c>
      <c r="I166" s="221">
        <f>IF(A166="Total",VLOOKUP(B166,CORRESPONDANCE[#All],2,FALSE),I167)</f>
        <v/>
      </c>
      <c r="J166" s="350">
        <f>LEFT(A166,1)</f>
        <v/>
      </c>
      <c r="K166" s="347">
        <f>"TH4"&amp;" - "&amp;A166</f>
        <v/>
      </c>
      <c r="L166" s="347">
        <f>+VLOOKUP(K166,TL[],4,FALSE)</f>
        <v/>
      </c>
    </row>
    <row r="167">
      <c r="G167" s="220">
        <f>SUM(C167)-SUM(D167)</f>
        <v/>
      </c>
      <c r="H167" s="220">
        <f>SUM(E167)-SUM(F167)</f>
        <v/>
      </c>
      <c r="I167" s="221">
        <f>IF(A167="Total",VLOOKUP(B167,CORRESPONDANCE[#All],2,FALSE),I168)</f>
        <v/>
      </c>
      <c r="J167" s="350">
        <f>LEFT(A167,1)</f>
        <v/>
      </c>
      <c r="K167" s="347">
        <f>"TH4"&amp;" - "&amp;A167</f>
        <v/>
      </c>
      <c r="L167" s="347">
        <f>+VLOOKUP(K167,TL[],4,FALSE)</f>
        <v/>
      </c>
    </row>
    <row r="168">
      <c r="G168" s="220">
        <f>SUM(C168)-SUM(D168)</f>
        <v/>
      </c>
      <c r="H168" s="220">
        <f>SUM(E168)-SUM(F168)</f>
        <v/>
      </c>
      <c r="I168" s="221">
        <f>IF(A168="Total",VLOOKUP(B168,CORRESPONDANCE[#All],2,FALSE),I169)</f>
        <v/>
      </c>
      <c r="J168" s="350">
        <f>LEFT(A168,1)</f>
        <v/>
      </c>
      <c r="K168" s="347">
        <f>"TH4"&amp;" - "&amp;A168</f>
        <v/>
      </c>
      <c r="L168" s="347">
        <f>+VLOOKUP(K168,TL[],4,FALSE)</f>
        <v/>
      </c>
    </row>
    <row r="169">
      <c r="G169" s="220">
        <f>SUM(C169)-SUM(D169)</f>
        <v/>
      </c>
      <c r="H169" s="220">
        <f>SUM(E169)-SUM(F169)</f>
        <v/>
      </c>
      <c r="I169" s="221">
        <f>IF(A169="Total",VLOOKUP(B169,CORRESPONDANCE[#All],2,FALSE),I170)</f>
        <v/>
      </c>
      <c r="J169" s="350">
        <f>LEFT(A169,1)</f>
        <v/>
      </c>
      <c r="K169" s="347">
        <f>"TH4"&amp;" - "&amp;A169</f>
        <v/>
      </c>
      <c r="L169" s="347">
        <f>+VLOOKUP(K169,TL[],4,FALSE)</f>
        <v/>
      </c>
    </row>
    <row r="170">
      <c r="G170" s="220">
        <f>SUM(C170)-SUM(D170)</f>
        <v/>
      </c>
      <c r="H170" s="220">
        <f>SUM(E170)-SUM(F170)</f>
        <v/>
      </c>
      <c r="I170" s="221">
        <f>IF(A170="Total",VLOOKUP(B170,CORRESPONDANCE[#All],2,FALSE),I171)</f>
        <v/>
      </c>
      <c r="J170" s="350">
        <f>LEFT(A170,1)</f>
        <v/>
      </c>
      <c r="K170" s="347">
        <f>"TH4"&amp;" - "&amp;A170</f>
        <v/>
      </c>
      <c r="L170" s="347">
        <f>+VLOOKUP(K170,TL[],4,FALSE)</f>
        <v/>
      </c>
    </row>
    <row r="171">
      <c r="G171" s="220">
        <f>SUM(C171)-SUM(D171)</f>
        <v/>
      </c>
      <c r="H171" s="220">
        <f>SUM(E171)-SUM(F171)</f>
        <v/>
      </c>
      <c r="I171" s="221">
        <f>IF(A171="Total",VLOOKUP(B171,CORRESPONDANCE[#All],2,FALSE),I172)</f>
        <v/>
      </c>
      <c r="J171" s="350">
        <f>LEFT(A171,1)</f>
        <v/>
      </c>
      <c r="K171" s="347">
        <f>"TH4"&amp;" - "&amp;A171</f>
        <v/>
      </c>
      <c r="L171" s="347">
        <f>+VLOOKUP(K171,TL[],4,FALSE)</f>
        <v/>
      </c>
    </row>
    <row r="172">
      <c r="G172" s="220">
        <f>SUM(C172)-SUM(D172)</f>
        <v/>
      </c>
      <c r="H172" s="220">
        <f>SUM(E172)-SUM(F172)</f>
        <v/>
      </c>
      <c r="I172" s="221">
        <f>IF(A172="Total",VLOOKUP(B172,CORRESPONDANCE[#All],2,FALSE),I173)</f>
        <v/>
      </c>
      <c r="J172" s="350">
        <f>LEFT(A172,1)</f>
        <v/>
      </c>
      <c r="K172" s="347">
        <f>"TH4"&amp;" - "&amp;A172</f>
        <v/>
      </c>
      <c r="L172" s="347">
        <f>+VLOOKUP(K172,TL[],4,FALSE)</f>
        <v/>
      </c>
    </row>
    <row r="173">
      <c r="G173" s="220">
        <f>SUM(C173)-SUM(D173)</f>
        <v/>
      </c>
      <c r="H173" s="220">
        <f>SUM(E173)-SUM(F173)</f>
        <v/>
      </c>
      <c r="I173" s="221">
        <f>IF(A173="Total",VLOOKUP(B173,CORRESPONDANCE[#All],2,FALSE),I174)</f>
        <v/>
      </c>
      <c r="J173" s="350">
        <f>LEFT(A173,1)</f>
        <v/>
      </c>
      <c r="K173" s="347">
        <f>"TH4"&amp;" - "&amp;A173</f>
        <v/>
      </c>
      <c r="L173" s="347">
        <f>+VLOOKUP(K173,TL[],4,FALSE)</f>
        <v/>
      </c>
    </row>
    <row r="174">
      <c r="G174" s="220">
        <f>SUM(C174)-SUM(D174)</f>
        <v/>
      </c>
      <c r="H174" s="220">
        <f>SUM(E174)-SUM(F174)</f>
        <v/>
      </c>
      <c r="I174" s="221">
        <f>IF(A174="Total",VLOOKUP(B174,CORRESPONDANCE[#All],2,FALSE),I175)</f>
        <v/>
      </c>
      <c r="J174" s="350">
        <f>LEFT(A174,1)</f>
        <v/>
      </c>
      <c r="K174" s="347">
        <f>"TH4"&amp;" - "&amp;A174</f>
        <v/>
      </c>
      <c r="L174" s="347">
        <f>+VLOOKUP(K174,TL[],4,FALSE)</f>
        <v/>
      </c>
    </row>
    <row r="175">
      <c r="G175" s="220">
        <f>SUM(C175)-SUM(D175)</f>
        <v/>
      </c>
      <c r="H175" s="220">
        <f>SUM(E175)-SUM(F175)</f>
        <v/>
      </c>
      <c r="I175" s="221">
        <f>IF(A175="Total",VLOOKUP(B175,CORRESPONDANCE[#All],2,FALSE),I176)</f>
        <v/>
      </c>
      <c r="J175" s="350">
        <f>LEFT(A175,1)</f>
        <v/>
      </c>
      <c r="K175" s="347">
        <f>"TH4"&amp;" - "&amp;A175</f>
        <v/>
      </c>
      <c r="L175" s="347">
        <f>+VLOOKUP(K175,TL[],4,FALSE)</f>
        <v/>
      </c>
    </row>
    <row r="176">
      <c r="G176" s="220">
        <f>SUM(C176)-SUM(D176)</f>
        <v/>
      </c>
      <c r="H176" s="220">
        <f>SUM(E176)-SUM(F176)</f>
        <v/>
      </c>
      <c r="I176" s="221">
        <f>IF(A176="Total",VLOOKUP(B176,CORRESPONDANCE[#All],2,FALSE),I177)</f>
        <v/>
      </c>
      <c r="J176" s="350">
        <f>LEFT(A176,1)</f>
        <v/>
      </c>
      <c r="K176" s="347">
        <f>"TH4"&amp;" - "&amp;A176</f>
        <v/>
      </c>
      <c r="L176" s="347">
        <f>+VLOOKUP(K176,TL[],4,FALSE)</f>
        <v/>
      </c>
    </row>
    <row r="177">
      <c r="G177" s="220">
        <f>SUM(C177)-SUM(D177)</f>
        <v/>
      </c>
      <c r="H177" s="220">
        <f>SUM(E177)-SUM(F177)</f>
        <v/>
      </c>
      <c r="I177" s="221">
        <f>IF(A177="Total",VLOOKUP(B177,CORRESPONDANCE[#All],2,FALSE),I178)</f>
        <v/>
      </c>
      <c r="J177" s="350">
        <f>LEFT(A177,1)</f>
        <v/>
      </c>
      <c r="K177" s="347">
        <f>"TH4"&amp;" - "&amp;A177</f>
        <v/>
      </c>
      <c r="L177" s="347">
        <f>+VLOOKUP(K177,TL[],4,FALSE)</f>
        <v/>
      </c>
    </row>
    <row r="178">
      <c r="G178" s="220">
        <f>SUM(C178)-SUM(D178)</f>
        <v/>
      </c>
      <c r="H178" s="220">
        <f>SUM(E178)-SUM(F178)</f>
        <v/>
      </c>
      <c r="I178" s="221">
        <f>IF(A178="Total",VLOOKUP(B178,CORRESPONDANCE[#All],2,FALSE),I179)</f>
        <v/>
      </c>
      <c r="J178" s="350">
        <f>LEFT(A178,1)</f>
        <v/>
      </c>
      <c r="K178" s="347">
        <f>"TH4"&amp;" - "&amp;A178</f>
        <v/>
      </c>
      <c r="L178" s="347">
        <f>+VLOOKUP(K178,TL[],4,FALSE)</f>
        <v/>
      </c>
    </row>
    <row r="179">
      <c r="G179" s="220">
        <f>SUM(C179)-SUM(D179)</f>
        <v/>
      </c>
      <c r="H179" s="220">
        <f>SUM(E179)-SUM(F179)</f>
        <v/>
      </c>
      <c r="I179" s="221">
        <f>IF(A179="Total",VLOOKUP(B179,CORRESPONDANCE[#All],2,FALSE),I180)</f>
        <v/>
      </c>
      <c r="J179" s="350">
        <f>LEFT(A179,1)</f>
        <v/>
      </c>
      <c r="K179" s="347">
        <f>"TH4"&amp;" - "&amp;A179</f>
        <v/>
      </c>
      <c r="L179" s="347">
        <f>+VLOOKUP(K179,TL[],4,FALSE)</f>
        <v/>
      </c>
    </row>
    <row r="180">
      <c r="G180" s="220">
        <f>SUM(C180)-SUM(D180)</f>
        <v/>
      </c>
      <c r="H180" s="220">
        <f>SUM(E180)-SUM(F180)</f>
        <v/>
      </c>
      <c r="I180" s="221">
        <f>IF(A180="Total",VLOOKUP(B180,CORRESPONDANCE[#All],2,FALSE),I181)</f>
        <v/>
      </c>
      <c r="J180" s="350">
        <f>LEFT(A180,1)</f>
        <v/>
      </c>
      <c r="K180" s="347">
        <f>"TH4"&amp;" - "&amp;A180</f>
        <v/>
      </c>
      <c r="L180" s="347">
        <f>+VLOOKUP(K180,TL[],4,FALSE)</f>
        <v/>
      </c>
    </row>
    <row r="181">
      <c r="G181" s="220">
        <f>SUM(C181)-SUM(D181)</f>
        <v/>
      </c>
      <c r="H181" s="220">
        <f>SUM(E181)-SUM(F181)</f>
        <v/>
      </c>
      <c r="I181" s="221">
        <f>IF(A181="Total",VLOOKUP(B181,CORRESPONDANCE[#All],2,FALSE),I182)</f>
        <v/>
      </c>
      <c r="J181" s="350">
        <f>LEFT(A181,1)</f>
        <v/>
      </c>
      <c r="K181" s="347">
        <f>"TH4"&amp;" - "&amp;A181</f>
        <v/>
      </c>
      <c r="L181" s="347">
        <f>+VLOOKUP(K181,TL[],4,FALSE)</f>
        <v/>
      </c>
    </row>
    <row r="182">
      <c r="G182" s="220">
        <f>SUM(C182)-SUM(D182)</f>
        <v/>
      </c>
      <c r="H182" s="220">
        <f>SUM(E182)-SUM(F182)</f>
        <v/>
      </c>
      <c r="I182" s="221">
        <f>IF(A182="Total",VLOOKUP(B182,CORRESPONDANCE[#All],2,FALSE),I183)</f>
        <v/>
      </c>
      <c r="J182" s="350">
        <f>LEFT(A182,1)</f>
        <v/>
      </c>
      <c r="K182" s="347">
        <f>"TH4"&amp;" - "&amp;A182</f>
        <v/>
      </c>
      <c r="L182" s="347">
        <f>+VLOOKUP(K182,TL[],4,FALSE)</f>
        <v/>
      </c>
    </row>
    <row r="183">
      <c r="G183" s="220">
        <f>SUM(C183)-SUM(D183)</f>
        <v/>
      </c>
      <c r="H183" s="220">
        <f>SUM(E183)-SUM(F183)</f>
        <v/>
      </c>
      <c r="I183" s="221">
        <f>IF(A183="Total",VLOOKUP(B183,CORRESPONDANCE[#All],2,FALSE),I184)</f>
        <v/>
      </c>
      <c r="J183" s="350">
        <f>LEFT(A183,1)</f>
        <v/>
      </c>
      <c r="K183" s="347">
        <f>"TH4"&amp;" - "&amp;A183</f>
        <v/>
      </c>
      <c r="L183" s="347">
        <f>+VLOOKUP(K183,TL[],4,FALSE)</f>
        <v/>
      </c>
    </row>
    <row r="184">
      <c r="G184" s="220">
        <f>SUM(C184)-SUM(D184)</f>
        <v/>
      </c>
      <c r="H184" s="220">
        <f>SUM(E184)-SUM(F184)</f>
        <v/>
      </c>
      <c r="I184" s="221">
        <f>IF(A184="Total",VLOOKUP(B184,CORRESPONDANCE[#All],2,FALSE),I185)</f>
        <v/>
      </c>
      <c r="J184" s="350">
        <f>LEFT(A184,1)</f>
        <v/>
      </c>
      <c r="K184" s="347">
        <f>"TH4"&amp;" - "&amp;A184</f>
        <v/>
      </c>
      <c r="L184" s="347">
        <f>+VLOOKUP(K184,TL[],4,FALSE)</f>
        <v/>
      </c>
    </row>
    <row r="185">
      <c r="G185" s="220">
        <f>SUM(C185)-SUM(D185)</f>
        <v/>
      </c>
      <c r="H185" s="220">
        <f>SUM(E185)-SUM(F185)</f>
        <v/>
      </c>
      <c r="I185" s="221">
        <f>IF(A185="Total",VLOOKUP(B185,CORRESPONDANCE[#All],2,FALSE),I186)</f>
        <v/>
      </c>
      <c r="J185" s="350">
        <f>LEFT(A185,1)</f>
        <v/>
      </c>
      <c r="K185" s="347">
        <f>"TH4"&amp;" - "&amp;A185</f>
        <v/>
      </c>
      <c r="L185" s="347">
        <f>+VLOOKUP(K185,TL[],4,FALSE)</f>
        <v/>
      </c>
    </row>
    <row r="186">
      <c r="G186" s="220">
        <f>SUM(C186)-SUM(D186)</f>
        <v/>
      </c>
      <c r="H186" s="220">
        <f>SUM(E186)-SUM(F186)</f>
        <v/>
      </c>
      <c r="I186" s="221">
        <f>IF(A186="Total",VLOOKUP(B186,CORRESPONDANCE[#All],2,FALSE),I187)</f>
        <v/>
      </c>
      <c r="J186" s="350">
        <f>LEFT(A186,1)</f>
        <v/>
      </c>
      <c r="K186" s="347">
        <f>"TH4"&amp;" - "&amp;A186</f>
        <v/>
      </c>
      <c r="L186" s="347">
        <f>+VLOOKUP(K186,TL[],4,FALSE)</f>
        <v/>
      </c>
    </row>
    <row r="187">
      <c r="G187" s="220">
        <f>SUM(C187)-SUM(D187)</f>
        <v/>
      </c>
      <c r="H187" s="220">
        <f>SUM(E187)-SUM(F187)</f>
        <v/>
      </c>
      <c r="I187" s="221">
        <f>IF(A187="Total",VLOOKUP(B187,CORRESPONDANCE[#All],2,FALSE),I188)</f>
        <v/>
      </c>
      <c r="J187" s="350">
        <f>LEFT(A187,1)</f>
        <v/>
      </c>
      <c r="K187" s="347">
        <f>"TH4"&amp;" - "&amp;A187</f>
        <v/>
      </c>
      <c r="L187" s="347">
        <f>+VLOOKUP(K187,TL[],4,FALSE)</f>
        <v/>
      </c>
    </row>
    <row r="188">
      <c r="G188" s="220">
        <f>SUM(C188)-SUM(D188)</f>
        <v/>
      </c>
      <c r="H188" s="220">
        <f>SUM(E188)-SUM(F188)</f>
        <v/>
      </c>
      <c r="I188" s="221">
        <f>IF(A188="Total",VLOOKUP(B188,CORRESPONDANCE[#All],2,FALSE),I189)</f>
        <v/>
      </c>
      <c r="J188" s="350">
        <f>LEFT(A188,1)</f>
        <v/>
      </c>
      <c r="K188" s="347">
        <f>"TH4"&amp;" - "&amp;A188</f>
        <v/>
      </c>
      <c r="L188" s="347">
        <f>+VLOOKUP(K188,TL[],4,FALSE)</f>
        <v/>
      </c>
    </row>
    <row r="189">
      <c r="G189" s="220">
        <f>SUM(C189)-SUM(D189)</f>
        <v/>
      </c>
      <c r="H189" s="220">
        <f>SUM(E189)-SUM(F189)</f>
        <v/>
      </c>
      <c r="I189" s="221">
        <f>IF(A189="Total",VLOOKUP(B189,CORRESPONDANCE[#All],2,FALSE),I190)</f>
        <v/>
      </c>
      <c r="J189" s="350">
        <f>LEFT(A189,1)</f>
        <v/>
      </c>
      <c r="K189" s="347">
        <f>"TH4"&amp;" - "&amp;A189</f>
        <v/>
      </c>
      <c r="L189" s="347">
        <f>+VLOOKUP(K189,TL[],4,FALSE)</f>
        <v/>
      </c>
    </row>
    <row r="190">
      <c r="G190" s="220">
        <f>SUM(C190)-SUM(D190)</f>
        <v/>
      </c>
      <c r="H190" s="220">
        <f>SUM(E190)-SUM(F190)</f>
        <v/>
      </c>
      <c r="I190" s="221">
        <f>IF(A190="Total",VLOOKUP(B190,CORRESPONDANCE[#All],2,FALSE),I191)</f>
        <v/>
      </c>
      <c r="J190" s="350">
        <f>LEFT(A190,1)</f>
        <v/>
      </c>
      <c r="K190" s="347">
        <f>"TH4"&amp;" - "&amp;A190</f>
        <v/>
      </c>
      <c r="L190" s="347">
        <f>+VLOOKUP(K190,TL[],4,FALSE)</f>
        <v/>
      </c>
    </row>
    <row r="191">
      <c r="G191" s="220">
        <f>SUM(C191)-SUM(D191)</f>
        <v/>
      </c>
      <c r="H191" s="220">
        <f>SUM(E191)-SUM(F191)</f>
        <v/>
      </c>
      <c r="I191" s="221">
        <f>IF(A191="Total",VLOOKUP(B191,CORRESPONDANCE[#All],2,FALSE),I192)</f>
        <v/>
      </c>
      <c r="J191" s="350">
        <f>LEFT(A191,1)</f>
        <v/>
      </c>
      <c r="K191" s="347">
        <f>"TH4"&amp;" - "&amp;A191</f>
        <v/>
      </c>
      <c r="L191" s="347">
        <f>+VLOOKUP(K191,TL[],4,FALSE)</f>
        <v/>
      </c>
    </row>
    <row r="192">
      <c r="G192" s="220">
        <f>SUM(C192)-SUM(D192)</f>
        <v/>
      </c>
      <c r="H192" s="220">
        <f>SUM(E192)-SUM(F192)</f>
        <v/>
      </c>
      <c r="I192" s="221">
        <f>IF(A192="Total",VLOOKUP(B192,CORRESPONDANCE[#All],2,FALSE),I193)</f>
        <v/>
      </c>
      <c r="J192" s="350">
        <f>LEFT(A192,1)</f>
        <v/>
      </c>
      <c r="K192" s="347">
        <f>"TH4"&amp;" - "&amp;A192</f>
        <v/>
      </c>
      <c r="L192" s="347">
        <f>+VLOOKUP(K192,TL[],4,FALSE)</f>
        <v/>
      </c>
    </row>
    <row r="193">
      <c r="G193" s="220">
        <f>SUM(C193)-SUM(D193)</f>
        <v/>
      </c>
      <c r="H193" s="220">
        <f>SUM(E193)-SUM(F193)</f>
        <v/>
      </c>
      <c r="I193" s="221">
        <f>IF(A193="Total",VLOOKUP(B193,CORRESPONDANCE[#All],2,FALSE),I194)</f>
        <v/>
      </c>
      <c r="J193" s="350">
        <f>LEFT(A193,1)</f>
        <v/>
      </c>
      <c r="K193" s="347">
        <f>"TH4"&amp;" - "&amp;A193</f>
        <v/>
      </c>
      <c r="L193" s="347">
        <f>+VLOOKUP(K193,TL[],4,FALSE)</f>
        <v/>
      </c>
    </row>
    <row r="194">
      <c r="G194" s="220">
        <f>SUM(C194)-SUM(D194)</f>
        <v/>
      </c>
      <c r="H194" s="220">
        <f>SUM(E194)-SUM(F194)</f>
        <v/>
      </c>
      <c r="I194" s="221">
        <f>IF(A194="Total",VLOOKUP(B194,CORRESPONDANCE[#All],2,FALSE),I195)</f>
        <v/>
      </c>
      <c r="J194" s="350">
        <f>LEFT(A194,1)</f>
        <v/>
      </c>
      <c r="K194" s="347">
        <f>"TH4"&amp;" - "&amp;A194</f>
        <v/>
      </c>
      <c r="L194" s="347">
        <f>+VLOOKUP(K194,TL[],4,FALSE)</f>
        <v/>
      </c>
    </row>
    <row r="195">
      <c r="G195" s="220">
        <f>SUM(C195)-SUM(D195)</f>
        <v/>
      </c>
      <c r="H195" s="220">
        <f>SUM(E195)-SUM(F195)</f>
        <v/>
      </c>
      <c r="I195" s="221">
        <f>IF(A195="Total",VLOOKUP(B195,CORRESPONDANCE[#All],2,FALSE),I196)</f>
        <v/>
      </c>
      <c r="J195" s="350">
        <f>LEFT(A195,1)</f>
        <v/>
      </c>
      <c r="K195" s="347">
        <f>"TH4"&amp;" - "&amp;A195</f>
        <v/>
      </c>
      <c r="L195" s="347">
        <f>+VLOOKUP(K195,TL[],4,FALSE)</f>
        <v/>
      </c>
    </row>
    <row r="196">
      <c r="G196" s="220">
        <f>SUM(C196)-SUM(D196)</f>
        <v/>
      </c>
      <c r="H196" s="220">
        <f>SUM(E196)-SUM(F196)</f>
        <v/>
      </c>
      <c r="I196" s="221">
        <f>IF(A196="Total",VLOOKUP(B196,CORRESPONDANCE[#All],2,FALSE),I197)</f>
        <v/>
      </c>
      <c r="J196" s="350">
        <f>LEFT(A196,1)</f>
        <v/>
      </c>
      <c r="K196" s="347">
        <f>"TH4"&amp;" - "&amp;A196</f>
        <v/>
      </c>
      <c r="L196" s="347">
        <f>+VLOOKUP(K196,TL[],4,FALSE)</f>
        <v/>
      </c>
    </row>
    <row r="197">
      <c r="G197" s="220">
        <f>SUM(C197)-SUM(D197)</f>
        <v/>
      </c>
      <c r="H197" s="220">
        <f>SUM(E197)-SUM(F197)</f>
        <v/>
      </c>
      <c r="I197" s="221">
        <f>IF(A197="Total",VLOOKUP(B197,CORRESPONDANCE[#All],2,FALSE),I198)</f>
        <v/>
      </c>
      <c r="J197" s="350">
        <f>LEFT(A197,1)</f>
        <v/>
      </c>
      <c r="K197" s="347">
        <f>"TH4"&amp;" - "&amp;A197</f>
        <v/>
      </c>
      <c r="L197" s="347">
        <f>+VLOOKUP(K197,TL[],4,FALSE)</f>
        <v/>
      </c>
    </row>
    <row r="198">
      <c r="G198" s="220">
        <f>SUM(C198)-SUM(D198)</f>
        <v/>
      </c>
      <c r="H198" s="220">
        <f>SUM(E198)-SUM(F198)</f>
        <v/>
      </c>
      <c r="I198" s="221">
        <f>IF(A198="Total",VLOOKUP(B198,CORRESPONDANCE[#All],2,FALSE),I199)</f>
        <v/>
      </c>
      <c r="J198" s="350">
        <f>LEFT(A198,1)</f>
        <v/>
      </c>
      <c r="K198" s="347">
        <f>"TH4"&amp;" - "&amp;A198</f>
        <v/>
      </c>
      <c r="L198" s="347">
        <f>+VLOOKUP(K198,TL[],4,FALSE)</f>
        <v/>
      </c>
    </row>
    <row r="199">
      <c r="G199" s="220">
        <f>SUM(C199)-SUM(D199)</f>
        <v/>
      </c>
      <c r="H199" s="220">
        <f>SUM(E199)-SUM(F199)</f>
        <v/>
      </c>
      <c r="I199" s="221">
        <f>IF(A199="Total",VLOOKUP(B199,CORRESPONDANCE[#All],2,FALSE),I200)</f>
        <v/>
      </c>
      <c r="J199" s="350">
        <f>LEFT(A199,1)</f>
        <v/>
      </c>
      <c r="K199" s="347">
        <f>"TH4"&amp;" - "&amp;A199</f>
        <v/>
      </c>
      <c r="L199" s="347">
        <f>+VLOOKUP(K199,TL[],4,FALSE)</f>
        <v/>
      </c>
    </row>
    <row r="200">
      <c r="G200" s="220">
        <f>SUM(C200)-SUM(D200)</f>
        <v/>
      </c>
      <c r="H200" s="220">
        <f>SUM(E200)-SUM(F200)</f>
        <v/>
      </c>
      <c r="I200" s="221">
        <f>IF(A200="Total",VLOOKUP(B200,CORRESPONDANCE[#All],2,FALSE),I201)</f>
        <v/>
      </c>
      <c r="J200" s="350">
        <f>LEFT(A200,1)</f>
        <v/>
      </c>
      <c r="K200" s="347">
        <f>"TH4"&amp;" - "&amp;A200</f>
        <v/>
      </c>
      <c r="L200" s="347">
        <f>+VLOOKUP(K200,TL[],4,FALSE)</f>
        <v/>
      </c>
    </row>
    <row r="201">
      <c r="G201" s="220">
        <f>SUM(C201)-SUM(D201)</f>
        <v/>
      </c>
      <c r="H201" s="220">
        <f>SUM(E201)-SUM(F201)</f>
        <v/>
      </c>
      <c r="I201" s="221">
        <f>IF(A201="Total",VLOOKUP(B201,CORRESPONDANCE[#All],2,FALSE),I202)</f>
        <v/>
      </c>
      <c r="J201" s="350">
        <f>LEFT(A201,1)</f>
        <v/>
      </c>
      <c r="K201" s="347">
        <f>"TH4"&amp;" - "&amp;A201</f>
        <v/>
      </c>
      <c r="L201" s="347">
        <f>+VLOOKUP(K201,TL[],4,FALSE)</f>
        <v/>
      </c>
    </row>
    <row r="202">
      <c r="G202" s="220">
        <f>SUM(C202)-SUM(D202)</f>
        <v/>
      </c>
      <c r="H202" s="220">
        <f>SUM(E202)-SUM(F202)</f>
        <v/>
      </c>
      <c r="I202" s="221">
        <f>IF(A202="Total",VLOOKUP(B202,CORRESPONDANCE[#All],2,FALSE),I203)</f>
        <v/>
      </c>
      <c r="J202" s="350">
        <f>LEFT(A202,1)</f>
        <v/>
      </c>
      <c r="K202" s="347">
        <f>"TH4"&amp;" - "&amp;A202</f>
        <v/>
      </c>
      <c r="L202" s="347">
        <f>+VLOOKUP(K202,TL[],4,FALSE)</f>
        <v/>
      </c>
    </row>
    <row r="203">
      <c r="G203" s="220">
        <f>SUM(C203)-SUM(D203)</f>
        <v/>
      </c>
      <c r="H203" s="220">
        <f>SUM(E203)-SUM(F203)</f>
        <v/>
      </c>
      <c r="I203" s="221">
        <f>IF(A203="Total",VLOOKUP(B203,CORRESPONDANCE[#All],2,FALSE),I204)</f>
        <v/>
      </c>
      <c r="J203" s="350">
        <f>LEFT(A203,1)</f>
        <v/>
      </c>
      <c r="K203" s="347">
        <f>"TH4"&amp;" - "&amp;A203</f>
        <v/>
      </c>
      <c r="L203" s="347">
        <f>+VLOOKUP(K203,TL[],4,FALSE)</f>
        <v/>
      </c>
    </row>
    <row r="204">
      <c r="G204" s="220">
        <f>SUM(C204)-SUM(D204)</f>
        <v/>
      </c>
      <c r="H204" s="220">
        <f>SUM(E204)-SUM(F204)</f>
        <v/>
      </c>
      <c r="I204" s="221">
        <f>IF(A204="Total",VLOOKUP(B204,CORRESPONDANCE[#All],2,FALSE),I205)</f>
        <v/>
      </c>
      <c r="J204" s="350">
        <f>LEFT(A204,1)</f>
        <v/>
      </c>
      <c r="K204" s="347">
        <f>"TH4"&amp;" - "&amp;A204</f>
        <v/>
      </c>
      <c r="L204" s="347">
        <f>+VLOOKUP(K204,TL[],4,FALSE)</f>
        <v/>
      </c>
    </row>
    <row r="205">
      <c r="G205" s="220">
        <f>SUM(C205)-SUM(D205)</f>
        <v/>
      </c>
      <c r="H205" s="220">
        <f>SUM(E205)-SUM(F205)</f>
        <v/>
      </c>
      <c r="I205" s="221">
        <f>IF(A205="Total",VLOOKUP(B205,CORRESPONDANCE[#All],2,FALSE),I206)</f>
        <v/>
      </c>
      <c r="J205" s="350">
        <f>LEFT(A205,1)</f>
        <v/>
      </c>
      <c r="K205" s="347">
        <f>"TH4"&amp;" - "&amp;A205</f>
        <v/>
      </c>
      <c r="L205" s="347">
        <f>+VLOOKUP(K205,TL[],4,FALSE)</f>
        <v/>
      </c>
    </row>
    <row r="206">
      <c r="G206" s="220">
        <f>SUM(C206)-SUM(D206)</f>
        <v/>
      </c>
      <c r="H206" s="220">
        <f>SUM(E206)-SUM(F206)</f>
        <v/>
      </c>
      <c r="I206" s="221">
        <f>IF(A206="Total",VLOOKUP(B206,CORRESPONDANCE[#All],2,FALSE),I207)</f>
        <v/>
      </c>
      <c r="J206" s="350">
        <f>LEFT(A206,1)</f>
        <v/>
      </c>
      <c r="K206" s="347">
        <f>"TH4"&amp;" - "&amp;A206</f>
        <v/>
      </c>
      <c r="L206" s="347">
        <f>+VLOOKUP(K206,TL[],4,FALSE)</f>
        <v/>
      </c>
    </row>
    <row r="207">
      <c r="G207" s="220">
        <f>SUM(C207)-SUM(D207)</f>
        <v/>
      </c>
      <c r="H207" s="220">
        <f>SUM(E207)-SUM(F207)</f>
        <v/>
      </c>
      <c r="I207" s="221">
        <f>IF(A207="Total",VLOOKUP(B207,CORRESPONDANCE[#All],2,FALSE),I208)</f>
        <v/>
      </c>
      <c r="J207" s="350">
        <f>LEFT(A207,1)</f>
        <v/>
      </c>
      <c r="K207" s="347">
        <f>"TH4"&amp;" - "&amp;A207</f>
        <v/>
      </c>
      <c r="L207" s="347">
        <f>+VLOOKUP(K207,TL[],4,FALSE)</f>
        <v/>
      </c>
    </row>
    <row r="208">
      <c r="G208" s="220">
        <f>SUM(C208)-SUM(D208)</f>
        <v/>
      </c>
      <c r="H208" s="220">
        <f>SUM(E208)-SUM(F208)</f>
        <v/>
      </c>
      <c r="I208" s="221">
        <f>IF(A208="Total",VLOOKUP(B208,CORRESPONDANCE[#All],2,FALSE),I209)</f>
        <v/>
      </c>
      <c r="J208" s="350">
        <f>LEFT(A208,1)</f>
        <v/>
      </c>
      <c r="K208" s="347">
        <f>"TH4"&amp;" - "&amp;A208</f>
        <v/>
      </c>
      <c r="L208" s="347">
        <f>+VLOOKUP(K208,TL[],4,FALSE)</f>
        <v/>
      </c>
    </row>
    <row r="209">
      <c r="G209" s="220">
        <f>SUM(C209)-SUM(D209)</f>
        <v/>
      </c>
      <c r="H209" s="220">
        <f>SUM(E209)-SUM(F209)</f>
        <v/>
      </c>
      <c r="I209" s="221">
        <f>IF(A209="Total",VLOOKUP(B209,CORRESPONDANCE[#All],2,FALSE),I210)</f>
        <v/>
      </c>
      <c r="J209" s="350">
        <f>LEFT(A209,1)</f>
        <v/>
      </c>
      <c r="K209" s="347">
        <f>"TH4"&amp;" - "&amp;A209</f>
        <v/>
      </c>
      <c r="L209" s="347">
        <f>+VLOOKUP(K209,TL[],4,FALSE)</f>
        <v/>
      </c>
    </row>
    <row r="210">
      <c r="G210" s="220">
        <f>SUM(C210)-SUM(D210)</f>
        <v/>
      </c>
      <c r="H210" s="220">
        <f>SUM(E210)-SUM(F210)</f>
        <v/>
      </c>
      <c r="I210" s="221">
        <f>IF(A210="Total",VLOOKUP(B210,CORRESPONDANCE[#All],2,FALSE),I211)</f>
        <v/>
      </c>
      <c r="J210" s="350">
        <f>LEFT(A210,1)</f>
        <v/>
      </c>
      <c r="K210" s="347">
        <f>"TH4"&amp;" - "&amp;A210</f>
        <v/>
      </c>
      <c r="L210" s="347">
        <f>+VLOOKUP(K210,TL[],4,FALSE)</f>
        <v/>
      </c>
    </row>
    <row r="211">
      <c r="G211" s="220">
        <f>SUM(C211)-SUM(D211)</f>
        <v/>
      </c>
      <c r="H211" s="220">
        <f>SUM(E211)-SUM(F211)</f>
        <v/>
      </c>
      <c r="I211" s="221">
        <f>IF(A211="Total",VLOOKUP(B211,CORRESPONDANCE[#All],2,FALSE),I212)</f>
        <v/>
      </c>
      <c r="J211" s="350">
        <f>LEFT(A211,1)</f>
        <v/>
      </c>
      <c r="K211" s="347">
        <f>"TH4"&amp;" - "&amp;A211</f>
        <v/>
      </c>
      <c r="L211" s="347">
        <f>+VLOOKUP(K211,TL[],4,FALSE)</f>
        <v/>
      </c>
    </row>
    <row r="212">
      <c r="G212" s="220">
        <f>SUM(C212)-SUM(D212)</f>
        <v/>
      </c>
      <c r="H212" s="220">
        <f>SUM(E212)-SUM(F212)</f>
        <v/>
      </c>
      <c r="I212" s="221">
        <f>IF(A212="Total",VLOOKUP(B212,CORRESPONDANCE[#All],2,FALSE),I213)</f>
        <v/>
      </c>
      <c r="J212" s="350">
        <f>LEFT(A212,1)</f>
        <v/>
      </c>
      <c r="K212" s="347">
        <f>"TH4"&amp;" - "&amp;A212</f>
        <v/>
      </c>
      <c r="L212" s="347">
        <f>+VLOOKUP(K212,TL[],4,FALSE)</f>
        <v/>
      </c>
    </row>
    <row r="213">
      <c r="G213" s="220">
        <f>SUM(C213)-SUM(D213)</f>
        <v/>
      </c>
      <c r="H213" s="220">
        <f>SUM(E213)-SUM(F213)</f>
        <v/>
      </c>
      <c r="I213" s="221">
        <f>IF(A213="Total",VLOOKUP(B213,CORRESPONDANCE[#All],2,FALSE),I214)</f>
        <v/>
      </c>
      <c r="J213" s="350">
        <f>LEFT(A213,1)</f>
        <v/>
      </c>
      <c r="K213" s="347">
        <f>"TH4"&amp;" - "&amp;A213</f>
        <v/>
      </c>
      <c r="L213" s="347">
        <f>+VLOOKUP(K213,TL[],4,FALSE)</f>
        <v/>
      </c>
    </row>
    <row r="214">
      <c r="G214" s="220">
        <f>SUM(C214)-SUM(D214)</f>
        <v/>
      </c>
      <c r="H214" s="220">
        <f>SUM(E214)-SUM(F214)</f>
        <v/>
      </c>
      <c r="I214" s="221">
        <f>IF(A214="Total",VLOOKUP(B214,CORRESPONDANCE[#All],2,FALSE),I215)</f>
        <v/>
      </c>
      <c r="J214" s="350">
        <f>LEFT(A214,1)</f>
        <v/>
      </c>
      <c r="K214" s="347">
        <f>"TH4"&amp;" - "&amp;A214</f>
        <v/>
      </c>
      <c r="L214" s="347">
        <f>+VLOOKUP(K214,TL[],4,FALSE)</f>
        <v/>
      </c>
    </row>
    <row r="215">
      <c r="G215" s="220">
        <f>SUM(C215)-SUM(D215)</f>
        <v/>
      </c>
      <c r="H215" s="220">
        <f>SUM(E215)-SUM(F215)</f>
        <v/>
      </c>
      <c r="I215" s="221">
        <f>IF(A215="Total",VLOOKUP(B215,CORRESPONDANCE[#All],2,FALSE),I216)</f>
        <v/>
      </c>
      <c r="J215" s="350">
        <f>LEFT(A215,1)</f>
        <v/>
      </c>
      <c r="K215" s="347">
        <f>"TH4"&amp;" - "&amp;A215</f>
        <v/>
      </c>
      <c r="L215" s="347">
        <f>+VLOOKUP(K215,TL[],4,FALSE)</f>
        <v/>
      </c>
    </row>
    <row r="216">
      <c r="G216" s="220">
        <f>SUM(C216)-SUM(D216)</f>
        <v/>
      </c>
      <c r="H216" s="220">
        <f>SUM(E216)-SUM(F216)</f>
        <v/>
      </c>
      <c r="I216" s="221">
        <f>IF(A216="Total",VLOOKUP(B216,CORRESPONDANCE[#All],2,FALSE),I217)</f>
        <v/>
      </c>
      <c r="J216" s="350">
        <f>LEFT(A216,1)</f>
        <v/>
      </c>
      <c r="K216" s="347">
        <f>"TH4"&amp;" - "&amp;A216</f>
        <v/>
      </c>
      <c r="L216" s="347">
        <f>+VLOOKUP(K216,TL[],4,FALSE)</f>
        <v/>
      </c>
    </row>
    <row r="217">
      <c r="G217" s="220">
        <f>SUM(C217)-SUM(D217)</f>
        <v/>
      </c>
      <c r="H217" s="220">
        <f>SUM(E217)-SUM(F217)</f>
        <v/>
      </c>
      <c r="I217" s="221">
        <f>IF(A217="Total",VLOOKUP(B217,CORRESPONDANCE[#All],2,FALSE),I218)</f>
        <v/>
      </c>
      <c r="J217" s="350">
        <f>LEFT(A217,1)</f>
        <v/>
      </c>
      <c r="K217" s="347">
        <f>"TH4"&amp;" - "&amp;A217</f>
        <v/>
      </c>
      <c r="L217" s="347">
        <f>+VLOOKUP(K217,TL[],4,FALSE)</f>
        <v/>
      </c>
    </row>
    <row r="218">
      <c r="G218" s="220">
        <f>SUM(C218)-SUM(D218)</f>
        <v/>
      </c>
      <c r="H218" s="220">
        <f>SUM(E218)-SUM(F218)</f>
        <v/>
      </c>
      <c r="I218" s="221">
        <f>IF(A218="Total",VLOOKUP(B218,CORRESPONDANCE[#All],2,FALSE),I219)</f>
        <v/>
      </c>
      <c r="J218" s="350">
        <f>LEFT(A218,1)</f>
        <v/>
      </c>
      <c r="K218" s="347">
        <f>"TH4"&amp;" - "&amp;A218</f>
        <v/>
      </c>
      <c r="L218" s="347">
        <f>+VLOOKUP(K218,TL[],4,FALSE)</f>
        <v/>
      </c>
    </row>
    <row r="219">
      <c r="G219" s="220">
        <f>SUM(C219)-SUM(D219)</f>
        <v/>
      </c>
      <c r="H219" s="220">
        <f>SUM(E219)-SUM(F219)</f>
        <v/>
      </c>
      <c r="I219" s="221">
        <f>IF(A219="Total",VLOOKUP(B219,CORRESPONDANCE[#All],2,FALSE),I220)</f>
        <v/>
      </c>
      <c r="J219" s="350">
        <f>LEFT(A219,1)</f>
        <v/>
      </c>
      <c r="K219" s="347">
        <f>"TH4"&amp;" - "&amp;A219</f>
        <v/>
      </c>
      <c r="L219" s="347">
        <f>+VLOOKUP(K219,TL[],4,FALSE)</f>
        <v/>
      </c>
    </row>
    <row r="220">
      <c r="G220" s="220">
        <f>SUM(C220)-SUM(D220)</f>
        <v/>
      </c>
      <c r="H220" s="220">
        <f>SUM(E220)-SUM(F220)</f>
        <v/>
      </c>
      <c r="I220" s="221">
        <f>IF(A220="Total",VLOOKUP(B220,CORRESPONDANCE[#All],2,FALSE),I221)</f>
        <v/>
      </c>
      <c r="J220" s="350">
        <f>LEFT(A220,1)</f>
        <v/>
      </c>
      <c r="K220" s="347">
        <f>"TH4"&amp;" - "&amp;A220</f>
        <v/>
      </c>
      <c r="L220" s="347">
        <f>+VLOOKUP(K220,TL[],4,FALSE)</f>
        <v/>
      </c>
    </row>
    <row r="221">
      <c r="G221" s="220">
        <f>SUM(C221)-SUM(D221)</f>
        <v/>
      </c>
      <c r="H221" s="220">
        <f>SUM(E221)-SUM(F221)</f>
        <v/>
      </c>
      <c r="I221" s="221">
        <f>IF(A221="Total",VLOOKUP(B221,CORRESPONDANCE[#All],2,FALSE),I222)</f>
        <v/>
      </c>
      <c r="J221" s="350">
        <f>LEFT(A221,1)</f>
        <v/>
      </c>
      <c r="K221" s="347">
        <f>"TH4"&amp;" - "&amp;A221</f>
        <v/>
      </c>
      <c r="L221" s="347">
        <f>+VLOOKUP(K221,TL[],4,FALSE)</f>
        <v/>
      </c>
    </row>
    <row r="222">
      <c r="G222" s="220">
        <f>SUM(C222)-SUM(D222)</f>
        <v/>
      </c>
      <c r="H222" s="220">
        <f>SUM(E222)-SUM(F222)</f>
        <v/>
      </c>
      <c r="I222" s="221">
        <f>IF(A222="Total",VLOOKUP(B222,CORRESPONDANCE[#All],2,FALSE),I223)</f>
        <v/>
      </c>
      <c r="J222" s="350">
        <f>LEFT(A222,1)</f>
        <v/>
      </c>
      <c r="K222" s="347">
        <f>"TH4"&amp;" - "&amp;A222</f>
        <v/>
      </c>
      <c r="L222" s="347">
        <f>+VLOOKUP(K222,TL[],4,FALSE)</f>
        <v/>
      </c>
    </row>
    <row r="223">
      <c r="G223" s="220">
        <f>SUM(C223)-SUM(D223)</f>
        <v/>
      </c>
      <c r="H223" s="220">
        <f>SUM(E223)-SUM(F223)</f>
        <v/>
      </c>
      <c r="I223" s="221">
        <f>IF(A223="Total",VLOOKUP(B223,CORRESPONDANCE[#All],2,FALSE),I224)</f>
        <v/>
      </c>
      <c r="J223" s="350">
        <f>LEFT(A223,1)</f>
        <v/>
      </c>
      <c r="K223" s="347">
        <f>"TH4"&amp;" - "&amp;A223</f>
        <v/>
      </c>
      <c r="L223" s="347">
        <f>+VLOOKUP(K223,TL[],4,FALSE)</f>
        <v/>
      </c>
    </row>
    <row r="224">
      <c r="G224" s="220">
        <f>SUM(C224)-SUM(D224)</f>
        <v/>
      </c>
      <c r="H224" s="220">
        <f>SUM(E224)-SUM(F224)</f>
        <v/>
      </c>
      <c r="I224" s="221">
        <f>IF(A224="Total",VLOOKUP(B224,CORRESPONDANCE[#All],2,FALSE),I225)</f>
        <v/>
      </c>
      <c r="J224" s="350">
        <f>LEFT(A224,1)</f>
        <v/>
      </c>
      <c r="K224" s="347">
        <f>"TH4"&amp;" - "&amp;A224</f>
        <v/>
      </c>
      <c r="L224" s="347">
        <f>+VLOOKUP(K224,TL[],4,FALSE)</f>
        <v/>
      </c>
    </row>
    <row r="225">
      <c r="G225" s="220">
        <f>SUM(C225)-SUM(D225)</f>
        <v/>
      </c>
      <c r="H225" s="220">
        <f>SUM(E225)-SUM(F225)</f>
        <v/>
      </c>
      <c r="I225" s="221">
        <f>IF(A225="Total",VLOOKUP(B225,CORRESPONDANCE[#All],2,FALSE),I226)</f>
        <v/>
      </c>
      <c r="J225" s="350">
        <f>LEFT(A225,1)</f>
        <v/>
      </c>
      <c r="K225" s="347">
        <f>"TH4"&amp;" - "&amp;A225</f>
        <v/>
      </c>
      <c r="L225" s="347">
        <f>+VLOOKUP(K225,TL[],4,FALSE)</f>
        <v/>
      </c>
    </row>
    <row r="226">
      <c r="G226" s="220">
        <f>SUM(C226)-SUM(D226)</f>
        <v/>
      </c>
      <c r="H226" s="220">
        <f>SUM(E226)-SUM(F226)</f>
        <v/>
      </c>
      <c r="I226" s="221">
        <f>IF(A226="Total",VLOOKUP(B226,CORRESPONDANCE[#All],2,FALSE),I227)</f>
        <v/>
      </c>
      <c r="J226" s="350">
        <f>LEFT(A226,1)</f>
        <v/>
      </c>
      <c r="K226" s="347">
        <f>"TH4"&amp;" - "&amp;A226</f>
        <v/>
      </c>
      <c r="L226" s="347">
        <f>+VLOOKUP(K226,TL[],4,FALSE)</f>
        <v/>
      </c>
    </row>
    <row r="227">
      <c r="G227" s="220">
        <f>SUM(C227)-SUM(D227)</f>
        <v/>
      </c>
      <c r="H227" s="220">
        <f>SUM(E227)-SUM(F227)</f>
        <v/>
      </c>
      <c r="I227" s="221">
        <f>IF(A227="Total",VLOOKUP(B227,CORRESPONDANCE[#All],2,FALSE),I228)</f>
        <v/>
      </c>
      <c r="J227" s="350">
        <f>LEFT(A227,1)</f>
        <v/>
      </c>
      <c r="K227" s="347">
        <f>"TH4"&amp;" - "&amp;A227</f>
        <v/>
      </c>
      <c r="L227" s="347">
        <f>+VLOOKUP(K227,TL[],4,FALSE)</f>
        <v/>
      </c>
    </row>
    <row r="228">
      <c r="G228" s="220">
        <f>SUM(C228)-SUM(D228)</f>
        <v/>
      </c>
      <c r="H228" s="220">
        <f>SUM(E228)-SUM(F228)</f>
        <v/>
      </c>
      <c r="I228" s="221">
        <f>IF(A228="Total",VLOOKUP(B228,CORRESPONDANCE[#All],2,FALSE),I229)</f>
        <v/>
      </c>
      <c r="J228" s="350">
        <f>LEFT(A228,1)</f>
        <v/>
      </c>
      <c r="K228" s="347">
        <f>"TH4"&amp;" - "&amp;A228</f>
        <v/>
      </c>
      <c r="L228" s="347">
        <f>+VLOOKUP(K228,TL[],4,FALSE)</f>
        <v/>
      </c>
    </row>
    <row r="229">
      <c r="G229" s="220">
        <f>SUM(C229)-SUM(D229)</f>
        <v/>
      </c>
      <c r="H229" s="220">
        <f>SUM(E229)-SUM(F229)</f>
        <v/>
      </c>
      <c r="I229" s="221">
        <f>IF(A229="Total",VLOOKUP(B229,CORRESPONDANCE[#All],2,FALSE),I230)</f>
        <v/>
      </c>
      <c r="J229" s="350">
        <f>LEFT(A229,1)</f>
        <v/>
      </c>
      <c r="K229" s="347">
        <f>"TH4"&amp;" - "&amp;A229</f>
        <v/>
      </c>
      <c r="L229" s="347">
        <f>+VLOOKUP(K229,TL[],4,FALSE)</f>
        <v/>
      </c>
    </row>
    <row r="230">
      <c r="G230" s="220">
        <f>SUM(C230)-SUM(D230)</f>
        <v/>
      </c>
      <c r="H230" s="220">
        <f>SUM(E230)-SUM(F230)</f>
        <v/>
      </c>
      <c r="I230" s="221">
        <f>IF(A230="Total",VLOOKUP(B230,CORRESPONDANCE[#All],2,FALSE),I231)</f>
        <v/>
      </c>
      <c r="J230" s="350">
        <f>LEFT(A230,1)</f>
        <v/>
      </c>
      <c r="K230" s="347">
        <f>"TH4"&amp;" - "&amp;A230</f>
        <v/>
      </c>
      <c r="L230" s="347">
        <f>+VLOOKUP(K230,TL[],4,FALSE)</f>
        <v/>
      </c>
    </row>
    <row r="231">
      <c r="G231" s="220">
        <f>SUM(C231)-SUM(D231)</f>
        <v/>
      </c>
      <c r="H231" s="220">
        <f>SUM(E231)-SUM(F231)</f>
        <v/>
      </c>
      <c r="I231" s="221">
        <f>IF(A231="Total",VLOOKUP(B231,CORRESPONDANCE[#All],2,FALSE),I232)</f>
        <v/>
      </c>
      <c r="J231" s="350">
        <f>LEFT(A231,1)</f>
        <v/>
      </c>
      <c r="K231" s="347">
        <f>"TH4"&amp;" - "&amp;A231</f>
        <v/>
      </c>
      <c r="L231" s="347">
        <f>+VLOOKUP(K231,TL[],4,FALSE)</f>
        <v/>
      </c>
    </row>
    <row r="232">
      <c r="G232" s="220">
        <f>SUM(C232)-SUM(D232)</f>
        <v/>
      </c>
      <c r="H232" s="220">
        <f>SUM(E232)-SUM(F232)</f>
        <v/>
      </c>
      <c r="I232" s="221">
        <f>IF(A232="Total",VLOOKUP(B232,CORRESPONDANCE[#All],2,FALSE),I233)</f>
        <v/>
      </c>
      <c r="J232" s="350">
        <f>LEFT(A232,1)</f>
        <v/>
      </c>
      <c r="K232" s="347">
        <f>"TH4"&amp;" - "&amp;A232</f>
        <v/>
      </c>
      <c r="L232" s="347">
        <f>+VLOOKUP(K232,TL[],4,FALSE)</f>
        <v/>
      </c>
    </row>
    <row r="233">
      <c r="G233" s="220">
        <f>SUM(C233)-SUM(D233)</f>
        <v/>
      </c>
      <c r="H233" s="220">
        <f>SUM(E233)-SUM(F233)</f>
        <v/>
      </c>
      <c r="I233" s="221">
        <f>IF(A233="Total",VLOOKUP(B233,CORRESPONDANCE[#All],2,FALSE),I234)</f>
        <v/>
      </c>
      <c r="J233" s="350">
        <f>LEFT(A233,1)</f>
        <v/>
      </c>
      <c r="K233" s="347">
        <f>"TH4"&amp;" - "&amp;A233</f>
        <v/>
      </c>
      <c r="L233" s="347">
        <f>+VLOOKUP(K233,TL[],4,FALSE)</f>
        <v/>
      </c>
    </row>
    <row r="234">
      <c r="G234" s="220">
        <f>SUM(C234)-SUM(D234)</f>
        <v/>
      </c>
      <c r="H234" s="220">
        <f>SUM(E234)-SUM(F234)</f>
        <v/>
      </c>
      <c r="I234" s="221">
        <f>IF(A234="Total",VLOOKUP(B234,CORRESPONDANCE[#All],2,FALSE),I235)</f>
        <v/>
      </c>
      <c r="J234" s="350">
        <f>LEFT(A234,1)</f>
        <v/>
      </c>
      <c r="K234" s="347">
        <f>"TH4"&amp;" - "&amp;A234</f>
        <v/>
      </c>
      <c r="L234" s="347">
        <f>+VLOOKUP(K234,TL[],4,FALSE)</f>
        <v/>
      </c>
    </row>
    <row r="235">
      <c r="G235" s="220">
        <f>SUM(C235)-SUM(D235)</f>
        <v/>
      </c>
      <c r="H235" s="220">
        <f>SUM(E235)-SUM(F235)</f>
        <v/>
      </c>
      <c r="I235" s="221">
        <f>IF(A235="Total",VLOOKUP(B235,CORRESPONDANCE[#All],2,FALSE),I236)</f>
        <v/>
      </c>
      <c r="J235" s="350">
        <f>LEFT(A235,1)</f>
        <v/>
      </c>
      <c r="K235" s="347">
        <f>"TH4"&amp;" - "&amp;A235</f>
        <v/>
      </c>
      <c r="L235" s="347">
        <f>+VLOOKUP(K235,TL[],4,FALSE)</f>
        <v/>
      </c>
    </row>
    <row r="236">
      <c r="G236" s="220">
        <f>SUM(C236)-SUM(D236)</f>
        <v/>
      </c>
      <c r="H236" s="220">
        <f>SUM(E236)-SUM(F236)</f>
        <v/>
      </c>
      <c r="I236" s="221">
        <f>IF(A236="Total",VLOOKUP(B236,CORRESPONDANCE[#All],2,FALSE),I237)</f>
        <v/>
      </c>
      <c r="J236" s="350">
        <f>LEFT(A236,1)</f>
        <v/>
      </c>
      <c r="K236" s="347">
        <f>"TH4"&amp;" - "&amp;A236</f>
        <v/>
      </c>
      <c r="L236" s="347">
        <f>+VLOOKUP(K236,TL[],4,FALSE)</f>
        <v/>
      </c>
    </row>
    <row r="237">
      <c r="G237" s="220">
        <f>SUM(C237)-SUM(D237)</f>
        <v/>
      </c>
      <c r="H237" s="220">
        <f>SUM(E237)-SUM(F237)</f>
        <v/>
      </c>
      <c r="I237" s="221">
        <f>IF(A237="Total",VLOOKUP(B237,CORRESPONDANCE[#All],2,FALSE),I238)</f>
        <v/>
      </c>
      <c r="J237" s="350">
        <f>LEFT(A237,1)</f>
        <v/>
      </c>
      <c r="K237" s="347">
        <f>"TH4"&amp;" - "&amp;A237</f>
        <v/>
      </c>
      <c r="L237" s="347">
        <f>+VLOOKUP(K237,TL[],4,FALSE)</f>
        <v/>
      </c>
    </row>
    <row r="238">
      <c r="G238" s="220">
        <f>SUM(C238)-SUM(D238)</f>
        <v/>
      </c>
      <c r="H238" s="220">
        <f>SUM(E238)-SUM(F238)</f>
        <v/>
      </c>
      <c r="I238" s="221">
        <f>IF(A238="Total",VLOOKUP(B238,CORRESPONDANCE[#All],2,FALSE),I239)</f>
        <v/>
      </c>
      <c r="J238" s="350">
        <f>LEFT(A238,1)</f>
        <v/>
      </c>
      <c r="K238" s="347">
        <f>"TH4"&amp;" - "&amp;A238</f>
        <v/>
      </c>
      <c r="L238" s="347">
        <f>+VLOOKUP(K238,TL[],4,FALSE)</f>
        <v/>
      </c>
    </row>
    <row r="239">
      <c r="G239" s="220">
        <f>SUM(C239)-SUM(D239)</f>
        <v/>
      </c>
      <c r="H239" s="220">
        <f>SUM(E239)-SUM(F239)</f>
        <v/>
      </c>
      <c r="I239" s="221">
        <f>IF(A239="Total",VLOOKUP(B239,CORRESPONDANCE[#All],2,FALSE),I240)</f>
        <v/>
      </c>
      <c r="J239" s="350">
        <f>LEFT(A239,1)</f>
        <v/>
      </c>
      <c r="K239" s="347">
        <f>"TH4"&amp;" - "&amp;A239</f>
        <v/>
      </c>
      <c r="L239" s="347">
        <f>+VLOOKUP(K239,TL[],4,FALSE)</f>
        <v/>
      </c>
    </row>
    <row r="240">
      <c r="G240" s="220">
        <f>SUM(C240)-SUM(D240)</f>
        <v/>
      </c>
      <c r="H240" s="220">
        <f>SUM(E240)-SUM(F240)</f>
        <v/>
      </c>
      <c r="I240" s="221">
        <f>IF(A240="Total",VLOOKUP(B240,CORRESPONDANCE[#All],2,FALSE),I241)</f>
        <v/>
      </c>
      <c r="J240" s="350">
        <f>LEFT(A240,1)</f>
        <v/>
      </c>
      <c r="K240" s="347">
        <f>"TH4"&amp;" - "&amp;A240</f>
        <v/>
      </c>
      <c r="L240" s="347">
        <f>+VLOOKUP(K240,TL[],4,FALSE)</f>
        <v/>
      </c>
    </row>
    <row r="241">
      <c r="G241" s="220">
        <f>SUM(C241)-SUM(D241)</f>
        <v/>
      </c>
      <c r="H241" s="220">
        <f>SUM(E241)-SUM(F241)</f>
        <v/>
      </c>
      <c r="I241" s="221">
        <f>IF(A241="Total",VLOOKUP(B241,CORRESPONDANCE[#All],2,FALSE),I242)</f>
        <v/>
      </c>
      <c r="J241" s="350">
        <f>LEFT(A241,1)</f>
        <v/>
      </c>
      <c r="K241" s="347">
        <f>"TH4"&amp;" - "&amp;A241</f>
        <v/>
      </c>
      <c r="L241" s="347">
        <f>+VLOOKUP(K241,TL[],4,FALSE)</f>
        <v/>
      </c>
    </row>
    <row r="242">
      <c r="G242" s="220">
        <f>SUM(C242)-SUM(D242)</f>
        <v/>
      </c>
      <c r="H242" s="220">
        <f>SUM(E242)-SUM(F242)</f>
        <v/>
      </c>
      <c r="I242" s="221">
        <f>IF(A242="Total",VLOOKUP(B242,CORRESPONDANCE[#All],2,FALSE),I243)</f>
        <v/>
      </c>
      <c r="J242" s="350">
        <f>LEFT(A242,1)</f>
        <v/>
      </c>
      <c r="K242" s="347">
        <f>"TH4"&amp;" - "&amp;A242</f>
        <v/>
      </c>
      <c r="L242" s="347">
        <f>+VLOOKUP(K242,TL[],4,FALSE)</f>
        <v/>
      </c>
    </row>
    <row r="243">
      <c r="G243" s="220">
        <f>SUM(C243)-SUM(D243)</f>
        <v/>
      </c>
      <c r="H243" s="220">
        <f>SUM(E243)-SUM(F243)</f>
        <v/>
      </c>
      <c r="I243" s="221">
        <f>IF(A243="Total",VLOOKUP(B243,CORRESPONDANCE[#All],2,FALSE),I244)</f>
        <v/>
      </c>
      <c r="J243" s="350">
        <f>LEFT(A243,1)</f>
        <v/>
      </c>
      <c r="K243" s="347">
        <f>"TH4"&amp;" - "&amp;A243</f>
        <v/>
      </c>
      <c r="L243" s="347">
        <f>+VLOOKUP(K243,TL[],4,FALSE)</f>
        <v/>
      </c>
    </row>
    <row r="244">
      <c r="G244" s="220">
        <f>SUM(C244)-SUM(D244)</f>
        <v/>
      </c>
      <c r="H244" s="220">
        <f>SUM(E244)-SUM(F244)</f>
        <v/>
      </c>
      <c r="I244" s="221">
        <f>IF(A244="Total",VLOOKUP(B244,CORRESPONDANCE[#All],2,FALSE),I245)</f>
        <v/>
      </c>
      <c r="J244" s="350">
        <f>LEFT(A244,1)</f>
        <v/>
      </c>
      <c r="K244" s="347">
        <f>"TH4"&amp;" - "&amp;A244</f>
        <v/>
      </c>
      <c r="L244" s="347">
        <f>+VLOOKUP(K244,TL[],4,FALSE)</f>
        <v/>
      </c>
    </row>
    <row r="245">
      <c r="G245" s="220">
        <f>SUM(C245)-SUM(D245)</f>
        <v/>
      </c>
      <c r="H245" s="220">
        <f>SUM(E245)-SUM(F245)</f>
        <v/>
      </c>
      <c r="I245" s="221">
        <f>IF(A245="Total",VLOOKUP(B245,CORRESPONDANCE[#All],2,FALSE),I246)</f>
        <v/>
      </c>
      <c r="J245" s="350">
        <f>LEFT(A245,1)</f>
        <v/>
      </c>
      <c r="K245" s="347">
        <f>"TH4"&amp;" - "&amp;A245</f>
        <v/>
      </c>
      <c r="L245" s="347">
        <f>+VLOOKUP(K245,TL[],4,FALSE)</f>
        <v/>
      </c>
    </row>
    <row r="246">
      <c r="G246" s="220">
        <f>SUM(C246)-SUM(D246)</f>
        <v/>
      </c>
      <c r="H246" s="220">
        <f>SUM(E246)-SUM(F246)</f>
        <v/>
      </c>
      <c r="I246" s="221">
        <f>IF(A246="Total",VLOOKUP(B246,CORRESPONDANCE[#All],2,FALSE),I247)</f>
        <v/>
      </c>
      <c r="J246" s="350">
        <f>LEFT(A246,1)</f>
        <v/>
      </c>
      <c r="K246" s="347">
        <f>"TH4"&amp;" - "&amp;A246</f>
        <v/>
      </c>
      <c r="L246" s="347">
        <f>+VLOOKUP(K246,TL[],4,FALSE)</f>
        <v/>
      </c>
    </row>
    <row r="247">
      <c r="G247" s="220">
        <f>SUM(C247)-SUM(D247)</f>
        <v/>
      </c>
      <c r="H247" s="220">
        <f>SUM(E247)-SUM(F247)</f>
        <v/>
      </c>
      <c r="I247" s="221">
        <f>IF(A247="Total",VLOOKUP(B247,CORRESPONDANCE[#All],2,FALSE),I248)</f>
        <v/>
      </c>
      <c r="J247" s="350">
        <f>LEFT(A247,1)</f>
        <v/>
      </c>
      <c r="K247" s="347">
        <f>"TH4"&amp;" - "&amp;A247</f>
        <v/>
      </c>
      <c r="L247" s="347">
        <f>+VLOOKUP(K247,TL[],4,FALSE)</f>
        <v/>
      </c>
    </row>
    <row r="248">
      <c r="G248" s="220">
        <f>SUM(C248)-SUM(D248)</f>
        <v/>
      </c>
      <c r="H248" s="220">
        <f>SUM(E248)-SUM(F248)</f>
        <v/>
      </c>
      <c r="I248" s="221">
        <f>IF(A248="Total",VLOOKUP(B248,CORRESPONDANCE[#All],2,FALSE),I249)</f>
        <v/>
      </c>
      <c r="J248" s="350">
        <f>LEFT(A248,1)</f>
        <v/>
      </c>
      <c r="K248" s="347">
        <f>"TH4"&amp;" - "&amp;A248</f>
        <v/>
      </c>
      <c r="L248" s="347">
        <f>+VLOOKUP(K248,TL[],4,FALSE)</f>
        <v/>
      </c>
    </row>
    <row r="249">
      <c r="G249" s="220">
        <f>SUM(C249)-SUM(D249)</f>
        <v/>
      </c>
      <c r="H249" s="220">
        <f>SUM(E249)-SUM(F249)</f>
        <v/>
      </c>
      <c r="I249" s="221">
        <f>IF(A249="Total",VLOOKUP(B249,CORRESPONDANCE[#All],2,FALSE),I250)</f>
        <v/>
      </c>
      <c r="J249" s="350">
        <f>LEFT(A249,1)</f>
        <v/>
      </c>
      <c r="K249" s="347">
        <f>"TH4"&amp;" - "&amp;A249</f>
        <v/>
      </c>
      <c r="L249" s="347">
        <f>+VLOOKUP(K249,TL[],4,FALSE)</f>
        <v/>
      </c>
    </row>
    <row r="250">
      <c r="G250" s="220">
        <f>SUM(C250)-SUM(D250)</f>
        <v/>
      </c>
      <c r="H250" s="220">
        <f>SUM(E250)-SUM(F250)</f>
        <v/>
      </c>
      <c r="I250" s="221">
        <f>IF(A250="Total",VLOOKUP(B250,CORRESPONDANCE[#All],2,FALSE),I251)</f>
        <v/>
      </c>
      <c r="J250" s="350">
        <f>LEFT(A250,1)</f>
        <v/>
      </c>
      <c r="K250" s="347">
        <f>"TH4"&amp;" - "&amp;A250</f>
        <v/>
      </c>
      <c r="L250" s="347">
        <f>+VLOOKUP(K250,TL[],4,FALSE)</f>
        <v/>
      </c>
    </row>
    <row r="251">
      <c r="G251" s="220">
        <f>SUM(C251)-SUM(D251)</f>
        <v/>
      </c>
      <c r="H251" s="220">
        <f>SUM(E251)-SUM(F251)</f>
        <v/>
      </c>
      <c r="I251" s="221">
        <f>IF(A251="Total",VLOOKUP(B251,CORRESPONDANCE[#All],2,FALSE),I252)</f>
        <v/>
      </c>
      <c r="J251" s="350">
        <f>LEFT(A251,1)</f>
        <v/>
      </c>
      <c r="K251" s="347">
        <f>"TH4"&amp;" - "&amp;A251</f>
        <v/>
      </c>
      <c r="L251" s="347">
        <f>+VLOOKUP(K251,TL[],4,FALSE)</f>
        <v/>
      </c>
    </row>
    <row r="252">
      <c r="G252" s="220">
        <f>SUM(C252)-SUM(D252)</f>
        <v/>
      </c>
      <c r="H252" s="220">
        <f>SUM(E252)-SUM(F252)</f>
        <v/>
      </c>
      <c r="I252" s="221">
        <f>IF(A252="Total",VLOOKUP(B252,CORRESPONDANCE[#All],2,FALSE),I253)</f>
        <v/>
      </c>
      <c r="J252" s="350">
        <f>LEFT(A252,1)</f>
        <v/>
      </c>
      <c r="K252" s="347">
        <f>"TH4"&amp;" - "&amp;A252</f>
        <v/>
      </c>
      <c r="L252" s="347">
        <f>+VLOOKUP(K252,TL[],4,FALSE)</f>
        <v/>
      </c>
    </row>
    <row r="253">
      <c r="G253" s="220">
        <f>SUM(C253)-SUM(D253)</f>
        <v/>
      </c>
      <c r="H253" s="220">
        <f>SUM(E253)-SUM(F253)</f>
        <v/>
      </c>
      <c r="I253" s="221">
        <f>IF(A253="Total",VLOOKUP(B253,CORRESPONDANCE[#All],2,FALSE),I254)</f>
        <v/>
      </c>
      <c r="J253" s="350">
        <f>LEFT(A253,1)</f>
        <v/>
      </c>
      <c r="K253" s="347">
        <f>"TH4"&amp;" - "&amp;A253</f>
        <v/>
      </c>
      <c r="L253" s="347">
        <f>+VLOOKUP(K253,TL[],4,FALSE)</f>
        <v/>
      </c>
    </row>
    <row r="254">
      <c r="G254" s="220">
        <f>SUM(C254)-SUM(D254)</f>
        <v/>
      </c>
      <c r="H254" s="220">
        <f>SUM(E254)-SUM(F254)</f>
        <v/>
      </c>
      <c r="I254" s="221">
        <f>IF(A254="Total",VLOOKUP(B254,CORRESPONDANCE[#All],2,FALSE),I255)</f>
        <v/>
      </c>
      <c r="J254" s="350">
        <f>LEFT(A254,1)</f>
        <v/>
      </c>
      <c r="K254" s="347">
        <f>"TH4"&amp;" - "&amp;A254</f>
        <v/>
      </c>
      <c r="L254" s="347">
        <f>+VLOOKUP(K254,TL[],4,FALSE)</f>
        <v/>
      </c>
    </row>
    <row r="255">
      <c r="G255" s="220">
        <f>SUM(C255)-SUM(D255)</f>
        <v/>
      </c>
      <c r="H255" s="220">
        <f>SUM(E255)-SUM(F255)</f>
        <v/>
      </c>
      <c r="I255" s="221">
        <f>IF(A255="Total",VLOOKUP(B255,CORRESPONDANCE[#All],2,FALSE),I256)</f>
        <v/>
      </c>
      <c r="J255" s="350">
        <f>LEFT(A255,1)</f>
        <v/>
      </c>
      <c r="K255" s="347">
        <f>"TH4"&amp;" - "&amp;A255</f>
        <v/>
      </c>
      <c r="L255" s="347">
        <f>+VLOOKUP(K255,TL[],4,FALSE)</f>
        <v/>
      </c>
    </row>
    <row r="256">
      <c r="G256" s="220">
        <f>SUM(C256)-SUM(D256)</f>
        <v/>
      </c>
      <c r="H256" s="220">
        <f>SUM(E256)-SUM(F256)</f>
        <v/>
      </c>
      <c r="I256" s="221">
        <f>IF(A256="Total",VLOOKUP(B256,CORRESPONDANCE[#All],2,FALSE),I257)</f>
        <v/>
      </c>
      <c r="J256" s="350">
        <f>LEFT(A256,1)</f>
        <v/>
      </c>
      <c r="K256" s="347">
        <f>"TH4"&amp;" - "&amp;A256</f>
        <v/>
      </c>
      <c r="L256" s="347">
        <f>+VLOOKUP(K256,TL[],4,FALSE)</f>
        <v/>
      </c>
    </row>
    <row r="257">
      <c r="G257" s="220">
        <f>SUM(C257)-SUM(D257)</f>
        <v/>
      </c>
      <c r="H257" s="220">
        <f>SUM(E257)-SUM(F257)</f>
        <v/>
      </c>
      <c r="I257" s="221">
        <f>IF(A257="Total",VLOOKUP(B257,CORRESPONDANCE[#All],2,FALSE),I258)</f>
        <v/>
      </c>
      <c r="J257" s="350">
        <f>LEFT(A257,1)</f>
        <v/>
      </c>
      <c r="K257" s="347">
        <f>"TH4"&amp;" - "&amp;A257</f>
        <v/>
      </c>
      <c r="L257" s="347">
        <f>+VLOOKUP(K257,TL[],4,FALSE)</f>
        <v/>
      </c>
    </row>
    <row r="258">
      <c r="G258" s="220">
        <f>SUM(C258)-SUM(D258)</f>
        <v/>
      </c>
      <c r="H258" s="220">
        <f>SUM(E258)-SUM(F258)</f>
        <v/>
      </c>
      <c r="I258" s="221">
        <f>IF(A258="Total",VLOOKUP(B258,CORRESPONDANCE[#All],2,FALSE),I259)</f>
        <v/>
      </c>
      <c r="J258" s="350">
        <f>LEFT(A258,1)</f>
        <v/>
      </c>
      <c r="K258" s="347">
        <f>"TH4"&amp;" - "&amp;A258</f>
        <v/>
      </c>
      <c r="L258" s="347">
        <f>+VLOOKUP(K258,TL[],4,FALSE)</f>
        <v/>
      </c>
    </row>
    <row r="259">
      <c r="G259" s="220">
        <f>SUM(C259)-SUM(D259)</f>
        <v/>
      </c>
      <c r="H259" s="220">
        <f>SUM(E259)-SUM(F259)</f>
        <v/>
      </c>
      <c r="I259" s="221">
        <f>IF(A259="Total",VLOOKUP(B259,CORRESPONDANCE[#All],2,FALSE),I260)</f>
        <v/>
      </c>
      <c r="J259" s="350">
        <f>LEFT(A259,1)</f>
        <v/>
      </c>
      <c r="K259" s="347">
        <f>"TH4"&amp;" - "&amp;A259</f>
        <v/>
      </c>
      <c r="L259" s="347">
        <f>+VLOOKUP(K259,TL[],4,FALSE)</f>
        <v/>
      </c>
    </row>
    <row r="260">
      <c r="G260" s="220">
        <f>SUM(C260)-SUM(D260)</f>
        <v/>
      </c>
      <c r="H260" s="220">
        <f>SUM(E260)-SUM(F260)</f>
        <v/>
      </c>
      <c r="I260" s="221">
        <f>IF(A260="Total",VLOOKUP(B260,CORRESPONDANCE[#All],2,FALSE),I261)</f>
        <v/>
      </c>
      <c r="J260" s="350">
        <f>LEFT(A260,1)</f>
        <v/>
      </c>
      <c r="K260" s="347">
        <f>"TH4"&amp;" - "&amp;A260</f>
        <v/>
      </c>
      <c r="L260" s="347">
        <f>+VLOOKUP(K260,TL[],4,FALSE)</f>
        <v/>
      </c>
    </row>
    <row r="261">
      <c r="G261" s="220">
        <f>SUM(C261)-SUM(D261)</f>
        <v/>
      </c>
      <c r="H261" s="220">
        <f>SUM(E261)-SUM(F261)</f>
        <v/>
      </c>
      <c r="I261" s="221">
        <f>IF(A261="Total",VLOOKUP(B261,CORRESPONDANCE[#All],2,FALSE),I262)</f>
        <v/>
      </c>
      <c r="J261" s="350">
        <f>LEFT(A261,1)</f>
        <v/>
      </c>
      <c r="K261" s="347">
        <f>"TH4"&amp;" - "&amp;A261</f>
        <v/>
      </c>
      <c r="L261" s="347">
        <f>+VLOOKUP(K261,TL[],4,FALSE)</f>
        <v/>
      </c>
    </row>
    <row r="262">
      <c r="G262" s="220">
        <f>SUM(C262)-SUM(D262)</f>
        <v/>
      </c>
      <c r="H262" s="220">
        <f>SUM(E262)-SUM(F262)</f>
        <v/>
      </c>
      <c r="I262" s="221">
        <f>IF(A262="Total",VLOOKUP(B262,CORRESPONDANCE[#All],2,FALSE),I263)</f>
        <v/>
      </c>
      <c r="J262" s="350">
        <f>LEFT(A262,1)</f>
        <v/>
      </c>
      <c r="K262" s="347">
        <f>"TH4"&amp;" - "&amp;A262</f>
        <v/>
      </c>
      <c r="L262" s="347">
        <f>+VLOOKUP(K262,TL[],4,FALSE)</f>
        <v/>
      </c>
    </row>
    <row r="263">
      <c r="G263" s="220">
        <f>SUM(C263)-SUM(D263)</f>
        <v/>
      </c>
      <c r="H263" s="220">
        <f>SUM(E263)-SUM(F263)</f>
        <v/>
      </c>
      <c r="I263" s="221">
        <f>IF(A263="Total",VLOOKUP(B263,CORRESPONDANCE[#All],2,FALSE),I264)</f>
        <v/>
      </c>
      <c r="J263" s="350">
        <f>LEFT(A263,1)</f>
        <v/>
      </c>
      <c r="K263" s="347">
        <f>"TH4"&amp;" - "&amp;A263</f>
        <v/>
      </c>
      <c r="L263" s="347">
        <f>+VLOOKUP(K263,TL[],4,FALSE)</f>
        <v/>
      </c>
    </row>
    <row r="264">
      <c r="G264" s="220">
        <f>SUM(C264)-SUM(D264)</f>
        <v/>
      </c>
      <c r="H264" s="220">
        <f>SUM(E264)-SUM(F264)</f>
        <v/>
      </c>
      <c r="I264" s="221">
        <f>IF(A264="Total",VLOOKUP(B264,CORRESPONDANCE[#All],2,FALSE),I265)</f>
        <v/>
      </c>
      <c r="J264" s="350">
        <f>LEFT(A264,1)</f>
        <v/>
      </c>
      <c r="K264" s="347">
        <f>"TH4"&amp;" - "&amp;A264</f>
        <v/>
      </c>
      <c r="L264" s="347">
        <f>+VLOOKUP(K264,TL[],4,FALSE)</f>
        <v/>
      </c>
    </row>
    <row r="265">
      <c r="G265" s="220">
        <f>SUM(C265)-SUM(D265)</f>
        <v/>
      </c>
      <c r="H265" s="220">
        <f>SUM(E265)-SUM(F265)</f>
        <v/>
      </c>
      <c r="I265" s="221">
        <f>IF(A265="Total",VLOOKUP(B265,CORRESPONDANCE[#All],2,FALSE),I266)</f>
        <v/>
      </c>
      <c r="J265" s="350">
        <f>LEFT(A265,1)</f>
        <v/>
      </c>
      <c r="K265" s="347">
        <f>"TH4"&amp;" - "&amp;A265</f>
        <v/>
      </c>
      <c r="L265" s="347">
        <f>+VLOOKUP(K265,TL[],4,FALSE)</f>
        <v/>
      </c>
    </row>
    <row r="266">
      <c r="G266" s="220">
        <f>SUM(C266)-SUM(D266)</f>
        <v/>
      </c>
      <c r="H266" s="220">
        <f>SUM(E266)-SUM(F266)</f>
        <v/>
      </c>
      <c r="I266" s="221">
        <f>IF(A266="Total",VLOOKUP(B266,CORRESPONDANCE[#All],2,FALSE),I267)</f>
        <v/>
      </c>
      <c r="J266" s="350">
        <f>LEFT(A266,1)</f>
        <v/>
      </c>
      <c r="K266" s="347">
        <f>"TH4"&amp;" - "&amp;A266</f>
        <v/>
      </c>
      <c r="L266" s="347">
        <f>+VLOOKUP(K266,TL[],4,FALSE)</f>
        <v/>
      </c>
    </row>
    <row r="267">
      <c r="G267" s="220">
        <f>SUM(C267)-SUM(D267)</f>
        <v/>
      </c>
      <c r="H267" s="220">
        <f>SUM(E267)-SUM(F267)</f>
        <v/>
      </c>
      <c r="I267" s="221">
        <f>IF(A267="Total",VLOOKUP(B267,CORRESPONDANCE[#All],2,FALSE),I268)</f>
        <v/>
      </c>
      <c r="J267" s="350">
        <f>LEFT(A267,1)</f>
        <v/>
      </c>
      <c r="K267" s="347">
        <f>"TH4"&amp;" - "&amp;A267</f>
        <v/>
      </c>
      <c r="L267" s="347">
        <f>+VLOOKUP(K267,TL[],4,FALSE)</f>
        <v/>
      </c>
    </row>
    <row r="268">
      <c r="G268" s="220">
        <f>SUM(C268)-SUM(D268)</f>
        <v/>
      </c>
      <c r="H268" s="220">
        <f>SUM(E268)-SUM(F268)</f>
        <v/>
      </c>
      <c r="I268" s="221">
        <f>IF(A268="Total",VLOOKUP(B268,CORRESPONDANCE[#All],2,FALSE),I269)</f>
        <v/>
      </c>
      <c r="J268" s="350">
        <f>LEFT(A268,1)</f>
        <v/>
      </c>
      <c r="K268" s="347">
        <f>"TH4"&amp;" - "&amp;A268</f>
        <v/>
      </c>
      <c r="L268" s="347">
        <f>+VLOOKUP(K268,TL[],4,FALSE)</f>
        <v/>
      </c>
    </row>
    <row r="269">
      <c r="G269" s="220">
        <f>SUM(C269)-SUM(D269)</f>
        <v/>
      </c>
      <c r="H269" s="220">
        <f>SUM(E269)-SUM(F269)</f>
        <v/>
      </c>
      <c r="I269" s="221">
        <f>IF(A269="Total",VLOOKUP(B269,CORRESPONDANCE[#All],2,FALSE),I270)</f>
        <v/>
      </c>
      <c r="J269" s="350">
        <f>LEFT(A269,1)</f>
        <v/>
      </c>
      <c r="K269" s="347">
        <f>"TH4"&amp;" - "&amp;A269</f>
        <v/>
      </c>
      <c r="L269" s="347">
        <f>+VLOOKUP(K269,TL[],4,FALSE)</f>
        <v/>
      </c>
    </row>
    <row r="270">
      <c r="G270" s="220">
        <f>SUM(C270)-SUM(D270)</f>
        <v/>
      </c>
      <c r="H270" s="220">
        <f>SUM(E270)-SUM(F270)</f>
        <v/>
      </c>
      <c r="I270" s="221">
        <f>IF(A270="Total",VLOOKUP(B270,CORRESPONDANCE[#All],2,FALSE),I271)</f>
        <v/>
      </c>
      <c r="J270" s="350">
        <f>LEFT(A270,1)</f>
        <v/>
      </c>
      <c r="K270" s="347">
        <f>"TH4"&amp;" - "&amp;A270</f>
        <v/>
      </c>
      <c r="L270" s="347">
        <f>+VLOOKUP(K270,TL[],4,FALSE)</f>
        <v/>
      </c>
    </row>
    <row r="271">
      <c r="G271" s="220">
        <f>SUM(C271)-SUM(D271)</f>
        <v/>
      </c>
      <c r="H271" s="220">
        <f>SUM(E271)-SUM(F271)</f>
        <v/>
      </c>
      <c r="I271" s="221">
        <f>IF(A271="Total",VLOOKUP(B271,CORRESPONDANCE[#All],2,FALSE),I272)</f>
        <v/>
      </c>
      <c r="J271" s="350">
        <f>LEFT(A271,1)</f>
        <v/>
      </c>
      <c r="K271" s="347">
        <f>"TH4"&amp;" - "&amp;A271</f>
        <v/>
      </c>
      <c r="L271" s="347">
        <f>+VLOOKUP(K271,TL[],4,FALSE)</f>
        <v/>
      </c>
    </row>
    <row r="272">
      <c r="G272" s="220">
        <f>SUM(C272)-SUM(D272)</f>
        <v/>
      </c>
      <c r="H272" s="220">
        <f>SUM(E272)-SUM(F272)</f>
        <v/>
      </c>
      <c r="I272" s="221">
        <f>IF(A272="Total",VLOOKUP(B272,CORRESPONDANCE[#All],2,FALSE),I273)</f>
        <v/>
      </c>
      <c r="J272" s="350">
        <f>LEFT(A272,1)</f>
        <v/>
      </c>
      <c r="K272" s="347">
        <f>"TH4"&amp;" - "&amp;A272</f>
        <v/>
      </c>
      <c r="L272" s="347">
        <f>+VLOOKUP(K272,TL[],4,FALSE)</f>
        <v/>
      </c>
    </row>
    <row r="273">
      <c r="G273" s="220">
        <f>SUM(C273)-SUM(D273)</f>
        <v/>
      </c>
      <c r="H273" s="220">
        <f>SUM(E273)-SUM(F273)</f>
        <v/>
      </c>
      <c r="I273" s="221">
        <f>IF(A273="Total",VLOOKUP(B273,CORRESPONDANCE[#All],2,FALSE),I274)</f>
        <v/>
      </c>
      <c r="J273" s="350">
        <f>LEFT(A273,1)</f>
        <v/>
      </c>
      <c r="K273" s="347">
        <f>"TH4"&amp;" - "&amp;A273</f>
        <v/>
      </c>
      <c r="L273" s="347">
        <f>+VLOOKUP(K273,TL[],4,FALSE)</f>
        <v/>
      </c>
    </row>
    <row r="274">
      <c r="G274" s="220">
        <f>SUM(C274)-SUM(D274)</f>
        <v/>
      </c>
      <c r="H274" s="220">
        <f>SUM(E274)-SUM(F274)</f>
        <v/>
      </c>
      <c r="I274" s="221">
        <f>IF(A274="Total",VLOOKUP(B274,CORRESPONDANCE[#All],2,FALSE),I275)</f>
        <v/>
      </c>
      <c r="J274" s="350">
        <f>LEFT(A274,1)</f>
        <v/>
      </c>
      <c r="K274" s="347">
        <f>"TH4"&amp;" - "&amp;A274</f>
        <v/>
      </c>
      <c r="L274" s="347">
        <f>+VLOOKUP(K274,TL[],4,FALSE)</f>
        <v/>
      </c>
    </row>
    <row r="275">
      <c r="G275" s="220">
        <f>SUM(C275)-SUM(D275)</f>
        <v/>
      </c>
      <c r="H275" s="220">
        <f>SUM(E275)-SUM(F275)</f>
        <v/>
      </c>
      <c r="I275" s="221">
        <f>IF(A275="Total",VLOOKUP(B275,CORRESPONDANCE[#All],2,FALSE),I276)</f>
        <v/>
      </c>
      <c r="J275" s="350">
        <f>LEFT(A275,1)</f>
        <v/>
      </c>
      <c r="K275" s="347">
        <f>"TH4"&amp;" - "&amp;A275</f>
        <v/>
      </c>
      <c r="L275" s="347">
        <f>+VLOOKUP(K275,TL[],4,FALSE)</f>
        <v/>
      </c>
    </row>
    <row r="276">
      <c r="G276" s="220">
        <f>SUM(C276)-SUM(D276)</f>
        <v/>
      </c>
      <c r="H276" s="220">
        <f>SUM(E276)-SUM(F276)</f>
        <v/>
      </c>
      <c r="I276" s="221">
        <f>IF(A276="Total",VLOOKUP(B276,CORRESPONDANCE[#All],2,FALSE),I277)</f>
        <v/>
      </c>
      <c r="J276" s="350">
        <f>LEFT(A276,1)</f>
        <v/>
      </c>
      <c r="K276" s="347">
        <f>"TH4"&amp;" - "&amp;A276</f>
        <v/>
      </c>
      <c r="L276" s="347">
        <f>+VLOOKUP(K276,TL[],4,FALSE)</f>
        <v/>
      </c>
    </row>
    <row r="277">
      <c r="G277" s="220">
        <f>SUM(C277)-SUM(D277)</f>
        <v/>
      </c>
      <c r="H277" s="220">
        <f>SUM(E277)-SUM(F277)</f>
        <v/>
      </c>
      <c r="I277" s="221">
        <f>IF(A277="Total",VLOOKUP(B277,CORRESPONDANCE[#All],2,FALSE),I278)</f>
        <v/>
      </c>
      <c r="J277" s="350">
        <f>LEFT(A277,1)</f>
        <v/>
      </c>
      <c r="K277" s="347">
        <f>"TH4"&amp;" - "&amp;A277</f>
        <v/>
      </c>
      <c r="L277" s="347">
        <f>+VLOOKUP(K277,TL[],4,FALSE)</f>
        <v/>
      </c>
    </row>
    <row r="278">
      <c r="G278" s="220">
        <f>SUM(C278)-SUM(D278)</f>
        <v/>
      </c>
      <c r="H278" s="220">
        <f>SUM(E278)-SUM(F278)</f>
        <v/>
      </c>
      <c r="I278" s="221">
        <f>IF(A278="Total",VLOOKUP(B278,CORRESPONDANCE[#All],2,FALSE),I279)</f>
        <v/>
      </c>
      <c r="J278" s="350">
        <f>LEFT(A278,1)</f>
        <v/>
      </c>
      <c r="K278" s="347">
        <f>"TH4"&amp;" - "&amp;A278</f>
        <v/>
      </c>
      <c r="L278" s="347">
        <f>+VLOOKUP(K278,TL[],4,FALSE)</f>
        <v/>
      </c>
    </row>
    <row r="279">
      <c r="G279" s="220">
        <f>SUM(C279)-SUM(D279)</f>
        <v/>
      </c>
      <c r="H279" s="220">
        <f>SUM(E279)-SUM(F279)</f>
        <v/>
      </c>
      <c r="I279" s="221">
        <f>IF(A279="Total",VLOOKUP(B279,CORRESPONDANCE[#All],2,FALSE),I280)</f>
        <v/>
      </c>
      <c r="J279" s="350">
        <f>LEFT(A279,1)</f>
        <v/>
      </c>
      <c r="K279" s="347">
        <f>"TH4"&amp;" - "&amp;A279</f>
        <v/>
      </c>
      <c r="L279" s="347">
        <f>+VLOOKUP(K279,TL[],4,FALSE)</f>
        <v/>
      </c>
    </row>
    <row r="280">
      <c r="G280" s="220">
        <f>SUM(C280)-SUM(D280)</f>
        <v/>
      </c>
      <c r="H280" s="220">
        <f>SUM(E280)-SUM(F280)</f>
        <v/>
      </c>
      <c r="I280" s="221">
        <f>IF(A280="Total",VLOOKUP(B280,CORRESPONDANCE[#All],2,FALSE),I281)</f>
        <v/>
      </c>
      <c r="J280" s="350">
        <f>LEFT(A280,1)</f>
        <v/>
      </c>
      <c r="K280" s="347">
        <f>"TH4"&amp;" - "&amp;A280</f>
        <v/>
      </c>
      <c r="L280" s="347">
        <f>+VLOOKUP(K280,TL[],4,FALSE)</f>
        <v/>
      </c>
    </row>
    <row r="281">
      <c r="G281" s="220">
        <f>SUM(C281)-SUM(D281)</f>
        <v/>
      </c>
      <c r="H281" s="220">
        <f>SUM(E281)-SUM(F281)</f>
        <v/>
      </c>
      <c r="I281" s="221">
        <f>IF(A281="Total",VLOOKUP(B281,CORRESPONDANCE[#All],2,FALSE),I282)</f>
        <v/>
      </c>
      <c r="J281" s="350">
        <f>LEFT(A281,1)</f>
        <v/>
      </c>
      <c r="K281" s="347">
        <f>"TH4"&amp;" - "&amp;A281</f>
        <v/>
      </c>
      <c r="L281" s="347">
        <f>+VLOOKUP(K281,TL[],4,FALSE)</f>
        <v/>
      </c>
    </row>
    <row r="282">
      <c r="G282" s="220">
        <f>SUM(C282)-SUM(D282)</f>
        <v/>
      </c>
      <c r="H282" s="220">
        <f>SUM(E282)-SUM(F282)</f>
        <v/>
      </c>
      <c r="I282" s="221">
        <f>IF(A282="Total",VLOOKUP(B282,CORRESPONDANCE[#All],2,FALSE),I283)</f>
        <v/>
      </c>
      <c r="J282" s="350">
        <f>LEFT(A282,1)</f>
        <v/>
      </c>
      <c r="K282" s="347">
        <f>"TH4"&amp;" - "&amp;A282</f>
        <v/>
      </c>
      <c r="L282" s="347">
        <f>+VLOOKUP(K282,TL[],4,FALSE)</f>
        <v/>
      </c>
    </row>
    <row r="283">
      <c r="G283" s="220">
        <f>SUM(C283)-SUM(D283)</f>
        <v/>
      </c>
      <c r="H283" s="220">
        <f>SUM(E283)-SUM(F283)</f>
        <v/>
      </c>
      <c r="I283" s="221">
        <f>IF(A283="Total",VLOOKUP(B283,CORRESPONDANCE[#All],2,FALSE),I284)</f>
        <v/>
      </c>
      <c r="J283" s="350">
        <f>LEFT(A283,1)</f>
        <v/>
      </c>
      <c r="K283" s="347">
        <f>"TH4"&amp;" - "&amp;A283</f>
        <v/>
      </c>
      <c r="L283" s="347">
        <f>+VLOOKUP(K283,TL[],4,FALSE)</f>
        <v/>
      </c>
    </row>
    <row r="284">
      <c r="G284" s="220">
        <f>SUM(C284)-SUM(D284)</f>
        <v/>
      </c>
      <c r="H284" s="220">
        <f>SUM(E284)-SUM(F284)</f>
        <v/>
      </c>
      <c r="I284" s="221">
        <f>IF(A284="Total",VLOOKUP(B284,CORRESPONDANCE[#All],2,FALSE),I285)</f>
        <v/>
      </c>
      <c r="J284" s="350">
        <f>LEFT(A284,1)</f>
        <v/>
      </c>
      <c r="K284" s="347">
        <f>"TH4"&amp;" - "&amp;A284</f>
        <v/>
      </c>
      <c r="L284" s="347">
        <f>+VLOOKUP(K284,TL[],4,FALSE)</f>
        <v/>
      </c>
    </row>
    <row r="285">
      <c r="G285" s="220">
        <f>SUM(C285)-SUM(D285)</f>
        <v/>
      </c>
      <c r="H285" s="220">
        <f>SUM(E285)-SUM(F285)</f>
        <v/>
      </c>
      <c r="I285" s="221">
        <f>IF(A285="Total",VLOOKUP(B285,CORRESPONDANCE[#All],2,FALSE),I286)</f>
        <v/>
      </c>
      <c r="J285" s="350">
        <f>LEFT(A285,1)</f>
        <v/>
      </c>
      <c r="K285" s="347">
        <f>"TH4"&amp;" - "&amp;A285</f>
        <v/>
      </c>
      <c r="L285" s="347">
        <f>+VLOOKUP(K285,TL[],4,FALSE)</f>
        <v/>
      </c>
    </row>
    <row r="286">
      <c r="G286" s="220">
        <f>SUM(C286)-SUM(D286)</f>
        <v/>
      </c>
      <c r="H286" s="220">
        <f>SUM(E286)-SUM(F286)</f>
        <v/>
      </c>
      <c r="I286" s="221">
        <f>IF(A286="Total",VLOOKUP(B286,CORRESPONDANCE[#All],2,FALSE),I287)</f>
        <v/>
      </c>
      <c r="J286" s="350">
        <f>LEFT(A286,1)</f>
        <v/>
      </c>
      <c r="K286" s="347">
        <f>"TH4"&amp;" - "&amp;A286</f>
        <v/>
      </c>
      <c r="L286" s="347">
        <f>+VLOOKUP(K286,TL[],4,FALSE)</f>
        <v/>
      </c>
    </row>
    <row r="287">
      <c r="G287" s="220">
        <f>SUM(C287)-SUM(D287)</f>
        <v/>
      </c>
      <c r="H287" s="220">
        <f>SUM(E287)-SUM(F287)</f>
        <v/>
      </c>
      <c r="I287" s="221">
        <f>IF(A287="Total",VLOOKUP(B287,CORRESPONDANCE[#All],2,FALSE),I288)</f>
        <v/>
      </c>
      <c r="J287" s="350">
        <f>LEFT(A287,1)</f>
        <v/>
      </c>
      <c r="K287" s="347">
        <f>"TH4"&amp;" - "&amp;A287</f>
        <v/>
      </c>
      <c r="L287" s="347">
        <f>+VLOOKUP(K287,TL[],4,FALSE)</f>
        <v/>
      </c>
    </row>
    <row r="288">
      <c r="G288" s="220">
        <f>SUM(C288)-SUM(D288)</f>
        <v/>
      </c>
      <c r="H288" s="220">
        <f>SUM(E288)-SUM(F288)</f>
        <v/>
      </c>
      <c r="I288" s="221">
        <f>IF(A288="Total",VLOOKUP(B288,CORRESPONDANCE[#All],2,FALSE),I289)</f>
        <v/>
      </c>
      <c r="J288" s="350">
        <f>LEFT(A288,1)</f>
        <v/>
      </c>
      <c r="K288" s="347">
        <f>"TH4"&amp;" - "&amp;A288</f>
        <v/>
      </c>
      <c r="L288" s="347">
        <f>+VLOOKUP(K288,TL[],4,FALSE)</f>
        <v/>
      </c>
    </row>
    <row r="289">
      <c r="G289" s="220">
        <f>SUM(C289)-SUM(D289)</f>
        <v/>
      </c>
      <c r="H289" s="220">
        <f>SUM(E289)-SUM(F289)</f>
        <v/>
      </c>
      <c r="I289" s="221">
        <f>IF(A289="Total",VLOOKUP(B289,CORRESPONDANCE[#All],2,FALSE),I290)</f>
        <v/>
      </c>
      <c r="J289" s="350">
        <f>LEFT(A289,1)</f>
        <v/>
      </c>
      <c r="K289" s="347">
        <f>"TH4"&amp;" - "&amp;A289</f>
        <v/>
      </c>
      <c r="L289" s="347">
        <f>+VLOOKUP(K289,TL[],4,FALSE)</f>
        <v/>
      </c>
    </row>
    <row r="290">
      <c r="G290" s="220">
        <f>SUM(C290)-SUM(D290)</f>
        <v/>
      </c>
      <c r="H290" s="220">
        <f>SUM(E290)-SUM(F290)</f>
        <v/>
      </c>
      <c r="I290" s="221">
        <f>IF(A290="Total",VLOOKUP(B290,CORRESPONDANCE[#All],2,FALSE),I291)</f>
        <v/>
      </c>
      <c r="J290" s="350">
        <f>LEFT(A290,1)</f>
        <v/>
      </c>
      <c r="K290" s="347">
        <f>"TH4"&amp;" - "&amp;A290</f>
        <v/>
      </c>
      <c r="L290" s="347">
        <f>+VLOOKUP(K290,TL[],4,FALSE)</f>
        <v/>
      </c>
    </row>
  </sheetData>
  <autoFilter ref="A1:L274"/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271"/>
  <sheetViews>
    <sheetView zoomScale="85" zoomScaleNormal="85" workbookViewId="0">
      <selection activeCell="A1" sqref="A1:F1048576"/>
    </sheetView>
  </sheetViews>
  <sheetFormatPr baseColWidth="10" defaultColWidth="11.5703125" defaultRowHeight="12.75"/>
  <cols>
    <col width="13.28515625" customWidth="1" style="223" min="7" max="8"/>
    <col width="11.7109375" bestFit="1" customWidth="1" style="224" min="9" max="9"/>
    <col width="11.5703125" customWidth="1" style="347" min="10" max="16384"/>
  </cols>
  <sheetData>
    <row r="1">
      <c r="A1" s="348" t="inlineStr">
        <is>
          <t>Compte</t>
        </is>
      </c>
      <c r="B1" s="348" t="inlineStr">
        <is>
          <t>Libellé</t>
        </is>
      </c>
      <c r="C1" s="348" t="inlineStr">
        <is>
          <t>Solde du 01/01/2025 au 31/01/2025 : Débit</t>
        </is>
      </c>
      <c r="D1" s="348" t="inlineStr">
        <is>
          <t>Solde du 01/01/2025 au 31/01/2025 : Crédit</t>
        </is>
      </c>
      <c r="E1" s="348" t="inlineStr">
        <is>
          <t>Solde du 01/01/2025 au 31/01/2025 : Débit</t>
        </is>
      </c>
      <c r="F1" s="348" t="inlineStr">
        <is>
          <t>Solde du 01/01/2025 au 31/01/2025 : Crédit</t>
        </is>
      </c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>
      <c r="A2" s="348" t="inlineStr">
        <is>
          <t>70100100</t>
        </is>
      </c>
      <c r="B2" s="348" t="inlineStr">
        <is>
          <t>Ventes de produits finis</t>
        </is>
      </c>
      <c r="C2" s="348" t="n">
        <v>3920.76</v>
      </c>
      <c r="D2" s="348" t="inlineStr"/>
      <c r="E2" s="348" t="n">
        <v>3920.76</v>
      </c>
      <c r="F2" s="348" t="inlineStr"/>
      <c r="G2" s="220">
        <f>SUM(C2)-SUM(D2)</f>
        <v/>
      </c>
      <c r="H2" s="220">
        <f>SUM(E2)-SUM(F2)</f>
        <v/>
      </c>
      <c r="I2" s="221">
        <f>IF(A2="Total",VLOOKUP(B2,CORRESPONDANCE[#All],2,FALSE),I3)</f>
        <v/>
      </c>
      <c r="J2" s="350">
        <f>LEFT(A2,1)</f>
        <v/>
      </c>
      <c r="K2" s="347">
        <f>"DIVES"&amp;" - "&amp;A2</f>
        <v/>
      </c>
      <c r="L2" s="347">
        <f>+VLOOKUP(K2,TL[],4,FALSE)</f>
        <v/>
      </c>
    </row>
    <row r="3">
      <c r="A3" s="348" t="inlineStr">
        <is>
          <t>70100200</t>
        </is>
      </c>
      <c r="B3" s="348" t="inlineStr">
        <is>
          <t>Ventes à 5.5%</t>
        </is>
      </c>
      <c r="C3" s="348" t="inlineStr"/>
      <c r="D3" s="348" t="n">
        <v>1115.55</v>
      </c>
      <c r="E3" s="348" t="inlineStr"/>
      <c r="F3" s="348" t="n">
        <v>1115.55</v>
      </c>
      <c r="G3" s="220">
        <f>SUM(C3)-SUM(D3)</f>
        <v/>
      </c>
      <c r="H3" s="220">
        <f>SUM(E3)-SUM(F3)</f>
        <v/>
      </c>
      <c r="I3" s="221">
        <f>IF(A3="Total",VLOOKUP(B3,CORRESPONDANCE[#All],2,FALSE),I4)</f>
        <v/>
      </c>
      <c r="J3" s="350">
        <f>LEFT(A3,1)</f>
        <v/>
      </c>
      <c r="K3" s="347">
        <f>"DIVES"&amp;" - "&amp;A3</f>
        <v/>
      </c>
      <c r="L3" s="347">
        <f>+VLOOKUP(K3,TL[],4,FALSE)</f>
        <v/>
      </c>
    </row>
    <row r="4">
      <c r="A4" s="348" t="inlineStr">
        <is>
          <t>70101000</t>
        </is>
      </c>
      <c r="B4" s="348" t="inlineStr">
        <is>
          <t>Ventes à 10 %</t>
        </is>
      </c>
      <c r="C4" s="348" t="inlineStr"/>
      <c r="D4" s="348" t="n">
        <v>243633.46</v>
      </c>
      <c r="E4" s="348" t="inlineStr"/>
      <c r="F4" s="348" t="n">
        <v>243633.46</v>
      </c>
      <c r="G4" s="220">
        <f>SUM(C4)-SUM(D4)</f>
        <v/>
      </c>
      <c r="H4" s="220">
        <f>SUM(E4)-SUM(F4)</f>
        <v/>
      </c>
      <c r="I4" s="221">
        <f>IF(A4="Total",VLOOKUP(B4,CORRESPONDANCE[#All],2,FALSE),I5)</f>
        <v/>
      </c>
      <c r="J4" s="350">
        <f>LEFT(A4,1)</f>
        <v/>
      </c>
      <c r="K4" s="347">
        <f>"DIVES"&amp;" - "&amp;A4</f>
        <v/>
      </c>
      <c r="L4" s="347">
        <f>+VLOOKUP(K4,TL[],4,FALSE)</f>
        <v/>
      </c>
    </row>
    <row r="5">
      <c r="A5" s="348" t="inlineStr">
        <is>
          <t>70102000</t>
        </is>
      </c>
      <c r="B5" s="348" t="inlineStr">
        <is>
          <t>Ventes à 20 %</t>
        </is>
      </c>
      <c r="C5" s="348" t="inlineStr"/>
      <c r="D5" s="348" t="n">
        <v>600.8200000000001</v>
      </c>
      <c r="E5" s="348" t="inlineStr"/>
      <c r="F5" s="348" t="n">
        <v>600.8200000000001</v>
      </c>
      <c r="G5" s="220">
        <f>SUM(C5)-SUM(D5)</f>
        <v/>
      </c>
      <c r="H5" s="220">
        <f>SUM(E5)-SUM(F5)</f>
        <v/>
      </c>
      <c r="I5" s="221">
        <f>IF(A5="Total",VLOOKUP(B5,CORRESPONDANCE[#All],2,FALSE),I6)</f>
        <v/>
      </c>
      <c r="J5" s="350">
        <f>LEFT(A5,1)</f>
        <v/>
      </c>
      <c r="K5" s="347">
        <f>"DIVES"&amp;" - "&amp;A5</f>
        <v/>
      </c>
      <c r="L5" s="347">
        <f>+VLOOKUP(K5,TL[],4,FALSE)</f>
        <v/>
      </c>
    </row>
    <row r="6">
      <c r="A6" s="348" t="inlineStr">
        <is>
          <t>Total</t>
        </is>
      </c>
      <c r="B6" s="348" t="inlineStr">
        <is>
          <t>Table n°2  -  Ventes produits alimentaires</t>
        </is>
      </c>
      <c r="C6" s="348" t="inlineStr"/>
      <c r="D6" s="348" t="n">
        <v>241429.07</v>
      </c>
      <c r="E6" s="348" t="inlineStr"/>
      <c r="F6" s="348" t="n">
        <v>241429.07</v>
      </c>
      <c r="G6" s="220">
        <f>SUM(C6)-SUM(D6)</f>
        <v/>
      </c>
      <c r="H6" s="220">
        <f>SUM(E6)-SUM(F6)</f>
        <v/>
      </c>
      <c r="I6" s="221">
        <f>IF(A6="Total",VLOOKUP(B6,CORRESPONDANCE[#All],2,FALSE),I7)</f>
        <v/>
      </c>
      <c r="J6" s="350">
        <f>LEFT(A6,1)</f>
        <v/>
      </c>
      <c r="K6" s="347">
        <f>"DIVES"&amp;" - "&amp;A6</f>
        <v/>
      </c>
      <c r="L6" s="347">
        <f>+VLOOKUP(K6,TL[],4,FALSE)</f>
        <v/>
      </c>
    </row>
    <row r="7">
      <c r="A7" s="348" t="inlineStr">
        <is>
          <t>60110000</t>
        </is>
      </c>
      <c r="B7" s="348" t="inlineStr">
        <is>
          <t>Achats nourriture</t>
        </is>
      </c>
      <c r="C7" s="348" t="n">
        <v>43390.39</v>
      </c>
      <c r="D7" s="348" t="inlineStr"/>
      <c r="E7" s="348" t="n">
        <v>43390.39</v>
      </c>
      <c r="F7" s="348" t="inlineStr"/>
      <c r="G7" s="220">
        <f>SUM(C7)-SUM(D7)</f>
        <v/>
      </c>
      <c r="H7" s="220">
        <f>SUM(E7)-SUM(F7)</f>
        <v/>
      </c>
      <c r="I7" s="221">
        <f>IF(A7="Total",VLOOKUP(B7,CORRESPONDANCE[#All],2,FALSE),I8)</f>
        <v/>
      </c>
      <c r="J7" s="350">
        <f>LEFT(A7,1)</f>
        <v/>
      </c>
      <c r="K7" s="347">
        <f>"DIVES"&amp;" - "&amp;A7</f>
        <v/>
      </c>
      <c r="L7" s="347">
        <f>+VLOOKUP(K7,TL[],4,FALSE)</f>
        <v/>
      </c>
    </row>
    <row r="8">
      <c r="A8" s="348" t="inlineStr">
        <is>
          <t>60310000</t>
        </is>
      </c>
      <c r="B8" s="348" t="inlineStr">
        <is>
          <t>Var.stocks food</t>
        </is>
      </c>
      <c r="C8" s="348" t="n">
        <v>11080.8</v>
      </c>
      <c r="D8" s="348" t="inlineStr"/>
      <c r="E8" s="348" t="n">
        <v>11080.8</v>
      </c>
      <c r="F8" s="348" t="inlineStr"/>
      <c r="G8" s="220">
        <f>SUM(C8)-SUM(D8)</f>
        <v/>
      </c>
      <c r="H8" s="220">
        <f>SUM(E8)-SUM(F8)</f>
        <v/>
      </c>
      <c r="I8" s="221">
        <f>IF(A8="Total",VLOOKUP(B8,CORRESPONDANCE[#All],2,FALSE),I9)</f>
        <v/>
      </c>
      <c r="J8" s="350">
        <f>LEFT(A8,1)</f>
        <v/>
      </c>
      <c r="K8" s="347">
        <f>"DIVES"&amp;" - "&amp;A8</f>
        <v/>
      </c>
      <c r="L8" s="347">
        <f>+VLOOKUP(K8,TL[],4,FALSE)</f>
        <v/>
      </c>
    </row>
    <row r="9">
      <c r="A9" s="348" t="inlineStr">
        <is>
          <t>63551100</t>
        </is>
      </c>
      <c r="B9" s="348" t="inlineStr">
        <is>
          <t>Contribution sur boissons sucrées</t>
        </is>
      </c>
      <c r="C9" s="348" t="n">
        <v>744</v>
      </c>
      <c r="D9" s="348" t="inlineStr"/>
      <c r="E9" s="348" t="n">
        <v>744</v>
      </c>
      <c r="F9" s="348" t="inlineStr"/>
      <c r="G9" s="220">
        <f>SUM(C9)-SUM(D9)</f>
        <v/>
      </c>
      <c r="H9" s="220">
        <f>SUM(E9)-SUM(F9)</f>
        <v/>
      </c>
      <c r="I9" s="221">
        <f>IF(A9="Total",VLOOKUP(B9,CORRESPONDANCE[#All],2,FALSE),I10)</f>
        <v/>
      </c>
      <c r="J9" s="350">
        <f>LEFT(A9,1)</f>
        <v/>
      </c>
      <c r="K9" s="347">
        <f>"DIVES"&amp;" - "&amp;A9</f>
        <v/>
      </c>
      <c r="L9" s="347">
        <f>+VLOOKUP(K9,TL[],4,FALSE)</f>
        <v/>
      </c>
    </row>
    <row r="10">
      <c r="A10" s="348" t="inlineStr">
        <is>
          <t>70800000</t>
        </is>
      </c>
      <c r="B10" s="348" t="inlineStr">
        <is>
          <t>Remise Martin Brower</t>
        </is>
      </c>
      <c r="C10" s="348" t="inlineStr"/>
      <c r="D10" s="348" t="n">
        <v>1088.24</v>
      </c>
      <c r="E10" s="348" t="inlineStr"/>
      <c r="F10" s="348" t="n">
        <v>1088.24</v>
      </c>
      <c r="G10" s="220">
        <f>SUM(C10)-SUM(D10)</f>
        <v/>
      </c>
      <c r="H10" s="220">
        <f>SUM(E10)-SUM(F10)</f>
        <v/>
      </c>
      <c r="I10" s="221">
        <f>IF(A10="Total",VLOOKUP(B10,CORRESPONDANCE[#All],2,FALSE),I11)</f>
        <v/>
      </c>
      <c r="J10" s="350">
        <f>LEFT(A10,1)</f>
        <v/>
      </c>
      <c r="K10" s="347">
        <f>"DIVES"&amp;" - "&amp;A10</f>
        <v/>
      </c>
      <c r="L10" s="347">
        <f>+VLOOKUP(K10,TL[],4,FALSE)</f>
        <v/>
      </c>
    </row>
    <row r="11">
      <c r="A11" s="348" t="inlineStr">
        <is>
          <t>Total</t>
        </is>
      </c>
      <c r="B11" s="348" t="inlineStr">
        <is>
          <t>Table n°2  -  Coût nourriture : achat nourriture</t>
        </is>
      </c>
      <c r="C11" s="348" t="n">
        <v>54126.95</v>
      </c>
      <c r="D11" s="348" t="inlineStr"/>
      <c r="E11" s="348" t="n">
        <v>54126.95</v>
      </c>
      <c r="F11" s="348" t="inlineStr"/>
      <c r="G11" s="220">
        <f>SUM(C11)-SUM(D11)</f>
        <v/>
      </c>
      <c r="H11" s="220">
        <f>SUM(E11)-SUM(F11)</f>
        <v/>
      </c>
      <c r="I11" s="221">
        <f>IF(A11="Total",VLOOKUP(B11,CORRESPONDANCE[#All],2,FALSE),I12)</f>
        <v/>
      </c>
      <c r="J11" s="350">
        <f>LEFT(A11,1)</f>
        <v/>
      </c>
      <c r="K11" s="347">
        <f>"DIVES"&amp;" - "&amp;A11</f>
        <v/>
      </c>
      <c r="L11" s="347">
        <f>+VLOOKUP(K11,TL[],4,FALSE)</f>
        <v/>
      </c>
    </row>
    <row r="12">
      <c r="A12" s="348" t="inlineStr">
        <is>
          <t>60110300</t>
        </is>
      </c>
      <c r="B12" s="348" t="inlineStr">
        <is>
          <t>Achats repas employés</t>
        </is>
      </c>
      <c r="C12" s="348" t="n">
        <v>1309.58</v>
      </c>
      <c r="D12" s="348" t="inlineStr"/>
      <c r="E12" s="348" t="n">
        <v>1309.58</v>
      </c>
      <c r="F12" s="348" t="inlineStr"/>
      <c r="G12" s="220">
        <f>SUM(C12)-SUM(D12)</f>
        <v/>
      </c>
      <c r="H12" s="220">
        <f>SUM(E12)-SUM(F12)</f>
        <v/>
      </c>
      <c r="I12" s="221">
        <f>IF(A12="Total",VLOOKUP(B12,CORRESPONDANCE[#All],2,FALSE),I13)</f>
        <v/>
      </c>
      <c r="J12" s="350">
        <f>LEFT(A12,1)</f>
        <v/>
      </c>
      <c r="K12" s="347">
        <f>"DIVES"&amp;" - "&amp;A12</f>
        <v/>
      </c>
      <c r="L12" s="347">
        <f>+VLOOKUP(K12,TL[],4,FALSE)</f>
        <v/>
      </c>
    </row>
    <row r="13">
      <c r="A13" s="348" t="inlineStr">
        <is>
          <t>Total</t>
        </is>
      </c>
      <c r="B13" s="348" t="inlineStr">
        <is>
          <t>Table n°2  -  Repas employés</t>
        </is>
      </c>
      <c r="C13" s="348" t="n">
        <v>1309.58</v>
      </c>
      <c r="D13" s="348" t="inlineStr"/>
      <c r="E13" s="348" t="n">
        <v>1309.58</v>
      </c>
      <c r="F13" s="348" t="inlineStr"/>
      <c r="G13" s="220">
        <f>SUM(C13)-SUM(D13)</f>
        <v/>
      </c>
      <c r="H13" s="220">
        <f>SUM(E13)-SUM(F13)</f>
        <v/>
      </c>
      <c r="I13" s="221">
        <f>IF(A13="Total",VLOOKUP(B13,CORRESPONDANCE[#All],2,FALSE),I14)</f>
        <v/>
      </c>
      <c r="J13" s="350">
        <f>LEFT(A13,1)</f>
        <v/>
      </c>
      <c r="K13" s="347">
        <f>"DIVES"&amp;" - "&amp;A13</f>
        <v/>
      </c>
      <c r="L13" s="347">
        <f>+VLOOKUP(K13,TL[],4,FALSE)</f>
        <v/>
      </c>
    </row>
    <row r="14">
      <c r="A14" s="348" t="inlineStr">
        <is>
          <t>60110200</t>
        </is>
      </c>
      <c r="B14" s="348" t="inlineStr">
        <is>
          <t>Achats déchets</t>
        </is>
      </c>
      <c r="C14" s="348" t="n">
        <v>1897.66</v>
      </c>
      <c r="D14" s="348" t="inlineStr"/>
      <c r="E14" s="348" t="n">
        <v>1897.66</v>
      </c>
      <c r="F14" s="348" t="inlineStr"/>
      <c r="G14" s="220">
        <f>SUM(C14)-SUM(D14)</f>
        <v/>
      </c>
      <c r="H14" s="220">
        <f>SUM(E14)-SUM(F14)</f>
        <v/>
      </c>
      <c r="I14" s="221">
        <f>IF(A14="Total",VLOOKUP(B14,CORRESPONDANCE[#All],2,FALSE),I15)</f>
        <v/>
      </c>
      <c r="J14" s="350">
        <f>LEFT(A14,1)</f>
        <v/>
      </c>
      <c r="K14" s="347">
        <f>"DIVES"&amp;" - "&amp;A14</f>
        <v/>
      </c>
      <c r="L14" s="347">
        <f>+VLOOKUP(K14,TL[],4,FALSE)</f>
        <v/>
      </c>
    </row>
    <row r="15">
      <c r="A15" s="348" t="inlineStr">
        <is>
          <t>Total</t>
        </is>
      </c>
      <c r="B15" s="348" t="inlineStr">
        <is>
          <t>Table n°2  -  Déchets Pertes</t>
        </is>
      </c>
      <c r="C15" s="348" t="n">
        <v>1897.66</v>
      </c>
      <c r="D15" s="348" t="inlineStr"/>
      <c r="E15" s="348" t="n">
        <v>1897.66</v>
      </c>
      <c r="F15" s="348" t="inlineStr"/>
      <c r="G15" s="220">
        <f>SUM(C15)-SUM(D15)</f>
        <v/>
      </c>
      <c r="H15" s="220">
        <f>SUM(E15)-SUM(F15)</f>
        <v/>
      </c>
      <c r="I15" s="221">
        <f>IF(A15="Total",VLOOKUP(B15,CORRESPONDANCE[#All],2,FALSE),I16)</f>
        <v/>
      </c>
      <c r="J15" s="350">
        <f>LEFT(A15,1)</f>
        <v/>
      </c>
      <c r="K15" s="347">
        <f>"DIVES"&amp;" - "&amp;A15</f>
        <v/>
      </c>
      <c r="L15" s="347">
        <f>+VLOOKUP(K15,TL[],4,FALSE)</f>
        <v/>
      </c>
    </row>
    <row r="16">
      <c r="A16" s="348" t="inlineStr">
        <is>
          <t>60220100</t>
        </is>
      </c>
      <c r="B16" s="348" t="inlineStr">
        <is>
          <t>Achats emballage</t>
        </is>
      </c>
      <c r="C16" s="348" t="n">
        <v>4532.66</v>
      </c>
      <c r="D16" s="348" t="inlineStr"/>
      <c r="E16" s="348" t="n">
        <v>4532.66</v>
      </c>
      <c r="F16" s="348" t="inlineStr"/>
      <c r="G16" s="220">
        <f>SUM(C16)-SUM(D16)</f>
        <v/>
      </c>
      <c r="H16" s="220">
        <f>SUM(E16)-SUM(F16)</f>
        <v/>
      </c>
      <c r="I16" s="221">
        <f>IF(A16="Total",VLOOKUP(B16,CORRESPONDANCE[#All],2,FALSE),I17)</f>
        <v/>
      </c>
      <c r="J16" s="350">
        <f>LEFT(A16,1)</f>
        <v/>
      </c>
      <c r="K16" s="347">
        <f>"DIVES"&amp;" - "&amp;A16</f>
        <v/>
      </c>
      <c r="L16" s="347">
        <f>+VLOOKUP(K16,TL[],4,FALSE)</f>
        <v/>
      </c>
    </row>
    <row r="17">
      <c r="A17" s="348" t="inlineStr">
        <is>
          <t>60261000</t>
        </is>
      </c>
      <c r="B17" s="348" t="inlineStr">
        <is>
          <t>Achats emballages perdus</t>
        </is>
      </c>
      <c r="C17" s="348" t="n">
        <v>87.95999999999999</v>
      </c>
      <c r="D17" s="348" t="inlineStr"/>
      <c r="E17" s="348" t="n">
        <v>87.95999999999999</v>
      </c>
      <c r="F17" s="348" t="inlineStr"/>
      <c r="G17" s="220">
        <f>SUM(C17)-SUM(D17)</f>
        <v/>
      </c>
      <c r="H17" s="220">
        <f>SUM(E17)-SUM(F17)</f>
        <v/>
      </c>
      <c r="I17" s="221">
        <f>IF(A17="Total",VLOOKUP(B17,CORRESPONDANCE[#All],2,FALSE),I18)</f>
        <v/>
      </c>
      <c r="J17" s="350">
        <f>LEFT(A17,1)</f>
        <v/>
      </c>
      <c r="K17" s="347">
        <f>"DIVES"&amp;" - "&amp;A17</f>
        <v/>
      </c>
      <c r="L17" s="347">
        <f>+VLOOKUP(K17,TL[],4,FALSE)</f>
        <v/>
      </c>
    </row>
    <row r="18">
      <c r="A18" s="348" t="inlineStr">
        <is>
          <t>60320000</t>
        </is>
      </c>
      <c r="B18" s="348" t="inlineStr">
        <is>
          <t>Var. stock paper</t>
        </is>
      </c>
      <c r="C18" s="348" t="n">
        <v>767.49</v>
      </c>
      <c r="D18" s="348" t="inlineStr"/>
      <c r="E18" s="348" t="n">
        <v>767.49</v>
      </c>
      <c r="F18" s="348" t="inlineStr"/>
      <c r="G18" s="220">
        <f>SUM(C18)-SUM(D18)</f>
        <v/>
      </c>
      <c r="H18" s="220">
        <f>SUM(E18)-SUM(F18)</f>
        <v/>
      </c>
      <c r="I18" s="221">
        <f>IF(A18="Total",VLOOKUP(B18,CORRESPONDANCE[#All],2,FALSE),I19)</f>
        <v/>
      </c>
      <c r="J18" s="350">
        <f>LEFT(A18,1)</f>
        <v/>
      </c>
      <c r="K18" s="347">
        <f>"DIVES"&amp;" - "&amp;A18</f>
        <v/>
      </c>
      <c r="L18" s="347">
        <f>+VLOOKUP(K18,TL[],4,FALSE)</f>
        <v/>
      </c>
    </row>
    <row r="19">
      <c r="A19" s="348" t="inlineStr">
        <is>
          <t>Total</t>
        </is>
      </c>
      <c r="B19" s="348" t="inlineStr">
        <is>
          <t>Table n°2  -  Coût emballages</t>
        </is>
      </c>
      <c r="C19" s="348" t="n">
        <v>5388.11</v>
      </c>
      <c r="D19" s="348" t="inlineStr"/>
      <c r="E19" s="348" t="n">
        <v>5388.11</v>
      </c>
      <c r="F19" s="348" t="inlineStr"/>
      <c r="G19" s="220">
        <f>SUM(C19)-SUM(D19)</f>
        <v/>
      </c>
      <c r="H19" s="220">
        <f>SUM(E19)-SUM(F19)</f>
        <v/>
      </c>
      <c r="I19" s="221">
        <f>IF(A19="Total",VLOOKUP(B19,CORRESPONDANCE[#All],2,FALSE),I20)</f>
        <v/>
      </c>
      <c r="J19" s="350">
        <f>LEFT(A19,1)</f>
        <v/>
      </c>
      <c r="K19" s="347">
        <f>"DIVES"&amp;" - "&amp;A19</f>
        <v/>
      </c>
      <c r="L19" s="347">
        <f>+VLOOKUP(K19,TL[],4,FALSE)</f>
        <v/>
      </c>
    </row>
    <row r="20">
      <c r="A20" s="348" t="inlineStr">
        <is>
          <t>60261200</t>
        </is>
      </c>
      <c r="B20" s="348" t="inlineStr">
        <is>
          <t>Achats vaisselle reuse</t>
        </is>
      </c>
      <c r="C20" s="348" t="n">
        <v>630.7</v>
      </c>
      <c r="D20" s="348" t="inlineStr"/>
      <c r="E20" s="348" t="n">
        <v>630.7</v>
      </c>
      <c r="F20" s="348" t="inlineStr"/>
      <c r="G20" s="220">
        <f>SUM(C20)-SUM(D20)</f>
        <v/>
      </c>
      <c r="H20" s="220">
        <f>SUM(E20)-SUM(F20)</f>
        <v/>
      </c>
      <c r="I20" s="221">
        <f>IF(A20="Total",VLOOKUP(B20,CORRESPONDANCE[#All],2,FALSE),I21)</f>
        <v/>
      </c>
      <c r="J20" s="350">
        <f>LEFT(A20,1)</f>
        <v/>
      </c>
      <c r="K20" s="347">
        <f>"DIVES"&amp;" - "&amp;A20</f>
        <v/>
      </c>
      <c r="L20" s="347">
        <f>+VLOOKUP(K20,TL[],4,FALSE)</f>
        <v/>
      </c>
    </row>
    <row r="21">
      <c r="A21" s="348" t="inlineStr">
        <is>
          <t>60321000</t>
        </is>
      </c>
      <c r="B21" s="348" t="inlineStr">
        <is>
          <t>Var.stocks vaisselle reuse</t>
        </is>
      </c>
      <c r="C21" s="348" t="inlineStr"/>
      <c r="D21" s="348" t="n">
        <v>830.88</v>
      </c>
      <c r="E21" s="348" t="inlineStr"/>
      <c r="F21" s="348" t="n">
        <v>830.88</v>
      </c>
      <c r="G21" s="220">
        <f>SUM(C21)-SUM(D21)</f>
        <v/>
      </c>
      <c r="H21" s="220">
        <f>SUM(E21)-SUM(F21)</f>
        <v/>
      </c>
      <c r="I21" s="221">
        <f>IF(A21="Total",VLOOKUP(B21,CORRESPONDANCE[#All],2,FALSE),I22)</f>
        <v/>
      </c>
      <c r="J21" s="350">
        <f>LEFT(A21,1)</f>
        <v/>
      </c>
      <c r="K21" s="347">
        <f>"DIVES"&amp;" - "&amp;A21</f>
        <v/>
      </c>
      <c r="L21" s="347">
        <f>+VLOOKUP(K21,TL[],4,FALSE)</f>
        <v/>
      </c>
    </row>
    <row r="22">
      <c r="A22" s="348" t="inlineStr">
        <is>
          <t>Total</t>
        </is>
      </c>
      <c r="B22" s="348" t="inlineStr">
        <is>
          <t>Table n°2  -  Vaisselle réutilisable</t>
        </is>
      </c>
      <c r="C22" s="348" t="inlineStr"/>
      <c r="D22" s="348" t="n">
        <v>200.18</v>
      </c>
      <c r="E22" s="348" t="inlineStr"/>
      <c r="F22" s="348" t="n">
        <v>200.18</v>
      </c>
      <c r="G22" s="220">
        <f>SUM(C22)-SUM(D22)</f>
        <v/>
      </c>
      <c r="H22" s="220">
        <f>SUM(E22)-SUM(F22)</f>
        <v/>
      </c>
      <c r="I22" s="221">
        <f>IF(A22="Total",VLOOKUP(B22,CORRESPONDANCE[#All],2,FALSE),I23)</f>
        <v/>
      </c>
      <c r="J22" s="350">
        <f>LEFT(A22,1)</f>
        <v/>
      </c>
      <c r="K22" s="347">
        <f>"DIVES"&amp;" - "&amp;A22</f>
        <v/>
      </c>
      <c r="L22" s="347">
        <f>+VLOOKUP(K22,TL[],4,FALSE)</f>
        <v/>
      </c>
    </row>
    <row r="23">
      <c r="A23" s="348" t="inlineStr">
        <is>
          <t>64110100</t>
        </is>
      </c>
      <c r="B23" s="348" t="inlineStr">
        <is>
          <t>Salaire equipiers</t>
        </is>
      </c>
      <c r="C23" s="348" t="n">
        <v>33391.18</v>
      </c>
      <c r="D23" s="348" t="inlineStr"/>
      <c r="E23" s="348" t="n">
        <v>33391.18</v>
      </c>
      <c r="F23" s="348" t="inlineStr"/>
      <c r="G23" s="220">
        <f>SUM(C23)-SUM(D23)</f>
        <v/>
      </c>
      <c r="H23" s="220">
        <f>SUM(E23)-SUM(F23)</f>
        <v/>
      </c>
      <c r="I23" s="221">
        <f>IF(A23="Total",VLOOKUP(B23,CORRESPONDANCE[#All],2,FALSE),I24)</f>
        <v/>
      </c>
      <c r="J23" s="350">
        <f>LEFT(A23,1)</f>
        <v/>
      </c>
      <c r="K23" s="347">
        <f>"DIVES"&amp;" - "&amp;A23</f>
        <v/>
      </c>
      <c r="L23" s="347">
        <f>+VLOOKUP(K23,TL[],4,FALSE)</f>
        <v/>
      </c>
    </row>
    <row r="24">
      <c r="A24" s="348" t="inlineStr">
        <is>
          <t>64120000</t>
        </is>
      </c>
      <c r="B24" s="348" t="inlineStr">
        <is>
          <t>Prov cp equipiers</t>
        </is>
      </c>
      <c r="C24" s="348" t="n">
        <v>760.0700000000001</v>
      </c>
      <c r="D24" s="348" t="inlineStr"/>
      <c r="E24" s="348" t="n">
        <v>760.0700000000001</v>
      </c>
      <c r="F24" s="348" t="inlineStr"/>
      <c r="G24" s="220">
        <f>SUM(C24)-SUM(D24)</f>
        <v/>
      </c>
      <c r="H24" s="220">
        <f>SUM(E24)-SUM(F24)</f>
        <v/>
      </c>
      <c r="I24" s="221">
        <f>IF(A24="Total",VLOOKUP(B24,CORRESPONDANCE[#All],2,FALSE),I25)</f>
        <v/>
      </c>
      <c r="J24" s="350">
        <f>LEFT(A24,1)</f>
        <v/>
      </c>
      <c r="K24" s="347">
        <f>"DIVES"&amp;" - "&amp;A24</f>
        <v/>
      </c>
      <c r="L24" s="347">
        <f>+VLOOKUP(K24,TL[],4,FALSE)</f>
        <v/>
      </c>
    </row>
    <row r="25">
      <c r="A25" s="348" t="inlineStr">
        <is>
          <t>64140100</t>
        </is>
      </c>
      <c r="B25" s="348" t="inlineStr">
        <is>
          <t>A.n. equipiers</t>
        </is>
      </c>
      <c r="C25" s="348" t="n">
        <v>2114.22</v>
      </c>
      <c r="D25" s="348" t="inlineStr"/>
      <c r="E25" s="348" t="n">
        <v>2114.22</v>
      </c>
      <c r="F25" s="348" t="inlineStr"/>
      <c r="G25" s="220">
        <f>SUM(C25)-SUM(D25)</f>
        <v/>
      </c>
      <c r="H25" s="220">
        <f>SUM(E25)-SUM(F25)</f>
        <v/>
      </c>
      <c r="I25" s="221">
        <f>IF(A25="Total",VLOOKUP(B25,CORRESPONDANCE[#All],2,FALSE),I26)</f>
        <v/>
      </c>
      <c r="J25" s="350">
        <f>LEFT(A25,1)</f>
        <v/>
      </c>
      <c r="K25" s="347">
        <f>"DIVES"&amp;" - "&amp;A25</f>
        <v/>
      </c>
      <c r="L25" s="347">
        <f>+VLOOKUP(K25,TL[],4,FALSE)</f>
        <v/>
      </c>
    </row>
    <row r="26">
      <c r="A26" s="348" t="inlineStr">
        <is>
          <t>64141100</t>
        </is>
      </c>
      <c r="B26" s="348" t="inlineStr">
        <is>
          <t>Ind. blanch. equipiers</t>
        </is>
      </c>
      <c r="C26" s="348" t="n">
        <v>394.32</v>
      </c>
      <c r="D26" s="348" t="inlineStr"/>
      <c r="E26" s="348" t="n">
        <v>394.32</v>
      </c>
      <c r="F26" s="348" t="inlineStr"/>
      <c r="G26" s="220">
        <f>SUM(C26)-SUM(D26)</f>
        <v/>
      </c>
      <c r="H26" s="220">
        <f>SUM(E26)-SUM(F26)</f>
        <v/>
      </c>
      <c r="I26" s="221">
        <f>IF(A26="Total",VLOOKUP(B26,CORRESPONDANCE[#All],2,FALSE),I27)</f>
        <v/>
      </c>
      <c r="J26" s="350">
        <f>LEFT(A26,1)</f>
        <v/>
      </c>
      <c r="K26" s="347">
        <f>"DIVES"&amp;" - "&amp;A26</f>
        <v/>
      </c>
      <c r="L26" s="347">
        <f>+VLOOKUP(K26,TL[],4,FALSE)</f>
        <v/>
      </c>
    </row>
    <row r="27">
      <c r="A27" s="348" t="inlineStr">
        <is>
          <t>72610000</t>
        </is>
      </c>
      <c r="B27" s="348" t="inlineStr">
        <is>
          <t>AN nourriture équipiers</t>
        </is>
      </c>
      <c r="C27" s="348" t="inlineStr"/>
      <c r="D27" s="348" t="n">
        <v>2114.22</v>
      </c>
      <c r="E27" s="348" t="inlineStr"/>
      <c r="F27" s="348" t="n">
        <v>2114.22</v>
      </c>
      <c r="G27" s="220">
        <f>SUM(C27)-SUM(D27)</f>
        <v/>
      </c>
      <c r="H27" s="220">
        <f>SUM(E27)-SUM(F27)</f>
        <v/>
      </c>
      <c r="I27" s="221">
        <f>IF(A27="Total",VLOOKUP(B27,CORRESPONDANCE[#All],2,FALSE),I28)</f>
        <v/>
      </c>
      <c r="J27" s="350">
        <f>LEFT(A27,1)</f>
        <v/>
      </c>
      <c r="K27" s="347">
        <f>"DIVES"&amp;" - "&amp;A27</f>
        <v/>
      </c>
      <c r="L27" s="347">
        <f>+VLOOKUP(K27,TL[],4,FALSE)</f>
        <v/>
      </c>
    </row>
    <row r="28">
      <c r="A28" s="348" t="inlineStr">
        <is>
          <t>Total</t>
        </is>
      </c>
      <c r="B28" s="348" t="inlineStr">
        <is>
          <t>Table n°2  -  Main d'œuvre brute équipiers</t>
        </is>
      </c>
      <c r="C28" s="348" t="n">
        <v>34545.57</v>
      </c>
      <c r="D28" s="348" t="inlineStr"/>
      <c r="E28" s="348" t="n">
        <v>34545.57</v>
      </c>
      <c r="F28" s="348" t="inlineStr"/>
      <c r="G28" s="220">
        <f>SUM(C28)-SUM(D28)</f>
        <v/>
      </c>
      <c r="H28" s="220">
        <f>SUM(E28)-SUM(F28)</f>
        <v/>
      </c>
      <c r="I28" s="221">
        <f>IF(A28="Total",VLOOKUP(B28,CORRESPONDANCE[#All],2,FALSE),I29)</f>
        <v/>
      </c>
      <c r="J28" s="350">
        <f>LEFT(A28,1)</f>
        <v/>
      </c>
      <c r="K28" s="347">
        <f>"DIVES"&amp;" - "&amp;A28</f>
        <v/>
      </c>
      <c r="L28" s="347">
        <f>+VLOOKUP(K28,TL[],4,FALSE)</f>
        <v/>
      </c>
    </row>
    <row r="29">
      <c r="A29" s="348" t="inlineStr">
        <is>
          <t>64504100</t>
        </is>
      </c>
      <c r="B29" s="348" t="inlineStr">
        <is>
          <t>Mutuelle equipiers</t>
        </is>
      </c>
      <c r="C29" s="348" t="n">
        <v>296.09</v>
      </c>
      <c r="D29" s="348" t="inlineStr"/>
      <c r="E29" s="348" t="n">
        <v>296.09</v>
      </c>
      <c r="F29" s="348" t="inlineStr"/>
      <c r="G29" s="220">
        <f>SUM(C29)-SUM(D29)</f>
        <v/>
      </c>
      <c r="H29" s="220">
        <f>SUM(E29)-SUM(F29)</f>
        <v/>
      </c>
      <c r="I29" s="221">
        <f>IF(A29="Total",VLOOKUP(B29,CORRESPONDANCE[#All],2,FALSE),I30)</f>
        <v/>
      </c>
      <c r="J29" s="350">
        <f>LEFT(A29,1)</f>
        <v/>
      </c>
      <c r="K29" s="347">
        <f>"DIVES"&amp;" - "&amp;A29</f>
        <v/>
      </c>
      <c r="L29" s="347">
        <f>+VLOOKUP(K29,TL[],4,FALSE)</f>
        <v/>
      </c>
    </row>
    <row r="30">
      <c r="A30" s="348" t="inlineStr">
        <is>
          <t>64510100</t>
        </is>
      </c>
      <c r="B30" s="348" t="inlineStr">
        <is>
          <t>Urssaf equipier</t>
        </is>
      </c>
      <c r="C30" s="348" t="n">
        <v>2626.68</v>
      </c>
      <c r="D30" s="348" t="inlineStr"/>
      <c r="E30" s="348" t="n">
        <v>2626.68</v>
      </c>
      <c r="F30" s="348" t="inlineStr"/>
      <c r="G30" s="220">
        <f>SUM(C30)-SUM(D30)</f>
        <v/>
      </c>
      <c r="H30" s="220">
        <f>SUM(E30)-SUM(F30)</f>
        <v/>
      </c>
      <c r="I30" s="221">
        <f>IF(A30="Total",VLOOKUP(B30,CORRESPONDANCE[#All],2,FALSE),I31)</f>
        <v/>
      </c>
      <c r="J30" s="350">
        <f>LEFT(A30,1)</f>
        <v/>
      </c>
      <c r="K30" s="347">
        <f>"DIVES"&amp;" - "&amp;A30</f>
        <v/>
      </c>
      <c r="L30" s="347">
        <f>+VLOOKUP(K30,TL[],4,FALSE)</f>
        <v/>
      </c>
    </row>
    <row r="31">
      <c r="A31" s="348" t="inlineStr">
        <is>
          <t>64530100</t>
        </is>
      </c>
      <c r="B31" s="348" t="inlineStr">
        <is>
          <t>Retraite &amp; prévoyance équipiers</t>
        </is>
      </c>
      <c r="C31" s="348" t="n">
        <v>1003.99</v>
      </c>
      <c r="D31" s="348" t="inlineStr"/>
      <c r="E31" s="348" t="n">
        <v>1003.99</v>
      </c>
      <c r="F31" s="348" t="inlineStr"/>
      <c r="G31" s="220">
        <f>SUM(C31)-SUM(D31)</f>
        <v/>
      </c>
      <c r="H31" s="220">
        <f>SUM(E31)-SUM(F31)</f>
        <v/>
      </c>
      <c r="I31" s="221">
        <f>IF(A31="Total",VLOOKUP(B31,CORRESPONDANCE[#All],2,FALSE),I32)</f>
        <v/>
      </c>
      <c r="J31" s="350">
        <f>LEFT(A31,1)</f>
        <v/>
      </c>
      <c r="K31" s="347">
        <f>"DIVES"&amp;" - "&amp;A31</f>
        <v/>
      </c>
      <c r="L31" s="347">
        <f>+VLOOKUP(K31,TL[],4,FALSE)</f>
        <v/>
      </c>
    </row>
    <row r="32">
      <c r="A32" s="348" t="inlineStr">
        <is>
          <t>64540100</t>
        </is>
      </c>
      <c r="B32" s="348" t="inlineStr">
        <is>
          <t>Pole emploi  équipiers</t>
        </is>
      </c>
      <c r="C32" s="348" t="n">
        <v>1155.27</v>
      </c>
      <c r="D32" s="348" t="inlineStr"/>
      <c r="E32" s="348" t="n">
        <v>1155.27</v>
      </c>
      <c r="F32" s="348" t="inlineStr"/>
      <c r="G32" s="220">
        <f>SUM(C32)-SUM(D32)</f>
        <v/>
      </c>
      <c r="H32" s="220">
        <f>SUM(E32)-SUM(F32)</f>
        <v/>
      </c>
      <c r="I32" s="221">
        <f>IF(A32="Total",VLOOKUP(B32,CORRESPONDANCE[#All],2,FALSE),I33)</f>
        <v/>
      </c>
      <c r="J32" s="350">
        <f>LEFT(A32,1)</f>
        <v/>
      </c>
      <c r="K32" s="347">
        <f>"DIVES"&amp;" - "&amp;A32</f>
        <v/>
      </c>
      <c r="L32" s="347">
        <f>+VLOOKUP(K32,TL[],4,FALSE)</f>
        <v/>
      </c>
    </row>
    <row r="33">
      <c r="A33" s="348" t="inlineStr">
        <is>
          <t>64580000</t>
        </is>
      </c>
      <c r="B33" s="348" t="inlineStr">
        <is>
          <t>Ch soc sur cp équipiers</t>
        </is>
      </c>
      <c r="C33" s="348" t="inlineStr"/>
      <c r="D33" s="348" t="n">
        <v>17.2</v>
      </c>
      <c r="E33" s="348" t="inlineStr"/>
      <c r="F33" s="348" t="n">
        <v>17.2</v>
      </c>
      <c r="G33" s="220">
        <f>SUM(C33)-SUM(D33)</f>
        <v/>
      </c>
      <c r="H33" s="220">
        <f>SUM(E33)-SUM(F33)</f>
        <v/>
      </c>
      <c r="I33" s="221">
        <f>IF(A33="Total",VLOOKUP(B33,CORRESPONDANCE[#All],2,FALSE),I34)</f>
        <v/>
      </c>
      <c r="J33" s="350">
        <f>LEFT(A33,1)</f>
        <v/>
      </c>
      <c r="K33" s="347">
        <f>"DIVES"&amp;" - "&amp;A33</f>
        <v/>
      </c>
      <c r="L33" s="347">
        <f>+VLOOKUP(K33,TL[],4,FALSE)</f>
        <v/>
      </c>
    </row>
    <row r="34">
      <c r="A34" s="348" t="inlineStr">
        <is>
          <t>Total</t>
        </is>
      </c>
      <c r="B34" s="348" t="inlineStr">
        <is>
          <t>Table n°2  -  Charges sociales équipiers</t>
        </is>
      </c>
      <c r="C34" s="348" t="n">
        <v>5064.83</v>
      </c>
      <c r="D34" s="348" t="inlineStr"/>
      <c r="E34" s="348" t="n">
        <v>5064.83</v>
      </c>
      <c r="F34" s="348" t="inlineStr"/>
      <c r="G34" s="220">
        <f>SUM(C34)-SUM(D34)</f>
        <v/>
      </c>
      <c r="H34" s="220">
        <f>SUM(E34)-SUM(F34)</f>
        <v/>
      </c>
      <c r="I34" s="221">
        <f>IF(A34="Total",VLOOKUP(B34,CORRESPONDANCE[#All],2,FALSE),I35)</f>
        <v/>
      </c>
      <c r="J34" s="350">
        <f>LEFT(A34,1)</f>
        <v/>
      </c>
      <c r="K34" s="347">
        <f>"DIVES"&amp;" - "&amp;A34</f>
        <v/>
      </c>
      <c r="L34" s="347">
        <f>+VLOOKUP(K34,TL[],4,FALSE)</f>
        <v/>
      </c>
    </row>
    <row r="35">
      <c r="A35" s="348" t="inlineStr">
        <is>
          <t>62140400</t>
        </is>
      </c>
      <c r="B35" s="348" t="inlineStr">
        <is>
          <t>Pret personnel managers</t>
        </is>
      </c>
      <c r="C35" s="348" t="n">
        <v>4217.23</v>
      </c>
      <c r="D35" s="348" t="inlineStr"/>
      <c r="E35" s="348" t="n">
        <v>4217.23</v>
      </c>
      <c r="F35" s="348" t="inlineStr"/>
      <c r="G35" s="220">
        <f>SUM(C35)-SUM(D35)</f>
        <v/>
      </c>
      <c r="H35" s="220">
        <f>SUM(E35)-SUM(F35)</f>
        <v/>
      </c>
      <c r="I35" s="221">
        <f>IF(A35="Total",VLOOKUP(B35,CORRESPONDANCE[#All],2,FALSE),I36)</f>
        <v/>
      </c>
      <c r="J35" s="350">
        <f>LEFT(A35,1)</f>
        <v/>
      </c>
      <c r="K35" s="347">
        <f>"DIVES"&amp;" - "&amp;A35</f>
        <v/>
      </c>
      <c r="L35" s="347">
        <f>+VLOOKUP(K35,TL[],4,FALSE)</f>
        <v/>
      </c>
    </row>
    <row r="36">
      <c r="A36" s="348" t="inlineStr">
        <is>
          <t>64110400</t>
        </is>
      </c>
      <c r="B36" s="348" t="inlineStr">
        <is>
          <t>Salaire mgr</t>
        </is>
      </c>
      <c r="C36" s="348" t="n">
        <v>13090.62</v>
      </c>
      <c r="D36" s="348" t="inlineStr"/>
      <c r="E36" s="348" t="n">
        <v>13090.62</v>
      </c>
      <c r="F36" s="348" t="inlineStr"/>
      <c r="G36" s="220">
        <f>SUM(C36)-SUM(D36)</f>
        <v/>
      </c>
      <c r="H36" s="220">
        <f>SUM(E36)-SUM(F36)</f>
        <v/>
      </c>
      <c r="I36" s="221">
        <f>IF(A36="Total",VLOOKUP(B36,CORRESPONDANCE[#All],2,FALSE),I37)</f>
        <v/>
      </c>
      <c r="J36" s="350">
        <f>LEFT(A36,1)</f>
        <v/>
      </c>
      <c r="K36" s="347">
        <f>"DIVES"&amp;" - "&amp;A36</f>
        <v/>
      </c>
      <c r="L36" s="347">
        <f>+VLOOKUP(K36,TL[],4,FALSE)</f>
        <v/>
      </c>
    </row>
    <row r="37">
      <c r="A37" s="348" t="inlineStr">
        <is>
          <t>64121000</t>
        </is>
      </c>
      <c r="B37" s="348" t="inlineStr">
        <is>
          <t>Prov cp mgr</t>
        </is>
      </c>
      <c r="C37" s="348" t="n">
        <v>210.03</v>
      </c>
      <c r="D37" s="348" t="inlineStr"/>
      <c r="E37" s="348" t="n">
        <v>210.03</v>
      </c>
      <c r="F37" s="348" t="inlineStr"/>
      <c r="G37" s="220">
        <f>SUM(C37)-SUM(D37)</f>
        <v/>
      </c>
      <c r="H37" s="220">
        <f>SUM(E37)-SUM(F37)</f>
        <v/>
      </c>
      <c r="I37" s="221">
        <f>IF(A37="Total",VLOOKUP(B37,CORRESPONDANCE[#All],2,FALSE),I38)</f>
        <v/>
      </c>
      <c r="J37" s="350">
        <f>LEFT(A37,1)</f>
        <v/>
      </c>
      <c r="K37" s="347">
        <f>"DIVES"&amp;" - "&amp;A37</f>
        <v/>
      </c>
      <c r="L37" s="347">
        <f>+VLOOKUP(K37,TL[],4,FALSE)</f>
        <v/>
      </c>
    </row>
    <row r="38">
      <c r="A38" s="348" t="inlineStr">
        <is>
          <t>64140400</t>
        </is>
      </c>
      <c r="B38" s="348" t="inlineStr">
        <is>
          <t>A.n. managers</t>
        </is>
      </c>
      <c r="C38" s="348" t="n">
        <v>422</v>
      </c>
      <c r="D38" s="348" t="inlineStr"/>
      <c r="E38" s="348" t="n">
        <v>422</v>
      </c>
      <c r="F38" s="348" t="inlineStr"/>
      <c r="G38" s="220">
        <f>SUM(C38)-SUM(D38)</f>
        <v/>
      </c>
      <c r="H38" s="220">
        <f>SUM(E38)-SUM(F38)</f>
        <v/>
      </c>
      <c r="I38" s="221">
        <f>IF(A38="Total",VLOOKUP(B38,CORRESPONDANCE[#All],2,FALSE),I39)</f>
        <v/>
      </c>
      <c r="J38" s="350">
        <f>LEFT(A38,1)</f>
        <v/>
      </c>
      <c r="K38" s="347">
        <f>"DIVES"&amp;" - "&amp;A38</f>
        <v/>
      </c>
      <c r="L38" s="347">
        <f>+VLOOKUP(K38,TL[],4,FALSE)</f>
        <v/>
      </c>
    </row>
    <row r="39">
      <c r="A39" s="348" t="inlineStr">
        <is>
          <t>64141400</t>
        </is>
      </c>
      <c r="B39" s="348" t="inlineStr">
        <is>
          <t>Ind.blanch mgr</t>
        </is>
      </c>
      <c r="C39" s="348" t="n">
        <v>129.02</v>
      </c>
      <c r="D39" s="348" t="inlineStr"/>
      <c r="E39" s="348" t="n">
        <v>129.02</v>
      </c>
      <c r="F39" s="348" t="inlineStr"/>
      <c r="G39" s="220">
        <f>SUM(C39)-SUM(D39)</f>
        <v/>
      </c>
      <c r="H39" s="220">
        <f>SUM(E39)-SUM(F39)</f>
        <v/>
      </c>
      <c r="I39" s="221">
        <f>IF(A39="Total",VLOOKUP(B39,CORRESPONDANCE[#All],2,FALSE),I40)</f>
        <v/>
      </c>
      <c r="J39" s="350">
        <f>LEFT(A39,1)</f>
        <v/>
      </c>
      <c r="K39" s="347">
        <f>"DIVES"&amp;" - "&amp;A39</f>
        <v/>
      </c>
      <c r="L39" s="347">
        <f>+VLOOKUP(K39,TL[],4,FALSE)</f>
        <v/>
      </c>
    </row>
    <row r="40">
      <c r="A40" s="348" t="inlineStr">
        <is>
          <t>72611000</t>
        </is>
      </c>
      <c r="B40" s="348" t="inlineStr">
        <is>
          <t>AN nourriture managers</t>
        </is>
      </c>
      <c r="C40" s="348" t="inlineStr"/>
      <c r="D40" s="348" t="n">
        <v>422</v>
      </c>
      <c r="E40" s="348" t="inlineStr"/>
      <c r="F40" s="348" t="n">
        <v>422</v>
      </c>
      <c r="G40" s="220">
        <f>SUM(C40)-SUM(D40)</f>
        <v/>
      </c>
      <c r="H40" s="220">
        <f>SUM(E40)-SUM(F40)</f>
        <v/>
      </c>
      <c r="I40" s="221">
        <f>IF(A40="Total",VLOOKUP(B40,CORRESPONDANCE[#All],2,FALSE),I41)</f>
        <v/>
      </c>
      <c r="J40" s="350">
        <f>LEFT(A40,1)</f>
        <v/>
      </c>
      <c r="K40" s="347">
        <f>"DIVES"&amp;" - "&amp;A40</f>
        <v/>
      </c>
      <c r="L40" s="347">
        <f>+VLOOKUP(K40,TL[],4,FALSE)</f>
        <v/>
      </c>
    </row>
    <row r="41">
      <c r="A41" s="348" t="inlineStr">
        <is>
          <t>Total</t>
        </is>
      </c>
      <c r="B41" s="348" t="inlineStr">
        <is>
          <t>Table n°2  -  Main d'œuvre brute équipe de gestio</t>
        </is>
      </c>
      <c r="C41" s="348" t="n">
        <v>17646.9</v>
      </c>
      <c r="D41" s="348" t="inlineStr"/>
      <c r="E41" s="348" t="n">
        <v>17646.9</v>
      </c>
      <c r="F41" s="348" t="inlineStr"/>
      <c r="G41" s="220">
        <f>SUM(C41)-SUM(D41)</f>
        <v/>
      </c>
      <c r="H41" s="220">
        <f>SUM(E41)-SUM(F41)</f>
        <v/>
      </c>
      <c r="I41" s="221">
        <f>IF(A41="Total",VLOOKUP(B41,CORRESPONDANCE[#All],2,FALSE),I42)</f>
        <v/>
      </c>
      <c r="J41" s="350">
        <f>LEFT(A41,1)</f>
        <v/>
      </c>
      <c r="K41" s="347">
        <f>"DIVES"&amp;" - "&amp;A41</f>
        <v/>
      </c>
      <c r="L41" s="347">
        <f>+VLOOKUP(K41,TL[],4,FALSE)</f>
        <v/>
      </c>
    </row>
    <row r="42">
      <c r="A42" s="348" t="inlineStr">
        <is>
          <t>62141400</t>
        </is>
      </c>
      <c r="B42" s="348" t="inlineStr">
        <is>
          <t>Prêt personnel charges managers</t>
        </is>
      </c>
      <c r="C42" s="348" t="n">
        <v>864.4299999999999</v>
      </c>
      <c r="D42" s="348" t="inlineStr"/>
      <c r="E42" s="348" t="n">
        <v>864.4299999999999</v>
      </c>
      <c r="F42" s="348" t="inlineStr"/>
      <c r="G42" s="220">
        <f>SUM(C42)-SUM(D42)</f>
        <v/>
      </c>
      <c r="H42" s="220">
        <f>SUM(E42)-SUM(F42)</f>
        <v/>
      </c>
      <c r="I42" s="221">
        <f>IF(A42="Total",VLOOKUP(B42,CORRESPONDANCE[#All],2,FALSE),I43)</f>
        <v/>
      </c>
      <c r="J42" s="350">
        <f>LEFT(A42,1)</f>
        <v/>
      </c>
      <c r="K42" s="347">
        <f>"DIVES"&amp;" - "&amp;A42</f>
        <v/>
      </c>
      <c r="L42" s="347">
        <f>+VLOOKUP(K42,TL[],4,FALSE)</f>
        <v/>
      </c>
    </row>
    <row r="43">
      <c r="A43" s="348" t="inlineStr">
        <is>
          <t>64504400</t>
        </is>
      </c>
      <c r="B43" s="348" t="inlineStr">
        <is>
          <t>Mutuelle managers</t>
        </is>
      </c>
      <c r="C43" s="348" t="n">
        <v>61.26</v>
      </c>
      <c r="D43" s="348" t="inlineStr"/>
      <c r="E43" s="348" t="n">
        <v>61.26</v>
      </c>
      <c r="F43" s="348" t="inlineStr"/>
      <c r="G43" s="220">
        <f>SUM(C43)-SUM(D43)</f>
        <v/>
      </c>
      <c r="H43" s="220">
        <f>SUM(E43)-SUM(F43)</f>
        <v/>
      </c>
      <c r="I43" s="221">
        <f>IF(A43="Total",VLOOKUP(B43,CORRESPONDANCE[#All],2,FALSE),I44)</f>
        <v/>
      </c>
      <c r="J43" s="350">
        <f>LEFT(A43,1)</f>
        <v/>
      </c>
      <c r="K43" s="347">
        <f>"DIVES"&amp;" - "&amp;A43</f>
        <v/>
      </c>
      <c r="L43" s="347">
        <f>+VLOOKUP(K43,TL[],4,FALSE)</f>
        <v/>
      </c>
    </row>
    <row r="44">
      <c r="A44" s="348" t="inlineStr">
        <is>
          <t>64510400</t>
        </is>
      </c>
      <c r="B44" s="348" t="inlineStr">
        <is>
          <t>Urssaf managers</t>
        </is>
      </c>
      <c r="C44" s="348" t="n">
        <v>1759.62</v>
      </c>
      <c r="D44" s="348" t="inlineStr"/>
      <c r="E44" s="348" t="n">
        <v>1759.62</v>
      </c>
      <c r="F44" s="348" t="inlineStr"/>
      <c r="G44" s="220">
        <f>SUM(C44)-SUM(D44)</f>
        <v/>
      </c>
      <c r="H44" s="220">
        <f>SUM(E44)-SUM(F44)</f>
        <v/>
      </c>
      <c r="I44" s="221">
        <f>IF(A44="Total",VLOOKUP(B44,CORRESPONDANCE[#All],2,FALSE),I45)</f>
        <v/>
      </c>
      <c r="J44" s="350">
        <f>LEFT(A44,1)</f>
        <v/>
      </c>
      <c r="K44" s="347">
        <f>"DIVES"&amp;" - "&amp;A44</f>
        <v/>
      </c>
      <c r="L44" s="347">
        <f>+VLOOKUP(K44,TL[],4,FALSE)</f>
        <v/>
      </c>
    </row>
    <row r="45">
      <c r="A45" s="348" t="inlineStr">
        <is>
          <t>64530400</t>
        </is>
      </c>
      <c r="B45" s="348" t="inlineStr">
        <is>
          <t>Retraite &amp; prévoyance mgr</t>
        </is>
      </c>
      <c r="C45" s="348" t="n">
        <v>522.46</v>
      </c>
      <c r="D45" s="348" t="inlineStr"/>
      <c r="E45" s="348" t="n">
        <v>522.46</v>
      </c>
      <c r="F45" s="348" t="inlineStr"/>
      <c r="G45" s="220">
        <f>SUM(C45)-SUM(D45)</f>
        <v/>
      </c>
      <c r="H45" s="220">
        <f>SUM(E45)-SUM(F45)</f>
        <v/>
      </c>
      <c r="I45" s="221">
        <f>IF(A45="Total",VLOOKUP(B45,CORRESPONDANCE[#All],2,FALSE),I46)</f>
        <v/>
      </c>
      <c r="J45" s="350">
        <f>LEFT(A45,1)</f>
        <v/>
      </c>
      <c r="K45" s="347">
        <f>"DIVES"&amp;" - "&amp;A45</f>
        <v/>
      </c>
      <c r="L45" s="347">
        <f>+VLOOKUP(K45,TL[],4,FALSE)</f>
        <v/>
      </c>
    </row>
    <row r="46">
      <c r="A46" s="348" t="inlineStr">
        <is>
          <t>64540400</t>
        </is>
      </c>
      <c r="B46" s="348" t="inlineStr">
        <is>
          <t>Pole emploi manager</t>
        </is>
      </c>
      <c r="C46" s="348" t="n">
        <v>435.09</v>
      </c>
      <c r="D46" s="348" t="inlineStr"/>
      <c r="E46" s="348" t="n">
        <v>435.09</v>
      </c>
      <c r="F46" s="348" t="inlineStr"/>
      <c r="G46" s="220">
        <f>SUM(C46)-SUM(D46)</f>
        <v/>
      </c>
      <c r="H46" s="220">
        <f>SUM(E46)-SUM(F46)</f>
        <v/>
      </c>
      <c r="I46" s="221">
        <f>IF(A46="Total",VLOOKUP(B46,CORRESPONDANCE[#All],2,FALSE),I47)</f>
        <v/>
      </c>
      <c r="J46" s="350">
        <f>LEFT(A46,1)</f>
        <v/>
      </c>
      <c r="K46" s="347">
        <f>"DIVES"&amp;" - "&amp;A46</f>
        <v/>
      </c>
      <c r="L46" s="347">
        <f>+VLOOKUP(K46,TL[],4,FALSE)</f>
        <v/>
      </c>
    </row>
    <row r="47">
      <c r="A47" s="348" t="inlineStr">
        <is>
          <t>64581000</t>
        </is>
      </c>
      <c r="B47" s="348" t="inlineStr">
        <is>
          <t>Ch soc sur cp mgr</t>
        </is>
      </c>
      <c r="C47" s="348" t="n">
        <v>64.92</v>
      </c>
      <c r="D47" s="348" t="inlineStr"/>
      <c r="E47" s="348" t="n">
        <v>64.92</v>
      </c>
      <c r="F47" s="348" t="inlineStr"/>
      <c r="G47" s="220">
        <f>SUM(C47)-SUM(D47)</f>
        <v/>
      </c>
      <c r="H47" s="220">
        <f>SUM(E47)-SUM(F47)</f>
        <v/>
      </c>
      <c r="I47" s="221">
        <f>IF(A47="Total",VLOOKUP(B47,CORRESPONDANCE[#All],2,FALSE),I48)</f>
        <v/>
      </c>
      <c r="J47" s="350">
        <f>LEFT(A47,1)</f>
        <v/>
      </c>
      <c r="K47" s="347">
        <f>"DIVES"&amp;" - "&amp;A47</f>
        <v/>
      </c>
      <c r="L47" s="347">
        <f>+VLOOKUP(K47,TL[],4,FALSE)</f>
        <v/>
      </c>
    </row>
    <row r="48">
      <c r="A48" s="348" t="inlineStr">
        <is>
          <t>Total</t>
        </is>
      </c>
      <c r="B48" s="348" t="inlineStr">
        <is>
          <t>Table n°2  -  Charges sociales équipe de gestion</t>
        </is>
      </c>
      <c r="C48" s="348" t="n">
        <v>3707.78</v>
      </c>
      <c r="D48" s="348" t="inlineStr"/>
      <c r="E48" s="348" t="n">
        <v>3707.78</v>
      </c>
      <c r="F48" s="348" t="inlineStr"/>
      <c r="G48" s="220">
        <f>SUM(C48)-SUM(D48)</f>
        <v/>
      </c>
      <c r="H48" s="220">
        <f>SUM(E48)-SUM(F48)</f>
        <v/>
      </c>
      <c r="I48" s="221">
        <f>IF(A48="Total",VLOOKUP(B48,CORRESPONDANCE[#All],2,FALSE),I49)</f>
        <v/>
      </c>
      <c r="J48" s="350">
        <f>LEFT(A48,1)</f>
        <v/>
      </c>
      <c r="K48" s="347">
        <f>"DIVES"&amp;" - "&amp;A48</f>
        <v/>
      </c>
      <c r="L48" s="347">
        <f>+VLOOKUP(K48,TL[],4,FALSE)</f>
        <v/>
      </c>
    </row>
    <row r="49">
      <c r="A49" s="348" t="inlineStr">
        <is>
          <t>61521000</t>
        </is>
      </c>
      <c r="B49" s="348" t="inlineStr">
        <is>
          <t>Entretien vitres</t>
        </is>
      </c>
      <c r="C49" s="348" t="n">
        <v>229</v>
      </c>
      <c r="D49" s="348" t="inlineStr"/>
      <c r="E49" s="348" t="n">
        <v>229</v>
      </c>
      <c r="F49" s="348" t="inlineStr"/>
      <c r="G49" s="220">
        <f>SUM(C49)-SUM(D49)</f>
        <v/>
      </c>
      <c r="H49" s="220">
        <f>SUM(E49)-SUM(F49)</f>
        <v/>
      </c>
      <c r="I49" s="221">
        <f>IF(A49="Total",VLOOKUP(B49,CORRESPONDANCE[#All],2,FALSE),I50)</f>
        <v/>
      </c>
      <c r="J49" s="350">
        <f>LEFT(A49,1)</f>
        <v/>
      </c>
      <c r="K49" s="347">
        <f>"DIVES"&amp;" - "&amp;A49</f>
        <v/>
      </c>
      <c r="L49" s="347">
        <f>+VLOOKUP(K49,TL[],4,FALSE)</f>
        <v/>
      </c>
    </row>
    <row r="50">
      <c r="A50" s="348" t="inlineStr">
        <is>
          <t>61561900</t>
        </is>
      </c>
      <c r="B50" s="348" t="inlineStr">
        <is>
          <t>Contrat nettoyage cuisine</t>
        </is>
      </c>
      <c r="C50" s="348" t="n">
        <v>9850</v>
      </c>
      <c r="D50" s="348" t="inlineStr"/>
      <c r="E50" s="348" t="n">
        <v>9850</v>
      </c>
      <c r="F50" s="348" t="inlineStr"/>
      <c r="G50" s="220">
        <f>SUM(C50)-SUM(D50)</f>
        <v/>
      </c>
      <c r="H50" s="220">
        <f>SUM(E50)-SUM(F50)</f>
        <v/>
      </c>
      <c r="I50" s="221">
        <f>IF(A50="Total",VLOOKUP(B50,CORRESPONDANCE[#All],2,FALSE),I51)</f>
        <v/>
      </c>
      <c r="J50" s="350">
        <f>LEFT(A50,1)</f>
        <v/>
      </c>
      <c r="K50" s="347">
        <f>"DIVES"&amp;" - "&amp;A50</f>
        <v/>
      </c>
      <c r="L50" s="347">
        <f>+VLOOKUP(K50,TL[],4,FALSE)</f>
        <v/>
      </c>
    </row>
    <row r="51">
      <c r="A51" s="348" t="inlineStr">
        <is>
          <t>Total</t>
        </is>
      </c>
      <c r="B51" s="348" t="inlineStr">
        <is>
          <t>Table n°2  -  Nettoyage</t>
        </is>
      </c>
      <c r="C51" s="348" t="n">
        <v>10079</v>
      </c>
      <c r="D51" s="348" t="inlineStr"/>
      <c r="E51" s="348" t="n">
        <v>10079</v>
      </c>
      <c r="F51" s="348" t="inlineStr"/>
      <c r="G51" s="220">
        <f>SUM(C51)-SUM(D51)</f>
        <v/>
      </c>
      <c r="H51" s="220">
        <f>SUM(E51)-SUM(F51)</f>
        <v/>
      </c>
      <c r="I51" s="221">
        <f>IF(A51="Total",VLOOKUP(B51,CORRESPONDANCE[#All],2,FALSE),I52)</f>
        <v/>
      </c>
      <c r="J51" s="350">
        <f>LEFT(A51,1)</f>
        <v/>
      </c>
      <c r="K51" s="347">
        <f>"DIVES"&amp;" - "&amp;A51</f>
        <v/>
      </c>
      <c r="L51" s="347">
        <f>+VLOOKUP(K51,TL[],4,FALSE)</f>
        <v/>
      </c>
    </row>
    <row r="52">
      <c r="A52" s="348" t="inlineStr">
        <is>
          <t>61562800</t>
        </is>
      </c>
      <c r="B52" s="348" t="inlineStr">
        <is>
          <t>Contrat eryma alarme</t>
        </is>
      </c>
      <c r="C52" s="348" t="n">
        <v>55</v>
      </c>
      <c r="D52" s="348" t="inlineStr"/>
      <c r="E52" s="348" t="n">
        <v>55</v>
      </c>
      <c r="F52" s="348" t="inlineStr"/>
      <c r="G52" s="220">
        <f>SUM(C52)-SUM(D52)</f>
        <v/>
      </c>
      <c r="H52" s="220">
        <f>SUM(E52)-SUM(F52)</f>
        <v/>
      </c>
      <c r="I52" s="221">
        <f>IF(A52="Total",VLOOKUP(B52,CORRESPONDANCE[#All],2,FALSE),I53)</f>
        <v/>
      </c>
      <c r="J52" s="350">
        <f>LEFT(A52,1)</f>
        <v/>
      </c>
      <c r="K52" s="347">
        <f>"DIVES"&amp;" - "&amp;A52</f>
        <v/>
      </c>
      <c r="L52" s="347">
        <f>+VLOOKUP(K52,TL[],4,FALSE)</f>
        <v/>
      </c>
    </row>
    <row r="53">
      <c r="A53" s="348" t="inlineStr">
        <is>
          <t>Total</t>
        </is>
      </c>
      <c r="B53" s="348" t="inlineStr">
        <is>
          <t>Table n°2  -  Sécurité et Gardiennage</t>
        </is>
      </c>
      <c r="C53" s="348" t="n">
        <v>55</v>
      </c>
      <c r="D53" s="348" t="inlineStr"/>
      <c r="E53" s="348" t="n">
        <v>55</v>
      </c>
      <c r="F53" s="348" t="inlineStr"/>
      <c r="G53" s="220">
        <f>SUM(C53)-SUM(D53)</f>
        <v/>
      </c>
      <c r="H53" s="220">
        <f>SUM(E53)-SUM(F53)</f>
        <v/>
      </c>
      <c r="I53" s="221">
        <f>IF(A53="Total",VLOOKUP(B53,CORRESPONDANCE[#All],2,FALSE),I54)</f>
        <v/>
      </c>
      <c r="J53" s="350">
        <f>LEFT(A53,1)</f>
        <v/>
      </c>
      <c r="K53" s="347">
        <f>"DIVES"&amp;" - "&amp;A53</f>
        <v/>
      </c>
      <c r="L53" s="347">
        <f>+VLOOKUP(K53,TL[],4,FALSE)</f>
        <v/>
      </c>
    </row>
    <row r="54">
      <c r="A54" s="348" t="inlineStr">
        <is>
          <t>62780100</t>
        </is>
      </c>
      <c r="B54" s="348" t="inlineStr">
        <is>
          <t>Commissions bancaires</t>
        </is>
      </c>
      <c r="C54" s="348" t="n">
        <v>570.24</v>
      </c>
      <c r="D54" s="348" t="inlineStr"/>
      <c r="E54" s="348" t="n">
        <v>570.24</v>
      </c>
      <c r="F54" s="348" t="inlineStr"/>
      <c r="G54" s="220">
        <f>SUM(C54)-SUM(D54)</f>
        <v/>
      </c>
      <c r="H54" s="220">
        <f>SUM(E54)-SUM(F54)</f>
        <v/>
      </c>
      <c r="I54" s="221">
        <f>IF(A54="Total",VLOOKUP(B54,CORRESPONDANCE[#All],2,FALSE),I55)</f>
        <v/>
      </c>
      <c r="J54" s="350">
        <f>LEFT(A54,1)</f>
        <v/>
      </c>
      <c r="K54" s="347">
        <f>"DIVES"&amp;" - "&amp;A54</f>
        <v/>
      </c>
      <c r="L54" s="347">
        <f>+VLOOKUP(K54,TL[],4,FALSE)</f>
        <v/>
      </c>
    </row>
    <row r="55">
      <c r="A55" s="348" t="inlineStr">
        <is>
          <t>62780200</t>
        </is>
      </c>
      <c r="B55" s="348" t="inlineStr">
        <is>
          <t>Commissions cb</t>
        </is>
      </c>
      <c r="C55" s="348" t="n">
        <v>847.4299999999999</v>
      </c>
      <c r="D55" s="348" t="inlineStr"/>
      <c r="E55" s="348" t="n">
        <v>847.4299999999999</v>
      </c>
      <c r="F55" s="348" t="inlineStr"/>
      <c r="G55" s="220">
        <f>SUM(C55)-SUM(D55)</f>
        <v/>
      </c>
      <c r="H55" s="220">
        <f>SUM(E55)-SUM(F55)</f>
        <v/>
      </c>
      <c r="I55" s="221">
        <f>IF(A55="Total",VLOOKUP(B55,CORRESPONDANCE[#All],2,FALSE),I56)</f>
        <v/>
      </c>
      <c r="J55" s="350">
        <f>LEFT(A55,1)</f>
        <v/>
      </c>
      <c r="K55" s="347">
        <f>"DIVES"&amp;" - "&amp;A55</f>
        <v/>
      </c>
      <c r="L55" s="347">
        <f>+VLOOKUP(K55,TL[],4,FALSE)</f>
        <v/>
      </c>
    </row>
    <row r="56">
      <c r="A56" s="348" t="inlineStr">
        <is>
          <t>62780300</t>
        </is>
      </c>
      <c r="B56" s="348" t="inlineStr">
        <is>
          <t>Frais tr</t>
        </is>
      </c>
      <c r="C56" s="348" t="n">
        <v>644.45</v>
      </c>
      <c r="D56" s="348" t="inlineStr"/>
      <c r="E56" s="348" t="n">
        <v>644.45</v>
      </c>
      <c r="F56" s="348" t="inlineStr"/>
      <c r="G56" s="220">
        <f>SUM(C56)-SUM(D56)</f>
        <v/>
      </c>
      <c r="H56" s="220">
        <f>SUM(E56)-SUM(F56)</f>
        <v/>
      </c>
      <c r="I56" s="221">
        <f>IF(A56="Total",VLOOKUP(B56,CORRESPONDANCE[#All],2,FALSE),I57)</f>
        <v/>
      </c>
      <c r="J56" s="350">
        <f>LEFT(A56,1)</f>
        <v/>
      </c>
      <c r="K56" s="347">
        <f>"DIVES"&amp;" - "&amp;A56</f>
        <v/>
      </c>
      <c r="L56" s="347">
        <f>+VLOOKUP(K56,TL[],4,FALSE)</f>
        <v/>
      </c>
    </row>
    <row r="57">
      <c r="A57" s="348" t="inlineStr">
        <is>
          <t>62780500</t>
        </is>
      </c>
      <c r="B57" s="348" t="inlineStr">
        <is>
          <t>Frais cv</t>
        </is>
      </c>
      <c r="C57" s="348" t="n">
        <v>67.75</v>
      </c>
      <c r="D57" s="348" t="inlineStr"/>
      <c r="E57" s="348" t="n">
        <v>67.75</v>
      </c>
      <c r="F57" s="348" t="inlineStr"/>
      <c r="G57" s="220">
        <f>SUM(C57)-SUM(D57)</f>
        <v/>
      </c>
      <c r="H57" s="220">
        <f>SUM(E57)-SUM(F57)</f>
        <v/>
      </c>
      <c r="I57" s="221">
        <f>IF(A57="Total",VLOOKUP(B57,CORRESPONDANCE[#All],2,FALSE),I58)</f>
        <v/>
      </c>
      <c r="J57" s="350">
        <f>LEFT(A57,1)</f>
        <v/>
      </c>
      <c r="K57" s="347">
        <f>"DIVES"&amp;" - "&amp;A57</f>
        <v/>
      </c>
      <c r="L57" s="347">
        <f>+VLOOKUP(K57,TL[],4,FALSE)</f>
        <v/>
      </c>
    </row>
    <row r="58">
      <c r="A58" s="348" t="inlineStr">
        <is>
          <t>62780700</t>
        </is>
      </c>
      <c r="B58" s="348" t="inlineStr">
        <is>
          <t>Frais pay pal</t>
        </is>
      </c>
      <c r="C58" s="348" t="n">
        <v>2.28</v>
      </c>
      <c r="D58" s="348" t="inlineStr"/>
      <c r="E58" s="348" t="n">
        <v>2.28</v>
      </c>
      <c r="F58" s="348" t="inlineStr"/>
      <c r="G58" s="220">
        <f>SUM(C58)-SUM(D58)</f>
        <v/>
      </c>
      <c r="H58" s="220">
        <f>SUM(E58)-SUM(F58)</f>
        <v/>
      </c>
      <c r="I58" s="221">
        <f>IF(A58="Total",VLOOKUP(B58,CORRESPONDANCE[#All],2,FALSE),I59)</f>
        <v/>
      </c>
      <c r="J58" s="350">
        <f>LEFT(A58,1)</f>
        <v/>
      </c>
      <c r="K58" s="347">
        <f>"DIVES"&amp;" - "&amp;A58</f>
        <v/>
      </c>
      <c r="L58" s="347">
        <f>+VLOOKUP(K58,TL[],4,FALSE)</f>
        <v/>
      </c>
    </row>
    <row r="59">
      <c r="A59" s="348" t="inlineStr">
        <is>
          <t>Total</t>
        </is>
      </c>
      <c r="B59" s="348" t="inlineStr">
        <is>
          <t>Table n°2  -  Frais bancaires</t>
        </is>
      </c>
      <c r="C59" s="348" t="n">
        <v>2132.15</v>
      </c>
      <c r="D59" s="348" t="inlineStr"/>
      <c r="E59" s="348" t="n">
        <v>2132.15</v>
      </c>
      <c r="F59" s="348" t="inlineStr"/>
      <c r="G59" s="220">
        <f>SUM(C59)-SUM(D59)</f>
        <v/>
      </c>
      <c r="H59" s="220">
        <f>SUM(E59)-SUM(F59)</f>
        <v/>
      </c>
      <c r="I59" s="221">
        <f>IF(A59="Total",VLOOKUP(B59,CORRESPONDANCE[#All],2,FALSE),I60)</f>
        <v/>
      </c>
      <c r="J59" s="350">
        <f>LEFT(A59,1)</f>
        <v/>
      </c>
      <c r="K59" s="347">
        <f>"DIVES"&amp;" - "&amp;A59</f>
        <v/>
      </c>
      <c r="L59" s="347">
        <f>+VLOOKUP(K59,TL[],4,FALSE)</f>
        <v/>
      </c>
    </row>
    <row r="60">
      <c r="A60" s="348" t="inlineStr">
        <is>
          <t>60630000</t>
        </is>
      </c>
      <c r="B60" s="348" t="inlineStr">
        <is>
          <t>Petit outillage</t>
        </is>
      </c>
      <c r="C60" s="348" t="n">
        <v>57.91</v>
      </c>
      <c r="D60" s="348" t="inlineStr"/>
      <c r="E60" s="348" t="n">
        <v>57.91</v>
      </c>
      <c r="F60" s="348" t="inlineStr"/>
      <c r="G60" s="220">
        <f>SUM(C60)-SUM(D60)</f>
        <v/>
      </c>
      <c r="H60" s="220">
        <f>SUM(E60)-SUM(F60)</f>
        <v/>
      </c>
      <c r="I60" s="221">
        <f>IF(A60="Total",VLOOKUP(B60,CORRESPONDANCE[#All],2,FALSE),I61)</f>
        <v/>
      </c>
      <c r="J60" s="350">
        <f>LEFT(A60,1)</f>
        <v/>
      </c>
      <c r="K60" s="347">
        <f>"DIVES"&amp;" - "&amp;A60</f>
        <v/>
      </c>
      <c r="L60" s="347">
        <f>+VLOOKUP(K60,TL[],4,FALSE)</f>
        <v/>
      </c>
    </row>
    <row r="61">
      <c r="A61" s="348" t="inlineStr">
        <is>
          <t>61550000</t>
        </is>
      </c>
      <c r="B61" s="348" t="inlineStr">
        <is>
          <t>Entretien et matériel divers</t>
        </is>
      </c>
      <c r="C61" s="348" t="n">
        <v>249.14</v>
      </c>
      <c r="D61" s="348" t="inlineStr"/>
      <c r="E61" s="348" t="n">
        <v>249.14</v>
      </c>
      <c r="F61" s="348" t="inlineStr"/>
      <c r="G61" s="220">
        <f>SUM(C61)-SUM(D61)</f>
        <v/>
      </c>
      <c r="H61" s="220">
        <f>SUM(E61)-SUM(F61)</f>
        <v/>
      </c>
      <c r="I61" s="221">
        <f>IF(A61="Total",VLOOKUP(B61,CORRESPONDANCE[#All],2,FALSE),I62)</f>
        <v/>
      </c>
      <c r="J61" s="350">
        <f>LEFT(A61,1)</f>
        <v/>
      </c>
      <c r="K61" s="347">
        <f>"DIVES"&amp;" - "&amp;A61</f>
        <v/>
      </c>
      <c r="L61" s="347">
        <f>+VLOOKUP(K61,TL[],4,FALSE)</f>
        <v/>
      </c>
    </row>
    <row r="62">
      <c r="A62" s="348" t="inlineStr">
        <is>
          <t>Total</t>
        </is>
      </c>
      <c r="B62" s="348" t="inlineStr">
        <is>
          <t>Table n°2  -  Contrats Maintenance et réparations</t>
        </is>
      </c>
      <c r="C62" s="348" t="n">
        <v>307.05</v>
      </c>
      <c r="D62" s="348" t="inlineStr"/>
      <c r="E62" s="348" t="n">
        <v>307.05</v>
      </c>
      <c r="F62" s="348" t="inlineStr"/>
      <c r="G62" s="220">
        <f>SUM(C62)-SUM(D62)</f>
        <v/>
      </c>
      <c r="H62" s="220">
        <f>SUM(E62)-SUM(F62)</f>
        <v/>
      </c>
      <c r="I62" s="221">
        <f>IF(A62="Total",VLOOKUP(B62,CORRESPONDANCE[#All],2,FALSE),I63)</f>
        <v/>
      </c>
      <c r="J62" s="350">
        <f>LEFT(A62,1)</f>
        <v/>
      </c>
      <c r="K62" s="347">
        <f>"DIVES"&amp;" - "&amp;A62</f>
        <v/>
      </c>
      <c r="L62" s="347">
        <f>+VLOOKUP(K62,TL[],4,FALSE)</f>
        <v/>
      </c>
    </row>
    <row r="63">
      <c r="A63" s="348" t="inlineStr">
        <is>
          <t>61110000</t>
        </is>
      </c>
      <c r="B63" s="348" t="inlineStr">
        <is>
          <t>Sous-traitance comptable</t>
        </is>
      </c>
      <c r="C63" s="348" t="n">
        <v>200</v>
      </c>
      <c r="D63" s="348" t="inlineStr"/>
      <c r="E63" s="348" t="n">
        <v>200</v>
      </c>
      <c r="F63" s="348" t="inlineStr"/>
      <c r="G63" s="220">
        <f>SUM(C63)-SUM(D63)</f>
        <v/>
      </c>
      <c r="H63" s="220">
        <f>SUM(E63)-SUM(F63)</f>
        <v/>
      </c>
      <c r="I63" s="221">
        <f>IF(A63="Total",VLOOKUP(B63,CORRESPONDANCE[#All],2,FALSE),I64)</f>
        <v/>
      </c>
      <c r="J63" s="350">
        <f>LEFT(A63,1)</f>
        <v/>
      </c>
      <c r="K63" s="347">
        <f>"DIVES"&amp;" - "&amp;A63</f>
        <v/>
      </c>
      <c r="L63" s="347">
        <f>+VLOOKUP(K63,TL[],4,FALSE)</f>
        <v/>
      </c>
    </row>
    <row r="64">
      <c r="A64" s="348" t="inlineStr">
        <is>
          <t>61300800</t>
        </is>
      </c>
      <c r="B64" s="348" t="inlineStr">
        <is>
          <t>Location interway</t>
        </is>
      </c>
      <c r="C64" s="348" t="n">
        <v>191.14</v>
      </c>
      <c r="D64" s="348" t="inlineStr"/>
      <c r="E64" s="348" t="n">
        <v>191.14</v>
      </c>
      <c r="F64" s="348" t="inlineStr"/>
      <c r="G64" s="220">
        <f>SUM(C64)-SUM(D64)</f>
        <v/>
      </c>
      <c r="H64" s="220">
        <f>SUM(E64)-SUM(F64)</f>
        <v/>
      </c>
      <c r="I64" s="221">
        <f>IF(A64="Total",VLOOKUP(B64,CORRESPONDANCE[#All],2,FALSE),I65)</f>
        <v/>
      </c>
      <c r="J64" s="350">
        <f>LEFT(A64,1)</f>
        <v/>
      </c>
      <c r="K64" s="347">
        <f>"DIVES"&amp;" - "&amp;A64</f>
        <v/>
      </c>
      <c r="L64" s="347">
        <f>+VLOOKUP(K64,TL[],4,FALSE)</f>
        <v/>
      </c>
    </row>
    <row r="65">
      <c r="A65" s="348" t="inlineStr">
        <is>
          <t>61301000</t>
        </is>
      </c>
      <c r="B65" s="348" t="inlineStr">
        <is>
          <t>location copieur</t>
        </is>
      </c>
      <c r="C65" s="348" t="n">
        <v>131.95</v>
      </c>
      <c r="D65" s="348" t="inlineStr"/>
      <c r="E65" s="348" t="n">
        <v>131.95</v>
      </c>
      <c r="F65" s="348" t="inlineStr"/>
      <c r="G65" s="220">
        <f>SUM(C65)-SUM(D65)</f>
        <v/>
      </c>
      <c r="H65" s="220">
        <f>SUM(E65)-SUM(F65)</f>
        <v/>
      </c>
      <c r="I65" s="221">
        <f>IF(A65="Total",VLOOKUP(B65,CORRESPONDANCE[#All],2,FALSE),I66)</f>
        <v/>
      </c>
      <c r="J65" s="350">
        <f>LEFT(A65,1)</f>
        <v/>
      </c>
      <c r="K65" s="347">
        <f>"DIVES"&amp;" - "&amp;A65</f>
        <v/>
      </c>
      <c r="L65" s="347">
        <f>+VLOOKUP(K65,TL[],4,FALSE)</f>
        <v/>
      </c>
    </row>
    <row r="66">
      <c r="A66" s="348" t="inlineStr">
        <is>
          <t>61321000</t>
        </is>
      </c>
      <c r="B66" s="348" t="inlineStr">
        <is>
          <t>location defibrillateur</t>
        </is>
      </c>
      <c r="C66" s="348" t="n">
        <v>46</v>
      </c>
      <c r="D66" s="348" t="inlineStr"/>
      <c r="E66" s="348" t="n">
        <v>46</v>
      </c>
      <c r="F66" s="348" t="inlineStr"/>
      <c r="G66" s="220">
        <f>SUM(C66)-SUM(D66)</f>
        <v/>
      </c>
      <c r="H66" s="220">
        <f>SUM(E66)-SUM(F66)</f>
        <v/>
      </c>
      <c r="I66" s="221">
        <f>IF(A66="Total",VLOOKUP(B66,CORRESPONDANCE[#All],2,FALSE),I67)</f>
        <v/>
      </c>
      <c r="J66" s="350">
        <f>LEFT(A66,1)</f>
        <v/>
      </c>
      <c r="K66" s="347">
        <f>"DIVES"&amp;" - "&amp;A66</f>
        <v/>
      </c>
      <c r="L66" s="347">
        <f>+VLOOKUP(K66,TL[],4,FALSE)</f>
        <v/>
      </c>
    </row>
    <row r="67">
      <c r="A67" s="348" t="inlineStr">
        <is>
          <t>61520000</t>
        </is>
      </c>
      <c r="B67" s="348" t="inlineStr">
        <is>
          <t>Entretien espaces verts</t>
        </is>
      </c>
      <c r="C67" s="348" t="n">
        <v>144</v>
      </c>
      <c r="D67" s="348" t="inlineStr"/>
      <c r="E67" s="348" t="n">
        <v>144</v>
      </c>
      <c r="F67" s="348" t="inlineStr"/>
      <c r="G67" s="220">
        <f>SUM(C67)-SUM(D67)</f>
        <v/>
      </c>
      <c r="H67" s="220">
        <f>SUM(E67)-SUM(F67)</f>
        <v/>
      </c>
      <c r="I67" s="221">
        <f>IF(A67="Total",VLOOKUP(B67,CORRESPONDANCE[#All],2,FALSE),I68)</f>
        <v/>
      </c>
      <c r="J67" s="350">
        <f>LEFT(A67,1)</f>
        <v/>
      </c>
      <c r="K67" s="347">
        <f>"DIVES"&amp;" - "&amp;A67</f>
        <v/>
      </c>
      <c r="L67" s="347">
        <f>+VLOOKUP(K67,TL[],4,FALSE)</f>
        <v/>
      </c>
    </row>
    <row r="68">
      <c r="A68" s="348" t="inlineStr">
        <is>
          <t>61560000</t>
        </is>
      </c>
      <c r="B68" s="348" t="inlineStr">
        <is>
          <t>Maintenance mc do sire</t>
        </is>
      </c>
      <c r="C68" s="348" t="n">
        <v>475</v>
      </c>
      <c r="D68" s="348" t="inlineStr"/>
      <c r="E68" s="348" t="n">
        <v>475</v>
      </c>
      <c r="F68" s="348" t="inlineStr"/>
      <c r="G68" s="220">
        <f>SUM(C68)-SUM(D68)</f>
        <v/>
      </c>
      <c r="H68" s="220">
        <f>SUM(E68)-SUM(F68)</f>
        <v/>
      </c>
      <c r="I68" s="221">
        <f>IF(A68="Total",VLOOKUP(B68,CORRESPONDANCE[#All],2,FALSE),I69)</f>
        <v/>
      </c>
      <c r="J68" s="350">
        <f>LEFT(A68,1)</f>
        <v/>
      </c>
      <c r="K68" s="347">
        <f>"DIVES"&amp;" - "&amp;A68</f>
        <v/>
      </c>
      <c r="L68" s="347">
        <f>+VLOOKUP(K68,TL[],4,FALSE)</f>
        <v/>
      </c>
    </row>
    <row r="69">
      <c r="A69" s="348" t="inlineStr">
        <is>
          <t>61561000</t>
        </is>
      </c>
      <c r="B69" s="348" t="inlineStr">
        <is>
          <t>Contrat iron mountain</t>
        </is>
      </c>
      <c r="C69" s="348" t="n">
        <v>27.5</v>
      </c>
      <c r="D69" s="348" t="inlineStr"/>
      <c r="E69" s="348" t="n">
        <v>27.5</v>
      </c>
      <c r="F69" s="348" t="inlineStr"/>
      <c r="G69" s="220">
        <f>SUM(C69)-SUM(D69)</f>
        <v/>
      </c>
      <c r="H69" s="220">
        <f>SUM(E69)-SUM(F69)</f>
        <v/>
      </c>
      <c r="I69" s="221">
        <f>IF(A69="Total",VLOOKUP(B69,CORRESPONDANCE[#All],2,FALSE),I70)</f>
        <v/>
      </c>
      <c r="J69" s="350">
        <f>LEFT(A69,1)</f>
        <v/>
      </c>
      <c r="K69" s="347">
        <f>"DIVES"&amp;" - "&amp;A69</f>
        <v/>
      </c>
      <c r="L69" s="347">
        <f>+VLOOKUP(K69,TL[],4,FALSE)</f>
        <v/>
      </c>
    </row>
    <row r="70">
      <c r="A70" s="348" t="inlineStr">
        <is>
          <t>61561100</t>
        </is>
      </c>
      <c r="B70" s="348" t="inlineStr">
        <is>
          <t>Contrat espèces loomis</t>
        </is>
      </c>
      <c r="C70" s="348" t="n">
        <v>249</v>
      </c>
      <c r="D70" s="348" t="inlineStr"/>
      <c r="E70" s="348" t="n">
        <v>249</v>
      </c>
      <c r="F70" s="348" t="inlineStr"/>
      <c r="G70" s="220">
        <f>SUM(C70)-SUM(D70)</f>
        <v/>
      </c>
      <c r="H70" s="220">
        <f>SUM(E70)-SUM(F70)</f>
        <v/>
      </c>
      <c r="I70" s="221">
        <f>IF(A70="Total",VLOOKUP(B70,CORRESPONDANCE[#All],2,FALSE),I71)</f>
        <v/>
      </c>
      <c r="J70" s="350">
        <f>LEFT(A70,1)</f>
        <v/>
      </c>
      <c r="K70" s="347">
        <f>"DIVES"&amp;" - "&amp;A70</f>
        <v/>
      </c>
      <c r="L70" s="347">
        <f>+VLOOKUP(K70,TL[],4,FALSE)</f>
        <v/>
      </c>
    </row>
    <row r="71">
      <c r="A71" s="348" t="inlineStr">
        <is>
          <t>61561200</t>
        </is>
      </c>
      <c r="B71" s="348" t="inlineStr">
        <is>
          <t>Contrat recycl huiles usagees</t>
        </is>
      </c>
      <c r="C71" s="348" t="n">
        <v>119</v>
      </c>
      <c r="D71" s="348" t="inlineStr"/>
      <c r="E71" s="348" t="n">
        <v>119</v>
      </c>
      <c r="F71" s="348" t="inlineStr"/>
      <c r="G71" s="220">
        <f>SUM(C71)-SUM(D71)</f>
        <v/>
      </c>
      <c r="H71" s="220">
        <f>SUM(E71)-SUM(F71)</f>
        <v/>
      </c>
      <c r="I71" s="221">
        <f>IF(A71="Total",VLOOKUP(B71,CORRESPONDANCE[#All],2,FALSE),I72)</f>
        <v/>
      </c>
      <c r="J71" s="350">
        <f>LEFT(A71,1)</f>
        <v/>
      </c>
      <c r="K71" s="347">
        <f>"DIVES"&amp;" - "&amp;A71</f>
        <v/>
      </c>
      <c r="L71" s="347">
        <f>+VLOOKUP(K71,TL[],4,FALSE)</f>
        <v/>
      </c>
    </row>
    <row r="72">
      <c r="A72" s="348" t="inlineStr">
        <is>
          <t>61561300</t>
        </is>
      </c>
      <c r="B72" s="348" t="inlineStr">
        <is>
          <t>Contrat reflex services</t>
        </is>
      </c>
      <c r="C72" s="348" t="n">
        <v>420</v>
      </c>
      <c r="D72" s="348" t="inlineStr"/>
      <c r="E72" s="348" t="n">
        <v>420</v>
      </c>
      <c r="F72" s="348" t="inlineStr"/>
      <c r="G72" s="220">
        <f>SUM(C72)-SUM(D72)</f>
        <v/>
      </c>
      <c r="H72" s="220">
        <f>SUM(E72)-SUM(F72)</f>
        <v/>
      </c>
      <c r="I72" s="221">
        <f>IF(A72="Total",VLOOKUP(B72,CORRESPONDANCE[#All],2,FALSE),I73)</f>
        <v/>
      </c>
      <c r="J72" s="350">
        <f>LEFT(A72,1)</f>
        <v/>
      </c>
      <c r="K72" s="347">
        <f>"DIVES"&amp;" - "&amp;A72</f>
        <v/>
      </c>
      <c r="L72" s="347">
        <f>+VLOOKUP(K72,TL[],4,FALSE)</f>
        <v/>
      </c>
    </row>
    <row r="73">
      <c r="A73" s="348" t="inlineStr">
        <is>
          <t>61561400</t>
        </is>
      </c>
      <c r="B73" s="348" t="inlineStr">
        <is>
          <t>Contrat entretien aire de jeux</t>
        </is>
      </c>
      <c r="C73" s="348" t="n">
        <v>229</v>
      </c>
      <c r="D73" s="348" t="inlineStr"/>
      <c r="E73" s="348" t="n">
        <v>229</v>
      </c>
      <c r="F73" s="348" t="inlineStr"/>
      <c r="G73" s="220">
        <f>SUM(C73)-SUM(D73)</f>
        <v/>
      </c>
      <c r="H73" s="220">
        <f>SUM(E73)-SUM(F73)</f>
        <v/>
      </c>
      <c r="I73" s="221">
        <f>IF(A73="Total",VLOOKUP(B73,CORRESPONDANCE[#All],2,FALSE),I74)</f>
        <v/>
      </c>
      <c r="J73" s="350">
        <f>LEFT(A73,1)</f>
        <v/>
      </c>
      <c r="K73" s="347">
        <f>"DIVES"&amp;" - "&amp;A73</f>
        <v/>
      </c>
      <c r="L73" s="347">
        <f>+VLOOKUP(K73,TL[],4,FALSE)</f>
        <v/>
      </c>
    </row>
    <row r="74">
      <c r="A74" s="348" t="inlineStr">
        <is>
          <t>61561500</t>
        </is>
      </c>
      <c r="B74" s="348" t="inlineStr">
        <is>
          <t>Contrat entretien linge</t>
        </is>
      </c>
      <c r="C74" s="348" t="n">
        <v>42.66</v>
      </c>
      <c r="D74" s="348" t="inlineStr"/>
      <c r="E74" s="348" t="n">
        <v>42.66</v>
      </c>
      <c r="F74" s="348" t="inlineStr"/>
      <c r="G74" s="220">
        <f>SUM(C74)-SUM(D74)</f>
        <v/>
      </c>
      <c r="H74" s="220">
        <f>SUM(E74)-SUM(F74)</f>
        <v/>
      </c>
      <c r="I74" s="221">
        <f>IF(A74="Total",VLOOKUP(B74,CORRESPONDANCE[#All],2,FALSE),I75)</f>
        <v/>
      </c>
      <c r="J74" s="350">
        <f>LEFT(A74,1)</f>
        <v/>
      </c>
      <c r="K74" s="347">
        <f>"DIVES"&amp;" - "&amp;A74</f>
        <v/>
      </c>
      <c r="L74" s="347">
        <f>+VLOOKUP(K74,TL[],4,FALSE)</f>
        <v/>
      </c>
    </row>
    <row r="75">
      <c r="A75" s="348" t="inlineStr">
        <is>
          <t>61561600</t>
        </is>
      </c>
      <c r="B75" s="348" t="inlineStr">
        <is>
          <t>Contrat acrelec</t>
        </is>
      </c>
      <c r="C75" s="348" t="n">
        <v>350</v>
      </c>
      <c r="D75" s="348" t="inlineStr"/>
      <c r="E75" s="348" t="n">
        <v>350</v>
      </c>
      <c r="F75" s="348" t="inlineStr"/>
      <c r="G75" s="220">
        <f>SUM(C75)-SUM(D75)</f>
        <v/>
      </c>
      <c r="H75" s="220">
        <f>SUM(E75)-SUM(F75)</f>
        <v/>
      </c>
      <c r="I75" s="221">
        <f>IF(A75="Total",VLOOKUP(B75,CORRESPONDANCE[#All],2,FALSE),I76)</f>
        <v/>
      </c>
      <c r="J75" s="350">
        <f>LEFT(A75,1)</f>
        <v/>
      </c>
      <c r="K75" s="347">
        <f>"DIVES"&amp;" - "&amp;A75</f>
        <v/>
      </c>
      <c r="L75" s="347">
        <f>+VLOOKUP(K75,TL[],4,FALSE)</f>
        <v/>
      </c>
    </row>
    <row r="76">
      <c r="A76" s="348" t="inlineStr">
        <is>
          <t>61561800</t>
        </is>
      </c>
      <c r="B76" s="348" t="inlineStr">
        <is>
          <t>Contrat wifi</t>
        </is>
      </c>
      <c r="C76" s="348" t="n">
        <v>67.2</v>
      </c>
      <c r="D76" s="348" t="inlineStr"/>
      <c r="E76" s="348" t="n">
        <v>67.2</v>
      </c>
      <c r="F76" s="348" t="inlineStr"/>
      <c r="G76" s="220">
        <f>SUM(C76)-SUM(D76)</f>
        <v/>
      </c>
      <c r="H76" s="220">
        <f>SUM(E76)-SUM(F76)</f>
        <v/>
      </c>
      <c r="I76" s="221">
        <f>IF(A76="Total",VLOOKUP(B76,CORRESPONDANCE[#All],2,FALSE),I77)</f>
        <v/>
      </c>
      <c r="J76" s="350">
        <f>LEFT(A76,1)</f>
        <v/>
      </c>
      <c r="K76" s="347">
        <f>"DIVES"&amp;" - "&amp;A76</f>
        <v/>
      </c>
      <c r="L76" s="347">
        <f>+VLOOKUP(K76,TL[],4,FALSE)</f>
        <v/>
      </c>
    </row>
    <row r="77">
      <c r="A77" s="348" t="inlineStr">
        <is>
          <t>61562100</t>
        </is>
      </c>
      <c r="B77" s="348" t="inlineStr">
        <is>
          <t>Ramassage déchets</t>
        </is>
      </c>
      <c r="C77" s="348" t="n">
        <v>1335</v>
      </c>
      <c r="D77" s="348" t="inlineStr"/>
      <c r="E77" s="348" t="n">
        <v>1335</v>
      </c>
      <c r="F77" s="348" t="inlineStr"/>
      <c r="G77" s="220">
        <f>SUM(C77)-SUM(D77)</f>
        <v/>
      </c>
      <c r="H77" s="220">
        <f>SUM(E77)-SUM(F77)</f>
        <v/>
      </c>
      <c r="I77" s="221">
        <f>IF(A77="Total",VLOOKUP(B77,CORRESPONDANCE[#All],2,FALSE),I78)</f>
        <v/>
      </c>
      <c r="J77" s="350">
        <f>LEFT(A77,1)</f>
        <v/>
      </c>
      <c r="K77" s="347">
        <f>"DIVES"&amp;" - "&amp;A77</f>
        <v/>
      </c>
      <c r="L77" s="347">
        <f>+VLOOKUP(K77,TL[],4,FALSE)</f>
        <v/>
      </c>
    </row>
    <row r="78">
      <c r="A78" s="348" t="inlineStr">
        <is>
          <t>61562200</t>
        </is>
      </c>
      <c r="B78" s="348" t="inlineStr">
        <is>
          <t>Contrat silliker</t>
        </is>
      </c>
      <c r="C78" s="348" t="n">
        <v>200</v>
      </c>
      <c r="D78" s="348" t="inlineStr"/>
      <c r="E78" s="348" t="n">
        <v>200</v>
      </c>
      <c r="F78" s="348" t="inlineStr"/>
      <c r="G78" s="220">
        <f>SUM(C78)-SUM(D78)</f>
        <v/>
      </c>
      <c r="H78" s="220">
        <f>SUM(E78)-SUM(F78)</f>
        <v/>
      </c>
      <c r="I78" s="221">
        <f>IF(A78="Total",VLOOKUP(B78,CORRESPONDANCE[#All],2,FALSE),I79)</f>
        <v/>
      </c>
      <c r="J78" s="350">
        <f>LEFT(A78,1)</f>
        <v/>
      </c>
      <c r="K78" s="347">
        <f>"DIVES"&amp;" - "&amp;A78</f>
        <v/>
      </c>
      <c r="L78" s="347">
        <f>+VLOOKUP(K78,TL[],4,FALSE)</f>
        <v/>
      </c>
    </row>
    <row r="79">
      <c r="A79" s="348" t="inlineStr">
        <is>
          <t>61562300</t>
        </is>
      </c>
      <c r="B79" s="348" t="inlineStr">
        <is>
          <t>Contrat sesam</t>
        </is>
      </c>
      <c r="C79" s="348" t="n">
        <v>668.42</v>
      </c>
      <c r="D79" s="348" t="inlineStr"/>
      <c r="E79" s="348" t="n">
        <v>668.42</v>
      </c>
      <c r="F79" s="348" t="inlineStr"/>
      <c r="G79" s="220">
        <f>SUM(C79)-SUM(D79)</f>
        <v/>
      </c>
      <c r="H79" s="220">
        <f>SUM(E79)-SUM(F79)</f>
        <v/>
      </c>
      <c r="I79" s="221">
        <f>IF(A79="Total",VLOOKUP(B79,CORRESPONDANCE[#All],2,FALSE),I80)</f>
        <v/>
      </c>
      <c r="J79" s="350">
        <f>LEFT(A79,1)</f>
        <v/>
      </c>
      <c r="K79" s="347">
        <f>"DIVES"&amp;" - "&amp;A79</f>
        <v/>
      </c>
      <c r="L79" s="347">
        <f>+VLOOKUP(K79,TL[],4,FALSE)</f>
        <v/>
      </c>
    </row>
    <row r="80">
      <c r="A80" s="348" t="inlineStr">
        <is>
          <t>61563000</t>
        </is>
      </c>
      <c r="B80" s="348" t="inlineStr">
        <is>
          <t>Contrat maintenance coca</t>
        </is>
      </c>
      <c r="C80" s="348" t="n">
        <v>120</v>
      </c>
      <c r="D80" s="348" t="inlineStr"/>
      <c r="E80" s="348" t="n">
        <v>120</v>
      </c>
      <c r="F80" s="348" t="inlineStr"/>
      <c r="G80" s="220">
        <f>SUM(C80)-SUM(D80)</f>
        <v/>
      </c>
      <c r="H80" s="220">
        <f>SUM(E80)-SUM(F80)</f>
        <v/>
      </c>
      <c r="I80" s="221">
        <f>IF(A80="Total",VLOOKUP(B80,CORRESPONDANCE[#All],2,FALSE),I81)</f>
        <v/>
      </c>
      <c r="J80" s="350">
        <f>LEFT(A80,1)</f>
        <v/>
      </c>
      <c r="K80" s="347">
        <f>"DIVES"&amp;" - "&amp;A80</f>
        <v/>
      </c>
      <c r="L80" s="347">
        <f>+VLOOKUP(K80,TL[],4,FALSE)</f>
        <v/>
      </c>
    </row>
    <row r="81">
      <c r="A81" s="348" t="inlineStr">
        <is>
          <t>61563200</t>
        </is>
      </c>
      <c r="B81" s="348" t="inlineStr">
        <is>
          <t>Contrat Interway</t>
        </is>
      </c>
      <c r="C81" s="348" t="n">
        <v>50.12</v>
      </c>
      <c r="D81" s="348" t="inlineStr"/>
      <c r="E81" s="348" t="n">
        <v>50.12</v>
      </c>
      <c r="F81" s="348" t="inlineStr"/>
      <c r="G81" s="220">
        <f>SUM(C81)-SUM(D81)</f>
        <v/>
      </c>
      <c r="H81" s="220">
        <f>SUM(E81)-SUM(F81)</f>
        <v/>
      </c>
      <c r="I81" s="221">
        <f>IF(A81="Total",VLOOKUP(B81,CORRESPONDANCE[#All],2,FALSE),I82)</f>
        <v/>
      </c>
      <c r="J81" s="350">
        <f>LEFT(A81,1)</f>
        <v/>
      </c>
      <c r="K81" s="347">
        <f>"DIVES"&amp;" - "&amp;A81</f>
        <v/>
      </c>
      <c r="L81" s="347">
        <f>+VLOOKUP(K81,TL[],4,FALSE)</f>
        <v/>
      </c>
    </row>
    <row r="82">
      <c r="A82" s="348" t="inlineStr">
        <is>
          <t>61563400</t>
        </is>
      </c>
      <c r="B82" s="348" t="inlineStr">
        <is>
          <t>contrat mood</t>
        </is>
      </c>
      <c r="C82" s="348" t="n">
        <v>19</v>
      </c>
      <c r="D82" s="348" t="inlineStr"/>
      <c r="E82" s="348" t="n">
        <v>19</v>
      </c>
      <c r="F82" s="348" t="inlineStr"/>
      <c r="G82" s="220">
        <f>SUM(C82)-SUM(D82)</f>
        <v/>
      </c>
      <c r="H82" s="220">
        <f>SUM(E82)-SUM(F82)</f>
        <v/>
      </c>
      <c r="I82" s="221">
        <f>IF(A82="Total",VLOOKUP(B82,CORRESPONDANCE[#All],2,FALSE),I83)</f>
        <v/>
      </c>
      <c r="J82" s="350">
        <f>LEFT(A82,1)</f>
        <v/>
      </c>
      <c r="K82" s="347">
        <f>"DIVES"&amp;" - "&amp;A82</f>
        <v/>
      </c>
      <c r="L82" s="347">
        <f>+VLOOKUP(K82,TL[],4,FALSE)</f>
        <v/>
      </c>
    </row>
    <row r="83">
      <c r="A83" s="348" t="inlineStr">
        <is>
          <t>61563500</t>
        </is>
      </c>
      <c r="B83" s="348" t="inlineStr">
        <is>
          <t>contrat jri</t>
        </is>
      </c>
      <c r="C83" s="348" t="n">
        <v>49</v>
      </c>
      <c r="D83" s="348" t="inlineStr"/>
      <c r="E83" s="348" t="n">
        <v>49</v>
      </c>
      <c r="F83" s="348" t="inlineStr"/>
      <c r="G83" s="220">
        <f>SUM(C83)-SUM(D83)</f>
        <v/>
      </c>
      <c r="H83" s="220">
        <f>SUM(E83)-SUM(F83)</f>
        <v/>
      </c>
      <c r="I83" s="221">
        <f>IF(A83="Total",VLOOKUP(B83,CORRESPONDANCE[#All],2,FALSE),I84)</f>
        <v/>
      </c>
      <c r="J83" s="350">
        <f>LEFT(A83,1)</f>
        <v/>
      </c>
      <c r="K83" s="347">
        <f>"DIVES"&amp;" - "&amp;A83</f>
        <v/>
      </c>
      <c r="L83" s="347">
        <f>+VLOOKUP(K83,TL[],4,FALSE)</f>
        <v/>
      </c>
    </row>
    <row r="84">
      <c r="A84" s="348" t="inlineStr">
        <is>
          <t>61563600</t>
        </is>
      </c>
      <c r="B84" s="348" t="inlineStr">
        <is>
          <t>contrat ats</t>
        </is>
      </c>
      <c r="C84" s="348" t="n">
        <v>20</v>
      </c>
      <c r="D84" s="348" t="inlineStr"/>
      <c r="E84" s="348" t="n">
        <v>20</v>
      </c>
      <c r="F84" s="348" t="inlineStr"/>
      <c r="G84" s="220">
        <f>SUM(C84)-SUM(D84)</f>
        <v/>
      </c>
      <c r="H84" s="220">
        <f>SUM(E84)-SUM(F84)</f>
        <v/>
      </c>
      <c r="I84" s="221">
        <f>IF(A84="Total",VLOOKUP(B84,CORRESPONDANCE[#All],2,FALSE),I85)</f>
        <v/>
      </c>
      <c r="J84" s="350">
        <f>LEFT(A84,1)</f>
        <v/>
      </c>
      <c r="K84" s="347">
        <f>"DIVES"&amp;" - "&amp;A84</f>
        <v/>
      </c>
      <c r="L84" s="347">
        <f>+VLOOKUP(K84,TL[],4,FALSE)</f>
        <v/>
      </c>
    </row>
    <row r="85">
      <c r="A85" s="348" t="inlineStr">
        <is>
          <t>61563800</t>
        </is>
      </c>
      <c r="B85" s="348" t="inlineStr">
        <is>
          <t>contrat socotec</t>
        </is>
      </c>
      <c r="C85" s="348" t="n">
        <v>99</v>
      </c>
      <c r="D85" s="348" t="inlineStr"/>
      <c r="E85" s="348" t="n">
        <v>99</v>
      </c>
      <c r="F85" s="348" t="inlineStr"/>
      <c r="G85" s="220">
        <f>SUM(C85)-SUM(D85)</f>
        <v/>
      </c>
      <c r="H85" s="220">
        <f>SUM(E85)-SUM(F85)</f>
        <v/>
      </c>
      <c r="I85" s="221">
        <f>IF(A85="Total",VLOOKUP(B85,CORRESPONDANCE[#All],2,FALSE),I86)</f>
        <v/>
      </c>
      <c r="J85" s="350">
        <f>LEFT(A85,1)</f>
        <v/>
      </c>
      <c r="K85" s="347">
        <f>"DIVES"&amp;" - "&amp;A85</f>
        <v/>
      </c>
      <c r="L85" s="347">
        <f>+VLOOKUP(K85,TL[],4,FALSE)</f>
        <v/>
      </c>
    </row>
    <row r="86">
      <c r="A86" s="348" t="inlineStr">
        <is>
          <t>61564000</t>
        </is>
      </c>
      <c r="B86" s="348" t="inlineStr">
        <is>
          <t>contrat steeple</t>
        </is>
      </c>
      <c r="C86" s="348" t="n">
        <v>73.17</v>
      </c>
      <c r="D86" s="348" t="inlineStr"/>
      <c r="E86" s="348" t="n">
        <v>73.17</v>
      </c>
      <c r="F86" s="348" t="inlineStr"/>
      <c r="G86" s="220">
        <f>SUM(C86)-SUM(D86)</f>
        <v/>
      </c>
      <c r="H86" s="220">
        <f>SUM(E86)-SUM(F86)</f>
        <v/>
      </c>
      <c r="I86" s="221">
        <f>IF(A86="Total",VLOOKUP(B86,CORRESPONDANCE[#All],2,FALSE),I87)</f>
        <v/>
      </c>
      <c r="J86" s="350">
        <f>LEFT(A86,1)</f>
        <v/>
      </c>
      <c r="K86" s="347">
        <f>"DIVES"&amp;" - "&amp;A86</f>
        <v/>
      </c>
      <c r="L86" s="347">
        <f>+VLOOKUP(K86,TL[],4,FALSE)</f>
        <v/>
      </c>
    </row>
    <row r="87">
      <c r="A87" s="348" t="inlineStr">
        <is>
          <t>61564100</t>
        </is>
      </c>
      <c r="B87" s="348" t="inlineStr">
        <is>
          <t>contrat chubb</t>
        </is>
      </c>
      <c r="C87" s="348" t="n">
        <v>84</v>
      </c>
      <c r="D87" s="348" t="inlineStr"/>
      <c r="E87" s="348" t="n">
        <v>84</v>
      </c>
      <c r="F87" s="348" t="inlineStr"/>
      <c r="G87" s="220">
        <f>SUM(C87)-SUM(D87)</f>
        <v/>
      </c>
      <c r="H87" s="220">
        <f>SUM(E87)-SUM(F87)</f>
        <v/>
      </c>
      <c r="I87" s="221">
        <f>IF(A87="Total",VLOOKUP(B87,CORRESPONDANCE[#All],2,FALSE),I88)</f>
        <v/>
      </c>
      <c r="J87" s="350">
        <f>LEFT(A87,1)</f>
        <v/>
      </c>
      <c r="K87" s="347">
        <f>"DIVES"&amp;" - "&amp;A87</f>
        <v/>
      </c>
      <c r="L87" s="347">
        <f>+VLOOKUP(K87,TL[],4,FALSE)</f>
        <v/>
      </c>
    </row>
    <row r="88">
      <c r="A88" s="348" t="inlineStr">
        <is>
          <t>61564200</t>
        </is>
      </c>
      <c r="B88" s="348" t="inlineStr">
        <is>
          <t>contrat applicat suivi perf</t>
        </is>
      </c>
      <c r="C88" s="348" t="n">
        <v>168</v>
      </c>
      <c r="D88" s="348" t="inlineStr"/>
      <c r="E88" s="348" t="n">
        <v>168</v>
      </c>
      <c r="F88" s="348" t="inlineStr"/>
      <c r="G88" s="220">
        <f>SUM(C88)-SUM(D88)</f>
        <v/>
      </c>
      <c r="H88" s="220">
        <f>SUM(E88)-SUM(F88)</f>
        <v/>
      </c>
      <c r="I88" s="221">
        <f>IF(A88="Total",VLOOKUP(B88,CORRESPONDANCE[#All],2,FALSE),I89)</f>
        <v/>
      </c>
      <c r="J88" s="350">
        <f>LEFT(A88,1)</f>
        <v/>
      </c>
      <c r="K88" s="347">
        <f>"DIVES"&amp;" - "&amp;A88</f>
        <v/>
      </c>
      <c r="L88" s="347">
        <f>+VLOOKUP(K88,TL[],4,FALSE)</f>
        <v/>
      </c>
    </row>
    <row r="89">
      <c r="A89" s="348" t="inlineStr">
        <is>
          <t>61564300</t>
        </is>
      </c>
      <c r="B89" s="348" t="inlineStr">
        <is>
          <t>Contrat primobox</t>
        </is>
      </c>
      <c r="C89" s="348" t="n">
        <v>40.26</v>
      </c>
      <c r="D89" s="348" t="inlineStr"/>
      <c r="E89" s="348" t="n">
        <v>40.26</v>
      </c>
      <c r="F89" s="348" t="inlineStr"/>
      <c r="G89" s="220">
        <f>SUM(C89)-SUM(D89)</f>
        <v/>
      </c>
      <c r="H89" s="220">
        <f>SUM(E89)-SUM(F89)</f>
        <v/>
      </c>
      <c r="I89" s="221">
        <f>IF(A89="Total",VLOOKUP(B89,CORRESPONDANCE[#All],2,FALSE),I90)</f>
        <v/>
      </c>
      <c r="J89" s="350">
        <f>LEFT(A89,1)</f>
        <v/>
      </c>
      <c r="K89" s="347">
        <f>"DIVES"&amp;" - "&amp;A89</f>
        <v/>
      </c>
      <c r="L89" s="347">
        <f>+VLOOKUP(K89,TL[],4,FALSE)</f>
        <v/>
      </c>
    </row>
    <row r="90">
      <c r="A90" s="348" t="inlineStr">
        <is>
          <t>62630000</t>
        </is>
      </c>
      <c r="B90" s="348" t="inlineStr">
        <is>
          <t>Connexion TPE</t>
        </is>
      </c>
      <c r="C90" s="348" t="n">
        <v>8.83</v>
      </c>
      <c r="D90" s="348" t="inlineStr"/>
      <c r="E90" s="348" t="n">
        <v>8.83</v>
      </c>
      <c r="F90" s="348" t="inlineStr"/>
      <c r="G90" s="220">
        <f>SUM(C90)-SUM(D90)</f>
        <v/>
      </c>
      <c r="H90" s="220">
        <f>SUM(E90)-SUM(F90)</f>
        <v/>
      </c>
      <c r="I90" s="221">
        <f>IF(A90="Total",VLOOKUP(B90,CORRESPONDANCE[#All],2,FALSE),I91)</f>
        <v/>
      </c>
      <c r="J90" s="350">
        <f>LEFT(A90,1)</f>
        <v/>
      </c>
      <c r="K90" s="347">
        <f>"DIVES"&amp;" - "&amp;A90</f>
        <v/>
      </c>
      <c r="L90" s="347">
        <f>+VLOOKUP(K90,TL[],4,FALSE)</f>
        <v/>
      </c>
    </row>
    <row r="91">
      <c r="A91" s="348" t="inlineStr">
        <is>
          <t>64750000</t>
        </is>
      </c>
      <c r="B91" s="348" t="inlineStr">
        <is>
          <t>Medecine du travail</t>
        </is>
      </c>
      <c r="C91" s="348" t="n">
        <v>514</v>
      </c>
      <c r="D91" s="348" t="inlineStr"/>
      <c r="E91" s="348" t="n">
        <v>514</v>
      </c>
      <c r="F91" s="348" t="inlineStr"/>
      <c r="G91" s="220">
        <f>SUM(C91)-SUM(D91)</f>
        <v/>
      </c>
      <c r="H91" s="220">
        <f>SUM(E91)-SUM(F91)</f>
        <v/>
      </c>
      <c r="I91" s="221">
        <f>IF(A91="Total",VLOOKUP(B91,CORRESPONDANCE[#All],2,FALSE),I92)</f>
        <v/>
      </c>
      <c r="J91" s="350">
        <f>LEFT(A91,1)</f>
        <v/>
      </c>
      <c r="K91" s="347">
        <f>"DIVES"&amp;" - "&amp;A91</f>
        <v/>
      </c>
      <c r="L91" s="347">
        <f>+VLOOKUP(K91,TL[],4,FALSE)</f>
        <v/>
      </c>
    </row>
    <row r="92">
      <c r="A92" s="348" t="inlineStr">
        <is>
          <t>65100300</t>
        </is>
      </c>
      <c r="B92" s="348" t="inlineStr">
        <is>
          <t>Redevance sacem</t>
        </is>
      </c>
      <c r="C92" s="348" t="n">
        <v>84</v>
      </c>
      <c r="D92" s="348" t="inlineStr"/>
      <c r="E92" s="348" t="n">
        <v>84</v>
      </c>
      <c r="F92" s="348" t="inlineStr"/>
      <c r="G92" s="220">
        <f>SUM(C92)-SUM(D92)</f>
        <v/>
      </c>
      <c r="H92" s="220">
        <f>SUM(E92)-SUM(F92)</f>
        <v/>
      </c>
      <c r="I92" s="221">
        <f>IF(A92="Total",VLOOKUP(B92,CORRESPONDANCE[#All],2,FALSE),I93)</f>
        <v/>
      </c>
      <c r="J92" s="350">
        <f>LEFT(A92,1)</f>
        <v/>
      </c>
      <c r="K92" s="347">
        <f>"DIVES"&amp;" - "&amp;A92</f>
        <v/>
      </c>
      <c r="L92" s="347">
        <f>+VLOOKUP(K92,TL[],4,FALSE)</f>
        <v/>
      </c>
    </row>
    <row r="93">
      <c r="A93" s="348" t="inlineStr">
        <is>
          <t>65170000</t>
        </is>
      </c>
      <c r="B93" s="348" t="inlineStr">
        <is>
          <t>Redevance Interway</t>
        </is>
      </c>
      <c r="C93" s="348" t="n">
        <v>289.15</v>
      </c>
      <c r="D93" s="348" t="inlineStr"/>
      <c r="E93" s="348" t="n">
        <v>289.15</v>
      </c>
      <c r="F93" s="348" t="inlineStr"/>
      <c r="G93" s="220">
        <f>SUM(C93)-SUM(D93)</f>
        <v/>
      </c>
      <c r="H93" s="220">
        <f>SUM(E93)-SUM(F93)</f>
        <v/>
      </c>
      <c r="I93" s="221">
        <f>IF(A93="Total",VLOOKUP(B93,CORRESPONDANCE[#All],2,FALSE),I94)</f>
        <v/>
      </c>
      <c r="J93" s="350">
        <f>LEFT(A93,1)</f>
        <v/>
      </c>
      <c r="K93" s="347">
        <f>"DIVES"&amp;" - "&amp;A93</f>
        <v/>
      </c>
      <c r="L93" s="347">
        <f>+VLOOKUP(K93,TL[],4,FALSE)</f>
        <v/>
      </c>
    </row>
    <row r="94">
      <c r="A94" s="348" t="inlineStr">
        <is>
          <t>Total</t>
        </is>
      </c>
      <c r="B94" s="348" t="inlineStr">
        <is>
          <t>Table n°2  -  Autres Services Extérieurs</t>
        </is>
      </c>
      <c r="C94" s="348" t="n">
        <v>6514.4</v>
      </c>
      <c r="D94" s="348" t="inlineStr"/>
      <c r="E94" s="348" t="n">
        <v>6514.4</v>
      </c>
      <c r="F94" s="348" t="inlineStr"/>
      <c r="G94" s="220">
        <f>SUM(C94)-SUM(D94)</f>
        <v/>
      </c>
      <c r="H94" s="220">
        <f>SUM(E94)-SUM(F94)</f>
        <v/>
      </c>
      <c r="I94" s="221">
        <f>IF(A94="Total",VLOOKUP(B94,CORRESPONDANCE[#All],2,FALSE),I95)</f>
        <v/>
      </c>
      <c r="J94" s="350">
        <f>LEFT(A94,1)</f>
        <v/>
      </c>
      <c r="K94" s="347">
        <f>"DIVES"&amp;" - "&amp;A94</f>
        <v/>
      </c>
      <c r="L94" s="347">
        <f>+VLOOKUP(K94,TL[],4,FALSE)</f>
        <v/>
      </c>
    </row>
    <row r="95">
      <c r="A95" s="348" t="inlineStr">
        <is>
          <t>62221000</t>
        </is>
      </c>
      <c r="B95" s="348" t="inlineStr">
        <is>
          <t>commission UBER</t>
        </is>
      </c>
      <c r="C95" s="348" t="n">
        <v>215.56</v>
      </c>
      <c r="D95" s="348" t="inlineStr"/>
      <c r="E95" s="348" t="n">
        <v>215.56</v>
      </c>
      <c r="F95" s="348" t="inlineStr"/>
      <c r="G95" s="220">
        <f>SUM(C95)-SUM(D95)</f>
        <v/>
      </c>
      <c r="H95" s="220">
        <f>SUM(E95)-SUM(F95)</f>
        <v/>
      </c>
      <c r="I95" s="221">
        <f>IF(A95="Total",VLOOKUP(B95,CORRESPONDANCE[#All],2,FALSE),I96)</f>
        <v/>
      </c>
      <c r="J95" s="350">
        <f>LEFT(A95,1)</f>
        <v/>
      </c>
      <c r="K95" s="347">
        <f>"DIVES"&amp;" - "&amp;A95</f>
        <v/>
      </c>
      <c r="L95" s="347">
        <f>+VLOOKUP(K95,TL[],4,FALSE)</f>
        <v/>
      </c>
    </row>
    <row r="96">
      <c r="A96" s="348" t="inlineStr">
        <is>
          <t>Total</t>
        </is>
      </c>
      <c r="B96" s="348" t="inlineStr">
        <is>
          <t>Table n°2  -  Commissions Food Tech</t>
        </is>
      </c>
      <c r="C96" s="348" t="n">
        <v>215.56</v>
      </c>
      <c r="D96" s="348" t="inlineStr"/>
      <c r="E96" s="348" t="n">
        <v>215.56</v>
      </c>
      <c r="F96" s="348" t="inlineStr"/>
      <c r="G96" s="220">
        <f>SUM(C96)-SUM(D96)</f>
        <v/>
      </c>
      <c r="H96" s="220">
        <f>SUM(E96)-SUM(F96)</f>
        <v/>
      </c>
      <c r="I96" s="221">
        <f>IF(A96="Total",VLOOKUP(B96,CORRESPONDANCE[#All],2,FALSE),I97)</f>
        <v/>
      </c>
      <c r="J96" s="350">
        <f>LEFT(A96,1)</f>
        <v/>
      </c>
      <c r="K96" s="347">
        <f>"DIVES"&amp;" - "&amp;A96</f>
        <v/>
      </c>
      <c r="L96" s="347">
        <f>+VLOOKUP(K96,TL[],4,FALSE)</f>
        <v/>
      </c>
    </row>
    <row r="97">
      <c r="A97" s="348" t="inlineStr">
        <is>
          <t>62300000</t>
        </is>
      </c>
      <c r="B97" s="348" t="inlineStr">
        <is>
          <t>Publicite Gie Mc Do</t>
        </is>
      </c>
      <c r="C97" s="348" t="n">
        <v>9708.01</v>
      </c>
      <c r="D97" s="348" t="inlineStr"/>
      <c r="E97" s="348" t="n">
        <v>9708.01</v>
      </c>
      <c r="F97" s="348" t="inlineStr"/>
      <c r="G97" s="220">
        <f>SUM(C97)-SUM(D97)</f>
        <v/>
      </c>
      <c r="H97" s="220">
        <f>SUM(E97)-SUM(F97)</f>
        <v/>
      </c>
      <c r="I97" s="221">
        <f>IF(A97="Total",VLOOKUP(B97,CORRESPONDANCE[#All],2,FALSE),I98)</f>
        <v/>
      </c>
      <c r="J97" s="350">
        <f>LEFT(A97,1)</f>
        <v/>
      </c>
      <c r="K97" s="347">
        <f>"DIVES"&amp;" - "&amp;A97</f>
        <v/>
      </c>
      <c r="L97" s="347">
        <f>+VLOOKUP(K97,TL[],4,FALSE)</f>
        <v/>
      </c>
    </row>
    <row r="98">
      <c r="A98" s="348" t="inlineStr">
        <is>
          <t>Total</t>
        </is>
      </c>
      <c r="B98" s="348" t="inlineStr">
        <is>
          <t>Table n°2  -  Publicité GIE</t>
        </is>
      </c>
      <c r="C98" s="348" t="n">
        <v>9708.01</v>
      </c>
      <c r="D98" s="348" t="inlineStr"/>
      <c r="E98" s="348" t="n">
        <v>9708.01</v>
      </c>
      <c r="F98" s="348" t="inlineStr"/>
      <c r="G98" s="220">
        <f>SUM(C98)-SUM(D98)</f>
        <v/>
      </c>
      <c r="H98" s="220">
        <f>SUM(E98)-SUM(F98)</f>
        <v/>
      </c>
      <c r="I98" s="221">
        <f>IF(A98="Total",VLOOKUP(B98,CORRESPONDANCE[#All],2,FALSE),I99)</f>
        <v/>
      </c>
      <c r="J98" s="350">
        <f>LEFT(A98,1)</f>
        <v/>
      </c>
      <c r="K98" s="347">
        <f>"DIVES"&amp;" - "&amp;A98</f>
        <v/>
      </c>
      <c r="L98" s="347">
        <f>+VLOOKUP(K98,TL[],4,FALSE)</f>
        <v/>
      </c>
    </row>
    <row r="99">
      <c r="A99" s="348" t="inlineStr">
        <is>
          <t>62300200</t>
        </is>
      </c>
      <c r="B99" s="348" t="inlineStr">
        <is>
          <t>Promotion locale</t>
        </is>
      </c>
      <c r="C99" s="348" t="n">
        <v>2700</v>
      </c>
      <c r="D99" s="348" t="inlineStr"/>
      <c r="E99" s="348" t="n">
        <v>2700</v>
      </c>
      <c r="F99" s="348" t="inlineStr"/>
      <c r="G99" s="220">
        <f>SUM(C99)-SUM(D99)</f>
        <v/>
      </c>
      <c r="H99" s="220">
        <f>SUM(E99)-SUM(F99)</f>
        <v/>
      </c>
      <c r="I99" s="221">
        <f>IF(A99="Total",VLOOKUP(B99,CORRESPONDANCE[#All],2,FALSE),I100)</f>
        <v/>
      </c>
      <c r="J99" s="350">
        <f>LEFT(A99,1)</f>
        <v/>
      </c>
      <c r="K99" s="347">
        <f>"DIVES"&amp;" - "&amp;A99</f>
        <v/>
      </c>
      <c r="L99" s="347">
        <f>+VLOOKUP(K99,TL[],4,FALSE)</f>
        <v/>
      </c>
    </row>
    <row r="100">
      <c r="A100" s="348" t="inlineStr">
        <is>
          <t>62340100</t>
        </is>
      </c>
      <c r="B100" s="348" t="inlineStr">
        <is>
          <t>Pub.public.rel.publiques</t>
        </is>
      </c>
      <c r="C100" s="348" t="n">
        <v>1955.73</v>
      </c>
      <c r="D100" s="348" t="inlineStr"/>
      <c r="E100" s="348" t="n">
        <v>1955.73</v>
      </c>
      <c r="F100" s="348" t="inlineStr"/>
      <c r="G100" s="220">
        <f>SUM(C100)-SUM(D100)</f>
        <v/>
      </c>
      <c r="H100" s="220">
        <f>SUM(E100)-SUM(F100)</f>
        <v/>
      </c>
      <c r="I100" s="221">
        <f>IF(A100="Total",VLOOKUP(B100,CORRESPONDANCE[#All],2,FALSE),I101)</f>
        <v/>
      </c>
      <c r="J100" s="350">
        <f>LEFT(A100,1)</f>
        <v/>
      </c>
      <c r="K100" s="347">
        <f>"DIVES"&amp;" - "&amp;A100</f>
        <v/>
      </c>
      <c r="L100" s="347">
        <f>+VLOOKUP(K100,TL[],4,FALSE)</f>
        <v/>
      </c>
    </row>
    <row r="101">
      <c r="A101" s="348" t="inlineStr">
        <is>
          <t>62341500</t>
        </is>
      </c>
      <c r="B101" s="348" t="inlineStr">
        <is>
          <t>Premium</t>
        </is>
      </c>
      <c r="C101" s="348" t="inlineStr"/>
      <c r="D101" s="348" t="n">
        <v>29.36</v>
      </c>
      <c r="E101" s="348" t="inlineStr"/>
      <c r="F101" s="348" t="n">
        <v>29.36</v>
      </c>
      <c r="G101" s="220">
        <f>SUM(C101)-SUM(D101)</f>
        <v/>
      </c>
      <c r="H101" s="220">
        <f>SUM(E101)-SUM(F101)</f>
        <v/>
      </c>
      <c r="I101" s="221">
        <f>IF(A101="Total",VLOOKUP(B101,CORRESPONDANCE[#All],2,FALSE),I102)</f>
        <v/>
      </c>
      <c r="J101" s="350">
        <f>LEFT(A101,1)</f>
        <v/>
      </c>
      <c r="K101" s="347">
        <f>"DIVES"&amp;" - "&amp;A101</f>
        <v/>
      </c>
      <c r="L101" s="347">
        <f>+VLOOKUP(K101,TL[],4,FALSE)</f>
        <v/>
      </c>
    </row>
    <row r="102">
      <c r="A102" s="348" t="inlineStr">
        <is>
          <t>Total</t>
        </is>
      </c>
      <c r="B102" s="348" t="inlineStr">
        <is>
          <t>Table n°2  -  Promotion locale</t>
        </is>
      </c>
      <c r="C102" s="348" t="n">
        <v>4626.37</v>
      </c>
      <c r="D102" s="348" t="inlineStr"/>
      <c r="E102" s="348" t="n">
        <v>4626.37</v>
      </c>
      <c r="F102" s="348" t="inlineStr"/>
      <c r="G102" s="220">
        <f>SUM(C102)-SUM(D102)</f>
        <v/>
      </c>
      <c r="H102" s="220">
        <f>SUM(E102)-SUM(F102)</f>
        <v/>
      </c>
      <c r="I102" s="221">
        <f>IF(A102="Total",VLOOKUP(B102,CORRESPONDANCE[#All],2,FALSE),I103)</f>
        <v/>
      </c>
      <c r="J102" s="350">
        <f>LEFT(A102,1)</f>
        <v/>
      </c>
      <c r="K102" s="347">
        <f>"DIVES"&amp;" - "&amp;A102</f>
        <v/>
      </c>
      <c r="L102" s="347">
        <f>+VLOOKUP(K102,TL[],4,FALSE)</f>
        <v/>
      </c>
    </row>
    <row r="103">
      <c r="A103" s="348" t="inlineStr">
        <is>
          <t>60610100</t>
        </is>
      </c>
      <c r="B103" s="348" t="inlineStr">
        <is>
          <t>Eau restaurant</t>
        </is>
      </c>
      <c r="C103" s="348" t="n">
        <v>559</v>
      </c>
      <c r="D103" s="348" t="inlineStr"/>
      <c r="E103" s="348" t="n">
        <v>559</v>
      </c>
      <c r="F103" s="348" t="inlineStr"/>
      <c r="G103" s="220">
        <f>SUM(C103)-SUM(D103)</f>
        <v/>
      </c>
      <c r="H103" s="220">
        <f>SUM(E103)-SUM(F103)</f>
        <v/>
      </c>
      <c r="I103" s="221">
        <f>IF(A103="Total",VLOOKUP(B103,CORRESPONDANCE[#All],2,FALSE),I104)</f>
        <v/>
      </c>
      <c r="J103" s="350">
        <f>LEFT(A103,1)</f>
        <v/>
      </c>
      <c r="K103" s="347">
        <f>"DIVES"&amp;" - "&amp;A103</f>
        <v/>
      </c>
      <c r="L103" s="347">
        <f>+VLOOKUP(K103,TL[],4,FALSE)</f>
        <v/>
      </c>
    </row>
    <row r="104">
      <c r="A104" s="348" t="inlineStr">
        <is>
          <t>60610300</t>
        </is>
      </c>
      <c r="B104" s="348" t="inlineStr">
        <is>
          <t>Electricite restaurant</t>
        </is>
      </c>
      <c r="C104" s="348" t="n">
        <v>7353.25</v>
      </c>
      <c r="D104" s="348" t="inlineStr"/>
      <c r="E104" s="348" t="n">
        <v>7353.25</v>
      </c>
      <c r="F104" s="348" t="inlineStr"/>
      <c r="G104" s="220">
        <f>SUM(C104)-SUM(D104)</f>
        <v/>
      </c>
      <c r="H104" s="220">
        <f>SUM(E104)-SUM(F104)</f>
        <v/>
      </c>
      <c r="I104" s="221">
        <f>IF(A104="Total",VLOOKUP(B104,CORRESPONDANCE[#All],2,FALSE),I105)</f>
        <v/>
      </c>
      <c r="J104" s="350">
        <f>LEFT(A104,1)</f>
        <v/>
      </c>
      <c r="K104" s="347">
        <f>"DIVES"&amp;" - "&amp;A104</f>
        <v/>
      </c>
      <c r="L104" s="347">
        <f>+VLOOKUP(K104,TL[],4,FALSE)</f>
        <v/>
      </c>
    </row>
    <row r="105">
      <c r="A105" s="348" t="inlineStr">
        <is>
          <t>60610500</t>
        </is>
      </c>
      <c r="B105" s="348" t="inlineStr">
        <is>
          <t>Achats gaz</t>
        </is>
      </c>
      <c r="C105" s="348" t="n">
        <v>510</v>
      </c>
      <c r="D105" s="348" t="inlineStr"/>
      <c r="E105" s="348" t="n">
        <v>510</v>
      </c>
      <c r="F105" s="348" t="inlineStr"/>
      <c r="G105" s="220">
        <f>SUM(C105)-SUM(D105)</f>
        <v/>
      </c>
      <c r="H105" s="220">
        <f>SUM(E105)-SUM(F105)</f>
        <v/>
      </c>
      <c r="I105" s="221">
        <f>IF(A105="Total",VLOOKUP(B105,CORRESPONDANCE[#All],2,FALSE),I106)</f>
        <v/>
      </c>
      <c r="J105" s="350">
        <f>LEFT(A105,1)</f>
        <v/>
      </c>
      <c r="K105" s="347">
        <f>"DIVES"&amp;" - "&amp;A105</f>
        <v/>
      </c>
      <c r="L105" s="347">
        <f>+VLOOKUP(K105,TL[],4,FALSE)</f>
        <v/>
      </c>
    </row>
    <row r="106">
      <c r="A106" s="348" t="inlineStr">
        <is>
          <t>62620000</t>
        </is>
      </c>
      <c r="B106" s="348" t="inlineStr">
        <is>
          <t>Frais téléphone</t>
        </is>
      </c>
      <c r="C106" s="348" t="n">
        <v>112.65</v>
      </c>
      <c r="D106" s="348" t="inlineStr"/>
      <c r="E106" s="348" t="n">
        <v>112.65</v>
      </c>
      <c r="F106" s="348" t="inlineStr"/>
      <c r="G106" s="220">
        <f>SUM(C106)-SUM(D106)</f>
        <v/>
      </c>
      <c r="H106" s="220">
        <f>SUM(E106)-SUM(F106)</f>
        <v/>
      </c>
      <c r="I106" s="221">
        <f>IF(A106="Total",VLOOKUP(B106,CORRESPONDANCE[#All],2,FALSE),I107)</f>
        <v/>
      </c>
      <c r="J106" s="350">
        <f>LEFT(A106,1)</f>
        <v/>
      </c>
      <c r="K106" s="347">
        <f>"DIVES"&amp;" - "&amp;A106</f>
        <v/>
      </c>
      <c r="L106" s="347">
        <f>+VLOOKUP(K106,TL[],4,FALSE)</f>
        <v/>
      </c>
    </row>
    <row r="107">
      <c r="A107" s="348" t="inlineStr">
        <is>
          <t>Total</t>
        </is>
      </c>
      <c r="B107" s="348" t="inlineStr">
        <is>
          <t>Table n°2  -  Electricité, eau, gaz, téléphone</t>
        </is>
      </c>
      <c r="C107" s="348" t="n">
        <v>8534.9</v>
      </c>
      <c r="D107" s="348" t="inlineStr"/>
      <c r="E107" s="348" t="n">
        <v>8534.9</v>
      </c>
      <c r="F107" s="348" t="inlineStr"/>
      <c r="G107" s="220">
        <f>SUM(C107)-SUM(D107)</f>
        <v/>
      </c>
      <c r="H107" s="220">
        <f>SUM(E107)-SUM(F107)</f>
        <v/>
      </c>
      <c r="I107" s="221">
        <f>IF(A107="Total",VLOOKUP(B107,CORRESPONDANCE[#All],2,FALSE),I108)</f>
        <v/>
      </c>
      <c r="J107" s="350">
        <f>LEFT(A107,1)</f>
        <v/>
      </c>
      <c r="K107" s="347">
        <f>"DIVES"&amp;" - "&amp;A107</f>
        <v/>
      </c>
      <c r="L107" s="347">
        <f>+VLOOKUP(K107,TL[],4,FALSE)</f>
        <v/>
      </c>
    </row>
    <row r="108">
      <c r="A108" s="348" t="inlineStr">
        <is>
          <t>60630200</t>
        </is>
      </c>
      <c r="B108" s="348" t="inlineStr">
        <is>
          <t>Fourn exploit° et pdts entretien</t>
        </is>
      </c>
      <c r="C108" s="348" t="n">
        <v>595</v>
      </c>
      <c r="D108" s="348" t="inlineStr"/>
      <c r="E108" s="348" t="n">
        <v>595</v>
      </c>
      <c r="F108" s="348" t="inlineStr"/>
      <c r="G108" s="220">
        <f>SUM(C108)-SUM(D108)</f>
        <v/>
      </c>
      <c r="H108" s="220">
        <f>SUM(E108)-SUM(F108)</f>
        <v/>
      </c>
      <c r="I108" s="221">
        <f>IF(A108="Total",VLOOKUP(B108,CORRESPONDANCE[#All],2,FALSE),I109)</f>
        <v/>
      </c>
      <c r="J108" s="350">
        <f>LEFT(A108,1)</f>
        <v/>
      </c>
      <c r="K108" s="347">
        <f>"DIVES"&amp;" - "&amp;A108</f>
        <v/>
      </c>
      <c r="L108" s="347">
        <f>+VLOOKUP(K108,TL[],4,FALSE)</f>
        <v/>
      </c>
    </row>
    <row r="109">
      <c r="A109" s="348" t="inlineStr">
        <is>
          <t>60640100</t>
        </is>
      </c>
      <c r="B109" s="348" t="inlineStr">
        <is>
          <t>Fourn.bureau restaurant</t>
        </is>
      </c>
      <c r="C109" s="348" t="n">
        <v>38.1</v>
      </c>
      <c r="D109" s="348" t="inlineStr"/>
      <c r="E109" s="348" t="n">
        <v>38.1</v>
      </c>
      <c r="F109" s="348" t="inlineStr"/>
      <c r="G109" s="220">
        <f>SUM(C109)-SUM(D109)</f>
        <v/>
      </c>
      <c r="H109" s="220">
        <f>SUM(E109)-SUM(F109)</f>
        <v/>
      </c>
      <c r="I109" s="221">
        <f>IF(A109="Total",VLOOKUP(B109,CORRESPONDANCE[#All],2,FALSE),I110)</f>
        <v/>
      </c>
      <c r="J109" s="350">
        <f>LEFT(A109,1)</f>
        <v/>
      </c>
      <c r="K109" s="347">
        <f>"DIVES"&amp;" - "&amp;A109</f>
        <v/>
      </c>
      <c r="L109" s="347">
        <f>+VLOOKUP(K109,TL[],4,FALSE)</f>
        <v/>
      </c>
    </row>
    <row r="110">
      <c r="A110" s="348" t="inlineStr">
        <is>
          <t>Total</t>
        </is>
      </c>
      <c r="B110" s="348" t="inlineStr">
        <is>
          <t>Table n°2  -  Fournitures exploitation et bureau</t>
        </is>
      </c>
      <c r="C110" s="348" t="n">
        <v>633.1</v>
      </c>
      <c r="D110" s="348" t="inlineStr"/>
      <c r="E110" s="348" t="n">
        <v>633.1</v>
      </c>
      <c r="F110" s="348" t="inlineStr"/>
      <c r="G110" s="220">
        <f>SUM(C110)-SUM(D110)</f>
        <v/>
      </c>
      <c r="H110" s="220">
        <f>SUM(E110)-SUM(F110)</f>
        <v/>
      </c>
      <c r="I110" s="221">
        <f>IF(A110="Total",VLOOKUP(B110,CORRESPONDANCE[#All],2,FALSE),I111)</f>
        <v/>
      </c>
      <c r="J110" s="350">
        <f>LEFT(A110,1)</f>
        <v/>
      </c>
      <c r="K110" s="347">
        <f>"DIVES"&amp;" - "&amp;A110</f>
        <v/>
      </c>
      <c r="L110" s="347">
        <f>+VLOOKUP(K110,TL[],4,FALSE)</f>
        <v/>
      </c>
    </row>
    <row r="111">
      <c r="A111" s="348" t="inlineStr">
        <is>
          <t>62570100</t>
        </is>
      </c>
      <c r="B111" s="348" t="inlineStr">
        <is>
          <t>Recept° equipier et mgr</t>
        </is>
      </c>
      <c r="C111" s="348" t="n">
        <v>290</v>
      </c>
      <c r="D111" s="348" t="inlineStr"/>
      <c r="E111" s="348" t="n">
        <v>290</v>
      </c>
      <c r="F111" s="348" t="inlineStr"/>
      <c r="G111" s="220">
        <f>SUM(C111)-SUM(D111)</f>
        <v/>
      </c>
      <c r="H111" s="220">
        <f>SUM(E111)-SUM(F111)</f>
        <v/>
      </c>
      <c r="I111" s="221">
        <f>IF(A111="Total",VLOOKUP(B111,CORRESPONDANCE[#All],2,FALSE),I112)</f>
        <v/>
      </c>
      <c r="J111" s="350">
        <f>LEFT(A111,1)</f>
        <v/>
      </c>
      <c r="K111" s="347">
        <f>"DIVES"&amp;" - "&amp;A111</f>
        <v/>
      </c>
      <c r="L111" s="347">
        <f>+VLOOKUP(K111,TL[],4,FALSE)</f>
        <v/>
      </c>
    </row>
    <row r="112">
      <c r="A112" s="348" t="inlineStr">
        <is>
          <t>62802300</t>
        </is>
      </c>
      <c r="B112" s="348" t="inlineStr">
        <is>
          <t>DIVERS</t>
        </is>
      </c>
      <c r="C112" s="348" t="n">
        <v>286</v>
      </c>
      <c r="D112" s="348" t="inlineStr"/>
      <c r="E112" s="348" t="n">
        <v>286</v>
      </c>
      <c r="F112" s="348" t="inlineStr"/>
      <c r="G112" s="220">
        <f>SUM(C112)-SUM(D112)</f>
        <v/>
      </c>
      <c r="H112" s="220">
        <f>SUM(E112)-SUM(F112)</f>
        <v/>
      </c>
      <c r="I112" s="221">
        <f>IF(A112="Total",VLOOKUP(B112,CORRESPONDANCE[#All],2,FALSE),I113)</f>
        <v/>
      </c>
      <c r="J112" s="350">
        <f>LEFT(A112,1)</f>
        <v/>
      </c>
      <c r="K112" s="347">
        <f>"DIVES"&amp;" - "&amp;A112</f>
        <v/>
      </c>
      <c r="L112" s="347">
        <f>+VLOOKUP(K112,TL[],4,FALSE)</f>
        <v/>
      </c>
    </row>
    <row r="113">
      <c r="A113" s="348" t="inlineStr">
        <is>
          <t>67110000</t>
        </is>
      </c>
      <c r="B113" s="348" t="inlineStr">
        <is>
          <t>Ecarts caisse</t>
        </is>
      </c>
      <c r="C113" s="348" t="n">
        <v>59.68</v>
      </c>
      <c r="D113" s="348" t="inlineStr"/>
      <c r="E113" s="348" t="n">
        <v>59.68</v>
      </c>
      <c r="F113" s="348" t="inlineStr"/>
      <c r="G113" s="220">
        <f>SUM(C113)-SUM(D113)</f>
        <v/>
      </c>
      <c r="H113" s="220">
        <f>SUM(E113)-SUM(F113)</f>
        <v/>
      </c>
      <c r="I113" s="221">
        <f>IF(A113="Total",VLOOKUP(B113,CORRESPONDANCE[#All],2,FALSE),I114)</f>
        <v/>
      </c>
      <c r="J113" s="350">
        <f>LEFT(A113,1)</f>
        <v/>
      </c>
      <c r="K113" s="347">
        <f>"DIVES"&amp;" - "&amp;A113</f>
        <v/>
      </c>
      <c r="L113" s="347">
        <f>+VLOOKUP(K113,TL[],4,FALSE)</f>
        <v/>
      </c>
    </row>
    <row r="114">
      <c r="A114" s="348" t="inlineStr">
        <is>
          <t>77110000</t>
        </is>
      </c>
      <c r="B114" s="348" t="inlineStr">
        <is>
          <t>Ecarts caisse</t>
        </is>
      </c>
      <c r="C114" s="348" t="inlineStr"/>
      <c r="D114" s="348" t="n">
        <v>55.49</v>
      </c>
      <c r="E114" s="348" t="inlineStr"/>
      <c r="F114" s="348" t="n">
        <v>55.49</v>
      </c>
      <c r="G114" s="220">
        <f>SUM(C114)-SUM(D114)</f>
        <v/>
      </c>
      <c r="H114" s="220">
        <f>SUM(E114)-SUM(F114)</f>
        <v/>
      </c>
      <c r="I114" s="221">
        <f>IF(A114="Total",VLOOKUP(B114,CORRESPONDANCE[#All],2,FALSE),I115)</f>
        <v/>
      </c>
      <c r="J114" s="350">
        <f>LEFT(A114,1)</f>
        <v/>
      </c>
      <c r="K114" s="347">
        <f>"DIVES"&amp;" - "&amp;A114</f>
        <v/>
      </c>
      <c r="L114" s="347">
        <f>+VLOOKUP(K114,TL[],4,FALSE)</f>
        <v/>
      </c>
    </row>
    <row r="115">
      <c r="A115" s="348" t="inlineStr">
        <is>
          <t>Total</t>
        </is>
      </c>
      <c r="B115" s="348" t="inlineStr">
        <is>
          <t>Table n°2  -  Divers</t>
        </is>
      </c>
      <c r="C115" s="348" t="n">
        <v>580.1900000000001</v>
      </c>
      <c r="D115" s="348" t="inlineStr"/>
      <c r="E115" s="348" t="n">
        <v>580.1900000000001</v>
      </c>
      <c r="F115" s="348" t="inlineStr"/>
      <c r="G115" s="220">
        <f>SUM(C115)-SUM(D115)</f>
        <v/>
      </c>
      <c r="H115" s="220">
        <f>SUM(E115)-SUM(F115)</f>
        <v/>
      </c>
      <c r="I115" s="221">
        <f>IF(A115="Total",VLOOKUP(B115,CORRESPONDANCE[#All],2,FALSE),I116)</f>
        <v/>
      </c>
      <c r="J115" s="350">
        <f>LEFT(A115,1)</f>
        <v/>
      </c>
      <c r="K115" s="347">
        <f>"DIVES"&amp;" - "&amp;A115</f>
        <v/>
      </c>
      <c r="L115" s="347">
        <f>+VLOOKUP(K115,TL[],4,FALSE)</f>
        <v/>
      </c>
    </row>
    <row r="116">
      <c r="A116" s="348" t="inlineStr">
        <is>
          <t>61320000</t>
        </is>
      </c>
      <c r="B116" s="348" t="inlineStr">
        <is>
          <t>Redevance standard 13 %</t>
        </is>
      </c>
      <c r="C116" s="348" t="n">
        <v>31894.48</v>
      </c>
      <c r="D116" s="348" t="inlineStr"/>
      <c r="E116" s="348" t="n">
        <v>31894.48</v>
      </c>
      <c r="F116" s="348" t="inlineStr"/>
      <c r="G116" s="220">
        <f>SUM(C116)-SUM(D116)</f>
        <v/>
      </c>
      <c r="H116" s="220">
        <f>SUM(E116)-SUM(F116)</f>
        <v/>
      </c>
      <c r="I116" s="221">
        <f>IF(A116="Total",VLOOKUP(B116,CORRESPONDANCE[#All],2,FALSE),I117)</f>
        <v/>
      </c>
      <c r="J116" s="350">
        <f>LEFT(A116,1)</f>
        <v/>
      </c>
      <c r="K116" s="347">
        <f>"DIVES"&amp;" - "&amp;A116</f>
        <v/>
      </c>
      <c r="L116" s="347">
        <f>+VLOOKUP(K116,TL[],4,FALSE)</f>
        <v/>
      </c>
    </row>
    <row r="117">
      <c r="A117" s="348" t="inlineStr">
        <is>
          <t>Total</t>
        </is>
      </c>
      <c r="B117" s="348" t="inlineStr">
        <is>
          <t>Table n°2  -  Redevance standard</t>
        </is>
      </c>
      <c r="C117" s="348" t="n">
        <v>31894.48</v>
      </c>
      <c r="D117" s="348" t="inlineStr"/>
      <c r="E117" s="348" t="n">
        <v>31894.48</v>
      </c>
      <c r="F117" s="348" t="inlineStr"/>
      <c r="G117" s="220">
        <f>SUM(C117)-SUM(D117)</f>
        <v/>
      </c>
      <c r="H117" s="220">
        <f>SUM(E117)-SUM(F117)</f>
        <v/>
      </c>
      <c r="I117" s="221">
        <f>IF(A117="Total",VLOOKUP(B117,CORRESPONDANCE[#All],2,FALSE),I118)</f>
        <v/>
      </c>
      <c r="J117" s="350">
        <f>LEFT(A117,1)</f>
        <v/>
      </c>
      <c r="K117" s="347">
        <f>"DIVES"&amp;" - "&amp;A117</f>
        <v/>
      </c>
      <c r="L117" s="347">
        <f>+VLOOKUP(K117,TL[],4,FALSE)</f>
        <v/>
      </c>
    </row>
    <row r="118">
      <c r="A118" s="348" t="inlineStr">
        <is>
          <t>65120000</t>
        </is>
      </c>
      <c r="B118" s="348" t="inlineStr">
        <is>
          <t>Avoir HM 13 %</t>
        </is>
      </c>
      <c r="C118" s="348" t="inlineStr"/>
      <c r="D118" s="348" t="n">
        <v>343.57</v>
      </c>
      <c r="E118" s="348" t="inlineStr"/>
      <c r="F118" s="348" t="n">
        <v>343.57</v>
      </c>
      <c r="G118" s="220">
        <f>SUM(C118)-SUM(D118)</f>
        <v/>
      </c>
      <c r="H118" s="220">
        <f>SUM(E118)-SUM(F118)</f>
        <v/>
      </c>
      <c r="I118" s="221">
        <f>IF(A118="Total",VLOOKUP(B118,CORRESPONDANCE[#All],2,FALSE),I119)</f>
        <v/>
      </c>
      <c r="J118" s="350">
        <f>LEFT(A118,1)</f>
        <v/>
      </c>
      <c r="K118" s="347">
        <f>"DIVES"&amp;" - "&amp;A118</f>
        <v/>
      </c>
      <c r="L118" s="347">
        <f>+VLOOKUP(K118,TL[],4,FALSE)</f>
        <v/>
      </c>
    </row>
    <row r="119">
      <c r="A119" s="348" t="inlineStr">
        <is>
          <t>65121000</t>
        </is>
      </c>
      <c r="B119" s="348" t="inlineStr">
        <is>
          <t>Avoir HM 5%</t>
        </is>
      </c>
      <c r="C119" s="348" t="inlineStr"/>
      <c r="D119" s="348" t="n">
        <v>131.53</v>
      </c>
      <c r="E119" s="348" t="inlineStr"/>
      <c r="F119" s="348" t="n">
        <v>131.53</v>
      </c>
      <c r="G119" s="220">
        <f>SUM(C119)-SUM(D119)</f>
        <v/>
      </c>
      <c r="H119" s="220">
        <f>SUM(E119)-SUM(F119)</f>
        <v/>
      </c>
      <c r="I119" s="221">
        <f>IF(A119="Total",VLOOKUP(B119,CORRESPONDANCE[#All],2,FALSE),I120)</f>
        <v/>
      </c>
      <c r="J119" s="350">
        <f>LEFT(A119,1)</f>
        <v/>
      </c>
      <c r="K119" s="347">
        <f>"DIVES"&amp;" - "&amp;A119</f>
        <v/>
      </c>
      <c r="L119" s="347">
        <f>+VLOOKUP(K119,TL[],4,FALSE)</f>
        <v/>
      </c>
    </row>
    <row r="120">
      <c r="A120" s="348" t="inlineStr">
        <is>
          <t>Total</t>
        </is>
      </c>
      <c r="B120" s="348" t="inlineStr">
        <is>
          <t>Table n°2  -  Incentives et Avoirs de redevance</t>
        </is>
      </c>
      <c r="C120" s="348" t="inlineStr"/>
      <c r="D120" s="348" t="n">
        <v>475.1</v>
      </c>
      <c r="E120" s="348" t="inlineStr"/>
      <c r="F120" s="348" t="n">
        <v>475.1</v>
      </c>
      <c r="G120" s="220">
        <f>SUM(C120)-SUM(D120)</f>
        <v/>
      </c>
      <c r="H120" s="220">
        <f>SUM(E120)-SUM(F120)</f>
        <v/>
      </c>
      <c r="I120" s="221">
        <f>IF(A120="Total",VLOOKUP(B120,CORRESPONDANCE[#All],2,FALSE),I121)</f>
        <v/>
      </c>
      <c r="J120" s="350">
        <f>LEFT(A120,1)</f>
        <v/>
      </c>
      <c r="K120" s="347">
        <f>"DIVES"&amp;" - "&amp;A120</f>
        <v/>
      </c>
      <c r="L120" s="347">
        <f>+VLOOKUP(K120,TL[],4,FALSE)</f>
        <v/>
      </c>
    </row>
    <row r="121">
      <c r="A121" s="348" t="inlineStr">
        <is>
          <t>61410000</t>
        </is>
      </c>
      <c r="B121" s="348" t="inlineStr">
        <is>
          <t>Charges loc mc do france</t>
        </is>
      </c>
      <c r="C121" s="348" t="n">
        <v>520</v>
      </c>
      <c r="D121" s="348" t="inlineStr"/>
      <c r="E121" s="348" t="n">
        <v>520</v>
      </c>
      <c r="F121" s="348" t="inlineStr"/>
      <c r="G121" s="220">
        <f>SUM(C121)-SUM(D121)</f>
        <v/>
      </c>
      <c r="H121" s="220">
        <f>SUM(E121)-SUM(F121)</f>
        <v/>
      </c>
      <c r="I121" s="221">
        <f>IF(A121="Total",VLOOKUP(B121,CORRESPONDANCE[#All],2,FALSE),I122)</f>
        <v/>
      </c>
      <c r="J121" s="350">
        <f>LEFT(A121,1)</f>
        <v/>
      </c>
      <c r="K121" s="347">
        <f>"DIVES"&amp;" - "&amp;A121</f>
        <v/>
      </c>
      <c r="L121" s="347">
        <f>+VLOOKUP(K121,TL[],4,FALSE)</f>
        <v/>
      </c>
    </row>
    <row r="122">
      <c r="A122" s="348" t="inlineStr">
        <is>
          <t>Total</t>
        </is>
      </c>
      <c r="B122" s="348" t="inlineStr">
        <is>
          <t>Table n°2  -  Charges locatives et copro</t>
        </is>
      </c>
      <c r="C122" s="348" t="n">
        <v>520</v>
      </c>
      <c r="D122" s="348" t="inlineStr"/>
      <c r="E122" s="348" t="n">
        <v>520</v>
      </c>
      <c r="F122" s="348" t="inlineStr"/>
      <c r="G122" s="220">
        <f>SUM(C122)-SUM(D122)</f>
        <v/>
      </c>
      <c r="H122" s="220">
        <f>SUM(E122)-SUM(F122)</f>
        <v/>
      </c>
      <c r="I122" s="221">
        <f>IF(A122="Total",VLOOKUP(B122,CORRESPONDANCE[#All],2,FALSE),I123)</f>
        <v/>
      </c>
      <c r="J122" s="350">
        <f>LEFT(A122,1)</f>
        <v/>
      </c>
      <c r="K122" s="347">
        <f>"DIVES"&amp;" - "&amp;A122</f>
        <v/>
      </c>
      <c r="L122" s="347">
        <f>+VLOOKUP(K122,TL[],4,FALSE)</f>
        <v/>
      </c>
    </row>
    <row r="123">
      <c r="A123" s="348" t="inlineStr">
        <is>
          <t>65100100</t>
        </is>
      </c>
      <c r="B123" s="348" t="inlineStr">
        <is>
          <t>Redevance service 5%</t>
        </is>
      </c>
      <c r="C123" s="348" t="n">
        <v>12266.49</v>
      </c>
      <c r="D123" s="348" t="inlineStr"/>
      <c r="E123" s="348" t="n">
        <v>12266.49</v>
      </c>
      <c r="F123" s="348" t="inlineStr"/>
      <c r="G123" s="220">
        <f>SUM(C123)-SUM(D123)</f>
        <v/>
      </c>
      <c r="H123" s="220">
        <f>SUM(E123)-SUM(F123)</f>
        <v/>
      </c>
      <c r="I123" s="221">
        <f>IF(A123="Total",VLOOKUP(B123,CORRESPONDANCE[#All],2,FALSE),I124)</f>
        <v/>
      </c>
      <c r="J123" s="350">
        <f>LEFT(A123,1)</f>
        <v/>
      </c>
      <c r="K123" s="347">
        <f>"DIVES"&amp;" - "&amp;A123</f>
        <v/>
      </c>
      <c r="L123" s="347">
        <f>+VLOOKUP(K123,TL[],4,FALSE)</f>
        <v/>
      </c>
    </row>
    <row r="124">
      <c r="A124" s="348" t="inlineStr">
        <is>
          <t>Total</t>
        </is>
      </c>
      <c r="B124" s="348" t="inlineStr">
        <is>
          <t>Table n°2  -  Redevance service 5%</t>
        </is>
      </c>
      <c r="C124" s="348" t="n">
        <v>12266.49</v>
      </c>
      <c r="D124" s="348" t="inlineStr"/>
      <c r="E124" s="348" t="n">
        <v>12266.49</v>
      </c>
      <c r="F124" s="348" t="inlineStr"/>
      <c r="G124" s="220">
        <f>SUM(C124)-SUM(D124)</f>
        <v/>
      </c>
      <c r="H124" s="220">
        <f>SUM(E124)-SUM(F124)</f>
        <v/>
      </c>
      <c r="I124" s="221">
        <f>IF(A124="Total",VLOOKUP(B124,CORRESPONDANCE[#All],2,FALSE),I125)</f>
        <v/>
      </c>
      <c r="J124" s="350">
        <f>LEFT(A124,1)</f>
        <v/>
      </c>
      <c r="K124" s="347">
        <f>"DIVES"&amp;" - "&amp;A124</f>
        <v/>
      </c>
      <c r="L124" s="347">
        <f>+VLOOKUP(K124,TL[],4,FALSE)</f>
        <v/>
      </c>
    </row>
    <row r="125">
      <c r="A125" s="348" t="inlineStr">
        <is>
          <t>62260000</t>
        </is>
      </c>
      <c r="B125" s="348" t="inlineStr">
        <is>
          <t>Honoraire comptable</t>
        </is>
      </c>
      <c r="C125" s="348" t="n">
        <v>860</v>
      </c>
      <c r="D125" s="348" t="inlineStr"/>
      <c r="E125" s="348" t="n">
        <v>860</v>
      </c>
      <c r="F125" s="348" t="inlineStr"/>
      <c r="G125" s="220">
        <f>SUM(C125)-SUM(D125)</f>
        <v/>
      </c>
      <c r="H125" s="220">
        <f>SUM(E125)-SUM(F125)</f>
        <v/>
      </c>
      <c r="I125" s="221">
        <f>IF(A125="Total",VLOOKUP(B125,CORRESPONDANCE[#All],2,FALSE),I126)</f>
        <v/>
      </c>
      <c r="J125" s="350">
        <f>LEFT(A125,1)</f>
        <v/>
      </c>
      <c r="K125" s="347">
        <f>"DIVES"&amp;" - "&amp;A125</f>
        <v/>
      </c>
      <c r="L125" s="347">
        <f>+VLOOKUP(K125,TL[],4,FALSE)</f>
        <v/>
      </c>
    </row>
    <row r="126">
      <c r="A126" s="348" t="inlineStr">
        <is>
          <t>62261000</t>
        </is>
      </c>
      <c r="B126" s="348" t="inlineStr">
        <is>
          <t>Honoraire juridique</t>
        </is>
      </c>
      <c r="C126" s="348" t="n">
        <v>62.5</v>
      </c>
      <c r="D126" s="348" t="inlineStr"/>
      <c r="E126" s="348" t="n">
        <v>62.5</v>
      </c>
      <c r="F126" s="348" t="inlineStr"/>
      <c r="G126" s="220">
        <f>SUM(C126)-SUM(D126)</f>
        <v/>
      </c>
      <c r="H126" s="220">
        <f>SUM(E126)-SUM(F126)</f>
        <v/>
      </c>
      <c r="I126" s="221">
        <f>IF(A126="Total",VLOOKUP(B126,CORRESPONDANCE[#All],2,FALSE),I127)</f>
        <v/>
      </c>
      <c r="J126" s="350">
        <f>LEFT(A126,1)</f>
        <v/>
      </c>
      <c r="K126" s="347">
        <f>"DIVES"&amp;" - "&amp;A126</f>
        <v/>
      </c>
      <c r="L126" s="347">
        <f>+VLOOKUP(K126,TL[],4,FALSE)</f>
        <v/>
      </c>
    </row>
    <row r="127">
      <c r="A127" s="348" t="inlineStr">
        <is>
          <t>62262000</t>
        </is>
      </c>
      <c r="B127" s="348" t="inlineStr">
        <is>
          <t>honoraires divers</t>
        </is>
      </c>
      <c r="C127" s="348" t="n">
        <v>168.78</v>
      </c>
      <c r="D127" s="348" t="inlineStr"/>
      <c r="E127" s="348" t="n">
        <v>168.78</v>
      </c>
      <c r="F127" s="348" t="inlineStr"/>
      <c r="G127" s="220">
        <f>SUM(C127)-SUM(D127)</f>
        <v/>
      </c>
      <c r="H127" s="220">
        <f>SUM(E127)-SUM(F127)</f>
        <v/>
      </c>
      <c r="I127" s="221">
        <f>IF(A127="Total",VLOOKUP(B127,CORRESPONDANCE[#All],2,FALSE),I128)</f>
        <v/>
      </c>
      <c r="J127" s="350">
        <f>LEFT(A127,1)</f>
        <v/>
      </c>
      <c r="K127" s="347">
        <f>"DIVES"&amp;" - "&amp;A127</f>
        <v/>
      </c>
      <c r="L127" s="347">
        <f>+VLOOKUP(K127,TL[],4,FALSE)</f>
        <v/>
      </c>
    </row>
    <row r="128">
      <c r="A128" s="348" t="inlineStr">
        <is>
          <t>Total</t>
        </is>
      </c>
      <c r="B128" s="348" t="inlineStr">
        <is>
          <t>Table n°2  -  Frais comptables et juridiques</t>
        </is>
      </c>
      <c r="C128" s="348" t="n">
        <v>1091.28</v>
      </c>
      <c r="D128" s="348" t="inlineStr"/>
      <c r="E128" s="348" t="n">
        <v>1091.28</v>
      </c>
      <c r="F128" s="348" t="inlineStr"/>
      <c r="G128" s="220">
        <f>SUM(C128)-SUM(D128)</f>
        <v/>
      </c>
      <c r="H128" s="220">
        <f>SUM(E128)-SUM(F128)</f>
        <v/>
      </c>
      <c r="I128" s="221">
        <f>IF(A128="Total",VLOOKUP(B128,CORRESPONDANCE[#All],2,FALSE),I129)</f>
        <v/>
      </c>
      <c r="J128" s="350">
        <f>LEFT(A128,1)</f>
        <v/>
      </c>
      <c r="K128" s="347">
        <f>"DIVES"&amp;" - "&amp;A128</f>
        <v/>
      </c>
      <c r="L128" s="347">
        <f>+VLOOKUP(K128,TL[],4,FALSE)</f>
        <v/>
      </c>
    </row>
    <row r="129">
      <c r="A129" s="348" t="inlineStr">
        <is>
          <t>61600100</t>
        </is>
      </c>
      <c r="B129" s="348" t="inlineStr">
        <is>
          <t>Assurance multirisque res</t>
        </is>
      </c>
      <c r="C129" s="348" t="n">
        <v>1300</v>
      </c>
      <c r="D129" s="348" t="inlineStr"/>
      <c r="E129" s="348" t="n">
        <v>1300</v>
      </c>
      <c r="F129" s="348" t="inlineStr"/>
      <c r="G129" s="220">
        <f>SUM(C129)-SUM(D129)</f>
        <v/>
      </c>
      <c r="H129" s="220">
        <f>SUM(E129)-SUM(F129)</f>
        <v/>
      </c>
      <c r="I129" s="221">
        <f>IF(A129="Total",VLOOKUP(B129,CORRESPONDANCE[#All],2,FALSE),I130)</f>
        <v/>
      </c>
      <c r="J129" s="350">
        <f>LEFT(A129,1)</f>
        <v/>
      </c>
      <c r="K129" s="347">
        <f>"DIVES"&amp;" - "&amp;A129</f>
        <v/>
      </c>
      <c r="L129" s="347">
        <f>+VLOOKUP(K129,TL[],4,FALSE)</f>
        <v/>
      </c>
    </row>
    <row r="130">
      <c r="A130" s="348" t="inlineStr">
        <is>
          <t>61600300</t>
        </is>
      </c>
      <c r="B130" s="348" t="inlineStr">
        <is>
          <t>Assurance auto-mission</t>
        </is>
      </c>
      <c r="C130" s="348" t="n">
        <v>20</v>
      </c>
      <c r="D130" s="348" t="inlineStr"/>
      <c r="E130" s="348" t="n">
        <v>20</v>
      </c>
      <c r="F130" s="348" t="inlineStr"/>
      <c r="G130" s="220">
        <f>SUM(C130)-SUM(D130)</f>
        <v/>
      </c>
      <c r="H130" s="220">
        <f>SUM(E130)-SUM(F130)</f>
        <v/>
      </c>
      <c r="I130" s="221">
        <f>IF(A130="Total",VLOOKUP(B130,CORRESPONDANCE[#All],2,FALSE),I131)</f>
        <v/>
      </c>
      <c r="J130" s="350">
        <f>LEFT(A130,1)</f>
        <v/>
      </c>
      <c r="K130" s="347">
        <f>"DIVES"&amp;" - "&amp;A130</f>
        <v/>
      </c>
      <c r="L130" s="347">
        <f>+VLOOKUP(K130,TL[],4,FALSE)</f>
        <v/>
      </c>
    </row>
    <row r="131">
      <c r="A131" s="348" t="inlineStr">
        <is>
          <t>61600600</t>
        </is>
      </c>
      <c r="B131" s="348" t="inlineStr">
        <is>
          <t>assurances diverses</t>
        </is>
      </c>
      <c r="C131" s="348" t="n">
        <v>80</v>
      </c>
      <c r="D131" s="348" t="inlineStr"/>
      <c r="E131" s="348" t="n">
        <v>80</v>
      </c>
      <c r="F131" s="348" t="inlineStr"/>
      <c r="G131" s="220">
        <f>SUM(C131)-SUM(D131)</f>
        <v/>
      </c>
      <c r="H131" s="220">
        <f>SUM(E131)-SUM(F131)</f>
        <v/>
      </c>
      <c r="I131" s="221">
        <f>IF(A131="Total",VLOOKUP(B131,CORRESPONDANCE[#All],2,FALSE),I132)</f>
        <v/>
      </c>
      <c r="J131" s="350">
        <f>LEFT(A131,1)</f>
        <v/>
      </c>
      <c r="K131" s="347">
        <f>"DIVES"&amp;" - "&amp;A131</f>
        <v/>
      </c>
      <c r="L131" s="347">
        <f>+VLOOKUP(K131,TL[],4,FALSE)</f>
        <v/>
      </c>
    </row>
    <row r="132">
      <c r="A132" s="348" t="inlineStr">
        <is>
          <t>Total</t>
        </is>
      </c>
      <c r="B132" s="348" t="inlineStr">
        <is>
          <t>Table n°2  -  Assurances</t>
        </is>
      </c>
      <c r="C132" s="348" t="n">
        <v>1400</v>
      </c>
      <c r="D132" s="348" t="inlineStr"/>
      <c r="E132" s="348" t="n">
        <v>1400</v>
      </c>
      <c r="F132" s="348" t="inlineStr"/>
      <c r="G132" s="220">
        <f>SUM(C132)-SUM(D132)</f>
        <v/>
      </c>
      <c r="H132" s="220">
        <f>SUM(E132)-SUM(F132)</f>
        <v/>
      </c>
      <c r="I132" s="221">
        <f>IF(A132="Total",VLOOKUP(B132,CORRESPONDANCE[#All],2,FALSE),I133)</f>
        <v/>
      </c>
      <c r="J132" s="350">
        <f>LEFT(A132,1)</f>
        <v/>
      </c>
      <c r="K132" s="347">
        <f>"DIVES"&amp;" - "&amp;A132</f>
        <v/>
      </c>
      <c r="L132" s="347">
        <f>+VLOOKUP(K132,TL[],4,FALSE)</f>
        <v/>
      </c>
    </row>
    <row r="133">
      <c r="A133" s="348" t="inlineStr">
        <is>
          <t>63330000</t>
        </is>
      </c>
      <c r="B133" s="348" t="inlineStr">
        <is>
          <t>Formation pro</t>
        </is>
      </c>
      <c r="C133" s="348" t="n">
        <v>487.11</v>
      </c>
      <c r="D133" s="348" t="inlineStr"/>
      <c r="E133" s="348" t="n">
        <v>487.11</v>
      </c>
      <c r="F133" s="348" t="inlineStr"/>
      <c r="G133" s="220">
        <f>SUM(C133)-SUM(D133)</f>
        <v/>
      </c>
      <c r="H133" s="220">
        <f>SUM(E133)-SUM(F133)</f>
        <v/>
      </c>
      <c r="I133" s="221">
        <f>IF(A133="Total",VLOOKUP(B133,CORRESPONDANCE[#All],2,FALSE),I134)</f>
        <v/>
      </c>
      <c r="J133" s="350">
        <f>LEFT(A133,1)</f>
        <v/>
      </c>
      <c r="K133" s="347">
        <f>"DIVES"&amp;" - "&amp;A133</f>
        <v/>
      </c>
      <c r="L133" s="347">
        <f>+VLOOKUP(K133,TL[],4,FALSE)</f>
        <v/>
      </c>
    </row>
    <row r="134">
      <c r="A134" s="348" t="inlineStr">
        <is>
          <t>63350000</t>
        </is>
      </c>
      <c r="B134" s="348" t="inlineStr">
        <is>
          <t>Taxe apprentissage</t>
        </is>
      </c>
      <c r="C134" s="348" t="n">
        <v>331.21</v>
      </c>
      <c r="D134" s="348" t="inlineStr"/>
      <c r="E134" s="348" t="n">
        <v>331.21</v>
      </c>
      <c r="F134" s="348" t="inlineStr"/>
      <c r="G134" s="220">
        <f>SUM(C134)-SUM(D134)</f>
        <v/>
      </c>
      <c r="H134" s="220">
        <f>SUM(E134)-SUM(F134)</f>
        <v/>
      </c>
      <c r="I134" s="221">
        <f>IF(A134="Total",VLOOKUP(B134,CORRESPONDANCE[#All],2,FALSE),I135)</f>
        <v/>
      </c>
      <c r="J134" s="350">
        <f>LEFT(A134,1)</f>
        <v/>
      </c>
      <c r="K134" s="347">
        <f>"DIVES"&amp;" - "&amp;A134</f>
        <v/>
      </c>
      <c r="L134" s="347">
        <f>+VLOOKUP(K134,TL[],4,FALSE)</f>
        <v/>
      </c>
    </row>
    <row r="135">
      <c r="A135" s="348" t="inlineStr">
        <is>
          <t>63511100</t>
        </is>
      </c>
      <c r="B135" s="348" t="inlineStr">
        <is>
          <t>Cfe</t>
        </is>
      </c>
      <c r="C135" s="348" t="n">
        <v>229</v>
      </c>
      <c r="D135" s="348" t="inlineStr"/>
      <c r="E135" s="348" t="n">
        <v>229</v>
      </c>
      <c r="F135" s="348" t="inlineStr"/>
      <c r="G135" s="220">
        <f>SUM(C135)-SUM(D135)</f>
        <v/>
      </c>
      <c r="H135" s="220">
        <f>SUM(E135)-SUM(F135)</f>
        <v/>
      </c>
      <c r="I135" s="221">
        <f>IF(A135="Total",VLOOKUP(B135,CORRESPONDANCE[#All],2,FALSE),I136)</f>
        <v/>
      </c>
      <c r="J135" s="350">
        <f>LEFT(A135,1)</f>
        <v/>
      </c>
      <c r="K135" s="347">
        <f>"DIVES"&amp;" - "&amp;A135</f>
        <v/>
      </c>
      <c r="L135" s="347">
        <f>+VLOOKUP(K135,TL[],4,FALSE)</f>
        <v/>
      </c>
    </row>
    <row r="136">
      <c r="A136" s="348" t="inlineStr">
        <is>
          <t>63511200</t>
        </is>
      </c>
      <c r="B136" s="348" t="inlineStr">
        <is>
          <t>Cvae</t>
        </is>
      </c>
      <c r="C136" s="348" t="n">
        <v>400</v>
      </c>
      <c r="D136" s="348" t="inlineStr"/>
      <c r="E136" s="348" t="n">
        <v>400</v>
      </c>
      <c r="F136" s="348" t="inlineStr"/>
      <c r="G136" s="220">
        <f>SUM(C136)-SUM(D136)</f>
        <v/>
      </c>
      <c r="H136" s="220">
        <f>SUM(E136)-SUM(F136)</f>
        <v/>
      </c>
      <c r="I136" s="221">
        <f>IF(A136="Total",VLOOKUP(B136,CORRESPONDANCE[#All],2,FALSE),I137)</f>
        <v/>
      </c>
      <c r="J136" s="350">
        <f>LEFT(A136,1)</f>
        <v/>
      </c>
      <c r="K136" s="347">
        <f>"DIVES"&amp;" - "&amp;A136</f>
        <v/>
      </c>
      <c r="L136" s="347">
        <f>+VLOOKUP(K136,TL[],4,FALSE)</f>
        <v/>
      </c>
    </row>
    <row r="137">
      <c r="A137" s="348" t="inlineStr">
        <is>
          <t>63550000</t>
        </is>
      </c>
      <c r="B137" s="348" t="inlineStr">
        <is>
          <t>Autr.imp.taxes (impots)</t>
        </is>
      </c>
      <c r="C137" s="348" t="n">
        <v>60</v>
      </c>
      <c r="D137" s="348" t="inlineStr"/>
      <c r="E137" s="348" t="n">
        <v>60</v>
      </c>
      <c r="F137" s="348" t="inlineStr"/>
      <c r="G137" s="220">
        <f>SUM(C137)-SUM(D137)</f>
        <v/>
      </c>
      <c r="H137" s="220">
        <f>SUM(E137)-SUM(F137)</f>
        <v/>
      </c>
      <c r="I137" s="221">
        <f>IF(A137="Total",VLOOKUP(B137,CORRESPONDANCE[#All],2,FALSE),I138)</f>
        <v/>
      </c>
      <c r="J137" s="350">
        <f>LEFT(A137,1)</f>
        <v/>
      </c>
      <c r="K137" s="347">
        <f>"DIVES"&amp;" - "&amp;A137</f>
        <v/>
      </c>
      <c r="L137" s="347">
        <f>+VLOOKUP(K137,TL[],4,FALSE)</f>
        <v/>
      </c>
    </row>
    <row r="138">
      <c r="A138" s="348" t="inlineStr">
        <is>
          <t>63730000</t>
        </is>
      </c>
      <c r="B138" s="348" t="inlineStr">
        <is>
          <t>Agefip handicapés</t>
        </is>
      </c>
      <c r="C138" s="348" t="n">
        <v>1500</v>
      </c>
      <c r="D138" s="348" t="inlineStr"/>
      <c r="E138" s="348" t="n">
        <v>1500</v>
      </c>
      <c r="F138" s="348" t="inlineStr"/>
      <c r="G138" s="220">
        <f>SUM(C138)-SUM(D138)</f>
        <v/>
      </c>
      <c r="H138" s="220">
        <f>SUM(E138)-SUM(F138)</f>
        <v/>
      </c>
      <c r="I138" s="221">
        <f>IF(A138="Total",VLOOKUP(B138,CORRESPONDANCE[#All],2,FALSE),I139)</f>
        <v/>
      </c>
      <c r="J138" s="350">
        <f>LEFT(A138,1)</f>
        <v/>
      </c>
      <c r="K138" s="347">
        <f>"DIVES"&amp;" - "&amp;A138</f>
        <v/>
      </c>
      <c r="L138" s="347">
        <f>+VLOOKUP(K138,TL[],4,FALSE)</f>
        <v/>
      </c>
    </row>
    <row r="139">
      <c r="A139" s="348" t="inlineStr">
        <is>
          <t>Total</t>
        </is>
      </c>
      <c r="B139" s="348" t="inlineStr">
        <is>
          <t>Table n°2  -  Taxes</t>
        </is>
      </c>
      <c r="C139" s="348" t="n">
        <v>3007.32</v>
      </c>
      <c r="D139" s="348" t="inlineStr"/>
      <c r="E139" s="348" t="n">
        <v>3007.32</v>
      </c>
      <c r="F139" s="348" t="inlineStr"/>
      <c r="G139" s="220">
        <f>SUM(C139)-SUM(D139)</f>
        <v/>
      </c>
      <c r="H139" s="220">
        <f>SUM(E139)-SUM(F139)</f>
        <v/>
      </c>
      <c r="I139" s="221">
        <f>IF(A139="Total",VLOOKUP(B139,CORRESPONDANCE[#All],2,FALSE),I140)</f>
        <v/>
      </c>
      <c r="J139" s="350">
        <f>LEFT(A139,1)</f>
        <v/>
      </c>
      <c r="K139" s="347">
        <f>"DIVES"&amp;" - "&amp;A139</f>
        <v/>
      </c>
      <c r="L139" s="347">
        <f>+VLOOKUP(K139,TL[],4,FALSE)</f>
        <v/>
      </c>
    </row>
    <row r="140">
      <c r="A140" s="348" t="inlineStr">
        <is>
          <t>68111000</t>
        </is>
      </c>
      <c r="B140" s="348" t="inlineStr">
        <is>
          <t>Dot amort immo incorporelles</t>
        </is>
      </c>
      <c r="C140" s="348" t="n">
        <v>10000</v>
      </c>
      <c r="D140" s="348" t="inlineStr"/>
      <c r="E140" s="348" t="n">
        <v>10000</v>
      </c>
      <c r="F140" s="348" t="inlineStr"/>
      <c r="G140" s="220">
        <f>SUM(C140)-SUM(D140)</f>
        <v/>
      </c>
      <c r="H140" s="220">
        <f>SUM(E140)-SUM(F140)</f>
        <v/>
      </c>
      <c r="I140" s="221">
        <f>IF(A140="Total",VLOOKUP(B140,CORRESPONDANCE[#All],2,FALSE),I141)</f>
        <v/>
      </c>
      <c r="J140" s="350">
        <f>LEFT(A140,1)</f>
        <v/>
      </c>
      <c r="K140" s="347">
        <f>"DIVES"&amp;" - "&amp;A140</f>
        <v/>
      </c>
      <c r="L140" s="347">
        <f>+VLOOKUP(K140,TL[],4,FALSE)</f>
        <v/>
      </c>
    </row>
    <row r="141">
      <c r="A141" s="348" t="inlineStr">
        <is>
          <t>Total</t>
        </is>
      </c>
      <c r="B141" s="348" t="inlineStr">
        <is>
          <t>Table n°2  -  Dépréciations amortissements</t>
        </is>
      </c>
      <c r="C141" s="348" t="n">
        <v>10000</v>
      </c>
      <c r="D141" s="348" t="inlineStr"/>
      <c r="E141" s="348" t="n">
        <v>10000</v>
      </c>
      <c r="F141" s="348" t="inlineStr"/>
      <c r="G141" s="220">
        <f>SUM(C141)-SUM(D141)</f>
        <v/>
      </c>
      <c r="H141" s="220">
        <f>SUM(E141)-SUM(F141)</f>
        <v/>
      </c>
      <c r="I141" s="221">
        <f>IF(A141="Total",VLOOKUP(B141,CORRESPONDANCE[#All],2,FALSE),I142)</f>
        <v/>
      </c>
      <c r="J141" s="350">
        <f>LEFT(A141,1)</f>
        <v/>
      </c>
      <c r="K141" s="347">
        <f>"DIVES"&amp;" - "&amp;A141</f>
        <v/>
      </c>
      <c r="L141" s="347">
        <f>+VLOOKUP(K141,TL[],4,FALSE)</f>
        <v/>
      </c>
    </row>
    <row r="142">
      <c r="A142" s="348" t="inlineStr">
        <is>
          <t>61301800</t>
        </is>
      </c>
      <c r="B142" s="348" t="inlineStr">
        <is>
          <t>Location leasecom</t>
        </is>
      </c>
      <c r="C142" s="348" t="n">
        <v>85.31999999999999</v>
      </c>
      <c r="D142" s="348" t="inlineStr"/>
      <c r="E142" s="348" t="n">
        <v>85.31999999999999</v>
      </c>
      <c r="F142" s="348" t="inlineStr"/>
      <c r="G142" s="220">
        <f>SUM(C142)-SUM(D142)</f>
        <v/>
      </c>
      <c r="H142" s="220">
        <f>SUM(E142)-SUM(F142)</f>
        <v/>
      </c>
      <c r="I142" s="221">
        <f>IF(A142="Total",VLOOKUP(B142,CORRESPONDANCE[#All],2,FALSE),I143)</f>
        <v/>
      </c>
      <c r="J142" s="350">
        <f>LEFT(A142,1)</f>
        <v/>
      </c>
      <c r="K142" s="347">
        <f>"DIVES"&amp;" - "&amp;A142</f>
        <v/>
      </c>
      <c r="L142" s="347">
        <f>+VLOOKUP(K142,TL[],4,FALSE)</f>
        <v/>
      </c>
    </row>
    <row r="143">
      <c r="A143" s="348" t="inlineStr">
        <is>
          <t>61563700</t>
        </is>
      </c>
      <c r="B143" s="348" t="inlineStr">
        <is>
          <t>contrat grenke</t>
        </is>
      </c>
      <c r="C143" s="348" t="n">
        <v>625</v>
      </c>
      <c r="D143" s="348" t="inlineStr"/>
      <c r="E143" s="348" t="n">
        <v>625</v>
      </c>
      <c r="F143" s="348" t="inlineStr"/>
      <c r="G143" s="220">
        <f>SUM(C143)-SUM(D143)</f>
        <v/>
      </c>
      <c r="H143" s="220">
        <f>SUM(E143)-SUM(F143)</f>
        <v/>
      </c>
      <c r="I143" s="221">
        <f>IF(A143="Total",VLOOKUP(B143,CORRESPONDANCE[#All],2,FALSE),I144)</f>
        <v/>
      </c>
      <c r="J143" s="350">
        <f>LEFT(A143,1)</f>
        <v/>
      </c>
      <c r="K143" s="347">
        <f>"DIVES"&amp;" - "&amp;A143</f>
        <v/>
      </c>
      <c r="L143" s="347">
        <f>+VLOOKUP(K143,TL[],4,FALSE)</f>
        <v/>
      </c>
    </row>
    <row r="144">
      <c r="A144" s="348" t="inlineStr">
        <is>
          <t>Total</t>
        </is>
      </c>
      <c r="B144" s="348" t="inlineStr">
        <is>
          <t>Table n°2  -  Crédit bail</t>
        </is>
      </c>
      <c r="C144" s="348" t="n">
        <v>710.3200000000001</v>
      </c>
      <c r="D144" s="348" t="inlineStr"/>
      <c r="E144" s="348" t="n">
        <v>710.3200000000001</v>
      </c>
      <c r="F144" s="348" t="inlineStr"/>
      <c r="G144" s="220">
        <f>SUM(C144)-SUM(D144)</f>
        <v/>
      </c>
      <c r="H144" s="220">
        <f>SUM(E144)-SUM(F144)</f>
        <v/>
      </c>
      <c r="I144" s="221">
        <f>IF(A144="Total",VLOOKUP(B144,CORRESPONDANCE[#All],2,FALSE),I145)</f>
        <v/>
      </c>
      <c r="J144" s="350">
        <f>LEFT(A144,1)</f>
        <v/>
      </c>
      <c r="K144" s="347">
        <f>"DIVES"&amp;" - "&amp;A144</f>
        <v/>
      </c>
      <c r="L144" s="347">
        <f>+VLOOKUP(K144,TL[],4,FALSE)</f>
        <v/>
      </c>
    </row>
    <row r="145">
      <c r="A145" s="348" t="inlineStr">
        <is>
          <t>62140700</t>
        </is>
      </c>
      <c r="B145" s="348" t="inlineStr">
        <is>
          <t>Prêt personnel L40</t>
        </is>
      </c>
      <c r="C145" s="348" t="n">
        <v>429.58</v>
      </c>
      <c r="D145" s="348" t="inlineStr"/>
      <c r="E145" s="348" t="n">
        <v>429.58</v>
      </c>
      <c r="F145" s="348" t="inlineStr"/>
      <c r="G145" s="220">
        <f>SUM(C145)-SUM(D145)</f>
        <v/>
      </c>
      <c r="H145" s="220">
        <f>SUM(E145)-SUM(F145)</f>
        <v/>
      </c>
      <c r="I145" s="221">
        <f>IF(A145="Total",VLOOKUP(B145,CORRESPONDANCE[#All],2,FALSE),I146)</f>
        <v/>
      </c>
      <c r="J145" s="350">
        <f>LEFT(A145,1)</f>
        <v/>
      </c>
      <c r="K145" s="347">
        <f>"DIVES"&amp;" - "&amp;A145</f>
        <v/>
      </c>
      <c r="L145" s="347">
        <f>+VLOOKUP(K145,TL[],4,FALSE)</f>
        <v/>
      </c>
    </row>
    <row r="146">
      <c r="A146" s="348" t="inlineStr">
        <is>
          <t>65800000</t>
        </is>
      </c>
      <c r="B146" s="348" t="inlineStr">
        <is>
          <t>Charges div.gest.courante</t>
        </is>
      </c>
      <c r="C146" s="348" t="n">
        <v>0.04</v>
      </c>
      <c r="D146" s="348" t="inlineStr"/>
      <c r="E146" s="348" t="n">
        <v>0.04</v>
      </c>
      <c r="F146" s="348" t="inlineStr"/>
      <c r="G146" s="220">
        <f>SUM(C146)-SUM(D146)</f>
        <v/>
      </c>
      <c r="H146" s="220">
        <f>SUM(E146)-SUM(F146)</f>
        <v/>
      </c>
      <c r="I146" s="221">
        <f>IF(A146="Total",VLOOKUP(B146,CORRESPONDANCE[#All],2,FALSE),I147)</f>
        <v/>
      </c>
      <c r="J146" s="350">
        <f>LEFT(A146,1)</f>
        <v/>
      </c>
      <c r="K146" s="347">
        <f>"DIVES"&amp;" - "&amp;A146</f>
        <v/>
      </c>
      <c r="L146" s="347">
        <f>+VLOOKUP(K146,TL[],4,FALSE)</f>
        <v/>
      </c>
    </row>
    <row r="147">
      <c r="A147" s="348" t="inlineStr">
        <is>
          <t>Total</t>
        </is>
      </c>
      <c r="B147" s="348" t="inlineStr">
        <is>
          <t>Table n°2  -  Dépenses / Revenus divers</t>
        </is>
      </c>
      <c r="C147" s="348" t="n">
        <v>429.62</v>
      </c>
      <c r="D147" s="348" t="inlineStr"/>
      <c r="E147" s="348" t="n">
        <v>429.62</v>
      </c>
      <c r="F147" s="348" t="inlineStr"/>
      <c r="G147" s="220">
        <f>SUM(C147)-SUM(D147)</f>
        <v/>
      </c>
      <c r="H147" s="220">
        <f>SUM(E147)-SUM(F147)</f>
        <v/>
      </c>
      <c r="I147" s="221">
        <f>IF(A147="Total",VLOOKUP(B147,CORRESPONDANCE[#All],2,FALSE),I148)</f>
        <v/>
      </c>
      <c r="J147" s="350">
        <f>LEFT(A147,1)</f>
        <v/>
      </c>
      <c r="K147" s="347">
        <f>"DIVES"&amp;" - "&amp;A147</f>
        <v/>
      </c>
      <c r="L147" s="347">
        <f>+VLOOKUP(K147,TL[],4,FALSE)</f>
        <v/>
      </c>
    </row>
    <row r="148">
      <c r="A148" s="348" t="inlineStr">
        <is>
          <t>66110000</t>
        </is>
      </c>
      <c r="B148" s="348" t="inlineStr">
        <is>
          <t>Intérêts des emprunts</t>
        </is>
      </c>
      <c r="C148" s="348" t="n">
        <v>0.91</v>
      </c>
      <c r="D148" s="348" t="inlineStr"/>
      <c r="E148" s="348" t="n">
        <v>0.91</v>
      </c>
      <c r="F148" s="348" t="inlineStr"/>
      <c r="G148" s="220">
        <f>SUM(C148)-SUM(D148)</f>
        <v/>
      </c>
      <c r="H148" s="220">
        <f>SUM(E148)-SUM(F148)</f>
        <v/>
      </c>
      <c r="I148" s="221">
        <f>IF(A148="Total",VLOOKUP(B148,CORRESPONDANCE[#All],2,FALSE),I149)</f>
        <v/>
      </c>
      <c r="J148" s="350">
        <f>LEFT(A148,1)</f>
        <v/>
      </c>
      <c r="K148" s="347">
        <f>"DIVES"&amp;" - "&amp;A148</f>
        <v/>
      </c>
      <c r="L148" s="347">
        <f>+VLOOKUP(K148,TL[],4,FALSE)</f>
        <v/>
      </c>
    </row>
    <row r="149">
      <c r="A149" s="348" t="inlineStr">
        <is>
          <t>Total</t>
        </is>
      </c>
      <c r="B149" s="348" t="inlineStr">
        <is>
          <t>Table n°2  -  Charges / Revenus financiers</t>
        </is>
      </c>
      <c r="C149" s="348" t="n">
        <v>0.91</v>
      </c>
      <c r="D149" s="348" t="inlineStr"/>
      <c r="E149" s="348" t="n">
        <v>0.91</v>
      </c>
      <c r="F149" s="348" t="inlineStr"/>
      <c r="G149" s="220">
        <f>SUM(C149)-SUM(D149)</f>
        <v/>
      </c>
      <c r="H149" s="220">
        <f>SUM(E149)-SUM(F149)</f>
        <v/>
      </c>
      <c r="I149" s="221">
        <f>IF(A149="Total",VLOOKUP(B149,CORRESPONDANCE[#All],2,FALSE),I150)</f>
        <v/>
      </c>
      <c r="J149" s="350">
        <f>LEFT(A149,1)</f>
        <v/>
      </c>
      <c r="K149" s="347">
        <f>"DIVES"&amp;" - "&amp;A149</f>
        <v/>
      </c>
      <c r="L149" s="347">
        <f>+VLOOKUP(K149,TL[],4,FALSE)</f>
        <v/>
      </c>
    </row>
    <row r="150">
      <c r="A150" s="348" t="inlineStr">
        <is>
          <t>62830000</t>
        </is>
      </c>
      <c r="B150" s="348" t="inlineStr">
        <is>
          <t>Redevance GTH14</t>
        </is>
      </c>
      <c r="C150" s="348" t="n">
        <v>19187</v>
      </c>
      <c r="D150" s="348" t="inlineStr"/>
      <c r="E150" s="348" t="n">
        <v>19187</v>
      </c>
      <c r="F150" s="348" t="inlineStr"/>
      <c r="G150" s="220">
        <f>SUM(C150)-SUM(D150)</f>
        <v/>
      </c>
      <c r="H150" s="220">
        <f>SUM(E150)-SUM(F150)</f>
        <v/>
      </c>
      <c r="I150" s="221">
        <f>IF(A150="Total",VLOOKUP(B150,CORRESPONDANCE[#All],2,FALSE),I151)</f>
        <v/>
      </c>
      <c r="J150" s="350">
        <f>LEFT(A150,1)</f>
        <v/>
      </c>
      <c r="K150" s="347">
        <f>"DIVES"&amp;" - "&amp;A150</f>
        <v/>
      </c>
      <c r="L150" s="347">
        <f>+VLOOKUP(K150,TL[],4,FALSE)</f>
        <v/>
      </c>
    </row>
    <row r="151">
      <c r="A151" s="348" t="inlineStr">
        <is>
          <t>62850000</t>
        </is>
      </c>
      <c r="B151" s="348" t="inlineStr">
        <is>
          <t>Redevance Mungu</t>
        </is>
      </c>
      <c r="C151" s="348" t="n">
        <v>833.33</v>
      </c>
      <c r="D151" s="348" t="inlineStr"/>
      <c r="E151" s="348" t="n">
        <v>833.33</v>
      </c>
      <c r="F151" s="348" t="inlineStr"/>
      <c r="G151" s="220">
        <f>SUM(C151)-SUM(D151)</f>
        <v/>
      </c>
      <c r="H151" s="220">
        <f>SUM(E151)-SUM(F151)</f>
        <v/>
      </c>
      <c r="I151" s="221">
        <f>IF(A151="Total",VLOOKUP(B151,CORRESPONDANCE[#All],2,FALSE),I152)</f>
        <v/>
      </c>
      <c r="J151" s="350">
        <f>LEFT(A151,1)</f>
        <v/>
      </c>
      <c r="K151" s="347">
        <f>"DIVES"&amp;" - "&amp;A151</f>
        <v/>
      </c>
      <c r="L151" s="347">
        <f>+VLOOKUP(K151,TL[],4,FALSE)</f>
        <v/>
      </c>
    </row>
    <row r="152">
      <c r="A152" s="348" t="inlineStr">
        <is>
          <t>Total</t>
        </is>
      </c>
      <c r="B152" s="348" t="inlineStr">
        <is>
          <t>Table n°2  -  G&amp;A (Frais administratifs)</t>
        </is>
      </c>
      <c r="C152" s="348" t="n">
        <v>20020.33</v>
      </c>
      <c r="D152" s="348" t="inlineStr"/>
      <c r="E152" s="348" t="n">
        <v>20020.33</v>
      </c>
      <c r="F152" s="348" t="inlineStr"/>
      <c r="G152" s="220">
        <f>SUM(C152)-SUM(D152)</f>
        <v/>
      </c>
      <c r="H152" s="220">
        <f>SUM(E152)-SUM(F152)</f>
        <v/>
      </c>
      <c r="I152" s="221">
        <f>IF(A152="Total",VLOOKUP(B152,CORRESPONDANCE[#All],2,FALSE),I153)</f>
        <v/>
      </c>
      <c r="J152" s="350">
        <f>LEFT(A152,1)</f>
        <v/>
      </c>
      <c r="K152" s="347">
        <f>"DIVES"&amp;" - "&amp;A152</f>
        <v/>
      </c>
      <c r="L152" s="347">
        <f>+VLOOKUP(K152,TL[],4,FALSE)</f>
        <v/>
      </c>
    </row>
    <row r="153">
      <c r="A153" s="348" t="inlineStr">
        <is>
          <t>70230000</t>
        </is>
      </c>
      <c r="B153" s="348" t="inlineStr">
        <is>
          <t>Ventes pdts non alimentaires 10 %</t>
        </is>
      </c>
      <c r="C153" s="348" t="inlineStr"/>
      <c r="D153" s="348" t="n">
        <v>3920.76</v>
      </c>
      <c r="E153" s="348" t="inlineStr"/>
      <c r="F153" s="348" t="n">
        <v>3920.76</v>
      </c>
      <c r="G153" s="220">
        <f>SUM(C153)-SUM(D153)</f>
        <v/>
      </c>
      <c r="H153" s="220">
        <f>SUM(E153)-SUM(F153)</f>
        <v/>
      </c>
      <c r="I153" s="221">
        <f>IF(A153="Total",VLOOKUP(B153,CORRESPONDANCE[#All],2,FALSE),I154)</f>
        <v/>
      </c>
      <c r="J153" s="350">
        <f>LEFT(A153,1)</f>
        <v/>
      </c>
      <c r="K153" s="347">
        <f>"DIVES"&amp;" - "&amp;A153</f>
        <v/>
      </c>
      <c r="L153" s="347">
        <f>+VLOOKUP(K153,TL[],4,FALSE)</f>
        <v/>
      </c>
    </row>
    <row r="154">
      <c r="A154" s="348" t="inlineStr">
        <is>
          <t>Total</t>
        </is>
      </c>
      <c r="B154" s="348" t="inlineStr">
        <is>
          <t>Table n°2  -  Ventes non alimentaires</t>
        </is>
      </c>
      <c r="C154" s="348" t="inlineStr"/>
      <c r="D154" s="348" t="n">
        <v>3920.76</v>
      </c>
      <c r="E154" s="348" t="inlineStr"/>
      <c r="F154" s="348" t="n">
        <v>3920.76</v>
      </c>
      <c r="G154" s="220">
        <f>SUM(C154)-SUM(D154)</f>
        <v/>
      </c>
      <c r="H154" s="220">
        <f>SUM(E154)-SUM(F154)</f>
        <v/>
      </c>
      <c r="I154" s="221">
        <f>IF(A154="Total",VLOOKUP(B154,CORRESPONDANCE[#All],2,FALSE),I155)</f>
        <v/>
      </c>
      <c r="J154" s="350">
        <f>LEFT(A154,1)</f>
        <v/>
      </c>
      <c r="K154" s="347">
        <f>"DIVES"&amp;" - "&amp;A154</f>
        <v/>
      </c>
      <c r="L154" s="347">
        <f>+VLOOKUP(K154,TL[],4,FALSE)</f>
        <v/>
      </c>
    </row>
    <row r="155">
      <c r="A155" s="348" t="inlineStr">
        <is>
          <t>60220200</t>
        </is>
      </c>
      <c r="B155" s="348" t="inlineStr">
        <is>
          <t>Achats happy meal</t>
        </is>
      </c>
      <c r="C155" s="348" t="n">
        <v>1674.11</v>
      </c>
      <c r="D155" s="348" t="inlineStr"/>
      <c r="E155" s="348" t="n">
        <v>1674.11</v>
      </c>
      <c r="F155" s="348" t="inlineStr"/>
      <c r="G155" s="220">
        <f>SUM(C155)-SUM(D155)</f>
        <v/>
      </c>
      <c r="H155" s="220">
        <f>SUM(E155)-SUM(F155)</f>
        <v/>
      </c>
      <c r="I155" s="221">
        <f>IF(A155="Total",VLOOKUP(B155,CORRESPONDANCE[#All],2,FALSE),I156)</f>
        <v/>
      </c>
      <c r="J155" s="350">
        <f>LEFT(A155,1)</f>
        <v/>
      </c>
      <c r="K155" s="347">
        <f>"DIVES"&amp;" - "&amp;A155</f>
        <v/>
      </c>
      <c r="L155" s="347">
        <f>+VLOOKUP(K155,TL[],4,FALSE)</f>
        <v/>
      </c>
    </row>
    <row r="156">
      <c r="A156" s="348" t="inlineStr">
        <is>
          <t>60320100</t>
        </is>
      </c>
      <c r="B156" s="348" t="inlineStr">
        <is>
          <t>Var.stock happy meals</t>
        </is>
      </c>
      <c r="C156" s="348" t="n">
        <v>873.52</v>
      </c>
      <c r="D156" s="348" t="inlineStr"/>
      <c r="E156" s="348" t="n">
        <v>873.52</v>
      </c>
      <c r="F156" s="348" t="inlineStr"/>
      <c r="G156" s="220">
        <f>SUM(C156)-SUM(D156)</f>
        <v/>
      </c>
      <c r="H156" s="220">
        <f>SUM(E156)-SUM(F156)</f>
        <v/>
      </c>
      <c r="I156" s="221">
        <f>IF(A156="Total",VLOOKUP(B156,CORRESPONDANCE[#All],2,FALSE),I157)</f>
        <v/>
      </c>
      <c r="J156" s="350">
        <f>LEFT(A156,1)</f>
        <v/>
      </c>
      <c r="K156" s="347">
        <f>"DIVES"&amp;" - "&amp;A156</f>
        <v/>
      </c>
      <c r="L156" s="347">
        <f>+VLOOKUP(K156,TL[],4,FALSE)</f>
        <v/>
      </c>
    </row>
    <row r="157">
      <c r="A157" s="348" t="inlineStr">
        <is>
          <t>Total</t>
        </is>
      </c>
      <c r="B157" s="348" t="inlineStr">
        <is>
          <t>Table n°2  -  Coût non alimentaire</t>
        </is>
      </c>
      <c r="C157" s="348" t="n">
        <v>2547.63</v>
      </c>
      <c r="D157" s="348" t="inlineStr"/>
      <c r="E157" s="348" t="n">
        <v>2547.63</v>
      </c>
      <c r="F157" s="348" t="inlineStr"/>
      <c r="G157" s="220">
        <f>SUM(C157)-SUM(D157)</f>
        <v/>
      </c>
      <c r="H157" s="220">
        <f>SUM(E157)-SUM(F157)</f>
        <v/>
      </c>
      <c r="I157" s="221">
        <f>IF(A157="Total",VLOOKUP(B157,CORRESPONDANCE[#All],2,FALSE),I158)</f>
        <v/>
      </c>
      <c r="J157" s="350">
        <f>LEFT(A157,1)</f>
        <v/>
      </c>
      <c r="K157" s="347">
        <f>"DIVES"&amp;" - "&amp;A157</f>
        <v/>
      </c>
      <c r="L157" s="347">
        <f>+VLOOKUP(K157,TL[],4,FALSE)</f>
        <v/>
      </c>
    </row>
    <row r="158">
      <c r="A158" s="348" t="inlineStr"/>
      <c r="B158" s="348" t="inlineStr">
        <is>
          <t>Total général</t>
        </is>
      </c>
      <c r="C158" s="348" t="n">
        <v>259239.46</v>
      </c>
      <c r="D158" s="348" t="n">
        <v>254303.08</v>
      </c>
      <c r="E158" s="348" t="n">
        <v>259239.46</v>
      </c>
      <c r="F158" s="348" t="n">
        <v>254303.08</v>
      </c>
      <c r="G158" s="220">
        <f>SUM(C158)-SUM(D158)</f>
        <v/>
      </c>
      <c r="H158" s="220">
        <f>SUM(E158)-SUM(F158)</f>
        <v/>
      </c>
      <c r="I158" s="221">
        <f>IF(A158="Total",VLOOKUP(B158,CORRESPONDANCE[#All],2,FALSE),I159)</f>
        <v/>
      </c>
      <c r="J158" s="350">
        <f>LEFT(A158,1)</f>
        <v/>
      </c>
      <c r="K158" s="347">
        <f>"DIVES"&amp;" - "&amp;A158</f>
        <v/>
      </c>
      <c r="L158" s="347">
        <f>+VLOOKUP(K158,TL[],4,FALSE)</f>
        <v/>
      </c>
    </row>
    <row r="159">
      <c r="G159" s="220">
        <f>SUM(C159)-SUM(D159)</f>
        <v/>
      </c>
      <c r="H159" s="220">
        <f>SUM(E159)-SUM(F159)</f>
        <v/>
      </c>
      <c r="I159" s="221">
        <f>IF(A159="Total",VLOOKUP(B159,CORRESPONDANCE[#All],2,FALSE),I160)</f>
        <v/>
      </c>
      <c r="J159" s="350">
        <f>LEFT(A159,1)</f>
        <v/>
      </c>
      <c r="K159" s="347">
        <f>"DIVES"&amp;" - "&amp;A159</f>
        <v/>
      </c>
      <c r="L159" s="347">
        <f>+VLOOKUP(K159,TL[],4,FALSE)</f>
        <v/>
      </c>
    </row>
    <row r="160">
      <c r="G160" s="220">
        <f>SUM(C160)-SUM(D160)</f>
        <v/>
      </c>
      <c r="H160" s="220">
        <f>SUM(E160)-SUM(F160)</f>
        <v/>
      </c>
      <c r="I160" s="221">
        <f>IF(A160="Total",VLOOKUP(B160,CORRESPONDANCE[#All],2,FALSE),I161)</f>
        <v/>
      </c>
      <c r="J160" s="350">
        <f>LEFT(A160,1)</f>
        <v/>
      </c>
      <c r="K160" s="347">
        <f>"DIVES"&amp;" - "&amp;A160</f>
        <v/>
      </c>
      <c r="L160" s="347">
        <f>+VLOOKUP(K160,TL[],4,FALSE)</f>
        <v/>
      </c>
    </row>
    <row r="161">
      <c r="G161" s="220">
        <f>SUM(C161)-SUM(D161)</f>
        <v/>
      </c>
      <c r="H161" s="220">
        <f>SUM(E161)-SUM(F161)</f>
        <v/>
      </c>
      <c r="I161" s="221">
        <f>IF(A161="Total",VLOOKUP(B161,CORRESPONDANCE[#All],2,FALSE),I162)</f>
        <v/>
      </c>
      <c r="J161" s="350">
        <f>LEFT(A161,1)</f>
        <v/>
      </c>
      <c r="K161" s="347">
        <f>"DIVES"&amp;" - "&amp;A161</f>
        <v/>
      </c>
      <c r="L161" s="347">
        <f>+VLOOKUP(K161,TL[],4,FALSE)</f>
        <v/>
      </c>
    </row>
    <row r="162">
      <c r="G162" s="220">
        <f>SUM(C162)-SUM(D162)</f>
        <v/>
      </c>
      <c r="H162" s="220">
        <f>SUM(E162)-SUM(F162)</f>
        <v/>
      </c>
      <c r="I162" s="221">
        <f>IF(A162="Total",VLOOKUP(B162,CORRESPONDANCE[#All],2,FALSE),I163)</f>
        <v/>
      </c>
      <c r="J162" s="350">
        <f>LEFT(A162,1)</f>
        <v/>
      </c>
      <c r="K162" s="347">
        <f>"DIVES"&amp;" - "&amp;A162</f>
        <v/>
      </c>
      <c r="L162" s="347">
        <f>+VLOOKUP(K162,TL[],4,FALSE)</f>
        <v/>
      </c>
    </row>
    <row r="163">
      <c r="G163" s="220">
        <f>SUM(C163)-SUM(D163)</f>
        <v/>
      </c>
      <c r="H163" s="220">
        <f>SUM(E163)-SUM(F163)</f>
        <v/>
      </c>
      <c r="I163" s="221">
        <f>IF(A163="Total",VLOOKUP(B163,CORRESPONDANCE[#All],2,FALSE),I164)</f>
        <v/>
      </c>
      <c r="J163" s="350">
        <f>LEFT(A163,1)</f>
        <v/>
      </c>
      <c r="K163" s="347">
        <f>"DIVES"&amp;" - "&amp;A163</f>
        <v/>
      </c>
      <c r="L163" s="347">
        <f>+VLOOKUP(K163,TL[],4,FALSE)</f>
        <v/>
      </c>
    </row>
    <row r="164">
      <c r="G164" s="220">
        <f>SUM(C164)-SUM(D164)</f>
        <v/>
      </c>
      <c r="H164" s="220">
        <f>SUM(E164)-SUM(F164)</f>
        <v/>
      </c>
      <c r="I164" s="221">
        <f>IF(A164="Total",VLOOKUP(B164,CORRESPONDANCE[#All],2,FALSE),I165)</f>
        <v/>
      </c>
      <c r="J164" s="350">
        <f>LEFT(A164,1)</f>
        <v/>
      </c>
      <c r="K164" s="347">
        <f>"DIVES"&amp;" - "&amp;A164</f>
        <v/>
      </c>
      <c r="L164" s="347">
        <f>+VLOOKUP(K164,TL[],4,FALSE)</f>
        <v/>
      </c>
    </row>
    <row r="165">
      <c r="G165" s="220">
        <f>SUM(C165)-SUM(D165)</f>
        <v/>
      </c>
      <c r="H165" s="220">
        <f>SUM(E165)-SUM(F165)</f>
        <v/>
      </c>
      <c r="I165" s="221">
        <f>IF(A165="Total",VLOOKUP(B165,CORRESPONDANCE[#All],2,FALSE),I166)</f>
        <v/>
      </c>
      <c r="J165" s="350">
        <f>LEFT(A165,1)</f>
        <v/>
      </c>
      <c r="K165" s="347">
        <f>"DIVES"&amp;" - "&amp;A165</f>
        <v/>
      </c>
      <c r="L165" s="347">
        <f>+VLOOKUP(K165,TL[],4,FALSE)</f>
        <v/>
      </c>
    </row>
    <row r="166">
      <c r="G166" s="220">
        <f>SUM(C166)-SUM(D166)</f>
        <v/>
      </c>
      <c r="H166" s="220">
        <f>SUM(E166)-SUM(F166)</f>
        <v/>
      </c>
      <c r="I166" s="221">
        <f>IF(A166="Total",VLOOKUP(B166,CORRESPONDANCE[#All],2,FALSE),I167)</f>
        <v/>
      </c>
      <c r="J166" s="350">
        <f>LEFT(A166,1)</f>
        <v/>
      </c>
      <c r="K166" s="347">
        <f>"DIVES"&amp;" - "&amp;A166</f>
        <v/>
      </c>
      <c r="L166" s="347">
        <f>+VLOOKUP(K166,TL[],4,FALSE)</f>
        <v/>
      </c>
    </row>
    <row r="167">
      <c r="G167" s="220">
        <f>SUM(C167)-SUM(D167)</f>
        <v/>
      </c>
      <c r="H167" s="220">
        <f>SUM(E167)-SUM(F167)</f>
        <v/>
      </c>
      <c r="I167" s="221">
        <f>IF(A167="Total",VLOOKUP(B167,CORRESPONDANCE[#All],2,FALSE),I168)</f>
        <v/>
      </c>
      <c r="J167" s="350">
        <f>LEFT(A167,1)</f>
        <v/>
      </c>
      <c r="K167" s="347">
        <f>"DIVES"&amp;" - "&amp;A167</f>
        <v/>
      </c>
      <c r="L167" s="347">
        <f>+VLOOKUP(K167,TL[],4,FALSE)</f>
        <v/>
      </c>
    </row>
    <row r="168">
      <c r="G168" s="220">
        <f>SUM(C168)-SUM(D168)</f>
        <v/>
      </c>
      <c r="H168" s="220">
        <f>SUM(E168)-SUM(F168)</f>
        <v/>
      </c>
      <c r="I168" s="221">
        <f>IF(A168="Total",VLOOKUP(B168,CORRESPONDANCE[#All],2,FALSE),I169)</f>
        <v/>
      </c>
      <c r="J168" s="350">
        <f>LEFT(A168,1)</f>
        <v/>
      </c>
      <c r="K168" s="347">
        <f>"DIVES"&amp;" - "&amp;A168</f>
        <v/>
      </c>
      <c r="L168" s="347">
        <f>+VLOOKUP(K168,TL[],4,FALSE)</f>
        <v/>
      </c>
    </row>
    <row r="169">
      <c r="G169" s="220">
        <f>SUM(C169)-SUM(D169)</f>
        <v/>
      </c>
      <c r="H169" s="220">
        <f>SUM(E169)-SUM(F169)</f>
        <v/>
      </c>
      <c r="I169" s="221">
        <f>IF(A169="Total",VLOOKUP(B169,CORRESPONDANCE[#All],2,FALSE),I170)</f>
        <v/>
      </c>
      <c r="J169" s="350">
        <f>LEFT(A169,1)</f>
        <v/>
      </c>
      <c r="K169" s="347">
        <f>"DIVES"&amp;" - "&amp;A169</f>
        <v/>
      </c>
      <c r="L169" s="347">
        <f>+VLOOKUP(K169,TL[],4,FALSE)</f>
        <v/>
      </c>
    </row>
    <row r="170">
      <c r="G170" s="220">
        <f>SUM(C170)-SUM(D170)</f>
        <v/>
      </c>
      <c r="H170" s="220">
        <f>SUM(E170)-SUM(F170)</f>
        <v/>
      </c>
      <c r="I170" s="221">
        <f>IF(A170="Total",VLOOKUP(B170,CORRESPONDANCE[#All],2,FALSE),I171)</f>
        <v/>
      </c>
      <c r="J170" s="350">
        <f>LEFT(A170,1)</f>
        <v/>
      </c>
      <c r="K170" s="347">
        <f>"DIVES"&amp;" - "&amp;A170</f>
        <v/>
      </c>
      <c r="L170" s="347">
        <f>+VLOOKUP(K170,TL[],4,FALSE)</f>
        <v/>
      </c>
    </row>
    <row r="171">
      <c r="G171" s="220">
        <f>SUM(C171)-SUM(D171)</f>
        <v/>
      </c>
      <c r="H171" s="220">
        <f>SUM(E171)-SUM(F171)</f>
        <v/>
      </c>
      <c r="I171" s="221">
        <f>IF(A171="Total",VLOOKUP(B171,CORRESPONDANCE[#All],2,FALSE),I172)</f>
        <v/>
      </c>
      <c r="J171" s="350">
        <f>LEFT(A171,1)</f>
        <v/>
      </c>
      <c r="K171" s="347">
        <f>"DIVES"&amp;" - "&amp;A171</f>
        <v/>
      </c>
      <c r="L171" s="347">
        <f>+VLOOKUP(K171,TL[],4,FALSE)</f>
        <v/>
      </c>
    </row>
    <row r="172">
      <c r="G172" s="220">
        <f>SUM(C172)-SUM(D172)</f>
        <v/>
      </c>
      <c r="H172" s="220">
        <f>SUM(E172)-SUM(F172)</f>
        <v/>
      </c>
      <c r="I172" s="221">
        <f>IF(A172="Total",VLOOKUP(B172,CORRESPONDANCE[#All],2,FALSE),I173)</f>
        <v/>
      </c>
      <c r="J172" s="350">
        <f>LEFT(A172,1)</f>
        <v/>
      </c>
      <c r="K172" s="347">
        <f>"DIVES"&amp;" - "&amp;A172</f>
        <v/>
      </c>
      <c r="L172" s="347">
        <f>+VLOOKUP(K172,TL[],4,FALSE)</f>
        <v/>
      </c>
    </row>
    <row r="173">
      <c r="G173" s="220">
        <f>SUM(C173)-SUM(D173)</f>
        <v/>
      </c>
      <c r="H173" s="220">
        <f>SUM(E173)-SUM(F173)</f>
        <v/>
      </c>
      <c r="I173" s="221">
        <f>IF(A173="Total",VLOOKUP(B173,CORRESPONDANCE[#All],2,FALSE),I174)</f>
        <v/>
      </c>
      <c r="J173" s="350">
        <f>LEFT(A173,1)</f>
        <v/>
      </c>
      <c r="K173" s="347">
        <f>"DIVES"&amp;" - "&amp;A173</f>
        <v/>
      </c>
      <c r="L173" s="347">
        <f>+VLOOKUP(K173,TL[],4,FALSE)</f>
        <v/>
      </c>
    </row>
    <row r="174">
      <c r="G174" s="220">
        <f>SUM(C174)-SUM(D174)</f>
        <v/>
      </c>
      <c r="H174" s="220">
        <f>SUM(E174)-SUM(F174)</f>
        <v/>
      </c>
      <c r="I174" s="221">
        <f>IF(A174="Total",VLOOKUP(B174,CORRESPONDANCE[#All],2,FALSE),I175)</f>
        <v/>
      </c>
      <c r="J174" s="350">
        <f>LEFT(A174,1)</f>
        <v/>
      </c>
      <c r="K174" s="347">
        <f>"DIVES"&amp;" - "&amp;A174</f>
        <v/>
      </c>
      <c r="L174" s="347">
        <f>+VLOOKUP(K174,TL[],4,FALSE)</f>
        <v/>
      </c>
    </row>
    <row r="175">
      <c r="G175" s="220">
        <f>SUM(C175)-SUM(D175)</f>
        <v/>
      </c>
      <c r="H175" s="220">
        <f>SUM(E175)-SUM(F175)</f>
        <v/>
      </c>
      <c r="I175" s="221">
        <f>IF(A175="Total",VLOOKUP(B175,CORRESPONDANCE[#All],2,FALSE),I176)</f>
        <v/>
      </c>
      <c r="J175" s="350">
        <f>LEFT(A175,1)</f>
        <v/>
      </c>
      <c r="K175" s="347">
        <f>"DIVES"&amp;" - "&amp;A175</f>
        <v/>
      </c>
      <c r="L175" s="347">
        <f>+VLOOKUP(K175,TL[],4,FALSE)</f>
        <v/>
      </c>
    </row>
    <row r="176">
      <c r="G176" s="220">
        <f>SUM(C176)-SUM(D176)</f>
        <v/>
      </c>
      <c r="H176" s="220">
        <f>SUM(E176)-SUM(F176)</f>
        <v/>
      </c>
      <c r="I176" s="221">
        <f>IF(A176="Total",VLOOKUP(B176,CORRESPONDANCE[#All],2,FALSE),#REF!)</f>
        <v/>
      </c>
      <c r="J176" s="350">
        <f>LEFT(A176,1)</f>
        <v/>
      </c>
      <c r="K176" s="347">
        <f>"DIVES"&amp;" - "&amp;A176</f>
        <v/>
      </c>
      <c r="L176" s="347">
        <f>+VLOOKUP(K176,TL[],4,FALSE)</f>
        <v/>
      </c>
    </row>
    <row r="177">
      <c r="G177" s="220">
        <f>SUM(C177)-SUM(D177)</f>
        <v/>
      </c>
      <c r="H177" s="220">
        <f>SUM(E177)-SUM(F177)</f>
        <v/>
      </c>
      <c r="I177" s="221">
        <f>IF(A177="Total",VLOOKUP(B177,CORRESPONDANCE[#All],2,FALSE),#REF!)</f>
        <v/>
      </c>
      <c r="J177" s="350">
        <f>LEFT(A177,1)</f>
        <v/>
      </c>
      <c r="K177" s="347">
        <f>"DIVES"&amp;" - "&amp;A177</f>
        <v/>
      </c>
      <c r="L177" s="347">
        <f>+VLOOKUP(K177,TL[],4,FALSE)</f>
        <v/>
      </c>
    </row>
    <row r="178">
      <c r="G178" s="220">
        <f>SUM(C178)-SUM(D178)</f>
        <v/>
      </c>
      <c r="H178" s="220">
        <f>SUM(E178)-SUM(F178)</f>
        <v/>
      </c>
      <c r="I178" s="221">
        <f>IF(A178="Total",VLOOKUP(B178,CORRESPONDANCE[#All],2,FALSE),#REF!)</f>
        <v/>
      </c>
      <c r="J178" s="350">
        <f>LEFT(A178,1)</f>
        <v/>
      </c>
      <c r="K178" s="347">
        <f>"DIVES"&amp;" - "&amp;A178</f>
        <v/>
      </c>
      <c r="L178" s="347">
        <f>+VLOOKUP(K178,TL[],4,FALSE)</f>
        <v/>
      </c>
    </row>
    <row r="179">
      <c r="G179" s="220">
        <f>SUM(C179)-SUM(D179)</f>
        <v/>
      </c>
      <c r="H179" s="220">
        <f>SUM(E179)-SUM(F179)</f>
        <v/>
      </c>
      <c r="I179" s="221">
        <f>IF(A179="Total",VLOOKUP(B179,CORRESPONDANCE[#All],2,FALSE),#REF!)</f>
        <v/>
      </c>
      <c r="J179" s="350">
        <f>LEFT(A179,1)</f>
        <v/>
      </c>
      <c r="K179" s="347">
        <f>"DIVES"&amp;" - "&amp;A179</f>
        <v/>
      </c>
      <c r="L179" s="347">
        <f>+VLOOKUP(K179,TL[],4,FALSE)</f>
        <v/>
      </c>
    </row>
    <row r="180">
      <c r="G180" s="220">
        <f>SUM(C180)-SUM(D180)</f>
        <v/>
      </c>
      <c r="H180" s="220">
        <f>SUM(E180)-SUM(F180)</f>
        <v/>
      </c>
      <c r="I180" s="221">
        <f>IF(A180="Total",VLOOKUP(B180,CORRESPONDANCE[#All],2,FALSE),#REF!)</f>
        <v/>
      </c>
      <c r="J180" s="350">
        <f>LEFT(A180,1)</f>
        <v/>
      </c>
      <c r="K180" s="347">
        <f>"DIVES"&amp;" - "&amp;A180</f>
        <v/>
      </c>
      <c r="L180" s="347">
        <f>+VLOOKUP(K180,TL[],4,FALSE)</f>
        <v/>
      </c>
    </row>
    <row r="181">
      <c r="G181" s="220">
        <f>SUM(C181)-SUM(D181)</f>
        <v/>
      </c>
      <c r="H181" s="220">
        <f>SUM(E181)-SUM(F181)</f>
        <v/>
      </c>
      <c r="I181" s="221">
        <f>IF(A181="Total",VLOOKUP(B181,CORRESPONDANCE[#All],2,FALSE),#REF!)</f>
        <v/>
      </c>
      <c r="J181" s="350">
        <f>LEFT(A181,1)</f>
        <v/>
      </c>
      <c r="K181" s="347">
        <f>"DIVES"&amp;" - "&amp;A181</f>
        <v/>
      </c>
      <c r="L181" s="347">
        <f>+VLOOKUP(K181,TL[],4,FALSE)</f>
        <v/>
      </c>
    </row>
    <row r="182">
      <c r="G182" s="220">
        <f>SUM(C182)-SUM(D182)</f>
        <v/>
      </c>
      <c r="H182" s="220">
        <f>SUM(E182)-SUM(F182)</f>
        <v/>
      </c>
      <c r="I182" s="221">
        <f>IF(A182="Total",VLOOKUP(B182,CORRESPONDANCE[#All],2,FALSE),#REF!)</f>
        <v/>
      </c>
      <c r="J182" s="350">
        <f>LEFT(A182,1)</f>
        <v/>
      </c>
      <c r="K182" s="347">
        <f>"DIVES"&amp;" - "&amp;A182</f>
        <v/>
      </c>
      <c r="L182" s="347">
        <f>+VLOOKUP(K182,TL[],4,FALSE)</f>
        <v/>
      </c>
    </row>
    <row r="183">
      <c r="G183" s="220">
        <f>SUM(C183)-SUM(D183)</f>
        <v/>
      </c>
      <c r="H183" s="220">
        <f>SUM(E183)-SUM(F183)</f>
        <v/>
      </c>
      <c r="I183" s="221">
        <f>IF(A183="Total",VLOOKUP(B183,CORRESPONDANCE[#All],2,FALSE),#REF!)</f>
        <v/>
      </c>
      <c r="J183" s="350">
        <f>LEFT(A183,1)</f>
        <v/>
      </c>
      <c r="K183" s="347">
        <f>"DIVES"&amp;" - "&amp;A183</f>
        <v/>
      </c>
      <c r="L183" s="347">
        <f>+VLOOKUP(K183,TL[],4,FALSE)</f>
        <v/>
      </c>
    </row>
    <row r="184">
      <c r="G184" s="220">
        <f>SUM(C184)-SUM(D184)</f>
        <v/>
      </c>
      <c r="H184" s="220">
        <f>SUM(E184)-SUM(F184)</f>
        <v/>
      </c>
      <c r="I184" s="221">
        <f>IF(A184="Total",VLOOKUP(B184,CORRESPONDANCE[#All],2,FALSE),#REF!)</f>
        <v/>
      </c>
      <c r="J184" s="350">
        <f>LEFT(A184,1)</f>
        <v/>
      </c>
      <c r="K184" s="347">
        <f>"DIVES"&amp;" - "&amp;A184</f>
        <v/>
      </c>
      <c r="L184" s="347">
        <f>+VLOOKUP(K184,TL[],4,FALSE)</f>
        <v/>
      </c>
    </row>
    <row r="185">
      <c r="G185" s="220">
        <f>SUM(C185)-SUM(D185)</f>
        <v/>
      </c>
      <c r="H185" s="220">
        <f>SUM(E185)-SUM(F185)</f>
        <v/>
      </c>
      <c r="I185" s="221">
        <f>IF(A185="Total",VLOOKUP(B185,CORRESPONDANCE[#All],2,FALSE),#REF!)</f>
        <v/>
      </c>
      <c r="J185" s="350">
        <f>LEFT(A185,1)</f>
        <v/>
      </c>
      <c r="K185" s="347">
        <f>"DIVES"&amp;" - "&amp;A185</f>
        <v/>
      </c>
      <c r="L185" s="347">
        <f>+VLOOKUP(K185,TL[],4,FALSE)</f>
        <v/>
      </c>
    </row>
    <row r="186">
      <c r="G186" s="220">
        <f>SUM(C186)-SUM(D186)</f>
        <v/>
      </c>
      <c r="H186" s="220">
        <f>SUM(E186)-SUM(F186)</f>
        <v/>
      </c>
      <c r="I186" s="221">
        <f>IF(A186="Total",VLOOKUP(B186,CORRESPONDANCE[#All],2,FALSE),#REF!)</f>
        <v/>
      </c>
      <c r="J186" s="350">
        <f>LEFT(A186,1)</f>
        <v/>
      </c>
      <c r="K186" s="347">
        <f>"DIVES"&amp;" - "&amp;A186</f>
        <v/>
      </c>
      <c r="L186" s="347">
        <f>+VLOOKUP(K186,TL[],4,FALSE)</f>
        <v/>
      </c>
    </row>
    <row r="187">
      <c r="G187" s="220">
        <f>SUM(C187)-SUM(D187)</f>
        <v/>
      </c>
      <c r="H187" s="220">
        <f>SUM(E187)-SUM(F187)</f>
        <v/>
      </c>
      <c r="I187" s="221">
        <f>IF(A187="Total",VLOOKUP(B187,CORRESPONDANCE[#All],2,FALSE),#REF!)</f>
        <v/>
      </c>
      <c r="J187" s="350">
        <f>LEFT(A187,1)</f>
        <v/>
      </c>
      <c r="K187" s="347">
        <f>"DIVES"&amp;" - "&amp;A187</f>
        <v/>
      </c>
      <c r="L187" s="347">
        <f>+VLOOKUP(K187,TL[],4,FALSE)</f>
        <v/>
      </c>
    </row>
    <row r="188">
      <c r="G188" s="220">
        <f>SUM(C188)-SUM(D188)</f>
        <v/>
      </c>
      <c r="H188" s="220">
        <f>SUM(E188)-SUM(F188)</f>
        <v/>
      </c>
      <c r="I188" s="221">
        <f>IF(A188="Total",VLOOKUP(B188,CORRESPONDANCE[#All],2,FALSE),#REF!)</f>
        <v/>
      </c>
      <c r="J188" s="350">
        <f>LEFT(A188,1)</f>
        <v/>
      </c>
      <c r="K188" s="347">
        <f>"DIVES"&amp;" - "&amp;A188</f>
        <v/>
      </c>
      <c r="L188" s="347">
        <f>+VLOOKUP(K188,TL[],4,FALSE)</f>
        <v/>
      </c>
    </row>
    <row r="189">
      <c r="G189" s="220">
        <f>SUM(C189)-SUM(D189)</f>
        <v/>
      </c>
      <c r="H189" s="220">
        <f>SUM(E189)-SUM(F189)</f>
        <v/>
      </c>
      <c r="I189" s="221">
        <f>IF(A189="Total",VLOOKUP(B189,CORRESPONDANCE[#All],2,FALSE),#REF!)</f>
        <v/>
      </c>
      <c r="J189" s="350">
        <f>LEFT(A189,1)</f>
        <v/>
      </c>
      <c r="K189" s="347">
        <f>"DIVES"&amp;" - "&amp;A189</f>
        <v/>
      </c>
      <c r="L189" s="347">
        <f>+VLOOKUP(K189,TL[],4,FALSE)</f>
        <v/>
      </c>
    </row>
    <row r="190">
      <c r="G190" s="220">
        <f>SUM(C190)-SUM(D190)</f>
        <v/>
      </c>
      <c r="H190" s="220">
        <f>SUM(E190)-SUM(F190)</f>
        <v/>
      </c>
      <c r="I190" s="221">
        <f>IF(A190="Total",VLOOKUP(B190,CORRESPONDANCE[#All],2,FALSE),#REF!)</f>
        <v/>
      </c>
      <c r="J190" s="350">
        <f>LEFT(A190,1)</f>
        <v/>
      </c>
      <c r="K190" s="347">
        <f>"DIVES"&amp;" - "&amp;A190</f>
        <v/>
      </c>
      <c r="L190" s="347">
        <f>+VLOOKUP(K190,TL[],4,FALSE)</f>
        <v/>
      </c>
    </row>
    <row r="191">
      <c r="G191" s="220">
        <f>SUM(C191)-SUM(D191)</f>
        <v/>
      </c>
      <c r="H191" s="220">
        <f>SUM(E191)-SUM(F191)</f>
        <v/>
      </c>
      <c r="I191" s="221">
        <f>IF(A191="Total",VLOOKUP(B191,CORRESPONDANCE[#All],2,FALSE),#REF!)</f>
        <v/>
      </c>
      <c r="J191" s="350">
        <f>LEFT(A191,1)</f>
        <v/>
      </c>
      <c r="K191" s="347">
        <f>"DIVES"&amp;" - "&amp;A191</f>
        <v/>
      </c>
      <c r="L191" s="347">
        <f>+VLOOKUP(K191,TL[],4,FALSE)</f>
        <v/>
      </c>
    </row>
    <row r="192">
      <c r="G192" s="220">
        <f>SUM(C192)-SUM(D192)</f>
        <v/>
      </c>
      <c r="H192" s="220">
        <f>SUM(E192)-SUM(F192)</f>
        <v/>
      </c>
      <c r="I192" s="221">
        <f>IF(A192="Total",VLOOKUP(B192,CORRESPONDANCE[#All],2,FALSE),#REF!)</f>
        <v/>
      </c>
      <c r="J192" s="350">
        <f>LEFT(A192,1)</f>
        <v/>
      </c>
      <c r="K192" s="347">
        <f>"DIVES"&amp;" - "&amp;A192</f>
        <v/>
      </c>
      <c r="L192" s="347">
        <f>+VLOOKUP(K192,TL[],4,FALSE)</f>
        <v/>
      </c>
    </row>
    <row r="193">
      <c r="G193" s="220">
        <f>SUM(C193)-SUM(D193)</f>
        <v/>
      </c>
      <c r="H193" s="220">
        <f>SUM(E193)-SUM(F193)</f>
        <v/>
      </c>
      <c r="I193" s="221">
        <f>IF(A193="Total",VLOOKUP(B193,CORRESPONDANCE[#All],2,FALSE),#REF!)</f>
        <v/>
      </c>
      <c r="J193" s="350">
        <f>LEFT(A193,1)</f>
        <v/>
      </c>
      <c r="K193" s="347">
        <f>"DIVES"&amp;" - "&amp;A193</f>
        <v/>
      </c>
      <c r="L193" s="347">
        <f>+VLOOKUP(K193,TL[],4,FALSE)</f>
        <v/>
      </c>
    </row>
    <row r="194">
      <c r="G194" s="220">
        <f>SUM(C194)-SUM(D194)</f>
        <v/>
      </c>
      <c r="H194" s="220">
        <f>SUM(E194)-SUM(F194)</f>
        <v/>
      </c>
      <c r="I194" s="221">
        <f>IF(A194="Total",VLOOKUP(B194,CORRESPONDANCE[#All],2,FALSE),#REF!)</f>
        <v/>
      </c>
      <c r="J194" s="350">
        <f>LEFT(A194,1)</f>
        <v/>
      </c>
      <c r="K194" s="347">
        <f>"DIVES"&amp;" - "&amp;A194</f>
        <v/>
      </c>
      <c r="L194" s="347">
        <f>+VLOOKUP(K194,TL[],4,FALSE)</f>
        <v/>
      </c>
    </row>
    <row r="195">
      <c r="G195" s="220">
        <f>SUM(C195)-SUM(D195)</f>
        <v/>
      </c>
      <c r="H195" s="220">
        <f>SUM(E195)-SUM(F195)</f>
        <v/>
      </c>
      <c r="I195" s="221">
        <f>IF(A195="Total",VLOOKUP(B195,CORRESPONDANCE[#All],2,FALSE),#REF!)</f>
        <v/>
      </c>
      <c r="J195" s="350">
        <f>LEFT(A195,1)</f>
        <v/>
      </c>
      <c r="K195" s="347">
        <f>"DIVES"&amp;" - "&amp;A195</f>
        <v/>
      </c>
      <c r="L195" s="347">
        <f>+VLOOKUP(K195,TL[],4,FALSE)</f>
        <v/>
      </c>
    </row>
    <row r="196">
      <c r="G196" s="220">
        <f>SUM(C196)-SUM(D196)</f>
        <v/>
      </c>
      <c r="H196" s="220">
        <f>SUM(E196)-SUM(F196)</f>
        <v/>
      </c>
      <c r="I196" s="221">
        <f>IF(A196="Total",VLOOKUP(B196,CORRESPONDANCE[#All],2,FALSE),#REF!)</f>
        <v/>
      </c>
      <c r="J196" s="350">
        <f>LEFT(A196,1)</f>
        <v/>
      </c>
      <c r="K196" s="347">
        <f>"DIVES"&amp;" - "&amp;A196</f>
        <v/>
      </c>
      <c r="L196" s="347">
        <f>+VLOOKUP(K196,TL[],4,FALSE)</f>
        <v/>
      </c>
    </row>
    <row r="197">
      <c r="G197" s="220">
        <f>SUM(C197)-SUM(D197)</f>
        <v/>
      </c>
      <c r="H197" s="220">
        <f>SUM(E197)-SUM(F197)</f>
        <v/>
      </c>
      <c r="I197" s="221">
        <f>IF(A197="Total",VLOOKUP(B197,CORRESPONDANCE[#All],2,FALSE),#REF!)</f>
        <v/>
      </c>
      <c r="J197" s="350">
        <f>LEFT(A197,1)</f>
        <v/>
      </c>
      <c r="K197" s="347">
        <f>"DIVES"&amp;" - "&amp;A197</f>
        <v/>
      </c>
      <c r="L197" s="347">
        <f>+VLOOKUP(K197,TL[],4,FALSE)</f>
        <v/>
      </c>
    </row>
    <row r="198">
      <c r="G198" s="220">
        <f>SUM(C198)-SUM(D198)</f>
        <v/>
      </c>
      <c r="H198" s="220">
        <f>SUM(E198)-SUM(F198)</f>
        <v/>
      </c>
      <c r="I198" s="221">
        <f>IF(A198="Total",VLOOKUP(B198,CORRESPONDANCE[#All],2,FALSE),#REF!)</f>
        <v/>
      </c>
      <c r="J198" s="350">
        <f>LEFT(A198,1)</f>
        <v/>
      </c>
      <c r="K198" s="347">
        <f>"DIVES"&amp;" - "&amp;A198</f>
        <v/>
      </c>
      <c r="L198" s="347">
        <f>+VLOOKUP(K198,TL[],4,FALSE)</f>
        <v/>
      </c>
    </row>
    <row r="199">
      <c r="G199" s="220">
        <f>SUM(C199)-SUM(D199)</f>
        <v/>
      </c>
      <c r="H199" s="220">
        <f>SUM(E199)-SUM(F199)</f>
        <v/>
      </c>
      <c r="I199" s="221">
        <f>IF(A199="Total",VLOOKUP(B199,CORRESPONDANCE[#All],2,FALSE),#REF!)</f>
        <v/>
      </c>
      <c r="J199" s="350">
        <f>LEFT(A199,1)</f>
        <v/>
      </c>
      <c r="K199" s="347">
        <f>"DIVES"&amp;" - "&amp;A199</f>
        <v/>
      </c>
      <c r="L199" s="347">
        <f>+VLOOKUP(K199,TL[],4,FALSE)</f>
        <v/>
      </c>
    </row>
    <row r="200">
      <c r="G200" s="220">
        <f>SUM(C200)-SUM(D200)</f>
        <v/>
      </c>
      <c r="H200" s="220">
        <f>SUM(E200)-SUM(F200)</f>
        <v/>
      </c>
      <c r="I200" s="221">
        <f>IF(A200="Total",VLOOKUP(B200,CORRESPONDANCE[#All],2,FALSE),#REF!)</f>
        <v/>
      </c>
      <c r="J200" s="350">
        <f>LEFT(A200,1)</f>
        <v/>
      </c>
      <c r="K200" s="347">
        <f>"DIVES"&amp;" - "&amp;A200</f>
        <v/>
      </c>
      <c r="L200" s="347">
        <f>+VLOOKUP(K200,TL[],4,FALSE)</f>
        <v/>
      </c>
    </row>
    <row r="201">
      <c r="G201" s="220">
        <f>SUM(C201)-SUM(D201)</f>
        <v/>
      </c>
      <c r="H201" s="220">
        <f>SUM(E201)-SUM(F201)</f>
        <v/>
      </c>
      <c r="I201" s="221">
        <f>IF(A201="Total",VLOOKUP(B201,CORRESPONDANCE[#All],2,FALSE),#REF!)</f>
        <v/>
      </c>
      <c r="J201" s="350">
        <f>LEFT(A201,1)</f>
        <v/>
      </c>
      <c r="K201" s="347">
        <f>"DIVES"&amp;" - "&amp;A201</f>
        <v/>
      </c>
      <c r="L201" s="347">
        <f>+VLOOKUP(K201,TL[],4,FALSE)</f>
        <v/>
      </c>
    </row>
    <row r="202">
      <c r="G202" s="220">
        <f>SUM(C202)-SUM(D202)</f>
        <v/>
      </c>
      <c r="H202" s="220">
        <f>SUM(E202)-SUM(F202)</f>
        <v/>
      </c>
      <c r="I202" s="221">
        <f>IF(A202="Total",VLOOKUP(B202,CORRESPONDANCE[#All],2,FALSE),#REF!)</f>
        <v/>
      </c>
      <c r="J202" s="350">
        <f>LEFT(A202,1)</f>
        <v/>
      </c>
      <c r="K202" s="347">
        <f>"DIVES"&amp;" - "&amp;A202</f>
        <v/>
      </c>
      <c r="L202" s="347">
        <f>+VLOOKUP(K202,TL[],4,FALSE)</f>
        <v/>
      </c>
    </row>
    <row r="203">
      <c r="G203" s="220">
        <f>SUM(C203)-SUM(D203)</f>
        <v/>
      </c>
      <c r="H203" s="220">
        <f>SUM(E203)-SUM(F203)</f>
        <v/>
      </c>
      <c r="I203" s="221">
        <f>IF(A203="Total",VLOOKUP(B203,CORRESPONDANCE[#All],2,FALSE),#REF!)</f>
        <v/>
      </c>
      <c r="J203" s="350">
        <f>LEFT(A203,1)</f>
        <v/>
      </c>
      <c r="K203" s="347">
        <f>"DIVES"&amp;" - "&amp;A203</f>
        <v/>
      </c>
      <c r="L203" s="347">
        <f>+VLOOKUP(K203,TL[],4,FALSE)</f>
        <v/>
      </c>
    </row>
    <row r="204">
      <c r="G204" s="220">
        <f>SUM(C204)-SUM(D204)</f>
        <v/>
      </c>
      <c r="H204" s="220">
        <f>SUM(E204)-SUM(F204)</f>
        <v/>
      </c>
      <c r="I204" s="221">
        <f>IF(A204="Total",VLOOKUP(B204,CORRESPONDANCE[#All],2,FALSE),#REF!)</f>
        <v/>
      </c>
      <c r="J204" s="350">
        <f>LEFT(A204,1)</f>
        <v/>
      </c>
      <c r="K204" s="347">
        <f>"DIVES"&amp;" - "&amp;A204</f>
        <v/>
      </c>
      <c r="L204" s="347">
        <f>+VLOOKUP(K204,TL[],4,FALSE)</f>
        <v/>
      </c>
    </row>
    <row r="205">
      <c r="G205" s="220">
        <f>SUM(C205)-SUM(D205)</f>
        <v/>
      </c>
      <c r="H205" s="220">
        <f>SUM(E205)-SUM(F205)</f>
        <v/>
      </c>
      <c r="I205" s="221">
        <f>IF(A205="Total",VLOOKUP(B205,CORRESPONDANCE[#All],2,FALSE),#REF!)</f>
        <v/>
      </c>
      <c r="J205" s="350">
        <f>LEFT(A205,1)</f>
        <v/>
      </c>
      <c r="K205" s="347">
        <f>"DIVES"&amp;" - "&amp;A205</f>
        <v/>
      </c>
      <c r="L205" s="347">
        <f>+VLOOKUP(K205,TL[],4,FALSE)</f>
        <v/>
      </c>
    </row>
    <row r="206">
      <c r="G206" s="220">
        <f>SUM(C206)-SUM(D206)</f>
        <v/>
      </c>
      <c r="H206" s="220">
        <f>SUM(E206)-SUM(F206)</f>
        <v/>
      </c>
      <c r="I206" s="221">
        <f>IF(A206="Total",VLOOKUP(B206,CORRESPONDANCE[#All],2,FALSE),#REF!)</f>
        <v/>
      </c>
      <c r="J206" s="350">
        <f>LEFT(A206,1)</f>
        <v/>
      </c>
      <c r="K206" s="347">
        <f>"DIVES"&amp;" - "&amp;A206</f>
        <v/>
      </c>
      <c r="L206" s="347">
        <f>+VLOOKUP(K206,TL[],4,FALSE)</f>
        <v/>
      </c>
    </row>
    <row r="207">
      <c r="G207" s="220">
        <f>SUM(C207)-SUM(D207)</f>
        <v/>
      </c>
      <c r="H207" s="220">
        <f>SUM(E207)-SUM(F207)</f>
        <v/>
      </c>
      <c r="I207" s="221">
        <f>IF(A207="Total",VLOOKUP(B207,CORRESPONDANCE[#All],2,FALSE),#REF!)</f>
        <v/>
      </c>
      <c r="J207" s="350">
        <f>LEFT(A207,1)</f>
        <v/>
      </c>
      <c r="K207" s="347">
        <f>"DIVES"&amp;" - "&amp;A207</f>
        <v/>
      </c>
      <c r="L207" s="347">
        <f>+VLOOKUP(K207,TL[],4,FALSE)</f>
        <v/>
      </c>
    </row>
    <row r="208">
      <c r="G208" s="220">
        <f>SUM(C208)-SUM(D208)</f>
        <v/>
      </c>
      <c r="H208" s="220">
        <f>SUM(E208)-SUM(F208)</f>
        <v/>
      </c>
      <c r="I208" s="221">
        <f>IF(A208="Total",VLOOKUP(B208,CORRESPONDANCE[#All],2,FALSE),#REF!)</f>
        <v/>
      </c>
      <c r="J208" s="350">
        <f>LEFT(A208,1)</f>
        <v/>
      </c>
      <c r="K208" s="347">
        <f>"DIVES"&amp;" - "&amp;A208</f>
        <v/>
      </c>
      <c r="L208" s="347">
        <f>+VLOOKUP(K208,TL[],4,FALSE)</f>
        <v/>
      </c>
    </row>
    <row r="209">
      <c r="G209" s="220">
        <f>SUM(C209)-SUM(D209)</f>
        <v/>
      </c>
      <c r="H209" s="220">
        <f>SUM(E209)-SUM(F209)</f>
        <v/>
      </c>
      <c r="I209" s="221">
        <f>IF(A209="Total",VLOOKUP(B209,CORRESPONDANCE[#All],2,FALSE),#REF!)</f>
        <v/>
      </c>
      <c r="J209" s="350">
        <f>LEFT(A209,1)</f>
        <v/>
      </c>
      <c r="K209" s="347">
        <f>"DIVES"&amp;" - "&amp;A209</f>
        <v/>
      </c>
      <c r="L209" s="347">
        <f>+VLOOKUP(K209,TL[],4,FALSE)</f>
        <v/>
      </c>
    </row>
    <row r="210">
      <c r="G210" s="220">
        <f>SUM(C210)-SUM(D210)</f>
        <v/>
      </c>
      <c r="H210" s="220">
        <f>SUM(E210)-SUM(F210)</f>
        <v/>
      </c>
      <c r="I210" s="221">
        <f>IF(A210="Total",VLOOKUP(B210,CORRESPONDANCE[#All],2,FALSE),#REF!)</f>
        <v/>
      </c>
      <c r="J210" s="350">
        <f>LEFT(A210,1)</f>
        <v/>
      </c>
      <c r="K210" s="347">
        <f>"DIVES"&amp;" - "&amp;A210</f>
        <v/>
      </c>
      <c r="L210" s="347">
        <f>+VLOOKUP(K210,TL[],4,FALSE)</f>
        <v/>
      </c>
    </row>
    <row r="211">
      <c r="G211" s="220">
        <f>SUM(C211)-SUM(D211)</f>
        <v/>
      </c>
      <c r="H211" s="220">
        <f>SUM(E211)-SUM(F211)</f>
        <v/>
      </c>
      <c r="I211" s="221">
        <f>IF(A211="Total",VLOOKUP(B211,CORRESPONDANCE[#All],2,FALSE),#REF!)</f>
        <v/>
      </c>
      <c r="J211" s="350">
        <f>LEFT(A211,1)</f>
        <v/>
      </c>
      <c r="K211" s="347">
        <f>"DIVES"&amp;" - "&amp;A211</f>
        <v/>
      </c>
      <c r="L211" s="347">
        <f>+VLOOKUP(K211,TL[],4,FALSE)</f>
        <v/>
      </c>
    </row>
    <row r="212">
      <c r="G212" s="220">
        <f>SUM(C212)-SUM(D212)</f>
        <v/>
      </c>
      <c r="H212" s="220">
        <f>SUM(E212)-SUM(F212)</f>
        <v/>
      </c>
      <c r="I212" s="221">
        <f>IF(A212="Total",VLOOKUP(B212,CORRESPONDANCE[#All],2,FALSE),#REF!)</f>
        <v/>
      </c>
      <c r="J212" s="350">
        <f>LEFT(A212,1)</f>
        <v/>
      </c>
      <c r="K212" s="347">
        <f>"DIVES"&amp;" - "&amp;A212</f>
        <v/>
      </c>
      <c r="L212" s="347">
        <f>+VLOOKUP(K212,TL[],4,FALSE)</f>
        <v/>
      </c>
    </row>
    <row r="213">
      <c r="G213" s="220">
        <f>SUM(C213)-SUM(D213)</f>
        <v/>
      </c>
      <c r="H213" s="220">
        <f>SUM(E213)-SUM(F213)</f>
        <v/>
      </c>
      <c r="I213" s="221">
        <f>IF(A213="Total",VLOOKUP(B213,CORRESPONDANCE[#All],2,FALSE),#REF!)</f>
        <v/>
      </c>
      <c r="J213" s="350">
        <f>LEFT(A213,1)</f>
        <v/>
      </c>
      <c r="K213" s="347">
        <f>"DIVES"&amp;" - "&amp;A213</f>
        <v/>
      </c>
      <c r="L213" s="347">
        <f>+VLOOKUP(K213,TL[],4,FALSE)</f>
        <v/>
      </c>
    </row>
    <row r="214">
      <c r="G214" s="220">
        <f>SUM(C214)-SUM(D214)</f>
        <v/>
      </c>
      <c r="H214" s="220">
        <f>SUM(E214)-SUM(F214)</f>
        <v/>
      </c>
      <c r="I214" s="221">
        <f>IF(A214="Total",VLOOKUP(B214,CORRESPONDANCE[#All],2,FALSE),#REF!)</f>
        <v/>
      </c>
      <c r="J214" s="350">
        <f>LEFT(A214,1)</f>
        <v/>
      </c>
      <c r="K214" s="347">
        <f>"DIVES"&amp;" - "&amp;A214</f>
        <v/>
      </c>
      <c r="L214" s="347">
        <f>+VLOOKUP(K214,TL[],4,FALSE)</f>
        <v/>
      </c>
    </row>
    <row r="215">
      <c r="G215" s="220">
        <f>SUM(C215)-SUM(D215)</f>
        <v/>
      </c>
      <c r="H215" s="220">
        <f>SUM(E215)-SUM(F215)</f>
        <v/>
      </c>
      <c r="I215" s="221">
        <f>IF(A215="Total",VLOOKUP(B215,CORRESPONDANCE[#All],2,FALSE),#REF!)</f>
        <v/>
      </c>
      <c r="J215" s="350">
        <f>LEFT(A215,1)</f>
        <v/>
      </c>
      <c r="K215" s="347">
        <f>"DIVES"&amp;" - "&amp;A215</f>
        <v/>
      </c>
      <c r="L215" s="347">
        <f>+VLOOKUP(K215,TL[],4,FALSE)</f>
        <v/>
      </c>
    </row>
    <row r="216">
      <c r="G216" s="220">
        <f>SUM(C216)-SUM(D216)</f>
        <v/>
      </c>
      <c r="H216" s="220">
        <f>SUM(E216)-SUM(F216)</f>
        <v/>
      </c>
      <c r="I216" s="221">
        <f>IF(A216="Total",VLOOKUP(B216,CORRESPONDANCE[#All],2,FALSE),#REF!)</f>
        <v/>
      </c>
      <c r="J216" s="350">
        <f>LEFT(A216,1)</f>
        <v/>
      </c>
      <c r="K216" s="347">
        <f>"DIVES"&amp;" - "&amp;A216</f>
        <v/>
      </c>
      <c r="L216" s="347">
        <f>+VLOOKUP(K216,TL[],4,FALSE)</f>
        <v/>
      </c>
    </row>
    <row r="217">
      <c r="G217" s="220">
        <f>SUM(C217)-SUM(D217)</f>
        <v/>
      </c>
      <c r="H217" s="220">
        <f>SUM(E217)-SUM(F217)</f>
        <v/>
      </c>
      <c r="I217" s="221">
        <f>IF(A217="Total",VLOOKUP(B217,CORRESPONDANCE[#All],2,FALSE),#REF!)</f>
        <v/>
      </c>
      <c r="J217" s="350">
        <f>LEFT(A217,1)</f>
        <v/>
      </c>
      <c r="K217" s="347">
        <f>"DIVES"&amp;" - "&amp;A217</f>
        <v/>
      </c>
      <c r="L217" s="347">
        <f>+VLOOKUP(K217,TL[],4,FALSE)</f>
        <v/>
      </c>
    </row>
    <row r="218">
      <c r="G218" s="220">
        <f>SUM(C218)-SUM(D218)</f>
        <v/>
      </c>
      <c r="H218" s="220">
        <f>SUM(E218)-SUM(F218)</f>
        <v/>
      </c>
      <c r="I218" s="221">
        <f>IF(A218="Total",VLOOKUP(B218,CORRESPONDANCE[#All],2,FALSE),#REF!)</f>
        <v/>
      </c>
      <c r="J218" s="350">
        <f>LEFT(A218,1)</f>
        <v/>
      </c>
      <c r="K218" s="347">
        <f>"DIVES"&amp;" - "&amp;A218</f>
        <v/>
      </c>
      <c r="L218" s="347">
        <f>+VLOOKUP(K218,TL[],4,FALSE)</f>
        <v/>
      </c>
    </row>
    <row r="219">
      <c r="G219" s="220">
        <f>SUM(C219)-SUM(D219)</f>
        <v/>
      </c>
      <c r="H219" s="220">
        <f>SUM(E219)-SUM(F219)</f>
        <v/>
      </c>
      <c r="I219" s="221">
        <f>IF(A219="Total",VLOOKUP(B219,CORRESPONDANCE[#All],2,FALSE),#REF!)</f>
        <v/>
      </c>
      <c r="J219" s="350">
        <f>LEFT(A219,1)</f>
        <v/>
      </c>
      <c r="K219" s="347">
        <f>"DIVES"&amp;" - "&amp;A219</f>
        <v/>
      </c>
      <c r="L219" s="347">
        <f>+VLOOKUP(K219,TL[],4,FALSE)</f>
        <v/>
      </c>
    </row>
    <row r="220">
      <c r="G220" s="220">
        <f>SUM(C220)-SUM(D220)</f>
        <v/>
      </c>
      <c r="H220" s="220">
        <f>SUM(E220)-SUM(F220)</f>
        <v/>
      </c>
      <c r="I220" s="221">
        <f>IF(A220="Total",VLOOKUP(B220,CORRESPONDANCE[#All],2,FALSE),#REF!)</f>
        <v/>
      </c>
      <c r="J220" s="350">
        <f>LEFT(A220,1)</f>
        <v/>
      </c>
      <c r="K220" s="347">
        <f>"DIVES"&amp;" - "&amp;A220</f>
        <v/>
      </c>
      <c r="L220" s="347">
        <f>+VLOOKUP(K220,TL[],4,FALSE)</f>
        <v/>
      </c>
    </row>
    <row r="221">
      <c r="G221" s="220">
        <f>SUM(C221)-SUM(D221)</f>
        <v/>
      </c>
      <c r="H221" s="220">
        <f>SUM(E221)-SUM(F221)</f>
        <v/>
      </c>
      <c r="I221" s="221">
        <f>IF(A221="Total",VLOOKUP(B221,CORRESPONDANCE[#All],2,FALSE),#REF!)</f>
        <v/>
      </c>
      <c r="J221" s="350">
        <f>LEFT(A221,1)</f>
        <v/>
      </c>
      <c r="K221" s="347">
        <f>"DIVES"&amp;" - "&amp;A221</f>
        <v/>
      </c>
      <c r="L221" s="347">
        <f>+VLOOKUP(K221,TL[],4,FALSE)</f>
        <v/>
      </c>
    </row>
    <row r="222">
      <c r="G222" s="220">
        <f>SUM(C222)-SUM(D222)</f>
        <v/>
      </c>
      <c r="H222" s="220">
        <f>SUM(E222)-SUM(F222)</f>
        <v/>
      </c>
      <c r="I222" s="221">
        <f>IF(A222="Total",VLOOKUP(B222,CORRESPONDANCE[#All],2,FALSE),#REF!)</f>
        <v/>
      </c>
      <c r="J222" s="350">
        <f>LEFT(A222,1)</f>
        <v/>
      </c>
      <c r="K222" s="347">
        <f>"DIVES"&amp;" - "&amp;A222</f>
        <v/>
      </c>
      <c r="L222" s="347">
        <f>+VLOOKUP(K222,TL[],4,FALSE)</f>
        <v/>
      </c>
    </row>
    <row r="223">
      <c r="G223" s="220">
        <f>SUM(C223)-SUM(D223)</f>
        <v/>
      </c>
      <c r="H223" s="220">
        <f>SUM(E223)-SUM(F223)</f>
        <v/>
      </c>
      <c r="I223" s="221">
        <f>IF(A223="Total",VLOOKUP(B223,CORRESPONDANCE[#All],2,FALSE),#REF!)</f>
        <v/>
      </c>
      <c r="J223" s="350">
        <f>LEFT(A223,1)</f>
        <v/>
      </c>
      <c r="K223" s="347">
        <f>"DIVES"&amp;" - "&amp;A223</f>
        <v/>
      </c>
      <c r="L223" s="347">
        <f>+VLOOKUP(K223,TL[],4,FALSE)</f>
        <v/>
      </c>
    </row>
    <row r="224">
      <c r="G224" s="220">
        <f>SUM(C224)-SUM(D224)</f>
        <v/>
      </c>
      <c r="H224" s="220">
        <f>SUM(E224)-SUM(F224)</f>
        <v/>
      </c>
      <c r="I224" s="221">
        <f>IF(A224="Total",VLOOKUP(B224,CORRESPONDANCE[#All],2,FALSE),#REF!)</f>
        <v/>
      </c>
      <c r="J224" s="350">
        <f>LEFT(A224,1)</f>
        <v/>
      </c>
      <c r="K224" s="347">
        <f>"DIVES"&amp;" - "&amp;A224</f>
        <v/>
      </c>
      <c r="L224" s="347">
        <f>+VLOOKUP(K224,TL[],4,FALSE)</f>
        <v/>
      </c>
    </row>
    <row r="225">
      <c r="G225" s="220">
        <f>SUM(C225)-SUM(D225)</f>
        <v/>
      </c>
      <c r="H225" s="220">
        <f>SUM(E225)-SUM(F225)</f>
        <v/>
      </c>
      <c r="I225" s="221">
        <f>IF(A225="Total",VLOOKUP(B225,CORRESPONDANCE[#All],2,FALSE),#REF!)</f>
        <v/>
      </c>
      <c r="J225" s="350">
        <f>LEFT(A225,1)</f>
        <v/>
      </c>
      <c r="K225" s="347">
        <f>"DIVES"&amp;" - "&amp;A225</f>
        <v/>
      </c>
      <c r="L225" s="347">
        <f>+VLOOKUP(K225,TL[],4,FALSE)</f>
        <v/>
      </c>
    </row>
    <row r="226">
      <c r="G226" s="220">
        <f>SUM(C226)-SUM(D226)</f>
        <v/>
      </c>
      <c r="H226" s="220">
        <f>SUM(E226)-SUM(F226)</f>
        <v/>
      </c>
      <c r="I226" s="221">
        <f>IF(A226="Total",VLOOKUP(B226,CORRESPONDANCE[#All],2,FALSE),#REF!)</f>
        <v/>
      </c>
      <c r="J226" s="350">
        <f>LEFT(A226,1)</f>
        <v/>
      </c>
      <c r="K226" s="347">
        <f>"DIVES"&amp;" - "&amp;A226</f>
        <v/>
      </c>
      <c r="L226" s="347">
        <f>+VLOOKUP(K226,TL[],4,FALSE)</f>
        <v/>
      </c>
    </row>
    <row r="227">
      <c r="G227" s="220">
        <f>SUM(C227)-SUM(D227)</f>
        <v/>
      </c>
      <c r="H227" s="220">
        <f>SUM(E227)-SUM(F227)</f>
        <v/>
      </c>
      <c r="I227" s="221">
        <f>IF(A227="Total",VLOOKUP(B227,CORRESPONDANCE[#All],2,FALSE),#REF!)</f>
        <v/>
      </c>
      <c r="J227" s="350">
        <f>LEFT(A227,1)</f>
        <v/>
      </c>
      <c r="K227" s="347">
        <f>"DIVES"&amp;" - "&amp;A227</f>
        <v/>
      </c>
      <c r="L227" s="347">
        <f>+VLOOKUP(K227,TL[],4,FALSE)</f>
        <v/>
      </c>
    </row>
    <row r="228">
      <c r="G228" s="220">
        <f>SUM(C228)-SUM(D228)</f>
        <v/>
      </c>
      <c r="H228" s="220">
        <f>SUM(E228)-SUM(F228)</f>
        <v/>
      </c>
      <c r="I228" s="221">
        <f>IF(A228="Total",VLOOKUP(B228,CORRESPONDANCE[#All],2,FALSE),#REF!)</f>
        <v/>
      </c>
      <c r="J228" s="350">
        <f>LEFT(A228,1)</f>
        <v/>
      </c>
      <c r="K228" s="347">
        <f>"DIVES"&amp;" - "&amp;A228</f>
        <v/>
      </c>
      <c r="L228" s="347">
        <f>+VLOOKUP(K228,TL[],4,FALSE)</f>
        <v/>
      </c>
    </row>
    <row r="229">
      <c r="G229" s="220">
        <f>SUM(C229)-SUM(D229)</f>
        <v/>
      </c>
      <c r="H229" s="220">
        <f>SUM(E229)-SUM(F229)</f>
        <v/>
      </c>
      <c r="I229" s="221">
        <f>IF(A229="Total",VLOOKUP(B229,CORRESPONDANCE[#All],2,FALSE),#REF!)</f>
        <v/>
      </c>
      <c r="J229" s="350">
        <f>LEFT(A229,1)</f>
        <v/>
      </c>
      <c r="K229" s="347">
        <f>"DIVES"&amp;" - "&amp;A229</f>
        <v/>
      </c>
      <c r="L229" s="347">
        <f>+VLOOKUP(K229,TL[],4,FALSE)</f>
        <v/>
      </c>
    </row>
    <row r="230">
      <c r="G230" s="220">
        <f>SUM(C230)-SUM(D230)</f>
        <v/>
      </c>
      <c r="H230" s="220">
        <f>SUM(E230)-SUM(F230)</f>
        <v/>
      </c>
      <c r="I230" s="221">
        <f>IF(A230="Total",VLOOKUP(B230,CORRESPONDANCE[#All],2,FALSE),#REF!)</f>
        <v/>
      </c>
      <c r="J230" s="350">
        <f>LEFT(A230,1)</f>
        <v/>
      </c>
      <c r="K230" s="347">
        <f>"DIVES"&amp;" - "&amp;A230</f>
        <v/>
      </c>
      <c r="L230" s="347">
        <f>+VLOOKUP(K230,TL[],4,FALSE)</f>
        <v/>
      </c>
    </row>
    <row r="231">
      <c r="G231" s="220">
        <f>SUM(C231)-SUM(D231)</f>
        <v/>
      </c>
      <c r="H231" s="220">
        <f>SUM(E231)-SUM(F231)</f>
        <v/>
      </c>
      <c r="I231" s="221">
        <f>IF(A231="Total",VLOOKUP(B231,CORRESPONDANCE[#All],2,FALSE),#REF!)</f>
        <v/>
      </c>
      <c r="J231" s="350">
        <f>LEFT(A231,1)</f>
        <v/>
      </c>
      <c r="K231" s="347">
        <f>"DIVES"&amp;" - "&amp;A231</f>
        <v/>
      </c>
      <c r="L231" s="347">
        <f>+VLOOKUP(K231,TL[],4,FALSE)</f>
        <v/>
      </c>
    </row>
    <row r="232">
      <c r="G232" s="220">
        <f>SUM(C232)-SUM(D232)</f>
        <v/>
      </c>
      <c r="H232" s="220">
        <f>SUM(E232)-SUM(F232)</f>
        <v/>
      </c>
      <c r="I232" s="221">
        <f>IF(A232="Total",VLOOKUP(B232,CORRESPONDANCE[#All],2,FALSE),#REF!)</f>
        <v/>
      </c>
      <c r="J232" s="350">
        <f>LEFT(A232,1)</f>
        <v/>
      </c>
      <c r="K232" s="347">
        <f>"DIVES"&amp;" - "&amp;A232</f>
        <v/>
      </c>
      <c r="L232" s="347">
        <f>+VLOOKUP(K232,TL[],4,FALSE)</f>
        <v/>
      </c>
    </row>
    <row r="233">
      <c r="G233" s="220">
        <f>SUM(C233)-SUM(D233)</f>
        <v/>
      </c>
      <c r="H233" s="220">
        <f>SUM(E233)-SUM(F233)</f>
        <v/>
      </c>
      <c r="I233" s="221">
        <f>IF(A233="Total",VLOOKUP(B233,CORRESPONDANCE[#All],2,FALSE),#REF!)</f>
        <v/>
      </c>
      <c r="J233" s="350">
        <f>LEFT(A233,1)</f>
        <v/>
      </c>
      <c r="K233" s="347">
        <f>"DIVES"&amp;" - "&amp;A233</f>
        <v/>
      </c>
      <c r="L233" s="347">
        <f>+VLOOKUP(K233,TL[],4,FALSE)</f>
        <v/>
      </c>
    </row>
    <row r="234">
      <c r="G234" s="220">
        <f>SUM(C234)-SUM(D234)</f>
        <v/>
      </c>
      <c r="H234" s="220">
        <f>SUM(E234)-SUM(F234)</f>
        <v/>
      </c>
      <c r="I234" s="221">
        <f>IF(A234="Total",VLOOKUP(B234,CORRESPONDANCE[#All],2,FALSE),#REF!)</f>
        <v/>
      </c>
      <c r="J234" s="350">
        <f>LEFT(A234,1)</f>
        <v/>
      </c>
      <c r="K234" s="347">
        <f>"DIVES"&amp;" - "&amp;A234</f>
        <v/>
      </c>
      <c r="L234" s="347">
        <f>+VLOOKUP(K234,TL[],4,FALSE)</f>
        <v/>
      </c>
    </row>
    <row r="235">
      <c r="G235" s="220">
        <f>SUM(C235)-SUM(D235)</f>
        <v/>
      </c>
      <c r="H235" s="220">
        <f>SUM(E235)-SUM(F235)</f>
        <v/>
      </c>
      <c r="I235" s="221">
        <f>IF(A235="Total",VLOOKUP(B235,CORRESPONDANCE[#All],2,FALSE),#REF!)</f>
        <v/>
      </c>
      <c r="J235" s="350">
        <f>LEFT(A235,1)</f>
        <v/>
      </c>
      <c r="K235" s="347">
        <f>"DIVES"&amp;" - "&amp;A235</f>
        <v/>
      </c>
      <c r="L235" s="347">
        <f>+VLOOKUP(K235,TL[],4,FALSE)</f>
        <v/>
      </c>
    </row>
    <row r="236">
      <c r="G236" s="220">
        <f>SUM(C236)-SUM(D236)</f>
        <v/>
      </c>
      <c r="H236" s="220">
        <f>SUM(E236)-SUM(F236)</f>
        <v/>
      </c>
      <c r="I236" s="221">
        <f>IF(A236="Total",VLOOKUP(B236,CORRESPONDANCE[#All],2,FALSE),#REF!)</f>
        <v/>
      </c>
      <c r="J236" s="350">
        <f>LEFT(A236,1)</f>
        <v/>
      </c>
      <c r="K236" s="347">
        <f>"DIVES"&amp;" - "&amp;A236</f>
        <v/>
      </c>
      <c r="L236" s="347">
        <f>+VLOOKUP(K236,TL[],4,FALSE)</f>
        <v/>
      </c>
    </row>
    <row r="237">
      <c r="G237" s="220">
        <f>SUM(C237)-SUM(D237)</f>
        <v/>
      </c>
      <c r="H237" s="220">
        <f>SUM(E237)-SUM(F237)</f>
        <v/>
      </c>
      <c r="I237" s="221">
        <f>IF(A237="Total",VLOOKUP(B237,CORRESPONDANCE[#All],2,FALSE),#REF!)</f>
        <v/>
      </c>
      <c r="J237" s="350">
        <f>LEFT(A237,1)</f>
        <v/>
      </c>
      <c r="K237" s="347">
        <f>"DIVES"&amp;" - "&amp;A237</f>
        <v/>
      </c>
      <c r="L237" s="347">
        <f>+VLOOKUP(K237,TL[],4,FALSE)</f>
        <v/>
      </c>
    </row>
    <row r="238">
      <c r="G238" s="220">
        <f>SUM(C238)-SUM(D238)</f>
        <v/>
      </c>
      <c r="H238" s="220">
        <f>SUM(E238)-SUM(F238)</f>
        <v/>
      </c>
      <c r="I238" s="221">
        <f>IF(A238="Total",VLOOKUP(B238,CORRESPONDANCE[#All],2,FALSE),#REF!)</f>
        <v/>
      </c>
      <c r="J238" s="350">
        <f>LEFT(A238,1)</f>
        <v/>
      </c>
      <c r="K238" s="347">
        <f>"DIVES"&amp;" - "&amp;A238</f>
        <v/>
      </c>
      <c r="L238" s="347">
        <f>+VLOOKUP(K238,TL[],4,FALSE)</f>
        <v/>
      </c>
    </row>
    <row r="239">
      <c r="G239" s="220">
        <f>SUM(C239)-SUM(D239)</f>
        <v/>
      </c>
      <c r="H239" s="220">
        <f>SUM(E239)-SUM(F239)</f>
        <v/>
      </c>
      <c r="I239" s="221">
        <f>IF(A239="Total",VLOOKUP(B239,CORRESPONDANCE[#All],2,FALSE),#REF!)</f>
        <v/>
      </c>
      <c r="J239" s="350">
        <f>LEFT(A239,1)</f>
        <v/>
      </c>
      <c r="K239" s="347">
        <f>"DIVES"&amp;" - "&amp;A239</f>
        <v/>
      </c>
      <c r="L239" s="347">
        <f>+VLOOKUP(K239,TL[],4,FALSE)</f>
        <v/>
      </c>
    </row>
    <row r="240">
      <c r="G240" s="220">
        <f>SUM(C240)-SUM(D240)</f>
        <v/>
      </c>
      <c r="H240" s="220">
        <f>SUM(E240)-SUM(F240)</f>
        <v/>
      </c>
      <c r="I240" s="221">
        <f>IF(A240="Total",VLOOKUP(B240,CORRESPONDANCE[#All],2,FALSE),#REF!)</f>
        <v/>
      </c>
      <c r="J240" s="350">
        <f>LEFT(A240,1)</f>
        <v/>
      </c>
      <c r="K240" s="347">
        <f>"DIVES"&amp;" - "&amp;A240</f>
        <v/>
      </c>
      <c r="L240" s="347">
        <f>+VLOOKUP(K240,TL[],4,FALSE)</f>
        <v/>
      </c>
    </row>
    <row r="241">
      <c r="G241" s="220">
        <f>SUM(C241)-SUM(D241)</f>
        <v/>
      </c>
      <c r="H241" s="220">
        <f>SUM(E241)-SUM(F241)</f>
        <v/>
      </c>
      <c r="I241" s="221">
        <f>IF(A241="Total",VLOOKUP(B241,CORRESPONDANCE[#All],2,FALSE),#REF!)</f>
        <v/>
      </c>
      <c r="J241" s="350">
        <f>LEFT(A241,1)</f>
        <v/>
      </c>
      <c r="K241" s="347">
        <f>"DIVES"&amp;" - "&amp;A241</f>
        <v/>
      </c>
      <c r="L241" s="347">
        <f>+VLOOKUP(K241,TL[],4,FALSE)</f>
        <v/>
      </c>
    </row>
    <row r="242">
      <c r="G242" s="220">
        <f>SUM(C242)-SUM(D242)</f>
        <v/>
      </c>
      <c r="H242" s="220">
        <f>SUM(E242)-SUM(F242)</f>
        <v/>
      </c>
      <c r="I242" s="221">
        <f>IF(A242="Total",VLOOKUP(B242,CORRESPONDANCE[#All],2,FALSE),#REF!)</f>
        <v/>
      </c>
      <c r="J242" s="350">
        <f>LEFT(A242,1)</f>
        <v/>
      </c>
      <c r="K242" s="347">
        <f>"DIVES"&amp;" - "&amp;A242</f>
        <v/>
      </c>
      <c r="L242" s="347">
        <f>+VLOOKUP(K242,TL[],4,FALSE)</f>
        <v/>
      </c>
    </row>
    <row r="243">
      <c r="G243" s="220">
        <f>SUM(C243)-SUM(D243)</f>
        <v/>
      </c>
      <c r="H243" s="220">
        <f>SUM(E243)-SUM(F243)</f>
        <v/>
      </c>
      <c r="I243" s="221">
        <f>IF(A243="Total",VLOOKUP(B243,CORRESPONDANCE[#All],2,FALSE),#REF!)</f>
        <v/>
      </c>
      <c r="J243" s="350">
        <f>LEFT(A243,1)</f>
        <v/>
      </c>
      <c r="K243" s="347">
        <f>"DIVES"&amp;" - "&amp;A243</f>
        <v/>
      </c>
      <c r="L243" s="347">
        <f>+VLOOKUP(K243,TL[],4,FALSE)</f>
        <v/>
      </c>
    </row>
    <row r="244">
      <c r="G244" s="220">
        <f>SUM(C244)-SUM(D244)</f>
        <v/>
      </c>
      <c r="H244" s="220">
        <f>SUM(E244)-SUM(F244)</f>
        <v/>
      </c>
      <c r="I244" s="221">
        <f>IF(A244="Total",VLOOKUP(B244,CORRESPONDANCE[#All],2,FALSE),#REF!)</f>
        <v/>
      </c>
      <c r="J244" s="350">
        <f>LEFT(A244,1)</f>
        <v/>
      </c>
      <c r="K244" s="347">
        <f>"DIVES"&amp;" - "&amp;A244</f>
        <v/>
      </c>
      <c r="L244" s="347">
        <f>+VLOOKUP(K244,TL[],4,FALSE)</f>
        <v/>
      </c>
    </row>
    <row r="245">
      <c r="G245" s="220">
        <f>SUM(C245)-SUM(D245)</f>
        <v/>
      </c>
      <c r="H245" s="220">
        <f>SUM(E245)-SUM(F245)</f>
        <v/>
      </c>
      <c r="I245" s="221">
        <f>IF(A245="Total",VLOOKUP(B245,CORRESPONDANCE[#All],2,FALSE),#REF!)</f>
        <v/>
      </c>
      <c r="J245" s="350">
        <f>LEFT(A245,1)</f>
        <v/>
      </c>
      <c r="K245" s="347">
        <f>"DIVES"&amp;" - "&amp;A245</f>
        <v/>
      </c>
      <c r="L245" s="347">
        <f>+VLOOKUP(K245,TL[],4,FALSE)</f>
        <v/>
      </c>
    </row>
    <row r="246">
      <c r="G246" s="220">
        <f>SUM(C246)-SUM(D246)</f>
        <v/>
      </c>
      <c r="H246" s="220">
        <f>SUM(E246)-SUM(F246)</f>
        <v/>
      </c>
      <c r="I246" s="221">
        <f>IF(A246="Total",VLOOKUP(B246,CORRESPONDANCE[#All],2,FALSE),#REF!)</f>
        <v/>
      </c>
      <c r="J246" s="350">
        <f>LEFT(A246,1)</f>
        <v/>
      </c>
      <c r="K246" s="347">
        <f>"DIVES"&amp;" - "&amp;A246</f>
        <v/>
      </c>
      <c r="L246" s="347">
        <f>+VLOOKUP(K246,TL[],4,FALSE)</f>
        <v/>
      </c>
    </row>
    <row r="247">
      <c r="G247" s="220">
        <f>SUM(C247)-SUM(D247)</f>
        <v/>
      </c>
      <c r="H247" s="220">
        <f>SUM(E247)-SUM(F247)</f>
        <v/>
      </c>
      <c r="I247" s="221">
        <f>IF(A247="Total",VLOOKUP(B247,CORRESPONDANCE[#All],2,FALSE),#REF!)</f>
        <v/>
      </c>
      <c r="J247" s="350">
        <f>LEFT(A247,1)</f>
        <v/>
      </c>
      <c r="K247" s="347">
        <f>"DIVES"&amp;" - "&amp;A247</f>
        <v/>
      </c>
      <c r="L247" s="347">
        <f>+VLOOKUP(K247,TL[],4,FALSE)</f>
        <v/>
      </c>
    </row>
    <row r="248">
      <c r="G248" s="220">
        <f>SUM(C248)-SUM(D248)</f>
        <v/>
      </c>
      <c r="H248" s="220">
        <f>SUM(E248)-SUM(F248)</f>
        <v/>
      </c>
      <c r="I248" s="221">
        <f>IF(A248="Total",VLOOKUP(B248,CORRESPONDANCE[#All],2,FALSE),#REF!)</f>
        <v/>
      </c>
      <c r="J248" s="350">
        <f>LEFT(A248,1)</f>
        <v/>
      </c>
      <c r="K248" s="347">
        <f>"DIVES"&amp;" - "&amp;A248</f>
        <v/>
      </c>
      <c r="L248" s="347">
        <f>+VLOOKUP(K248,TL[],4,FALSE)</f>
        <v/>
      </c>
    </row>
    <row r="249">
      <c r="G249" s="220">
        <f>SUM(C249)-SUM(D249)</f>
        <v/>
      </c>
      <c r="H249" s="220">
        <f>SUM(E249)-SUM(F249)</f>
        <v/>
      </c>
      <c r="I249" s="221">
        <f>IF(A249="Total",VLOOKUP(B249,CORRESPONDANCE[#All],2,FALSE),#REF!)</f>
        <v/>
      </c>
      <c r="J249" s="350">
        <f>LEFT(A249,1)</f>
        <v/>
      </c>
      <c r="K249" s="347">
        <f>"DIVES"&amp;" - "&amp;A249</f>
        <v/>
      </c>
      <c r="L249" s="347">
        <f>+VLOOKUP(K249,TL[],4,FALSE)</f>
        <v/>
      </c>
    </row>
    <row r="250">
      <c r="G250" s="220">
        <f>SUM(C250)-SUM(D250)</f>
        <v/>
      </c>
      <c r="H250" s="220">
        <f>SUM(E250)-SUM(F250)</f>
        <v/>
      </c>
      <c r="I250" s="221">
        <f>IF(A250="Total",VLOOKUP(B250,CORRESPONDANCE[#All],2,FALSE),#REF!)</f>
        <v/>
      </c>
      <c r="J250" s="350">
        <f>LEFT(A250,1)</f>
        <v/>
      </c>
      <c r="K250" s="347">
        <f>"DIVES"&amp;" - "&amp;A250</f>
        <v/>
      </c>
      <c r="L250" s="347">
        <f>+VLOOKUP(K250,TL[],4,FALSE)</f>
        <v/>
      </c>
    </row>
    <row r="251">
      <c r="G251" s="220">
        <f>SUM(C251)-SUM(D251)</f>
        <v/>
      </c>
      <c r="H251" s="220">
        <f>SUM(E251)-SUM(F251)</f>
        <v/>
      </c>
      <c r="I251" s="221">
        <f>IF(A251="Total",VLOOKUP(B251,CORRESPONDANCE[#All],2,FALSE),#REF!)</f>
        <v/>
      </c>
      <c r="J251" s="350">
        <f>LEFT(A251,1)</f>
        <v/>
      </c>
      <c r="K251" s="347">
        <f>"DIVES"&amp;" - "&amp;A251</f>
        <v/>
      </c>
      <c r="L251" s="347">
        <f>+VLOOKUP(K251,TL[],4,FALSE)</f>
        <v/>
      </c>
    </row>
    <row r="252">
      <c r="G252" s="220">
        <f>SUM(C252)-SUM(D252)</f>
        <v/>
      </c>
      <c r="H252" s="220">
        <f>SUM(E252)-SUM(F252)</f>
        <v/>
      </c>
      <c r="I252" s="221">
        <f>IF(A252="Total",VLOOKUP(B252,CORRESPONDANCE[#All],2,FALSE),#REF!)</f>
        <v/>
      </c>
      <c r="J252" s="350">
        <f>LEFT(A252,1)</f>
        <v/>
      </c>
      <c r="K252" s="347">
        <f>"DIVES"&amp;" - "&amp;A252</f>
        <v/>
      </c>
      <c r="L252" s="347">
        <f>+VLOOKUP(K252,TL[],4,FALSE)</f>
        <v/>
      </c>
    </row>
    <row r="253">
      <c r="G253" s="220">
        <f>SUM(C253)-SUM(D253)</f>
        <v/>
      </c>
      <c r="H253" s="220">
        <f>SUM(E253)-SUM(F253)</f>
        <v/>
      </c>
      <c r="I253" s="221">
        <f>IF(A253="Total",VLOOKUP(B253,CORRESPONDANCE[#All],2,FALSE),#REF!)</f>
        <v/>
      </c>
      <c r="J253" s="350">
        <f>LEFT(A253,1)</f>
        <v/>
      </c>
      <c r="K253" s="347">
        <f>"DIVES"&amp;" - "&amp;A253</f>
        <v/>
      </c>
      <c r="L253" s="347">
        <f>+VLOOKUP(K253,TL[],4,FALSE)</f>
        <v/>
      </c>
    </row>
    <row r="254">
      <c r="G254" s="220">
        <f>SUM(C254)-SUM(D254)</f>
        <v/>
      </c>
      <c r="H254" s="220">
        <f>SUM(E254)-SUM(F254)</f>
        <v/>
      </c>
      <c r="I254" s="221">
        <f>IF(A254="Total",VLOOKUP(B254,CORRESPONDANCE[#All],2,FALSE),#REF!)</f>
        <v/>
      </c>
      <c r="J254" s="350">
        <f>LEFT(A254,1)</f>
        <v/>
      </c>
      <c r="K254" s="347">
        <f>"DIVES"&amp;" - "&amp;A254</f>
        <v/>
      </c>
      <c r="L254" s="347">
        <f>+VLOOKUP(K254,TL[],4,FALSE)</f>
        <v/>
      </c>
    </row>
    <row r="255">
      <c r="G255" s="220">
        <f>SUM(C255)-SUM(D255)</f>
        <v/>
      </c>
      <c r="H255" s="220">
        <f>SUM(E255)-SUM(F255)</f>
        <v/>
      </c>
      <c r="I255" s="221">
        <f>IF(A255="Total",VLOOKUP(B255,CORRESPONDANCE[#All],2,FALSE),#REF!)</f>
        <v/>
      </c>
      <c r="J255" s="350">
        <f>LEFT(A255,1)</f>
        <v/>
      </c>
      <c r="K255" s="347">
        <f>"DIVES"&amp;" - "&amp;A255</f>
        <v/>
      </c>
      <c r="L255" s="347">
        <f>+VLOOKUP(K255,TL[],4,FALSE)</f>
        <v/>
      </c>
    </row>
    <row r="256">
      <c r="G256" s="220">
        <f>SUM(C256)-SUM(D256)</f>
        <v/>
      </c>
      <c r="H256" s="220">
        <f>SUM(E256)-SUM(F256)</f>
        <v/>
      </c>
      <c r="I256" s="221">
        <f>IF(A256="Total",VLOOKUP(B256,CORRESPONDANCE[#All],2,FALSE),#REF!)</f>
        <v/>
      </c>
      <c r="J256" s="350">
        <f>LEFT(A256,1)</f>
        <v/>
      </c>
      <c r="K256" s="347">
        <f>"DIVES"&amp;" - "&amp;A256</f>
        <v/>
      </c>
      <c r="L256" s="347">
        <f>+VLOOKUP(K256,TL[],4,FALSE)</f>
        <v/>
      </c>
    </row>
    <row r="257">
      <c r="G257" s="220">
        <f>SUM(C257)-SUM(D257)</f>
        <v/>
      </c>
      <c r="H257" s="220">
        <f>SUM(E257)-SUM(F257)</f>
        <v/>
      </c>
      <c r="I257" s="221">
        <f>IF(A257="Total",VLOOKUP(B257,CORRESPONDANCE[#All],2,FALSE),#REF!)</f>
        <v/>
      </c>
      <c r="J257" s="350">
        <f>LEFT(A257,1)</f>
        <v/>
      </c>
      <c r="K257" s="347">
        <f>"DIVES"&amp;" - "&amp;A257</f>
        <v/>
      </c>
      <c r="L257" s="347">
        <f>+VLOOKUP(K257,TL[],4,FALSE)</f>
        <v/>
      </c>
    </row>
    <row r="258">
      <c r="G258" s="220">
        <f>SUM(C258)-SUM(D258)</f>
        <v/>
      </c>
      <c r="H258" s="220">
        <f>SUM(E258)-SUM(F258)</f>
        <v/>
      </c>
      <c r="I258" s="221">
        <f>IF(A258="Total",VLOOKUP(B258,CORRESPONDANCE[#All],2,FALSE),#REF!)</f>
        <v/>
      </c>
      <c r="J258" s="350">
        <f>LEFT(A258,1)</f>
        <v/>
      </c>
      <c r="K258" s="347">
        <f>"DIVES"&amp;" - "&amp;A258</f>
        <v/>
      </c>
      <c r="L258" s="347">
        <f>+VLOOKUP(K258,TL[],4,FALSE)</f>
        <v/>
      </c>
    </row>
    <row r="259">
      <c r="G259" s="220">
        <f>SUM(C259)-SUM(D259)</f>
        <v/>
      </c>
      <c r="H259" s="220">
        <f>SUM(E259)-SUM(F259)</f>
        <v/>
      </c>
      <c r="I259" s="221">
        <f>IF(A259="Total",VLOOKUP(B259,CORRESPONDANCE[#All],2,FALSE),#REF!)</f>
        <v/>
      </c>
      <c r="J259" s="350">
        <f>LEFT(A259,1)</f>
        <v/>
      </c>
      <c r="K259" s="347">
        <f>"DIVES"&amp;" - "&amp;A259</f>
        <v/>
      </c>
      <c r="L259" s="347">
        <f>+VLOOKUP(K259,TL[],4,FALSE)</f>
        <v/>
      </c>
    </row>
    <row r="260">
      <c r="G260" s="220">
        <f>SUM(C260)-SUM(D260)</f>
        <v/>
      </c>
      <c r="H260" s="220">
        <f>SUM(E260)-SUM(F260)</f>
        <v/>
      </c>
      <c r="I260" s="221">
        <f>IF(A260="Total",VLOOKUP(B260,CORRESPONDANCE[#All],2,FALSE),#REF!)</f>
        <v/>
      </c>
      <c r="J260" s="350">
        <f>LEFT(A260,1)</f>
        <v/>
      </c>
      <c r="K260" s="347">
        <f>"DIVES"&amp;" - "&amp;A260</f>
        <v/>
      </c>
      <c r="L260" s="347">
        <f>+VLOOKUP(K260,TL[],4,FALSE)</f>
        <v/>
      </c>
    </row>
    <row r="261">
      <c r="G261" s="220">
        <f>SUM(C261)-SUM(D261)</f>
        <v/>
      </c>
      <c r="H261" s="220">
        <f>SUM(E261)-SUM(F261)</f>
        <v/>
      </c>
      <c r="I261" s="221">
        <f>IF(A261="Total",VLOOKUP(B261,CORRESPONDANCE[#All],2,FALSE),#REF!)</f>
        <v/>
      </c>
      <c r="J261" s="350">
        <f>LEFT(A261,1)</f>
        <v/>
      </c>
      <c r="K261" s="347">
        <f>"DIVES"&amp;" - "&amp;A261</f>
        <v/>
      </c>
      <c r="L261" s="347">
        <f>+VLOOKUP(K261,TL[],4,FALSE)</f>
        <v/>
      </c>
    </row>
    <row r="262">
      <c r="G262" s="220">
        <f>SUM(C262)-SUM(D262)</f>
        <v/>
      </c>
      <c r="H262" s="220">
        <f>SUM(E262)-SUM(F262)</f>
        <v/>
      </c>
      <c r="I262" s="221">
        <f>IF(A262="Total",VLOOKUP(B262,CORRESPONDANCE[#All],2,FALSE),#REF!)</f>
        <v/>
      </c>
      <c r="J262" s="350">
        <f>LEFT(A262,1)</f>
        <v/>
      </c>
      <c r="K262" s="347">
        <f>"DIVES"&amp;" - "&amp;A262</f>
        <v/>
      </c>
      <c r="L262" s="347">
        <f>+VLOOKUP(K262,TL[],4,FALSE)</f>
        <v/>
      </c>
    </row>
    <row r="263">
      <c r="G263" s="220">
        <f>SUM(C263)-SUM(D263)</f>
        <v/>
      </c>
      <c r="H263" s="220">
        <f>SUM(E263)-SUM(F263)</f>
        <v/>
      </c>
      <c r="I263" s="221">
        <f>IF(A263="Total",VLOOKUP(B263,CORRESPONDANCE[#All],2,FALSE),#REF!)</f>
        <v/>
      </c>
      <c r="J263" s="350">
        <f>LEFT(A263,1)</f>
        <v/>
      </c>
      <c r="K263" s="347">
        <f>"DIVES"&amp;" - "&amp;A263</f>
        <v/>
      </c>
      <c r="L263" s="347">
        <f>+VLOOKUP(K263,TL[],4,FALSE)</f>
        <v/>
      </c>
    </row>
    <row r="264">
      <c r="G264" s="220">
        <f>SUM(C264)-SUM(D264)</f>
        <v/>
      </c>
      <c r="H264" s="220">
        <f>SUM(E264)-SUM(F264)</f>
        <v/>
      </c>
      <c r="I264" s="221">
        <f>IF(A264="Total",VLOOKUP(B264,CORRESPONDANCE[#All],2,FALSE),#REF!)</f>
        <v/>
      </c>
      <c r="J264" s="350">
        <f>LEFT(A264,1)</f>
        <v/>
      </c>
      <c r="K264" s="347">
        <f>"DIVES"&amp;" - "&amp;A264</f>
        <v/>
      </c>
      <c r="L264" s="347">
        <f>+VLOOKUP(K264,TL[],4,FALSE)</f>
        <v/>
      </c>
    </row>
    <row r="265">
      <c r="G265" s="220">
        <f>SUM(C265)-SUM(D265)</f>
        <v/>
      </c>
      <c r="H265" s="220">
        <f>SUM(E265)-SUM(F265)</f>
        <v/>
      </c>
      <c r="I265" s="221">
        <f>IF(A265="Total",VLOOKUP(B265,CORRESPONDANCE[#All],2,FALSE),#REF!)</f>
        <v/>
      </c>
      <c r="J265" s="350">
        <f>LEFT(A265,1)</f>
        <v/>
      </c>
      <c r="K265" s="347">
        <f>"DIVES"&amp;" - "&amp;A265</f>
        <v/>
      </c>
      <c r="L265" s="347">
        <f>+VLOOKUP(K265,TL[],4,FALSE)</f>
        <v/>
      </c>
    </row>
    <row r="266">
      <c r="G266" s="220">
        <f>SUM(C266)-SUM(D266)</f>
        <v/>
      </c>
      <c r="H266" s="220">
        <f>SUM(E266)-SUM(F266)</f>
        <v/>
      </c>
      <c r="I266" s="221">
        <f>IF(A266="Total",VLOOKUP(B266,CORRESPONDANCE[#All],2,FALSE),#REF!)</f>
        <v/>
      </c>
      <c r="J266" s="350">
        <f>LEFT(A266,1)</f>
        <v/>
      </c>
      <c r="K266" s="347">
        <f>"DIVES"&amp;" - "&amp;A266</f>
        <v/>
      </c>
      <c r="L266" s="347">
        <f>+VLOOKUP(K266,TL[],4,FALSE)</f>
        <v/>
      </c>
    </row>
    <row r="267">
      <c r="G267" s="220">
        <f>SUM(C267)-SUM(D267)</f>
        <v/>
      </c>
      <c r="H267" s="220">
        <f>SUM(E267)-SUM(F267)</f>
        <v/>
      </c>
      <c r="I267" s="221">
        <f>IF(A267="Total",VLOOKUP(B267,CORRESPONDANCE[#All],2,FALSE),#REF!)</f>
        <v/>
      </c>
      <c r="J267" s="350">
        <f>LEFT(A267,1)</f>
        <v/>
      </c>
      <c r="K267" s="347">
        <f>"DIVES"&amp;" - "&amp;A267</f>
        <v/>
      </c>
      <c r="L267" s="347">
        <f>+VLOOKUP(K267,TL[],4,FALSE)</f>
        <v/>
      </c>
    </row>
    <row r="268">
      <c r="G268" s="220">
        <f>SUM(C268)-SUM(D268)</f>
        <v/>
      </c>
      <c r="H268" s="220">
        <f>SUM(E268)-SUM(F268)</f>
        <v/>
      </c>
      <c r="I268" s="221">
        <f>IF(A268="Total",VLOOKUP(B268,CORRESPONDANCE[#All],2,FALSE),#REF!)</f>
        <v/>
      </c>
      <c r="J268" s="350">
        <f>LEFT(A268,1)</f>
        <v/>
      </c>
      <c r="K268" s="347">
        <f>"DIVES"&amp;" - "&amp;A268</f>
        <v/>
      </c>
      <c r="L268" s="347">
        <f>+VLOOKUP(K268,TL[],4,FALSE)</f>
        <v/>
      </c>
    </row>
    <row r="269">
      <c r="G269" s="220">
        <f>SUM(C269)-SUM(D269)</f>
        <v/>
      </c>
      <c r="H269" s="220">
        <f>SUM(E269)-SUM(F269)</f>
        <v/>
      </c>
      <c r="I269" s="221">
        <f>IF(A269="Total",VLOOKUP(B269,CORRESPONDANCE[#All],2,FALSE),#REF!)</f>
        <v/>
      </c>
      <c r="J269" s="350">
        <f>LEFT(A269,1)</f>
        <v/>
      </c>
      <c r="K269" s="347">
        <f>"DIVES"&amp;" - "&amp;A269</f>
        <v/>
      </c>
      <c r="L269" s="347">
        <f>+VLOOKUP(K269,TL[],4,FALSE)</f>
        <v/>
      </c>
    </row>
    <row r="270">
      <c r="G270" s="220">
        <f>SUM(C270)-SUM(D270)</f>
        <v/>
      </c>
      <c r="H270" s="220">
        <f>SUM(E270)-SUM(F270)</f>
        <v/>
      </c>
      <c r="I270" s="221">
        <f>IF(A270="Total",VLOOKUP(B270,CORRESPONDANCE[#All],2,FALSE),#REF!)</f>
        <v/>
      </c>
      <c r="J270" s="350">
        <f>LEFT(A270,1)</f>
        <v/>
      </c>
      <c r="K270" s="347">
        <f>"DIVES"&amp;" - "&amp;A270</f>
        <v/>
      </c>
      <c r="L270" s="347">
        <f>+VLOOKUP(K270,TL[],4,FALSE)</f>
        <v/>
      </c>
    </row>
    <row r="271">
      <c r="G271" s="220">
        <f>SUM(C271)-SUM(D271)</f>
        <v/>
      </c>
      <c r="H271" s="220">
        <f>SUM(E271)-SUM(F271)</f>
        <v/>
      </c>
      <c r="I271" s="221">
        <f>IF(A271="Total",VLOOKUP(B271,CORRESPONDANCE[#All],2,FALSE),#REF!)</f>
        <v/>
      </c>
      <c r="J271" s="350">
        <f>LEFT(A271,1)</f>
        <v/>
      </c>
      <c r="K271" s="347">
        <f>"DIVES"&amp;" - "&amp;A271</f>
        <v/>
      </c>
      <c r="L271" s="347">
        <f>+VLOOKUP(K271,TL[],4,FALSE)</f>
        <v/>
      </c>
    </row>
  </sheetData>
  <autoFilter ref="A1:L265"/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305"/>
  <sheetViews>
    <sheetView zoomScale="85" zoomScaleNormal="85" workbookViewId="0">
      <selection activeCell="A1" sqref="A1:F1048576"/>
    </sheetView>
  </sheetViews>
  <sheetFormatPr baseColWidth="10" defaultColWidth="11.5703125" defaultRowHeight="12.75"/>
  <cols>
    <col width="13.28515625" customWidth="1" style="223" min="7" max="8"/>
    <col width="11.7109375" bestFit="1" customWidth="1" style="224" min="9" max="9"/>
    <col width="11.5703125" customWidth="1" style="347" min="10" max="10"/>
    <col width="17.5703125" bestFit="1" customWidth="1" style="347" min="11" max="11"/>
    <col width="11.5703125" customWidth="1" style="347" min="12" max="16384"/>
  </cols>
  <sheetData>
    <row r="1">
      <c r="A1" s="348" t="inlineStr">
        <is>
          <t>Compte</t>
        </is>
      </c>
      <c r="B1" s="348" t="inlineStr">
        <is>
          <t>Libellé</t>
        </is>
      </c>
      <c r="C1" s="348" t="inlineStr">
        <is>
          <t>Solde du 01/01/2025 au 31/01/2025 : Débit</t>
        </is>
      </c>
      <c r="D1" s="348" t="inlineStr">
        <is>
          <t>Solde du 01/01/2025 au 31/01/2025 : Crédit</t>
        </is>
      </c>
      <c r="E1" s="348" t="inlineStr">
        <is>
          <t>Solde du 01/01/2025 au 31/01/2025 : Débit</t>
        </is>
      </c>
      <c r="F1" s="348" t="inlineStr">
        <is>
          <t>Solde du 01/01/2025 au 31/01/2025 : Crédit</t>
        </is>
      </c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>
      <c r="A2" s="348" t="inlineStr">
        <is>
          <t>70100100</t>
        </is>
      </c>
      <c r="B2" s="348" t="inlineStr">
        <is>
          <t>Ventes de produits finis</t>
        </is>
      </c>
      <c r="C2" s="348" t="n">
        <v>5414.25</v>
      </c>
      <c r="D2" s="348" t="inlineStr"/>
      <c r="E2" s="348" t="n">
        <v>5414.25</v>
      </c>
      <c r="F2" s="348" t="inlineStr"/>
      <c r="G2" s="220">
        <f>SUM(C2)-SUM(D2)</f>
        <v/>
      </c>
      <c r="H2" s="220">
        <f>SUM(E2)-SUM(F2)</f>
        <v/>
      </c>
      <c r="I2" s="221">
        <f>IF(A2="Total",VLOOKUP(B2,CORRESPONDANCE[#All],2,FALSE),I3)</f>
        <v/>
      </c>
      <c r="J2" s="350">
        <f>LEFT(A2,1)</f>
        <v/>
      </c>
      <c r="K2" s="347">
        <f>"R314"&amp;" - "&amp;A2</f>
        <v/>
      </c>
      <c r="L2" s="347">
        <f>+VLOOKUP(K2,TL[],4,FALSE)</f>
        <v/>
      </c>
    </row>
    <row r="3">
      <c r="A3" s="348" t="inlineStr">
        <is>
          <t>70100200</t>
        </is>
      </c>
      <c r="B3" s="348" t="inlineStr">
        <is>
          <t>Ventes alimentaires a 5.5%</t>
        </is>
      </c>
      <c r="C3" s="348" t="inlineStr"/>
      <c r="D3" s="348" t="n">
        <v>1608.07</v>
      </c>
      <c r="E3" s="348" t="inlineStr"/>
      <c r="F3" s="348" t="n">
        <v>1608.07</v>
      </c>
      <c r="G3" s="220">
        <f>SUM(C3)-SUM(D3)</f>
        <v/>
      </c>
      <c r="H3" s="220">
        <f>SUM(E3)-SUM(F3)</f>
        <v/>
      </c>
      <c r="I3" s="221">
        <f>IF(A3="Total",VLOOKUP(B3,CORRESPONDANCE[#All],2,FALSE),I4)</f>
        <v/>
      </c>
      <c r="J3" s="350">
        <f>LEFT(A3,1)</f>
        <v/>
      </c>
      <c r="K3" s="347">
        <f>"R314"&amp;" - "&amp;A3</f>
        <v/>
      </c>
      <c r="L3" s="347">
        <f>+VLOOKUP(K3,TL[],4,FALSE)</f>
        <v/>
      </c>
    </row>
    <row r="4">
      <c r="A4" s="348" t="inlineStr">
        <is>
          <t>70101000</t>
        </is>
      </c>
      <c r="B4" s="348" t="inlineStr">
        <is>
          <t>Ventes alimentaires à 10%</t>
        </is>
      </c>
      <c r="C4" s="348" t="inlineStr"/>
      <c r="D4" s="348" t="n">
        <v>321323.66</v>
      </c>
      <c r="E4" s="348" t="inlineStr"/>
      <c r="F4" s="348" t="n">
        <v>321323.66</v>
      </c>
      <c r="G4" s="220">
        <f>SUM(C4)-SUM(D4)</f>
        <v/>
      </c>
      <c r="H4" s="220">
        <f>SUM(E4)-SUM(F4)</f>
        <v/>
      </c>
      <c r="I4" s="221">
        <f>IF(A4="Total",VLOOKUP(B4,CORRESPONDANCE[#All],2,FALSE),I5)</f>
        <v/>
      </c>
      <c r="J4" s="350">
        <f>LEFT(A4,1)</f>
        <v/>
      </c>
      <c r="K4" s="347">
        <f>"R314"&amp;" - "&amp;A4</f>
        <v/>
      </c>
      <c r="L4" s="347">
        <f>+VLOOKUP(K4,TL[],4,FALSE)</f>
        <v/>
      </c>
    </row>
    <row r="5">
      <c r="A5" s="348" t="inlineStr">
        <is>
          <t>70102000</t>
        </is>
      </c>
      <c r="B5" s="348" t="inlineStr">
        <is>
          <t>Ventes alimentaires à 20%</t>
        </is>
      </c>
      <c r="C5" s="348" t="inlineStr"/>
      <c r="D5" s="348" t="n">
        <v>1038.46</v>
      </c>
      <c r="E5" s="348" t="inlineStr"/>
      <c r="F5" s="348" t="n">
        <v>1038.46</v>
      </c>
      <c r="G5" s="220">
        <f>SUM(C5)-SUM(D5)</f>
        <v/>
      </c>
      <c r="H5" s="220">
        <f>SUM(E5)-SUM(F5)</f>
        <v/>
      </c>
      <c r="I5" s="221">
        <f>IF(A5="Total",VLOOKUP(B5,CORRESPONDANCE[#All],2,FALSE),I6)</f>
        <v/>
      </c>
      <c r="J5" s="350">
        <f>LEFT(A5,1)</f>
        <v/>
      </c>
      <c r="K5" s="347">
        <f>"R314"&amp;" - "&amp;A5</f>
        <v/>
      </c>
      <c r="L5" s="347">
        <f>+VLOOKUP(K5,TL[],4,FALSE)</f>
        <v/>
      </c>
    </row>
    <row r="6">
      <c r="A6" s="348" t="inlineStr">
        <is>
          <t>Total</t>
        </is>
      </c>
      <c r="B6" s="348" t="inlineStr">
        <is>
          <t>Table n°2  -  Ventes produits alimentaires</t>
        </is>
      </c>
      <c r="C6" s="348" t="inlineStr"/>
      <c r="D6" s="348" t="n">
        <v>318555.94</v>
      </c>
      <c r="E6" s="348" t="inlineStr"/>
      <c r="F6" s="348" t="n">
        <v>318555.94</v>
      </c>
      <c r="G6" s="220">
        <f>SUM(C6)-SUM(D6)</f>
        <v/>
      </c>
      <c r="H6" s="220">
        <f>SUM(E6)-SUM(F6)</f>
        <v/>
      </c>
      <c r="I6" s="221">
        <f>IF(A6="Total",VLOOKUP(B6,CORRESPONDANCE[#All],2,FALSE),I7)</f>
        <v/>
      </c>
      <c r="J6" s="350">
        <f>LEFT(A6,1)</f>
        <v/>
      </c>
      <c r="K6" s="347">
        <f>"R314"&amp;" - "&amp;A6</f>
        <v/>
      </c>
      <c r="L6" s="347">
        <f>+VLOOKUP(K6,TL[],4,FALSE)</f>
        <v/>
      </c>
    </row>
    <row r="7">
      <c r="A7" s="348" t="inlineStr">
        <is>
          <t>60110000</t>
        </is>
      </c>
      <c r="B7" s="348" t="inlineStr">
        <is>
          <t>Achats nourriture</t>
        </is>
      </c>
      <c r="C7" s="348" t="n">
        <v>66502.46000000001</v>
      </c>
      <c r="D7" s="348" t="inlineStr"/>
      <c r="E7" s="348" t="n">
        <v>66502.46000000001</v>
      </c>
      <c r="F7" s="348" t="inlineStr"/>
      <c r="G7" s="220">
        <f>SUM(C7)-SUM(D7)</f>
        <v/>
      </c>
      <c r="H7" s="220">
        <f>SUM(E7)-SUM(F7)</f>
        <v/>
      </c>
      <c r="I7" s="221">
        <f>IF(A7="Total",VLOOKUP(B7,CORRESPONDANCE[#All],2,FALSE),I8)</f>
        <v/>
      </c>
      <c r="J7" s="350">
        <f>LEFT(A7,1)</f>
        <v/>
      </c>
      <c r="K7" s="347">
        <f>"R314"&amp;" - "&amp;A7</f>
        <v/>
      </c>
      <c r="L7" s="347">
        <f>+VLOOKUP(K7,TL[],4,FALSE)</f>
        <v/>
      </c>
    </row>
    <row r="8">
      <c r="A8" s="348" t="inlineStr">
        <is>
          <t>60310000</t>
        </is>
      </c>
      <c r="B8" s="348" t="inlineStr">
        <is>
          <t>Var.stocks food</t>
        </is>
      </c>
      <c r="C8" s="348" t="n">
        <v>3899.61</v>
      </c>
      <c r="D8" s="348" t="inlineStr"/>
      <c r="E8" s="348" t="n">
        <v>3899.61</v>
      </c>
      <c r="F8" s="348" t="inlineStr"/>
      <c r="G8" s="220">
        <f>SUM(C8)-SUM(D8)</f>
        <v/>
      </c>
      <c r="H8" s="220">
        <f>SUM(E8)-SUM(F8)</f>
        <v/>
      </c>
      <c r="I8" s="221">
        <f>IF(A8="Total",VLOOKUP(B8,CORRESPONDANCE[#All],2,FALSE),I9)</f>
        <v/>
      </c>
      <c r="J8" s="350">
        <f>LEFT(A8,1)</f>
        <v/>
      </c>
      <c r="K8" s="347">
        <f>"R314"&amp;" - "&amp;A8</f>
        <v/>
      </c>
      <c r="L8" s="347">
        <f>+VLOOKUP(K8,TL[],4,FALSE)</f>
        <v/>
      </c>
    </row>
    <row r="9">
      <c r="A9" s="348" t="inlineStr">
        <is>
          <t>63551100</t>
        </is>
      </c>
      <c r="B9" s="348" t="inlineStr">
        <is>
          <t>Contribution sur boissons sucrées</t>
        </is>
      </c>
      <c r="C9" s="348" t="n">
        <v>930</v>
      </c>
      <c r="D9" s="348" t="inlineStr"/>
      <c r="E9" s="348" t="n">
        <v>930</v>
      </c>
      <c r="F9" s="348" t="inlineStr"/>
      <c r="G9" s="220">
        <f>SUM(C9)-SUM(D9)</f>
        <v/>
      </c>
      <c r="H9" s="220">
        <f>SUM(E9)-SUM(F9)</f>
        <v/>
      </c>
      <c r="I9" s="221">
        <f>IF(A9="Total",VLOOKUP(B9,CORRESPONDANCE[#All],2,FALSE),I10)</f>
        <v/>
      </c>
      <c r="J9" s="350">
        <f>LEFT(A9,1)</f>
        <v/>
      </c>
      <c r="K9" s="347">
        <f>"R314"&amp;" - "&amp;A9</f>
        <v/>
      </c>
      <c r="L9" s="347">
        <f>+VLOOKUP(K9,TL[],4,FALSE)</f>
        <v/>
      </c>
    </row>
    <row r="10">
      <c r="A10" s="348" t="inlineStr">
        <is>
          <t>70800000</t>
        </is>
      </c>
      <c r="B10" s="348" t="inlineStr">
        <is>
          <t>Remise Martin Brower</t>
        </is>
      </c>
      <c r="C10" s="348" t="inlineStr"/>
      <c r="D10" s="348" t="n">
        <v>2269.63</v>
      </c>
      <c r="E10" s="348" t="inlineStr"/>
      <c r="F10" s="348" t="n">
        <v>2269.63</v>
      </c>
      <c r="G10" s="220">
        <f>SUM(C10)-SUM(D10)</f>
        <v/>
      </c>
      <c r="H10" s="220">
        <f>SUM(E10)-SUM(F10)</f>
        <v/>
      </c>
      <c r="I10" s="221">
        <f>IF(A10="Total",VLOOKUP(B10,CORRESPONDANCE[#All],2,FALSE),I11)</f>
        <v/>
      </c>
      <c r="J10" s="350">
        <f>LEFT(A10,1)</f>
        <v/>
      </c>
      <c r="K10" s="347">
        <f>"R314"&amp;" - "&amp;A10</f>
        <v/>
      </c>
      <c r="L10" s="347">
        <f>+VLOOKUP(K10,TL[],4,FALSE)</f>
        <v/>
      </c>
    </row>
    <row r="11">
      <c r="A11" s="348" t="inlineStr">
        <is>
          <t>Total</t>
        </is>
      </c>
      <c r="B11" s="348" t="inlineStr">
        <is>
          <t>Table n°2  -  Coût nourriture : achat nourriture</t>
        </is>
      </c>
      <c r="C11" s="348" t="n">
        <v>69062.44</v>
      </c>
      <c r="D11" s="348" t="inlineStr"/>
      <c r="E11" s="348" t="n">
        <v>69062.44</v>
      </c>
      <c r="F11" s="348" t="inlineStr"/>
      <c r="G11" s="220">
        <f>SUM(C11)-SUM(D11)</f>
        <v/>
      </c>
      <c r="H11" s="220">
        <f>SUM(E11)-SUM(F11)</f>
        <v/>
      </c>
      <c r="I11" s="221">
        <f>IF(A11="Total",VLOOKUP(B11,CORRESPONDANCE[#All],2,FALSE),I12)</f>
        <v/>
      </c>
      <c r="J11" s="350">
        <f>LEFT(A11,1)</f>
        <v/>
      </c>
      <c r="K11" s="347">
        <f>"R314"&amp;" - "&amp;A11</f>
        <v/>
      </c>
      <c r="L11" s="347">
        <f>+VLOOKUP(K11,TL[],4,FALSE)</f>
        <v/>
      </c>
    </row>
    <row r="12">
      <c r="A12" s="348" t="inlineStr">
        <is>
          <t>60110300</t>
        </is>
      </c>
      <c r="B12" s="348" t="inlineStr">
        <is>
          <t>Repas employes</t>
        </is>
      </c>
      <c r="C12" s="348" t="n">
        <v>1654.31</v>
      </c>
      <c r="D12" s="348" t="inlineStr"/>
      <c r="E12" s="348" t="n">
        <v>1654.31</v>
      </c>
      <c r="F12" s="348" t="inlineStr"/>
      <c r="G12" s="220">
        <f>SUM(C12)-SUM(D12)</f>
        <v/>
      </c>
      <c r="H12" s="220">
        <f>SUM(E12)-SUM(F12)</f>
        <v/>
      </c>
      <c r="I12" s="221">
        <f>IF(A12="Total",VLOOKUP(B12,CORRESPONDANCE[#All],2,FALSE),I13)</f>
        <v/>
      </c>
      <c r="J12" s="350">
        <f>LEFT(A12,1)</f>
        <v/>
      </c>
      <c r="K12" s="347">
        <f>"R314"&amp;" - "&amp;A12</f>
        <v/>
      </c>
      <c r="L12" s="347">
        <f>+VLOOKUP(K12,TL[],4,FALSE)</f>
        <v/>
      </c>
    </row>
    <row r="13">
      <c r="A13" s="348" t="inlineStr">
        <is>
          <t>Total</t>
        </is>
      </c>
      <c r="B13" s="348" t="inlineStr">
        <is>
          <t>Table n°2  -  Repas employés</t>
        </is>
      </c>
      <c r="C13" s="348" t="n">
        <v>1654.31</v>
      </c>
      <c r="D13" s="348" t="inlineStr"/>
      <c r="E13" s="348" t="n">
        <v>1654.31</v>
      </c>
      <c r="F13" s="348" t="inlineStr"/>
      <c r="G13" s="220">
        <f>SUM(C13)-SUM(D13)</f>
        <v/>
      </c>
      <c r="H13" s="220">
        <f>SUM(E13)-SUM(F13)</f>
        <v/>
      </c>
      <c r="I13" s="221">
        <f>IF(A13="Total",VLOOKUP(B13,CORRESPONDANCE[#All],2,FALSE),I14)</f>
        <v/>
      </c>
      <c r="J13" s="350">
        <f>LEFT(A13,1)</f>
        <v/>
      </c>
      <c r="K13" s="347">
        <f>"R314"&amp;" - "&amp;A13</f>
        <v/>
      </c>
      <c r="L13" s="347">
        <f>+VLOOKUP(K13,TL[],4,FALSE)</f>
        <v/>
      </c>
    </row>
    <row r="14">
      <c r="A14" s="348" t="inlineStr">
        <is>
          <t>60110200</t>
        </is>
      </c>
      <c r="B14" s="348" t="inlineStr">
        <is>
          <t>Dechets</t>
        </is>
      </c>
      <c r="C14" s="348" t="n">
        <v>2347.48</v>
      </c>
      <c r="D14" s="348" t="inlineStr"/>
      <c r="E14" s="348" t="n">
        <v>2347.48</v>
      </c>
      <c r="F14" s="348" t="inlineStr"/>
      <c r="G14" s="220">
        <f>SUM(C14)-SUM(D14)</f>
        <v/>
      </c>
      <c r="H14" s="220">
        <f>SUM(E14)-SUM(F14)</f>
        <v/>
      </c>
      <c r="I14" s="221">
        <f>IF(A14="Total",VLOOKUP(B14,CORRESPONDANCE[#All],2,FALSE),I15)</f>
        <v/>
      </c>
      <c r="J14" s="350">
        <f>LEFT(A14,1)</f>
        <v/>
      </c>
      <c r="K14" s="347">
        <f>"R314"&amp;" - "&amp;A14</f>
        <v/>
      </c>
      <c r="L14" s="347">
        <f>+VLOOKUP(K14,TL[],4,FALSE)</f>
        <v/>
      </c>
    </row>
    <row r="15">
      <c r="A15" s="348" t="inlineStr">
        <is>
          <t>Total</t>
        </is>
      </c>
      <c r="B15" s="348" t="inlineStr">
        <is>
          <t>Table n°2  -  Déchets Pertes</t>
        </is>
      </c>
      <c r="C15" s="348" t="n">
        <v>2347.48</v>
      </c>
      <c r="D15" s="348" t="inlineStr"/>
      <c r="E15" s="348" t="n">
        <v>2347.48</v>
      </c>
      <c r="F15" s="348" t="inlineStr"/>
      <c r="G15" s="220">
        <f>SUM(C15)-SUM(D15)</f>
        <v/>
      </c>
      <c r="H15" s="220">
        <f>SUM(E15)-SUM(F15)</f>
        <v/>
      </c>
      <c r="I15" s="221">
        <f>IF(A15="Total",VLOOKUP(B15,CORRESPONDANCE[#All],2,FALSE),I16)</f>
        <v/>
      </c>
      <c r="J15" s="350">
        <f>LEFT(A15,1)</f>
        <v/>
      </c>
      <c r="K15" s="347">
        <f>"R314"&amp;" - "&amp;A15</f>
        <v/>
      </c>
      <c r="L15" s="347">
        <f>+VLOOKUP(K15,TL[],4,FALSE)</f>
        <v/>
      </c>
    </row>
    <row r="16">
      <c r="A16" s="348" t="inlineStr">
        <is>
          <t>60220100</t>
        </is>
      </c>
      <c r="B16" s="348" t="inlineStr">
        <is>
          <t>Achats emballage</t>
        </is>
      </c>
      <c r="C16" s="348" t="n">
        <v>6799.59</v>
      </c>
      <c r="D16" s="348" t="inlineStr"/>
      <c r="E16" s="348" t="n">
        <v>6799.59</v>
      </c>
      <c r="F16" s="348" t="inlineStr"/>
      <c r="G16" s="220">
        <f>SUM(C16)-SUM(D16)</f>
        <v/>
      </c>
      <c r="H16" s="220">
        <f>SUM(E16)-SUM(F16)</f>
        <v/>
      </c>
      <c r="I16" s="221">
        <f>IF(A16="Total",VLOOKUP(B16,CORRESPONDANCE[#All],2,FALSE),I17)</f>
        <v/>
      </c>
      <c r="J16" s="350">
        <f>LEFT(A16,1)</f>
        <v/>
      </c>
      <c r="K16" s="347">
        <f>"R314"&amp;" - "&amp;A16</f>
        <v/>
      </c>
      <c r="L16" s="347">
        <f>+VLOOKUP(K16,TL[],4,FALSE)</f>
        <v/>
      </c>
    </row>
    <row r="17">
      <c r="A17" s="348" t="inlineStr">
        <is>
          <t>60320000</t>
        </is>
      </c>
      <c r="B17" s="348" t="inlineStr">
        <is>
          <t>Variat° stock emballage</t>
        </is>
      </c>
      <c r="C17" s="348" t="n">
        <v>1042.35</v>
      </c>
      <c r="D17" s="348" t="inlineStr"/>
      <c r="E17" s="348" t="n">
        <v>1042.35</v>
      </c>
      <c r="F17" s="348" t="inlineStr"/>
      <c r="G17" s="220">
        <f>SUM(C17)-SUM(D17)</f>
        <v/>
      </c>
      <c r="H17" s="220">
        <f>SUM(E17)-SUM(F17)</f>
        <v/>
      </c>
      <c r="I17" s="221">
        <f>IF(A17="Total",VLOOKUP(B17,CORRESPONDANCE[#All],2,FALSE),I18)</f>
        <v/>
      </c>
      <c r="J17" s="350">
        <f>LEFT(A17,1)</f>
        <v/>
      </c>
      <c r="K17" s="347">
        <f>"R314"&amp;" - "&amp;A17</f>
        <v/>
      </c>
      <c r="L17" s="347">
        <f>+VLOOKUP(K17,TL[],4,FALSE)</f>
        <v/>
      </c>
    </row>
    <row r="18">
      <c r="A18" s="348" t="inlineStr">
        <is>
          <t>Total</t>
        </is>
      </c>
      <c r="B18" s="348" t="inlineStr">
        <is>
          <t>Table n°2  -  Coût emballages</t>
        </is>
      </c>
      <c r="C18" s="348" t="n">
        <v>7841.94</v>
      </c>
      <c r="D18" s="348" t="inlineStr"/>
      <c r="E18" s="348" t="n">
        <v>7841.94</v>
      </c>
      <c r="F18" s="348" t="inlineStr"/>
      <c r="G18" s="220">
        <f>SUM(C18)-SUM(D18)</f>
        <v/>
      </c>
      <c r="H18" s="220">
        <f>SUM(E18)-SUM(F18)</f>
        <v/>
      </c>
      <c r="I18" s="221">
        <f>IF(A18="Total",VLOOKUP(B18,CORRESPONDANCE[#All],2,FALSE),I19)</f>
        <v/>
      </c>
      <c r="J18" s="350">
        <f>LEFT(A18,1)</f>
        <v/>
      </c>
      <c r="K18" s="347">
        <f>"R314"&amp;" - "&amp;A18</f>
        <v/>
      </c>
      <c r="L18" s="347">
        <f>+VLOOKUP(K18,TL[],4,FALSE)</f>
        <v/>
      </c>
    </row>
    <row r="19">
      <c r="A19" s="348" t="inlineStr">
        <is>
          <t>60261200</t>
        </is>
      </c>
      <c r="B19" s="348" t="inlineStr">
        <is>
          <t>Vaisselle</t>
        </is>
      </c>
      <c r="C19" s="348" t="n">
        <v>626.47</v>
      </c>
      <c r="D19" s="348" t="inlineStr"/>
      <c r="E19" s="348" t="n">
        <v>626.47</v>
      </c>
      <c r="F19" s="348" t="inlineStr"/>
      <c r="G19" s="220">
        <f>SUM(C19)-SUM(D19)</f>
        <v/>
      </c>
      <c r="H19" s="220">
        <f>SUM(E19)-SUM(F19)</f>
        <v/>
      </c>
      <c r="I19" s="221">
        <f>IF(A19="Total",VLOOKUP(B19,CORRESPONDANCE[#All],2,FALSE),I20)</f>
        <v/>
      </c>
      <c r="J19" s="350">
        <f>LEFT(A19,1)</f>
        <v/>
      </c>
      <c r="K19" s="347">
        <f>"R314"&amp;" - "&amp;A19</f>
        <v/>
      </c>
      <c r="L19" s="347">
        <f>+VLOOKUP(K19,TL[],4,FALSE)</f>
        <v/>
      </c>
    </row>
    <row r="20">
      <c r="A20" s="348" t="inlineStr">
        <is>
          <t>60321100</t>
        </is>
      </c>
      <c r="B20" s="348" t="inlineStr">
        <is>
          <t>Variation stocks vaisselle</t>
        </is>
      </c>
      <c r="C20" s="348" t="inlineStr"/>
      <c r="D20" s="348" t="n">
        <v>402.53</v>
      </c>
      <c r="E20" s="348" t="inlineStr"/>
      <c r="F20" s="348" t="n">
        <v>402.53</v>
      </c>
      <c r="G20" s="220">
        <f>SUM(C20)-SUM(D20)</f>
        <v/>
      </c>
      <c r="H20" s="220">
        <f>SUM(E20)-SUM(F20)</f>
        <v/>
      </c>
      <c r="I20" s="221">
        <f>IF(A20="Total",VLOOKUP(B20,CORRESPONDANCE[#All],2,FALSE),I21)</f>
        <v/>
      </c>
      <c r="J20" s="350">
        <f>LEFT(A20,1)</f>
        <v/>
      </c>
      <c r="K20" s="347">
        <f>"R314"&amp;" - "&amp;A20</f>
        <v/>
      </c>
      <c r="L20" s="347">
        <f>+VLOOKUP(K20,TL[],4,FALSE)</f>
        <v/>
      </c>
    </row>
    <row r="21">
      <c r="A21" s="348" t="inlineStr">
        <is>
          <t>Total</t>
        </is>
      </c>
      <c r="B21" s="348" t="inlineStr">
        <is>
          <t>Table n°2  -  Vaisselle réutilisable</t>
        </is>
      </c>
      <c r="C21" s="348" t="n">
        <v>223.94</v>
      </c>
      <c r="D21" s="348" t="inlineStr"/>
      <c r="E21" s="348" t="n">
        <v>223.94</v>
      </c>
      <c r="F21" s="348" t="inlineStr"/>
      <c r="G21" s="220">
        <f>SUM(C21)-SUM(D21)</f>
        <v/>
      </c>
      <c r="H21" s="220">
        <f>SUM(E21)-SUM(F21)</f>
        <v/>
      </c>
      <c r="I21" s="221">
        <f>IF(A21="Total",VLOOKUP(B21,CORRESPONDANCE[#All],2,FALSE),I22)</f>
        <v/>
      </c>
      <c r="J21" s="350">
        <f>LEFT(A21,1)</f>
        <v/>
      </c>
      <c r="K21" s="347">
        <f>"R314"&amp;" - "&amp;A21</f>
        <v/>
      </c>
      <c r="L21" s="347">
        <f>+VLOOKUP(K21,TL[],4,FALSE)</f>
        <v/>
      </c>
    </row>
    <row r="22">
      <c r="A22" s="348" t="inlineStr">
        <is>
          <t>64110100</t>
        </is>
      </c>
      <c r="B22" s="348" t="inlineStr">
        <is>
          <t>Salaires equipiers</t>
        </is>
      </c>
      <c r="C22" s="348" t="n">
        <v>49640.04</v>
      </c>
      <c r="D22" s="348" t="inlineStr"/>
      <c r="E22" s="348" t="n">
        <v>49640.04</v>
      </c>
      <c r="F22" s="348" t="inlineStr"/>
      <c r="G22" s="220">
        <f>SUM(C22)-SUM(D22)</f>
        <v/>
      </c>
      <c r="H22" s="220">
        <f>SUM(E22)-SUM(F22)</f>
        <v/>
      </c>
      <c r="I22" s="221">
        <f>IF(A22="Total",VLOOKUP(B22,CORRESPONDANCE[#All],2,FALSE),I23)</f>
        <v/>
      </c>
      <c r="J22" s="350">
        <f>LEFT(A22,1)</f>
        <v/>
      </c>
      <c r="K22" s="347">
        <f>"R314"&amp;" - "&amp;A22</f>
        <v/>
      </c>
      <c r="L22" s="347">
        <f>+VLOOKUP(K22,TL[],4,FALSE)</f>
        <v/>
      </c>
    </row>
    <row r="23">
      <c r="A23" s="348" t="inlineStr">
        <is>
          <t>64120000</t>
        </is>
      </c>
      <c r="B23" s="348" t="inlineStr">
        <is>
          <t>Prov conges equipiers</t>
        </is>
      </c>
      <c r="C23" s="348" t="n">
        <v>1499.67</v>
      </c>
      <c r="D23" s="348" t="inlineStr"/>
      <c r="E23" s="348" t="n">
        <v>1499.67</v>
      </c>
      <c r="F23" s="348" t="inlineStr"/>
      <c r="G23" s="220">
        <f>SUM(C23)-SUM(D23)</f>
        <v/>
      </c>
      <c r="H23" s="220">
        <f>SUM(E23)-SUM(F23)</f>
        <v/>
      </c>
      <c r="I23" s="221">
        <f>IF(A23="Total",VLOOKUP(B23,CORRESPONDANCE[#All],2,FALSE),I24)</f>
        <v/>
      </c>
      <c r="J23" s="350">
        <f>LEFT(A23,1)</f>
        <v/>
      </c>
      <c r="K23" s="347">
        <f>"R314"&amp;" - "&amp;A23</f>
        <v/>
      </c>
      <c r="L23" s="347">
        <f>+VLOOKUP(K23,TL[],4,FALSE)</f>
        <v/>
      </c>
    </row>
    <row r="24">
      <c r="A24" s="348" t="inlineStr">
        <is>
          <t>64140100</t>
        </is>
      </c>
      <c r="B24" s="348" t="inlineStr">
        <is>
          <t>A.n equipiers</t>
        </is>
      </c>
      <c r="C24" s="348" t="n">
        <v>2485.58</v>
      </c>
      <c r="D24" s="348" t="inlineStr"/>
      <c r="E24" s="348" t="n">
        <v>2485.58</v>
      </c>
      <c r="F24" s="348" t="inlineStr"/>
      <c r="G24" s="220">
        <f>SUM(C24)-SUM(D24)</f>
        <v/>
      </c>
      <c r="H24" s="220">
        <f>SUM(E24)-SUM(F24)</f>
        <v/>
      </c>
      <c r="I24" s="221">
        <f>IF(A24="Total",VLOOKUP(B24,CORRESPONDANCE[#All],2,FALSE),I25)</f>
        <v/>
      </c>
      <c r="J24" s="350">
        <f>LEFT(A24,1)</f>
        <v/>
      </c>
      <c r="K24" s="347">
        <f>"R314"&amp;" - "&amp;A24</f>
        <v/>
      </c>
      <c r="L24" s="347">
        <f>+VLOOKUP(K24,TL[],4,FALSE)</f>
        <v/>
      </c>
    </row>
    <row r="25">
      <c r="A25" s="348" t="inlineStr">
        <is>
          <t>64140500</t>
        </is>
      </c>
      <c r="B25" s="348" t="inlineStr">
        <is>
          <t>A.n voiture equipiers</t>
        </is>
      </c>
      <c r="C25" s="348" t="n">
        <v>533</v>
      </c>
      <c r="D25" s="348" t="inlineStr"/>
      <c r="E25" s="348" t="n">
        <v>533</v>
      </c>
      <c r="F25" s="348" t="inlineStr"/>
      <c r="G25" s="220">
        <f>SUM(C25)-SUM(D25)</f>
        <v/>
      </c>
      <c r="H25" s="220">
        <f>SUM(E25)-SUM(F25)</f>
        <v/>
      </c>
      <c r="I25" s="221">
        <f>IF(A25="Total",VLOOKUP(B25,CORRESPONDANCE[#All],2,FALSE),I26)</f>
        <v/>
      </c>
      <c r="J25" s="350">
        <f>LEFT(A25,1)</f>
        <v/>
      </c>
      <c r="K25" s="347">
        <f>"R314"&amp;" - "&amp;A25</f>
        <v/>
      </c>
      <c r="L25" s="347">
        <f>+VLOOKUP(K25,TL[],4,FALSE)</f>
        <v/>
      </c>
    </row>
    <row r="26">
      <c r="A26" s="348" t="inlineStr">
        <is>
          <t>64141100</t>
        </is>
      </c>
      <c r="B26" s="348" t="inlineStr">
        <is>
          <t>Ind. blanchis equipiers</t>
        </is>
      </c>
      <c r="C26" s="348" t="n">
        <v>467.74</v>
      </c>
      <c r="D26" s="348" t="inlineStr"/>
      <c r="E26" s="348" t="n">
        <v>467.74</v>
      </c>
      <c r="F26" s="348" t="inlineStr"/>
      <c r="G26" s="220">
        <f>SUM(C26)-SUM(D26)</f>
        <v/>
      </c>
      <c r="H26" s="220">
        <f>SUM(E26)-SUM(F26)</f>
        <v/>
      </c>
      <c r="I26" s="221">
        <f>IF(A26="Total",VLOOKUP(B26,CORRESPONDANCE[#All],2,FALSE),I27)</f>
        <v/>
      </c>
      <c r="J26" s="350">
        <f>LEFT(A26,1)</f>
        <v/>
      </c>
      <c r="K26" s="347">
        <f>"R314"&amp;" - "&amp;A26</f>
        <v/>
      </c>
      <c r="L26" s="347">
        <f>+VLOOKUP(K26,TL[],4,FALSE)</f>
        <v/>
      </c>
    </row>
    <row r="27">
      <c r="A27" s="348" t="inlineStr">
        <is>
          <t>70810100</t>
        </is>
      </c>
      <c r="B27" s="348" t="inlineStr">
        <is>
          <t>Refacturation équipiers</t>
        </is>
      </c>
      <c r="C27" s="348" t="inlineStr"/>
      <c r="D27" s="348" t="n">
        <v>5356.43</v>
      </c>
      <c r="E27" s="348" t="inlineStr"/>
      <c r="F27" s="348" t="n">
        <v>5356.43</v>
      </c>
      <c r="G27" s="220">
        <f>SUM(C27)-SUM(D27)</f>
        <v/>
      </c>
      <c r="H27" s="220">
        <f>SUM(E27)-SUM(F27)</f>
        <v/>
      </c>
      <c r="I27" s="221">
        <f>IF(A27="Total",VLOOKUP(B27,CORRESPONDANCE[#All],2,FALSE),I28)</f>
        <v/>
      </c>
      <c r="J27" s="350">
        <f>LEFT(A27,1)</f>
        <v/>
      </c>
      <c r="K27" s="347">
        <f>"R314"&amp;" - "&amp;A27</f>
        <v/>
      </c>
      <c r="L27" s="347">
        <f>+VLOOKUP(K27,TL[],4,FALSE)</f>
        <v/>
      </c>
    </row>
    <row r="28">
      <c r="A28" s="348" t="inlineStr">
        <is>
          <t>72610000</t>
        </is>
      </c>
      <c r="B28" s="348" t="inlineStr">
        <is>
          <t>AN Nourriture Equipiers</t>
        </is>
      </c>
      <c r="C28" s="348" t="inlineStr"/>
      <c r="D28" s="348" t="n">
        <v>2485.58</v>
      </c>
      <c r="E28" s="348" t="inlineStr"/>
      <c r="F28" s="348" t="n">
        <v>2485.58</v>
      </c>
      <c r="G28" s="220">
        <f>SUM(C28)-SUM(D28)</f>
        <v/>
      </c>
      <c r="H28" s="220">
        <f>SUM(E28)-SUM(F28)</f>
        <v/>
      </c>
      <c r="I28" s="221">
        <f>IF(A28="Total",VLOOKUP(B28,CORRESPONDANCE[#All],2,FALSE),I29)</f>
        <v/>
      </c>
      <c r="J28" s="350">
        <f>LEFT(A28,1)</f>
        <v/>
      </c>
      <c r="K28" s="347">
        <f>"R314"&amp;" - "&amp;A28</f>
        <v/>
      </c>
      <c r="L28" s="347">
        <f>+VLOOKUP(K28,TL[],4,FALSE)</f>
        <v/>
      </c>
    </row>
    <row r="29">
      <c r="A29" s="348" t="inlineStr">
        <is>
          <t>79110500</t>
        </is>
      </c>
      <c r="B29" s="348" t="inlineStr">
        <is>
          <t>Avantages en nat.voiture equipiers</t>
        </is>
      </c>
      <c r="C29" s="348" t="inlineStr"/>
      <c r="D29" s="348" t="n">
        <v>533</v>
      </c>
      <c r="E29" s="348" t="inlineStr"/>
      <c r="F29" s="348" t="n">
        <v>533</v>
      </c>
      <c r="G29" s="220">
        <f>SUM(C29)-SUM(D29)</f>
        <v/>
      </c>
      <c r="H29" s="220">
        <f>SUM(E29)-SUM(F29)</f>
        <v/>
      </c>
      <c r="I29" s="221">
        <f>IF(A29="Total",VLOOKUP(B29,CORRESPONDANCE[#All],2,FALSE),I30)</f>
        <v/>
      </c>
      <c r="J29" s="350">
        <f>LEFT(A29,1)</f>
        <v/>
      </c>
      <c r="K29" s="347">
        <f>"R314"&amp;" - "&amp;A29</f>
        <v/>
      </c>
      <c r="L29" s="347">
        <f>+VLOOKUP(K29,TL[],4,FALSE)</f>
        <v/>
      </c>
    </row>
    <row r="30">
      <c r="A30" s="348" t="inlineStr">
        <is>
          <t>Total</t>
        </is>
      </c>
      <c r="B30" s="348" t="inlineStr">
        <is>
          <t>Table n°2  -  Main d'œuvre brute équipiers</t>
        </is>
      </c>
      <c r="C30" s="348" t="n">
        <v>46251.02</v>
      </c>
      <c r="D30" s="348" t="inlineStr"/>
      <c r="E30" s="348" t="n">
        <v>46251.02</v>
      </c>
      <c r="F30" s="348" t="inlineStr"/>
      <c r="G30" s="220">
        <f>SUM(C30)-SUM(D30)</f>
        <v/>
      </c>
      <c r="H30" s="220">
        <f>SUM(E30)-SUM(F30)</f>
        <v/>
      </c>
      <c r="I30" s="221">
        <f>IF(A30="Total",VLOOKUP(B30,CORRESPONDANCE[#All],2,FALSE),I31)</f>
        <v/>
      </c>
      <c r="J30" s="350">
        <f>LEFT(A30,1)</f>
        <v/>
      </c>
      <c r="K30" s="347">
        <f>"R314"&amp;" - "&amp;A30</f>
        <v/>
      </c>
      <c r="L30" s="347">
        <f>+VLOOKUP(K30,TL[],4,FALSE)</f>
        <v/>
      </c>
    </row>
    <row r="31">
      <c r="A31" s="348" t="inlineStr">
        <is>
          <t>64504100</t>
        </is>
      </c>
      <c r="B31" s="348" t="inlineStr">
        <is>
          <t>Mutuelle equipiers</t>
        </is>
      </c>
      <c r="C31" s="348" t="n">
        <v>245.04</v>
      </c>
      <c r="D31" s="348" t="inlineStr"/>
      <c r="E31" s="348" t="n">
        <v>245.04</v>
      </c>
      <c r="F31" s="348" t="inlineStr"/>
      <c r="G31" s="220">
        <f>SUM(C31)-SUM(D31)</f>
        <v/>
      </c>
      <c r="H31" s="220">
        <f>SUM(E31)-SUM(F31)</f>
        <v/>
      </c>
      <c r="I31" s="221">
        <f>IF(A31="Total",VLOOKUP(B31,CORRESPONDANCE[#All],2,FALSE),I32)</f>
        <v/>
      </c>
      <c r="J31" s="350">
        <f>LEFT(A31,1)</f>
        <v/>
      </c>
      <c r="K31" s="347">
        <f>"R314"&amp;" - "&amp;A31</f>
        <v/>
      </c>
      <c r="L31" s="347">
        <f>+VLOOKUP(K31,TL[],4,FALSE)</f>
        <v/>
      </c>
    </row>
    <row r="32">
      <c r="A32" s="348" t="inlineStr">
        <is>
          <t>64510100</t>
        </is>
      </c>
      <c r="B32" s="348" t="inlineStr">
        <is>
          <t>Urssaf equipiers</t>
        </is>
      </c>
      <c r="C32" s="348" t="n">
        <v>5950.24</v>
      </c>
      <c r="D32" s="348" t="inlineStr"/>
      <c r="E32" s="348" t="n">
        <v>5950.24</v>
      </c>
      <c r="F32" s="348" t="inlineStr"/>
      <c r="G32" s="220">
        <f>SUM(C32)-SUM(D32)</f>
        <v/>
      </c>
      <c r="H32" s="220">
        <f>SUM(E32)-SUM(F32)</f>
        <v/>
      </c>
      <c r="I32" s="221">
        <f>IF(A32="Total",VLOOKUP(B32,CORRESPONDANCE[#All],2,FALSE),I33)</f>
        <v/>
      </c>
      <c r="J32" s="350">
        <f>LEFT(A32,1)</f>
        <v/>
      </c>
      <c r="K32" s="347">
        <f>"R314"&amp;" - "&amp;A32</f>
        <v/>
      </c>
      <c r="L32" s="347">
        <f>+VLOOKUP(K32,TL[],4,FALSE)</f>
        <v/>
      </c>
    </row>
    <row r="33">
      <c r="A33" s="348" t="inlineStr">
        <is>
          <t>64530100</t>
        </is>
      </c>
      <c r="B33" s="348" t="inlineStr">
        <is>
          <t>Retraite et prev equipiers</t>
        </is>
      </c>
      <c r="C33" s="348" t="n">
        <v>1922.21</v>
      </c>
      <c r="D33" s="348" t="inlineStr"/>
      <c r="E33" s="348" t="n">
        <v>1922.21</v>
      </c>
      <c r="F33" s="348" t="inlineStr"/>
      <c r="G33" s="220">
        <f>SUM(C33)-SUM(D33)</f>
        <v/>
      </c>
      <c r="H33" s="220">
        <f>SUM(E33)-SUM(F33)</f>
        <v/>
      </c>
      <c r="I33" s="221">
        <f>IF(A33="Total",VLOOKUP(B33,CORRESPONDANCE[#All],2,FALSE),I34)</f>
        <v/>
      </c>
      <c r="J33" s="350">
        <f>LEFT(A33,1)</f>
        <v/>
      </c>
      <c r="K33" s="347">
        <f>"R314"&amp;" - "&amp;A33</f>
        <v/>
      </c>
      <c r="L33" s="347">
        <f>+VLOOKUP(K33,TL[],4,FALSE)</f>
        <v/>
      </c>
    </row>
    <row r="34">
      <c r="A34" s="348" t="inlineStr">
        <is>
          <t>64540100</t>
        </is>
      </c>
      <c r="B34" s="348" t="inlineStr">
        <is>
          <t>Pole emploi equipiers</t>
        </is>
      </c>
      <c r="C34" s="348" t="n">
        <v>1739.53</v>
      </c>
      <c r="D34" s="348" t="inlineStr"/>
      <c r="E34" s="348" t="n">
        <v>1739.53</v>
      </c>
      <c r="F34" s="348" t="inlineStr"/>
      <c r="G34" s="220">
        <f>SUM(C34)-SUM(D34)</f>
        <v/>
      </c>
      <c r="H34" s="220">
        <f>SUM(E34)-SUM(F34)</f>
        <v/>
      </c>
      <c r="I34" s="221">
        <f>IF(A34="Total",VLOOKUP(B34,CORRESPONDANCE[#All],2,FALSE),I35)</f>
        <v/>
      </c>
      <c r="J34" s="350">
        <f>LEFT(A34,1)</f>
        <v/>
      </c>
      <c r="K34" s="347">
        <f>"R314"&amp;" - "&amp;A34</f>
        <v/>
      </c>
      <c r="L34" s="347">
        <f>+VLOOKUP(K34,TL[],4,FALSE)</f>
        <v/>
      </c>
    </row>
    <row r="35">
      <c r="A35" s="348" t="inlineStr">
        <is>
          <t>64580000</t>
        </is>
      </c>
      <c r="B35" s="348" t="inlineStr">
        <is>
          <t>Cs/cp equipiers</t>
        </is>
      </c>
      <c r="C35" s="348" t="n">
        <v>339.05</v>
      </c>
      <c r="D35" s="348" t="inlineStr"/>
      <c r="E35" s="348" t="n">
        <v>339.05</v>
      </c>
      <c r="F35" s="348" t="inlineStr"/>
      <c r="G35" s="220">
        <f>SUM(C35)-SUM(D35)</f>
        <v/>
      </c>
      <c r="H35" s="220">
        <f>SUM(E35)-SUM(F35)</f>
        <v/>
      </c>
      <c r="I35" s="221">
        <f>IF(A35="Total",VLOOKUP(B35,CORRESPONDANCE[#All],2,FALSE),I36)</f>
        <v/>
      </c>
      <c r="J35" s="350">
        <f>LEFT(A35,1)</f>
        <v/>
      </c>
      <c r="K35" s="347">
        <f>"R314"&amp;" - "&amp;A35</f>
        <v/>
      </c>
      <c r="L35" s="347">
        <f>+VLOOKUP(K35,TL[],4,FALSE)</f>
        <v/>
      </c>
    </row>
    <row r="36">
      <c r="A36" s="348" t="inlineStr">
        <is>
          <t>70810200</t>
        </is>
      </c>
      <c r="B36" s="348" t="inlineStr">
        <is>
          <t>Refacturation équipiers charges</t>
        </is>
      </c>
      <c r="C36" s="348" t="inlineStr"/>
      <c r="D36" s="348" t="n">
        <v>1896.34</v>
      </c>
      <c r="E36" s="348" t="inlineStr"/>
      <c r="F36" s="348" t="n">
        <v>1896.34</v>
      </c>
      <c r="G36" s="220">
        <f>SUM(C36)-SUM(D36)</f>
        <v/>
      </c>
      <c r="H36" s="220">
        <f>SUM(E36)-SUM(F36)</f>
        <v/>
      </c>
      <c r="I36" s="221">
        <f>IF(A36="Total",VLOOKUP(B36,CORRESPONDANCE[#All],2,FALSE),I37)</f>
        <v/>
      </c>
      <c r="J36" s="350">
        <f>LEFT(A36,1)</f>
        <v/>
      </c>
      <c r="K36" s="347">
        <f>"R314"&amp;" - "&amp;A36</f>
        <v/>
      </c>
      <c r="L36" s="347">
        <f>+VLOOKUP(K36,TL[],4,FALSE)</f>
        <v/>
      </c>
    </row>
    <row r="37">
      <c r="A37" s="348" t="inlineStr">
        <is>
          <t>Total</t>
        </is>
      </c>
      <c r="B37" s="348" t="inlineStr">
        <is>
          <t>Table n°2  -  Charges sociales équipiers</t>
        </is>
      </c>
      <c r="C37" s="348" t="n">
        <v>8299.73</v>
      </c>
      <c r="D37" s="348" t="inlineStr"/>
      <c r="E37" s="348" t="n">
        <v>8299.73</v>
      </c>
      <c r="F37" s="348" t="inlineStr"/>
      <c r="G37" s="220">
        <f>SUM(C37)-SUM(D37)</f>
        <v/>
      </c>
      <c r="H37" s="220">
        <f>SUM(E37)-SUM(F37)</f>
        <v/>
      </c>
      <c r="I37" s="221">
        <f>IF(A37="Total",VLOOKUP(B37,CORRESPONDANCE[#All],2,FALSE),I38)</f>
        <v/>
      </c>
      <c r="J37" s="350">
        <f>LEFT(A37,1)</f>
        <v/>
      </c>
      <c r="K37" s="347">
        <f>"R314"&amp;" - "&amp;A37</f>
        <v/>
      </c>
      <c r="L37" s="347">
        <f>+VLOOKUP(K37,TL[],4,FALSE)</f>
        <v/>
      </c>
    </row>
    <row r="38">
      <c r="A38" s="348" t="inlineStr">
        <is>
          <t>64110400</t>
        </is>
      </c>
      <c r="B38" s="348" t="inlineStr">
        <is>
          <t>Salaires managers</t>
        </is>
      </c>
      <c r="C38" s="348" t="n">
        <v>18794.43</v>
      </c>
      <c r="D38" s="348" t="inlineStr"/>
      <c r="E38" s="348" t="n">
        <v>18794.43</v>
      </c>
      <c r="F38" s="348" t="inlineStr"/>
      <c r="G38" s="220">
        <f>SUM(C38)-SUM(D38)</f>
        <v/>
      </c>
      <c r="H38" s="220">
        <f>SUM(E38)-SUM(F38)</f>
        <v/>
      </c>
      <c r="I38" s="221">
        <f>IF(A38="Total",VLOOKUP(B38,CORRESPONDANCE[#All],2,FALSE),I39)</f>
        <v/>
      </c>
      <c r="J38" s="350">
        <f>LEFT(A38,1)</f>
        <v/>
      </c>
      <c r="K38" s="347">
        <f>"R314"&amp;" - "&amp;A38</f>
        <v/>
      </c>
      <c r="L38" s="347">
        <f>+VLOOKUP(K38,TL[],4,FALSE)</f>
        <v/>
      </c>
    </row>
    <row r="39">
      <c r="A39" s="348" t="inlineStr">
        <is>
          <t>64121000</t>
        </is>
      </c>
      <c r="B39" s="348" t="inlineStr">
        <is>
          <t>Prov conges managers</t>
        </is>
      </c>
      <c r="C39" s="348" t="n">
        <v>176.2</v>
      </c>
      <c r="D39" s="348" t="inlineStr"/>
      <c r="E39" s="348" t="n">
        <v>176.2</v>
      </c>
      <c r="F39" s="348" t="inlineStr"/>
      <c r="G39" s="220">
        <f>SUM(C39)-SUM(D39)</f>
        <v/>
      </c>
      <c r="H39" s="220">
        <f>SUM(E39)-SUM(F39)</f>
        <v/>
      </c>
      <c r="I39" s="221">
        <f>IF(A39="Total",VLOOKUP(B39,CORRESPONDANCE[#All],2,FALSE),I40)</f>
        <v/>
      </c>
      <c r="J39" s="350">
        <f>LEFT(A39,1)</f>
        <v/>
      </c>
      <c r="K39" s="347">
        <f>"R314"&amp;" - "&amp;A39</f>
        <v/>
      </c>
      <c r="L39" s="347">
        <f>+VLOOKUP(K39,TL[],4,FALSE)</f>
        <v/>
      </c>
    </row>
    <row r="40">
      <c r="A40" s="348" t="inlineStr">
        <is>
          <t>64140400</t>
        </is>
      </c>
      <c r="B40" s="348" t="inlineStr">
        <is>
          <t>A.n. managers</t>
        </is>
      </c>
      <c r="C40" s="348" t="n">
        <v>468.42</v>
      </c>
      <c r="D40" s="348" t="inlineStr"/>
      <c r="E40" s="348" t="n">
        <v>468.42</v>
      </c>
      <c r="F40" s="348" t="inlineStr"/>
      <c r="G40" s="220">
        <f>SUM(C40)-SUM(D40)</f>
        <v/>
      </c>
      <c r="H40" s="220">
        <f>SUM(E40)-SUM(F40)</f>
        <v/>
      </c>
      <c r="I40" s="221">
        <f>IF(A40="Total",VLOOKUP(B40,CORRESPONDANCE[#All],2,FALSE),I41)</f>
        <v/>
      </c>
      <c r="J40" s="350">
        <f>LEFT(A40,1)</f>
        <v/>
      </c>
      <c r="K40" s="347">
        <f>"R314"&amp;" - "&amp;A40</f>
        <v/>
      </c>
      <c r="L40" s="347">
        <f>+VLOOKUP(K40,TL[],4,FALSE)</f>
        <v/>
      </c>
    </row>
    <row r="41">
      <c r="A41" s="348" t="inlineStr">
        <is>
          <t>64141400</t>
        </is>
      </c>
      <c r="B41" s="348" t="inlineStr">
        <is>
          <t>Ind. blanchissage managers</t>
        </is>
      </c>
      <c r="C41" s="348" t="n">
        <v>145.58</v>
      </c>
      <c r="D41" s="348" t="inlineStr"/>
      <c r="E41" s="348" t="n">
        <v>145.58</v>
      </c>
      <c r="F41" s="348" t="inlineStr"/>
      <c r="G41" s="220">
        <f>SUM(C41)-SUM(D41)</f>
        <v/>
      </c>
      <c r="H41" s="220">
        <f>SUM(E41)-SUM(F41)</f>
        <v/>
      </c>
      <c r="I41" s="221">
        <f>IF(A41="Total",VLOOKUP(B41,CORRESPONDANCE[#All],2,FALSE),I42)</f>
        <v/>
      </c>
      <c r="J41" s="350">
        <f>LEFT(A41,1)</f>
        <v/>
      </c>
      <c r="K41" s="347">
        <f>"R314"&amp;" - "&amp;A41</f>
        <v/>
      </c>
      <c r="L41" s="347">
        <f>+VLOOKUP(K41,TL[],4,FALSE)</f>
        <v/>
      </c>
    </row>
    <row r="42">
      <c r="A42" s="348" t="inlineStr">
        <is>
          <t>72611000</t>
        </is>
      </c>
      <c r="B42" s="348" t="inlineStr">
        <is>
          <t>AN Nourriture Managers</t>
        </is>
      </c>
      <c r="C42" s="348" t="inlineStr"/>
      <c r="D42" s="348" t="n">
        <v>468.42</v>
      </c>
      <c r="E42" s="348" t="inlineStr"/>
      <c r="F42" s="348" t="n">
        <v>468.42</v>
      </c>
      <c r="G42" s="220">
        <f>SUM(C42)-SUM(D42)</f>
        <v/>
      </c>
      <c r="H42" s="220">
        <f>SUM(E42)-SUM(F42)</f>
        <v/>
      </c>
      <c r="I42" s="221">
        <f>IF(A42="Total",VLOOKUP(B42,CORRESPONDANCE[#All],2,FALSE),I43)</f>
        <v/>
      </c>
      <c r="J42" s="350">
        <f>LEFT(A42,1)</f>
        <v/>
      </c>
      <c r="K42" s="347">
        <f>"R314"&amp;" - "&amp;A42</f>
        <v/>
      </c>
      <c r="L42" s="347">
        <f>+VLOOKUP(K42,TL[],4,FALSE)</f>
        <v/>
      </c>
    </row>
    <row r="43">
      <c r="A43" s="348" t="inlineStr">
        <is>
          <t>Total</t>
        </is>
      </c>
      <c r="B43" s="348" t="inlineStr">
        <is>
          <t>Table n°2  -  Main d'œuvre brute équipe de gestio</t>
        </is>
      </c>
      <c r="C43" s="348" t="n">
        <v>19116.21</v>
      </c>
      <c r="D43" s="348" t="inlineStr"/>
      <c r="E43" s="348" t="n">
        <v>19116.21</v>
      </c>
      <c r="F43" s="348" t="inlineStr"/>
      <c r="G43" s="220">
        <f>SUM(C43)-SUM(D43)</f>
        <v/>
      </c>
      <c r="H43" s="220">
        <f>SUM(E43)-SUM(F43)</f>
        <v/>
      </c>
      <c r="I43" s="221">
        <f>IF(A43="Total",VLOOKUP(B43,CORRESPONDANCE[#All],2,FALSE),I44)</f>
        <v/>
      </c>
      <c r="J43" s="350">
        <f>LEFT(A43,1)</f>
        <v/>
      </c>
      <c r="K43" s="347">
        <f>"R314"&amp;" - "&amp;A43</f>
        <v/>
      </c>
      <c r="L43" s="347">
        <f>+VLOOKUP(K43,TL[],4,FALSE)</f>
        <v/>
      </c>
    </row>
    <row r="44">
      <c r="A44" s="348" t="inlineStr">
        <is>
          <t>64504400</t>
        </is>
      </c>
      <c r="B44" s="348" t="inlineStr">
        <is>
          <t>Mutuelle managers</t>
        </is>
      </c>
      <c r="C44" s="348" t="n">
        <v>82.26000000000001</v>
      </c>
      <c r="D44" s="348" t="inlineStr"/>
      <c r="E44" s="348" t="n">
        <v>82.26000000000001</v>
      </c>
      <c r="F44" s="348" t="inlineStr"/>
      <c r="G44" s="220">
        <f>SUM(C44)-SUM(D44)</f>
        <v/>
      </c>
      <c r="H44" s="220">
        <f>SUM(E44)-SUM(F44)</f>
        <v/>
      </c>
      <c r="I44" s="221">
        <f>IF(A44="Total",VLOOKUP(B44,CORRESPONDANCE[#All],2,FALSE),I45)</f>
        <v/>
      </c>
      <c r="J44" s="350">
        <f>LEFT(A44,1)</f>
        <v/>
      </c>
      <c r="K44" s="347">
        <f>"R314"&amp;" - "&amp;A44</f>
        <v/>
      </c>
      <c r="L44" s="347">
        <f>+VLOOKUP(K44,TL[],4,FALSE)</f>
        <v/>
      </c>
    </row>
    <row r="45">
      <c r="A45" s="348" t="inlineStr">
        <is>
          <t>64510400</t>
        </is>
      </c>
      <c r="B45" s="348" t="inlineStr">
        <is>
          <t>Urssaf mgrs</t>
        </is>
      </c>
      <c r="C45" s="348" t="n">
        <v>3067.94</v>
      </c>
      <c r="D45" s="348" t="inlineStr"/>
      <c r="E45" s="348" t="n">
        <v>3067.94</v>
      </c>
      <c r="F45" s="348" t="inlineStr"/>
      <c r="G45" s="220">
        <f>SUM(C45)-SUM(D45)</f>
        <v/>
      </c>
      <c r="H45" s="220">
        <f>SUM(E45)-SUM(F45)</f>
        <v/>
      </c>
      <c r="I45" s="221">
        <f>IF(A45="Total",VLOOKUP(B45,CORRESPONDANCE[#All],2,FALSE),I46)</f>
        <v/>
      </c>
      <c r="J45" s="350">
        <f>LEFT(A45,1)</f>
        <v/>
      </c>
      <c r="K45" s="347">
        <f>"R314"&amp;" - "&amp;A45</f>
        <v/>
      </c>
      <c r="L45" s="347">
        <f>+VLOOKUP(K45,TL[],4,FALSE)</f>
        <v/>
      </c>
    </row>
    <row r="46">
      <c r="A46" s="348" t="inlineStr">
        <is>
          <t>64530400</t>
        </is>
      </c>
      <c r="B46" s="348" t="inlineStr">
        <is>
          <t>Retraite et prev managers</t>
        </is>
      </c>
      <c r="C46" s="348" t="n">
        <v>1040.39</v>
      </c>
      <c r="D46" s="348" t="inlineStr"/>
      <c r="E46" s="348" t="n">
        <v>1040.39</v>
      </c>
      <c r="F46" s="348" t="inlineStr"/>
      <c r="G46" s="220">
        <f>SUM(C46)-SUM(D46)</f>
        <v/>
      </c>
      <c r="H46" s="220">
        <f>SUM(E46)-SUM(F46)</f>
        <v/>
      </c>
      <c r="I46" s="221">
        <f>IF(A46="Total",VLOOKUP(B46,CORRESPONDANCE[#All],2,FALSE),I47)</f>
        <v/>
      </c>
      <c r="J46" s="350">
        <f>LEFT(A46,1)</f>
        <v/>
      </c>
      <c r="K46" s="347">
        <f>"R314"&amp;" - "&amp;A46</f>
        <v/>
      </c>
      <c r="L46" s="347">
        <f>+VLOOKUP(K46,TL[],4,FALSE)</f>
        <v/>
      </c>
    </row>
    <row r="47">
      <c r="A47" s="348" t="inlineStr">
        <is>
          <t>64540400</t>
        </is>
      </c>
      <c r="B47" s="348" t="inlineStr">
        <is>
          <t>Pole emploi managers</t>
        </is>
      </c>
      <c r="C47" s="348" t="n">
        <v>620.35</v>
      </c>
      <c r="D47" s="348" t="inlineStr"/>
      <c r="E47" s="348" t="n">
        <v>620.35</v>
      </c>
      <c r="F47" s="348" t="inlineStr"/>
      <c r="G47" s="220">
        <f>SUM(C47)-SUM(D47)</f>
        <v/>
      </c>
      <c r="H47" s="220">
        <f>SUM(E47)-SUM(F47)</f>
        <v/>
      </c>
      <c r="I47" s="221">
        <f>IF(A47="Total",VLOOKUP(B47,CORRESPONDANCE[#All],2,FALSE),I48)</f>
        <v/>
      </c>
      <c r="J47" s="350">
        <f>LEFT(A47,1)</f>
        <v/>
      </c>
      <c r="K47" s="347">
        <f>"R314"&amp;" - "&amp;A47</f>
        <v/>
      </c>
      <c r="L47" s="347">
        <f>+VLOOKUP(K47,TL[],4,FALSE)</f>
        <v/>
      </c>
    </row>
    <row r="48">
      <c r="A48" s="348" t="inlineStr">
        <is>
          <t>64581000</t>
        </is>
      </c>
      <c r="B48" s="348" t="inlineStr">
        <is>
          <t>Cs/cp managers</t>
        </is>
      </c>
      <c r="C48" s="348" t="n">
        <v>142.6</v>
      </c>
      <c r="D48" s="348" t="inlineStr"/>
      <c r="E48" s="348" t="n">
        <v>142.6</v>
      </c>
      <c r="F48" s="348" t="inlineStr"/>
      <c r="G48" s="220">
        <f>SUM(C48)-SUM(D48)</f>
        <v/>
      </c>
      <c r="H48" s="220">
        <f>SUM(E48)-SUM(F48)</f>
        <v/>
      </c>
      <c r="I48" s="221">
        <f>IF(A48="Total",VLOOKUP(B48,CORRESPONDANCE[#All],2,FALSE),I49)</f>
        <v/>
      </c>
      <c r="J48" s="350">
        <f>LEFT(A48,1)</f>
        <v/>
      </c>
      <c r="K48" s="347">
        <f>"R314"&amp;" - "&amp;A48</f>
        <v/>
      </c>
      <c r="L48" s="347">
        <f>+VLOOKUP(K48,TL[],4,FALSE)</f>
        <v/>
      </c>
    </row>
    <row r="49">
      <c r="A49" s="348" t="inlineStr">
        <is>
          <t>Total</t>
        </is>
      </c>
      <c r="B49" s="348" t="inlineStr">
        <is>
          <t>Table n°2  -  Charges sociales équipe de gestion</t>
        </is>
      </c>
      <c r="C49" s="348" t="n">
        <v>4953.54</v>
      </c>
      <c r="D49" s="348" t="inlineStr"/>
      <c r="E49" s="348" t="n">
        <v>4953.54</v>
      </c>
      <c r="F49" s="348" t="inlineStr"/>
      <c r="G49" s="220">
        <f>SUM(C49)-SUM(D49)</f>
        <v/>
      </c>
      <c r="H49" s="220">
        <f>SUM(E49)-SUM(F49)</f>
        <v/>
      </c>
      <c r="I49" s="221">
        <f>IF(A49="Total",VLOOKUP(B49,CORRESPONDANCE[#All],2,FALSE),I50)</f>
        <v/>
      </c>
      <c r="J49" s="350">
        <f>LEFT(A49,1)</f>
        <v/>
      </c>
      <c r="K49" s="347">
        <f>"R314"&amp;" - "&amp;A49</f>
        <v/>
      </c>
      <c r="L49" s="347">
        <f>+VLOOKUP(K49,TL[],4,FALSE)</f>
        <v/>
      </c>
    </row>
    <row r="50">
      <c r="A50" s="348" t="inlineStr">
        <is>
          <t>61561500</t>
        </is>
      </c>
      <c r="B50" s="348" t="inlineStr">
        <is>
          <t>Contrat entretien linge</t>
        </is>
      </c>
      <c r="C50" s="348" t="n">
        <v>57</v>
      </c>
      <c r="D50" s="348" t="inlineStr"/>
      <c r="E50" s="348" t="n">
        <v>57</v>
      </c>
      <c r="F50" s="348" t="inlineStr"/>
      <c r="G50" s="220">
        <f>SUM(C50)-SUM(D50)</f>
        <v/>
      </c>
      <c r="H50" s="220">
        <f>SUM(E50)-SUM(F50)</f>
        <v/>
      </c>
      <c r="I50" s="221">
        <f>IF(A50="Total",VLOOKUP(B50,CORRESPONDANCE[#All],2,FALSE),I51)</f>
        <v/>
      </c>
      <c r="J50" s="350">
        <f>LEFT(A50,1)</f>
        <v/>
      </c>
      <c r="K50" s="347">
        <f>"R314"&amp;" - "&amp;A50</f>
        <v/>
      </c>
      <c r="L50" s="347">
        <f>+VLOOKUP(K50,TL[],4,FALSE)</f>
        <v/>
      </c>
    </row>
    <row r="51">
      <c r="A51" s="348" t="inlineStr">
        <is>
          <t>61561900</t>
        </is>
      </c>
      <c r="B51" s="348" t="inlineStr">
        <is>
          <t>Contrat nettoyage</t>
        </is>
      </c>
      <c r="C51" s="348" t="n">
        <v>7200</v>
      </c>
      <c r="D51" s="348" t="inlineStr"/>
      <c r="E51" s="348" t="n">
        <v>7200</v>
      </c>
      <c r="F51" s="348" t="inlineStr"/>
      <c r="G51" s="220">
        <f>SUM(C51)-SUM(D51)</f>
        <v/>
      </c>
      <c r="H51" s="220">
        <f>SUM(E51)-SUM(F51)</f>
        <v/>
      </c>
      <c r="I51" s="221">
        <f>IF(A51="Total",VLOOKUP(B51,CORRESPONDANCE[#All],2,FALSE),I52)</f>
        <v/>
      </c>
      <c r="J51" s="350">
        <f>LEFT(A51,1)</f>
        <v/>
      </c>
      <c r="K51" s="347">
        <f>"R314"&amp;" - "&amp;A51</f>
        <v/>
      </c>
      <c r="L51" s="347">
        <f>+VLOOKUP(K51,TL[],4,FALSE)</f>
        <v/>
      </c>
    </row>
    <row r="52">
      <c r="A52" s="348" t="inlineStr">
        <is>
          <t>Total</t>
        </is>
      </c>
      <c r="B52" s="348" t="inlineStr">
        <is>
          <t>Table n°2  -  Nettoyage</t>
        </is>
      </c>
      <c r="C52" s="348" t="n">
        <v>7257</v>
      </c>
      <c r="D52" s="348" t="inlineStr"/>
      <c r="E52" s="348" t="n">
        <v>7257</v>
      </c>
      <c r="F52" s="348" t="inlineStr"/>
      <c r="G52" s="220">
        <f>SUM(C52)-SUM(D52)</f>
        <v/>
      </c>
      <c r="H52" s="220">
        <f>SUM(E52)-SUM(F52)</f>
        <v/>
      </c>
      <c r="I52" s="221">
        <f>IF(A52="Total",VLOOKUP(B52,CORRESPONDANCE[#All],2,FALSE),I53)</f>
        <v/>
      </c>
      <c r="J52" s="350">
        <f>LEFT(A52,1)</f>
        <v/>
      </c>
      <c r="K52" s="347">
        <f>"R314"&amp;" - "&amp;A52</f>
        <v/>
      </c>
      <c r="L52" s="347">
        <f>+VLOOKUP(K52,TL[],4,FALSE)</f>
        <v/>
      </c>
    </row>
    <row r="53">
      <c r="A53" s="348" t="inlineStr">
        <is>
          <t>61562000</t>
        </is>
      </c>
      <c r="B53" s="348" t="inlineStr">
        <is>
          <t>Contrat telesurveillance</t>
        </is>
      </c>
      <c r="C53" s="348" t="n">
        <v>1</v>
      </c>
      <c r="D53" s="348" t="inlineStr"/>
      <c r="E53" s="348" t="n">
        <v>1</v>
      </c>
      <c r="F53" s="348" t="inlineStr"/>
      <c r="G53" s="220">
        <f>SUM(C53)-SUM(D53)</f>
        <v/>
      </c>
      <c r="H53" s="220">
        <f>SUM(E53)-SUM(F53)</f>
        <v/>
      </c>
      <c r="I53" s="221">
        <f>IF(A53="Total",VLOOKUP(B53,CORRESPONDANCE[#All],2,FALSE),I54)</f>
        <v/>
      </c>
      <c r="J53" s="350">
        <f>LEFT(A53,1)</f>
        <v/>
      </c>
      <c r="K53" s="347">
        <f>"R314"&amp;" - "&amp;A53</f>
        <v/>
      </c>
      <c r="L53" s="347">
        <f>+VLOOKUP(K53,TL[],4,FALSE)</f>
        <v/>
      </c>
    </row>
    <row r="54">
      <c r="A54" s="348" t="inlineStr">
        <is>
          <t>61562500</t>
        </is>
      </c>
      <c r="B54" s="348" t="inlineStr">
        <is>
          <t>Contrat intrusion &amp; incendie</t>
        </is>
      </c>
      <c r="C54" s="348" t="n">
        <v>46.67</v>
      </c>
      <c r="D54" s="348" t="inlineStr"/>
      <c r="E54" s="348" t="n">
        <v>46.67</v>
      </c>
      <c r="F54" s="348" t="inlineStr"/>
      <c r="G54" s="220">
        <f>SUM(C54)-SUM(D54)</f>
        <v/>
      </c>
      <c r="H54" s="220">
        <f>SUM(E54)-SUM(F54)</f>
        <v/>
      </c>
      <c r="I54" s="221">
        <f>IF(A54="Total",VLOOKUP(B54,CORRESPONDANCE[#All],2,FALSE),I55)</f>
        <v/>
      </c>
      <c r="J54" s="350">
        <f>LEFT(A54,1)</f>
        <v/>
      </c>
      <c r="K54" s="347">
        <f>"R314"&amp;" - "&amp;A54</f>
        <v/>
      </c>
      <c r="L54" s="347">
        <f>+VLOOKUP(K54,TL[],4,FALSE)</f>
        <v/>
      </c>
    </row>
    <row r="55">
      <c r="A55" s="348" t="inlineStr">
        <is>
          <t>Total</t>
        </is>
      </c>
      <c r="B55" s="348" t="inlineStr">
        <is>
          <t>Table n°2  -  Sécurité et Gardiennage</t>
        </is>
      </c>
      <c r="C55" s="348" t="n">
        <v>47.67</v>
      </c>
      <c r="D55" s="348" t="inlineStr"/>
      <c r="E55" s="348" t="n">
        <v>47.67</v>
      </c>
      <c r="F55" s="348" t="inlineStr"/>
      <c r="G55" s="220">
        <f>SUM(C55)-SUM(D55)</f>
        <v/>
      </c>
      <c r="H55" s="220">
        <f>SUM(E55)-SUM(F55)</f>
        <v/>
      </c>
      <c r="I55" s="221">
        <f>IF(A55="Total",VLOOKUP(B55,CORRESPONDANCE[#All],2,FALSE),I56)</f>
        <v/>
      </c>
      <c r="J55" s="350">
        <f>LEFT(A55,1)</f>
        <v/>
      </c>
      <c r="K55" s="347">
        <f>"R314"&amp;" - "&amp;A55</f>
        <v/>
      </c>
      <c r="L55" s="347">
        <f>+VLOOKUP(K55,TL[],4,FALSE)</f>
        <v/>
      </c>
    </row>
    <row r="56">
      <c r="A56" s="348" t="inlineStr">
        <is>
          <t>62780100</t>
        </is>
      </c>
      <c r="B56" s="348" t="inlineStr">
        <is>
          <t>Commissions bancaires</t>
        </is>
      </c>
      <c r="C56" s="348" t="n">
        <v>242.12</v>
      </c>
      <c r="D56" s="348" t="inlineStr"/>
      <c r="E56" s="348" t="n">
        <v>242.12</v>
      </c>
      <c r="F56" s="348" t="inlineStr"/>
      <c r="G56" s="220">
        <f>SUM(C56)-SUM(D56)</f>
        <v/>
      </c>
      <c r="H56" s="220">
        <f>SUM(E56)-SUM(F56)</f>
        <v/>
      </c>
      <c r="I56" s="221">
        <f>IF(A56="Total",VLOOKUP(B56,CORRESPONDANCE[#All],2,FALSE),I57)</f>
        <v/>
      </c>
      <c r="J56" s="350">
        <f>LEFT(A56,1)</f>
        <v/>
      </c>
      <c r="K56" s="347">
        <f>"R314"&amp;" - "&amp;A56</f>
        <v/>
      </c>
      <c r="L56" s="347">
        <f>+VLOOKUP(K56,TL[],4,FALSE)</f>
        <v/>
      </c>
    </row>
    <row r="57">
      <c r="A57" s="348" t="inlineStr">
        <is>
          <t>62780200</t>
        </is>
      </c>
      <c r="B57" s="348" t="inlineStr">
        <is>
          <t>Commissions cb</t>
        </is>
      </c>
      <c r="C57" s="348" t="n">
        <v>1246.88</v>
      </c>
      <c r="D57" s="348" t="inlineStr"/>
      <c r="E57" s="348" t="n">
        <v>1246.88</v>
      </c>
      <c r="F57" s="348" t="inlineStr"/>
      <c r="G57" s="220">
        <f>SUM(C57)-SUM(D57)</f>
        <v/>
      </c>
      <c r="H57" s="220">
        <f>SUM(E57)-SUM(F57)</f>
        <v/>
      </c>
      <c r="I57" s="221">
        <f>IF(A57="Total",VLOOKUP(B57,CORRESPONDANCE[#All],2,FALSE),I58)</f>
        <v/>
      </c>
      <c r="J57" s="350">
        <f>LEFT(A57,1)</f>
        <v/>
      </c>
      <c r="K57" s="347">
        <f>"R314"&amp;" - "&amp;A57</f>
        <v/>
      </c>
      <c r="L57" s="347">
        <f>+VLOOKUP(K57,TL[],4,FALSE)</f>
        <v/>
      </c>
    </row>
    <row r="58">
      <c r="A58" s="348" t="inlineStr">
        <is>
          <t>62780300</t>
        </is>
      </c>
      <c r="B58" s="348" t="inlineStr">
        <is>
          <t>Commissions tr</t>
        </is>
      </c>
      <c r="C58" s="348" t="n">
        <v>879.1900000000001</v>
      </c>
      <c r="D58" s="348" t="inlineStr"/>
      <c r="E58" s="348" t="n">
        <v>879.1900000000001</v>
      </c>
      <c r="F58" s="348" t="inlineStr"/>
      <c r="G58" s="220">
        <f>SUM(C58)-SUM(D58)</f>
        <v/>
      </c>
      <c r="H58" s="220">
        <f>SUM(E58)-SUM(F58)</f>
        <v/>
      </c>
      <c r="I58" s="221">
        <f>IF(A58="Total",VLOOKUP(B58,CORRESPONDANCE[#All],2,FALSE),I59)</f>
        <v/>
      </c>
      <c r="J58" s="350">
        <f>LEFT(A58,1)</f>
        <v/>
      </c>
      <c r="K58" s="347">
        <f>"R314"&amp;" - "&amp;A58</f>
        <v/>
      </c>
      <c r="L58" s="347">
        <f>+VLOOKUP(K58,TL[],4,FALSE)</f>
        <v/>
      </c>
    </row>
    <row r="59">
      <c r="A59" s="348" t="inlineStr">
        <is>
          <t>62780500</t>
        </is>
      </c>
      <c r="B59" s="348" t="inlineStr">
        <is>
          <t>Commissions cv</t>
        </is>
      </c>
      <c r="C59" s="348" t="n">
        <v>24.88</v>
      </c>
      <c r="D59" s="348" t="inlineStr"/>
      <c r="E59" s="348" t="n">
        <v>24.88</v>
      </c>
      <c r="F59" s="348" t="inlineStr"/>
      <c r="G59" s="220">
        <f>SUM(C59)-SUM(D59)</f>
        <v/>
      </c>
      <c r="H59" s="220">
        <f>SUM(E59)-SUM(F59)</f>
        <v/>
      </c>
      <c r="I59" s="221">
        <f>IF(A59="Total",VLOOKUP(B59,CORRESPONDANCE[#All],2,FALSE),I60)</f>
        <v/>
      </c>
      <c r="J59" s="350">
        <f>LEFT(A59,1)</f>
        <v/>
      </c>
      <c r="K59" s="347">
        <f>"R314"&amp;" - "&amp;A59</f>
        <v/>
      </c>
      <c r="L59" s="347">
        <f>+VLOOKUP(K59,TL[],4,FALSE)</f>
        <v/>
      </c>
    </row>
    <row r="60">
      <c r="A60" s="348" t="inlineStr">
        <is>
          <t>62780700</t>
        </is>
      </c>
      <c r="B60" s="348" t="inlineStr">
        <is>
          <t>Commissions paypal</t>
        </is>
      </c>
      <c r="C60" s="348" t="n">
        <v>11.05</v>
      </c>
      <c r="D60" s="348" t="inlineStr"/>
      <c r="E60" s="348" t="n">
        <v>11.05</v>
      </c>
      <c r="F60" s="348" t="inlineStr"/>
      <c r="G60" s="220">
        <f>SUM(C60)-SUM(D60)</f>
        <v/>
      </c>
      <c r="H60" s="220">
        <f>SUM(E60)-SUM(F60)</f>
        <v/>
      </c>
      <c r="I60" s="221">
        <f>IF(A60="Total",VLOOKUP(B60,CORRESPONDANCE[#All],2,FALSE),I61)</f>
        <v/>
      </c>
      <c r="J60" s="350">
        <f>LEFT(A60,1)</f>
        <v/>
      </c>
      <c r="K60" s="347">
        <f>"R314"&amp;" - "&amp;A60</f>
        <v/>
      </c>
      <c r="L60" s="347">
        <f>+VLOOKUP(K60,TL[],4,FALSE)</f>
        <v/>
      </c>
    </row>
    <row r="61">
      <c r="A61" s="348" t="inlineStr">
        <is>
          <t>Total</t>
        </is>
      </c>
      <c r="B61" s="348" t="inlineStr">
        <is>
          <t>Table n°2  -  Frais bancaires</t>
        </is>
      </c>
      <c r="C61" s="348" t="n">
        <v>2404.12</v>
      </c>
      <c r="D61" s="348" t="inlineStr"/>
      <c r="E61" s="348" t="n">
        <v>2404.12</v>
      </c>
      <c r="F61" s="348" t="inlineStr"/>
      <c r="G61" s="220">
        <f>SUM(C61)-SUM(D61)</f>
        <v/>
      </c>
      <c r="H61" s="220">
        <f>SUM(E61)-SUM(F61)</f>
        <v/>
      </c>
      <c r="I61" s="221">
        <f>IF(A61="Total",VLOOKUP(B61,CORRESPONDANCE[#All],2,FALSE),I62)</f>
        <v/>
      </c>
      <c r="J61" s="350">
        <f>LEFT(A61,1)</f>
        <v/>
      </c>
      <c r="K61" s="347">
        <f>"R314"&amp;" - "&amp;A61</f>
        <v/>
      </c>
      <c r="L61" s="347">
        <f>+VLOOKUP(K61,TL[],4,FALSE)</f>
        <v/>
      </c>
    </row>
    <row r="62">
      <c r="A62" s="348" t="inlineStr">
        <is>
          <t>60630000</t>
        </is>
      </c>
      <c r="B62" s="348" t="inlineStr">
        <is>
          <t>Petit outillage</t>
        </is>
      </c>
      <c r="C62" s="348" t="n">
        <v>261.53</v>
      </c>
      <c r="D62" s="348" t="inlineStr"/>
      <c r="E62" s="348" t="n">
        <v>261.53</v>
      </c>
      <c r="F62" s="348" t="inlineStr"/>
      <c r="G62" s="220">
        <f>SUM(C62)-SUM(D62)</f>
        <v/>
      </c>
      <c r="H62" s="220">
        <f>SUM(E62)-SUM(F62)</f>
        <v/>
      </c>
      <c r="I62" s="221">
        <f>IF(A62="Total",VLOOKUP(B62,CORRESPONDANCE[#All],2,FALSE),I63)</f>
        <v/>
      </c>
      <c r="J62" s="350">
        <f>LEFT(A62,1)</f>
        <v/>
      </c>
      <c r="K62" s="347">
        <f>"R314"&amp;" - "&amp;A62</f>
        <v/>
      </c>
      <c r="L62" s="347">
        <f>+VLOOKUP(K62,TL[],4,FALSE)</f>
        <v/>
      </c>
    </row>
    <row r="63">
      <c r="A63" s="348" t="inlineStr">
        <is>
          <t>Total</t>
        </is>
      </c>
      <c r="B63" s="348" t="inlineStr">
        <is>
          <t>Table n°2  -  Contrats Maintenance et réparations</t>
        </is>
      </c>
      <c r="C63" s="348" t="n">
        <v>261.53</v>
      </c>
      <c r="D63" s="348" t="inlineStr"/>
      <c r="E63" s="348" t="n">
        <v>261.53</v>
      </c>
      <c r="F63" s="348" t="inlineStr"/>
      <c r="G63" s="220">
        <f>SUM(C63)-SUM(D63)</f>
        <v/>
      </c>
      <c r="H63" s="220">
        <f>SUM(E63)-SUM(F63)</f>
        <v/>
      </c>
      <c r="I63" s="221">
        <f>IF(A63="Total",VLOOKUP(B63,CORRESPONDANCE[#All],2,FALSE),I64)</f>
        <v/>
      </c>
      <c r="J63" s="350">
        <f>LEFT(A63,1)</f>
        <v/>
      </c>
      <c r="K63" s="347">
        <f>"R314"&amp;" - "&amp;A63</f>
        <v/>
      </c>
      <c r="L63" s="347">
        <f>+VLOOKUP(K63,TL[],4,FALSE)</f>
        <v/>
      </c>
    </row>
    <row r="64">
      <c r="A64" s="348" t="inlineStr">
        <is>
          <t>61101200</t>
        </is>
      </c>
      <c r="B64" s="348" t="inlineStr">
        <is>
          <t>Contrat accès Sylae</t>
        </is>
      </c>
      <c r="C64" s="348" t="n">
        <v>231</v>
      </c>
      <c r="D64" s="348" t="inlineStr"/>
      <c r="E64" s="348" t="n">
        <v>231</v>
      </c>
      <c r="F64" s="348" t="inlineStr"/>
      <c r="G64" s="220">
        <f>SUM(C64)-SUM(D64)</f>
        <v/>
      </c>
      <c r="H64" s="220">
        <f>SUM(E64)-SUM(F64)</f>
        <v/>
      </c>
      <c r="I64" s="221">
        <f>IF(A64="Total",VLOOKUP(B64,CORRESPONDANCE[#All],2,FALSE),I65)</f>
        <v/>
      </c>
      <c r="J64" s="350">
        <f>LEFT(A64,1)</f>
        <v/>
      </c>
      <c r="K64" s="347">
        <f>"R314"&amp;" - "&amp;A64</f>
        <v/>
      </c>
      <c r="L64" s="347">
        <f>+VLOOKUP(K64,TL[],4,FALSE)</f>
        <v/>
      </c>
    </row>
    <row r="65">
      <c r="A65" s="348" t="inlineStr">
        <is>
          <t>61321000</t>
        </is>
      </c>
      <c r="B65" s="348" t="inlineStr">
        <is>
          <t>Locations interway</t>
        </is>
      </c>
      <c r="C65" s="348" t="n">
        <v>255.96</v>
      </c>
      <c r="D65" s="348" t="inlineStr"/>
      <c r="E65" s="348" t="n">
        <v>255.96</v>
      </c>
      <c r="F65" s="348" t="inlineStr"/>
      <c r="G65" s="220">
        <f>SUM(C65)-SUM(D65)</f>
        <v/>
      </c>
      <c r="H65" s="220">
        <f>SUM(E65)-SUM(F65)</f>
        <v/>
      </c>
      <c r="I65" s="221">
        <f>IF(A65="Total",VLOOKUP(B65,CORRESPONDANCE[#All],2,FALSE),I66)</f>
        <v/>
      </c>
      <c r="J65" s="350">
        <f>LEFT(A65,1)</f>
        <v/>
      </c>
      <c r="K65" s="347">
        <f>"R314"&amp;" - "&amp;A65</f>
        <v/>
      </c>
      <c r="L65" s="347">
        <f>+VLOOKUP(K65,TL[],4,FALSE)</f>
        <v/>
      </c>
    </row>
    <row r="66">
      <c r="A66" s="348" t="inlineStr">
        <is>
          <t>61352800</t>
        </is>
      </c>
      <c r="B66" s="348" t="inlineStr">
        <is>
          <t>Location defibrillateur</t>
        </is>
      </c>
      <c r="C66" s="348" t="n">
        <v>46</v>
      </c>
      <c r="D66" s="348" t="inlineStr"/>
      <c r="E66" s="348" t="n">
        <v>46</v>
      </c>
      <c r="F66" s="348" t="inlineStr"/>
      <c r="G66" s="220">
        <f>SUM(C66)-SUM(D66)</f>
        <v/>
      </c>
      <c r="H66" s="220">
        <f>SUM(E66)-SUM(F66)</f>
        <v/>
      </c>
      <c r="I66" s="221">
        <f>IF(A66="Total",VLOOKUP(B66,CORRESPONDANCE[#All],2,FALSE),I67)</f>
        <v/>
      </c>
      <c r="J66" s="350">
        <f>LEFT(A66,1)</f>
        <v/>
      </c>
      <c r="K66" s="347">
        <f>"R314"&amp;" - "&amp;A66</f>
        <v/>
      </c>
      <c r="L66" s="347">
        <f>+VLOOKUP(K66,TL[],4,FALSE)</f>
        <v/>
      </c>
    </row>
    <row r="67">
      <c r="A67" s="348" t="inlineStr">
        <is>
          <t>61353700</t>
        </is>
      </c>
      <c r="B67" s="348" t="inlineStr">
        <is>
          <t>Location copieur</t>
        </is>
      </c>
      <c r="C67" s="348" t="n">
        <v>118.01</v>
      </c>
      <c r="D67" s="348" t="inlineStr"/>
      <c r="E67" s="348" t="n">
        <v>118.01</v>
      </c>
      <c r="F67" s="348" t="inlineStr"/>
      <c r="G67" s="220">
        <f>SUM(C67)-SUM(D67)</f>
        <v/>
      </c>
      <c r="H67" s="220">
        <f>SUM(E67)-SUM(F67)</f>
        <v/>
      </c>
      <c r="I67" s="221">
        <f>IF(A67="Total",VLOOKUP(B67,CORRESPONDANCE[#All],2,FALSE),I68)</f>
        <v/>
      </c>
      <c r="J67" s="350">
        <f>LEFT(A67,1)</f>
        <v/>
      </c>
      <c r="K67" s="347">
        <f>"R314"&amp;" - "&amp;A67</f>
        <v/>
      </c>
      <c r="L67" s="347">
        <f>+VLOOKUP(K67,TL[],4,FALSE)</f>
        <v/>
      </c>
    </row>
    <row r="68">
      <c r="A68" s="348" t="inlineStr">
        <is>
          <t>61520000</t>
        </is>
      </c>
      <c r="B68" s="348" t="inlineStr">
        <is>
          <t>Entretien espaces verts</t>
        </is>
      </c>
      <c r="C68" s="348" t="n">
        <v>264</v>
      </c>
      <c r="D68" s="348" t="inlineStr"/>
      <c r="E68" s="348" t="n">
        <v>264</v>
      </c>
      <c r="F68" s="348" t="inlineStr"/>
      <c r="G68" s="220">
        <f>SUM(C68)-SUM(D68)</f>
        <v/>
      </c>
      <c r="H68" s="220">
        <f>SUM(E68)-SUM(F68)</f>
        <v/>
      </c>
      <c r="I68" s="221">
        <f>IF(A68="Total",VLOOKUP(B68,CORRESPONDANCE[#All],2,FALSE),I69)</f>
        <v/>
      </c>
      <c r="J68" s="350">
        <f>LEFT(A68,1)</f>
        <v/>
      </c>
      <c r="K68" s="347">
        <f>"R314"&amp;" - "&amp;A68</f>
        <v/>
      </c>
      <c r="L68" s="347">
        <f>+VLOOKUP(K68,TL[],4,FALSE)</f>
        <v/>
      </c>
    </row>
    <row r="69">
      <c r="A69" s="348" t="inlineStr">
        <is>
          <t>61560000</t>
        </is>
      </c>
      <c r="B69" s="348" t="inlineStr">
        <is>
          <t>Maintenance mac do</t>
        </is>
      </c>
      <c r="C69" s="348" t="n">
        <v>450</v>
      </c>
      <c r="D69" s="348" t="inlineStr"/>
      <c r="E69" s="348" t="n">
        <v>450</v>
      </c>
      <c r="F69" s="348" t="inlineStr"/>
      <c r="G69" s="220">
        <f>SUM(C69)-SUM(D69)</f>
        <v/>
      </c>
      <c r="H69" s="220">
        <f>SUM(E69)-SUM(F69)</f>
        <v/>
      </c>
      <c r="I69" s="221">
        <f>IF(A69="Total",VLOOKUP(B69,CORRESPONDANCE[#All],2,FALSE),I70)</f>
        <v/>
      </c>
      <c r="J69" s="350">
        <f>LEFT(A69,1)</f>
        <v/>
      </c>
      <c r="K69" s="347">
        <f>"R314"&amp;" - "&amp;A69</f>
        <v/>
      </c>
      <c r="L69" s="347">
        <f>+VLOOKUP(K69,TL[],4,FALSE)</f>
        <v/>
      </c>
    </row>
    <row r="70">
      <c r="A70" s="348" t="inlineStr">
        <is>
          <t>61561000</t>
        </is>
      </c>
      <c r="B70" s="348" t="inlineStr">
        <is>
          <t>Contrat iron mountain</t>
        </is>
      </c>
      <c r="C70" s="348" t="n">
        <v>27.5</v>
      </c>
      <c r="D70" s="348" t="inlineStr"/>
      <c r="E70" s="348" t="n">
        <v>27.5</v>
      </c>
      <c r="F70" s="348" t="inlineStr"/>
      <c r="G70" s="220">
        <f>SUM(C70)-SUM(D70)</f>
        <v/>
      </c>
      <c r="H70" s="220">
        <f>SUM(E70)-SUM(F70)</f>
        <v/>
      </c>
      <c r="I70" s="221">
        <f>IF(A70="Total",VLOOKUP(B70,CORRESPONDANCE[#All],2,FALSE),I71)</f>
        <v/>
      </c>
      <c r="J70" s="350">
        <f>LEFT(A70,1)</f>
        <v/>
      </c>
      <c r="K70" s="347">
        <f>"R314"&amp;" - "&amp;A70</f>
        <v/>
      </c>
      <c r="L70" s="347">
        <f>+VLOOKUP(K70,TL[],4,FALSE)</f>
        <v/>
      </c>
    </row>
    <row r="71">
      <c r="A71" s="348" t="inlineStr">
        <is>
          <t>61561100</t>
        </is>
      </c>
      <c r="B71" s="348" t="inlineStr">
        <is>
          <t>Contrat loomis</t>
        </is>
      </c>
      <c r="C71" s="348" t="n">
        <v>269</v>
      </c>
      <c r="D71" s="348" t="inlineStr"/>
      <c r="E71" s="348" t="n">
        <v>269</v>
      </c>
      <c r="F71" s="348" t="inlineStr"/>
      <c r="G71" s="220">
        <f>SUM(C71)-SUM(D71)</f>
        <v/>
      </c>
      <c r="H71" s="220">
        <f>SUM(E71)-SUM(F71)</f>
        <v/>
      </c>
      <c r="I71" s="221">
        <f>IF(A71="Total",VLOOKUP(B71,CORRESPONDANCE[#All],2,FALSE),I72)</f>
        <v/>
      </c>
      <c r="J71" s="350">
        <f>LEFT(A71,1)</f>
        <v/>
      </c>
      <c r="K71" s="347">
        <f>"R314"&amp;" - "&amp;A71</f>
        <v/>
      </c>
      <c r="L71" s="347">
        <f>+VLOOKUP(K71,TL[],4,FALSE)</f>
        <v/>
      </c>
    </row>
    <row r="72">
      <c r="A72" s="348" t="inlineStr">
        <is>
          <t>61561200</t>
        </is>
      </c>
      <c r="B72" s="348" t="inlineStr">
        <is>
          <t>Contrat ramassage huiles usagées</t>
        </is>
      </c>
      <c r="C72" s="348" t="n">
        <v>99</v>
      </c>
      <c r="D72" s="348" t="inlineStr"/>
      <c r="E72" s="348" t="n">
        <v>99</v>
      </c>
      <c r="F72" s="348" t="inlineStr"/>
      <c r="G72" s="220">
        <f>SUM(C72)-SUM(D72)</f>
        <v/>
      </c>
      <c r="H72" s="220">
        <f>SUM(E72)-SUM(F72)</f>
        <v/>
      </c>
      <c r="I72" s="221">
        <f>IF(A72="Total",VLOOKUP(B72,CORRESPONDANCE[#All],2,FALSE),I73)</f>
        <v/>
      </c>
      <c r="J72" s="350">
        <f>LEFT(A72,1)</f>
        <v/>
      </c>
      <c r="K72" s="347">
        <f>"R314"&amp;" - "&amp;A72</f>
        <v/>
      </c>
      <c r="L72" s="347">
        <f>+VLOOKUP(K72,TL[],4,FALSE)</f>
        <v/>
      </c>
    </row>
    <row r="73">
      <c r="A73" s="348" t="inlineStr">
        <is>
          <t>61561300</t>
        </is>
      </c>
      <c r="B73" s="348" t="inlineStr">
        <is>
          <t>Contratreflex services</t>
        </is>
      </c>
      <c r="C73" s="348" t="n">
        <v>600</v>
      </c>
      <c r="D73" s="348" t="inlineStr"/>
      <c r="E73" s="348" t="n">
        <v>600</v>
      </c>
      <c r="F73" s="348" t="inlineStr"/>
      <c r="G73" s="220">
        <f>SUM(C73)-SUM(D73)</f>
        <v/>
      </c>
      <c r="H73" s="220">
        <f>SUM(E73)-SUM(F73)</f>
        <v/>
      </c>
      <c r="I73" s="221">
        <f>IF(A73="Total",VLOOKUP(B73,CORRESPONDANCE[#All],2,FALSE),I74)</f>
        <v/>
      </c>
      <c r="J73" s="350">
        <f>LEFT(A73,1)</f>
        <v/>
      </c>
      <c r="K73" s="347">
        <f>"R314"&amp;" - "&amp;A73</f>
        <v/>
      </c>
      <c r="L73" s="347">
        <f>+VLOOKUP(K73,TL[],4,FALSE)</f>
        <v/>
      </c>
    </row>
    <row r="74">
      <c r="A74" s="348" t="inlineStr">
        <is>
          <t>61561400</t>
        </is>
      </c>
      <c r="B74" s="348" t="inlineStr">
        <is>
          <t>Contrat entretien aire de jeux</t>
        </is>
      </c>
      <c r="C74" s="348" t="n">
        <v>113.33</v>
      </c>
      <c r="D74" s="348" t="inlineStr"/>
      <c r="E74" s="348" t="n">
        <v>113.33</v>
      </c>
      <c r="F74" s="348" t="inlineStr"/>
      <c r="G74" s="220">
        <f>SUM(C74)-SUM(D74)</f>
        <v/>
      </c>
      <c r="H74" s="220">
        <f>SUM(E74)-SUM(F74)</f>
        <v/>
      </c>
      <c r="I74" s="221">
        <f>IF(A74="Total",VLOOKUP(B74,CORRESPONDANCE[#All],2,FALSE),I75)</f>
        <v/>
      </c>
      <c r="J74" s="350">
        <f>LEFT(A74,1)</f>
        <v/>
      </c>
      <c r="K74" s="347">
        <f>"R314"&amp;" - "&amp;A74</f>
        <v/>
      </c>
      <c r="L74" s="347">
        <f>+VLOOKUP(K74,TL[],4,FALSE)</f>
        <v/>
      </c>
    </row>
    <row r="75">
      <c r="A75" s="348" t="inlineStr">
        <is>
          <t>61561600</t>
        </is>
      </c>
      <c r="B75" s="348" t="inlineStr">
        <is>
          <t>Contrat acrelec</t>
        </is>
      </c>
      <c r="C75" s="348" t="n">
        <v>360</v>
      </c>
      <c r="D75" s="348" t="inlineStr"/>
      <c r="E75" s="348" t="n">
        <v>360</v>
      </c>
      <c r="F75" s="348" t="inlineStr"/>
      <c r="G75" s="220">
        <f>SUM(C75)-SUM(D75)</f>
        <v/>
      </c>
      <c r="H75" s="220">
        <f>SUM(E75)-SUM(F75)</f>
        <v/>
      </c>
      <c r="I75" s="221">
        <f>IF(A75="Total",VLOOKUP(B75,CORRESPONDANCE[#All],2,FALSE),I76)</f>
        <v/>
      </c>
      <c r="J75" s="350">
        <f>LEFT(A75,1)</f>
        <v/>
      </c>
      <c r="K75" s="347">
        <f>"R314"&amp;" - "&amp;A75</f>
        <v/>
      </c>
      <c r="L75" s="347">
        <f>+VLOOKUP(K75,TL[],4,FALSE)</f>
        <v/>
      </c>
    </row>
    <row r="76">
      <c r="A76" s="348" t="inlineStr">
        <is>
          <t>61561700</t>
        </is>
      </c>
      <c r="B76" s="348" t="inlineStr">
        <is>
          <t>Contrat canal music</t>
        </is>
      </c>
      <c r="C76" s="348" t="n">
        <v>34</v>
      </c>
      <c r="D76" s="348" t="inlineStr"/>
      <c r="E76" s="348" t="n">
        <v>34</v>
      </c>
      <c r="F76" s="348" t="inlineStr"/>
      <c r="G76" s="220">
        <f>SUM(C76)-SUM(D76)</f>
        <v/>
      </c>
      <c r="H76" s="220">
        <f>SUM(E76)-SUM(F76)</f>
        <v/>
      </c>
      <c r="I76" s="221">
        <f>IF(A76="Total",VLOOKUP(B76,CORRESPONDANCE[#All],2,FALSE),I77)</f>
        <v/>
      </c>
      <c r="J76" s="350">
        <f>LEFT(A76,1)</f>
        <v/>
      </c>
      <c r="K76" s="347">
        <f>"R314"&amp;" - "&amp;A76</f>
        <v/>
      </c>
      <c r="L76" s="347">
        <f>+VLOOKUP(K76,TL[],4,FALSE)</f>
        <v/>
      </c>
    </row>
    <row r="77">
      <c r="A77" s="348" t="inlineStr">
        <is>
          <t>61561800</t>
        </is>
      </c>
      <c r="B77" s="348" t="inlineStr">
        <is>
          <t>Contrat wifi</t>
        </is>
      </c>
      <c r="C77" s="348" t="n">
        <v>77.2</v>
      </c>
      <c r="D77" s="348" t="inlineStr"/>
      <c r="E77" s="348" t="n">
        <v>77.2</v>
      </c>
      <c r="F77" s="348" t="inlineStr"/>
      <c r="G77" s="220">
        <f>SUM(C77)-SUM(D77)</f>
        <v/>
      </c>
      <c r="H77" s="220">
        <f>SUM(E77)-SUM(F77)</f>
        <v/>
      </c>
      <c r="I77" s="221">
        <f>IF(A77="Total",VLOOKUP(B77,CORRESPONDANCE[#All],2,FALSE),I78)</f>
        <v/>
      </c>
      <c r="J77" s="350">
        <f>LEFT(A77,1)</f>
        <v/>
      </c>
      <c r="K77" s="347">
        <f>"R314"&amp;" - "&amp;A77</f>
        <v/>
      </c>
      <c r="L77" s="347">
        <f>+VLOOKUP(K77,TL[],4,FALSE)</f>
        <v/>
      </c>
    </row>
    <row r="78">
      <c r="A78" s="348" t="inlineStr">
        <is>
          <t>61562100</t>
        </is>
      </c>
      <c r="B78" s="348" t="inlineStr">
        <is>
          <t>Contrat enlevement déchets</t>
        </is>
      </c>
      <c r="C78" s="348" t="n">
        <v>1900</v>
      </c>
      <c r="D78" s="348" t="inlineStr"/>
      <c r="E78" s="348" t="n">
        <v>1900</v>
      </c>
      <c r="F78" s="348" t="inlineStr"/>
      <c r="G78" s="220">
        <f>SUM(C78)-SUM(D78)</f>
        <v/>
      </c>
      <c r="H78" s="220">
        <f>SUM(E78)-SUM(F78)</f>
        <v/>
      </c>
      <c r="I78" s="221">
        <f>IF(A78="Total",VLOOKUP(B78,CORRESPONDANCE[#All],2,FALSE),I79)</f>
        <v/>
      </c>
      <c r="J78" s="350">
        <f>LEFT(A78,1)</f>
        <v/>
      </c>
      <c r="K78" s="347">
        <f>"R314"&amp;" - "&amp;A78</f>
        <v/>
      </c>
      <c r="L78" s="347">
        <f>+VLOOKUP(K78,TL[],4,FALSE)</f>
        <v/>
      </c>
    </row>
    <row r="79">
      <c r="A79" s="348" t="inlineStr">
        <is>
          <t>61562200</t>
        </is>
      </c>
      <c r="B79" s="348" t="inlineStr">
        <is>
          <t>Contrat silliker</t>
        </is>
      </c>
      <c r="C79" s="348" t="n">
        <v>152.47</v>
      </c>
      <c r="D79" s="348" t="inlineStr"/>
      <c r="E79" s="348" t="n">
        <v>152.47</v>
      </c>
      <c r="F79" s="348" t="inlineStr"/>
      <c r="G79" s="220">
        <f>SUM(C79)-SUM(D79)</f>
        <v/>
      </c>
      <c r="H79" s="220">
        <f>SUM(E79)-SUM(F79)</f>
        <v/>
      </c>
      <c r="I79" s="221">
        <f>IF(A79="Total",VLOOKUP(B79,CORRESPONDANCE[#All],2,FALSE),I80)</f>
        <v/>
      </c>
      <c r="J79" s="350">
        <f>LEFT(A79,1)</f>
        <v/>
      </c>
      <c r="K79" s="347">
        <f>"R314"&amp;" - "&amp;A79</f>
        <v/>
      </c>
      <c r="L79" s="347">
        <f>+VLOOKUP(K79,TL[],4,FALSE)</f>
        <v/>
      </c>
    </row>
    <row r="80">
      <c r="A80" s="348" t="inlineStr">
        <is>
          <t>61562300</t>
        </is>
      </c>
      <c r="B80" s="348" t="inlineStr">
        <is>
          <t>Contrat helpline</t>
        </is>
      </c>
      <c r="C80" s="348" t="n">
        <v>668.42</v>
      </c>
      <c r="D80" s="348" t="inlineStr"/>
      <c r="E80" s="348" t="n">
        <v>668.42</v>
      </c>
      <c r="F80" s="348" t="inlineStr"/>
      <c r="G80" s="220">
        <f>SUM(C80)-SUM(D80)</f>
        <v/>
      </c>
      <c r="H80" s="220">
        <f>SUM(E80)-SUM(F80)</f>
        <v/>
      </c>
      <c r="I80" s="221">
        <f>IF(A80="Total",VLOOKUP(B80,CORRESPONDANCE[#All],2,FALSE),I81)</f>
        <v/>
      </c>
      <c r="J80" s="350">
        <f>LEFT(A80,1)</f>
        <v/>
      </c>
      <c r="K80" s="347">
        <f>"R314"&amp;" - "&amp;A80</f>
        <v/>
      </c>
      <c r="L80" s="347">
        <f>+VLOOKUP(K80,TL[],4,FALSE)</f>
        <v/>
      </c>
    </row>
    <row r="81">
      <c r="A81" s="348" t="inlineStr">
        <is>
          <t>61562800</t>
        </is>
      </c>
      <c r="B81" s="348" t="inlineStr">
        <is>
          <t>Contrat dégraissage dératisation</t>
        </is>
      </c>
      <c r="C81" s="348" t="n">
        <v>360</v>
      </c>
      <c r="D81" s="348" t="inlineStr"/>
      <c r="E81" s="348" t="n">
        <v>360</v>
      </c>
      <c r="F81" s="348" t="inlineStr"/>
      <c r="G81" s="220">
        <f>SUM(C81)-SUM(D81)</f>
        <v/>
      </c>
      <c r="H81" s="220">
        <f>SUM(E81)-SUM(F81)</f>
        <v/>
      </c>
      <c r="I81" s="221">
        <f>IF(A81="Total",VLOOKUP(B81,CORRESPONDANCE[#All],2,FALSE),I82)</f>
        <v/>
      </c>
      <c r="J81" s="350">
        <f>LEFT(A81,1)</f>
        <v/>
      </c>
      <c r="K81" s="347">
        <f>"R314"&amp;" - "&amp;A81</f>
        <v/>
      </c>
      <c r="L81" s="347">
        <f>+VLOOKUP(K81,TL[],4,FALSE)</f>
        <v/>
      </c>
    </row>
    <row r="82">
      <c r="A82" s="348" t="inlineStr">
        <is>
          <t>61563000</t>
        </is>
      </c>
      <c r="B82" s="348" t="inlineStr">
        <is>
          <t>Contrat maintenace coca</t>
        </is>
      </c>
      <c r="C82" s="348" t="n">
        <v>116.17</v>
      </c>
      <c r="D82" s="348" t="inlineStr"/>
      <c r="E82" s="348" t="n">
        <v>116.17</v>
      </c>
      <c r="F82" s="348" t="inlineStr"/>
      <c r="G82" s="220">
        <f>SUM(C82)-SUM(D82)</f>
        <v/>
      </c>
      <c r="H82" s="220">
        <f>SUM(E82)-SUM(F82)</f>
        <v/>
      </c>
      <c r="I82" s="221">
        <f>IF(A82="Total",VLOOKUP(B82,CORRESPONDANCE[#All],2,FALSE),I83)</f>
        <v/>
      </c>
      <c r="J82" s="350">
        <f>LEFT(A82,1)</f>
        <v/>
      </c>
      <c r="K82" s="347">
        <f>"R314"&amp;" - "&amp;A82</f>
        <v/>
      </c>
      <c r="L82" s="347">
        <f>+VLOOKUP(K82,TL[],4,FALSE)</f>
        <v/>
      </c>
    </row>
    <row r="83">
      <c r="A83" s="348" t="inlineStr">
        <is>
          <t>61563700</t>
        </is>
      </c>
      <c r="B83" s="348" t="inlineStr">
        <is>
          <t>Contrat CIS - Interway</t>
        </is>
      </c>
      <c r="C83" s="348" t="n">
        <v>162.67</v>
      </c>
      <c r="D83" s="348" t="inlineStr"/>
      <c r="E83" s="348" t="n">
        <v>162.67</v>
      </c>
      <c r="F83" s="348" t="inlineStr"/>
      <c r="G83" s="220">
        <f>SUM(C83)-SUM(D83)</f>
        <v/>
      </c>
      <c r="H83" s="220">
        <f>SUM(E83)-SUM(F83)</f>
        <v/>
      </c>
      <c r="I83" s="221">
        <f>IF(A83="Total",VLOOKUP(B83,CORRESPONDANCE[#All],2,FALSE),I84)</f>
        <v/>
      </c>
      <c r="J83" s="350">
        <f>LEFT(A83,1)</f>
        <v/>
      </c>
      <c r="K83" s="347">
        <f>"R314"&amp;" - "&amp;A83</f>
        <v/>
      </c>
      <c r="L83" s="347">
        <f>+VLOOKUP(K83,TL[],4,FALSE)</f>
        <v/>
      </c>
    </row>
    <row r="84">
      <c r="A84" s="348" t="inlineStr">
        <is>
          <t>61563900</t>
        </is>
      </c>
      <c r="B84" s="348" t="inlineStr">
        <is>
          <t>Contrat primobox</t>
        </is>
      </c>
      <c r="C84" s="348" t="n">
        <v>10</v>
      </c>
      <c r="D84" s="348" t="inlineStr"/>
      <c r="E84" s="348" t="n">
        <v>10</v>
      </c>
      <c r="F84" s="348" t="inlineStr"/>
      <c r="G84" s="220">
        <f>SUM(C84)-SUM(D84)</f>
        <v/>
      </c>
      <c r="H84" s="220">
        <f>SUM(E84)-SUM(F84)</f>
        <v/>
      </c>
      <c r="I84" s="221">
        <f>IF(A84="Total",VLOOKUP(B84,CORRESPONDANCE[#All],2,FALSE),I85)</f>
        <v/>
      </c>
      <c r="J84" s="350">
        <f>LEFT(A84,1)</f>
        <v/>
      </c>
      <c r="K84" s="347">
        <f>"R314"&amp;" - "&amp;A84</f>
        <v/>
      </c>
      <c r="L84" s="347">
        <f>+VLOOKUP(K84,TL[],4,FALSE)</f>
        <v/>
      </c>
    </row>
    <row r="85">
      <c r="A85" s="348" t="inlineStr">
        <is>
          <t>61564000</t>
        </is>
      </c>
      <c r="B85" s="348" t="inlineStr">
        <is>
          <t>Contrat gruppo</t>
        </is>
      </c>
      <c r="C85" s="348" t="n">
        <v>125</v>
      </c>
      <c r="D85" s="348" t="inlineStr"/>
      <c r="E85" s="348" t="n">
        <v>125</v>
      </c>
      <c r="F85" s="348" t="inlineStr"/>
      <c r="G85" s="220">
        <f>SUM(C85)-SUM(D85)</f>
        <v/>
      </c>
      <c r="H85" s="220">
        <f>SUM(E85)-SUM(F85)</f>
        <v/>
      </c>
      <c r="I85" s="221">
        <f>IF(A85="Total",VLOOKUP(B85,CORRESPONDANCE[#All],2,FALSE),I86)</f>
        <v/>
      </c>
      <c r="J85" s="350">
        <f>LEFT(A85,1)</f>
        <v/>
      </c>
      <c r="K85" s="347">
        <f>"R314"&amp;" - "&amp;A85</f>
        <v/>
      </c>
      <c r="L85" s="347">
        <f>+VLOOKUP(K85,TL[],4,FALSE)</f>
        <v/>
      </c>
    </row>
    <row r="86">
      <c r="A86" s="348" t="inlineStr">
        <is>
          <t>61565100</t>
        </is>
      </c>
      <c r="B86" s="348" t="inlineStr">
        <is>
          <t>Abonnement profil net</t>
        </is>
      </c>
      <c r="C86" s="348" t="n">
        <v>20</v>
      </c>
      <c r="D86" s="348" t="inlineStr"/>
      <c r="E86" s="348" t="n">
        <v>20</v>
      </c>
      <c r="F86" s="348" t="inlineStr"/>
      <c r="G86" s="220">
        <f>SUM(C86)-SUM(D86)</f>
        <v/>
      </c>
      <c r="H86" s="220">
        <f>SUM(E86)-SUM(F86)</f>
        <v/>
      </c>
      <c r="I86" s="221">
        <f>IF(A86="Total",VLOOKUP(B86,CORRESPONDANCE[#All],2,FALSE),I87)</f>
        <v/>
      </c>
      <c r="J86" s="350">
        <f>LEFT(A86,1)</f>
        <v/>
      </c>
      <c r="K86" s="347">
        <f>"R314"&amp;" - "&amp;A86</f>
        <v/>
      </c>
      <c r="L86" s="347">
        <f>+VLOOKUP(K86,TL[],4,FALSE)</f>
        <v/>
      </c>
    </row>
    <row r="87">
      <c r="A87" s="348" t="inlineStr">
        <is>
          <t>61565200</t>
        </is>
      </c>
      <c r="B87" s="348" t="inlineStr">
        <is>
          <t>contrat jri</t>
        </is>
      </c>
      <c r="C87" s="348" t="n">
        <v>121.82</v>
      </c>
      <c r="D87" s="348" t="inlineStr"/>
      <c r="E87" s="348" t="n">
        <v>121.82</v>
      </c>
      <c r="F87" s="348" t="inlineStr"/>
      <c r="G87" s="220">
        <f>SUM(C87)-SUM(D87)</f>
        <v/>
      </c>
      <c r="H87" s="220">
        <f>SUM(E87)-SUM(F87)</f>
        <v/>
      </c>
      <c r="I87" s="221">
        <f>IF(A87="Total",VLOOKUP(B87,CORRESPONDANCE[#All],2,FALSE),I88)</f>
        <v/>
      </c>
      <c r="J87" s="350">
        <f>LEFT(A87,1)</f>
        <v/>
      </c>
      <c r="K87" s="347">
        <f>"R314"&amp;" - "&amp;A87</f>
        <v/>
      </c>
      <c r="L87" s="347">
        <f>+VLOOKUP(K87,TL[],4,FALSE)</f>
        <v/>
      </c>
    </row>
    <row r="88">
      <c r="A88" s="348" t="inlineStr">
        <is>
          <t>61565500</t>
        </is>
      </c>
      <c r="B88" s="348" t="inlineStr">
        <is>
          <t>Contrat chubb</t>
        </is>
      </c>
      <c r="C88" s="348" t="n">
        <v>80</v>
      </c>
      <c r="D88" s="348" t="inlineStr"/>
      <c r="E88" s="348" t="n">
        <v>80</v>
      </c>
      <c r="F88" s="348" t="inlineStr"/>
      <c r="G88" s="220">
        <f>SUM(C88)-SUM(D88)</f>
        <v/>
      </c>
      <c r="H88" s="220">
        <f>SUM(E88)-SUM(F88)</f>
        <v/>
      </c>
      <c r="I88" s="221">
        <f>IF(A88="Total",VLOOKUP(B88,CORRESPONDANCE[#All],2,FALSE),I89)</f>
        <v/>
      </c>
      <c r="J88" s="350">
        <f>LEFT(A88,1)</f>
        <v/>
      </c>
      <c r="K88" s="347">
        <f>"R314"&amp;" - "&amp;A88</f>
        <v/>
      </c>
      <c r="L88" s="347">
        <f>+VLOOKUP(K88,TL[],4,FALSE)</f>
        <v/>
      </c>
    </row>
    <row r="89">
      <c r="A89" s="348" t="inlineStr">
        <is>
          <t>61566200</t>
        </is>
      </c>
      <c r="B89" s="348" t="inlineStr">
        <is>
          <t>contrat socotec</t>
        </is>
      </c>
      <c r="C89" s="348" t="n">
        <v>91</v>
      </c>
      <c r="D89" s="348" t="inlineStr"/>
      <c r="E89" s="348" t="n">
        <v>91</v>
      </c>
      <c r="F89" s="348" t="inlineStr"/>
      <c r="G89" s="220">
        <f>SUM(C89)-SUM(D89)</f>
        <v/>
      </c>
      <c r="H89" s="220">
        <f>SUM(E89)-SUM(F89)</f>
        <v/>
      </c>
      <c r="I89" s="221">
        <f>IF(A89="Total",VLOOKUP(B89,CORRESPONDANCE[#All],2,FALSE),I90)</f>
        <v/>
      </c>
      <c r="J89" s="350">
        <f>LEFT(A89,1)</f>
        <v/>
      </c>
      <c r="K89" s="347">
        <f>"R314"&amp;" - "&amp;A89</f>
        <v/>
      </c>
      <c r="L89" s="347">
        <f>+VLOOKUP(K89,TL[],4,FALSE)</f>
        <v/>
      </c>
    </row>
    <row r="90">
      <c r="A90" s="348" t="inlineStr">
        <is>
          <t>61566300</t>
        </is>
      </c>
      <c r="B90" s="348" t="inlineStr">
        <is>
          <t>contrat steeple</t>
        </is>
      </c>
      <c r="C90" s="348" t="n">
        <v>73.17</v>
      </c>
      <c r="D90" s="348" t="inlineStr"/>
      <c r="E90" s="348" t="n">
        <v>73.17</v>
      </c>
      <c r="F90" s="348" t="inlineStr"/>
      <c r="G90" s="220">
        <f>SUM(C90)-SUM(D90)</f>
        <v/>
      </c>
      <c r="H90" s="220">
        <f>SUM(E90)-SUM(F90)</f>
        <v/>
      </c>
      <c r="I90" s="221">
        <f>IF(A90="Total",VLOOKUP(B90,CORRESPONDANCE[#All],2,FALSE),I91)</f>
        <v/>
      </c>
      <c r="J90" s="350">
        <f>LEFT(A90,1)</f>
        <v/>
      </c>
      <c r="K90" s="347">
        <f>"R314"&amp;" - "&amp;A90</f>
        <v/>
      </c>
      <c r="L90" s="347">
        <f>+VLOOKUP(K90,TL[],4,FALSE)</f>
        <v/>
      </c>
    </row>
    <row r="91">
      <c r="A91" s="348" t="inlineStr">
        <is>
          <t>61566400</t>
        </is>
      </c>
      <c r="B91" s="348" t="inlineStr">
        <is>
          <t>applicat suivi performance</t>
        </is>
      </c>
      <c r="C91" s="348" t="n">
        <v>168</v>
      </c>
      <c r="D91" s="348" t="inlineStr"/>
      <c r="E91" s="348" t="n">
        <v>168</v>
      </c>
      <c r="F91" s="348" t="inlineStr"/>
      <c r="G91" s="220">
        <f>SUM(C91)-SUM(D91)</f>
        <v/>
      </c>
      <c r="H91" s="220">
        <f>SUM(E91)-SUM(F91)</f>
        <v/>
      </c>
      <c r="I91" s="221">
        <f>IF(A91="Total",VLOOKUP(B91,CORRESPONDANCE[#All],2,FALSE),I92)</f>
        <v/>
      </c>
      <c r="J91" s="350">
        <f>LEFT(A91,1)</f>
        <v/>
      </c>
      <c r="K91" s="347">
        <f>"R314"&amp;" - "&amp;A91</f>
        <v/>
      </c>
      <c r="L91" s="347">
        <f>+VLOOKUP(K91,TL[],4,FALSE)</f>
        <v/>
      </c>
    </row>
    <row r="92">
      <c r="A92" s="348" t="inlineStr">
        <is>
          <t>61566600</t>
        </is>
      </c>
      <c r="B92" s="348" t="inlineStr">
        <is>
          <t>Contrat Miele lave linge</t>
        </is>
      </c>
      <c r="C92" s="348" t="n">
        <v>32.5</v>
      </c>
      <c r="D92" s="348" t="inlineStr"/>
      <c r="E92" s="348" t="n">
        <v>32.5</v>
      </c>
      <c r="F92" s="348" t="inlineStr"/>
      <c r="G92" s="220">
        <f>SUM(C92)-SUM(D92)</f>
        <v/>
      </c>
      <c r="H92" s="220">
        <f>SUM(E92)-SUM(F92)</f>
        <v/>
      </c>
      <c r="I92" s="221">
        <f>IF(A92="Total",VLOOKUP(B92,CORRESPONDANCE[#All],2,FALSE),I93)</f>
        <v/>
      </c>
      <c r="J92" s="350">
        <f>LEFT(A92,1)</f>
        <v/>
      </c>
      <c r="K92" s="347">
        <f>"R314"&amp;" - "&amp;A92</f>
        <v/>
      </c>
      <c r="L92" s="347">
        <f>+VLOOKUP(K92,TL[],4,FALSE)</f>
        <v/>
      </c>
    </row>
    <row r="93">
      <c r="A93" s="348" t="inlineStr">
        <is>
          <t>61566700</t>
        </is>
      </c>
      <c r="B93" s="348" t="inlineStr">
        <is>
          <t>Contrat coates</t>
        </is>
      </c>
      <c r="C93" s="348" t="n">
        <v>76.7</v>
      </c>
      <c r="D93" s="348" t="inlineStr"/>
      <c r="E93" s="348" t="n">
        <v>76.7</v>
      </c>
      <c r="F93" s="348" t="inlineStr"/>
      <c r="G93" s="220">
        <f>SUM(C93)-SUM(D93)</f>
        <v/>
      </c>
      <c r="H93" s="220">
        <f>SUM(E93)-SUM(F93)</f>
        <v/>
      </c>
      <c r="I93" s="221">
        <f>IF(A93="Total",VLOOKUP(B93,CORRESPONDANCE[#All],2,FALSE),I94)</f>
        <v/>
      </c>
      <c r="J93" s="350">
        <f>LEFT(A93,1)</f>
        <v/>
      </c>
      <c r="K93" s="347">
        <f>"R314"&amp;" - "&amp;A93</f>
        <v/>
      </c>
      <c r="L93" s="347">
        <f>+VLOOKUP(K93,TL[],4,FALSE)</f>
        <v/>
      </c>
    </row>
    <row r="94">
      <c r="A94" s="348" t="inlineStr">
        <is>
          <t>62630000</t>
        </is>
      </c>
      <c r="B94" s="348" t="inlineStr">
        <is>
          <t>Connexion TPE</t>
        </is>
      </c>
      <c r="C94" s="348" t="n">
        <v>12.36</v>
      </c>
      <c r="D94" s="348" t="inlineStr"/>
      <c r="E94" s="348" t="n">
        <v>12.36</v>
      </c>
      <c r="F94" s="348" t="inlineStr"/>
      <c r="G94" s="220">
        <f>SUM(C94)-SUM(D94)</f>
        <v/>
      </c>
      <c r="H94" s="220">
        <f>SUM(E94)-SUM(F94)</f>
        <v/>
      </c>
      <c r="I94" s="221">
        <f>IF(A94="Total",VLOOKUP(B94,CORRESPONDANCE[#All],2,FALSE),I95)</f>
        <v/>
      </c>
      <c r="J94" s="350">
        <f>LEFT(A94,1)</f>
        <v/>
      </c>
      <c r="K94" s="347">
        <f>"R314"&amp;" - "&amp;A94</f>
        <v/>
      </c>
      <c r="L94" s="347">
        <f>+VLOOKUP(K94,TL[],4,FALSE)</f>
        <v/>
      </c>
    </row>
    <row r="95">
      <c r="A95" s="348" t="inlineStr">
        <is>
          <t>64750000</t>
        </is>
      </c>
      <c r="B95" s="348" t="inlineStr">
        <is>
          <t>Medecine du travail</t>
        </is>
      </c>
      <c r="C95" s="348" t="n">
        <v>684</v>
      </c>
      <c r="D95" s="348" t="inlineStr"/>
      <c r="E95" s="348" t="n">
        <v>684</v>
      </c>
      <c r="F95" s="348" t="inlineStr"/>
      <c r="G95" s="220">
        <f>SUM(C95)-SUM(D95)</f>
        <v/>
      </c>
      <c r="H95" s="220">
        <f>SUM(E95)-SUM(F95)</f>
        <v/>
      </c>
      <c r="I95" s="221">
        <f>IF(A95="Total",VLOOKUP(B95,CORRESPONDANCE[#All],2,FALSE),I96)</f>
        <v/>
      </c>
      <c r="J95" s="350">
        <f>LEFT(A95,1)</f>
        <v/>
      </c>
      <c r="K95" s="347">
        <f>"R314"&amp;" - "&amp;A95</f>
        <v/>
      </c>
      <c r="L95" s="347">
        <f>+VLOOKUP(K95,TL[],4,FALSE)</f>
        <v/>
      </c>
    </row>
    <row r="96">
      <c r="A96" s="348" t="inlineStr">
        <is>
          <t>65100300</t>
        </is>
      </c>
      <c r="B96" s="348" t="inlineStr">
        <is>
          <t>Redevance sacem</t>
        </is>
      </c>
      <c r="C96" s="348" t="n">
        <v>94</v>
      </c>
      <c r="D96" s="348" t="inlineStr"/>
      <c r="E96" s="348" t="n">
        <v>94</v>
      </c>
      <c r="F96" s="348" t="inlineStr"/>
      <c r="G96" s="220">
        <f>SUM(C96)-SUM(D96)</f>
        <v/>
      </c>
      <c r="H96" s="220">
        <f>SUM(E96)-SUM(F96)</f>
        <v/>
      </c>
      <c r="I96" s="221">
        <f>IF(A96="Total",VLOOKUP(B96,CORRESPONDANCE[#All],2,FALSE),I97)</f>
        <v/>
      </c>
      <c r="J96" s="350">
        <f>LEFT(A96,1)</f>
        <v/>
      </c>
      <c r="K96" s="347">
        <f>"R314"&amp;" - "&amp;A96</f>
        <v/>
      </c>
      <c r="L96" s="347">
        <f>+VLOOKUP(K96,TL[],4,FALSE)</f>
        <v/>
      </c>
    </row>
    <row r="97">
      <c r="A97" s="348" t="inlineStr">
        <is>
          <t>65170000</t>
        </is>
      </c>
      <c r="B97" s="348" t="inlineStr">
        <is>
          <t>Redevance Interway</t>
        </is>
      </c>
      <c r="C97" s="348" t="n">
        <v>247.65</v>
      </c>
      <c r="D97" s="348" t="inlineStr"/>
      <c r="E97" s="348" t="n">
        <v>247.65</v>
      </c>
      <c r="F97" s="348" t="inlineStr"/>
      <c r="G97" s="220">
        <f>SUM(C97)-SUM(D97)</f>
        <v/>
      </c>
      <c r="H97" s="220">
        <f>SUM(E97)-SUM(F97)</f>
        <v/>
      </c>
      <c r="I97" s="221">
        <f>IF(A97="Total",VLOOKUP(B97,CORRESPONDANCE[#All],2,FALSE),I98)</f>
        <v/>
      </c>
      <c r="J97" s="350">
        <f>LEFT(A97,1)</f>
        <v/>
      </c>
      <c r="K97" s="347">
        <f>"R314"&amp;" - "&amp;A97</f>
        <v/>
      </c>
      <c r="L97" s="347">
        <f>+VLOOKUP(K97,TL[],4,FALSE)</f>
        <v/>
      </c>
    </row>
    <row r="98">
      <c r="A98" s="348" t="inlineStr">
        <is>
          <t>Total</t>
        </is>
      </c>
      <c r="B98" s="348" t="inlineStr">
        <is>
          <t>Table n°2  -  Autres Services Extérieurs</t>
        </is>
      </c>
      <c r="C98" s="348" t="n">
        <v>8140.93</v>
      </c>
      <c r="D98" s="348" t="inlineStr"/>
      <c r="E98" s="348" t="n">
        <v>8140.93</v>
      </c>
      <c r="F98" s="348" t="inlineStr"/>
      <c r="G98" s="220">
        <f>SUM(C98)-SUM(D98)</f>
        <v/>
      </c>
      <c r="H98" s="220">
        <f>SUM(E98)-SUM(F98)</f>
        <v/>
      </c>
      <c r="I98" s="221">
        <f>IF(A98="Total",VLOOKUP(B98,CORRESPONDANCE[#All],2,FALSE),I99)</f>
        <v/>
      </c>
      <c r="J98" s="350">
        <f>LEFT(A98,1)</f>
        <v/>
      </c>
      <c r="K98" s="347">
        <f>"R314"&amp;" - "&amp;A98</f>
        <v/>
      </c>
      <c r="L98" s="347">
        <f>+VLOOKUP(K98,TL[],4,FALSE)</f>
        <v/>
      </c>
    </row>
    <row r="99">
      <c r="A99" s="348" t="inlineStr">
        <is>
          <t>62268000</t>
        </is>
      </c>
      <c r="B99" s="348" t="inlineStr">
        <is>
          <t>commission uber</t>
        </is>
      </c>
      <c r="C99" s="348" t="n">
        <v>5112.33</v>
      </c>
      <c r="D99" s="348" t="inlineStr"/>
      <c r="E99" s="348" t="n">
        <v>5112.33</v>
      </c>
      <c r="F99" s="348" t="inlineStr"/>
      <c r="G99" s="220">
        <f>SUM(C99)-SUM(D99)</f>
        <v/>
      </c>
      <c r="H99" s="220">
        <f>SUM(E99)-SUM(F99)</f>
        <v/>
      </c>
      <c r="I99" s="221">
        <f>IF(A99="Total",VLOOKUP(B99,CORRESPONDANCE[#All],2,FALSE),I100)</f>
        <v/>
      </c>
      <c r="J99" s="350">
        <f>LEFT(A99,1)</f>
        <v/>
      </c>
      <c r="K99" s="347">
        <f>"R314"&amp;" - "&amp;A99</f>
        <v/>
      </c>
      <c r="L99" s="347">
        <f>+VLOOKUP(K99,TL[],4,FALSE)</f>
        <v/>
      </c>
    </row>
    <row r="100">
      <c r="A100" s="348" t="inlineStr">
        <is>
          <t>Total</t>
        </is>
      </c>
      <c r="B100" s="348" t="inlineStr">
        <is>
          <t>Table n°2  -  Commissions Food Tech</t>
        </is>
      </c>
      <c r="C100" s="348" t="n">
        <v>5112.33</v>
      </c>
      <c r="D100" s="348" t="inlineStr"/>
      <c r="E100" s="348" t="n">
        <v>5112.33</v>
      </c>
      <c r="F100" s="348" t="inlineStr"/>
      <c r="G100" s="220">
        <f>SUM(C100)-SUM(D100)</f>
        <v/>
      </c>
      <c r="H100" s="220">
        <f>SUM(E100)-SUM(F100)</f>
        <v/>
      </c>
      <c r="I100" s="221">
        <f>IF(A100="Total",VLOOKUP(B100,CORRESPONDANCE[#All],2,FALSE),I101)</f>
        <v/>
      </c>
      <c r="J100" s="350">
        <f>LEFT(A100,1)</f>
        <v/>
      </c>
      <c r="K100" s="347">
        <f>"R314"&amp;" - "&amp;A100</f>
        <v/>
      </c>
      <c r="L100" s="347">
        <f>+VLOOKUP(K100,TL[],4,FALSE)</f>
        <v/>
      </c>
    </row>
    <row r="101">
      <c r="A101" s="348" t="inlineStr">
        <is>
          <t>62300000</t>
        </is>
      </c>
      <c r="B101" s="348" t="inlineStr">
        <is>
          <t>Publicite gie</t>
        </is>
      </c>
      <c r="C101" s="348" t="n">
        <v>12854.06</v>
      </c>
      <c r="D101" s="348" t="inlineStr"/>
      <c r="E101" s="348" t="n">
        <v>12854.06</v>
      </c>
      <c r="F101" s="348" t="inlineStr"/>
      <c r="G101" s="220">
        <f>SUM(C101)-SUM(D101)</f>
        <v/>
      </c>
      <c r="H101" s="220">
        <f>SUM(E101)-SUM(F101)</f>
        <v/>
      </c>
      <c r="I101" s="221">
        <f>IF(A101="Total",VLOOKUP(B101,CORRESPONDANCE[#All],2,FALSE),I102)</f>
        <v/>
      </c>
      <c r="J101" s="350">
        <f>LEFT(A101,1)</f>
        <v/>
      </c>
      <c r="K101" s="347">
        <f>"R314"&amp;" - "&amp;A101</f>
        <v/>
      </c>
      <c r="L101" s="347">
        <f>+VLOOKUP(K101,TL[],4,FALSE)</f>
        <v/>
      </c>
    </row>
    <row r="102">
      <c r="A102" s="348" t="inlineStr">
        <is>
          <t>Total</t>
        </is>
      </c>
      <c r="B102" s="348" t="inlineStr">
        <is>
          <t>Table n°2  -  Publicité GIE</t>
        </is>
      </c>
      <c r="C102" s="348" t="n">
        <v>12854.06</v>
      </c>
      <c r="D102" s="348" t="inlineStr"/>
      <c r="E102" s="348" t="n">
        <v>12854.06</v>
      </c>
      <c r="F102" s="348" t="inlineStr"/>
      <c r="G102" s="220">
        <f>SUM(C102)-SUM(D102)</f>
        <v/>
      </c>
      <c r="H102" s="220">
        <f>SUM(E102)-SUM(F102)</f>
        <v/>
      </c>
      <c r="I102" s="221">
        <f>IF(A102="Total",VLOOKUP(B102,CORRESPONDANCE[#All],2,FALSE),I103)</f>
        <v/>
      </c>
      <c r="J102" s="350">
        <f>LEFT(A102,1)</f>
        <v/>
      </c>
      <c r="K102" s="347">
        <f>"R314"&amp;" - "&amp;A102</f>
        <v/>
      </c>
      <c r="L102" s="347">
        <f>+VLOOKUP(K102,TL[],4,FALSE)</f>
        <v/>
      </c>
    </row>
    <row r="103">
      <c r="A103" s="348" t="inlineStr">
        <is>
          <t>62300200</t>
        </is>
      </c>
      <c r="B103" s="348" t="inlineStr">
        <is>
          <t>Promotion locale</t>
        </is>
      </c>
      <c r="C103" s="348" t="n">
        <v>2700</v>
      </c>
      <c r="D103" s="348" t="inlineStr"/>
      <c r="E103" s="348" t="n">
        <v>2700</v>
      </c>
      <c r="F103" s="348" t="inlineStr"/>
      <c r="G103" s="220">
        <f>SUM(C103)-SUM(D103)</f>
        <v/>
      </c>
      <c r="H103" s="220">
        <f>SUM(E103)-SUM(F103)</f>
        <v/>
      </c>
      <c r="I103" s="221">
        <f>IF(A103="Total",VLOOKUP(B103,CORRESPONDANCE[#All],2,FALSE),I104)</f>
        <v/>
      </c>
      <c r="J103" s="350">
        <f>LEFT(A103,1)</f>
        <v/>
      </c>
      <c r="K103" s="347">
        <f>"R314"&amp;" - "&amp;A103</f>
        <v/>
      </c>
      <c r="L103" s="347">
        <f>+VLOOKUP(K103,TL[],4,FALSE)</f>
        <v/>
      </c>
    </row>
    <row r="104">
      <c r="A104" s="348" t="inlineStr">
        <is>
          <t>62340100</t>
        </is>
      </c>
      <c r="B104" s="348" t="inlineStr">
        <is>
          <t>Promotions</t>
        </is>
      </c>
      <c r="C104" s="348" t="n">
        <v>1967.14</v>
      </c>
      <c r="D104" s="348" t="inlineStr"/>
      <c r="E104" s="348" t="n">
        <v>1967.14</v>
      </c>
      <c r="F104" s="348" t="inlineStr"/>
      <c r="G104" s="220">
        <f>SUM(C104)-SUM(D104)</f>
        <v/>
      </c>
      <c r="H104" s="220">
        <f>SUM(E104)-SUM(F104)</f>
        <v/>
      </c>
      <c r="I104" s="221">
        <f>IF(A104="Total",VLOOKUP(B104,CORRESPONDANCE[#All],2,FALSE),I105)</f>
        <v/>
      </c>
      <c r="J104" s="350">
        <f>LEFT(A104,1)</f>
        <v/>
      </c>
      <c r="K104" s="347">
        <f>"R314"&amp;" - "&amp;A104</f>
        <v/>
      </c>
      <c r="L104" s="347">
        <f>+VLOOKUP(K104,TL[],4,FALSE)</f>
        <v/>
      </c>
    </row>
    <row r="105">
      <c r="A105" s="348" t="inlineStr">
        <is>
          <t>62341500</t>
        </is>
      </c>
      <c r="B105" s="348" t="inlineStr">
        <is>
          <t>Premium</t>
        </is>
      </c>
      <c r="C105" s="348" t="n">
        <v>134.64</v>
      </c>
      <c r="D105" s="348" t="inlineStr"/>
      <c r="E105" s="348" t="n">
        <v>134.64</v>
      </c>
      <c r="F105" s="348" t="inlineStr"/>
      <c r="G105" s="220">
        <f>SUM(C105)-SUM(D105)</f>
        <v/>
      </c>
      <c r="H105" s="220">
        <f>SUM(E105)-SUM(F105)</f>
        <v/>
      </c>
      <c r="I105" s="221">
        <f>IF(A105="Total",VLOOKUP(B105,CORRESPONDANCE[#All],2,FALSE),I106)</f>
        <v/>
      </c>
      <c r="J105" s="350">
        <f>LEFT(A105,1)</f>
        <v/>
      </c>
      <c r="K105" s="347">
        <f>"R314"&amp;" - "&amp;A105</f>
        <v/>
      </c>
      <c r="L105" s="347">
        <f>+VLOOKUP(K105,TL[],4,FALSE)</f>
        <v/>
      </c>
    </row>
    <row r="106">
      <c r="A106" s="348" t="inlineStr">
        <is>
          <t>Total</t>
        </is>
      </c>
      <c r="B106" s="348" t="inlineStr">
        <is>
          <t>Table n°2  -  Promotion locale</t>
        </is>
      </c>
      <c r="C106" s="348" t="n">
        <v>4801.78</v>
      </c>
      <c r="D106" s="348" t="inlineStr"/>
      <c r="E106" s="348" t="n">
        <v>4801.78</v>
      </c>
      <c r="F106" s="348" t="inlineStr"/>
      <c r="G106" s="220">
        <f>SUM(C106)-SUM(D106)</f>
        <v/>
      </c>
      <c r="H106" s="220">
        <f>SUM(E106)-SUM(F106)</f>
        <v/>
      </c>
      <c r="I106" s="221">
        <f>IF(A106="Total",VLOOKUP(B106,CORRESPONDANCE[#All],2,FALSE),I107)</f>
        <v/>
      </c>
      <c r="J106" s="350">
        <f>LEFT(A106,1)</f>
        <v/>
      </c>
      <c r="K106" s="347">
        <f>"R314"&amp;" - "&amp;A106</f>
        <v/>
      </c>
      <c r="L106" s="347">
        <f>+VLOOKUP(K106,TL[],4,FALSE)</f>
        <v/>
      </c>
    </row>
    <row r="107">
      <c r="A107" s="348" t="inlineStr">
        <is>
          <t>60610100</t>
        </is>
      </c>
      <c r="B107" s="348" t="inlineStr">
        <is>
          <t>Eau restaurant</t>
        </is>
      </c>
      <c r="C107" s="348" t="n">
        <v>720</v>
      </c>
      <c r="D107" s="348" t="inlineStr"/>
      <c r="E107" s="348" t="n">
        <v>720</v>
      </c>
      <c r="F107" s="348" t="inlineStr"/>
      <c r="G107" s="220">
        <f>SUM(C107)-SUM(D107)</f>
        <v/>
      </c>
      <c r="H107" s="220">
        <f>SUM(E107)-SUM(F107)</f>
        <v/>
      </c>
      <c r="I107" s="221">
        <f>IF(A107="Total",VLOOKUP(B107,CORRESPONDANCE[#All],2,FALSE),I108)</f>
        <v/>
      </c>
      <c r="J107" s="350">
        <f>LEFT(A107,1)</f>
        <v/>
      </c>
      <c r="K107" s="347">
        <f>"R314"&amp;" - "&amp;A107</f>
        <v/>
      </c>
      <c r="L107" s="347">
        <f>+VLOOKUP(K107,TL[],4,FALSE)</f>
        <v/>
      </c>
    </row>
    <row r="108">
      <c r="A108" s="348" t="inlineStr">
        <is>
          <t>60610300</t>
        </is>
      </c>
      <c r="B108" s="348" t="inlineStr">
        <is>
          <t>Electricite restaurant</t>
        </is>
      </c>
      <c r="C108" s="348" t="n">
        <v>9123</v>
      </c>
      <c r="D108" s="348" t="inlineStr"/>
      <c r="E108" s="348" t="n">
        <v>9123</v>
      </c>
      <c r="F108" s="348" t="inlineStr"/>
      <c r="G108" s="220">
        <f>SUM(C108)-SUM(D108)</f>
        <v/>
      </c>
      <c r="H108" s="220">
        <f>SUM(E108)-SUM(F108)</f>
        <v/>
      </c>
      <c r="I108" s="221">
        <f>IF(A108="Total",VLOOKUP(B108,CORRESPONDANCE[#All],2,FALSE),I109)</f>
        <v/>
      </c>
      <c r="J108" s="350">
        <f>LEFT(A108,1)</f>
        <v/>
      </c>
      <c r="K108" s="347">
        <f>"R314"&amp;" - "&amp;A108</f>
        <v/>
      </c>
      <c r="L108" s="347">
        <f>+VLOOKUP(K108,TL[],4,FALSE)</f>
        <v/>
      </c>
    </row>
    <row r="109">
      <c r="A109" s="348" t="inlineStr">
        <is>
          <t>60610500</t>
        </is>
      </c>
      <c r="B109" s="348" t="inlineStr">
        <is>
          <t>Achats  gaz</t>
        </is>
      </c>
      <c r="C109" s="348" t="n">
        <v>375</v>
      </c>
      <c r="D109" s="348" t="inlineStr"/>
      <c r="E109" s="348" t="n">
        <v>375</v>
      </c>
      <c r="F109" s="348" t="inlineStr"/>
      <c r="G109" s="220">
        <f>SUM(C109)-SUM(D109)</f>
        <v/>
      </c>
      <c r="H109" s="220">
        <f>SUM(E109)-SUM(F109)</f>
        <v/>
      </c>
      <c r="I109" s="221">
        <f>IF(A109="Total",VLOOKUP(B109,CORRESPONDANCE[#All],2,FALSE),I110)</f>
        <v/>
      </c>
      <c r="J109" s="350">
        <f>LEFT(A109,1)</f>
        <v/>
      </c>
      <c r="K109" s="347">
        <f>"R314"&amp;" - "&amp;A109</f>
        <v/>
      </c>
      <c r="L109" s="347">
        <f>+VLOOKUP(K109,TL[],4,FALSE)</f>
        <v/>
      </c>
    </row>
    <row r="110">
      <c r="A110" s="348" t="inlineStr">
        <is>
          <t>62620000</t>
        </is>
      </c>
      <c r="B110" s="348" t="inlineStr">
        <is>
          <t>Telephone</t>
        </is>
      </c>
      <c r="C110" s="348" t="n">
        <v>365</v>
      </c>
      <c r="D110" s="348" t="inlineStr"/>
      <c r="E110" s="348" t="n">
        <v>365</v>
      </c>
      <c r="F110" s="348" t="inlineStr"/>
      <c r="G110" s="220">
        <f>SUM(C110)-SUM(D110)</f>
        <v/>
      </c>
      <c r="H110" s="220">
        <f>SUM(E110)-SUM(F110)</f>
        <v/>
      </c>
      <c r="I110" s="221">
        <f>IF(A110="Total",VLOOKUP(B110,CORRESPONDANCE[#All],2,FALSE),I111)</f>
        <v/>
      </c>
      <c r="J110" s="350">
        <f>LEFT(A110,1)</f>
        <v/>
      </c>
      <c r="K110" s="347">
        <f>"R314"&amp;" - "&amp;A110</f>
        <v/>
      </c>
      <c r="L110" s="347">
        <f>+VLOOKUP(K110,TL[],4,FALSE)</f>
        <v/>
      </c>
    </row>
    <row r="111">
      <c r="A111" s="348" t="inlineStr">
        <is>
          <t>Total</t>
        </is>
      </c>
      <c r="B111" s="348" t="inlineStr">
        <is>
          <t>Table n°2  -  Electricité, eau, gaz, téléphone</t>
        </is>
      </c>
      <c r="C111" s="348" t="n">
        <v>10583</v>
      </c>
      <c r="D111" s="348" t="inlineStr"/>
      <c r="E111" s="348" t="n">
        <v>10583</v>
      </c>
      <c r="F111" s="348" t="inlineStr"/>
      <c r="G111" s="220">
        <f>SUM(C111)-SUM(D111)</f>
        <v/>
      </c>
      <c r="H111" s="220">
        <f>SUM(E111)-SUM(F111)</f>
        <v/>
      </c>
      <c r="I111" s="221">
        <f>IF(A111="Total",VLOOKUP(B111,CORRESPONDANCE[#All],2,FALSE),I112)</f>
        <v/>
      </c>
      <c r="J111" s="350">
        <f>LEFT(A111,1)</f>
        <v/>
      </c>
      <c r="K111" s="347">
        <f>"R314"&amp;" - "&amp;A111</f>
        <v/>
      </c>
      <c r="L111" s="347">
        <f>+VLOOKUP(K111,TL[],4,FALSE)</f>
        <v/>
      </c>
    </row>
    <row r="112">
      <c r="A112" s="348" t="inlineStr">
        <is>
          <t>60261000</t>
        </is>
      </c>
      <c r="B112" s="348" t="inlineStr">
        <is>
          <t>Cartons collectes</t>
        </is>
      </c>
      <c r="C112" s="348" t="n">
        <v>175.92</v>
      </c>
      <c r="D112" s="348" t="inlineStr"/>
      <c r="E112" s="348" t="n">
        <v>175.92</v>
      </c>
      <c r="F112" s="348" t="inlineStr"/>
      <c r="G112" s="220">
        <f>SUM(C112)-SUM(D112)</f>
        <v/>
      </c>
      <c r="H112" s="220">
        <f>SUM(E112)-SUM(F112)</f>
        <v/>
      </c>
      <c r="I112" s="221">
        <f>IF(A112="Total",VLOOKUP(B112,CORRESPONDANCE[#All],2,FALSE),I113)</f>
        <v/>
      </c>
      <c r="J112" s="350">
        <f>LEFT(A112,1)</f>
        <v/>
      </c>
      <c r="K112" s="347">
        <f>"R314"&amp;" - "&amp;A112</f>
        <v/>
      </c>
      <c r="L112" s="347">
        <f>+VLOOKUP(K112,TL[],4,FALSE)</f>
        <v/>
      </c>
    </row>
    <row r="113">
      <c r="A113" s="348" t="inlineStr">
        <is>
          <t>60630200</t>
        </is>
      </c>
      <c r="B113" s="348" t="inlineStr">
        <is>
          <t>Fournit d'exploit et pdts entretien</t>
        </is>
      </c>
      <c r="C113" s="348" t="n">
        <v>234.54</v>
      </c>
      <c r="D113" s="348" t="inlineStr"/>
      <c r="E113" s="348" t="n">
        <v>234.54</v>
      </c>
      <c r="F113" s="348" t="inlineStr"/>
      <c r="G113" s="220">
        <f>SUM(C113)-SUM(D113)</f>
        <v/>
      </c>
      <c r="H113" s="220">
        <f>SUM(E113)-SUM(F113)</f>
        <v/>
      </c>
      <c r="I113" s="221">
        <f>IF(A113="Total",VLOOKUP(B113,CORRESPONDANCE[#All],2,FALSE),I114)</f>
        <v/>
      </c>
      <c r="J113" s="350">
        <f>LEFT(A113,1)</f>
        <v/>
      </c>
      <c r="K113" s="347">
        <f>"R314"&amp;" - "&amp;A113</f>
        <v/>
      </c>
      <c r="L113" s="347">
        <f>+VLOOKUP(K113,TL[],4,FALSE)</f>
        <v/>
      </c>
    </row>
    <row r="114">
      <c r="A114" s="348" t="inlineStr">
        <is>
          <t>60640100</t>
        </is>
      </c>
      <c r="B114" s="348" t="inlineStr">
        <is>
          <t>Fourni. bureau restaurant</t>
        </is>
      </c>
      <c r="C114" s="348" t="n">
        <v>108.72</v>
      </c>
      <c r="D114" s="348" t="inlineStr"/>
      <c r="E114" s="348" t="n">
        <v>108.72</v>
      </c>
      <c r="F114" s="348" t="inlineStr"/>
      <c r="G114" s="220">
        <f>SUM(C114)-SUM(D114)</f>
        <v/>
      </c>
      <c r="H114" s="220">
        <f>SUM(E114)-SUM(F114)</f>
        <v/>
      </c>
      <c r="I114" s="221">
        <f>IF(A114="Total",VLOOKUP(B114,CORRESPONDANCE[#All],2,FALSE),I115)</f>
        <v/>
      </c>
      <c r="J114" s="350">
        <f>LEFT(A114,1)</f>
        <v/>
      </c>
      <c r="K114" s="347">
        <f>"R314"&amp;" - "&amp;A114</f>
        <v/>
      </c>
      <c r="L114" s="347">
        <f>+VLOOKUP(K114,TL[],4,FALSE)</f>
        <v/>
      </c>
    </row>
    <row r="115">
      <c r="A115" s="348" t="inlineStr">
        <is>
          <t>Total</t>
        </is>
      </c>
      <c r="B115" s="348" t="inlineStr">
        <is>
          <t>Table n°2  -  Fournitures exploitation et bureau</t>
        </is>
      </c>
      <c r="C115" s="348" t="n">
        <v>519.1799999999999</v>
      </c>
      <c r="D115" s="348" t="inlineStr"/>
      <c r="E115" s="348" t="n">
        <v>519.1799999999999</v>
      </c>
      <c r="F115" s="348" t="inlineStr"/>
      <c r="G115" s="220">
        <f>SUM(C115)-SUM(D115)</f>
        <v/>
      </c>
      <c r="H115" s="220">
        <f>SUM(E115)-SUM(F115)</f>
        <v/>
      </c>
      <c r="I115" s="221">
        <f>IF(A115="Total",VLOOKUP(B115,CORRESPONDANCE[#All],2,FALSE),I116)</f>
        <v/>
      </c>
      <c r="J115" s="350">
        <f>LEFT(A115,1)</f>
        <v/>
      </c>
      <c r="K115" s="347">
        <f>"R314"&amp;" - "&amp;A115</f>
        <v/>
      </c>
      <c r="L115" s="347">
        <f>+VLOOKUP(K115,TL[],4,FALSE)</f>
        <v/>
      </c>
    </row>
    <row r="116">
      <c r="A116" s="348" t="inlineStr">
        <is>
          <t>62520400</t>
        </is>
      </c>
      <c r="B116" s="348" t="inlineStr">
        <is>
          <t>Frais de deplacement mgrs</t>
        </is>
      </c>
      <c r="C116" s="348" t="n">
        <v>82</v>
      </c>
      <c r="D116" s="348" t="inlineStr"/>
      <c r="E116" s="348" t="n">
        <v>82</v>
      </c>
      <c r="F116" s="348" t="inlineStr"/>
      <c r="G116" s="220">
        <f>SUM(C116)-SUM(D116)</f>
        <v/>
      </c>
      <c r="H116" s="220">
        <f>SUM(E116)-SUM(F116)</f>
        <v/>
      </c>
      <c r="I116" s="221">
        <f>IF(A116="Total",VLOOKUP(B116,CORRESPONDANCE[#All],2,FALSE),I117)</f>
        <v/>
      </c>
      <c r="J116" s="350">
        <f>LEFT(A116,1)</f>
        <v/>
      </c>
      <c r="K116" s="347">
        <f>"R314"&amp;" - "&amp;A116</f>
        <v/>
      </c>
      <c r="L116" s="347">
        <f>+VLOOKUP(K116,TL[],4,FALSE)</f>
        <v/>
      </c>
    </row>
    <row r="117">
      <c r="A117" s="348" t="inlineStr">
        <is>
          <t>Total</t>
        </is>
      </c>
      <c r="B117" s="348" t="inlineStr">
        <is>
          <t>Table n°2  -  Frais de déplacements et Evènements</t>
        </is>
      </c>
      <c r="C117" s="348" t="n">
        <v>82</v>
      </c>
      <c r="D117" s="348" t="inlineStr"/>
      <c r="E117" s="348" t="n">
        <v>82</v>
      </c>
      <c r="F117" s="348" t="inlineStr"/>
      <c r="G117" s="220">
        <f>SUM(C117)-SUM(D117)</f>
        <v/>
      </c>
      <c r="H117" s="220">
        <f>SUM(E117)-SUM(F117)</f>
        <v/>
      </c>
      <c r="I117" s="221">
        <f>IF(A117="Total",VLOOKUP(B117,CORRESPONDANCE[#All],2,FALSE),I118)</f>
        <v/>
      </c>
      <c r="J117" s="350">
        <f>LEFT(A117,1)</f>
        <v/>
      </c>
      <c r="K117" s="347">
        <f>"R314"&amp;" - "&amp;A117</f>
        <v/>
      </c>
      <c r="L117" s="347">
        <f>+VLOOKUP(K117,TL[],4,FALSE)</f>
        <v/>
      </c>
    </row>
    <row r="118">
      <c r="A118" s="348" t="inlineStr">
        <is>
          <t>62570100</t>
        </is>
      </c>
      <c r="B118" s="348" t="inlineStr">
        <is>
          <t>Recept° equipiers et mgr</t>
        </is>
      </c>
      <c r="C118" s="348" t="n">
        <v>410</v>
      </c>
      <c r="D118" s="348" t="inlineStr"/>
      <c r="E118" s="348" t="n">
        <v>410</v>
      </c>
      <c r="F118" s="348" t="inlineStr"/>
      <c r="G118" s="220">
        <f>SUM(C118)-SUM(D118)</f>
        <v/>
      </c>
      <c r="H118" s="220">
        <f>SUM(E118)-SUM(F118)</f>
        <v/>
      </c>
      <c r="I118" s="221">
        <f>IF(A118="Total",VLOOKUP(B118,CORRESPONDANCE[#All],2,FALSE),I119)</f>
        <v/>
      </c>
      <c r="J118" s="350">
        <f>LEFT(A118,1)</f>
        <v/>
      </c>
      <c r="K118" s="347">
        <f>"R314"&amp;" - "&amp;A118</f>
        <v/>
      </c>
      <c r="L118" s="347">
        <f>+VLOOKUP(K118,TL[],4,FALSE)</f>
        <v/>
      </c>
    </row>
    <row r="119">
      <c r="A119" s="348" t="inlineStr">
        <is>
          <t>62802300</t>
        </is>
      </c>
      <c r="B119" s="348" t="inlineStr">
        <is>
          <t>DIVERS</t>
        </is>
      </c>
      <c r="C119" s="348" t="n">
        <v>286</v>
      </c>
      <c r="D119" s="348" t="inlineStr"/>
      <c r="E119" s="348" t="n">
        <v>286</v>
      </c>
      <c r="F119" s="348" t="inlineStr"/>
      <c r="G119" s="220">
        <f>SUM(C119)-SUM(D119)</f>
        <v/>
      </c>
      <c r="H119" s="220">
        <f>SUM(E119)-SUM(F119)</f>
        <v/>
      </c>
      <c r="I119" s="221">
        <f>IF(A119="Total",VLOOKUP(B119,CORRESPONDANCE[#All],2,FALSE),I120)</f>
        <v/>
      </c>
      <c r="J119" s="350">
        <f>LEFT(A119,1)</f>
        <v/>
      </c>
      <c r="K119" s="347">
        <f>"R314"&amp;" - "&amp;A119</f>
        <v/>
      </c>
      <c r="L119" s="347">
        <f>+VLOOKUP(K119,TL[],4,FALSE)</f>
        <v/>
      </c>
    </row>
    <row r="120">
      <c r="A120" s="348" t="inlineStr">
        <is>
          <t>67110000</t>
        </is>
      </c>
      <c r="B120" s="348" t="inlineStr">
        <is>
          <t>Ecart caisse</t>
        </is>
      </c>
      <c r="C120" s="348" t="n">
        <v>145.73</v>
      </c>
      <c r="D120" s="348" t="inlineStr"/>
      <c r="E120" s="348" t="n">
        <v>145.73</v>
      </c>
      <c r="F120" s="348" t="inlineStr"/>
      <c r="G120" s="220">
        <f>SUM(C120)-SUM(D120)</f>
        <v/>
      </c>
      <c r="H120" s="220">
        <f>SUM(E120)-SUM(F120)</f>
        <v/>
      </c>
      <c r="I120" s="221">
        <f>IF(A120="Total",VLOOKUP(B120,CORRESPONDANCE[#All],2,FALSE),I121)</f>
        <v/>
      </c>
      <c r="J120" s="350">
        <f>LEFT(A120,1)</f>
        <v/>
      </c>
      <c r="K120" s="347">
        <f>"R314"&amp;" - "&amp;A120</f>
        <v/>
      </c>
      <c r="L120" s="347">
        <f>+VLOOKUP(K120,TL[],4,FALSE)</f>
        <v/>
      </c>
    </row>
    <row r="121">
      <c r="A121" s="348" t="inlineStr">
        <is>
          <t>77110000</t>
        </is>
      </c>
      <c r="B121" s="348" t="inlineStr">
        <is>
          <t>Ecarts de caisse</t>
        </is>
      </c>
      <c r="C121" s="348" t="inlineStr"/>
      <c r="D121" s="348" t="n">
        <v>61.33</v>
      </c>
      <c r="E121" s="348" t="inlineStr"/>
      <c r="F121" s="348" t="n">
        <v>61.33</v>
      </c>
      <c r="G121" s="220">
        <f>SUM(C121)-SUM(D121)</f>
        <v/>
      </c>
      <c r="H121" s="220">
        <f>SUM(E121)-SUM(F121)</f>
        <v/>
      </c>
      <c r="I121" s="221">
        <f>IF(A121="Total",VLOOKUP(B121,CORRESPONDANCE[#All],2,FALSE),I122)</f>
        <v/>
      </c>
      <c r="J121" s="350">
        <f>LEFT(A121,1)</f>
        <v/>
      </c>
      <c r="K121" s="347">
        <f>"R314"&amp;" - "&amp;A121</f>
        <v/>
      </c>
      <c r="L121" s="347">
        <f>+VLOOKUP(K121,TL[],4,FALSE)</f>
        <v/>
      </c>
    </row>
    <row r="122">
      <c r="A122" s="348" t="inlineStr">
        <is>
          <t>Total</t>
        </is>
      </c>
      <c r="B122" s="348" t="inlineStr">
        <is>
          <t>Table n°2  -  Divers</t>
        </is>
      </c>
      <c r="C122" s="348" t="n">
        <v>780.4</v>
      </c>
      <c r="D122" s="348" t="inlineStr"/>
      <c r="E122" s="348" t="n">
        <v>780.4</v>
      </c>
      <c r="F122" s="348" t="inlineStr"/>
      <c r="G122" s="220">
        <f>SUM(C122)-SUM(D122)</f>
        <v/>
      </c>
      <c r="H122" s="220">
        <f>SUM(E122)-SUM(F122)</f>
        <v/>
      </c>
      <c r="I122" s="221">
        <f>IF(A122="Total",VLOOKUP(B122,CORRESPONDANCE[#All],2,FALSE),I123)</f>
        <v/>
      </c>
      <c r="J122" s="350">
        <f>LEFT(A122,1)</f>
        <v/>
      </c>
      <c r="K122" s="347">
        <f>"R314"&amp;" - "&amp;A122</f>
        <v/>
      </c>
      <c r="L122" s="347">
        <f>+VLOOKUP(K122,TL[],4,FALSE)</f>
        <v/>
      </c>
    </row>
    <row r="123">
      <c r="A123" s="348" t="inlineStr">
        <is>
          <t>61320000</t>
        </is>
      </c>
      <c r="B123" s="348" t="inlineStr">
        <is>
          <t>Redevance standard 16.5%</t>
        </is>
      </c>
      <c r="C123" s="348" t="n">
        <v>53454.08</v>
      </c>
      <c r="D123" s="348" t="inlineStr"/>
      <c r="E123" s="348" t="n">
        <v>53454.08</v>
      </c>
      <c r="F123" s="348" t="inlineStr"/>
      <c r="G123" s="220">
        <f>SUM(C123)-SUM(D123)</f>
        <v/>
      </c>
      <c r="H123" s="220">
        <f>SUM(E123)-SUM(F123)</f>
        <v/>
      </c>
      <c r="I123" s="221">
        <f>IF(A123="Total",VLOOKUP(B123,CORRESPONDANCE[#All],2,FALSE),I124)</f>
        <v/>
      </c>
      <c r="J123" s="350">
        <f>LEFT(A123,1)</f>
        <v/>
      </c>
      <c r="K123" s="347">
        <f>"R314"&amp;" - "&amp;A123</f>
        <v/>
      </c>
      <c r="L123" s="347">
        <f>+VLOOKUP(K123,TL[],4,FALSE)</f>
        <v/>
      </c>
    </row>
    <row r="124">
      <c r="A124" s="348" t="inlineStr">
        <is>
          <t>Total</t>
        </is>
      </c>
      <c r="B124" s="348" t="inlineStr">
        <is>
          <t>Table n°2  -  Redevance standard</t>
        </is>
      </c>
      <c r="C124" s="348" t="n">
        <v>53454.08</v>
      </c>
      <c r="D124" s="348" t="inlineStr"/>
      <c r="E124" s="348" t="n">
        <v>53454.08</v>
      </c>
      <c r="F124" s="348" t="inlineStr"/>
      <c r="G124" s="220">
        <f>SUM(C124)-SUM(D124)</f>
        <v/>
      </c>
      <c r="H124" s="220">
        <f>SUM(E124)-SUM(F124)</f>
        <v/>
      </c>
      <c r="I124" s="221">
        <f>IF(A124="Total",VLOOKUP(B124,CORRESPONDANCE[#All],2,FALSE),I125)</f>
        <v/>
      </c>
      <c r="J124" s="350">
        <f>LEFT(A124,1)</f>
        <v/>
      </c>
      <c r="K124" s="347">
        <f>"R314"&amp;" - "&amp;A124</f>
        <v/>
      </c>
      <c r="L124" s="347">
        <f>+VLOOKUP(K124,TL[],4,FALSE)</f>
        <v/>
      </c>
    </row>
    <row r="125">
      <c r="A125" s="348" t="inlineStr">
        <is>
          <t>65120000</t>
        </is>
      </c>
      <c r="B125" s="348" t="inlineStr">
        <is>
          <t>Avoir hm 16.50 %</t>
        </is>
      </c>
      <c r="C125" s="348" t="inlineStr"/>
      <c r="D125" s="348" t="n">
        <v>431.14</v>
      </c>
      <c r="E125" s="348" t="inlineStr"/>
      <c r="F125" s="348" t="n">
        <v>431.14</v>
      </c>
      <c r="G125" s="220">
        <f>SUM(C125)-SUM(D125)</f>
        <v/>
      </c>
      <c r="H125" s="220">
        <f>SUM(E125)-SUM(F125)</f>
        <v/>
      </c>
      <c r="I125" s="221">
        <f>IF(A125="Total",VLOOKUP(B125,CORRESPONDANCE[#All],2,FALSE),I126)</f>
        <v/>
      </c>
      <c r="J125" s="350">
        <f>LEFT(A125,1)</f>
        <v/>
      </c>
      <c r="K125" s="347">
        <f>"R314"&amp;" - "&amp;A125</f>
        <v/>
      </c>
      <c r="L125" s="347">
        <f>+VLOOKUP(K125,TL[],4,FALSE)</f>
        <v/>
      </c>
    </row>
    <row r="126">
      <c r="A126" s="348" t="inlineStr">
        <is>
          <t>65121000</t>
        </is>
      </c>
      <c r="B126" s="348" t="inlineStr">
        <is>
          <t>Avoir hm 5%</t>
        </is>
      </c>
      <c r="C126" s="348" t="inlineStr"/>
      <c r="D126" s="348" t="n">
        <v>129.95</v>
      </c>
      <c r="E126" s="348" t="inlineStr"/>
      <c r="F126" s="348" t="n">
        <v>129.95</v>
      </c>
      <c r="G126" s="220">
        <f>SUM(C126)-SUM(D126)</f>
        <v/>
      </c>
      <c r="H126" s="220">
        <f>SUM(E126)-SUM(F126)</f>
        <v/>
      </c>
      <c r="I126" s="221">
        <f>IF(A126="Total",VLOOKUP(B126,CORRESPONDANCE[#All],2,FALSE),I127)</f>
        <v/>
      </c>
      <c r="J126" s="350">
        <f>LEFT(A126,1)</f>
        <v/>
      </c>
      <c r="K126" s="347">
        <f>"R314"&amp;" - "&amp;A126</f>
        <v/>
      </c>
      <c r="L126" s="347">
        <f>+VLOOKUP(K126,TL[],4,FALSE)</f>
        <v/>
      </c>
    </row>
    <row r="127">
      <c r="A127" s="348" t="inlineStr">
        <is>
          <t>Total</t>
        </is>
      </c>
      <c r="B127" s="348" t="inlineStr">
        <is>
          <t>Table n°2  -  Incentives et Avoirs de redevance</t>
        </is>
      </c>
      <c r="C127" s="348" t="inlineStr"/>
      <c r="D127" s="348" t="n">
        <v>561.09</v>
      </c>
      <c r="E127" s="348" t="inlineStr"/>
      <c r="F127" s="348" t="n">
        <v>561.09</v>
      </c>
      <c r="G127" s="220">
        <f>SUM(C127)-SUM(D127)</f>
        <v/>
      </c>
      <c r="H127" s="220">
        <f>SUM(E127)-SUM(F127)</f>
        <v/>
      </c>
      <c r="I127" s="221">
        <f>IF(A127="Total",VLOOKUP(B127,CORRESPONDANCE[#All],2,FALSE),I128)</f>
        <v/>
      </c>
      <c r="J127" s="350">
        <f>LEFT(A127,1)</f>
        <v/>
      </c>
      <c r="K127" s="347">
        <f>"R314"&amp;" - "&amp;A127</f>
        <v/>
      </c>
      <c r="L127" s="347">
        <f>+VLOOKUP(K127,TL[],4,FALSE)</f>
        <v/>
      </c>
    </row>
    <row r="128">
      <c r="A128" s="348" t="inlineStr">
        <is>
          <t>61410000</t>
        </is>
      </c>
      <c r="B128" s="348" t="inlineStr">
        <is>
          <t>Charges locat.mc do france</t>
        </is>
      </c>
      <c r="C128" s="348" t="n">
        <v>349</v>
      </c>
      <c r="D128" s="348" t="inlineStr"/>
      <c r="E128" s="348" t="n">
        <v>349</v>
      </c>
      <c r="F128" s="348" t="inlineStr"/>
      <c r="G128" s="220">
        <f>SUM(C128)-SUM(D128)</f>
        <v/>
      </c>
      <c r="H128" s="220">
        <f>SUM(E128)-SUM(F128)</f>
        <v/>
      </c>
      <c r="I128" s="221">
        <f>IF(A128="Total",VLOOKUP(B128,CORRESPONDANCE[#All],2,FALSE),I129)</f>
        <v/>
      </c>
      <c r="J128" s="350">
        <f>LEFT(A128,1)</f>
        <v/>
      </c>
      <c r="K128" s="347">
        <f>"R314"&amp;" - "&amp;A128</f>
        <v/>
      </c>
      <c r="L128" s="347">
        <f>+VLOOKUP(K128,TL[],4,FALSE)</f>
        <v/>
      </c>
    </row>
    <row r="129">
      <c r="A129" s="348" t="inlineStr">
        <is>
          <t>Total</t>
        </is>
      </c>
      <c r="B129" s="348" t="inlineStr">
        <is>
          <t>Table n°2  -  Charges locatives et copro</t>
        </is>
      </c>
      <c r="C129" s="348" t="n">
        <v>349</v>
      </c>
      <c r="D129" s="348" t="inlineStr"/>
      <c r="E129" s="348" t="n">
        <v>349</v>
      </c>
      <c r="F129" s="348" t="inlineStr"/>
      <c r="G129" s="220">
        <f>SUM(C129)-SUM(D129)</f>
        <v/>
      </c>
      <c r="H129" s="220">
        <f>SUM(E129)-SUM(F129)</f>
        <v/>
      </c>
      <c r="I129" s="221">
        <f>IF(A129="Total",VLOOKUP(B129,CORRESPONDANCE[#All],2,FALSE),I130)</f>
        <v/>
      </c>
      <c r="J129" s="350">
        <f>LEFT(A129,1)</f>
        <v/>
      </c>
      <c r="K129" s="347">
        <f>"R314"&amp;" - "&amp;A129</f>
        <v/>
      </c>
      <c r="L129" s="347">
        <f>+VLOOKUP(K129,TL[],4,FALSE)</f>
        <v/>
      </c>
    </row>
    <row r="130">
      <c r="A130" s="348" t="inlineStr">
        <is>
          <t>65100100</t>
        </is>
      </c>
      <c r="B130" s="348" t="inlineStr">
        <is>
          <t>Redevance service 5%</t>
        </is>
      </c>
      <c r="C130" s="348" t="n">
        <v>16197.51</v>
      </c>
      <c r="D130" s="348" t="inlineStr"/>
      <c r="E130" s="348" t="n">
        <v>16197.51</v>
      </c>
      <c r="F130" s="348" t="inlineStr"/>
      <c r="G130" s="220">
        <f>SUM(C130)-SUM(D130)</f>
        <v/>
      </c>
      <c r="H130" s="220">
        <f>SUM(E130)-SUM(F130)</f>
        <v/>
      </c>
      <c r="I130" s="221">
        <f>IF(A130="Total",VLOOKUP(B130,CORRESPONDANCE[#All],2,FALSE),I131)</f>
        <v/>
      </c>
      <c r="J130" s="350">
        <f>LEFT(A130,1)</f>
        <v/>
      </c>
      <c r="K130" s="347">
        <f>"R314"&amp;" - "&amp;A130</f>
        <v/>
      </c>
      <c r="L130" s="347">
        <f>+VLOOKUP(K130,TL[],4,FALSE)</f>
        <v/>
      </c>
    </row>
    <row r="131">
      <c r="A131" s="348" t="inlineStr">
        <is>
          <t>Total</t>
        </is>
      </c>
      <c r="B131" s="348" t="inlineStr">
        <is>
          <t>Table n°2  -  Redevance service 5%</t>
        </is>
      </c>
      <c r="C131" s="348" t="n">
        <v>16197.51</v>
      </c>
      <c r="D131" s="348" t="inlineStr"/>
      <c r="E131" s="348" t="n">
        <v>16197.51</v>
      </c>
      <c r="F131" s="348" t="inlineStr"/>
      <c r="G131" s="220">
        <f>SUM(C131)-SUM(D131)</f>
        <v/>
      </c>
      <c r="H131" s="220">
        <f>SUM(E131)-SUM(F131)</f>
        <v/>
      </c>
      <c r="I131" s="221">
        <f>IF(A131="Total",VLOOKUP(B131,CORRESPONDANCE[#All],2,FALSE),I132)</f>
        <v/>
      </c>
      <c r="J131" s="350">
        <f>LEFT(A131,1)</f>
        <v/>
      </c>
      <c r="K131" s="347">
        <f>"R314"&amp;" - "&amp;A131</f>
        <v/>
      </c>
      <c r="L131" s="347">
        <f>+VLOOKUP(K131,TL[],4,FALSE)</f>
        <v/>
      </c>
    </row>
    <row r="132">
      <c r="A132" s="348" t="inlineStr">
        <is>
          <t>62260000</t>
        </is>
      </c>
      <c r="B132" s="348" t="inlineStr">
        <is>
          <t>Honoraires comptables</t>
        </is>
      </c>
      <c r="C132" s="348" t="n">
        <v>860</v>
      </c>
      <c r="D132" s="348" t="inlineStr"/>
      <c r="E132" s="348" t="n">
        <v>860</v>
      </c>
      <c r="F132" s="348" t="inlineStr"/>
      <c r="G132" s="220">
        <f>SUM(C132)-SUM(D132)</f>
        <v/>
      </c>
      <c r="H132" s="220">
        <f>SUM(E132)-SUM(F132)</f>
        <v/>
      </c>
      <c r="I132" s="221">
        <f>IF(A132="Total",VLOOKUP(B132,CORRESPONDANCE[#All],2,FALSE),I133)</f>
        <v/>
      </c>
      <c r="J132" s="350">
        <f>LEFT(A132,1)</f>
        <v/>
      </c>
      <c r="K132" s="347">
        <f>"R314"&amp;" - "&amp;A132</f>
        <v/>
      </c>
      <c r="L132" s="347">
        <f>+VLOOKUP(K132,TL[],4,FALSE)</f>
        <v/>
      </c>
    </row>
    <row r="133">
      <c r="A133" s="348" t="inlineStr">
        <is>
          <t>62261000</t>
        </is>
      </c>
      <c r="B133" s="348" t="inlineStr">
        <is>
          <t>Honoraires juridiques</t>
        </is>
      </c>
      <c r="C133" s="348" t="n">
        <v>42</v>
      </c>
      <c r="D133" s="348" t="inlineStr"/>
      <c r="E133" s="348" t="n">
        <v>42</v>
      </c>
      <c r="F133" s="348" t="inlineStr"/>
      <c r="G133" s="220">
        <f>SUM(C133)-SUM(D133)</f>
        <v/>
      </c>
      <c r="H133" s="220">
        <f>SUM(E133)-SUM(F133)</f>
        <v/>
      </c>
      <c r="I133" s="221">
        <f>IF(A133="Total",VLOOKUP(B133,CORRESPONDANCE[#All],2,FALSE),I134)</f>
        <v/>
      </c>
      <c r="J133" s="350">
        <f>LEFT(A133,1)</f>
        <v/>
      </c>
      <c r="K133" s="347">
        <f>"R314"&amp;" - "&amp;A133</f>
        <v/>
      </c>
      <c r="L133" s="347">
        <f>+VLOOKUP(K133,TL[],4,FALSE)</f>
        <v/>
      </c>
    </row>
    <row r="134">
      <c r="A134" s="348" t="inlineStr">
        <is>
          <t>62265000</t>
        </is>
      </c>
      <c r="B134" s="348" t="inlineStr">
        <is>
          <t>Honoraires comm aux com</t>
        </is>
      </c>
      <c r="C134" s="348" t="n">
        <v>450</v>
      </c>
      <c r="D134" s="348" t="inlineStr"/>
      <c r="E134" s="348" t="n">
        <v>450</v>
      </c>
      <c r="F134" s="348" t="inlineStr"/>
      <c r="G134" s="220">
        <f>SUM(C134)-SUM(D134)</f>
        <v/>
      </c>
      <c r="H134" s="220">
        <f>SUM(E134)-SUM(F134)</f>
        <v/>
      </c>
      <c r="I134" s="221">
        <f>IF(A134="Total",VLOOKUP(B134,CORRESPONDANCE[#All],2,FALSE),I135)</f>
        <v/>
      </c>
      <c r="J134" s="350">
        <f>LEFT(A134,1)</f>
        <v/>
      </c>
      <c r="K134" s="347">
        <f>"R314"&amp;" - "&amp;A134</f>
        <v/>
      </c>
      <c r="L134" s="347">
        <f>+VLOOKUP(K134,TL[],4,FALSE)</f>
        <v/>
      </c>
    </row>
    <row r="135">
      <c r="A135" s="348" t="inlineStr">
        <is>
          <t>62266000</t>
        </is>
      </c>
      <c r="B135" s="348" t="inlineStr">
        <is>
          <t>Honoraires divers</t>
        </is>
      </c>
      <c r="C135" s="348" t="n">
        <v>238.68</v>
      </c>
      <c r="D135" s="348" t="inlineStr"/>
      <c r="E135" s="348" t="n">
        <v>238.68</v>
      </c>
      <c r="F135" s="348" t="inlineStr"/>
      <c r="G135" s="220">
        <f>SUM(C135)-SUM(D135)</f>
        <v/>
      </c>
      <c r="H135" s="220">
        <f>SUM(E135)-SUM(F135)</f>
        <v/>
      </c>
      <c r="I135" s="221">
        <f>IF(A135="Total",VLOOKUP(B135,CORRESPONDANCE[#All],2,FALSE),I136)</f>
        <v/>
      </c>
      <c r="J135" s="350">
        <f>LEFT(A135,1)</f>
        <v/>
      </c>
      <c r="K135" s="347">
        <f>"R314"&amp;" - "&amp;A135</f>
        <v/>
      </c>
      <c r="L135" s="347">
        <f>+VLOOKUP(K135,TL[],4,FALSE)</f>
        <v/>
      </c>
    </row>
    <row r="136">
      <c r="A136" s="348" t="inlineStr">
        <is>
          <t>Total</t>
        </is>
      </c>
      <c r="B136" s="348" t="inlineStr">
        <is>
          <t>Table n°2  -  Frais comptables et juridiques</t>
        </is>
      </c>
      <c r="C136" s="348" t="n">
        <v>1590.68</v>
      </c>
      <c r="D136" s="348" t="inlineStr"/>
      <c r="E136" s="348" t="n">
        <v>1590.68</v>
      </c>
      <c r="F136" s="348" t="inlineStr"/>
      <c r="G136" s="220">
        <f>SUM(C136)-SUM(D136)</f>
        <v/>
      </c>
      <c r="H136" s="220">
        <f>SUM(E136)-SUM(F136)</f>
        <v/>
      </c>
      <c r="I136" s="221">
        <f>IF(A136="Total",VLOOKUP(B136,CORRESPONDANCE[#All],2,FALSE),I137)</f>
        <v/>
      </c>
      <c r="J136" s="350">
        <f>LEFT(A136,1)</f>
        <v/>
      </c>
      <c r="K136" s="347">
        <f>"R314"&amp;" - "&amp;A136</f>
        <v/>
      </c>
      <c r="L136" s="347">
        <f>+VLOOKUP(K136,TL[],4,FALSE)</f>
        <v/>
      </c>
    </row>
    <row r="137">
      <c r="A137" s="348" t="inlineStr">
        <is>
          <t>61600100</t>
        </is>
      </c>
      <c r="B137" s="348" t="inlineStr">
        <is>
          <t>Assu. multirisque restau</t>
        </is>
      </c>
      <c r="C137" s="348" t="n">
        <v>1850</v>
      </c>
      <c r="D137" s="348" t="inlineStr"/>
      <c r="E137" s="348" t="n">
        <v>1850</v>
      </c>
      <c r="F137" s="348" t="inlineStr"/>
      <c r="G137" s="220">
        <f>SUM(C137)-SUM(D137)</f>
        <v/>
      </c>
      <c r="H137" s="220">
        <f>SUM(E137)-SUM(F137)</f>
        <v/>
      </c>
      <c r="I137" s="221">
        <f>IF(A137="Total",VLOOKUP(B137,CORRESPONDANCE[#All],2,FALSE),I138)</f>
        <v/>
      </c>
      <c r="J137" s="350">
        <f>LEFT(A137,1)</f>
        <v/>
      </c>
      <c r="K137" s="347">
        <f>"R314"&amp;" - "&amp;A137</f>
        <v/>
      </c>
      <c r="L137" s="347">
        <f>+VLOOKUP(K137,TL[],4,FALSE)</f>
        <v/>
      </c>
    </row>
    <row r="138">
      <c r="A138" s="348" t="inlineStr">
        <is>
          <t>61600200</t>
        </is>
      </c>
      <c r="B138" s="348" t="inlineStr">
        <is>
          <t>Assurance juridique</t>
        </is>
      </c>
      <c r="C138" s="348" t="n">
        <v>68</v>
      </c>
      <c r="D138" s="348" t="inlineStr"/>
      <c r="E138" s="348" t="n">
        <v>68</v>
      </c>
      <c r="F138" s="348" t="inlineStr"/>
      <c r="G138" s="220">
        <f>SUM(C138)-SUM(D138)</f>
        <v/>
      </c>
      <c r="H138" s="220">
        <f>SUM(E138)-SUM(F138)</f>
        <v/>
      </c>
      <c r="I138" s="221">
        <f>IF(A138="Total",VLOOKUP(B138,CORRESPONDANCE[#All],2,FALSE),I139)</f>
        <v/>
      </c>
      <c r="J138" s="350">
        <f>LEFT(A138,1)</f>
        <v/>
      </c>
      <c r="K138" s="347">
        <f>"R314"&amp;" - "&amp;A138</f>
        <v/>
      </c>
      <c r="L138" s="347">
        <f>+VLOOKUP(K138,TL[],4,FALSE)</f>
        <v/>
      </c>
    </row>
    <row r="139">
      <c r="A139" s="348" t="inlineStr">
        <is>
          <t>61600300</t>
        </is>
      </c>
      <c r="B139" s="348" t="inlineStr">
        <is>
          <t>Assurance auto-mission</t>
        </is>
      </c>
      <c r="C139" s="348" t="n">
        <v>20</v>
      </c>
      <c r="D139" s="348" t="inlineStr"/>
      <c r="E139" s="348" t="n">
        <v>20</v>
      </c>
      <c r="F139" s="348" t="inlineStr"/>
      <c r="G139" s="220">
        <f>SUM(C139)-SUM(D139)</f>
        <v/>
      </c>
      <c r="H139" s="220">
        <f>SUM(E139)-SUM(F139)</f>
        <v/>
      </c>
      <c r="I139" s="221">
        <f>IF(A139="Total",VLOOKUP(B139,CORRESPONDANCE[#All],2,FALSE),I140)</f>
        <v/>
      </c>
      <c r="J139" s="350">
        <f>LEFT(A139,1)</f>
        <v/>
      </c>
      <c r="K139" s="347">
        <f>"R314"&amp;" - "&amp;A139</f>
        <v/>
      </c>
      <c r="L139" s="347">
        <f>+VLOOKUP(K139,TL[],4,FALSE)</f>
        <v/>
      </c>
    </row>
    <row r="140">
      <c r="A140" s="348" t="inlineStr">
        <is>
          <t>61600600</t>
        </is>
      </c>
      <c r="B140" s="348" t="inlineStr">
        <is>
          <t>Assurance décénale</t>
        </is>
      </c>
      <c r="C140" s="348" t="n">
        <v>28</v>
      </c>
      <c r="D140" s="348" t="inlineStr"/>
      <c r="E140" s="348" t="n">
        <v>28</v>
      </c>
      <c r="F140" s="348" t="inlineStr"/>
      <c r="G140" s="220">
        <f>SUM(C140)-SUM(D140)</f>
        <v/>
      </c>
      <c r="H140" s="220">
        <f>SUM(E140)-SUM(F140)</f>
        <v/>
      </c>
      <c r="I140" s="221">
        <f>IF(A140="Total",VLOOKUP(B140,CORRESPONDANCE[#All],2,FALSE),I141)</f>
        <v/>
      </c>
      <c r="J140" s="350">
        <f>LEFT(A140,1)</f>
        <v/>
      </c>
      <c r="K140" s="347">
        <f>"R314"&amp;" - "&amp;A140</f>
        <v/>
      </c>
      <c r="L140" s="347">
        <f>+VLOOKUP(K140,TL[],4,FALSE)</f>
        <v/>
      </c>
    </row>
    <row r="141">
      <c r="A141" s="348" t="inlineStr">
        <is>
          <t>Total</t>
        </is>
      </c>
      <c r="B141" s="348" t="inlineStr">
        <is>
          <t>Table n°2  -  Assurances</t>
        </is>
      </c>
      <c r="C141" s="348" t="n">
        <v>1966</v>
      </c>
      <c r="D141" s="348" t="inlineStr"/>
      <c r="E141" s="348" t="n">
        <v>1966</v>
      </c>
      <c r="F141" s="348" t="inlineStr"/>
      <c r="G141" s="220">
        <f>SUM(C141)-SUM(D141)</f>
        <v/>
      </c>
      <c r="H141" s="220">
        <f>SUM(E141)-SUM(F141)</f>
        <v/>
      </c>
      <c r="I141" s="221">
        <f>IF(A141="Total",VLOOKUP(B141,CORRESPONDANCE[#All],2,FALSE),I142)</f>
        <v/>
      </c>
      <c r="J141" s="350">
        <f>LEFT(A141,1)</f>
        <v/>
      </c>
      <c r="K141" s="347">
        <f>"R314"&amp;" - "&amp;A141</f>
        <v/>
      </c>
      <c r="L141" s="347">
        <f>+VLOOKUP(K141,TL[],4,FALSE)</f>
        <v/>
      </c>
    </row>
    <row r="142">
      <c r="A142" s="348" t="inlineStr">
        <is>
          <t>63330000</t>
        </is>
      </c>
      <c r="B142" s="348" t="inlineStr">
        <is>
          <t>Format° pro</t>
        </is>
      </c>
      <c r="C142" s="348" t="n">
        <v>727</v>
      </c>
      <c r="D142" s="348" t="inlineStr"/>
      <c r="E142" s="348" t="n">
        <v>727</v>
      </c>
      <c r="F142" s="348" t="inlineStr"/>
      <c r="G142" s="220">
        <f>SUM(C142)-SUM(D142)</f>
        <v/>
      </c>
      <c r="H142" s="220">
        <f>SUM(E142)-SUM(F142)</f>
        <v/>
      </c>
      <c r="I142" s="221">
        <f>IF(A142="Total",VLOOKUP(B142,CORRESPONDANCE[#All],2,FALSE),I143)</f>
        <v/>
      </c>
      <c r="J142" s="350">
        <f>LEFT(A142,1)</f>
        <v/>
      </c>
      <c r="K142" s="347">
        <f>"R314"&amp;" - "&amp;A142</f>
        <v/>
      </c>
      <c r="L142" s="347">
        <f>+VLOOKUP(K142,TL[],4,FALSE)</f>
        <v/>
      </c>
    </row>
    <row r="143">
      <c r="A143" s="348" t="inlineStr">
        <is>
          <t>63350000</t>
        </is>
      </c>
      <c r="B143" s="348" t="inlineStr">
        <is>
          <t>Taxe apprentissage</t>
        </is>
      </c>
      <c r="C143" s="348" t="n">
        <v>503.05</v>
      </c>
      <c r="D143" s="348" t="inlineStr"/>
      <c r="E143" s="348" t="n">
        <v>503.05</v>
      </c>
      <c r="F143" s="348" t="inlineStr"/>
      <c r="G143" s="220">
        <f>SUM(C143)-SUM(D143)</f>
        <v/>
      </c>
      <c r="H143" s="220">
        <f>SUM(E143)-SUM(F143)</f>
        <v/>
      </c>
      <c r="I143" s="221">
        <f>IF(A143="Total",VLOOKUP(B143,CORRESPONDANCE[#All],2,FALSE),I144)</f>
        <v/>
      </c>
      <c r="J143" s="350">
        <f>LEFT(A143,1)</f>
        <v/>
      </c>
      <c r="K143" s="347">
        <f>"R314"&amp;" - "&amp;A143</f>
        <v/>
      </c>
      <c r="L143" s="347">
        <f>+VLOOKUP(K143,TL[],4,FALSE)</f>
        <v/>
      </c>
    </row>
    <row r="144">
      <c r="A144" s="348" t="inlineStr">
        <is>
          <t>63511100</t>
        </is>
      </c>
      <c r="B144" s="348" t="inlineStr">
        <is>
          <t>Contribution foncière entreprises</t>
        </is>
      </c>
      <c r="C144" s="348" t="n">
        <v>174</v>
      </c>
      <c r="D144" s="348" t="inlineStr"/>
      <c r="E144" s="348" t="n">
        <v>174</v>
      </c>
      <c r="F144" s="348" t="inlineStr"/>
      <c r="G144" s="220">
        <f>SUM(C144)-SUM(D144)</f>
        <v/>
      </c>
      <c r="H144" s="220">
        <f>SUM(E144)-SUM(F144)</f>
        <v/>
      </c>
      <c r="I144" s="221">
        <f>IF(A144="Total",VLOOKUP(B144,CORRESPONDANCE[#All],2,FALSE),I145)</f>
        <v/>
      </c>
      <c r="J144" s="350">
        <f>LEFT(A144,1)</f>
        <v/>
      </c>
      <c r="K144" s="347">
        <f>"R314"&amp;" - "&amp;A144</f>
        <v/>
      </c>
      <c r="L144" s="347">
        <f>+VLOOKUP(K144,TL[],4,FALSE)</f>
        <v/>
      </c>
    </row>
    <row r="145">
      <c r="A145" s="348" t="inlineStr">
        <is>
          <t>63511200</t>
        </is>
      </c>
      <c r="B145" s="348" t="inlineStr">
        <is>
          <t>Contrib. valeur ajoutée entreprises</t>
        </is>
      </c>
      <c r="C145" s="348" t="n">
        <v>580</v>
      </c>
      <c r="D145" s="348" t="inlineStr"/>
      <c r="E145" s="348" t="n">
        <v>580</v>
      </c>
      <c r="F145" s="348" t="inlineStr"/>
      <c r="G145" s="220">
        <f>SUM(C145)-SUM(D145)</f>
        <v/>
      </c>
      <c r="H145" s="220">
        <f>SUM(E145)-SUM(F145)</f>
        <v/>
      </c>
      <c r="I145" s="221">
        <f>IF(A145="Total",VLOOKUP(B145,CORRESPONDANCE[#All],2,FALSE),I146)</f>
        <v/>
      </c>
      <c r="J145" s="350">
        <f>LEFT(A145,1)</f>
        <v/>
      </c>
      <c r="K145" s="347">
        <f>"R314"&amp;" - "&amp;A145</f>
        <v/>
      </c>
      <c r="L145" s="347">
        <f>+VLOOKUP(K145,TL[],4,FALSE)</f>
        <v/>
      </c>
    </row>
    <row r="146">
      <c r="A146" s="348" t="inlineStr">
        <is>
          <t>63553000</t>
        </is>
      </c>
      <c r="B146" s="348" t="inlineStr">
        <is>
          <t>Taxe publicite exterieure</t>
        </is>
      </c>
      <c r="C146" s="348" t="n">
        <v>290</v>
      </c>
      <c r="D146" s="348" t="inlineStr"/>
      <c r="E146" s="348" t="n">
        <v>290</v>
      </c>
      <c r="F146" s="348" t="inlineStr"/>
      <c r="G146" s="220">
        <f>SUM(C146)-SUM(D146)</f>
        <v/>
      </c>
      <c r="H146" s="220">
        <f>SUM(E146)-SUM(F146)</f>
        <v/>
      </c>
      <c r="I146" s="221">
        <f>IF(A146="Total",VLOOKUP(B146,CORRESPONDANCE[#All],2,FALSE),I147)</f>
        <v/>
      </c>
      <c r="J146" s="350">
        <f>LEFT(A146,1)</f>
        <v/>
      </c>
      <c r="K146" s="347">
        <f>"R314"&amp;" - "&amp;A146</f>
        <v/>
      </c>
      <c r="L146" s="347">
        <f>+VLOOKUP(K146,TL[],4,FALSE)</f>
        <v/>
      </c>
    </row>
    <row r="147">
      <c r="A147" s="348" t="inlineStr">
        <is>
          <t>63730000</t>
        </is>
      </c>
      <c r="B147" s="348" t="inlineStr">
        <is>
          <t>Taxe agefiph</t>
        </is>
      </c>
      <c r="C147" s="348" t="n">
        <v>2275</v>
      </c>
      <c r="D147" s="348" t="inlineStr"/>
      <c r="E147" s="348" t="n">
        <v>2275</v>
      </c>
      <c r="F147" s="348" t="inlineStr"/>
      <c r="G147" s="220">
        <f>SUM(C147)-SUM(D147)</f>
        <v/>
      </c>
      <c r="H147" s="220">
        <f>SUM(E147)-SUM(F147)</f>
        <v/>
      </c>
      <c r="I147" s="221">
        <f>IF(A147="Total",VLOOKUP(B147,CORRESPONDANCE[#All],2,FALSE),I148)</f>
        <v/>
      </c>
      <c r="J147" s="350">
        <f>LEFT(A147,1)</f>
        <v/>
      </c>
      <c r="K147" s="347">
        <f>"R314"&amp;" - "&amp;A147</f>
        <v/>
      </c>
      <c r="L147" s="347">
        <f>+VLOOKUP(K147,TL[],4,FALSE)</f>
        <v/>
      </c>
    </row>
    <row r="148">
      <c r="A148" s="348" t="inlineStr">
        <is>
          <t>Total</t>
        </is>
      </c>
      <c r="B148" s="348" t="inlineStr">
        <is>
          <t>Table n°2  -  Taxes</t>
        </is>
      </c>
      <c r="C148" s="348" t="n">
        <v>4549.05</v>
      </c>
      <c r="D148" s="348" t="inlineStr"/>
      <c r="E148" s="348" t="n">
        <v>4549.05</v>
      </c>
      <c r="F148" s="348" t="inlineStr"/>
      <c r="G148" s="220">
        <f>SUM(C148)-SUM(D148)</f>
        <v/>
      </c>
      <c r="H148" s="220">
        <f>SUM(E148)-SUM(F148)</f>
        <v/>
      </c>
      <c r="I148" s="221">
        <f>IF(A148="Total",VLOOKUP(B148,CORRESPONDANCE[#All],2,FALSE),I149)</f>
        <v/>
      </c>
      <c r="J148" s="350">
        <f>LEFT(A148,1)</f>
        <v/>
      </c>
      <c r="K148" s="347">
        <f>"R314"&amp;" - "&amp;A148</f>
        <v/>
      </c>
      <c r="L148" s="347">
        <f>+VLOOKUP(K148,TL[],4,FALSE)</f>
        <v/>
      </c>
    </row>
    <row r="149">
      <c r="A149" s="348" t="inlineStr">
        <is>
          <t>68112000</t>
        </is>
      </c>
      <c r="B149" s="348" t="inlineStr">
        <is>
          <t>Dot.amort.immo.corporell.</t>
        </is>
      </c>
      <c r="C149" s="348" t="n">
        <v>17300</v>
      </c>
      <c r="D149" s="348" t="inlineStr"/>
      <c r="E149" s="348" t="n">
        <v>17300</v>
      </c>
      <c r="F149" s="348" t="inlineStr"/>
      <c r="G149" s="220">
        <f>SUM(C149)-SUM(D149)</f>
        <v/>
      </c>
      <c r="H149" s="220">
        <f>SUM(E149)-SUM(F149)</f>
        <v/>
      </c>
      <c r="I149" s="221">
        <f>IF(A149="Total",VLOOKUP(B149,CORRESPONDANCE[#All],2,FALSE),I150)</f>
        <v/>
      </c>
      <c r="J149" s="350">
        <f>LEFT(A149,1)</f>
        <v/>
      </c>
      <c r="K149" s="347">
        <f>"R314"&amp;" - "&amp;A149</f>
        <v/>
      </c>
      <c r="L149" s="347">
        <f>+VLOOKUP(K149,TL[],4,FALSE)</f>
        <v/>
      </c>
    </row>
    <row r="150">
      <c r="A150" s="348" t="inlineStr">
        <is>
          <t>Total</t>
        </is>
      </c>
      <c r="B150" s="348" t="inlineStr">
        <is>
          <t>Table n°2  -  Dépréciations amortissements</t>
        </is>
      </c>
      <c r="C150" s="348" t="n">
        <v>17300</v>
      </c>
      <c r="D150" s="348" t="inlineStr"/>
      <c r="E150" s="348" t="n">
        <v>17300</v>
      </c>
      <c r="F150" s="348" t="inlineStr"/>
      <c r="G150" s="220">
        <f>SUM(C150)-SUM(D150)</f>
        <v/>
      </c>
      <c r="H150" s="220">
        <f>SUM(E150)-SUM(F150)</f>
        <v/>
      </c>
      <c r="I150" s="221">
        <f>IF(A150="Total",VLOOKUP(B150,CORRESPONDANCE[#All],2,FALSE),I151)</f>
        <v/>
      </c>
      <c r="J150" s="350">
        <f>LEFT(A150,1)</f>
        <v/>
      </c>
      <c r="K150" s="347">
        <f>"R314"&amp;" - "&amp;A150</f>
        <v/>
      </c>
      <c r="L150" s="347">
        <f>+VLOOKUP(K150,TL[],4,FALSE)</f>
        <v/>
      </c>
    </row>
    <row r="151">
      <c r="A151" s="348" t="inlineStr">
        <is>
          <t>61352000</t>
        </is>
      </c>
      <c r="B151" s="348" t="inlineStr">
        <is>
          <t>Location matériel inform.GRENKE</t>
        </is>
      </c>
      <c r="C151" s="348" t="n">
        <v>321.35</v>
      </c>
      <c r="D151" s="348" t="inlineStr"/>
      <c r="E151" s="348" t="n">
        <v>321.35</v>
      </c>
      <c r="F151" s="348" t="inlineStr"/>
      <c r="G151" s="220">
        <f>SUM(C151)-SUM(D151)</f>
        <v/>
      </c>
      <c r="H151" s="220">
        <f>SUM(E151)-SUM(F151)</f>
        <v/>
      </c>
      <c r="I151" s="221">
        <f>IF(A151="Total",VLOOKUP(B151,CORRESPONDANCE[#All],2,FALSE),#REF!)</f>
        <v/>
      </c>
      <c r="J151" s="350">
        <f>LEFT(A151,1)</f>
        <v/>
      </c>
      <c r="K151" s="347">
        <f>"R314"&amp;" - "&amp;A151</f>
        <v/>
      </c>
      <c r="L151" s="347">
        <f>+VLOOKUP(K151,TL[],4,FALSE)</f>
        <v/>
      </c>
    </row>
    <row r="152">
      <c r="A152" s="348" t="inlineStr">
        <is>
          <t>Total</t>
        </is>
      </c>
      <c r="B152" s="348" t="inlineStr">
        <is>
          <t>Table n°2  -  Crédit bail</t>
        </is>
      </c>
      <c r="C152" s="348" t="n">
        <v>321.35</v>
      </c>
      <c r="D152" s="348" t="inlineStr"/>
      <c r="E152" s="348" t="n">
        <v>321.35</v>
      </c>
      <c r="F152" s="348" t="inlineStr"/>
      <c r="G152" s="220">
        <f>SUM(C152)-SUM(D152)</f>
        <v/>
      </c>
      <c r="H152" s="220">
        <f>SUM(E152)-SUM(F152)</f>
        <v/>
      </c>
      <c r="I152" s="221">
        <f>IF(A152="Total",VLOOKUP(B152,CORRESPONDANCE[#All],2,FALSE),I153)</f>
        <v/>
      </c>
      <c r="J152" s="350">
        <f>LEFT(A152,1)</f>
        <v/>
      </c>
      <c r="K152" s="347">
        <f>"R314"&amp;" - "&amp;A152</f>
        <v/>
      </c>
      <c r="L152" s="347">
        <f>+VLOOKUP(K152,TL[],4,FALSE)</f>
        <v/>
      </c>
    </row>
    <row r="153">
      <c r="A153" s="348" t="inlineStr">
        <is>
          <t>61353600</t>
        </is>
      </c>
      <c r="B153" s="348" t="inlineStr">
        <is>
          <t>Loyer oeuvre d art</t>
        </is>
      </c>
      <c r="C153" s="348" t="n">
        <v>3811</v>
      </c>
      <c r="D153" s="348" t="inlineStr"/>
      <c r="E153" s="348" t="n">
        <v>3811</v>
      </c>
      <c r="F153" s="348" t="inlineStr"/>
      <c r="G153" s="220">
        <f>SUM(C153)-SUM(D153)</f>
        <v/>
      </c>
      <c r="H153" s="220">
        <f>SUM(E153)-SUM(F153)</f>
        <v/>
      </c>
      <c r="I153" s="221">
        <f>IF(A153="Total",VLOOKUP(B153,CORRESPONDANCE[#All],2,FALSE),I154)</f>
        <v/>
      </c>
      <c r="J153" s="350">
        <f>LEFT(A153,1)</f>
        <v/>
      </c>
      <c r="K153" s="347">
        <f>"R314"&amp;" - "&amp;A153</f>
        <v/>
      </c>
      <c r="L153" s="347">
        <f>+VLOOKUP(K153,TL[],4,FALSE)</f>
        <v/>
      </c>
    </row>
    <row r="154">
      <c r="A154" s="348" t="inlineStr">
        <is>
          <t>61600500</t>
        </is>
      </c>
      <c r="B154" s="348" t="inlineStr">
        <is>
          <t>Assurance vehicule</t>
        </is>
      </c>
      <c r="C154" s="348" t="n">
        <v>177.85</v>
      </c>
      <c r="D154" s="348" t="inlineStr"/>
      <c r="E154" s="348" t="n">
        <v>177.85</v>
      </c>
      <c r="F154" s="348" t="inlineStr"/>
      <c r="G154" s="220">
        <f>SUM(C154)-SUM(D154)</f>
        <v/>
      </c>
      <c r="H154" s="220">
        <f>SUM(E154)-SUM(F154)</f>
        <v/>
      </c>
      <c r="I154" s="221">
        <f>IF(A154="Total",VLOOKUP(B154,CORRESPONDANCE[#All],2,FALSE),I155)</f>
        <v/>
      </c>
      <c r="J154" s="350">
        <f>LEFT(A154,1)</f>
        <v/>
      </c>
      <c r="K154" s="347">
        <f>"R314"&amp;" - "&amp;A154</f>
        <v/>
      </c>
      <c r="L154" s="347">
        <f>+VLOOKUP(K154,TL[],4,FALSE)</f>
        <v/>
      </c>
    </row>
    <row r="155">
      <c r="A155" s="348" t="inlineStr">
        <is>
          <t>63514000</t>
        </is>
      </c>
      <c r="B155" s="348" t="inlineStr">
        <is>
          <t>Taxes sur les véhic.soc.</t>
        </is>
      </c>
      <c r="C155" s="348" t="n">
        <v>60</v>
      </c>
      <c r="D155" s="348" t="inlineStr"/>
      <c r="E155" s="348" t="n">
        <v>60</v>
      </c>
      <c r="F155" s="348" t="inlineStr"/>
      <c r="G155" s="220">
        <f>SUM(C155)-SUM(D155)</f>
        <v/>
      </c>
      <c r="H155" s="220">
        <f>SUM(E155)-SUM(F155)</f>
        <v/>
      </c>
      <c r="I155" s="221">
        <f>IF(A155="Total",VLOOKUP(B155,CORRESPONDANCE[#All],2,FALSE),I156)</f>
        <v/>
      </c>
      <c r="J155" s="350">
        <f>LEFT(A155,1)</f>
        <v/>
      </c>
      <c r="K155" s="347">
        <f>"R314"&amp;" - "&amp;A155</f>
        <v/>
      </c>
      <c r="L155" s="347">
        <f>+VLOOKUP(K155,TL[],4,FALSE)</f>
        <v/>
      </c>
    </row>
    <row r="156">
      <c r="A156" s="348" t="inlineStr">
        <is>
          <t>65800000</t>
        </is>
      </c>
      <c r="B156" s="348" t="inlineStr">
        <is>
          <t>Charges div.gest.courante</t>
        </is>
      </c>
      <c r="C156" s="348" t="n">
        <v>0.04</v>
      </c>
      <c r="D156" s="348" t="inlineStr"/>
      <c r="E156" s="348" t="n">
        <v>0.04</v>
      </c>
      <c r="F156" s="348" t="inlineStr"/>
      <c r="G156" s="220">
        <f>SUM(C156)-SUM(D156)</f>
        <v/>
      </c>
      <c r="H156" s="220">
        <f>SUM(E156)-SUM(F156)</f>
        <v/>
      </c>
      <c r="I156" s="221">
        <f>IF(A156="Total",VLOOKUP(B156,CORRESPONDANCE[#All],2,FALSE),I157)</f>
        <v/>
      </c>
      <c r="J156" s="350">
        <f>LEFT(A156,1)</f>
        <v/>
      </c>
      <c r="K156" s="347">
        <f>"R314"&amp;" - "&amp;A156</f>
        <v/>
      </c>
      <c r="L156" s="347">
        <f>+VLOOKUP(K156,TL[],4,FALSE)</f>
        <v/>
      </c>
    </row>
    <row r="157">
      <c r="A157" s="348" t="inlineStr">
        <is>
          <t>Total</t>
        </is>
      </c>
      <c r="B157" s="348" t="inlineStr">
        <is>
          <t>Table n°2  -  Dépenses / Revenus divers</t>
        </is>
      </c>
      <c r="C157" s="348" t="n">
        <v>4048.89</v>
      </c>
      <c r="D157" s="348" t="inlineStr"/>
      <c r="E157" s="348" t="n">
        <v>4048.89</v>
      </c>
      <c r="F157" s="348" t="inlineStr"/>
      <c r="G157" s="220">
        <f>SUM(C157)-SUM(D157)</f>
        <v/>
      </c>
      <c r="H157" s="220">
        <f>SUM(E157)-SUM(F157)</f>
        <v/>
      </c>
      <c r="I157" s="221">
        <f>IF(A157="Total",VLOOKUP(B157,CORRESPONDANCE[#All],2,FALSE),I158)</f>
        <v/>
      </c>
      <c r="J157" s="350">
        <f>LEFT(A157,1)</f>
        <v/>
      </c>
      <c r="K157" s="347">
        <f>"R314"&amp;" - "&amp;A157</f>
        <v/>
      </c>
      <c r="L157" s="347">
        <f>+VLOOKUP(K157,TL[],4,FALSE)</f>
        <v/>
      </c>
    </row>
    <row r="158">
      <c r="A158" s="348" t="inlineStr">
        <is>
          <t>66111000</t>
        </is>
      </c>
      <c r="B158" s="348" t="inlineStr">
        <is>
          <t>Intérêts sur emprunt</t>
        </is>
      </c>
      <c r="C158" s="348" t="n">
        <v>276.07</v>
      </c>
      <c r="D158" s="348" t="inlineStr"/>
      <c r="E158" s="348" t="n">
        <v>276.07</v>
      </c>
      <c r="F158" s="348" t="inlineStr"/>
      <c r="G158" s="220">
        <f>SUM(C158)-SUM(D158)</f>
        <v/>
      </c>
      <c r="H158" s="220">
        <f>SUM(E158)-SUM(F158)</f>
        <v/>
      </c>
      <c r="I158" s="221">
        <f>IF(A158="Total",VLOOKUP(B158,CORRESPONDANCE[#All],2,FALSE),I159)</f>
        <v/>
      </c>
      <c r="J158" s="350">
        <f>LEFT(A158,1)</f>
        <v/>
      </c>
      <c r="K158" s="347">
        <f>"R314"&amp;" - "&amp;A158</f>
        <v/>
      </c>
      <c r="L158" s="347">
        <f>+VLOOKUP(K158,TL[],4,FALSE)</f>
        <v/>
      </c>
    </row>
    <row r="159">
      <c r="A159" s="348" t="inlineStr">
        <is>
          <t>Total</t>
        </is>
      </c>
      <c r="B159" s="348" t="inlineStr">
        <is>
          <t>Table n°2  -  Charges / Revenus financiers</t>
        </is>
      </c>
      <c r="C159" s="348" t="n">
        <v>276.07</v>
      </c>
      <c r="D159" s="348" t="inlineStr"/>
      <c r="E159" s="348" t="n">
        <v>276.07</v>
      </c>
      <c r="F159" s="348" t="inlineStr"/>
      <c r="G159" s="220">
        <f>SUM(C159)-SUM(D159)</f>
        <v/>
      </c>
      <c r="H159" s="220">
        <f>SUM(E159)-SUM(F159)</f>
        <v/>
      </c>
      <c r="I159" s="221">
        <f>IF(A159="Total",VLOOKUP(B159,CORRESPONDANCE[#All],2,FALSE),I160)</f>
        <v/>
      </c>
      <c r="J159" s="350">
        <f>LEFT(A159,1)</f>
        <v/>
      </c>
      <c r="K159" s="347">
        <f>"R314"&amp;" - "&amp;A159</f>
        <v/>
      </c>
      <c r="L159" s="347">
        <f>+VLOOKUP(K159,TL[],4,FALSE)</f>
        <v/>
      </c>
    </row>
    <row r="160">
      <c r="A160" s="348" t="inlineStr">
        <is>
          <t>62830000</t>
        </is>
      </c>
      <c r="B160" s="348" t="inlineStr">
        <is>
          <t>Gie gth 14</t>
        </is>
      </c>
      <c r="C160" s="348" t="n">
        <v>27219</v>
      </c>
      <c r="D160" s="348" t="inlineStr"/>
      <c r="E160" s="348" t="n">
        <v>27219</v>
      </c>
      <c r="F160" s="348" t="inlineStr"/>
      <c r="G160" s="220">
        <f>SUM(C160)-SUM(D160)</f>
        <v/>
      </c>
      <c r="H160" s="220">
        <f>SUM(E160)-SUM(F160)</f>
        <v/>
      </c>
      <c r="I160" s="221">
        <f>IF(A160="Total",VLOOKUP(B160,CORRESPONDANCE[#All],2,FALSE),I161)</f>
        <v/>
      </c>
      <c r="J160" s="350">
        <f>LEFT(A160,1)</f>
        <v/>
      </c>
      <c r="K160" s="347">
        <f>"R314"&amp;" - "&amp;A160</f>
        <v/>
      </c>
      <c r="L160" s="347">
        <f>+VLOOKUP(K160,TL[],4,FALSE)</f>
        <v/>
      </c>
    </row>
    <row r="161">
      <c r="A161" s="348" t="inlineStr">
        <is>
          <t>62850000</t>
        </is>
      </c>
      <c r="B161" s="348" t="inlineStr">
        <is>
          <t>Redevances Mungu</t>
        </is>
      </c>
      <c r="C161" s="348" t="n">
        <v>833.33</v>
      </c>
      <c r="D161" s="348" t="inlineStr"/>
      <c r="E161" s="348" t="n">
        <v>833.33</v>
      </c>
      <c r="F161" s="348" t="inlineStr"/>
      <c r="G161" s="220">
        <f>SUM(C161)-SUM(D161)</f>
        <v/>
      </c>
      <c r="H161" s="220">
        <f>SUM(E161)-SUM(F161)</f>
        <v/>
      </c>
      <c r="I161" s="221">
        <f>IF(A161="Total",VLOOKUP(B161,CORRESPONDANCE[#All],2,FALSE),I162)</f>
        <v/>
      </c>
      <c r="J161" s="350">
        <f>LEFT(A161,1)</f>
        <v/>
      </c>
      <c r="K161" s="347">
        <f>"R314"&amp;" - "&amp;A161</f>
        <v/>
      </c>
      <c r="L161" s="347">
        <f>+VLOOKUP(K161,TL[],4,FALSE)</f>
        <v/>
      </c>
    </row>
    <row r="162">
      <c r="A162" s="348" t="inlineStr">
        <is>
          <t>Total</t>
        </is>
      </c>
      <c r="B162" s="348" t="inlineStr">
        <is>
          <t>Table n°2  -  G&amp;A (Frais administratifs)</t>
        </is>
      </c>
      <c r="C162" s="348" t="n">
        <v>28052.33</v>
      </c>
      <c r="D162" s="348" t="inlineStr"/>
      <c r="E162" s="348" t="n">
        <v>28052.33</v>
      </c>
      <c r="F162" s="348" t="inlineStr"/>
      <c r="G162" s="220">
        <f>SUM(C162)-SUM(D162)</f>
        <v/>
      </c>
      <c r="H162" s="220">
        <f>SUM(E162)-SUM(F162)</f>
        <v/>
      </c>
      <c r="I162" s="221">
        <f>IF(A162="Total",VLOOKUP(B162,CORRESPONDANCE[#All],2,FALSE),I163)</f>
        <v/>
      </c>
      <c r="J162" s="350">
        <f>LEFT(A162,1)</f>
        <v/>
      </c>
      <c r="K162" s="347">
        <f>"R314"&amp;" - "&amp;A162</f>
        <v/>
      </c>
      <c r="L162" s="347">
        <f>+VLOOKUP(K162,TL[],4,FALSE)</f>
        <v/>
      </c>
    </row>
    <row r="163">
      <c r="A163" s="348" t="inlineStr">
        <is>
          <t>70230000</t>
        </is>
      </c>
      <c r="B163" s="348" t="inlineStr">
        <is>
          <t>Ventes de produits interm</t>
        </is>
      </c>
      <c r="C163" s="348" t="inlineStr"/>
      <c r="D163" s="348" t="n">
        <v>5414.25</v>
      </c>
      <c r="E163" s="348" t="inlineStr"/>
      <c r="F163" s="348" t="n">
        <v>5414.25</v>
      </c>
      <c r="G163" s="220">
        <f>SUM(C163)-SUM(D163)</f>
        <v/>
      </c>
      <c r="H163" s="220">
        <f>SUM(E163)-SUM(F163)</f>
        <v/>
      </c>
      <c r="I163" s="221">
        <f>IF(A163="Total",VLOOKUP(B163,CORRESPONDANCE[#All],2,FALSE),I164)</f>
        <v/>
      </c>
      <c r="J163" s="350">
        <f>LEFT(A163,1)</f>
        <v/>
      </c>
      <c r="K163" s="347">
        <f>"R314"&amp;" - "&amp;A163</f>
        <v/>
      </c>
      <c r="L163" s="347">
        <f>+VLOOKUP(K163,TL[],4,FALSE)</f>
        <v/>
      </c>
    </row>
    <row r="164">
      <c r="A164" s="348" t="inlineStr">
        <is>
          <t>70850000</t>
        </is>
      </c>
      <c r="B164" s="348" t="inlineStr">
        <is>
          <t>Refacturation happy meals</t>
        </is>
      </c>
      <c r="C164" s="348" t="inlineStr"/>
      <c r="D164" s="348" t="n">
        <v>321.44</v>
      </c>
      <c r="E164" s="348" t="inlineStr"/>
      <c r="F164" s="348" t="n">
        <v>321.44</v>
      </c>
      <c r="G164" s="220">
        <f>SUM(C164)-SUM(D164)</f>
        <v/>
      </c>
      <c r="H164" s="220">
        <f>SUM(E164)-SUM(F164)</f>
        <v/>
      </c>
      <c r="I164" s="221">
        <f>IF(A164="Total",VLOOKUP(B164,CORRESPONDANCE[#All],2,FALSE),I165)</f>
        <v/>
      </c>
      <c r="J164" s="350">
        <f>LEFT(A164,1)</f>
        <v/>
      </c>
      <c r="K164" s="347">
        <f>"R314"&amp;" - "&amp;A164</f>
        <v/>
      </c>
      <c r="L164" s="347">
        <f>+VLOOKUP(K164,TL[],4,FALSE)</f>
        <v/>
      </c>
    </row>
    <row r="165">
      <c r="A165" s="348" t="inlineStr">
        <is>
          <t>Total</t>
        </is>
      </c>
      <c r="B165" s="348" t="inlineStr">
        <is>
          <t>Table n°2  -  Ventes non alimentaires</t>
        </is>
      </c>
      <c r="C165" s="348" t="inlineStr"/>
      <c r="D165" s="348" t="n">
        <v>5735.69</v>
      </c>
      <c r="E165" s="348" t="inlineStr"/>
      <c r="F165" s="348" t="n">
        <v>5735.69</v>
      </c>
      <c r="G165" s="220">
        <f>SUM(C165)-SUM(D165)</f>
        <v/>
      </c>
      <c r="H165" s="220">
        <f>SUM(E165)-SUM(F165)</f>
        <v/>
      </c>
      <c r="I165" s="221">
        <f>IF(A165="Total",VLOOKUP(B165,CORRESPONDANCE[#All],2,FALSE),I166)</f>
        <v/>
      </c>
      <c r="J165" s="350">
        <f>LEFT(A165,1)</f>
        <v/>
      </c>
      <c r="K165" s="347">
        <f>"R314"&amp;" - "&amp;A165</f>
        <v/>
      </c>
      <c r="L165" s="347">
        <f>+VLOOKUP(K165,TL[],4,FALSE)</f>
        <v/>
      </c>
    </row>
    <row r="166">
      <c r="A166" s="348" t="inlineStr">
        <is>
          <t>60220200</t>
        </is>
      </c>
      <c r="B166" s="348" t="inlineStr">
        <is>
          <t>Achats happy meal</t>
        </is>
      </c>
      <c r="C166" s="348" t="n">
        <v>1650.6</v>
      </c>
      <c r="D166" s="348" t="inlineStr"/>
      <c r="E166" s="348" t="n">
        <v>1650.6</v>
      </c>
      <c r="F166" s="348" t="inlineStr"/>
      <c r="G166" s="220">
        <f>SUM(C166)-SUM(D166)</f>
        <v/>
      </c>
      <c r="H166" s="220">
        <f>SUM(E166)-SUM(F166)</f>
        <v/>
      </c>
      <c r="I166" s="221">
        <f>IF(A166="Total",VLOOKUP(B166,CORRESPONDANCE[#All],2,FALSE),I167)</f>
        <v/>
      </c>
      <c r="J166" s="350">
        <f>LEFT(A166,1)</f>
        <v/>
      </c>
      <c r="K166" s="347">
        <f>"R314"&amp;" - "&amp;A166</f>
        <v/>
      </c>
      <c r="L166" s="347">
        <f>+VLOOKUP(K166,TL[],4,FALSE)</f>
        <v/>
      </c>
    </row>
    <row r="167">
      <c r="A167" s="348" t="inlineStr">
        <is>
          <t>60320100</t>
        </is>
      </c>
      <c r="B167" s="348" t="inlineStr">
        <is>
          <t>Variat° stock hm</t>
        </is>
      </c>
      <c r="C167" s="348" t="inlineStr"/>
      <c r="D167" s="348" t="n">
        <v>641.1799999999999</v>
      </c>
      <c r="E167" s="348" t="inlineStr"/>
      <c r="F167" s="348" t="n">
        <v>641.1799999999999</v>
      </c>
      <c r="G167" s="220">
        <f>SUM(C167)-SUM(D167)</f>
        <v/>
      </c>
      <c r="H167" s="220">
        <f>SUM(E167)-SUM(F167)</f>
        <v/>
      </c>
      <c r="I167" s="221">
        <f>IF(A167="Total",VLOOKUP(B167,CORRESPONDANCE[#All],2,FALSE),I168)</f>
        <v/>
      </c>
      <c r="J167" s="350">
        <f>LEFT(A167,1)</f>
        <v/>
      </c>
      <c r="K167" s="347">
        <f>"R314"&amp;" - "&amp;A167</f>
        <v/>
      </c>
      <c r="L167" s="347">
        <f>+VLOOKUP(K167,TL[],4,FALSE)</f>
        <v/>
      </c>
    </row>
    <row r="168">
      <c r="A168" s="348" t="inlineStr">
        <is>
          <t>Total</t>
        </is>
      </c>
      <c r="B168" s="348" t="inlineStr">
        <is>
          <t>Table n°2  -  Coût non alimentaire</t>
        </is>
      </c>
      <c r="C168" s="348" t="n">
        <v>1009.42</v>
      </c>
      <c r="D168" s="348" t="inlineStr"/>
      <c r="E168" s="348" t="n">
        <v>1009.42</v>
      </c>
      <c r="F168" s="348" t="inlineStr"/>
      <c r="G168" s="220">
        <f>SUM(C168)-SUM(D168)</f>
        <v/>
      </c>
      <c r="H168" s="220">
        <f>SUM(E168)-SUM(F168)</f>
        <v/>
      </c>
      <c r="I168" s="221">
        <f>IF(A168="Total",VLOOKUP(B168,CORRESPONDANCE[#All],2,FALSE),I169)</f>
        <v/>
      </c>
      <c r="J168" s="350">
        <f>LEFT(A168,1)</f>
        <v/>
      </c>
      <c r="K168" s="347">
        <f>"R314"&amp;" - "&amp;A168</f>
        <v/>
      </c>
      <c r="L168" s="347">
        <f>+VLOOKUP(K168,TL[],4,FALSE)</f>
        <v/>
      </c>
    </row>
    <row r="169">
      <c r="A169" s="348" t="inlineStr"/>
      <c r="B169" s="348" t="inlineStr">
        <is>
          <t>Total général</t>
        </is>
      </c>
      <c r="C169" s="348" t="n">
        <v>361237.68</v>
      </c>
      <c r="D169" s="348" t="n">
        <v>344381.41</v>
      </c>
      <c r="E169" s="348" t="n">
        <v>361237.68</v>
      </c>
      <c r="F169" s="348" t="n">
        <v>344381.41</v>
      </c>
      <c r="G169" s="220">
        <f>SUM(C169)-SUM(D169)</f>
        <v/>
      </c>
      <c r="H169" s="220">
        <f>SUM(E169)-SUM(F169)</f>
        <v/>
      </c>
      <c r="I169" s="221">
        <f>IF(A169="Total",VLOOKUP(B169,CORRESPONDANCE[#All],2,FALSE),I170)</f>
        <v/>
      </c>
      <c r="J169" s="350">
        <f>LEFT(A169,1)</f>
        <v/>
      </c>
      <c r="K169" s="347">
        <f>"R314"&amp;" - "&amp;A169</f>
        <v/>
      </c>
      <c r="L169" s="347">
        <f>+VLOOKUP(K169,TL[],4,FALSE)</f>
        <v/>
      </c>
    </row>
    <row r="170">
      <c r="G170" s="220">
        <f>SUM(C170)-SUM(D170)</f>
        <v/>
      </c>
      <c r="H170" s="220">
        <f>SUM(E170)-SUM(F170)</f>
        <v/>
      </c>
      <c r="I170" s="221">
        <f>IF(A170="Total",VLOOKUP(B170,CORRESPONDANCE[#All],2,FALSE),I171)</f>
        <v/>
      </c>
      <c r="J170" s="350">
        <f>LEFT(A170,1)</f>
        <v/>
      </c>
      <c r="K170" s="347">
        <f>"R314"&amp;" - "&amp;A170</f>
        <v/>
      </c>
      <c r="L170" s="347">
        <f>+VLOOKUP(K170,TL[],4,FALSE)</f>
        <v/>
      </c>
    </row>
    <row r="171">
      <c r="G171" s="220">
        <f>SUM(C171)-SUM(D171)</f>
        <v/>
      </c>
      <c r="H171" s="220">
        <f>SUM(E171)-SUM(F171)</f>
        <v/>
      </c>
      <c r="I171" s="221">
        <f>IF(A171="Total",VLOOKUP(B171,CORRESPONDANCE[#All],2,FALSE),I172)</f>
        <v/>
      </c>
      <c r="J171" s="350">
        <f>LEFT(A171,1)</f>
        <v/>
      </c>
      <c r="K171" s="347">
        <f>"R314"&amp;" - "&amp;A171</f>
        <v/>
      </c>
      <c r="L171" s="347">
        <f>+VLOOKUP(K171,TL[],4,FALSE)</f>
        <v/>
      </c>
    </row>
    <row r="172">
      <c r="G172" s="220">
        <f>SUM(C172)-SUM(D172)</f>
        <v/>
      </c>
      <c r="H172" s="220">
        <f>SUM(E172)-SUM(F172)</f>
        <v/>
      </c>
      <c r="I172" s="221">
        <f>IF(A172="Total",VLOOKUP(B172,CORRESPONDANCE[#All],2,FALSE),I173)</f>
        <v/>
      </c>
      <c r="J172" s="350">
        <f>LEFT(A172,1)</f>
        <v/>
      </c>
      <c r="K172" s="347">
        <f>"R314"&amp;" - "&amp;A172</f>
        <v/>
      </c>
      <c r="L172" s="347">
        <f>+VLOOKUP(K172,TL[],4,FALSE)</f>
        <v/>
      </c>
    </row>
    <row r="173">
      <c r="G173" s="220">
        <f>SUM(C173)-SUM(D173)</f>
        <v/>
      </c>
      <c r="H173" s="220">
        <f>SUM(E173)-SUM(F173)</f>
        <v/>
      </c>
      <c r="I173" s="221">
        <f>IF(A173="Total",VLOOKUP(B173,CORRESPONDANCE[#All],2,FALSE),I174)</f>
        <v/>
      </c>
      <c r="J173" s="350">
        <f>LEFT(A173,1)</f>
        <v/>
      </c>
      <c r="K173" s="347">
        <f>"R314"&amp;" - "&amp;A173</f>
        <v/>
      </c>
      <c r="L173" s="347">
        <f>+VLOOKUP(K173,TL[],4,FALSE)</f>
        <v/>
      </c>
    </row>
    <row r="174">
      <c r="G174" s="220">
        <f>SUM(C174)-SUM(D174)</f>
        <v/>
      </c>
      <c r="H174" s="220">
        <f>SUM(E174)-SUM(F174)</f>
        <v/>
      </c>
      <c r="I174" s="221">
        <f>IF(A174="Total",VLOOKUP(B174,CORRESPONDANCE[#All],2,FALSE),I175)</f>
        <v/>
      </c>
      <c r="J174" s="350">
        <f>LEFT(A174,1)</f>
        <v/>
      </c>
      <c r="K174" s="347">
        <f>"R314"&amp;" - "&amp;A174</f>
        <v/>
      </c>
      <c r="L174" s="347">
        <f>+VLOOKUP(K174,TL[],4,FALSE)</f>
        <v/>
      </c>
    </row>
    <row r="175">
      <c r="G175" s="220">
        <f>SUM(C175)-SUM(D175)</f>
        <v/>
      </c>
      <c r="H175" s="220">
        <f>SUM(E175)-SUM(F175)</f>
        <v/>
      </c>
      <c r="I175" s="221">
        <f>IF(A175="Total",VLOOKUP(B175,CORRESPONDANCE[#All],2,FALSE),I176)</f>
        <v/>
      </c>
      <c r="J175" s="350">
        <f>LEFT(A175,1)</f>
        <v/>
      </c>
      <c r="K175" s="347">
        <f>"R314"&amp;" - "&amp;A175</f>
        <v/>
      </c>
      <c r="L175" s="347">
        <f>+VLOOKUP(K175,TL[],4,FALSE)</f>
        <v/>
      </c>
    </row>
    <row r="176">
      <c r="G176" s="220">
        <f>SUM(C176)-SUM(D176)</f>
        <v/>
      </c>
      <c r="H176" s="220">
        <f>SUM(E176)-SUM(F176)</f>
        <v/>
      </c>
      <c r="I176" s="221">
        <f>IF(A176="Total",VLOOKUP(B176,CORRESPONDANCE[#All],2,FALSE),I177)</f>
        <v/>
      </c>
      <c r="J176" s="350">
        <f>LEFT(A176,1)</f>
        <v/>
      </c>
      <c r="K176" s="347">
        <f>"R314"&amp;" - "&amp;A176</f>
        <v/>
      </c>
      <c r="L176" s="347">
        <f>+VLOOKUP(K176,TL[],4,FALSE)</f>
        <v/>
      </c>
    </row>
    <row r="177">
      <c r="G177" s="220">
        <f>SUM(C177)-SUM(D177)</f>
        <v/>
      </c>
      <c r="H177" s="220">
        <f>SUM(E177)-SUM(F177)</f>
        <v/>
      </c>
      <c r="I177" s="221">
        <f>IF(A177="Total",VLOOKUP(B177,CORRESPONDANCE[#All],2,FALSE),I178)</f>
        <v/>
      </c>
      <c r="J177" s="350">
        <f>LEFT(A177,1)</f>
        <v/>
      </c>
      <c r="K177" s="347">
        <f>"R314"&amp;" - "&amp;A177</f>
        <v/>
      </c>
      <c r="L177" s="347">
        <f>+VLOOKUP(K177,TL[],4,FALSE)</f>
        <v/>
      </c>
    </row>
    <row r="178">
      <c r="G178" s="220">
        <f>SUM(C178)-SUM(D178)</f>
        <v/>
      </c>
      <c r="H178" s="220">
        <f>SUM(E178)-SUM(F178)</f>
        <v/>
      </c>
      <c r="I178" s="221">
        <f>IF(A178="Total",VLOOKUP(B178,CORRESPONDANCE[#All],2,FALSE),I179)</f>
        <v/>
      </c>
      <c r="J178" s="350">
        <f>LEFT(A178,1)</f>
        <v/>
      </c>
      <c r="K178" s="347">
        <f>"R314"&amp;" - "&amp;A178</f>
        <v/>
      </c>
      <c r="L178" s="347">
        <f>+VLOOKUP(K178,TL[],4,FALSE)</f>
        <v/>
      </c>
    </row>
    <row r="179">
      <c r="G179" s="220">
        <f>SUM(C179)-SUM(D179)</f>
        <v/>
      </c>
      <c r="H179" s="220">
        <f>SUM(E179)-SUM(F179)</f>
        <v/>
      </c>
      <c r="I179" s="221">
        <f>IF(A179="Total",VLOOKUP(B179,CORRESPONDANCE[#All],2,FALSE),I180)</f>
        <v/>
      </c>
      <c r="J179" s="350">
        <f>LEFT(A179,1)</f>
        <v/>
      </c>
      <c r="K179" s="347">
        <f>"R314"&amp;" - "&amp;A179</f>
        <v/>
      </c>
      <c r="L179" s="347">
        <f>+VLOOKUP(K179,TL[],4,FALSE)</f>
        <v/>
      </c>
    </row>
    <row r="180">
      <c r="G180" s="220">
        <f>SUM(C180)-SUM(D180)</f>
        <v/>
      </c>
      <c r="H180" s="220">
        <f>SUM(E180)-SUM(F180)</f>
        <v/>
      </c>
      <c r="I180" s="221">
        <f>IF(A180="Total",VLOOKUP(B180,CORRESPONDANCE[#All],2,FALSE),I181)</f>
        <v/>
      </c>
      <c r="J180" s="350">
        <f>LEFT(A180,1)</f>
        <v/>
      </c>
      <c r="K180" s="347">
        <f>"R314"&amp;" - "&amp;A180</f>
        <v/>
      </c>
      <c r="L180" s="347">
        <f>+VLOOKUP(K180,TL[],4,FALSE)</f>
        <v/>
      </c>
    </row>
    <row r="181">
      <c r="G181" s="220">
        <f>SUM(C181)-SUM(D181)</f>
        <v/>
      </c>
      <c r="H181" s="220">
        <f>SUM(E181)-SUM(F181)</f>
        <v/>
      </c>
      <c r="I181" s="221">
        <f>IF(A181="Total",VLOOKUP(B181,CORRESPONDANCE[#All],2,FALSE),I182)</f>
        <v/>
      </c>
      <c r="J181" s="350">
        <f>LEFT(A181,1)</f>
        <v/>
      </c>
      <c r="K181" s="347">
        <f>"R314"&amp;" - "&amp;A181</f>
        <v/>
      </c>
      <c r="L181" s="347">
        <f>+VLOOKUP(K181,TL[],4,FALSE)</f>
        <v/>
      </c>
    </row>
    <row r="182">
      <c r="G182" s="220">
        <f>SUM(C182)-SUM(D182)</f>
        <v/>
      </c>
      <c r="H182" s="220">
        <f>SUM(E182)-SUM(F182)</f>
        <v/>
      </c>
      <c r="I182" s="221">
        <f>IF(A182="Total",VLOOKUP(B182,CORRESPONDANCE[#All],2,FALSE),I183)</f>
        <v/>
      </c>
      <c r="J182" s="350">
        <f>LEFT(A182,1)</f>
        <v/>
      </c>
      <c r="K182" s="347">
        <f>"R314"&amp;" - "&amp;A182</f>
        <v/>
      </c>
      <c r="L182" s="347">
        <f>+VLOOKUP(K182,TL[],4,FALSE)</f>
        <v/>
      </c>
    </row>
    <row r="183">
      <c r="G183" s="220">
        <f>SUM(C183)-SUM(D183)</f>
        <v/>
      </c>
      <c r="H183" s="220">
        <f>SUM(E183)-SUM(F183)</f>
        <v/>
      </c>
      <c r="I183" s="221">
        <f>IF(A183="Total",VLOOKUP(B183,CORRESPONDANCE[#All],2,FALSE),I184)</f>
        <v/>
      </c>
      <c r="J183" s="350">
        <f>LEFT(A183,1)</f>
        <v/>
      </c>
      <c r="K183" s="347">
        <f>"R314"&amp;" - "&amp;A183</f>
        <v/>
      </c>
      <c r="L183" s="347">
        <f>+VLOOKUP(K183,TL[],4,FALSE)</f>
        <v/>
      </c>
    </row>
    <row r="184">
      <c r="G184" s="220">
        <f>SUM(C184)-SUM(D184)</f>
        <v/>
      </c>
      <c r="H184" s="220">
        <f>SUM(E184)-SUM(F184)</f>
        <v/>
      </c>
      <c r="I184" s="221">
        <f>IF(A184="Total",VLOOKUP(B184,CORRESPONDANCE[#All],2,FALSE),I185)</f>
        <v/>
      </c>
      <c r="J184" s="350">
        <f>LEFT(A184,1)</f>
        <v/>
      </c>
      <c r="K184" s="347">
        <f>"R314"&amp;" - "&amp;A184</f>
        <v/>
      </c>
      <c r="L184" s="347">
        <f>+VLOOKUP(K184,TL[],4,FALSE)</f>
        <v/>
      </c>
    </row>
    <row r="185">
      <c r="G185" s="220">
        <f>SUM(C185)-SUM(D185)</f>
        <v/>
      </c>
      <c r="H185" s="220">
        <f>SUM(E185)-SUM(F185)</f>
        <v/>
      </c>
      <c r="I185" s="221">
        <f>IF(A185="Total",VLOOKUP(B185,CORRESPONDANCE[#All],2,FALSE),I186)</f>
        <v/>
      </c>
      <c r="J185" s="350">
        <f>LEFT(A185,1)</f>
        <v/>
      </c>
      <c r="K185" s="347">
        <f>"R314"&amp;" - "&amp;A185</f>
        <v/>
      </c>
      <c r="L185" s="347">
        <f>+VLOOKUP(K185,TL[],4,FALSE)</f>
        <v/>
      </c>
    </row>
    <row r="186">
      <c r="G186" s="220">
        <f>SUM(C186)-SUM(D186)</f>
        <v/>
      </c>
      <c r="H186" s="220">
        <f>SUM(E186)-SUM(F186)</f>
        <v/>
      </c>
      <c r="I186" s="221">
        <f>IF(A186="Total",VLOOKUP(B186,CORRESPONDANCE[#All],2,FALSE),I187)</f>
        <v/>
      </c>
      <c r="J186" s="350">
        <f>LEFT(A186,1)</f>
        <v/>
      </c>
      <c r="K186" s="347">
        <f>"R314"&amp;" - "&amp;A186</f>
        <v/>
      </c>
      <c r="L186" s="347">
        <f>+VLOOKUP(K186,TL[],4,FALSE)</f>
        <v/>
      </c>
    </row>
    <row r="187">
      <c r="G187" s="220">
        <f>SUM(C187)-SUM(D187)</f>
        <v/>
      </c>
      <c r="H187" s="220">
        <f>SUM(E187)-SUM(F187)</f>
        <v/>
      </c>
      <c r="I187" s="221">
        <f>IF(A187="Total",VLOOKUP(B187,CORRESPONDANCE[#All],2,FALSE),I188)</f>
        <v/>
      </c>
      <c r="J187" s="350">
        <f>LEFT(A187,1)</f>
        <v/>
      </c>
      <c r="K187" s="347">
        <f>"R314"&amp;" - "&amp;A187</f>
        <v/>
      </c>
      <c r="L187" s="347">
        <f>+VLOOKUP(K187,TL[],4,FALSE)</f>
        <v/>
      </c>
    </row>
    <row r="188">
      <c r="G188" s="220">
        <f>SUM(C188)-SUM(D188)</f>
        <v/>
      </c>
      <c r="H188" s="220">
        <f>SUM(E188)-SUM(F188)</f>
        <v/>
      </c>
      <c r="I188" s="221">
        <f>IF(A188="Total",VLOOKUP(B188,CORRESPONDANCE[#All],2,FALSE),I189)</f>
        <v/>
      </c>
      <c r="J188" s="350">
        <f>LEFT(A188,1)</f>
        <v/>
      </c>
      <c r="K188" s="347">
        <f>"R314"&amp;" - "&amp;A188</f>
        <v/>
      </c>
      <c r="L188" s="347">
        <f>+VLOOKUP(K188,TL[],4,FALSE)</f>
        <v/>
      </c>
    </row>
    <row r="189">
      <c r="G189" s="220">
        <f>SUM(C189)-SUM(D189)</f>
        <v/>
      </c>
      <c r="H189" s="220">
        <f>SUM(E189)-SUM(F189)</f>
        <v/>
      </c>
      <c r="I189" s="221">
        <f>IF(A189="Total",VLOOKUP(B189,CORRESPONDANCE[#All],2,FALSE),I190)</f>
        <v/>
      </c>
      <c r="J189" s="350">
        <f>LEFT(A189,1)</f>
        <v/>
      </c>
      <c r="K189" s="347">
        <f>"R314"&amp;" - "&amp;A189</f>
        <v/>
      </c>
      <c r="L189" s="347">
        <f>+VLOOKUP(K189,TL[],4,FALSE)</f>
        <v/>
      </c>
    </row>
    <row r="190">
      <c r="G190" s="220">
        <f>SUM(C190)-SUM(D190)</f>
        <v/>
      </c>
      <c r="H190" s="220">
        <f>SUM(E190)-SUM(F190)</f>
        <v/>
      </c>
      <c r="I190" s="221">
        <f>IF(A190="Total",VLOOKUP(B190,CORRESPONDANCE[#All],2,FALSE),I191)</f>
        <v/>
      </c>
      <c r="J190" s="350">
        <f>LEFT(A190,1)</f>
        <v/>
      </c>
      <c r="K190" s="347">
        <f>"R314"&amp;" - "&amp;A190</f>
        <v/>
      </c>
      <c r="L190" s="347">
        <f>+VLOOKUP(K190,TL[],4,FALSE)</f>
        <v/>
      </c>
    </row>
    <row r="191">
      <c r="G191" s="220">
        <f>SUM(C191)-SUM(D191)</f>
        <v/>
      </c>
      <c r="H191" s="220">
        <f>SUM(E191)-SUM(F191)</f>
        <v/>
      </c>
      <c r="I191" s="221">
        <f>IF(A191="Total",VLOOKUP(B191,CORRESPONDANCE[#All],2,FALSE),I192)</f>
        <v/>
      </c>
      <c r="J191" s="350">
        <f>LEFT(A191,1)</f>
        <v/>
      </c>
      <c r="K191" s="347">
        <f>"R314"&amp;" - "&amp;A191</f>
        <v/>
      </c>
      <c r="L191" s="347">
        <f>+VLOOKUP(K191,TL[],4,FALSE)</f>
        <v/>
      </c>
    </row>
    <row r="192">
      <c r="G192" s="220">
        <f>SUM(C192)-SUM(D192)</f>
        <v/>
      </c>
      <c r="H192" s="220">
        <f>SUM(E192)-SUM(F192)</f>
        <v/>
      </c>
      <c r="I192" s="221">
        <f>IF(A192="Total",VLOOKUP(B192,CORRESPONDANCE[#All],2,FALSE),I193)</f>
        <v/>
      </c>
      <c r="J192" s="350">
        <f>LEFT(A192,1)</f>
        <v/>
      </c>
      <c r="K192" s="347">
        <f>"R314"&amp;" - "&amp;A192</f>
        <v/>
      </c>
      <c r="L192" s="347">
        <f>+VLOOKUP(K192,TL[],4,FALSE)</f>
        <v/>
      </c>
    </row>
    <row r="193">
      <c r="G193" s="220">
        <f>SUM(C193)-SUM(D193)</f>
        <v/>
      </c>
      <c r="H193" s="220">
        <f>SUM(E193)-SUM(F193)</f>
        <v/>
      </c>
      <c r="I193" s="221">
        <f>IF(A193="Total",VLOOKUP(B193,CORRESPONDANCE[#All],2,FALSE),I194)</f>
        <v/>
      </c>
      <c r="J193" s="350">
        <f>LEFT(A193,1)</f>
        <v/>
      </c>
      <c r="K193" s="347">
        <f>"R314"&amp;" - "&amp;A193</f>
        <v/>
      </c>
      <c r="L193" s="347">
        <f>+VLOOKUP(K193,TL[],4,FALSE)</f>
        <v/>
      </c>
    </row>
    <row r="194">
      <c r="G194" s="220">
        <f>SUM(C194)-SUM(D194)</f>
        <v/>
      </c>
      <c r="H194" s="220">
        <f>SUM(E194)-SUM(F194)</f>
        <v/>
      </c>
      <c r="I194" s="221">
        <f>IF(A194="Total",VLOOKUP(B194,CORRESPONDANCE[#All],2,FALSE),I195)</f>
        <v/>
      </c>
      <c r="J194" s="350">
        <f>LEFT(A194,1)</f>
        <v/>
      </c>
      <c r="K194" s="347">
        <f>"R314"&amp;" - "&amp;A194</f>
        <v/>
      </c>
      <c r="L194" s="347">
        <f>+VLOOKUP(K194,TL[],4,FALSE)</f>
        <v/>
      </c>
    </row>
    <row r="195">
      <c r="G195" s="220">
        <f>SUM(C195)-SUM(D195)</f>
        <v/>
      </c>
      <c r="H195" s="220">
        <f>SUM(E195)-SUM(F195)</f>
        <v/>
      </c>
      <c r="I195" s="221">
        <f>IF(A195="Total",VLOOKUP(B195,CORRESPONDANCE[#All],2,FALSE),I196)</f>
        <v/>
      </c>
      <c r="J195" s="350">
        <f>LEFT(A195,1)</f>
        <v/>
      </c>
      <c r="K195" s="347">
        <f>"R314"&amp;" - "&amp;A195</f>
        <v/>
      </c>
      <c r="L195" s="347">
        <f>+VLOOKUP(K195,TL[],4,FALSE)</f>
        <v/>
      </c>
    </row>
    <row r="196">
      <c r="G196" s="220">
        <f>SUM(C196)-SUM(D196)</f>
        <v/>
      </c>
      <c r="H196" s="220">
        <f>SUM(E196)-SUM(F196)</f>
        <v/>
      </c>
      <c r="I196" s="221">
        <f>IF(A196="Total",VLOOKUP(B196,CORRESPONDANCE[#All],2,FALSE),I197)</f>
        <v/>
      </c>
      <c r="J196" s="350">
        <f>LEFT(A196,1)</f>
        <v/>
      </c>
      <c r="K196" s="347">
        <f>"R314"&amp;" - "&amp;A196</f>
        <v/>
      </c>
      <c r="L196" s="347">
        <f>+VLOOKUP(K196,TL[],4,FALSE)</f>
        <v/>
      </c>
    </row>
    <row r="197">
      <c r="G197" s="220">
        <f>SUM(C197)-SUM(D197)</f>
        <v/>
      </c>
      <c r="H197" s="220">
        <f>SUM(E197)-SUM(F197)</f>
        <v/>
      </c>
      <c r="I197" s="221">
        <f>IF(A197="Total",VLOOKUP(B197,CORRESPONDANCE[#All],2,FALSE),I198)</f>
        <v/>
      </c>
      <c r="J197" s="350">
        <f>LEFT(A197,1)</f>
        <v/>
      </c>
      <c r="K197" s="347">
        <f>"R314"&amp;" - "&amp;A197</f>
        <v/>
      </c>
      <c r="L197" s="347">
        <f>+VLOOKUP(K197,TL[],4,FALSE)</f>
        <v/>
      </c>
    </row>
    <row r="198">
      <c r="G198" s="220">
        <f>SUM(C198)-SUM(D198)</f>
        <v/>
      </c>
      <c r="H198" s="220">
        <f>SUM(E198)-SUM(F198)</f>
        <v/>
      </c>
      <c r="I198" s="221">
        <f>IF(A198="Total",VLOOKUP(B198,CORRESPONDANCE[#All],2,FALSE),I199)</f>
        <v/>
      </c>
      <c r="J198" s="350">
        <f>LEFT(A198,1)</f>
        <v/>
      </c>
      <c r="K198" s="347">
        <f>"R314"&amp;" - "&amp;A198</f>
        <v/>
      </c>
      <c r="L198" s="347">
        <f>+VLOOKUP(K198,TL[],4,FALSE)</f>
        <v/>
      </c>
    </row>
    <row r="199">
      <c r="G199" s="220">
        <f>SUM(C199)-SUM(D199)</f>
        <v/>
      </c>
      <c r="H199" s="220">
        <f>SUM(E199)-SUM(F199)</f>
        <v/>
      </c>
      <c r="I199" s="221">
        <f>IF(A199="Total",VLOOKUP(B199,CORRESPONDANCE[#All],2,FALSE),I200)</f>
        <v/>
      </c>
      <c r="J199" s="350">
        <f>LEFT(A199,1)</f>
        <v/>
      </c>
      <c r="K199" s="347">
        <f>"R314"&amp;" - "&amp;A199</f>
        <v/>
      </c>
      <c r="L199" s="347">
        <f>+VLOOKUP(K199,TL[],4,FALSE)</f>
        <v/>
      </c>
    </row>
    <row r="200">
      <c r="G200" s="220">
        <f>SUM(C200)-SUM(D200)</f>
        <v/>
      </c>
      <c r="H200" s="220">
        <f>SUM(E200)-SUM(F200)</f>
        <v/>
      </c>
      <c r="I200" s="221">
        <f>IF(A200="Total",VLOOKUP(B200,CORRESPONDANCE[#All],2,FALSE),I201)</f>
        <v/>
      </c>
      <c r="J200" s="350">
        <f>LEFT(A200,1)</f>
        <v/>
      </c>
      <c r="K200" s="347">
        <f>"R314"&amp;" - "&amp;A200</f>
        <v/>
      </c>
      <c r="L200" s="347">
        <f>+VLOOKUP(K200,TL[],4,FALSE)</f>
        <v/>
      </c>
    </row>
    <row r="201">
      <c r="G201" s="220">
        <f>SUM(C201)-SUM(D201)</f>
        <v/>
      </c>
      <c r="H201" s="220">
        <f>SUM(E201)-SUM(F201)</f>
        <v/>
      </c>
      <c r="I201" s="221">
        <f>IF(A201="Total",VLOOKUP(B201,CORRESPONDANCE[#All],2,FALSE),I202)</f>
        <v/>
      </c>
      <c r="J201" s="350">
        <f>LEFT(A201,1)</f>
        <v/>
      </c>
      <c r="K201" s="347">
        <f>"R314"&amp;" - "&amp;A201</f>
        <v/>
      </c>
      <c r="L201" s="347">
        <f>+VLOOKUP(K201,TL[],4,FALSE)</f>
        <v/>
      </c>
    </row>
    <row r="202">
      <c r="G202" s="220">
        <f>SUM(C202)-SUM(D202)</f>
        <v/>
      </c>
      <c r="H202" s="220">
        <f>SUM(E202)-SUM(F202)</f>
        <v/>
      </c>
      <c r="I202" s="221">
        <f>IF(A202="Total",VLOOKUP(B202,CORRESPONDANCE[#All],2,FALSE),I203)</f>
        <v/>
      </c>
      <c r="J202" s="350">
        <f>LEFT(A202,1)</f>
        <v/>
      </c>
      <c r="K202" s="347">
        <f>"R314"&amp;" - "&amp;A202</f>
        <v/>
      </c>
      <c r="L202" s="347">
        <f>+VLOOKUP(K202,TL[],4,FALSE)</f>
        <v/>
      </c>
    </row>
    <row r="203">
      <c r="G203" s="220">
        <f>SUM(C203)-SUM(D203)</f>
        <v/>
      </c>
      <c r="H203" s="220">
        <f>SUM(E203)-SUM(F203)</f>
        <v/>
      </c>
      <c r="I203" s="221">
        <f>IF(A203="Total",VLOOKUP(B203,CORRESPONDANCE[#All],2,FALSE),I204)</f>
        <v/>
      </c>
      <c r="J203" s="350">
        <f>LEFT(A203,1)</f>
        <v/>
      </c>
      <c r="K203" s="347">
        <f>"R314"&amp;" - "&amp;A203</f>
        <v/>
      </c>
      <c r="L203" s="347">
        <f>+VLOOKUP(K203,TL[],4,FALSE)</f>
        <v/>
      </c>
    </row>
    <row r="204">
      <c r="G204" s="220">
        <f>SUM(C204)-SUM(D204)</f>
        <v/>
      </c>
      <c r="H204" s="220">
        <f>SUM(E204)-SUM(F204)</f>
        <v/>
      </c>
      <c r="I204" s="221">
        <f>IF(A204="Total",VLOOKUP(B204,CORRESPONDANCE[#All],2,FALSE),I205)</f>
        <v/>
      </c>
      <c r="J204" s="350">
        <f>LEFT(A204,1)</f>
        <v/>
      </c>
      <c r="K204" s="347">
        <f>"R314"&amp;" - "&amp;A204</f>
        <v/>
      </c>
      <c r="L204" s="347">
        <f>+VLOOKUP(K204,TL[],4,FALSE)</f>
        <v/>
      </c>
    </row>
    <row r="205">
      <c r="G205" s="220">
        <f>SUM(C205)-SUM(D205)</f>
        <v/>
      </c>
      <c r="H205" s="220">
        <f>SUM(E205)-SUM(F205)</f>
        <v/>
      </c>
      <c r="I205" s="221">
        <f>IF(A205="Total",VLOOKUP(B205,CORRESPONDANCE[#All],2,FALSE),I206)</f>
        <v/>
      </c>
      <c r="J205" s="350">
        <f>LEFT(A205,1)</f>
        <v/>
      </c>
      <c r="K205" s="347">
        <f>"R314"&amp;" - "&amp;A205</f>
        <v/>
      </c>
      <c r="L205" s="347">
        <f>+VLOOKUP(K205,TL[],4,FALSE)</f>
        <v/>
      </c>
    </row>
    <row r="206">
      <c r="G206" s="220">
        <f>SUM(C206)-SUM(D206)</f>
        <v/>
      </c>
      <c r="H206" s="220">
        <f>SUM(E206)-SUM(F206)</f>
        <v/>
      </c>
      <c r="I206" s="221">
        <f>IF(A206="Total",VLOOKUP(B206,CORRESPONDANCE[#All],2,FALSE),I207)</f>
        <v/>
      </c>
      <c r="J206" s="350">
        <f>LEFT(A206,1)</f>
        <v/>
      </c>
      <c r="K206" s="347">
        <f>"R314"&amp;" - "&amp;A206</f>
        <v/>
      </c>
      <c r="L206" s="347">
        <f>+VLOOKUP(K206,TL[],4,FALSE)</f>
        <v/>
      </c>
    </row>
    <row r="207">
      <c r="G207" s="220">
        <f>SUM(C207)-SUM(D207)</f>
        <v/>
      </c>
      <c r="H207" s="220">
        <f>SUM(E207)-SUM(F207)</f>
        <v/>
      </c>
      <c r="I207" s="221">
        <f>IF(A207="Total",VLOOKUP(B207,CORRESPONDANCE[#All],2,FALSE),I208)</f>
        <v/>
      </c>
      <c r="J207" s="350">
        <f>LEFT(A207,1)</f>
        <v/>
      </c>
      <c r="K207" s="347">
        <f>"R314"&amp;" - "&amp;A207</f>
        <v/>
      </c>
      <c r="L207" s="347">
        <f>+VLOOKUP(K207,TL[],4,FALSE)</f>
        <v/>
      </c>
    </row>
    <row r="208">
      <c r="G208" s="220">
        <f>SUM(C208)-SUM(D208)</f>
        <v/>
      </c>
      <c r="H208" s="220">
        <f>SUM(E208)-SUM(F208)</f>
        <v/>
      </c>
      <c r="I208" s="221">
        <f>IF(A208="Total",VLOOKUP(B208,CORRESPONDANCE[#All],2,FALSE),I209)</f>
        <v/>
      </c>
      <c r="J208" s="350">
        <f>LEFT(A208,1)</f>
        <v/>
      </c>
      <c r="K208" s="347">
        <f>"R314"&amp;" - "&amp;A208</f>
        <v/>
      </c>
      <c r="L208" s="347">
        <f>+VLOOKUP(K208,TL[],4,FALSE)</f>
        <v/>
      </c>
    </row>
    <row r="209">
      <c r="G209" s="220">
        <f>SUM(C209)-SUM(D209)</f>
        <v/>
      </c>
      <c r="H209" s="220">
        <f>SUM(E209)-SUM(F209)</f>
        <v/>
      </c>
      <c r="I209" s="221">
        <f>IF(A209="Total",VLOOKUP(B209,CORRESPONDANCE[#All],2,FALSE),I210)</f>
        <v/>
      </c>
      <c r="J209" s="350">
        <f>LEFT(A209,1)</f>
        <v/>
      </c>
      <c r="K209" s="347">
        <f>"R314"&amp;" - "&amp;A209</f>
        <v/>
      </c>
      <c r="L209" s="347">
        <f>+VLOOKUP(K209,TL[],4,FALSE)</f>
        <v/>
      </c>
    </row>
    <row r="210">
      <c r="G210" s="220">
        <f>SUM(C210)-SUM(D210)</f>
        <v/>
      </c>
      <c r="H210" s="220">
        <f>SUM(E210)-SUM(F210)</f>
        <v/>
      </c>
      <c r="I210" s="221">
        <f>IF(A210="Total",VLOOKUP(B210,CORRESPONDANCE[#All],2,FALSE),I211)</f>
        <v/>
      </c>
      <c r="J210" s="350">
        <f>LEFT(A210,1)</f>
        <v/>
      </c>
      <c r="K210" s="347">
        <f>"R314"&amp;" - "&amp;A210</f>
        <v/>
      </c>
      <c r="L210" s="347">
        <f>+VLOOKUP(K210,TL[],4,FALSE)</f>
        <v/>
      </c>
    </row>
    <row r="211">
      <c r="G211" s="220">
        <f>SUM(C211)-SUM(D211)</f>
        <v/>
      </c>
      <c r="H211" s="220">
        <f>SUM(E211)-SUM(F211)</f>
        <v/>
      </c>
      <c r="I211" s="221">
        <f>IF(A211="Total",VLOOKUP(B211,CORRESPONDANCE[#All],2,FALSE),I212)</f>
        <v/>
      </c>
      <c r="J211" s="350">
        <f>LEFT(A211,1)</f>
        <v/>
      </c>
      <c r="K211" s="347">
        <f>"R314"&amp;" - "&amp;A211</f>
        <v/>
      </c>
      <c r="L211" s="347">
        <f>+VLOOKUP(K211,TL[],4,FALSE)</f>
        <v/>
      </c>
    </row>
    <row r="212">
      <c r="G212" s="220">
        <f>SUM(C212)-SUM(D212)</f>
        <v/>
      </c>
      <c r="H212" s="220">
        <f>SUM(E212)-SUM(F212)</f>
        <v/>
      </c>
      <c r="I212" s="221">
        <f>IF(A212="Total",VLOOKUP(B212,CORRESPONDANCE[#All],2,FALSE),I213)</f>
        <v/>
      </c>
      <c r="J212" s="350">
        <f>LEFT(A212,1)</f>
        <v/>
      </c>
      <c r="K212" s="347">
        <f>"R314"&amp;" - "&amp;A212</f>
        <v/>
      </c>
      <c r="L212" s="347">
        <f>+VLOOKUP(K212,TL[],4,FALSE)</f>
        <v/>
      </c>
    </row>
    <row r="213">
      <c r="G213" s="220">
        <f>SUM(C213)-SUM(D213)</f>
        <v/>
      </c>
      <c r="H213" s="220">
        <f>SUM(E213)-SUM(F213)</f>
        <v/>
      </c>
      <c r="I213" s="221">
        <f>IF(A213="Total",VLOOKUP(B213,CORRESPONDANCE[#All],2,FALSE),I214)</f>
        <v/>
      </c>
      <c r="J213" s="350">
        <f>LEFT(A213,1)</f>
        <v/>
      </c>
      <c r="K213" s="347">
        <f>"R314"&amp;" - "&amp;A213</f>
        <v/>
      </c>
      <c r="L213" s="347">
        <f>+VLOOKUP(K213,TL[],4,FALSE)</f>
        <v/>
      </c>
    </row>
    <row r="214">
      <c r="G214" s="220">
        <f>SUM(C214)-SUM(D214)</f>
        <v/>
      </c>
      <c r="H214" s="220">
        <f>SUM(E214)-SUM(F214)</f>
        <v/>
      </c>
      <c r="I214" s="221">
        <f>IF(A214="Total",VLOOKUP(B214,CORRESPONDANCE[#All],2,FALSE),I215)</f>
        <v/>
      </c>
      <c r="J214" s="350">
        <f>LEFT(A214,1)</f>
        <v/>
      </c>
      <c r="K214" s="347">
        <f>"R314"&amp;" - "&amp;A214</f>
        <v/>
      </c>
      <c r="L214" s="347">
        <f>+VLOOKUP(K214,TL[],4,FALSE)</f>
        <v/>
      </c>
    </row>
    <row r="215">
      <c r="G215" s="220">
        <f>SUM(C215)-SUM(D215)</f>
        <v/>
      </c>
      <c r="H215" s="220">
        <f>SUM(E215)-SUM(F215)</f>
        <v/>
      </c>
      <c r="I215" s="221">
        <f>IF(A215="Total",VLOOKUP(B215,CORRESPONDANCE[#All],2,FALSE),I216)</f>
        <v/>
      </c>
      <c r="J215" s="350">
        <f>LEFT(A215,1)</f>
        <v/>
      </c>
      <c r="K215" s="347">
        <f>"R314"&amp;" - "&amp;A215</f>
        <v/>
      </c>
      <c r="L215" s="347">
        <f>+VLOOKUP(K215,TL[],4,FALSE)</f>
        <v/>
      </c>
    </row>
    <row r="216">
      <c r="G216" s="220">
        <f>SUM(C216)-SUM(D216)</f>
        <v/>
      </c>
      <c r="H216" s="220">
        <f>SUM(E216)-SUM(F216)</f>
        <v/>
      </c>
      <c r="I216" s="221">
        <f>IF(A216="Total",VLOOKUP(B216,CORRESPONDANCE[#All],2,FALSE),I217)</f>
        <v/>
      </c>
      <c r="J216" s="350">
        <f>LEFT(A216,1)</f>
        <v/>
      </c>
      <c r="K216" s="347">
        <f>"R314"&amp;" - "&amp;A216</f>
        <v/>
      </c>
      <c r="L216" s="347">
        <f>+VLOOKUP(K216,TL[],4,FALSE)</f>
        <v/>
      </c>
    </row>
    <row r="217">
      <c r="G217" s="220">
        <f>SUM(C217)-SUM(D217)</f>
        <v/>
      </c>
      <c r="H217" s="220">
        <f>SUM(E217)-SUM(F217)</f>
        <v/>
      </c>
      <c r="I217" s="221">
        <f>IF(A217="Total",VLOOKUP(B217,CORRESPONDANCE[#All],2,FALSE),I218)</f>
        <v/>
      </c>
      <c r="J217" s="350">
        <f>LEFT(A217,1)</f>
        <v/>
      </c>
      <c r="K217" s="347">
        <f>"R314"&amp;" - "&amp;A217</f>
        <v/>
      </c>
      <c r="L217" s="347">
        <f>+VLOOKUP(K217,TL[],4,FALSE)</f>
        <v/>
      </c>
    </row>
    <row r="218">
      <c r="G218" s="220">
        <f>SUM(C218)-SUM(D218)</f>
        <v/>
      </c>
      <c r="H218" s="220">
        <f>SUM(E218)-SUM(F218)</f>
        <v/>
      </c>
      <c r="I218" s="221">
        <f>IF(A218="Total",VLOOKUP(B218,CORRESPONDANCE[#All],2,FALSE),I219)</f>
        <v/>
      </c>
      <c r="J218" s="350">
        <f>LEFT(A218,1)</f>
        <v/>
      </c>
      <c r="K218" s="347">
        <f>"R314"&amp;" - "&amp;A218</f>
        <v/>
      </c>
      <c r="L218" s="347">
        <f>+VLOOKUP(K218,TL[],4,FALSE)</f>
        <v/>
      </c>
    </row>
    <row r="219">
      <c r="G219" s="220">
        <f>SUM(C219)-SUM(D219)</f>
        <v/>
      </c>
      <c r="H219" s="220">
        <f>SUM(E219)-SUM(F219)</f>
        <v/>
      </c>
      <c r="I219" s="221">
        <f>IF(A219="Total",VLOOKUP(B219,CORRESPONDANCE[#All],2,FALSE),I220)</f>
        <v/>
      </c>
      <c r="J219" s="350">
        <f>LEFT(A219,1)</f>
        <v/>
      </c>
      <c r="K219" s="347">
        <f>"R314"&amp;" - "&amp;A219</f>
        <v/>
      </c>
      <c r="L219" s="347">
        <f>+VLOOKUP(K219,TL[],4,FALSE)</f>
        <v/>
      </c>
    </row>
    <row r="220">
      <c r="G220" s="220">
        <f>SUM(C220)-SUM(D220)</f>
        <v/>
      </c>
      <c r="H220" s="220">
        <f>SUM(E220)-SUM(F220)</f>
        <v/>
      </c>
      <c r="I220" s="221">
        <f>IF(A220="Total",VLOOKUP(B220,CORRESPONDANCE[#All],2,FALSE),I221)</f>
        <v/>
      </c>
      <c r="J220" s="350">
        <f>LEFT(A220,1)</f>
        <v/>
      </c>
      <c r="K220" s="347">
        <f>"R314"&amp;" - "&amp;A220</f>
        <v/>
      </c>
      <c r="L220" s="347">
        <f>+VLOOKUP(K220,TL[],4,FALSE)</f>
        <v/>
      </c>
    </row>
    <row r="221">
      <c r="G221" s="220">
        <f>SUM(C221)-SUM(D221)</f>
        <v/>
      </c>
      <c r="H221" s="220">
        <f>SUM(E221)-SUM(F221)</f>
        <v/>
      </c>
      <c r="I221" s="221">
        <f>IF(A221="Total",VLOOKUP(B221,CORRESPONDANCE[#All],2,FALSE),I222)</f>
        <v/>
      </c>
      <c r="J221" s="350">
        <f>LEFT(A221,1)</f>
        <v/>
      </c>
      <c r="K221" s="347">
        <f>"R314"&amp;" - "&amp;A221</f>
        <v/>
      </c>
      <c r="L221" s="347">
        <f>+VLOOKUP(K221,TL[],4,FALSE)</f>
        <v/>
      </c>
    </row>
    <row r="222">
      <c r="G222" s="220">
        <f>SUM(C222)-SUM(D222)</f>
        <v/>
      </c>
      <c r="H222" s="220">
        <f>SUM(E222)-SUM(F222)</f>
        <v/>
      </c>
      <c r="I222" s="221">
        <f>IF(A222="Total",VLOOKUP(B222,CORRESPONDANCE[#All],2,FALSE),I223)</f>
        <v/>
      </c>
      <c r="J222" s="350">
        <f>LEFT(A222,1)</f>
        <v/>
      </c>
      <c r="K222" s="347">
        <f>"R314"&amp;" - "&amp;A222</f>
        <v/>
      </c>
      <c r="L222" s="347">
        <f>+VLOOKUP(K222,TL[],4,FALSE)</f>
        <v/>
      </c>
    </row>
    <row r="223">
      <c r="G223" s="220">
        <f>SUM(C223)-SUM(D223)</f>
        <v/>
      </c>
      <c r="H223" s="220">
        <f>SUM(E223)-SUM(F223)</f>
        <v/>
      </c>
      <c r="I223" s="221">
        <f>IF(A223="Total",VLOOKUP(B223,CORRESPONDANCE[#All],2,FALSE),I224)</f>
        <v/>
      </c>
      <c r="J223" s="350">
        <f>LEFT(A223,1)</f>
        <v/>
      </c>
      <c r="K223" s="347">
        <f>"R314"&amp;" - "&amp;A223</f>
        <v/>
      </c>
      <c r="L223" s="347">
        <f>+VLOOKUP(K223,TL[],4,FALSE)</f>
        <v/>
      </c>
    </row>
    <row r="224">
      <c r="G224" s="220">
        <f>SUM(C224)-SUM(D224)</f>
        <v/>
      </c>
      <c r="H224" s="220">
        <f>SUM(E224)-SUM(F224)</f>
        <v/>
      </c>
      <c r="I224" s="221">
        <f>IF(A224="Total",VLOOKUP(B224,CORRESPONDANCE[#All],2,FALSE),I225)</f>
        <v/>
      </c>
      <c r="J224" s="350">
        <f>LEFT(A224,1)</f>
        <v/>
      </c>
      <c r="K224" s="347">
        <f>"R314"&amp;" - "&amp;A224</f>
        <v/>
      </c>
      <c r="L224" s="347">
        <f>+VLOOKUP(K224,TL[],4,FALSE)</f>
        <v/>
      </c>
    </row>
    <row r="225">
      <c r="G225" s="220">
        <f>SUM(C225)-SUM(D225)</f>
        <v/>
      </c>
      <c r="H225" s="220">
        <f>SUM(E225)-SUM(F225)</f>
        <v/>
      </c>
      <c r="I225" s="221">
        <f>IF(A225="Total",VLOOKUP(B225,CORRESPONDANCE[#All],2,FALSE),I226)</f>
        <v/>
      </c>
      <c r="J225" s="350">
        <f>LEFT(A225,1)</f>
        <v/>
      </c>
      <c r="K225" s="347">
        <f>"R314"&amp;" - "&amp;A225</f>
        <v/>
      </c>
      <c r="L225" s="347">
        <f>+VLOOKUP(K225,TL[],4,FALSE)</f>
        <v/>
      </c>
    </row>
    <row r="226">
      <c r="G226" s="220">
        <f>SUM(C226)-SUM(D226)</f>
        <v/>
      </c>
      <c r="H226" s="220">
        <f>SUM(E226)-SUM(F226)</f>
        <v/>
      </c>
      <c r="I226" s="221">
        <f>IF(A226="Total",VLOOKUP(B226,CORRESPONDANCE[#All],2,FALSE),I227)</f>
        <v/>
      </c>
      <c r="J226" s="350">
        <f>LEFT(A226,1)</f>
        <v/>
      </c>
      <c r="K226" s="347">
        <f>"R314"&amp;" - "&amp;A226</f>
        <v/>
      </c>
      <c r="L226" s="347">
        <f>+VLOOKUP(K226,TL[],4,FALSE)</f>
        <v/>
      </c>
    </row>
    <row r="227">
      <c r="G227" s="220">
        <f>SUM(C227)-SUM(D227)</f>
        <v/>
      </c>
      <c r="H227" s="220">
        <f>SUM(E227)-SUM(F227)</f>
        <v/>
      </c>
      <c r="I227" s="221">
        <f>IF(A227="Total",VLOOKUP(B227,CORRESPONDANCE[#All],2,FALSE),I228)</f>
        <v/>
      </c>
      <c r="J227" s="350">
        <f>LEFT(A227,1)</f>
        <v/>
      </c>
      <c r="K227" s="347">
        <f>"R314"&amp;" - "&amp;A227</f>
        <v/>
      </c>
      <c r="L227" s="347">
        <f>+VLOOKUP(K227,TL[],4,FALSE)</f>
        <v/>
      </c>
    </row>
    <row r="228">
      <c r="G228" s="220">
        <f>SUM(C228)-SUM(D228)</f>
        <v/>
      </c>
      <c r="H228" s="220">
        <f>SUM(E228)-SUM(F228)</f>
        <v/>
      </c>
      <c r="I228" s="221">
        <f>IF(A228="Total",VLOOKUP(B228,CORRESPONDANCE[#All],2,FALSE),I229)</f>
        <v/>
      </c>
      <c r="J228" s="350">
        <f>LEFT(A228,1)</f>
        <v/>
      </c>
      <c r="K228" s="347">
        <f>"R314"&amp;" - "&amp;A228</f>
        <v/>
      </c>
      <c r="L228" s="347">
        <f>+VLOOKUP(K228,TL[],4,FALSE)</f>
        <v/>
      </c>
    </row>
    <row r="229">
      <c r="G229" s="220">
        <f>SUM(C229)-SUM(D229)</f>
        <v/>
      </c>
      <c r="H229" s="220">
        <f>SUM(E229)-SUM(F229)</f>
        <v/>
      </c>
      <c r="I229" s="221">
        <f>IF(A229="Total",VLOOKUP(B229,CORRESPONDANCE[#All],2,FALSE),I230)</f>
        <v/>
      </c>
      <c r="J229" s="350">
        <f>LEFT(A229,1)</f>
        <v/>
      </c>
      <c r="K229" s="347">
        <f>"R314"&amp;" - "&amp;A229</f>
        <v/>
      </c>
      <c r="L229" s="347">
        <f>+VLOOKUP(K229,TL[],4,FALSE)</f>
        <v/>
      </c>
    </row>
    <row r="230">
      <c r="G230" s="220">
        <f>SUM(C230)-SUM(D230)</f>
        <v/>
      </c>
      <c r="H230" s="220">
        <f>SUM(E230)-SUM(F230)</f>
        <v/>
      </c>
      <c r="I230" s="221">
        <f>IF(A230="Total",VLOOKUP(B230,CORRESPONDANCE[#All],2,FALSE),I231)</f>
        <v/>
      </c>
      <c r="J230" s="350">
        <f>LEFT(A230,1)</f>
        <v/>
      </c>
      <c r="K230" s="347">
        <f>"R314"&amp;" - "&amp;A230</f>
        <v/>
      </c>
      <c r="L230" s="347">
        <f>+VLOOKUP(K230,TL[],4,FALSE)</f>
        <v/>
      </c>
    </row>
    <row r="231">
      <c r="G231" s="220">
        <f>SUM(C231)-SUM(D231)</f>
        <v/>
      </c>
      <c r="H231" s="220">
        <f>SUM(E231)-SUM(F231)</f>
        <v/>
      </c>
      <c r="I231" s="221">
        <f>IF(A231="Total",VLOOKUP(B231,CORRESPONDANCE[#All],2,FALSE),I232)</f>
        <v/>
      </c>
      <c r="J231" s="350">
        <f>LEFT(A231,1)</f>
        <v/>
      </c>
      <c r="K231" s="347">
        <f>"R314"&amp;" - "&amp;A231</f>
        <v/>
      </c>
      <c r="L231" s="347">
        <f>+VLOOKUP(K231,TL[],4,FALSE)</f>
        <v/>
      </c>
    </row>
    <row r="232">
      <c r="G232" s="220">
        <f>SUM(C232)-SUM(D232)</f>
        <v/>
      </c>
      <c r="H232" s="220">
        <f>SUM(E232)-SUM(F232)</f>
        <v/>
      </c>
      <c r="I232" s="221">
        <f>IF(A232="Total",VLOOKUP(B232,CORRESPONDANCE[#All],2,FALSE),I233)</f>
        <v/>
      </c>
      <c r="J232" s="350">
        <f>LEFT(A232,1)</f>
        <v/>
      </c>
      <c r="K232" s="347">
        <f>"R314"&amp;" - "&amp;A232</f>
        <v/>
      </c>
      <c r="L232" s="347">
        <f>+VLOOKUP(K232,TL[],4,FALSE)</f>
        <v/>
      </c>
    </row>
    <row r="233">
      <c r="G233" s="220">
        <f>SUM(C233)-SUM(D233)</f>
        <v/>
      </c>
      <c r="H233" s="220">
        <f>SUM(E233)-SUM(F233)</f>
        <v/>
      </c>
      <c r="I233" s="221">
        <f>IF(A233="Total",VLOOKUP(B233,CORRESPONDANCE[#All],2,FALSE),I234)</f>
        <v/>
      </c>
      <c r="J233" s="350">
        <f>LEFT(A233,1)</f>
        <v/>
      </c>
      <c r="K233" s="347">
        <f>"R314"&amp;" - "&amp;A233</f>
        <v/>
      </c>
      <c r="L233" s="347">
        <f>+VLOOKUP(K233,TL[],4,FALSE)</f>
        <v/>
      </c>
    </row>
    <row r="234">
      <c r="G234" s="220">
        <f>SUM(C234)-SUM(D234)</f>
        <v/>
      </c>
      <c r="H234" s="220">
        <f>SUM(E234)-SUM(F234)</f>
        <v/>
      </c>
      <c r="I234" s="221">
        <f>IF(A234="Total",VLOOKUP(B234,CORRESPONDANCE[#All],2,FALSE),I235)</f>
        <v/>
      </c>
      <c r="J234" s="350">
        <f>LEFT(A234,1)</f>
        <v/>
      </c>
      <c r="K234" s="347">
        <f>"R314"&amp;" - "&amp;A234</f>
        <v/>
      </c>
      <c r="L234" s="347">
        <f>+VLOOKUP(K234,TL[],4,FALSE)</f>
        <v/>
      </c>
    </row>
    <row r="235">
      <c r="G235" s="220">
        <f>SUM(C235)-SUM(D235)</f>
        <v/>
      </c>
      <c r="H235" s="220">
        <f>SUM(E235)-SUM(F235)</f>
        <v/>
      </c>
      <c r="I235" s="221">
        <f>IF(A235="Total",VLOOKUP(B235,CORRESPONDANCE[#All],2,FALSE),I236)</f>
        <v/>
      </c>
      <c r="J235" s="350">
        <f>LEFT(A235,1)</f>
        <v/>
      </c>
      <c r="K235" s="347">
        <f>"R314"&amp;" - "&amp;A235</f>
        <v/>
      </c>
      <c r="L235" s="347">
        <f>+VLOOKUP(K235,TL[],4,FALSE)</f>
        <v/>
      </c>
    </row>
    <row r="236">
      <c r="G236" s="220">
        <f>SUM(C236)-SUM(D236)</f>
        <v/>
      </c>
      <c r="H236" s="220">
        <f>SUM(E236)-SUM(F236)</f>
        <v/>
      </c>
      <c r="I236" s="221">
        <f>IF(A236="Total",VLOOKUP(B236,CORRESPONDANCE[#All],2,FALSE),I237)</f>
        <v/>
      </c>
      <c r="J236" s="350">
        <f>LEFT(A236,1)</f>
        <v/>
      </c>
      <c r="K236" s="347">
        <f>"R314"&amp;" - "&amp;A236</f>
        <v/>
      </c>
      <c r="L236" s="347">
        <f>+VLOOKUP(K236,TL[],4,FALSE)</f>
        <v/>
      </c>
    </row>
    <row r="237">
      <c r="G237" s="220">
        <f>SUM(C237)-SUM(D237)</f>
        <v/>
      </c>
      <c r="H237" s="220">
        <f>SUM(E237)-SUM(F237)</f>
        <v/>
      </c>
      <c r="I237" s="221">
        <f>IF(A237="Total",VLOOKUP(B237,CORRESPONDANCE[#All],2,FALSE),I238)</f>
        <v/>
      </c>
      <c r="J237" s="350">
        <f>LEFT(A237,1)</f>
        <v/>
      </c>
      <c r="K237" s="347">
        <f>"R314"&amp;" - "&amp;A237</f>
        <v/>
      </c>
      <c r="L237" s="347">
        <f>+VLOOKUP(K237,TL[],4,FALSE)</f>
        <v/>
      </c>
    </row>
    <row r="238">
      <c r="G238" s="220">
        <f>SUM(C238)-SUM(D238)</f>
        <v/>
      </c>
      <c r="H238" s="220">
        <f>SUM(E238)-SUM(F238)</f>
        <v/>
      </c>
      <c r="I238" s="221">
        <f>IF(A238="Total",VLOOKUP(B238,CORRESPONDANCE[#All],2,FALSE),I239)</f>
        <v/>
      </c>
      <c r="J238" s="350">
        <f>LEFT(A238,1)</f>
        <v/>
      </c>
      <c r="K238" s="347">
        <f>"R314"&amp;" - "&amp;A238</f>
        <v/>
      </c>
      <c r="L238" s="347">
        <f>+VLOOKUP(K238,TL[],4,FALSE)</f>
        <v/>
      </c>
    </row>
    <row r="239">
      <c r="G239" s="220">
        <f>SUM(C239)-SUM(D239)</f>
        <v/>
      </c>
      <c r="H239" s="220">
        <f>SUM(E239)-SUM(F239)</f>
        <v/>
      </c>
      <c r="I239" s="221">
        <f>IF(A239="Total",VLOOKUP(B239,CORRESPONDANCE[#All],2,FALSE),I240)</f>
        <v/>
      </c>
      <c r="J239" s="350">
        <f>LEFT(A239,1)</f>
        <v/>
      </c>
      <c r="K239" s="347">
        <f>"R314"&amp;" - "&amp;A239</f>
        <v/>
      </c>
      <c r="L239" s="347">
        <f>+VLOOKUP(K239,TL[],4,FALSE)</f>
        <v/>
      </c>
    </row>
    <row r="240">
      <c r="G240" s="220">
        <f>SUM(C240)-SUM(D240)</f>
        <v/>
      </c>
      <c r="H240" s="220">
        <f>SUM(E240)-SUM(F240)</f>
        <v/>
      </c>
      <c r="I240" s="221">
        <f>IF(A240="Total",VLOOKUP(B240,CORRESPONDANCE[#All],2,FALSE),I241)</f>
        <v/>
      </c>
      <c r="J240" s="350">
        <f>LEFT(A240,1)</f>
        <v/>
      </c>
      <c r="K240" s="347">
        <f>"R314"&amp;" - "&amp;A240</f>
        <v/>
      </c>
      <c r="L240" s="347">
        <f>+VLOOKUP(K240,TL[],4,FALSE)</f>
        <v/>
      </c>
    </row>
    <row r="241">
      <c r="G241" s="220">
        <f>SUM(C241)-SUM(D241)</f>
        <v/>
      </c>
      <c r="H241" s="220">
        <f>SUM(E241)-SUM(F241)</f>
        <v/>
      </c>
      <c r="I241" s="221">
        <f>IF(A241="Total",VLOOKUP(B241,CORRESPONDANCE[#All],2,FALSE),I242)</f>
        <v/>
      </c>
      <c r="J241" s="350">
        <f>LEFT(A241,1)</f>
        <v/>
      </c>
      <c r="K241" s="347">
        <f>"R314"&amp;" - "&amp;A241</f>
        <v/>
      </c>
      <c r="L241" s="347">
        <f>+VLOOKUP(K241,TL[],4,FALSE)</f>
        <v/>
      </c>
    </row>
    <row r="242">
      <c r="G242" s="220">
        <f>SUM(C242)-SUM(D242)</f>
        <v/>
      </c>
      <c r="H242" s="220">
        <f>SUM(E242)-SUM(F242)</f>
        <v/>
      </c>
      <c r="I242" s="221">
        <f>IF(A242="Total",VLOOKUP(B242,CORRESPONDANCE[#All],2,FALSE),I243)</f>
        <v/>
      </c>
      <c r="J242" s="350">
        <f>LEFT(A242,1)</f>
        <v/>
      </c>
      <c r="K242" s="347">
        <f>"R314"&amp;" - "&amp;A242</f>
        <v/>
      </c>
      <c r="L242" s="347">
        <f>+VLOOKUP(K242,TL[],4,FALSE)</f>
        <v/>
      </c>
    </row>
    <row r="243">
      <c r="G243" s="220">
        <f>SUM(C243)-SUM(D243)</f>
        <v/>
      </c>
      <c r="H243" s="220">
        <f>SUM(E243)-SUM(F243)</f>
        <v/>
      </c>
      <c r="I243" s="221">
        <f>IF(A243="Total",VLOOKUP(B243,CORRESPONDANCE[#All],2,FALSE),I244)</f>
        <v/>
      </c>
      <c r="J243" s="350">
        <f>LEFT(A243,1)</f>
        <v/>
      </c>
      <c r="K243" s="347">
        <f>"R314"&amp;" - "&amp;A243</f>
        <v/>
      </c>
      <c r="L243" s="347">
        <f>+VLOOKUP(K243,TL[],4,FALSE)</f>
        <v/>
      </c>
    </row>
    <row r="244">
      <c r="G244" s="220">
        <f>SUM(C244)-SUM(D244)</f>
        <v/>
      </c>
      <c r="H244" s="220">
        <f>SUM(E244)-SUM(F244)</f>
        <v/>
      </c>
      <c r="I244" s="221">
        <f>IF(A244="Total",VLOOKUP(B244,CORRESPONDANCE[#All],2,FALSE),I245)</f>
        <v/>
      </c>
      <c r="J244" s="350">
        <f>LEFT(A244,1)</f>
        <v/>
      </c>
      <c r="K244" s="347">
        <f>"R314"&amp;" - "&amp;A244</f>
        <v/>
      </c>
      <c r="L244" s="347">
        <f>+VLOOKUP(K244,TL[],4,FALSE)</f>
        <v/>
      </c>
    </row>
    <row r="245">
      <c r="G245" s="220">
        <f>SUM(C245)-SUM(D245)</f>
        <v/>
      </c>
      <c r="H245" s="220">
        <f>SUM(E245)-SUM(F245)</f>
        <v/>
      </c>
      <c r="I245" s="221">
        <f>IF(A245="Total",VLOOKUP(B245,CORRESPONDANCE[#All],2,FALSE),I246)</f>
        <v/>
      </c>
      <c r="J245" s="350">
        <f>LEFT(A245,1)</f>
        <v/>
      </c>
      <c r="K245" s="347">
        <f>"R314"&amp;" - "&amp;A245</f>
        <v/>
      </c>
      <c r="L245" s="347">
        <f>+VLOOKUP(K245,TL[],4,FALSE)</f>
        <v/>
      </c>
    </row>
    <row r="246">
      <c r="G246" s="220">
        <f>SUM(C246)-SUM(D246)</f>
        <v/>
      </c>
      <c r="H246" s="220">
        <f>SUM(E246)-SUM(F246)</f>
        <v/>
      </c>
      <c r="I246" s="221">
        <f>IF(A246="Total",VLOOKUP(B246,CORRESPONDANCE[#All],2,FALSE),I247)</f>
        <v/>
      </c>
      <c r="J246" s="350">
        <f>LEFT(A246,1)</f>
        <v/>
      </c>
      <c r="K246" s="347">
        <f>"R314"&amp;" - "&amp;A246</f>
        <v/>
      </c>
      <c r="L246" s="347">
        <f>+VLOOKUP(K246,TL[],4,FALSE)</f>
        <v/>
      </c>
    </row>
    <row r="247">
      <c r="G247" s="220">
        <f>SUM(C247)-SUM(D247)</f>
        <v/>
      </c>
      <c r="H247" s="220">
        <f>SUM(E247)-SUM(F247)</f>
        <v/>
      </c>
      <c r="I247" s="221">
        <f>IF(A247="Total",VLOOKUP(B247,CORRESPONDANCE[#All],2,FALSE),I248)</f>
        <v/>
      </c>
      <c r="J247" s="350">
        <f>LEFT(A247,1)</f>
        <v/>
      </c>
      <c r="K247" s="347">
        <f>"R314"&amp;" - "&amp;A247</f>
        <v/>
      </c>
      <c r="L247" s="347">
        <f>+VLOOKUP(K247,TL[],4,FALSE)</f>
        <v/>
      </c>
    </row>
    <row r="248">
      <c r="G248" s="220">
        <f>SUM(C248)-SUM(D248)</f>
        <v/>
      </c>
      <c r="H248" s="220">
        <f>SUM(E248)-SUM(F248)</f>
        <v/>
      </c>
      <c r="I248" s="221">
        <f>IF(A248="Total",VLOOKUP(B248,CORRESPONDANCE[#All],2,FALSE),I249)</f>
        <v/>
      </c>
      <c r="J248" s="350">
        <f>LEFT(A248,1)</f>
        <v/>
      </c>
      <c r="K248" s="347">
        <f>"R314"&amp;" - "&amp;A248</f>
        <v/>
      </c>
      <c r="L248" s="347">
        <f>+VLOOKUP(K248,TL[],4,FALSE)</f>
        <v/>
      </c>
    </row>
    <row r="249">
      <c r="G249" s="220">
        <f>SUM(C249)-SUM(D249)</f>
        <v/>
      </c>
      <c r="H249" s="220">
        <f>SUM(E249)-SUM(F249)</f>
        <v/>
      </c>
      <c r="I249" s="221">
        <f>IF(A249="Total",VLOOKUP(B249,CORRESPONDANCE[#All],2,FALSE),I250)</f>
        <v/>
      </c>
      <c r="J249" s="350">
        <f>LEFT(A249,1)</f>
        <v/>
      </c>
      <c r="K249" s="347">
        <f>"R314"&amp;" - "&amp;A249</f>
        <v/>
      </c>
      <c r="L249" s="347">
        <f>+VLOOKUP(K249,TL[],4,FALSE)</f>
        <v/>
      </c>
    </row>
    <row r="250">
      <c r="G250" s="220">
        <f>SUM(C250)-SUM(D250)</f>
        <v/>
      </c>
      <c r="H250" s="220">
        <f>SUM(E250)-SUM(F250)</f>
        <v/>
      </c>
      <c r="I250" s="221">
        <f>IF(A250="Total",VLOOKUP(B250,CORRESPONDANCE[#All],2,FALSE),I251)</f>
        <v/>
      </c>
      <c r="J250" s="350">
        <f>LEFT(A250,1)</f>
        <v/>
      </c>
      <c r="K250" s="347">
        <f>"R314"&amp;" - "&amp;A250</f>
        <v/>
      </c>
      <c r="L250" s="347">
        <f>+VLOOKUP(K250,TL[],4,FALSE)</f>
        <v/>
      </c>
    </row>
    <row r="251">
      <c r="G251" s="220">
        <f>SUM(C251)-SUM(D251)</f>
        <v/>
      </c>
      <c r="H251" s="220">
        <f>SUM(E251)-SUM(F251)</f>
        <v/>
      </c>
      <c r="I251" s="221">
        <f>IF(A251="Total",VLOOKUP(B251,CORRESPONDANCE[#All],2,FALSE),I252)</f>
        <v/>
      </c>
      <c r="J251" s="350">
        <f>LEFT(A251,1)</f>
        <v/>
      </c>
      <c r="K251" s="347">
        <f>"R314"&amp;" - "&amp;A251</f>
        <v/>
      </c>
      <c r="L251" s="347">
        <f>+VLOOKUP(K251,TL[],4,FALSE)</f>
        <v/>
      </c>
    </row>
    <row r="252">
      <c r="G252" s="220">
        <f>SUM(C252)-SUM(D252)</f>
        <v/>
      </c>
      <c r="H252" s="220">
        <f>SUM(E252)-SUM(F252)</f>
        <v/>
      </c>
      <c r="I252" s="221">
        <f>IF(A252="Total",VLOOKUP(B252,CORRESPONDANCE[#All],2,FALSE),I253)</f>
        <v/>
      </c>
      <c r="J252" s="350">
        <f>LEFT(A252,1)</f>
        <v/>
      </c>
      <c r="K252" s="347">
        <f>"R314"&amp;" - "&amp;A252</f>
        <v/>
      </c>
      <c r="L252" s="347">
        <f>+VLOOKUP(K252,TL[],4,FALSE)</f>
        <v/>
      </c>
    </row>
    <row r="253">
      <c r="G253" s="220">
        <f>SUM(C253)-SUM(D253)</f>
        <v/>
      </c>
      <c r="H253" s="220">
        <f>SUM(E253)-SUM(F253)</f>
        <v/>
      </c>
      <c r="I253" s="221">
        <f>IF(A253="Total",VLOOKUP(B253,CORRESPONDANCE[#All],2,FALSE),I254)</f>
        <v/>
      </c>
      <c r="J253" s="350">
        <f>LEFT(A253,1)</f>
        <v/>
      </c>
      <c r="K253" s="347">
        <f>"R314"&amp;" - "&amp;A253</f>
        <v/>
      </c>
      <c r="L253" s="347">
        <f>+VLOOKUP(K253,TL[],4,FALSE)</f>
        <v/>
      </c>
    </row>
    <row r="254">
      <c r="G254" s="220">
        <f>SUM(C254)-SUM(D254)</f>
        <v/>
      </c>
      <c r="H254" s="220">
        <f>SUM(E254)-SUM(F254)</f>
        <v/>
      </c>
      <c r="I254" s="221">
        <f>IF(A254="Total",VLOOKUP(B254,CORRESPONDANCE[#All],2,FALSE),I255)</f>
        <v/>
      </c>
      <c r="J254" s="350">
        <f>LEFT(A254,1)</f>
        <v/>
      </c>
      <c r="K254" s="347">
        <f>"R314"&amp;" - "&amp;A254</f>
        <v/>
      </c>
      <c r="L254" s="347">
        <f>+VLOOKUP(K254,TL[],4,FALSE)</f>
        <v/>
      </c>
    </row>
    <row r="255">
      <c r="G255" s="220">
        <f>SUM(C255)-SUM(D255)</f>
        <v/>
      </c>
      <c r="H255" s="220">
        <f>SUM(E255)-SUM(F255)</f>
        <v/>
      </c>
      <c r="I255" s="221">
        <f>IF(A255="Total",VLOOKUP(B255,CORRESPONDANCE[#All],2,FALSE),I256)</f>
        <v/>
      </c>
      <c r="J255" s="350">
        <f>LEFT(A255,1)</f>
        <v/>
      </c>
      <c r="K255" s="347">
        <f>"R314"&amp;" - "&amp;A255</f>
        <v/>
      </c>
      <c r="L255" s="347">
        <f>+VLOOKUP(K255,TL[],4,FALSE)</f>
        <v/>
      </c>
    </row>
    <row r="256">
      <c r="G256" s="220">
        <f>SUM(C256)-SUM(D256)</f>
        <v/>
      </c>
      <c r="H256" s="220">
        <f>SUM(E256)-SUM(F256)</f>
        <v/>
      </c>
      <c r="I256" s="221">
        <f>IF(A256="Total",VLOOKUP(B256,CORRESPONDANCE[#All],2,FALSE),I257)</f>
        <v/>
      </c>
      <c r="J256" s="350">
        <f>LEFT(A256,1)</f>
        <v/>
      </c>
      <c r="K256" s="347">
        <f>"R314"&amp;" - "&amp;A256</f>
        <v/>
      </c>
      <c r="L256" s="347">
        <f>+VLOOKUP(K256,TL[],4,FALSE)</f>
        <v/>
      </c>
    </row>
    <row r="257">
      <c r="G257" s="220">
        <f>SUM(C257)-SUM(D257)</f>
        <v/>
      </c>
      <c r="H257" s="220">
        <f>SUM(E257)-SUM(F257)</f>
        <v/>
      </c>
      <c r="I257" s="221">
        <f>IF(A257="Total",VLOOKUP(B257,CORRESPONDANCE[#All],2,FALSE),I258)</f>
        <v/>
      </c>
      <c r="J257" s="350">
        <f>LEFT(A257,1)</f>
        <v/>
      </c>
      <c r="K257" s="347">
        <f>"R314"&amp;" - "&amp;A257</f>
        <v/>
      </c>
      <c r="L257" s="347">
        <f>+VLOOKUP(K257,TL[],4,FALSE)</f>
        <v/>
      </c>
    </row>
    <row r="258">
      <c r="G258" s="220">
        <f>SUM(C258)-SUM(D258)</f>
        <v/>
      </c>
      <c r="H258" s="220">
        <f>SUM(E258)-SUM(F258)</f>
        <v/>
      </c>
      <c r="I258" s="221">
        <f>IF(A258="Total",VLOOKUP(B258,CORRESPONDANCE[#All],2,FALSE),I259)</f>
        <v/>
      </c>
      <c r="J258" s="350">
        <f>LEFT(A258,1)</f>
        <v/>
      </c>
      <c r="K258" s="347">
        <f>"R314"&amp;" - "&amp;A258</f>
        <v/>
      </c>
      <c r="L258" s="347">
        <f>+VLOOKUP(K258,TL[],4,FALSE)</f>
        <v/>
      </c>
    </row>
    <row r="259">
      <c r="G259" s="220">
        <f>SUM(C259)-SUM(D259)</f>
        <v/>
      </c>
      <c r="H259" s="220">
        <f>SUM(E259)-SUM(F259)</f>
        <v/>
      </c>
      <c r="I259" s="221">
        <f>IF(A259="Total",VLOOKUP(B259,CORRESPONDANCE[#All],2,FALSE),I260)</f>
        <v/>
      </c>
      <c r="J259" s="350">
        <f>LEFT(A259,1)</f>
        <v/>
      </c>
      <c r="K259" s="347">
        <f>"R314"&amp;" - "&amp;A259</f>
        <v/>
      </c>
      <c r="L259" s="347">
        <f>+VLOOKUP(K259,TL[],4,FALSE)</f>
        <v/>
      </c>
    </row>
    <row r="260">
      <c r="G260" s="220">
        <f>SUM(C260)-SUM(D260)</f>
        <v/>
      </c>
      <c r="H260" s="220">
        <f>SUM(E260)-SUM(F260)</f>
        <v/>
      </c>
      <c r="I260" s="221">
        <f>IF(A260="Total",VLOOKUP(B260,CORRESPONDANCE[#All],2,FALSE),I261)</f>
        <v/>
      </c>
      <c r="J260" s="350">
        <f>LEFT(A260,1)</f>
        <v/>
      </c>
      <c r="K260" s="347">
        <f>"R314"&amp;" - "&amp;A260</f>
        <v/>
      </c>
      <c r="L260" s="347">
        <f>+VLOOKUP(K260,TL[],4,FALSE)</f>
        <v/>
      </c>
    </row>
    <row r="261">
      <c r="G261" s="220">
        <f>SUM(C261)-SUM(D261)</f>
        <v/>
      </c>
      <c r="H261" s="220">
        <f>SUM(E261)-SUM(F261)</f>
        <v/>
      </c>
      <c r="I261" s="221">
        <f>IF(A261="Total",VLOOKUP(B261,CORRESPONDANCE[#All],2,FALSE),I262)</f>
        <v/>
      </c>
      <c r="J261" s="350">
        <f>LEFT(A261,1)</f>
        <v/>
      </c>
      <c r="K261" s="347">
        <f>"R314"&amp;" - "&amp;A261</f>
        <v/>
      </c>
      <c r="L261" s="347">
        <f>+VLOOKUP(K261,TL[],4,FALSE)</f>
        <v/>
      </c>
    </row>
    <row r="262">
      <c r="G262" s="220">
        <f>SUM(C262)-SUM(D262)</f>
        <v/>
      </c>
      <c r="H262" s="220">
        <f>SUM(E262)-SUM(F262)</f>
        <v/>
      </c>
      <c r="I262" s="221">
        <f>IF(A262="Total",VLOOKUP(B262,CORRESPONDANCE[#All],2,FALSE),I263)</f>
        <v/>
      </c>
      <c r="J262" s="350">
        <f>LEFT(A262,1)</f>
        <v/>
      </c>
      <c r="K262" s="347">
        <f>"R314"&amp;" - "&amp;A262</f>
        <v/>
      </c>
      <c r="L262" s="347">
        <f>+VLOOKUP(K262,TL[],4,FALSE)</f>
        <v/>
      </c>
    </row>
    <row r="263">
      <c r="G263" s="220">
        <f>SUM(C263)-SUM(D263)</f>
        <v/>
      </c>
      <c r="H263" s="220">
        <f>SUM(E263)-SUM(F263)</f>
        <v/>
      </c>
      <c r="I263" s="221">
        <f>IF(A263="Total",VLOOKUP(B263,CORRESPONDANCE[#All],2,FALSE),I264)</f>
        <v/>
      </c>
      <c r="J263" s="350">
        <f>LEFT(A263,1)</f>
        <v/>
      </c>
      <c r="K263" s="347">
        <f>"R314"&amp;" - "&amp;A263</f>
        <v/>
      </c>
      <c r="L263" s="347">
        <f>+VLOOKUP(K263,TL[],4,FALSE)</f>
        <v/>
      </c>
    </row>
    <row r="264">
      <c r="G264" s="220">
        <f>SUM(C264)-SUM(D264)</f>
        <v/>
      </c>
      <c r="H264" s="220">
        <f>SUM(E264)-SUM(F264)</f>
        <v/>
      </c>
      <c r="I264" s="221">
        <f>IF(A264="Total",VLOOKUP(B264,CORRESPONDANCE[#All],2,FALSE),I265)</f>
        <v/>
      </c>
      <c r="J264" s="350">
        <f>LEFT(A264,1)</f>
        <v/>
      </c>
      <c r="K264" s="347">
        <f>"R314"&amp;" - "&amp;A264</f>
        <v/>
      </c>
      <c r="L264" s="347">
        <f>+VLOOKUP(K264,TL[],4,FALSE)</f>
        <v/>
      </c>
    </row>
    <row r="265">
      <c r="G265" s="220">
        <f>SUM(C265)-SUM(D265)</f>
        <v/>
      </c>
      <c r="H265" s="220">
        <f>SUM(E265)-SUM(F265)</f>
        <v/>
      </c>
      <c r="I265" s="221">
        <f>IF(A265="Total",VLOOKUP(B265,CORRESPONDANCE[#All],2,FALSE),I266)</f>
        <v/>
      </c>
      <c r="J265" s="350">
        <f>LEFT(A265,1)</f>
        <v/>
      </c>
      <c r="K265" s="347">
        <f>"R314"&amp;" - "&amp;A265</f>
        <v/>
      </c>
      <c r="L265" s="347">
        <f>+VLOOKUP(K265,TL[],4,FALSE)</f>
        <v/>
      </c>
    </row>
    <row r="266">
      <c r="G266" s="220">
        <f>SUM(C266)-SUM(D266)</f>
        <v/>
      </c>
      <c r="H266" s="220">
        <f>SUM(E266)-SUM(F266)</f>
        <v/>
      </c>
      <c r="I266" s="221">
        <f>IF(A266="Total",VLOOKUP(B266,CORRESPONDANCE[#All],2,FALSE),I267)</f>
        <v/>
      </c>
      <c r="J266" s="350">
        <f>LEFT(A266,1)</f>
        <v/>
      </c>
      <c r="K266" s="347">
        <f>"R314"&amp;" - "&amp;A266</f>
        <v/>
      </c>
      <c r="L266" s="347">
        <f>+VLOOKUP(K266,TL[],4,FALSE)</f>
        <v/>
      </c>
    </row>
    <row r="267">
      <c r="G267" s="220">
        <f>SUM(C267)-SUM(D267)</f>
        <v/>
      </c>
      <c r="H267" s="220">
        <f>SUM(E267)-SUM(F267)</f>
        <v/>
      </c>
      <c r="I267" s="221">
        <f>IF(A267="Total",VLOOKUP(B267,CORRESPONDANCE[#All],2,FALSE),I268)</f>
        <v/>
      </c>
      <c r="J267" s="350">
        <f>LEFT(A267,1)</f>
        <v/>
      </c>
      <c r="K267" s="347">
        <f>"R314"&amp;" - "&amp;A267</f>
        <v/>
      </c>
      <c r="L267" s="347">
        <f>+VLOOKUP(K267,TL[],4,FALSE)</f>
        <v/>
      </c>
    </row>
    <row r="268">
      <c r="G268" s="220">
        <f>SUM(C268)-SUM(D268)</f>
        <v/>
      </c>
      <c r="H268" s="220">
        <f>SUM(E268)-SUM(F268)</f>
        <v/>
      </c>
      <c r="I268" s="221">
        <f>IF(A268="Total",VLOOKUP(B268,CORRESPONDANCE[#All],2,FALSE),I269)</f>
        <v/>
      </c>
      <c r="J268" s="350">
        <f>LEFT(A268,1)</f>
        <v/>
      </c>
      <c r="K268" s="347">
        <f>"R314"&amp;" - "&amp;A268</f>
        <v/>
      </c>
      <c r="L268" s="347">
        <f>+VLOOKUP(K268,TL[],4,FALSE)</f>
        <v/>
      </c>
    </row>
    <row r="269">
      <c r="G269" s="220">
        <f>SUM(C269)-SUM(D269)</f>
        <v/>
      </c>
      <c r="H269" s="220">
        <f>SUM(E269)-SUM(F269)</f>
        <v/>
      </c>
      <c r="I269" s="221">
        <f>IF(A269="Total",VLOOKUP(B269,CORRESPONDANCE[#All],2,FALSE),I270)</f>
        <v/>
      </c>
      <c r="J269" s="350">
        <f>LEFT(A269,1)</f>
        <v/>
      </c>
      <c r="K269" s="347">
        <f>"R314"&amp;" - "&amp;A269</f>
        <v/>
      </c>
      <c r="L269" s="347">
        <f>+VLOOKUP(K269,TL[],4,FALSE)</f>
        <v/>
      </c>
    </row>
    <row r="270">
      <c r="G270" s="220">
        <f>SUM(C270)-SUM(D270)</f>
        <v/>
      </c>
      <c r="H270" s="220">
        <f>SUM(E270)-SUM(F270)</f>
        <v/>
      </c>
      <c r="I270" s="221">
        <f>IF(A270="Total",VLOOKUP(B270,CORRESPONDANCE[#All],2,FALSE),I271)</f>
        <v/>
      </c>
      <c r="J270" s="350">
        <f>LEFT(A270,1)</f>
        <v/>
      </c>
      <c r="K270" s="347">
        <f>"R314"&amp;" - "&amp;A270</f>
        <v/>
      </c>
      <c r="L270" s="347">
        <f>+VLOOKUP(K270,TL[],4,FALSE)</f>
        <v/>
      </c>
    </row>
    <row r="271">
      <c r="G271" s="220">
        <f>SUM(C271)-SUM(D271)</f>
        <v/>
      </c>
      <c r="H271" s="220">
        <f>SUM(E271)-SUM(F271)</f>
        <v/>
      </c>
      <c r="I271" s="221">
        <f>IF(A271="Total",VLOOKUP(B271,CORRESPONDANCE[#All],2,FALSE),I272)</f>
        <v/>
      </c>
      <c r="J271" s="350">
        <f>LEFT(A271,1)</f>
        <v/>
      </c>
      <c r="K271" s="347">
        <f>"R314"&amp;" - "&amp;A271</f>
        <v/>
      </c>
      <c r="L271" s="347">
        <f>+VLOOKUP(K271,TL[],4,FALSE)</f>
        <v/>
      </c>
    </row>
    <row r="272">
      <c r="G272" s="220">
        <f>SUM(C272)-SUM(D272)</f>
        <v/>
      </c>
      <c r="H272" s="220">
        <f>SUM(E272)-SUM(F272)</f>
        <v/>
      </c>
      <c r="I272" s="221">
        <f>IF(A272="Total",VLOOKUP(B272,CORRESPONDANCE[#All],2,FALSE),I273)</f>
        <v/>
      </c>
      <c r="J272" s="350">
        <f>LEFT(A272,1)</f>
        <v/>
      </c>
      <c r="K272" s="347">
        <f>"R314"&amp;" - "&amp;A272</f>
        <v/>
      </c>
      <c r="L272" s="347">
        <f>+VLOOKUP(K272,TL[],4,FALSE)</f>
        <v/>
      </c>
    </row>
    <row r="273">
      <c r="G273" s="220">
        <f>SUM(C273)-SUM(D273)</f>
        <v/>
      </c>
      <c r="H273" s="220">
        <f>SUM(E273)-SUM(F273)</f>
        <v/>
      </c>
      <c r="I273" s="221">
        <f>IF(A273="Total",VLOOKUP(B273,CORRESPONDANCE[#All],2,FALSE),I274)</f>
        <v/>
      </c>
      <c r="J273" s="350">
        <f>LEFT(A273,1)</f>
        <v/>
      </c>
      <c r="K273" s="347">
        <f>"R314"&amp;" - "&amp;A273</f>
        <v/>
      </c>
      <c r="L273" s="347">
        <f>+VLOOKUP(K273,TL[],4,FALSE)</f>
        <v/>
      </c>
    </row>
    <row r="274">
      <c r="G274" s="220">
        <f>SUM(C274)-SUM(D274)</f>
        <v/>
      </c>
      <c r="H274" s="220">
        <f>SUM(E274)-SUM(F274)</f>
        <v/>
      </c>
      <c r="I274" s="221">
        <f>IF(A274="Total",VLOOKUP(B274,CORRESPONDANCE[#All],2,FALSE),I275)</f>
        <v/>
      </c>
      <c r="J274" s="350">
        <f>LEFT(A274,1)</f>
        <v/>
      </c>
      <c r="K274" s="347">
        <f>"R314"&amp;" - "&amp;A274</f>
        <v/>
      </c>
      <c r="L274" s="347">
        <f>+VLOOKUP(K274,TL[],4,FALSE)</f>
        <v/>
      </c>
    </row>
    <row r="275">
      <c r="G275" s="220">
        <f>SUM(C275)-SUM(D275)</f>
        <v/>
      </c>
      <c r="H275" s="220">
        <f>SUM(E275)-SUM(F275)</f>
        <v/>
      </c>
      <c r="I275" s="221">
        <f>IF(A275="Total",VLOOKUP(B275,CORRESPONDANCE[#All],2,FALSE),I276)</f>
        <v/>
      </c>
      <c r="J275" s="350">
        <f>LEFT(A275,1)</f>
        <v/>
      </c>
      <c r="K275" s="347">
        <f>"R314"&amp;" - "&amp;A275</f>
        <v/>
      </c>
      <c r="L275" s="347">
        <f>+VLOOKUP(K275,TL[],4,FALSE)</f>
        <v/>
      </c>
    </row>
    <row r="276">
      <c r="G276" s="220">
        <f>SUM(C276)-SUM(D276)</f>
        <v/>
      </c>
      <c r="H276" s="220">
        <f>SUM(E276)-SUM(F276)</f>
        <v/>
      </c>
      <c r="I276" s="221">
        <f>IF(A276="Total",VLOOKUP(B276,CORRESPONDANCE[#All],2,FALSE),I277)</f>
        <v/>
      </c>
      <c r="J276" s="350">
        <f>LEFT(A276,1)</f>
        <v/>
      </c>
      <c r="K276" s="347">
        <f>"R314"&amp;" - "&amp;A276</f>
        <v/>
      </c>
      <c r="L276" s="347">
        <f>+VLOOKUP(K276,TL[],4,FALSE)</f>
        <v/>
      </c>
    </row>
    <row r="277">
      <c r="G277" s="220">
        <f>SUM(C277)-SUM(D277)</f>
        <v/>
      </c>
      <c r="H277" s="220">
        <f>SUM(E277)-SUM(F277)</f>
        <v/>
      </c>
      <c r="I277" s="221">
        <f>IF(A277="Total",VLOOKUP(B277,CORRESPONDANCE[#All],2,FALSE),I278)</f>
        <v/>
      </c>
      <c r="J277" s="350">
        <f>LEFT(A277,1)</f>
        <v/>
      </c>
      <c r="K277" s="347">
        <f>"R314"&amp;" - "&amp;A277</f>
        <v/>
      </c>
      <c r="L277" s="347">
        <f>+VLOOKUP(K277,TL[],4,FALSE)</f>
        <v/>
      </c>
    </row>
    <row r="278">
      <c r="G278" s="220">
        <f>SUM(C278)-SUM(D278)</f>
        <v/>
      </c>
      <c r="H278" s="220">
        <f>SUM(E278)-SUM(F278)</f>
        <v/>
      </c>
      <c r="I278" s="221">
        <f>IF(A278="Total",VLOOKUP(B278,CORRESPONDANCE[#All],2,FALSE),I279)</f>
        <v/>
      </c>
      <c r="J278" s="350">
        <f>LEFT(A278,1)</f>
        <v/>
      </c>
      <c r="K278" s="347">
        <f>"R314"&amp;" - "&amp;A278</f>
        <v/>
      </c>
      <c r="L278" s="347">
        <f>+VLOOKUP(K278,TL[],4,FALSE)</f>
        <v/>
      </c>
    </row>
    <row r="279">
      <c r="G279" s="220">
        <f>SUM(C279)-SUM(D279)</f>
        <v/>
      </c>
      <c r="H279" s="220">
        <f>SUM(E279)-SUM(F279)</f>
        <v/>
      </c>
      <c r="I279" s="221">
        <f>IF(A279="Total",VLOOKUP(B279,CORRESPONDANCE[#All],2,FALSE),I280)</f>
        <v/>
      </c>
      <c r="J279" s="350">
        <f>LEFT(A279,1)</f>
        <v/>
      </c>
      <c r="K279" s="347">
        <f>"R314"&amp;" - "&amp;A279</f>
        <v/>
      </c>
      <c r="L279" s="347">
        <f>+VLOOKUP(K279,TL[],4,FALSE)</f>
        <v/>
      </c>
    </row>
    <row r="280">
      <c r="G280" s="220">
        <f>SUM(C280)-SUM(D280)</f>
        <v/>
      </c>
      <c r="H280" s="220">
        <f>SUM(E280)-SUM(F280)</f>
        <v/>
      </c>
      <c r="I280" s="221">
        <f>IF(A280="Total",VLOOKUP(B280,CORRESPONDANCE[#All],2,FALSE),I281)</f>
        <v/>
      </c>
      <c r="J280" s="350">
        <f>LEFT(A280,1)</f>
        <v/>
      </c>
      <c r="K280" s="347">
        <f>"R314"&amp;" - "&amp;A280</f>
        <v/>
      </c>
      <c r="L280" s="347">
        <f>+VLOOKUP(K280,TL[],4,FALSE)</f>
        <v/>
      </c>
    </row>
    <row r="281">
      <c r="G281" s="220">
        <f>SUM(C281)-SUM(D281)</f>
        <v/>
      </c>
      <c r="H281" s="220">
        <f>SUM(E281)-SUM(F281)</f>
        <v/>
      </c>
      <c r="I281" s="221">
        <f>IF(A281="Total",VLOOKUP(B281,CORRESPONDANCE[#All],2,FALSE),I282)</f>
        <v/>
      </c>
      <c r="J281" s="350">
        <f>LEFT(A281,1)</f>
        <v/>
      </c>
      <c r="K281" s="347">
        <f>"R314"&amp;" - "&amp;A281</f>
        <v/>
      </c>
      <c r="L281" s="347">
        <f>+VLOOKUP(K281,TL[],4,FALSE)</f>
        <v/>
      </c>
    </row>
    <row r="282">
      <c r="G282" s="220">
        <f>SUM(C282)-SUM(D282)</f>
        <v/>
      </c>
      <c r="H282" s="220">
        <f>SUM(E282)-SUM(F282)</f>
        <v/>
      </c>
      <c r="I282" s="221">
        <f>IF(A282="Total",VLOOKUP(B282,CORRESPONDANCE[#All],2,FALSE),I283)</f>
        <v/>
      </c>
      <c r="J282" s="350">
        <f>LEFT(A282,1)</f>
        <v/>
      </c>
      <c r="K282" s="347">
        <f>"R314"&amp;" - "&amp;A282</f>
        <v/>
      </c>
      <c r="L282" s="347">
        <f>+VLOOKUP(K282,TL[],4,FALSE)</f>
        <v/>
      </c>
    </row>
    <row r="283">
      <c r="G283" s="220">
        <f>SUM(C283)-SUM(D283)</f>
        <v/>
      </c>
      <c r="H283" s="220">
        <f>SUM(E283)-SUM(F283)</f>
        <v/>
      </c>
      <c r="I283" s="221">
        <f>IF(A283="Total",VLOOKUP(B283,CORRESPONDANCE[#All],2,FALSE),I284)</f>
        <v/>
      </c>
      <c r="J283" s="350">
        <f>LEFT(A283,1)</f>
        <v/>
      </c>
      <c r="K283" s="347">
        <f>"R314"&amp;" - "&amp;A283</f>
        <v/>
      </c>
      <c r="L283" s="347">
        <f>+VLOOKUP(K283,TL[],4,FALSE)</f>
        <v/>
      </c>
    </row>
    <row r="284">
      <c r="G284" s="220">
        <f>SUM(C284)-SUM(D284)</f>
        <v/>
      </c>
      <c r="H284" s="220">
        <f>SUM(E284)-SUM(F284)</f>
        <v/>
      </c>
      <c r="I284" s="221">
        <f>IF(A284="Total",VLOOKUP(B284,CORRESPONDANCE[#All],2,FALSE),I285)</f>
        <v/>
      </c>
      <c r="J284" s="350">
        <f>LEFT(A284,1)</f>
        <v/>
      </c>
      <c r="K284" s="347">
        <f>"R314"&amp;" - "&amp;A284</f>
        <v/>
      </c>
      <c r="L284" s="347">
        <f>+VLOOKUP(K284,TL[],4,FALSE)</f>
        <v/>
      </c>
    </row>
    <row r="285">
      <c r="G285" s="220">
        <f>SUM(C285)-SUM(D285)</f>
        <v/>
      </c>
      <c r="H285" s="220">
        <f>SUM(E285)-SUM(F285)</f>
        <v/>
      </c>
      <c r="I285" s="221">
        <f>IF(A285="Total",VLOOKUP(B285,CORRESPONDANCE[#All],2,FALSE),I286)</f>
        <v/>
      </c>
      <c r="J285" s="350">
        <f>LEFT(A285,1)</f>
        <v/>
      </c>
      <c r="K285" s="347">
        <f>"R314"&amp;" - "&amp;A285</f>
        <v/>
      </c>
      <c r="L285" s="347">
        <f>+VLOOKUP(K285,TL[],4,FALSE)</f>
        <v/>
      </c>
    </row>
    <row r="286">
      <c r="G286" s="220">
        <f>SUM(C286)-SUM(D286)</f>
        <v/>
      </c>
      <c r="H286" s="220">
        <f>SUM(E286)-SUM(F286)</f>
        <v/>
      </c>
      <c r="I286" s="221">
        <f>IF(A286="Total",VLOOKUP(B286,CORRESPONDANCE[#All],2,FALSE),I287)</f>
        <v/>
      </c>
      <c r="J286" s="350">
        <f>LEFT(A286,1)</f>
        <v/>
      </c>
      <c r="K286" s="347">
        <f>"R314"&amp;" - "&amp;A286</f>
        <v/>
      </c>
      <c r="L286" s="347">
        <f>+VLOOKUP(K286,TL[],4,FALSE)</f>
        <v/>
      </c>
    </row>
    <row r="287">
      <c r="G287" s="220">
        <f>SUM(C287)-SUM(D287)</f>
        <v/>
      </c>
      <c r="H287" s="220">
        <f>SUM(E287)-SUM(F287)</f>
        <v/>
      </c>
      <c r="I287" s="221">
        <f>IF(A287="Total",VLOOKUP(B287,CORRESPONDANCE[#All],2,FALSE),I288)</f>
        <v/>
      </c>
      <c r="J287" s="350">
        <f>LEFT(A287,1)</f>
        <v/>
      </c>
      <c r="K287" s="347">
        <f>"R314"&amp;" - "&amp;A287</f>
        <v/>
      </c>
      <c r="L287" s="347">
        <f>+VLOOKUP(K287,TL[],4,FALSE)</f>
        <v/>
      </c>
    </row>
    <row r="288">
      <c r="G288" s="220">
        <f>SUM(C288)-SUM(D288)</f>
        <v/>
      </c>
      <c r="H288" s="220">
        <f>SUM(E288)-SUM(F288)</f>
        <v/>
      </c>
      <c r="I288" s="221">
        <f>IF(A288="Total",VLOOKUP(B288,CORRESPONDANCE[#All],2,FALSE),I289)</f>
        <v/>
      </c>
      <c r="J288" s="350">
        <f>LEFT(A288,1)</f>
        <v/>
      </c>
      <c r="K288" s="347">
        <f>"R314"&amp;" - "&amp;A288</f>
        <v/>
      </c>
      <c r="L288" s="347">
        <f>+VLOOKUP(K288,TL[],4,FALSE)</f>
        <v/>
      </c>
    </row>
    <row r="289">
      <c r="G289" s="220">
        <f>SUM(C289)-SUM(D289)</f>
        <v/>
      </c>
      <c r="H289" s="220">
        <f>SUM(E289)-SUM(F289)</f>
        <v/>
      </c>
      <c r="I289" s="221">
        <f>IF(A289="Total",VLOOKUP(B289,CORRESPONDANCE[#All],2,FALSE),I290)</f>
        <v/>
      </c>
      <c r="J289" s="350">
        <f>LEFT(A289,1)</f>
        <v/>
      </c>
      <c r="K289" s="347">
        <f>"R314"&amp;" - "&amp;A289</f>
        <v/>
      </c>
      <c r="L289" s="347">
        <f>+VLOOKUP(K289,TL[],4,FALSE)</f>
        <v/>
      </c>
    </row>
    <row r="290">
      <c r="G290" s="220">
        <f>SUM(C290)-SUM(D290)</f>
        <v/>
      </c>
      <c r="H290" s="220">
        <f>SUM(E290)-SUM(F290)</f>
        <v/>
      </c>
      <c r="I290" s="221">
        <f>IF(A290="Total",VLOOKUP(B290,CORRESPONDANCE[#All],2,FALSE),I291)</f>
        <v/>
      </c>
      <c r="J290" s="350">
        <f>LEFT(A290,1)</f>
        <v/>
      </c>
      <c r="K290" s="347">
        <f>"R314"&amp;" - "&amp;A290</f>
        <v/>
      </c>
      <c r="L290" s="347">
        <f>+VLOOKUP(K290,TL[],4,FALSE)</f>
        <v/>
      </c>
    </row>
    <row r="291">
      <c r="G291" s="220">
        <f>SUM(C291)-SUM(D291)</f>
        <v/>
      </c>
      <c r="H291" s="220">
        <f>SUM(E291)-SUM(F291)</f>
        <v/>
      </c>
      <c r="I291" s="221">
        <f>IF(A291="Total",VLOOKUP(B291,CORRESPONDANCE[#All],2,FALSE),I292)</f>
        <v/>
      </c>
      <c r="J291" s="350">
        <f>LEFT(A291,1)</f>
        <v/>
      </c>
      <c r="K291" s="347">
        <f>"R314"&amp;" - "&amp;A291</f>
        <v/>
      </c>
      <c r="L291" s="347">
        <f>+VLOOKUP(K291,TL[],4,FALSE)</f>
        <v/>
      </c>
    </row>
    <row r="292">
      <c r="G292" s="220">
        <f>SUM(C292)-SUM(D292)</f>
        <v/>
      </c>
      <c r="H292" s="220">
        <f>SUM(E292)-SUM(F292)</f>
        <v/>
      </c>
      <c r="I292" s="221">
        <f>IF(A292="Total",VLOOKUP(B292,CORRESPONDANCE[#All],2,FALSE),I293)</f>
        <v/>
      </c>
      <c r="J292" s="350">
        <f>LEFT(A292,1)</f>
        <v/>
      </c>
      <c r="K292" s="347">
        <f>"R314"&amp;" - "&amp;A292</f>
        <v/>
      </c>
      <c r="L292" s="347">
        <f>+VLOOKUP(K292,TL[],4,FALSE)</f>
        <v/>
      </c>
    </row>
    <row r="293">
      <c r="G293" s="220">
        <f>SUM(C293)-SUM(D293)</f>
        <v/>
      </c>
      <c r="H293" s="220">
        <f>SUM(E293)-SUM(F293)</f>
        <v/>
      </c>
      <c r="I293" s="221">
        <f>IF(A293="Total",VLOOKUP(B293,CORRESPONDANCE[#All],2,FALSE),I294)</f>
        <v/>
      </c>
      <c r="J293" s="350">
        <f>LEFT(A293,1)</f>
        <v/>
      </c>
      <c r="K293" s="347">
        <f>"R314"&amp;" - "&amp;A293</f>
        <v/>
      </c>
      <c r="L293" s="347">
        <f>+VLOOKUP(K293,TL[],4,FALSE)</f>
        <v/>
      </c>
    </row>
    <row r="294">
      <c r="G294" s="220">
        <f>SUM(C294)-SUM(D294)</f>
        <v/>
      </c>
      <c r="H294" s="220">
        <f>SUM(E294)-SUM(F294)</f>
        <v/>
      </c>
      <c r="I294" s="221">
        <f>IF(A294="Total",VLOOKUP(B294,CORRESPONDANCE[#All],2,FALSE),I295)</f>
        <v/>
      </c>
      <c r="J294" s="350">
        <f>LEFT(A294,1)</f>
        <v/>
      </c>
      <c r="K294" s="347">
        <f>"R314"&amp;" - "&amp;A294</f>
        <v/>
      </c>
      <c r="L294" s="347">
        <f>+VLOOKUP(K294,TL[],4,FALSE)</f>
        <v/>
      </c>
    </row>
    <row r="295">
      <c r="G295" s="220">
        <f>SUM(C295)-SUM(D295)</f>
        <v/>
      </c>
      <c r="H295" s="220">
        <f>SUM(E295)-SUM(F295)</f>
        <v/>
      </c>
      <c r="I295" s="221">
        <f>IF(A295="Total",VLOOKUP(B295,CORRESPONDANCE[#All],2,FALSE),I296)</f>
        <v/>
      </c>
      <c r="J295" s="350">
        <f>LEFT(A295,1)</f>
        <v/>
      </c>
      <c r="K295" s="347">
        <f>"R314"&amp;" - "&amp;A295</f>
        <v/>
      </c>
      <c r="L295" s="347">
        <f>+VLOOKUP(K295,TL[],4,FALSE)</f>
        <v/>
      </c>
    </row>
    <row r="296">
      <c r="G296" s="220">
        <f>SUM(C296)-SUM(D296)</f>
        <v/>
      </c>
      <c r="H296" s="220">
        <f>SUM(E296)-SUM(F296)</f>
        <v/>
      </c>
      <c r="I296" s="221">
        <f>IF(A296="Total",VLOOKUP(B296,CORRESPONDANCE[#All],2,FALSE),I297)</f>
        <v/>
      </c>
      <c r="J296" s="350">
        <f>LEFT(A296,1)</f>
        <v/>
      </c>
      <c r="K296" s="347">
        <f>"R314"&amp;" - "&amp;A296</f>
        <v/>
      </c>
      <c r="L296" s="347">
        <f>+VLOOKUP(K296,TL[],4,FALSE)</f>
        <v/>
      </c>
    </row>
    <row r="297">
      <c r="G297" s="220">
        <f>SUM(C297)-SUM(D297)</f>
        <v/>
      </c>
      <c r="H297" s="220">
        <f>SUM(E297)-SUM(F297)</f>
        <v/>
      </c>
      <c r="I297" s="221">
        <f>IF(A297="Total",VLOOKUP(B297,CORRESPONDANCE[#All],2,FALSE),I298)</f>
        <v/>
      </c>
      <c r="J297" s="350">
        <f>LEFT(A297,1)</f>
        <v/>
      </c>
      <c r="K297" s="347">
        <f>"R314"&amp;" - "&amp;A297</f>
        <v/>
      </c>
      <c r="L297" s="347">
        <f>+VLOOKUP(K297,TL[],4,FALSE)</f>
        <v/>
      </c>
    </row>
    <row r="298">
      <c r="G298" s="220">
        <f>SUM(C298)-SUM(D298)</f>
        <v/>
      </c>
      <c r="H298" s="220">
        <f>SUM(E298)-SUM(F298)</f>
        <v/>
      </c>
      <c r="I298" s="221">
        <f>IF(A298="Total",VLOOKUP(B298,CORRESPONDANCE[#All],2,FALSE),I299)</f>
        <v/>
      </c>
      <c r="J298" s="350">
        <f>LEFT(A298,1)</f>
        <v/>
      </c>
      <c r="K298" s="347">
        <f>"R314"&amp;" - "&amp;A298</f>
        <v/>
      </c>
      <c r="L298" s="347">
        <f>+VLOOKUP(K298,TL[],4,FALSE)</f>
        <v/>
      </c>
    </row>
    <row r="299">
      <c r="G299" s="220">
        <f>SUM(C299)-SUM(D299)</f>
        <v/>
      </c>
      <c r="H299" s="220">
        <f>SUM(E299)-SUM(F299)</f>
        <v/>
      </c>
      <c r="I299" s="221">
        <f>IF(A299="Total",VLOOKUP(B299,CORRESPONDANCE[#All],2,FALSE),I300)</f>
        <v/>
      </c>
      <c r="J299" s="350">
        <f>LEFT(A299,1)</f>
        <v/>
      </c>
      <c r="K299" s="347">
        <f>"R314"&amp;" - "&amp;A299</f>
        <v/>
      </c>
      <c r="L299" s="347">
        <f>+VLOOKUP(K299,TL[],4,FALSE)</f>
        <v/>
      </c>
    </row>
    <row r="300">
      <c r="G300" s="220">
        <f>SUM(C300)-SUM(D300)</f>
        <v/>
      </c>
      <c r="H300" s="220">
        <f>SUM(E300)-SUM(F300)</f>
        <v/>
      </c>
      <c r="I300" s="221">
        <f>IF(A300="Total",VLOOKUP(B300,CORRESPONDANCE[#All],2,FALSE),I301)</f>
        <v/>
      </c>
      <c r="J300" s="350">
        <f>LEFT(A300,1)</f>
        <v/>
      </c>
      <c r="K300" s="347">
        <f>"R314"&amp;" - "&amp;A300</f>
        <v/>
      </c>
      <c r="L300" s="347">
        <f>+VLOOKUP(K300,TL[],4,FALSE)</f>
        <v/>
      </c>
    </row>
    <row r="301">
      <c r="G301" s="220">
        <f>SUM(C301)-SUM(D301)</f>
        <v/>
      </c>
      <c r="H301" s="220">
        <f>SUM(E301)-SUM(F301)</f>
        <v/>
      </c>
      <c r="I301" s="221">
        <f>IF(A301="Total",VLOOKUP(B301,CORRESPONDANCE[#All],2,FALSE),I302)</f>
        <v/>
      </c>
      <c r="J301" s="350">
        <f>LEFT(A301,1)</f>
        <v/>
      </c>
      <c r="K301" s="347">
        <f>"R314"&amp;" - "&amp;A301</f>
        <v/>
      </c>
      <c r="L301" s="347">
        <f>+VLOOKUP(K301,TL[],4,FALSE)</f>
        <v/>
      </c>
    </row>
    <row r="302">
      <c r="G302" s="220">
        <f>SUM(C302)-SUM(D302)</f>
        <v/>
      </c>
      <c r="H302" s="220">
        <f>SUM(E302)-SUM(F302)</f>
        <v/>
      </c>
      <c r="I302" s="221">
        <f>IF(A302="Total",VLOOKUP(B302,CORRESPONDANCE[#All],2,FALSE),I303)</f>
        <v/>
      </c>
      <c r="J302" s="350">
        <f>LEFT(A302,1)</f>
        <v/>
      </c>
      <c r="K302" s="347">
        <f>"R314"&amp;" - "&amp;A302</f>
        <v/>
      </c>
      <c r="L302" s="347">
        <f>+VLOOKUP(K302,TL[],4,FALSE)</f>
        <v/>
      </c>
    </row>
    <row r="303">
      <c r="G303" s="220">
        <f>SUM(C303)-SUM(D303)</f>
        <v/>
      </c>
      <c r="H303" s="220">
        <f>SUM(E303)-SUM(F303)</f>
        <v/>
      </c>
      <c r="I303" s="221">
        <f>IF(A303="Total",VLOOKUP(B303,CORRESPONDANCE[#All],2,FALSE),I304)</f>
        <v/>
      </c>
      <c r="J303" s="350">
        <f>LEFT(A303,1)</f>
        <v/>
      </c>
      <c r="K303" s="347">
        <f>"R314"&amp;" - "&amp;A303</f>
        <v/>
      </c>
      <c r="L303" s="347">
        <f>+VLOOKUP(K303,TL[],4,FALSE)</f>
        <v/>
      </c>
    </row>
    <row r="304">
      <c r="G304" s="220">
        <f>SUM(C304)-SUM(D304)</f>
        <v/>
      </c>
      <c r="H304" s="220">
        <f>SUM(E304)-SUM(F304)</f>
        <v/>
      </c>
      <c r="I304" s="221">
        <f>IF(A304="Total",VLOOKUP(B304,CORRESPONDANCE[#All],2,FALSE),I305)</f>
        <v/>
      </c>
      <c r="J304" s="350">
        <f>LEFT(A304,1)</f>
        <v/>
      </c>
      <c r="K304" s="347">
        <f>"R314"&amp;" - "&amp;A304</f>
        <v/>
      </c>
      <c r="L304" s="347">
        <f>+VLOOKUP(K304,TL[],4,FALSE)</f>
        <v/>
      </c>
    </row>
    <row r="305">
      <c r="G305" s="220">
        <f>SUM(C305)-SUM(D305)</f>
        <v/>
      </c>
      <c r="H305" s="220">
        <f>SUM(E305)-SUM(F305)</f>
        <v/>
      </c>
      <c r="I305" s="221">
        <f>IF(A305="Total",VLOOKUP(B305,CORRESPONDANCE[#All],2,FALSE),I306)</f>
        <v/>
      </c>
      <c r="J305" s="350">
        <f>LEFT(A305,1)</f>
        <v/>
      </c>
      <c r="K305" s="347">
        <f>"R314"&amp;" - "&amp;A305</f>
        <v/>
      </c>
      <c r="L305" s="347">
        <f>+VLOOKUP(K305,TL[],4,FALSE)</f>
        <v/>
      </c>
    </row>
  </sheetData>
  <autoFilter ref="A1:L215"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286"/>
  <sheetViews>
    <sheetView zoomScale="85" zoomScaleNormal="85" workbookViewId="0">
      <selection activeCell="A1" sqref="A1:F1048576"/>
    </sheetView>
  </sheetViews>
  <sheetFormatPr baseColWidth="10" defaultColWidth="11.5703125" defaultRowHeight="12.75"/>
  <cols>
    <col width="13.28515625" customWidth="1" style="223" min="7" max="8"/>
    <col width="11.7109375" bestFit="1" customWidth="1" style="224" min="9" max="9"/>
    <col width="11.5703125" customWidth="1" style="347" min="10" max="16384"/>
  </cols>
  <sheetData>
    <row r="1">
      <c r="A1" s="348" t="inlineStr">
        <is>
          <t>Compte</t>
        </is>
      </c>
      <c r="B1" s="348" t="inlineStr">
        <is>
          <t>Libellé</t>
        </is>
      </c>
      <c r="C1" s="348" t="inlineStr">
        <is>
          <t>Solde du 01/01/2025 au 31/01/2025 : Débit</t>
        </is>
      </c>
      <c r="D1" s="348" t="inlineStr">
        <is>
          <t>Solde du 01/01/2025 au 31/01/2025 : Crédit</t>
        </is>
      </c>
      <c r="E1" s="348" t="inlineStr">
        <is>
          <t>Solde du 01/01/2025 au 31/01/2025 : Débit</t>
        </is>
      </c>
      <c r="F1" s="348" t="inlineStr">
        <is>
          <t>Solde du 01/01/2025 au 31/01/2025 : Crédit</t>
        </is>
      </c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>
      <c r="A2" s="348" t="inlineStr">
        <is>
          <t>701001</t>
        </is>
      </c>
      <c r="B2" s="348" t="inlineStr">
        <is>
          <t>Ventes de produits finis</t>
        </is>
      </c>
      <c r="C2" s="348" t="n">
        <v>7358.87</v>
      </c>
      <c r="D2" s="348" t="inlineStr"/>
      <c r="E2" s="348" t="n">
        <v>7358.87</v>
      </c>
      <c r="F2" s="348" t="inlineStr"/>
      <c r="G2" s="220">
        <f>SUM(C2)-SUM(D2)</f>
        <v/>
      </c>
      <c r="H2" s="220">
        <f>SUM(E2)-SUM(F2)</f>
        <v/>
      </c>
      <c r="I2" s="221">
        <f>IF(A2="Total",VLOOKUP(B2,CORRESPONDANCE[#All],2,FALSE),I3)</f>
        <v/>
      </c>
      <c r="J2" s="350">
        <f>LEFT(A2,1)</f>
        <v/>
      </c>
      <c r="K2" s="347">
        <f>"LYSE"&amp;" - "&amp;A2</f>
        <v/>
      </c>
      <c r="L2" s="347">
        <f>+VLOOKUP(K2,TL[],4,FALSE)</f>
        <v/>
      </c>
    </row>
    <row r="3">
      <c r="A3" s="348" t="inlineStr">
        <is>
          <t>701002</t>
        </is>
      </c>
      <c r="B3" s="348" t="inlineStr">
        <is>
          <t>Ventes a 5.5%</t>
        </is>
      </c>
      <c r="C3" s="348" t="inlineStr"/>
      <c r="D3" s="348" t="n">
        <v>1413.64</v>
      </c>
      <c r="E3" s="348" t="inlineStr"/>
      <c r="F3" s="348" t="n">
        <v>1413.64</v>
      </c>
      <c r="G3" s="220">
        <f>SUM(C3)-SUM(D3)</f>
        <v/>
      </c>
      <c r="H3" s="220">
        <f>SUM(E3)-SUM(F3)</f>
        <v/>
      </c>
      <c r="I3" s="221">
        <f>IF(A3="Total",VLOOKUP(B3,CORRESPONDANCE[#All],2,FALSE),I4)</f>
        <v/>
      </c>
      <c r="J3" s="350">
        <f>LEFT(A3,1)</f>
        <v/>
      </c>
      <c r="K3" s="347">
        <f>"LYSE"&amp;" - "&amp;A3</f>
        <v/>
      </c>
      <c r="L3" s="347">
        <f>+VLOOKUP(K3,TL[],4,FALSE)</f>
        <v/>
      </c>
    </row>
    <row r="4">
      <c r="A4" s="348" t="inlineStr">
        <is>
          <t>701005</t>
        </is>
      </c>
      <c r="B4" s="348" t="inlineStr">
        <is>
          <t>Ventes à 10%</t>
        </is>
      </c>
      <c r="C4" s="348" t="inlineStr"/>
      <c r="D4" s="348" t="n">
        <v>384205.71</v>
      </c>
      <c r="E4" s="348" t="inlineStr"/>
      <c r="F4" s="348" t="n">
        <v>384205.71</v>
      </c>
      <c r="G4" s="220">
        <f>SUM(C4)-SUM(D4)</f>
        <v/>
      </c>
      <c r="H4" s="220">
        <f>SUM(E4)-SUM(F4)</f>
        <v/>
      </c>
      <c r="I4" s="221">
        <f>IF(A4="Total",VLOOKUP(B4,CORRESPONDANCE[#All],2,FALSE),I5)</f>
        <v/>
      </c>
      <c r="J4" s="350">
        <f>LEFT(A4,1)</f>
        <v/>
      </c>
      <c r="K4" s="347">
        <f>"LYSE"&amp;" - "&amp;A4</f>
        <v/>
      </c>
      <c r="L4" s="347">
        <f>+VLOOKUP(K4,TL[],4,FALSE)</f>
        <v/>
      </c>
    </row>
    <row r="5">
      <c r="A5" s="348" t="inlineStr">
        <is>
          <t>701006</t>
        </is>
      </c>
      <c r="B5" s="348" t="inlineStr">
        <is>
          <t>Ventes à 20%</t>
        </is>
      </c>
      <c r="C5" s="348" t="inlineStr"/>
      <c r="D5" s="348" t="n">
        <v>961.98</v>
      </c>
      <c r="E5" s="348" t="inlineStr"/>
      <c r="F5" s="348" t="n">
        <v>961.98</v>
      </c>
      <c r="G5" s="220">
        <f>SUM(C5)-SUM(D5)</f>
        <v/>
      </c>
      <c r="H5" s="220">
        <f>SUM(E5)-SUM(F5)</f>
        <v/>
      </c>
      <c r="I5" s="221">
        <f>IF(A5="Total",VLOOKUP(B5,CORRESPONDANCE[#All],2,FALSE),I6)</f>
        <v/>
      </c>
      <c r="J5" s="350">
        <f>LEFT(A5,1)</f>
        <v/>
      </c>
      <c r="K5" s="347">
        <f>"LYSE"&amp;" - "&amp;A5</f>
        <v/>
      </c>
      <c r="L5" s="347">
        <f>+VLOOKUP(K5,TL[],4,FALSE)</f>
        <v/>
      </c>
    </row>
    <row r="6">
      <c r="A6" s="348" t="inlineStr">
        <is>
          <t>Total</t>
        </is>
      </c>
      <c r="B6" s="348" t="inlineStr">
        <is>
          <t>Table n°2  -  Ventes produits alimentaires</t>
        </is>
      </c>
      <c r="C6" s="348" t="inlineStr"/>
      <c r="D6" s="348" t="n">
        <v>379222.46</v>
      </c>
      <c r="E6" s="348" t="inlineStr"/>
      <c r="F6" s="348" t="n">
        <v>379222.46</v>
      </c>
      <c r="G6" s="220">
        <f>SUM(C6)-SUM(D6)</f>
        <v/>
      </c>
      <c r="H6" s="220">
        <f>SUM(E6)-SUM(F6)</f>
        <v/>
      </c>
      <c r="I6" s="221">
        <f>IF(A6="Total",VLOOKUP(B6,CORRESPONDANCE[#All],2,FALSE),I7)</f>
        <v/>
      </c>
      <c r="J6" s="350">
        <f>LEFT(A6,1)</f>
        <v/>
      </c>
      <c r="K6" s="347">
        <f>"LYSE"&amp;" - "&amp;A6</f>
        <v/>
      </c>
      <c r="L6" s="347">
        <f>+VLOOKUP(K6,TL[],4,FALSE)</f>
        <v/>
      </c>
    </row>
    <row r="7">
      <c r="A7" s="348" t="inlineStr">
        <is>
          <t>601100</t>
        </is>
      </c>
      <c r="B7" s="348" t="inlineStr">
        <is>
          <t>Achats nourriture</t>
        </is>
      </c>
      <c r="C7" s="348" t="n">
        <v>79212.88</v>
      </c>
      <c r="D7" s="348" t="inlineStr"/>
      <c r="E7" s="348" t="n">
        <v>79212.88</v>
      </c>
      <c r="F7" s="348" t="inlineStr"/>
      <c r="G7" s="220">
        <f>SUM(C7)-SUM(D7)</f>
        <v/>
      </c>
      <c r="H7" s="220">
        <f>SUM(E7)-SUM(F7)</f>
        <v/>
      </c>
      <c r="I7" s="221">
        <f>IF(A7="Total",VLOOKUP(B7,CORRESPONDANCE[#All],2,FALSE),I8)</f>
        <v/>
      </c>
      <c r="J7" s="350">
        <f>LEFT(A7,1)</f>
        <v/>
      </c>
      <c r="K7" s="347">
        <f>"LYSE"&amp;" - "&amp;A7</f>
        <v/>
      </c>
      <c r="L7" s="347">
        <f>+VLOOKUP(K7,TL[],4,FALSE)</f>
        <v/>
      </c>
    </row>
    <row r="8">
      <c r="A8" s="348" t="inlineStr">
        <is>
          <t>603100</t>
        </is>
      </c>
      <c r="B8" s="348" t="inlineStr">
        <is>
          <t>Var.stocks food</t>
        </is>
      </c>
      <c r="C8" s="348" t="n">
        <v>5814.66</v>
      </c>
      <c r="D8" s="348" t="inlineStr"/>
      <c r="E8" s="348" t="n">
        <v>5814.66</v>
      </c>
      <c r="F8" s="348" t="inlineStr"/>
      <c r="G8" s="220">
        <f>SUM(C8)-SUM(D8)</f>
        <v/>
      </c>
      <c r="H8" s="220">
        <f>SUM(E8)-SUM(F8)</f>
        <v/>
      </c>
      <c r="I8" s="221">
        <f>IF(A8="Total",VLOOKUP(B8,CORRESPONDANCE[#All],2,FALSE),I9)</f>
        <v/>
      </c>
      <c r="J8" s="350">
        <f>LEFT(A8,1)</f>
        <v/>
      </c>
      <c r="K8" s="347">
        <f>"LYSE"&amp;" - "&amp;A8</f>
        <v/>
      </c>
      <c r="L8" s="347">
        <f>+VLOOKUP(K8,TL[],4,FALSE)</f>
        <v/>
      </c>
    </row>
    <row r="9">
      <c r="A9" s="348" t="inlineStr">
        <is>
          <t>635511</t>
        </is>
      </c>
      <c r="B9" s="348" t="inlineStr">
        <is>
          <t>Contribution sur boiss.sucrées</t>
        </is>
      </c>
      <c r="C9" s="348" t="n">
        <v>1243</v>
      </c>
      <c r="D9" s="348" t="inlineStr"/>
      <c r="E9" s="348" t="n">
        <v>1243</v>
      </c>
      <c r="F9" s="348" t="inlineStr"/>
      <c r="G9" s="220">
        <f>SUM(C9)-SUM(D9)</f>
        <v/>
      </c>
      <c r="H9" s="220">
        <f>SUM(E9)-SUM(F9)</f>
        <v/>
      </c>
      <c r="I9" s="221">
        <f>IF(A9="Total",VLOOKUP(B9,CORRESPONDANCE[#All],2,FALSE),I10)</f>
        <v/>
      </c>
      <c r="J9" s="350">
        <f>LEFT(A9,1)</f>
        <v/>
      </c>
      <c r="K9" s="347">
        <f>"LYSE"&amp;" - "&amp;A9</f>
        <v/>
      </c>
      <c r="L9" s="347">
        <f>+VLOOKUP(K9,TL[],4,FALSE)</f>
        <v/>
      </c>
    </row>
    <row r="10">
      <c r="A10" s="348" t="inlineStr">
        <is>
          <t>708000</t>
        </is>
      </c>
      <c r="B10" s="348" t="inlineStr">
        <is>
          <t>Remise lr service</t>
        </is>
      </c>
      <c r="C10" s="348" t="inlineStr"/>
      <c r="D10" s="348" t="n">
        <v>2444.08</v>
      </c>
      <c r="E10" s="348" t="inlineStr"/>
      <c r="F10" s="348" t="n">
        <v>2444.08</v>
      </c>
      <c r="G10" s="220">
        <f>SUM(C10)-SUM(D10)</f>
        <v/>
      </c>
      <c r="H10" s="220">
        <f>SUM(E10)-SUM(F10)</f>
        <v/>
      </c>
      <c r="I10" s="221">
        <f>IF(A10="Total",VLOOKUP(B10,CORRESPONDANCE[#All],2,FALSE),I11)</f>
        <v/>
      </c>
      <c r="J10" s="350">
        <f>LEFT(A10,1)</f>
        <v/>
      </c>
      <c r="K10" s="347">
        <f>"LYSE"&amp;" - "&amp;A10</f>
        <v/>
      </c>
      <c r="L10" s="347">
        <f>+VLOOKUP(K10,TL[],4,FALSE)</f>
        <v/>
      </c>
    </row>
    <row r="11">
      <c r="A11" s="348" t="inlineStr">
        <is>
          <t>Total</t>
        </is>
      </c>
      <c r="B11" s="348" t="inlineStr">
        <is>
          <t>Table n°2  -  Coût nourriture : achat nourriture</t>
        </is>
      </c>
      <c r="C11" s="348" t="n">
        <v>83826.46000000001</v>
      </c>
      <c r="D11" s="348" t="inlineStr"/>
      <c r="E11" s="348" t="n">
        <v>83826.46000000001</v>
      </c>
      <c r="F11" s="348" t="inlineStr"/>
      <c r="G11" s="220">
        <f>SUM(C11)-SUM(D11)</f>
        <v/>
      </c>
      <c r="H11" s="220">
        <f>SUM(E11)-SUM(F11)</f>
        <v/>
      </c>
      <c r="I11" s="221">
        <f>IF(A11="Total",VLOOKUP(B11,CORRESPONDANCE[#All],2,FALSE),I12)</f>
        <v/>
      </c>
      <c r="J11" s="350">
        <f>LEFT(A11,1)</f>
        <v/>
      </c>
      <c r="K11" s="347">
        <f>"LYSE"&amp;" - "&amp;A11</f>
        <v/>
      </c>
      <c r="L11" s="347">
        <f>+VLOOKUP(K11,TL[],4,FALSE)</f>
        <v/>
      </c>
    </row>
    <row r="12">
      <c r="A12" s="348" t="inlineStr">
        <is>
          <t>601103</t>
        </is>
      </c>
      <c r="B12" s="348" t="inlineStr">
        <is>
          <t>Repas employés</t>
        </is>
      </c>
      <c r="C12" s="348" t="n">
        <v>1513.63</v>
      </c>
      <c r="D12" s="348" t="inlineStr"/>
      <c r="E12" s="348" t="n">
        <v>1513.63</v>
      </c>
      <c r="F12" s="348" t="inlineStr"/>
      <c r="G12" s="220">
        <f>SUM(C12)-SUM(D12)</f>
        <v/>
      </c>
      <c r="H12" s="220">
        <f>SUM(E12)-SUM(F12)</f>
        <v/>
      </c>
      <c r="I12" s="221">
        <f>IF(A12="Total",VLOOKUP(B12,CORRESPONDANCE[#All],2,FALSE),I13)</f>
        <v/>
      </c>
      <c r="J12" s="350">
        <f>LEFT(A12,1)</f>
        <v/>
      </c>
      <c r="K12" s="347">
        <f>"LYSE"&amp;" - "&amp;A12</f>
        <v/>
      </c>
      <c r="L12" s="347">
        <f>+VLOOKUP(K12,TL[],4,FALSE)</f>
        <v/>
      </c>
    </row>
    <row r="13">
      <c r="A13" s="348" t="inlineStr">
        <is>
          <t>Total</t>
        </is>
      </c>
      <c r="B13" s="348" t="inlineStr">
        <is>
          <t>Table n°2  -  Repas employés</t>
        </is>
      </c>
      <c r="C13" s="348" t="n">
        <v>1513.63</v>
      </c>
      <c r="D13" s="348" t="inlineStr"/>
      <c r="E13" s="348" t="n">
        <v>1513.63</v>
      </c>
      <c r="F13" s="348" t="inlineStr"/>
      <c r="G13" s="220">
        <f>SUM(C13)-SUM(D13)</f>
        <v/>
      </c>
      <c r="H13" s="220">
        <f>SUM(E13)-SUM(F13)</f>
        <v/>
      </c>
      <c r="I13" s="221">
        <f>IF(A13="Total",VLOOKUP(B13,CORRESPONDANCE[#All],2,FALSE),I14)</f>
        <v/>
      </c>
      <c r="J13" s="350">
        <f>LEFT(A13,1)</f>
        <v/>
      </c>
      <c r="K13" s="347">
        <f>"LYSE"&amp;" - "&amp;A13</f>
        <v/>
      </c>
      <c r="L13" s="347">
        <f>+VLOOKUP(K13,TL[],4,FALSE)</f>
        <v/>
      </c>
    </row>
    <row r="14">
      <c r="A14" s="348" t="inlineStr">
        <is>
          <t>601102</t>
        </is>
      </c>
      <c r="B14" s="348" t="inlineStr">
        <is>
          <t>Déchets</t>
        </is>
      </c>
      <c r="C14" s="348" t="n">
        <v>2800.7</v>
      </c>
      <c r="D14" s="348" t="inlineStr"/>
      <c r="E14" s="348" t="n">
        <v>2800.7</v>
      </c>
      <c r="F14" s="348" t="inlineStr"/>
      <c r="G14" s="220">
        <f>SUM(C14)-SUM(D14)</f>
        <v/>
      </c>
      <c r="H14" s="220">
        <f>SUM(E14)-SUM(F14)</f>
        <v/>
      </c>
      <c r="I14" s="221">
        <f>IF(A14="Total",VLOOKUP(B14,CORRESPONDANCE[#All],2,FALSE),I15)</f>
        <v/>
      </c>
      <c r="J14" s="350">
        <f>LEFT(A14,1)</f>
        <v/>
      </c>
      <c r="K14" s="347">
        <f>"LYSE"&amp;" - "&amp;A14</f>
        <v/>
      </c>
      <c r="L14" s="347">
        <f>+VLOOKUP(K14,TL[],4,FALSE)</f>
        <v/>
      </c>
    </row>
    <row r="15">
      <c r="A15" s="348" t="inlineStr">
        <is>
          <t>Total</t>
        </is>
      </c>
      <c r="B15" s="348" t="inlineStr">
        <is>
          <t>Table n°2  -  Déchets Pertes</t>
        </is>
      </c>
      <c r="C15" s="348" t="n">
        <v>2800.7</v>
      </c>
      <c r="D15" s="348" t="inlineStr"/>
      <c r="E15" s="348" t="n">
        <v>2800.7</v>
      </c>
      <c r="F15" s="348" t="inlineStr"/>
      <c r="G15" s="220">
        <f>SUM(C15)-SUM(D15)</f>
        <v/>
      </c>
      <c r="H15" s="220">
        <f>SUM(E15)-SUM(F15)</f>
        <v/>
      </c>
      <c r="I15" s="221">
        <f>IF(A15="Total",VLOOKUP(B15,CORRESPONDANCE[#All],2,FALSE),I16)</f>
        <v/>
      </c>
      <c r="J15" s="350">
        <f>LEFT(A15,1)</f>
        <v/>
      </c>
      <c r="K15" s="347">
        <f>"LYSE"&amp;" - "&amp;A15</f>
        <v/>
      </c>
      <c r="L15" s="347">
        <f>+VLOOKUP(K15,TL[],4,FALSE)</f>
        <v/>
      </c>
    </row>
    <row r="16">
      <c r="A16" s="348" t="inlineStr">
        <is>
          <t>602201</t>
        </is>
      </c>
      <c r="B16" s="348" t="inlineStr">
        <is>
          <t>Achats emballages</t>
        </is>
      </c>
      <c r="C16" s="348" t="n">
        <v>7593</v>
      </c>
      <c r="D16" s="348" t="inlineStr"/>
      <c r="E16" s="348" t="n">
        <v>7593</v>
      </c>
      <c r="F16" s="348" t="inlineStr"/>
      <c r="G16" s="220">
        <f>SUM(C16)-SUM(D16)</f>
        <v/>
      </c>
      <c r="H16" s="220">
        <f>SUM(E16)-SUM(F16)</f>
        <v/>
      </c>
      <c r="I16" s="221">
        <f>IF(A16="Total",VLOOKUP(B16,CORRESPONDANCE[#All],2,FALSE),I17)</f>
        <v/>
      </c>
      <c r="J16" s="350">
        <f>LEFT(A16,1)</f>
        <v/>
      </c>
      <c r="K16" s="347">
        <f>"LYSE"&amp;" - "&amp;A16</f>
        <v/>
      </c>
      <c r="L16" s="347">
        <f>+VLOOKUP(K16,TL[],4,FALSE)</f>
        <v/>
      </c>
    </row>
    <row r="17">
      <c r="A17" s="348" t="inlineStr">
        <is>
          <t>603200</t>
        </is>
      </c>
      <c r="B17" s="348" t="inlineStr">
        <is>
          <t>Variat° stock paper</t>
        </is>
      </c>
      <c r="C17" s="348" t="n">
        <v>1540.39</v>
      </c>
      <c r="D17" s="348" t="inlineStr"/>
      <c r="E17" s="348" t="n">
        <v>1540.39</v>
      </c>
      <c r="F17" s="348" t="inlineStr"/>
      <c r="G17" s="220">
        <f>SUM(C17)-SUM(D17)</f>
        <v/>
      </c>
      <c r="H17" s="220">
        <f>SUM(E17)-SUM(F17)</f>
        <v/>
      </c>
      <c r="I17" s="221">
        <f>IF(A17="Total",VLOOKUP(B17,CORRESPONDANCE[#All],2,FALSE),I18)</f>
        <v/>
      </c>
      <c r="J17" s="350">
        <f>LEFT(A17,1)</f>
        <v/>
      </c>
      <c r="K17" s="347">
        <f>"LYSE"&amp;" - "&amp;A17</f>
        <v/>
      </c>
      <c r="L17" s="347">
        <f>+VLOOKUP(K17,TL[],4,FALSE)</f>
        <v/>
      </c>
    </row>
    <row r="18">
      <c r="A18" s="348" t="inlineStr">
        <is>
          <t>Total</t>
        </is>
      </c>
      <c r="B18" s="348" t="inlineStr">
        <is>
          <t>Table n°2  -  Coût emballages</t>
        </is>
      </c>
      <c r="C18" s="348" t="n">
        <v>9133.389999999999</v>
      </c>
      <c r="D18" s="348" t="inlineStr"/>
      <c r="E18" s="348" t="n">
        <v>9133.389999999999</v>
      </c>
      <c r="F18" s="348" t="inlineStr"/>
      <c r="G18" s="220">
        <f>SUM(C18)-SUM(D18)</f>
        <v/>
      </c>
      <c r="H18" s="220">
        <f>SUM(E18)-SUM(F18)</f>
        <v/>
      </c>
      <c r="I18" s="221">
        <f>IF(A18="Total",VLOOKUP(B18,CORRESPONDANCE[#All],2,FALSE),I19)</f>
        <v/>
      </c>
      <c r="J18" s="350">
        <f>LEFT(A18,1)</f>
        <v/>
      </c>
      <c r="K18" s="347">
        <f>"LYSE"&amp;" - "&amp;A18</f>
        <v/>
      </c>
      <c r="L18" s="347">
        <f>+VLOOKUP(K18,TL[],4,FALSE)</f>
        <v/>
      </c>
    </row>
    <row r="19">
      <c r="A19" s="348" t="inlineStr">
        <is>
          <t>602612</t>
        </is>
      </c>
      <c r="B19" s="348" t="inlineStr">
        <is>
          <t>Vaisselle</t>
        </is>
      </c>
      <c r="C19" s="348" t="n">
        <v>456.05</v>
      </c>
      <c r="D19" s="348" t="inlineStr"/>
      <c r="E19" s="348" t="n">
        <v>456.05</v>
      </c>
      <c r="F19" s="348" t="inlineStr"/>
      <c r="G19" s="220">
        <f>SUM(C19)-SUM(D19)</f>
        <v/>
      </c>
      <c r="H19" s="220">
        <f>SUM(E19)-SUM(F19)</f>
        <v/>
      </c>
      <c r="I19" s="221">
        <f>IF(A19="Total",VLOOKUP(B19,CORRESPONDANCE[#All],2,FALSE),I20)</f>
        <v/>
      </c>
      <c r="J19" s="350">
        <f>LEFT(A19,1)</f>
        <v/>
      </c>
      <c r="K19" s="347">
        <f>"LYSE"&amp;" - "&amp;A19</f>
        <v/>
      </c>
      <c r="L19" s="347">
        <f>+VLOOKUP(K19,TL[],4,FALSE)</f>
        <v/>
      </c>
    </row>
    <row r="20">
      <c r="A20" s="348" t="inlineStr">
        <is>
          <t>603211</t>
        </is>
      </c>
      <c r="B20" s="348" t="inlineStr">
        <is>
          <t>Variation stock vaisselle</t>
        </is>
      </c>
      <c r="C20" s="348" t="inlineStr"/>
      <c r="D20" s="348" t="n">
        <v>170.11</v>
      </c>
      <c r="E20" s="348" t="inlineStr"/>
      <c r="F20" s="348" t="n">
        <v>170.11</v>
      </c>
      <c r="G20" s="220">
        <f>SUM(C20)-SUM(D20)</f>
        <v/>
      </c>
      <c r="H20" s="220">
        <f>SUM(E20)-SUM(F20)</f>
        <v/>
      </c>
      <c r="I20" s="221">
        <f>IF(A20="Total",VLOOKUP(B20,CORRESPONDANCE[#All],2,FALSE),I21)</f>
        <v/>
      </c>
      <c r="J20" s="350">
        <f>LEFT(A20,1)</f>
        <v/>
      </c>
      <c r="K20" s="347">
        <f>"LYSE"&amp;" - "&amp;A20</f>
        <v/>
      </c>
      <c r="L20" s="347">
        <f>+VLOOKUP(K20,TL[],4,FALSE)</f>
        <v/>
      </c>
    </row>
    <row r="21">
      <c r="A21" s="348" t="inlineStr">
        <is>
          <t>Total</t>
        </is>
      </c>
      <c r="B21" s="348" t="inlineStr">
        <is>
          <t>Table n°2  -  Vaisselle réutilisable</t>
        </is>
      </c>
      <c r="C21" s="348" t="n">
        <v>285.94</v>
      </c>
      <c r="D21" s="348" t="inlineStr"/>
      <c r="E21" s="348" t="n">
        <v>285.94</v>
      </c>
      <c r="F21" s="348" t="inlineStr"/>
      <c r="G21" s="220">
        <f>SUM(C21)-SUM(D21)</f>
        <v/>
      </c>
      <c r="H21" s="220">
        <f>SUM(E21)-SUM(F21)</f>
        <v/>
      </c>
      <c r="I21" s="221">
        <f>IF(A21="Total",VLOOKUP(B21,CORRESPONDANCE[#All],2,FALSE),I22)</f>
        <v/>
      </c>
      <c r="J21" s="350">
        <f>LEFT(A21,1)</f>
        <v/>
      </c>
      <c r="K21" s="347">
        <f>"LYSE"&amp;" - "&amp;A21</f>
        <v/>
      </c>
      <c r="L21" s="347">
        <f>+VLOOKUP(K21,TL[],4,FALSE)</f>
        <v/>
      </c>
    </row>
    <row r="22">
      <c r="A22" s="348" t="inlineStr">
        <is>
          <t>641101</t>
        </is>
      </c>
      <c r="B22" s="348" t="inlineStr">
        <is>
          <t>Salaire equipiers</t>
        </is>
      </c>
      <c r="C22" s="348" t="n">
        <v>55861.46</v>
      </c>
      <c r="D22" s="348" t="inlineStr"/>
      <c r="E22" s="348" t="n">
        <v>55861.46</v>
      </c>
      <c r="F22" s="348" t="inlineStr"/>
      <c r="G22" s="220">
        <f>SUM(C22)-SUM(D22)</f>
        <v/>
      </c>
      <c r="H22" s="220">
        <f>SUM(E22)-SUM(F22)</f>
        <v/>
      </c>
      <c r="I22" s="221">
        <f>IF(A22="Total",VLOOKUP(B22,CORRESPONDANCE[#All],2,FALSE),I23)</f>
        <v/>
      </c>
      <c r="J22" s="350">
        <f>LEFT(A22,1)</f>
        <v/>
      </c>
      <c r="K22" s="347">
        <f>"LYSE"&amp;" - "&amp;A22</f>
        <v/>
      </c>
      <c r="L22" s="347">
        <f>+VLOOKUP(K22,TL[],4,FALSE)</f>
        <v/>
      </c>
    </row>
    <row r="23">
      <c r="A23" s="348" t="inlineStr">
        <is>
          <t>641200</t>
        </is>
      </c>
      <c r="B23" s="348" t="inlineStr">
        <is>
          <t>Prov conges payes equip</t>
        </is>
      </c>
      <c r="C23" s="348" t="n">
        <v>242.23</v>
      </c>
      <c r="D23" s="348" t="inlineStr"/>
      <c r="E23" s="348" t="n">
        <v>242.23</v>
      </c>
      <c r="F23" s="348" t="inlineStr"/>
      <c r="G23" s="220">
        <f>SUM(C23)-SUM(D23)</f>
        <v/>
      </c>
      <c r="H23" s="220">
        <f>SUM(E23)-SUM(F23)</f>
        <v/>
      </c>
      <c r="I23" s="221">
        <f>IF(A23="Total",VLOOKUP(B23,CORRESPONDANCE[#All],2,FALSE),I24)</f>
        <v/>
      </c>
      <c r="J23" s="350">
        <f>LEFT(A23,1)</f>
        <v/>
      </c>
      <c r="K23" s="347">
        <f>"LYSE"&amp;" - "&amp;A23</f>
        <v/>
      </c>
      <c r="L23" s="347">
        <f>+VLOOKUP(K23,TL[],4,FALSE)</f>
        <v/>
      </c>
    </row>
    <row r="24">
      <c r="A24" s="348" t="inlineStr">
        <is>
          <t>641401</t>
        </is>
      </c>
      <c r="B24" s="348" t="inlineStr">
        <is>
          <t>A.n equipiers</t>
        </is>
      </c>
      <c r="C24" s="348" t="n">
        <v>3557.46</v>
      </c>
      <c r="D24" s="348" t="inlineStr"/>
      <c r="E24" s="348" t="n">
        <v>3557.46</v>
      </c>
      <c r="F24" s="348" t="inlineStr"/>
      <c r="G24" s="220">
        <f>SUM(C24)-SUM(D24)</f>
        <v/>
      </c>
      <c r="H24" s="220">
        <f>SUM(E24)-SUM(F24)</f>
        <v/>
      </c>
      <c r="I24" s="221">
        <f>IF(A24="Total",VLOOKUP(B24,CORRESPONDANCE[#All],2,FALSE),I25)</f>
        <v/>
      </c>
      <c r="J24" s="350">
        <f>LEFT(A24,1)</f>
        <v/>
      </c>
      <c r="K24" s="347">
        <f>"LYSE"&amp;" - "&amp;A24</f>
        <v/>
      </c>
      <c r="L24" s="347">
        <f>+VLOOKUP(K24,TL[],4,FALSE)</f>
        <v/>
      </c>
    </row>
    <row r="25">
      <c r="A25" s="348" t="inlineStr">
        <is>
          <t>641411</t>
        </is>
      </c>
      <c r="B25" s="348" t="inlineStr">
        <is>
          <t>Ind blanchi equipiers</t>
        </is>
      </c>
      <c r="C25" s="348" t="n">
        <v>654.58</v>
      </c>
      <c r="D25" s="348" t="inlineStr"/>
      <c r="E25" s="348" t="n">
        <v>654.58</v>
      </c>
      <c r="F25" s="348" t="inlineStr"/>
      <c r="G25" s="220">
        <f>SUM(C25)-SUM(D25)</f>
        <v/>
      </c>
      <c r="H25" s="220">
        <f>SUM(E25)-SUM(F25)</f>
        <v/>
      </c>
      <c r="I25" s="221">
        <f>IF(A25="Total",VLOOKUP(B25,CORRESPONDANCE[#All],2,FALSE),I26)</f>
        <v/>
      </c>
      <c r="J25" s="350">
        <f>LEFT(A25,1)</f>
        <v/>
      </c>
      <c r="K25" s="347">
        <f>"LYSE"&amp;" - "&amp;A25</f>
        <v/>
      </c>
      <c r="L25" s="347">
        <f>+VLOOKUP(K25,TL[],4,FALSE)</f>
        <v/>
      </c>
    </row>
    <row r="26">
      <c r="A26" s="348" t="inlineStr">
        <is>
          <t>726100</t>
        </is>
      </c>
      <c r="B26" s="348" t="inlineStr">
        <is>
          <t>AN nourriture équipiers</t>
        </is>
      </c>
      <c r="C26" s="348" t="inlineStr"/>
      <c r="D26" s="348" t="n">
        <v>3557.46</v>
      </c>
      <c r="E26" s="348" t="inlineStr"/>
      <c r="F26" s="348" t="n">
        <v>3557.46</v>
      </c>
      <c r="G26" s="220">
        <f>SUM(C26)-SUM(D26)</f>
        <v/>
      </c>
      <c r="H26" s="220">
        <f>SUM(E26)-SUM(F26)</f>
        <v/>
      </c>
      <c r="I26" s="221">
        <f>IF(A26="Total",VLOOKUP(B26,CORRESPONDANCE[#All],2,FALSE),I27)</f>
        <v/>
      </c>
      <c r="J26" s="350">
        <f>LEFT(A26,1)</f>
        <v/>
      </c>
      <c r="K26" s="347">
        <f>"LYSE"&amp;" - "&amp;A26</f>
        <v/>
      </c>
      <c r="L26" s="347">
        <f>+VLOOKUP(K26,TL[],4,FALSE)</f>
        <v/>
      </c>
    </row>
    <row r="27">
      <c r="A27" s="348" t="inlineStr">
        <is>
          <t>Total</t>
        </is>
      </c>
      <c r="B27" s="348" t="inlineStr">
        <is>
          <t>Table n°2  -  Main d'œuvre brute équipiers</t>
        </is>
      </c>
      <c r="C27" s="348" t="n">
        <v>56758.27</v>
      </c>
      <c r="D27" s="348" t="inlineStr"/>
      <c r="E27" s="348" t="n">
        <v>56758.27</v>
      </c>
      <c r="F27" s="348" t="inlineStr"/>
      <c r="G27" s="220">
        <f>SUM(C27)-SUM(D27)</f>
        <v/>
      </c>
      <c r="H27" s="220">
        <f>SUM(E27)-SUM(F27)</f>
        <v/>
      </c>
      <c r="I27" s="221">
        <f>IF(A27="Total",VLOOKUP(B27,CORRESPONDANCE[#All],2,FALSE),I28)</f>
        <v/>
      </c>
      <c r="J27" s="350">
        <f>LEFT(A27,1)</f>
        <v/>
      </c>
      <c r="K27" s="347">
        <f>"LYSE"&amp;" - "&amp;A27</f>
        <v/>
      </c>
      <c r="L27" s="347">
        <f>+VLOOKUP(K27,TL[],4,FALSE)</f>
        <v/>
      </c>
    </row>
    <row r="28">
      <c r="A28" s="348" t="inlineStr">
        <is>
          <t>645041</t>
        </is>
      </c>
      <c r="B28" s="348" t="inlineStr">
        <is>
          <t>Mutuelle equipiers</t>
        </is>
      </c>
      <c r="C28" s="348" t="n">
        <v>377.77</v>
      </c>
      <c r="D28" s="348" t="inlineStr"/>
      <c r="E28" s="348" t="n">
        <v>377.77</v>
      </c>
      <c r="F28" s="348" t="inlineStr"/>
      <c r="G28" s="220">
        <f>SUM(C28)-SUM(D28)</f>
        <v/>
      </c>
      <c r="H28" s="220">
        <f>SUM(E28)-SUM(F28)</f>
        <v/>
      </c>
      <c r="I28" s="221">
        <f>IF(A28="Total",VLOOKUP(B28,CORRESPONDANCE[#All],2,FALSE),I29)</f>
        <v/>
      </c>
      <c r="J28" s="350">
        <f>LEFT(A28,1)</f>
        <v/>
      </c>
      <c r="K28" s="347">
        <f>"LYSE"&amp;" - "&amp;A28</f>
        <v/>
      </c>
      <c r="L28" s="347">
        <f>+VLOOKUP(K28,TL[],4,FALSE)</f>
        <v/>
      </c>
    </row>
    <row r="29">
      <c r="A29" s="348" t="inlineStr">
        <is>
          <t>645101</t>
        </is>
      </c>
      <c r="B29" s="348" t="inlineStr">
        <is>
          <t>Urssaf equipiers</t>
        </is>
      </c>
      <c r="C29" s="348" t="n">
        <v>4717.53</v>
      </c>
      <c r="D29" s="348" t="inlineStr"/>
      <c r="E29" s="348" t="n">
        <v>4717.53</v>
      </c>
      <c r="F29" s="348" t="inlineStr"/>
      <c r="G29" s="220">
        <f>SUM(C29)-SUM(D29)</f>
        <v/>
      </c>
      <c r="H29" s="220">
        <f>SUM(E29)-SUM(F29)</f>
        <v/>
      </c>
      <c r="I29" s="221">
        <f>IF(A29="Total",VLOOKUP(B29,CORRESPONDANCE[#All],2,FALSE),I30)</f>
        <v/>
      </c>
      <c r="J29" s="350">
        <f>LEFT(A29,1)</f>
        <v/>
      </c>
      <c r="K29" s="347">
        <f>"LYSE"&amp;" - "&amp;A29</f>
        <v/>
      </c>
      <c r="L29" s="347">
        <f>+VLOOKUP(K29,TL[],4,FALSE)</f>
        <v/>
      </c>
    </row>
    <row r="30">
      <c r="A30" s="348" t="inlineStr">
        <is>
          <t>645301</t>
        </is>
      </c>
      <c r="B30" s="348" t="inlineStr">
        <is>
          <t>Retraite et prev equipiers</t>
        </is>
      </c>
      <c r="C30" s="348" t="n">
        <v>1580.66</v>
      </c>
      <c r="D30" s="348" t="inlineStr"/>
      <c r="E30" s="348" t="n">
        <v>1580.66</v>
      </c>
      <c r="F30" s="348" t="inlineStr"/>
      <c r="G30" s="220">
        <f>SUM(C30)-SUM(D30)</f>
        <v/>
      </c>
      <c r="H30" s="220">
        <f>SUM(E30)-SUM(F30)</f>
        <v/>
      </c>
      <c r="I30" s="221">
        <f>IF(A30="Total",VLOOKUP(B30,CORRESPONDANCE[#All],2,FALSE),I31)</f>
        <v/>
      </c>
      <c r="J30" s="350">
        <f>LEFT(A30,1)</f>
        <v/>
      </c>
      <c r="K30" s="347">
        <f>"LYSE"&amp;" - "&amp;A30</f>
        <v/>
      </c>
      <c r="L30" s="347">
        <f>+VLOOKUP(K30,TL[],4,FALSE)</f>
        <v/>
      </c>
    </row>
    <row r="31">
      <c r="A31" s="348" t="inlineStr">
        <is>
          <t>645401</t>
        </is>
      </c>
      <c r="B31" s="348" t="inlineStr">
        <is>
          <t>Pole emploi equipiers</t>
        </is>
      </c>
      <c r="C31" s="348" t="n">
        <v>1918.78</v>
      </c>
      <c r="D31" s="348" t="inlineStr"/>
      <c r="E31" s="348" t="n">
        <v>1918.78</v>
      </c>
      <c r="F31" s="348" t="inlineStr"/>
      <c r="G31" s="220">
        <f>SUM(C31)-SUM(D31)</f>
        <v/>
      </c>
      <c r="H31" s="220">
        <f>SUM(E31)-SUM(F31)</f>
        <v/>
      </c>
      <c r="I31" s="221">
        <f>IF(A31="Total",VLOOKUP(B31,CORRESPONDANCE[#All],2,FALSE),I32)</f>
        <v/>
      </c>
      <c r="J31" s="350">
        <f>LEFT(A31,1)</f>
        <v/>
      </c>
      <c r="K31" s="347">
        <f>"LYSE"&amp;" - "&amp;A31</f>
        <v/>
      </c>
      <c r="L31" s="347">
        <f>+VLOOKUP(K31,TL[],4,FALSE)</f>
        <v/>
      </c>
    </row>
    <row r="32">
      <c r="A32" s="348" t="inlineStr">
        <is>
          <t>645800</t>
        </is>
      </c>
      <c r="B32" s="348" t="inlineStr">
        <is>
          <t>Ch.soc./cp equipiers</t>
        </is>
      </c>
      <c r="C32" s="348" t="inlineStr"/>
      <c r="D32" s="348" t="n">
        <v>19.25</v>
      </c>
      <c r="E32" s="348" t="inlineStr"/>
      <c r="F32" s="348" t="n">
        <v>19.25</v>
      </c>
      <c r="G32" s="220">
        <f>SUM(C32)-SUM(D32)</f>
        <v/>
      </c>
      <c r="H32" s="220">
        <f>SUM(E32)-SUM(F32)</f>
        <v/>
      </c>
      <c r="I32" s="221">
        <f>IF(A32="Total",VLOOKUP(B32,CORRESPONDANCE[#All],2,FALSE),I33)</f>
        <v/>
      </c>
      <c r="J32" s="350">
        <f>LEFT(A32,1)</f>
        <v/>
      </c>
      <c r="K32" s="347">
        <f>"LYSE"&amp;" - "&amp;A32</f>
        <v/>
      </c>
      <c r="L32" s="347">
        <f>+VLOOKUP(K32,TL[],4,FALSE)</f>
        <v/>
      </c>
    </row>
    <row r="33">
      <c r="A33" s="348" t="inlineStr">
        <is>
          <t>Total</t>
        </is>
      </c>
      <c r="B33" s="348" t="inlineStr">
        <is>
          <t>Table n°2  -  Charges sociales équipiers</t>
        </is>
      </c>
      <c r="C33" s="348" t="n">
        <v>8575.49</v>
      </c>
      <c r="D33" s="348" t="inlineStr"/>
      <c r="E33" s="348" t="n">
        <v>8575.49</v>
      </c>
      <c r="F33" s="348" t="inlineStr"/>
      <c r="G33" s="220">
        <f>SUM(C33)-SUM(D33)</f>
        <v/>
      </c>
      <c r="H33" s="220">
        <f>SUM(E33)-SUM(F33)</f>
        <v/>
      </c>
      <c r="I33" s="221">
        <f>IF(A33="Total",VLOOKUP(B33,CORRESPONDANCE[#All],2,FALSE),I34)</f>
        <v/>
      </c>
      <c r="J33" s="350">
        <f>LEFT(A33,1)</f>
        <v/>
      </c>
      <c r="K33" s="347">
        <f>"LYSE"&amp;" - "&amp;A33</f>
        <v/>
      </c>
      <c r="L33" s="347">
        <f>+VLOOKUP(K33,TL[],4,FALSE)</f>
        <v/>
      </c>
    </row>
    <row r="34">
      <c r="A34" s="348" t="inlineStr">
        <is>
          <t>641104</t>
        </is>
      </c>
      <c r="B34" s="348" t="inlineStr">
        <is>
          <t>Salaire managers</t>
        </is>
      </c>
      <c r="C34" s="348" t="n">
        <v>16189.49</v>
      </c>
      <c r="D34" s="348" t="inlineStr"/>
      <c r="E34" s="348" t="n">
        <v>16189.49</v>
      </c>
      <c r="F34" s="348" t="inlineStr"/>
      <c r="G34" s="220">
        <f>SUM(C34)-SUM(D34)</f>
        <v/>
      </c>
      <c r="H34" s="220">
        <f>SUM(E34)-SUM(F34)</f>
        <v/>
      </c>
      <c r="I34" s="221">
        <f>IF(A34="Total",VLOOKUP(B34,CORRESPONDANCE[#All],2,FALSE),I35)</f>
        <v/>
      </c>
      <c r="J34" s="350">
        <f>LEFT(A34,1)</f>
        <v/>
      </c>
      <c r="K34" s="347">
        <f>"LYSE"&amp;" - "&amp;A34</f>
        <v/>
      </c>
      <c r="L34" s="347">
        <f>+VLOOKUP(K34,TL[],4,FALSE)</f>
        <v/>
      </c>
    </row>
    <row r="35">
      <c r="A35" s="348" t="inlineStr">
        <is>
          <t>641210</t>
        </is>
      </c>
      <c r="B35" s="348" t="inlineStr">
        <is>
          <t>Prov congés payés mgr</t>
        </is>
      </c>
      <c r="C35" s="348" t="inlineStr"/>
      <c r="D35" s="348" t="n">
        <v>4334.47</v>
      </c>
      <c r="E35" s="348" t="inlineStr"/>
      <c r="F35" s="348" t="n">
        <v>4334.47</v>
      </c>
      <c r="G35" s="220">
        <f>SUM(C35)-SUM(D35)</f>
        <v/>
      </c>
      <c r="H35" s="220">
        <f>SUM(E35)-SUM(F35)</f>
        <v/>
      </c>
      <c r="I35" s="221">
        <f>IF(A35="Total",VLOOKUP(B35,CORRESPONDANCE[#All],2,FALSE),I36)</f>
        <v/>
      </c>
      <c r="J35" s="350">
        <f>LEFT(A35,1)</f>
        <v/>
      </c>
      <c r="K35" s="347">
        <f>"LYSE"&amp;" - "&amp;A35</f>
        <v/>
      </c>
      <c r="L35" s="347">
        <f>+VLOOKUP(K35,TL[],4,FALSE)</f>
        <v/>
      </c>
    </row>
    <row r="36">
      <c r="A36" s="348" t="inlineStr">
        <is>
          <t>641404</t>
        </is>
      </c>
      <c r="B36" s="348" t="inlineStr">
        <is>
          <t>A.n. managers</t>
        </is>
      </c>
      <c r="C36" s="348" t="n">
        <v>286.96</v>
      </c>
      <c r="D36" s="348" t="inlineStr"/>
      <c r="E36" s="348" t="n">
        <v>286.96</v>
      </c>
      <c r="F36" s="348" t="inlineStr"/>
      <c r="G36" s="220">
        <f>SUM(C36)-SUM(D36)</f>
        <v/>
      </c>
      <c r="H36" s="220">
        <f>SUM(E36)-SUM(F36)</f>
        <v/>
      </c>
      <c r="I36" s="221">
        <f>IF(A36="Total",VLOOKUP(B36,CORRESPONDANCE[#All],2,FALSE),I37)</f>
        <v/>
      </c>
      <c r="J36" s="350">
        <f>LEFT(A36,1)</f>
        <v/>
      </c>
      <c r="K36" s="347">
        <f>"LYSE"&amp;" - "&amp;A36</f>
        <v/>
      </c>
      <c r="L36" s="347">
        <f>+VLOOKUP(K36,TL[],4,FALSE)</f>
        <v/>
      </c>
    </row>
    <row r="37">
      <c r="A37" s="348" t="inlineStr">
        <is>
          <t>641414</t>
        </is>
      </c>
      <c r="B37" s="348" t="inlineStr">
        <is>
          <t>Ind blanchiss managers</t>
        </is>
      </c>
      <c r="C37" s="348" t="n">
        <v>121.83</v>
      </c>
      <c r="D37" s="348" t="inlineStr"/>
      <c r="E37" s="348" t="n">
        <v>121.83</v>
      </c>
      <c r="F37" s="348" t="inlineStr"/>
      <c r="G37" s="220">
        <f>SUM(C37)-SUM(D37)</f>
        <v/>
      </c>
      <c r="H37" s="220">
        <f>SUM(E37)-SUM(F37)</f>
        <v/>
      </c>
      <c r="I37" s="221">
        <f>IF(A37="Total",VLOOKUP(B37,CORRESPONDANCE[#All],2,FALSE),I38)</f>
        <v/>
      </c>
      <c r="J37" s="350">
        <f>LEFT(A37,1)</f>
        <v/>
      </c>
      <c r="K37" s="347">
        <f>"LYSE"&amp;" - "&amp;A37</f>
        <v/>
      </c>
      <c r="L37" s="347">
        <f>+VLOOKUP(K37,TL[],4,FALSE)</f>
        <v/>
      </c>
    </row>
    <row r="38">
      <c r="A38" s="348" t="inlineStr">
        <is>
          <t>726110</t>
        </is>
      </c>
      <c r="B38" s="348" t="inlineStr">
        <is>
          <t>AN nourriture Managers</t>
        </is>
      </c>
      <c r="C38" s="348" t="inlineStr"/>
      <c r="D38" s="348" t="n">
        <v>286.96</v>
      </c>
      <c r="E38" s="348" t="inlineStr"/>
      <c r="F38" s="348" t="n">
        <v>286.96</v>
      </c>
      <c r="G38" s="220">
        <f>SUM(C38)-SUM(D38)</f>
        <v/>
      </c>
      <c r="H38" s="220">
        <f>SUM(E38)-SUM(F38)</f>
        <v/>
      </c>
      <c r="I38" s="221">
        <f>IF(A38="Total",VLOOKUP(B38,CORRESPONDANCE[#All],2,FALSE),I39)</f>
        <v/>
      </c>
      <c r="J38" s="350">
        <f>LEFT(A38,1)</f>
        <v/>
      </c>
      <c r="K38" s="347">
        <f>"LYSE"&amp;" - "&amp;A38</f>
        <v/>
      </c>
      <c r="L38" s="347">
        <f>+VLOOKUP(K38,TL[],4,FALSE)</f>
        <v/>
      </c>
    </row>
    <row r="39">
      <c r="A39" s="348" t="inlineStr">
        <is>
          <t>Total</t>
        </is>
      </c>
      <c r="B39" s="348" t="inlineStr">
        <is>
          <t>Table n°2  -  Main d'œuvre brute équipe de gestio</t>
        </is>
      </c>
      <c r="C39" s="348" t="n">
        <v>11976.85</v>
      </c>
      <c r="D39" s="348" t="inlineStr"/>
      <c r="E39" s="348" t="n">
        <v>11976.85</v>
      </c>
      <c r="F39" s="348" t="inlineStr"/>
      <c r="G39" s="220">
        <f>SUM(C39)-SUM(D39)</f>
        <v/>
      </c>
      <c r="H39" s="220">
        <f>SUM(E39)-SUM(F39)</f>
        <v/>
      </c>
      <c r="I39" s="221">
        <f>IF(A39="Total",VLOOKUP(B39,CORRESPONDANCE[#All],2,FALSE),I40)</f>
        <v/>
      </c>
      <c r="J39" s="350">
        <f>LEFT(A39,1)</f>
        <v/>
      </c>
      <c r="K39" s="347">
        <f>"LYSE"&amp;" - "&amp;A39</f>
        <v/>
      </c>
      <c r="L39" s="347">
        <f>+VLOOKUP(K39,TL[],4,FALSE)</f>
        <v/>
      </c>
    </row>
    <row r="40">
      <c r="A40" s="348" t="inlineStr">
        <is>
          <t>645044</t>
        </is>
      </c>
      <c r="B40" s="348" t="inlineStr">
        <is>
          <t>Mutuelle managers</t>
        </is>
      </c>
      <c r="C40" s="348" t="n">
        <v>92.47</v>
      </c>
      <c r="D40" s="348" t="inlineStr"/>
      <c r="E40" s="348" t="n">
        <v>92.47</v>
      </c>
      <c r="F40" s="348" t="inlineStr"/>
      <c r="G40" s="220">
        <f>SUM(C40)-SUM(D40)</f>
        <v/>
      </c>
      <c r="H40" s="220">
        <f>SUM(E40)-SUM(F40)</f>
        <v/>
      </c>
      <c r="I40" s="221">
        <f>IF(A40="Total",VLOOKUP(B40,CORRESPONDANCE[#All],2,FALSE),I41)</f>
        <v/>
      </c>
      <c r="J40" s="350">
        <f>LEFT(A40,1)</f>
        <v/>
      </c>
      <c r="K40" s="347">
        <f>"LYSE"&amp;" - "&amp;A40</f>
        <v/>
      </c>
      <c r="L40" s="347">
        <f>+VLOOKUP(K40,TL[],4,FALSE)</f>
        <v/>
      </c>
    </row>
    <row r="41">
      <c r="A41" s="348" t="inlineStr">
        <is>
          <t>645104</t>
        </is>
      </c>
      <c r="B41" s="348" t="inlineStr">
        <is>
          <t>Urssaf mgr</t>
        </is>
      </c>
      <c r="C41" s="348" t="inlineStr"/>
      <c r="D41" s="348" t="n">
        <v>809.16</v>
      </c>
      <c r="E41" s="348" t="inlineStr"/>
      <c r="F41" s="348" t="n">
        <v>809.16</v>
      </c>
      <c r="G41" s="220">
        <f>SUM(C41)-SUM(D41)</f>
        <v/>
      </c>
      <c r="H41" s="220">
        <f>SUM(E41)-SUM(F41)</f>
        <v/>
      </c>
      <c r="I41" s="221">
        <f>IF(A41="Total",VLOOKUP(B41,CORRESPONDANCE[#All],2,FALSE),I42)</f>
        <v/>
      </c>
      <c r="J41" s="350">
        <f>LEFT(A41,1)</f>
        <v/>
      </c>
      <c r="K41" s="347">
        <f>"LYSE"&amp;" - "&amp;A41</f>
        <v/>
      </c>
      <c r="L41" s="347">
        <f>+VLOOKUP(K41,TL[],4,FALSE)</f>
        <v/>
      </c>
    </row>
    <row r="42">
      <c r="A42" s="348" t="inlineStr">
        <is>
          <t>645304</t>
        </is>
      </c>
      <c r="B42" s="348" t="inlineStr">
        <is>
          <t>Retraite et prev managers</t>
        </is>
      </c>
      <c r="C42" s="348" t="n">
        <v>3248.52</v>
      </c>
      <c r="D42" s="348" t="inlineStr"/>
      <c r="E42" s="348" t="n">
        <v>3248.52</v>
      </c>
      <c r="F42" s="348" t="inlineStr"/>
      <c r="G42" s="220">
        <f>SUM(C42)-SUM(D42)</f>
        <v/>
      </c>
      <c r="H42" s="220">
        <f>SUM(E42)-SUM(F42)</f>
        <v/>
      </c>
      <c r="I42" s="221">
        <f>IF(A42="Total",VLOOKUP(B42,CORRESPONDANCE[#All],2,FALSE),I43)</f>
        <v/>
      </c>
      <c r="J42" s="350">
        <f>LEFT(A42,1)</f>
        <v/>
      </c>
      <c r="K42" s="347">
        <f>"LYSE"&amp;" - "&amp;A42</f>
        <v/>
      </c>
      <c r="L42" s="347">
        <f>+VLOOKUP(K42,TL[],4,FALSE)</f>
        <v/>
      </c>
    </row>
    <row r="43">
      <c r="A43" s="348" t="inlineStr">
        <is>
          <t>645404</t>
        </is>
      </c>
      <c r="B43" s="348" t="inlineStr">
        <is>
          <t>Pole emploi mgr</t>
        </is>
      </c>
      <c r="C43" s="348" t="n">
        <v>937.54</v>
      </c>
      <c r="D43" s="348" t="inlineStr"/>
      <c r="E43" s="348" t="n">
        <v>937.54</v>
      </c>
      <c r="F43" s="348" t="inlineStr"/>
      <c r="G43" s="220">
        <f>SUM(C43)-SUM(D43)</f>
        <v/>
      </c>
      <c r="H43" s="220">
        <f>SUM(E43)-SUM(F43)</f>
        <v/>
      </c>
      <c r="I43" s="221">
        <f>IF(A43="Total",VLOOKUP(B43,CORRESPONDANCE[#All],2,FALSE),I44)</f>
        <v/>
      </c>
      <c r="J43" s="350">
        <f>LEFT(A43,1)</f>
        <v/>
      </c>
      <c r="K43" s="347">
        <f>"LYSE"&amp;" - "&amp;A43</f>
        <v/>
      </c>
      <c r="L43" s="347">
        <f>+VLOOKUP(K43,TL[],4,FALSE)</f>
        <v/>
      </c>
    </row>
    <row r="44">
      <c r="A44" s="348" t="inlineStr">
        <is>
          <t>645810</t>
        </is>
      </c>
      <c r="B44" s="348" t="inlineStr">
        <is>
          <t>Ch.soc./cp managers</t>
        </is>
      </c>
      <c r="C44" s="348" t="inlineStr"/>
      <c r="D44" s="348" t="n">
        <v>2008.72</v>
      </c>
      <c r="E44" s="348" t="inlineStr"/>
      <c r="F44" s="348" t="n">
        <v>2008.72</v>
      </c>
      <c r="G44" s="220">
        <f>SUM(C44)-SUM(D44)</f>
        <v/>
      </c>
      <c r="H44" s="220">
        <f>SUM(E44)-SUM(F44)</f>
        <v/>
      </c>
      <c r="I44" s="221">
        <f>IF(A44="Total",VLOOKUP(B44,CORRESPONDANCE[#All],2,FALSE),I45)</f>
        <v/>
      </c>
      <c r="J44" s="350">
        <f>LEFT(A44,1)</f>
        <v/>
      </c>
      <c r="K44" s="347">
        <f>"LYSE"&amp;" - "&amp;A44</f>
        <v/>
      </c>
      <c r="L44" s="347">
        <f>+VLOOKUP(K44,TL[],4,FALSE)</f>
        <v/>
      </c>
    </row>
    <row r="45">
      <c r="A45" s="348" t="inlineStr">
        <is>
          <t>Total</t>
        </is>
      </c>
      <c r="B45" s="348" t="inlineStr">
        <is>
          <t>Table n°2  -  Charges sociales équipe de gestion</t>
        </is>
      </c>
      <c r="C45" s="348" t="n">
        <v>1460.65</v>
      </c>
      <c r="D45" s="348" t="inlineStr"/>
      <c r="E45" s="348" t="n">
        <v>1460.65</v>
      </c>
      <c r="F45" s="348" t="inlineStr"/>
      <c r="G45" s="220">
        <f>SUM(C45)-SUM(D45)</f>
        <v/>
      </c>
      <c r="H45" s="220">
        <f>SUM(E45)-SUM(F45)</f>
        <v/>
      </c>
      <c r="I45" s="221">
        <f>IF(A45="Total",VLOOKUP(B45,CORRESPONDANCE[#All],2,FALSE),I46)</f>
        <v/>
      </c>
      <c r="J45" s="350">
        <f>LEFT(A45,1)</f>
        <v/>
      </c>
      <c r="K45" s="347">
        <f>"LYSE"&amp;" - "&amp;A45</f>
        <v/>
      </c>
      <c r="L45" s="347">
        <f>+VLOOKUP(K45,TL[],4,FALSE)</f>
        <v/>
      </c>
    </row>
    <row r="46">
      <c r="A46" s="348" t="inlineStr">
        <is>
          <t>641112</t>
        </is>
      </c>
      <c r="B46" s="348" t="inlineStr">
        <is>
          <t>Indem rupture convent managers</t>
        </is>
      </c>
      <c r="C46" s="348" t="inlineStr"/>
      <c r="D46" s="348" t="inlineStr"/>
      <c r="E46" s="348" t="inlineStr"/>
      <c r="F46" s="348" t="inlineStr"/>
      <c r="G46" s="220">
        <f>SUM(C46)-SUM(D46)</f>
        <v/>
      </c>
      <c r="H46" s="220">
        <f>SUM(E46)-SUM(F46)</f>
        <v/>
      </c>
      <c r="I46" s="221">
        <f>IF(A46="Total",VLOOKUP(B46,CORRESPONDANCE[#All],2,FALSE),I47)</f>
        <v/>
      </c>
      <c r="J46" s="350">
        <f>LEFT(A46,1)</f>
        <v/>
      </c>
      <c r="K46" s="347">
        <f>"LYSE"&amp;" - "&amp;A46</f>
        <v/>
      </c>
      <c r="L46" s="347">
        <f>+VLOOKUP(K46,TL[],4,FALSE)</f>
        <v/>
      </c>
    </row>
    <row r="47">
      <c r="A47" s="348" t="inlineStr">
        <is>
          <t>Total</t>
        </is>
      </c>
      <c r="B47" s="348" t="inlineStr">
        <is>
          <t>Table n°2  -  Divers MO</t>
        </is>
      </c>
      <c r="C47" s="348" t="inlineStr"/>
      <c r="D47" s="348" t="inlineStr"/>
      <c r="E47" s="348" t="inlineStr"/>
      <c r="F47" s="348" t="inlineStr"/>
      <c r="G47" s="220">
        <f>SUM(C47)-SUM(D47)</f>
        <v/>
      </c>
      <c r="H47" s="220">
        <f>SUM(E47)-SUM(F47)</f>
        <v/>
      </c>
      <c r="I47" s="221">
        <f>IF(A47="Total",VLOOKUP(B47,CORRESPONDANCE[#All],2,FALSE),I48)</f>
        <v/>
      </c>
      <c r="J47" s="350">
        <f>LEFT(A47,1)</f>
        <v/>
      </c>
      <c r="K47" s="347">
        <f>"LYSE"&amp;" - "&amp;A47</f>
        <v/>
      </c>
      <c r="L47" s="347">
        <f>+VLOOKUP(K47,TL[],4,FALSE)</f>
        <v/>
      </c>
    </row>
    <row r="48">
      <c r="A48" s="348" t="inlineStr">
        <is>
          <t>615210</t>
        </is>
      </c>
      <c r="B48" s="348" t="inlineStr">
        <is>
          <t>Entretien vitres</t>
        </is>
      </c>
      <c r="C48" s="348" t="n">
        <v>319.88</v>
      </c>
      <c r="D48" s="348" t="inlineStr"/>
      <c r="E48" s="348" t="n">
        <v>319.88</v>
      </c>
      <c r="F48" s="348" t="inlineStr"/>
      <c r="G48" s="220">
        <f>SUM(C48)-SUM(D48)</f>
        <v/>
      </c>
      <c r="H48" s="220">
        <f>SUM(E48)-SUM(F48)</f>
        <v/>
      </c>
      <c r="I48" s="221">
        <f>IF(A48="Total",VLOOKUP(B48,CORRESPONDANCE[#All],2,FALSE),I49)</f>
        <v/>
      </c>
      <c r="J48" s="350">
        <f>LEFT(A48,1)</f>
        <v/>
      </c>
      <c r="K48" s="347">
        <f>"LYSE"&amp;" - "&amp;A48</f>
        <v/>
      </c>
      <c r="L48" s="347">
        <f>+VLOOKUP(K48,TL[],4,FALSE)</f>
        <v/>
      </c>
    </row>
    <row r="49">
      <c r="A49" s="348" t="inlineStr">
        <is>
          <t>615212</t>
        </is>
      </c>
      <c r="B49" s="348" t="inlineStr">
        <is>
          <t>Nettoyage restaurant</t>
        </is>
      </c>
      <c r="C49" s="348" t="n">
        <v>8700</v>
      </c>
      <c r="D49" s="348" t="inlineStr"/>
      <c r="E49" s="348" t="n">
        <v>8700</v>
      </c>
      <c r="F49" s="348" t="inlineStr"/>
      <c r="G49" s="220">
        <f>SUM(C49)-SUM(D49)</f>
        <v/>
      </c>
      <c r="H49" s="220">
        <f>SUM(E49)-SUM(F49)</f>
        <v/>
      </c>
      <c r="I49" s="221">
        <f>IF(A49="Total",VLOOKUP(B49,CORRESPONDANCE[#All],2,FALSE),I50)</f>
        <v/>
      </c>
      <c r="J49" s="350">
        <f>LEFT(A49,1)</f>
        <v/>
      </c>
      <c r="K49" s="347">
        <f>"LYSE"&amp;" - "&amp;A49</f>
        <v/>
      </c>
      <c r="L49" s="347">
        <f>+VLOOKUP(K49,TL[],4,FALSE)</f>
        <v/>
      </c>
    </row>
    <row r="50">
      <c r="A50" s="348" t="inlineStr">
        <is>
          <t>615615</t>
        </is>
      </c>
      <c r="B50" s="348" t="inlineStr">
        <is>
          <t>Rld - linge</t>
        </is>
      </c>
      <c r="C50" s="348" t="n">
        <v>59.01</v>
      </c>
      <c r="D50" s="348" t="inlineStr"/>
      <c r="E50" s="348" t="n">
        <v>59.01</v>
      </c>
      <c r="F50" s="348" t="inlineStr"/>
      <c r="G50" s="220">
        <f>SUM(C50)-SUM(D50)</f>
        <v/>
      </c>
      <c r="H50" s="220">
        <f>SUM(E50)-SUM(F50)</f>
        <v/>
      </c>
      <c r="I50" s="221">
        <f>IF(A50="Total",VLOOKUP(B50,CORRESPONDANCE[#All],2,FALSE),I51)</f>
        <v/>
      </c>
      <c r="J50" s="350">
        <f>LEFT(A50,1)</f>
        <v/>
      </c>
      <c r="K50" s="347">
        <f>"LYSE"&amp;" - "&amp;A50</f>
        <v/>
      </c>
      <c r="L50" s="347">
        <f>+VLOOKUP(K50,TL[],4,FALSE)</f>
        <v/>
      </c>
    </row>
    <row r="51">
      <c r="A51" s="348" t="inlineStr">
        <is>
          <t>Total</t>
        </is>
      </c>
      <c r="B51" s="348" t="inlineStr">
        <is>
          <t>Table n°2  -  Nettoyage</t>
        </is>
      </c>
      <c r="C51" s="348" t="n">
        <v>9078.889999999999</v>
      </c>
      <c r="D51" s="348" t="inlineStr"/>
      <c r="E51" s="348" t="n">
        <v>9078.889999999999</v>
      </c>
      <c r="F51" s="348" t="inlineStr"/>
      <c r="G51" s="220">
        <f>SUM(C51)-SUM(D51)</f>
        <v/>
      </c>
      <c r="H51" s="220">
        <f>SUM(E51)-SUM(F51)</f>
        <v/>
      </c>
      <c r="I51" s="221">
        <f>IF(A51="Total",VLOOKUP(B51,CORRESPONDANCE[#All],2,FALSE),I52)</f>
        <v/>
      </c>
      <c r="J51" s="350">
        <f>LEFT(A51,1)</f>
        <v/>
      </c>
      <c r="K51" s="347">
        <f>"LYSE"&amp;" - "&amp;A51</f>
        <v/>
      </c>
      <c r="L51" s="347">
        <f>+VLOOKUP(K51,TL[],4,FALSE)</f>
        <v/>
      </c>
    </row>
    <row r="52">
      <c r="A52" s="348" t="inlineStr">
        <is>
          <t>615620</t>
        </is>
      </c>
      <c r="B52" s="348" t="inlineStr">
        <is>
          <t>Télésurveillance</t>
        </is>
      </c>
      <c r="C52" s="348" t="n">
        <v>449</v>
      </c>
      <c r="D52" s="348" t="inlineStr"/>
      <c r="E52" s="348" t="n">
        <v>449</v>
      </c>
      <c r="F52" s="348" t="inlineStr"/>
      <c r="G52" s="220">
        <f>SUM(C52)-SUM(D52)</f>
        <v/>
      </c>
      <c r="H52" s="220">
        <f>SUM(E52)-SUM(F52)</f>
        <v/>
      </c>
      <c r="I52" s="221">
        <f>IF(A52="Total",VLOOKUP(B52,CORRESPONDANCE[#All],2,FALSE),I53)</f>
        <v/>
      </c>
      <c r="J52" s="350">
        <f>LEFT(A52,1)</f>
        <v/>
      </c>
      <c r="K52" s="347">
        <f>"LYSE"&amp;" - "&amp;A52</f>
        <v/>
      </c>
      <c r="L52" s="347">
        <f>+VLOOKUP(K52,TL[],4,FALSE)</f>
        <v/>
      </c>
    </row>
    <row r="53">
      <c r="A53" s="348" t="inlineStr">
        <is>
          <t>615628</t>
        </is>
      </c>
      <c r="B53" s="348" t="inlineStr">
        <is>
          <t>Contrat eryma alarme</t>
        </is>
      </c>
      <c r="C53" s="348" t="n">
        <v>71.23</v>
      </c>
      <c r="D53" s="348" t="inlineStr"/>
      <c r="E53" s="348" t="n">
        <v>71.23</v>
      </c>
      <c r="F53" s="348" t="inlineStr"/>
      <c r="G53" s="220">
        <f>SUM(C53)-SUM(D53)</f>
        <v/>
      </c>
      <c r="H53" s="220">
        <f>SUM(E53)-SUM(F53)</f>
        <v/>
      </c>
      <c r="I53" s="221">
        <f>IF(A53="Total",VLOOKUP(B53,CORRESPONDANCE[#All],2,FALSE),I54)</f>
        <v/>
      </c>
      <c r="J53" s="350">
        <f>LEFT(A53,1)</f>
        <v/>
      </c>
      <c r="K53" s="347">
        <f>"LYSE"&amp;" - "&amp;A53</f>
        <v/>
      </c>
      <c r="L53" s="347">
        <f>+VLOOKUP(K53,TL[],4,FALSE)</f>
        <v/>
      </c>
    </row>
    <row r="54">
      <c r="A54" s="348" t="inlineStr">
        <is>
          <t>Total</t>
        </is>
      </c>
      <c r="B54" s="348" t="inlineStr">
        <is>
          <t>Table n°2  -  Sécurité et Gardiennage</t>
        </is>
      </c>
      <c r="C54" s="348" t="n">
        <v>520.23</v>
      </c>
      <c r="D54" s="348" t="inlineStr"/>
      <c r="E54" s="348" t="n">
        <v>520.23</v>
      </c>
      <c r="F54" s="348" t="inlineStr"/>
      <c r="G54" s="220">
        <f>SUM(C54)-SUM(D54)</f>
        <v/>
      </c>
      <c r="H54" s="220">
        <f>SUM(E54)-SUM(F54)</f>
        <v/>
      </c>
      <c r="I54" s="221">
        <f>IF(A54="Total",VLOOKUP(B54,CORRESPONDANCE[#All],2,FALSE),I55)</f>
        <v/>
      </c>
      <c r="J54" s="350">
        <f>LEFT(A54,1)</f>
        <v/>
      </c>
      <c r="K54" s="347">
        <f>"LYSE"&amp;" - "&amp;A54</f>
        <v/>
      </c>
      <c r="L54" s="347">
        <f>+VLOOKUP(K54,TL[],4,FALSE)</f>
        <v/>
      </c>
    </row>
    <row r="55">
      <c r="A55" s="348" t="inlineStr">
        <is>
          <t>627801</t>
        </is>
      </c>
      <c r="B55" s="348" t="inlineStr">
        <is>
          <t>Commissions bancaires</t>
        </is>
      </c>
      <c r="C55" s="348" t="n">
        <v>226.95</v>
      </c>
      <c r="D55" s="348" t="inlineStr"/>
      <c r="E55" s="348" t="n">
        <v>226.95</v>
      </c>
      <c r="F55" s="348" t="inlineStr"/>
      <c r="G55" s="220">
        <f>SUM(C55)-SUM(D55)</f>
        <v/>
      </c>
      <c r="H55" s="220">
        <f>SUM(E55)-SUM(F55)</f>
        <v/>
      </c>
      <c r="I55" s="221">
        <f>IF(A55="Total",VLOOKUP(B55,CORRESPONDANCE[#All],2,FALSE),I56)</f>
        <v/>
      </c>
      <c r="J55" s="350">
        <f>LEFT(A55,1)</f>
        <v/>
      </c>
      <c r="K55" s="347">
        <f>"LYSE"&amp;" - "&amp;A55</f>
        <v/>
      </c>
      <c r="L55" s="347">
        <f>+VLOOKUP(K55,TL[],4,FALSE)</f>
        <v/>
      </c>
    </row>
    <row r="56">
      <c r="A56" s="348" t="inlineStr">
        <is>
          <t>627802</t>
        </is>
      </c>
      <c r="B56" s="348" t="inlineStr">
        <is>
          <t>Commissions cb</t>
        </is>
      </c>
      <c r="C56" s="348" t="n">
        <v>1324.59</v>
      </c>
      <c r="D56" s="348" t="inlineStr"/>
      <c r="E56" s="348" t="n">
        <v>1324.59</v>
      </c>
      <c r="F56" s="348" t="inlineStr"/>
      <c r="G56" s="220">
        <f>SUM(C56)-SUM(D56)</f>
        <v/>
      </c>
      <c r="H56" s="220">
        <f>SUM(E56)-SUM(F56)</f>
        <v/>
      </c>
      <c r="I56" s="221">
        <f>IF(A56="Total",VLOOKUP(B56,CORRESPONDANCE[#All],2,FALSE),I57)</f>
        <v/>
      </c>
      <c r="J56" s="350">
        <f>LEFT(A56,1)</f>
        <v/>
      </c>
      <c r="K56" s="347">
        <f>"LYSE"&amp;" - "&amp;A56</f>
        <v/>
      </c>
      <c r="L56" s="347">
        <f>+VLOOKUP(K56,TL[],4,FALSE)</f>
        <v/>
      </c>
    </row>
    <row r="57">
      <c r="A57" s="348" t="inlineStr">
        <is>
          <t>627803</t>
        </is>
      </c>
      <c r="B57" s="348" t="inlineStr">
        <is>
          <t>Frais tr</t>
        </is>
      </c>
      <c r="C57" s="348" t="n">
        <v>1047.21</v>
      </c>
      <c r="D57" s="348" t="inlineStr"/>
      <c r="E57" s="348" t="n">
        <v>1047.21</v>
      </c>
      <c r="F57" s="348" t="inlineStr"/>
      <c r="G57" s="220">
        <f>SUM(C57)-SUM(D57)</f>
        <v/>
      </c>
      <c r="H57" s="220">
        <f>SUM(E57)-SUM(F57)</f>
        <v/>
      </c>
      <c r="I57" s="221">
        <f>IF(A57="Total",VLOOKUP(B57,CORRESPONDANCE[#All],2,FALSE),I58)</f>
        <v/>
      </c>
      <c r="J57" s="350">
        <f>LEFT(A57,1)</f>
        <v/>
      </c>
      <c r="K57" s="347">
        <f>"LYSE"&amp;" - "&amp;A57</f>
        <v/>
      </c>
      <c r="L57" s="347">
        <f>+VLOOKUP(K57,TL[],4,FALSE)</f>
        <v/>
      </c>
    </row>
    <row r="58">
      <c r="A58" s="348" t="inlineStr">
        <is>
          <t>627805</t>
        </is>
      </c>
      <c r="B58" s="348" t="inlineStr">
        <is>
          <t>Frais cv</t>
        </is>
      </c>
      <c r="C58" s="348" t="n">
        <v>116.93</v>
      </c>
      <c r="D58" s="348" t="inlineStr"/>
      <c r="E58" s="348" t="n">
        <v>116.93</v>
      </c>
      <c r="F58" s="348" t="inlineStr"/>
      <c r="G58" s="220">
        <f>SUM(C58)-SUM(D58)</f>
        <v/>
      </c>
      <c r="H58" s="220">
        <f>SUM(E58)-SUM(F58)</f>
        <v/>
      </c>
      <c r="I58" s="221">
        <f>IF(A58="Total",VLOOKUP(B58,CORRESPONDANCE[#All],2,FALSE),I59)</f>
        <v/>
      </c>
      <c r="J58" s="350">
        <f>LEFT(A58,1)</f>
        <v/>
      </c>
      <c r="K58" s="347">
        <f>"LYSE"&amp;" - "&amp;A58</f>
        <v/>
      </c>
      <c r="L58" s="347">
        <f>+VLOOKUP(K58,TL[],4,FALSE)</f>
        <v/>
      </c>
    </row>
    <row r="59">
      <c r="A59" s="348" t="inlineStr">
        <is>
          <t>627807</t>
        </is>
      </c>
      <c r="B59" s="348" t="inlineStr">
        <is>
          <t>Frais paypal</t>
        </is>
      </c>
      <c r="C59" s="348" t="n">
        <v>18.07</v>
      </c>
      <c r="D59" s="348" t="inlineStr"/>
      <c r="E59" s="348" t="n">
        <v>18.07</v>
      </c>
      <c r="F59" s="348" t="inlineStr"/>
      <c r="G59" s="220">
        <f>SUM(C59)-SUM(D59)</f>
        <v/>
      </c>
      <c r="H59" s="220">
        <f>SUM(E59)-SUM(F59)</f>
        <v/>
      </c>
      <c r="I59" s="221">
        <f>IF(A59="Total",VLOOKUP(B59,CORRESPONDANCE[#All],2,FALSE),I60)</f>
        <v/>
      </c>
      <c r="J59" s="350">
        <f>LEFT(A59,1)</f>
        <v/>
      </c>
      <c r="K59" s="347">
        <f>"LYSE"&amp;" - "&amp;A59</f>
        <v/>
      </c>
      <c r="L59" s="347">
        <f>+VLOOKUP(K59,TL[],4,FALSE)</f>
        <v/>
      </c>
    </row>
    <row r="60">
      <c r="A60" s="348" t="inlineStr">
        <is>
          <t>Total</t>
        </is>
      </c>
      <c r="B60" s="348" t="inlineStr">
        <is>
          <t>Table n°2  -  Frais bancaires</t>
        </is>
      </c>
      <c r="C60" s="348" t="n">
        <v>2733.75</v>
      </c>
      <c r="D60" s="348" t="inlineStr"/>
      <c r="E60" s="348" t="n">
        <v>2733.75</v>
      </c>
      <c r="F60" s="348" t="inlineStr"/>
      <c r="G60" s="220">
        <f>SUM(C60)-SUM(D60)</f>
        <v/>
      </c>
      <c r="H60" s="220">
        <f>SUM(E60)-SUM(F60)</f>
        <v/>
      </c>
      <c r="I60" s="221">
        <f>IF(A60="Total",VLOOKUP(B60,CORRESPONDANCE[#All],2,FALSE),I61)</f>
        <v/>
      </c>
      <c r="J60" s="350">
        <f>LEFT(A60,1)</f>
        <v/>
      </c>
      <c r="K60" s="347">
        <f>"LYSE"&amp;" - "&amp;A60</f>
        <v/>
      </c>
      <c r="L60" s="347">
        <f>+VLOOKUP(K60,TL[],4,FALSE)</f>
        <v/>
      </c>
    </row>
    <row r="61">
      <c r="A61" s="348" t="inlineStr">
        <is>
          <t>606300</t>
        </is>
      </c>
      <c r="B61" s="348" t="inlineStr">
        <is>
          <t>Petit outillage</t>
        </is>
      </c>
      <c r="C61" s="348" t="n">
        <v>732.4299999999999</v>
      </c>
      <c r="D61" s="348" t="inlineStr"/>
      <c r="E61" s="348" t="n">
        <v>732.4299999999999</v>
      </c>
      <c r="F61" s="348" t="inlineStr"/>
      <c r="G61" s="220">
        <f>SUM(C61)-SUM(D61)</f>
        <v/>
      </c>
      <c r="H61" s="220">
        <f>SUM(E61)-SUM(F61)</f>
        <v/>
      </c>
      <c r="I61" s="221">
        <f>IF(A61="Total",VLOOKUP(B61,CORRESPONDANCE[#All],2,FALSE),I62)</f>
        <v/>
      </c>
      <c r="J61" s="350">
        <f>LEFT(A61,1)</f>
        <v/>
      </c>
      <c r="K61" s="347">
        <f>"LYSE"&amp;" - "&amp;A61</f>
        <v/>
      </c>
      <c r="L61" s="347">
        <f>+VLOOKUP(K61,TL[],4,FALSE)</f>
        <v/>
      </c>
    </row>
    <row r="62">
      <c r="A62" s="348" t="inlineStr">
        <is>
          <t>615500</t>
        </is>
      </c>
      <c r="B62" s="348" t="inlineStr">
        <is>
          <t>Entretien réparation matériel</t>
        </is>
      </c>
      <c r="C62" s="348" t="n">
        <v>1618.9</v>
      </c>
      <c r="D62" s="348" t="inlineStr"/>
      <c r="E62" s="348" t="n">
        <v>1618.9</v>
      </c>
      <c r="F62" s="348" t="inlineStr"/>
      <c r="G62" s="220">
        <f>SUM(C62)-SUM(D62)</f>
        <v/>
      </c>
      <c r="H62" s="220">
        <f>SUM(E62)-SUM(F62)</f>
        <v/>
      </c>
      <c r="I62" s="221">
        <f>IF(A62="Total",VLOOKUP(B62,CORRESPONDANCE[#All],2,FALSE),I63)</f>
        <v/>
      </c>
      <c r="J62" s="350">
        <f>LEFT(A62,1)</f>
        <v/>
      </c>
      <c r="K62" s="347">
        <f>"LYSE"&amp;" - "&amp;A62</f>
        <v/>
      </c>
      <c r="L62" s="347">
        <f>+VLOOKUP(K62,TL[],4,FALSE)</f>
        <v/>
      </c>
    </row>
    <row r="63">
      <c r="A63" s="348" t="inlineStr">
        <is>
          <t>Total</t>
        </is>
      </c>
      <c r="B63" s="348" t="inlineStr">
        <is>
          <t>Table n°2  -  Contrats Maintenance et réparations</t>
        </is>
      </c>
      <c r="C63" s="348" t="n">
        <v>2351.33</v>
      </c>
      <c r="D63" s="348" t="inlineStr"/>
      <c r="E63" s="348" t="n">
        <v>2351.33</v>
      </c>
      <c r="F63" s="348" t="inlineStr"/>
      <c r="G63" s="220">
        <f>SUM(C63)-SUM(D63)</f>
        <v/>
      </c>
      <c r="H63" s="220">
        <f>SUM(E63)-SUM(F63)</f>
        <v/>
      </c>
      <c r="I63" s="221">
        <f>IF(A63="Total",VLOOKUP(B63,CORRESPONDANCE[#All],2,FALSE),I64)</f>
        <v/>
      </c>
      <c r="J63" s="350">
        <f>LEFT(A63,1)</f>
        <v/>
      </c>
      <c r="K63" s="347">
        <f>"LYSE"&amp;" - "&amp;A63</f>
        <v/>
      </c>
      <c r="L63" s="347">
        <f>+VLOOKUP(K63,TL[],4,FALSE)</f>
        <v/>
      </c>
    </row>
    <row r="64">
      <c r="A64" s="348" t="inlineStr">
        <is>
          <t>611000</t>
        </is>
      </c>
      <c r="B64" s="348" t="inlineStr">
        <is>
          <t>Sous-traitance générale</t>
        </is>
      </c>
      <c r="C64" s="348" t="n">
        <v>235</v>
      </c>
      <c r="D64" s="348" t="inlineStr"/>
      <c r="E64" s="348" t="n">
        <v>235</v>
      </c>
      <c r="F64" s="348" t="inlineStr"/>
      <c r="G64" s="220">
        <f>SUM(C64)-SUM(D64)</f>
        <v/>
      </c>
      <c r="H64" s="220">
        <f>SUM(E64)-SUM(F64)</f>
        <v/>
      </c>
      <c r="I64" s="221">
        <f>IF(A64="Total",VLOOKUP(B64,CORRESPONDANCE[#All],2,FALSE),I65)</f>
        <v/>
      </c>
      <c r="J64" s="350">
        <f>LEFT(A64,1)</f>
        <v/>
      </c>
      <c r="K64" s="347">
        <f>"LYSE"&amp;" - "&amp;A64</f>
        <v/>
      </c>
      <c r="L64" s="347">
        <f>+VLOOKUP(K64,TL[],4,FALSE)</f>
        <v/>
      </c>
    </row>
    <row r="65">
      <c r="A65" s="348" t="inlineStr">
        <is>
          <t>613120</t>
        </is>
      </c>
      <c r="B65" s="348" t="inlineStr">
        <is>
          <t>location defibrillateur</t>
        </is>
      </c>
      <c r="C65" s="348" t="n">
        <v>46</v>
      </c>
      <c r="D65" s="348" t="inlineStr"/>
      <c r="E65" s="348" t="n">
        <v>46</v>
      </c>
      <c r="F65" s="348" t="inlineStr"/>
      <c r="G65" s="220">
        <f>SUM(C65)-SUM(D65)</f>
        <v/>
      </c>
      <c r="H65" s="220">
        <f>SUM(E65)-SUM(F65)</f>
        <v/>
      </c>
      <c r="I65" s="221">
        <f>IF(A65="Total",VLOOKUP(B65,CORRESPONDANCE[#All],2,FALSE),I66)</f>
        <v/>
      </c>
      <c r="J65" s="350">
        <f>LEFT(A65,1)</f>
        <v/>
      </c>
      <c r="K65" s="347">
        <f>"LYSE"&amp;" - "&amp;A65</f>
        <v/>
      </c>
      <c r="L65" s="347">
        <f>+VLOOKUP(K65,TL[],4,FALSE)</f>
        <v/>
      </c>
    </row>
    <row r="66">
      <c r="A66" s="348" t="inlineStr">
        <is>
          <t>613501</t>
        </is>
      </c>
      <c r="B66" s="348" t="inlineStr">
        <is>
          <t>Location copieur</t>
        </is>
      </c>
      <c r="C66" s="348" t="n">
        <v>163.86</v>
      </c>
      <c r="D66" s="348" t="inlineStr"/>
      <c r="E66" s="348" t="n">
        <v>163.86</v>
      </c>
      <c r="F66" s="348" t="inlineStr"/>
      <c r="G66" s="220">
        <f>SUM(C66)-SUM(D66)</f>
        <v/>
      </c>
      <c r="H66" s="220">
        <f>SUM(E66)-SUM(F66)</f>
        <v/>
      </c>
      <c r="I66" s="221">
        <f>IF(A66="Total",VLOOKUP(B66,CORRESPONDANCE[#All],2,FALSE),I67)</f>
        <v/>
      </c>
      <c r="J66" s="350">
        <f>LEFT(A66,1)</f>
        <v/>
      </c>
      <c r="K66" s="347">
        <f>"LYSE"&amp;" - "&amp;A66</f>
        <v/>
      </c>
      <c r="L66" s="347">
        <f>+VLOOKUP(K66,TL[],4,FALSE)</f>
        <v/>
      </c>
    </row>
    <row r="67">
      <c r="A67" s="348" t="inlineStr">
        <is>
          <t>613510</t>
        </is>
      </c>
      <c r="B67" s="348" t="inlineStr">
        <is>
          <t>Locations interway</t>
        </is>
      </c>
      <c r="C67" s="348" t="n">
        <v>240.17</v>
      </c>
      <c r="D67" s="348" t="inlineStr"/>
      <c r="E67" s="348" t="n">
        <v>240.17</v>
      </c>
      <c r="F67" s="348" t="inlineStr"/>
      <c r="G67" s="220">
        <f>SUM(C67)-SUM(D67)</f>
        <v/>
      </c>
      <c r="H67" s="220">
        <f>SUM(E67)-SUM(F67)</f>
        <v/>
      </c>
      <c r="I67" s="221">
        <f>IF(A67="Total",VLOOKUP(B67,CORRESPONDANCE[#All],2,FALSE),I68)</f>
        <v/>
      </c>
      <c r="J67" s="350">
        <f>LEFT(A67,1)</f>
        <v/>
      </c>
      <c r="K67" s="347">
        <f>"LYSE"&amp;" - "&amp;A67</f>
        <v/>
      </c>
      <c r="L67" s="347">
        <f>+VLOOKUP(K67,TL[],4,FALSE)</f>
        <v/>
      </c>
    </row>
    <row r="68">
      <c r="A68" s="348" t="inlineStr">
        <is>
          <t>615010</t>
        </is>
      </c>
      <c r="B68" s="348" t="inlineStr">
        <is>
          <t>Contrat entretien aires de jeux</t>
        </is>
      </c>
      <c r="C68" s="348" t="n">
        <v>113.33</v>
      </c>
      <c r="D68" s="348" t="inlineStr"/>
      <c r="E68" s="348" t="n">
        <v>113.33</v>
      </c>
      <c r="F68" s="348" t="inlineStr"/>
      <c r="G68" s="220">
        <f>SUM(C68)-SUM(D68)</f>
        <v/>
      </c>
      <c r="H68" s="220">
        <f>SUM(E68)-SUM(F68)</f>
        <v/>
      </c>
      <c r="I68" s="221">
        <f>IF(A68="Total",VLOOKUP(B68,CORRESPONDANCE[#All],2,FALSE),I69)</f>
        <v/>
      </c>
      <c r="J68" s="350">
        <f>LEFT(A68,1)</f>
        <v/>
      </c>
      <c r="K68" s="347">
        <f>"LYSE"&amp;" - "&amp;A68</f>
        <v/>
      </c>
      <c r="L68" s="347">
        <f>+VLOOKUP(K68,TL[],4,FALSE)</f>
        <v/>
      </c>
    </row>
    <row r="69">
      <c r="A69" s="348" t="inlineStr">
        <is>
          <t>615200</t>
        </is>
      </c>
      <c r="B69" s="348" t="inlineStr">
        <is>
          <t>Entretien espaces verts</t>
        </is>
      </c>
      <c r="C69" s="348" t="n">
        <v>379</v>
      </c>
      <c r="D69" s="348" t="inlineStr"/>
      <c r="E69" s="348" t="n">
        <v>379</v>
      </c>
      <c r="F69" s="348" t="inlineStr"/>
      <c r="G69" s="220">
        <f>SUM(C69)-SUM(D69)</f>
        <v/>
      </c>
      <c r="H69" s="220">
        <f>SUM(E69)-SUM(F69)</f>
        <v/>
      </c>
      <c r="I69" s="221">
        <f>IF(A69="Total",VLOOKUP(B69,CORRESPONDANCE[#All],2,FALSE),I70)</f>
        <v/>
      </c>
      <c r="J69" s="350">
        <f>LEFT(A69,1)</f>
        <v/>
      </c>
      <c r="K69" s="347">
        <f>"LYSE"&amp;" - "&amp;A69</f>
        <v/>
      </c>
      <c r="L69" s="347">
        <f>+VLOOKUP(K69,TL[],4,FALSE)</f>
        <v/>
      </c>
    </row>
    <row r="70">
      <c r="A70" s="348" t="inlineStr">
        <is>
          <t>615600</t>
        </is>
      </c>
      <c r="B70" s="348" t="inlineStr">
        <is>
          <t>Maintenance mc do</t>
        </is>
      </c>
      <c r="C70" s="348" t="n">
        <v>450</v>
      </c>
      <c r="D70" s="348" t="inlineStr"/>
      <c r="E70" s="348" t="n">
        <v>450</v>
      </c>
      <c r="F70" s="348" t="inlineStr"/>
      <c r="G70" s="220">
        <f>SUM(C70)-SUM(D70)</f>
        <v/>
      </c>
      <c r="H70" s="220">
        <f>SUM(E70)-SUM(F70)</f>
        <v/>
      </c>
      <c r="I70" s="221">
        <f>IF(A70="Total",VLOOKUP(B70,CORRESPONDANCE[#All],2,FALSE),I71)</f>
        <v/>
      </c>
      <c r="J70" s="350">
        <f>LEFT(A70,1)</f>
        <v/>
      </c>
      <c r="K70" s="347">
        <f>"LYSE"&amp;" - "&amp;A70</f>
        <v/>
      </c>
      <c r="L70" s="347">
        <f>+VLOOKUP(K70,TL[],4,FALSE)</f>
        <v/>
      </c>
    </row>
    <row r="71">
      <c r="A71" s="348" t="inlineStr">
        <is>
          <t>615610</t>
        </is>
      </c>
      <c r="B71" s="348" t="inlineStr">
        <is>
          <t>Iron mountain</t>
        </is>
      </c>
      <c r="C71" s="348" t="n">
        <v>26.5</v>
      </c>
      <c r="D71" s="348" t="inlineStr"/>
      <c r="E71" s="348" t="n">
        <v>26.5</v>
      </c>
      <c r="F71" s="348" t="inlineStr"/>
      <c r="G71" s="220">
        <f>SUM(C71)-SUM(D71)</f>
        <v/>
      </c>
      <c r="H71" s="220">
        <f>SUM(E71)-SUM(F71)</f>
        <v/>
      </c>
      <c r="I71" s="221">
        <f>IF(A71="Total",VLOOKUP(B71,CORRESPONDANCE[#All],2,FALSE),I72)</f>
        <v/>
      </c>
      <c r="J71" s="350">
        <f>LEFT(A71,1)</f>
        <v/>
      </c>
      <c r="K71" s="347">
        <f>"LYSE"&amp;" - "&amp;A71</f>
        <v/>
      </c>
      <c r="L71" s="347">
        <f>+VLOOKUP(K71,TL[],4,FALSE)</f>
        <v/>
      </c>
    </row>
    <row r="72">
      <c r="A72" s="348" t="inlineStr">
        <is>
          <t>615611</t>
        </is>
      </c>
      <c r="B72" s="348" t="inlineStr">
        <is>
          <t>Loomis</t>
        </is>
      </c>
      <c r="C72" s="348" t="n">
        <v>274</v>
      </c>
      <c r="D72" s="348" t="inlineStr"/>
      <c r="E72" s="348" t="n">
        <v>274</v>
      </c>
      <c r="F72" s="348" t="inlineStr"/>
      <c r="G72" s="220">
        <f>SUM(C72)-SUM(D72)</f>
        <v/>
      </c>
      <c r="H72" s="220">
        <f>SUM(E72)-SUM(F72)</f>
        <v/>
      </c>
      <c r="I72" s="221">
        <f>IF(A72="Total",VLOOKUP(B72,CORRESPONDANCE[#All],2,FALSE),I73)</f>
        <v/>
      </c>
      <c r="J72" s="350">
        <f>LEFT(A72,1)</f>
        <v/>
      </c>
      <c r="K72" s="347">
        <f>"LYSE"&amp;" - "&amp;A72</f>
        <v/>
      </c>
      <c r="L72" s="347">
        <f>+VLOOKUP(K72,TL[],4,FALSE)</f>
        <v/>
      </c>
    </row>
    <row r="73">
      <c r="A73" s="348" t="inlineStr">
        <is>
          <t>615612</t>
        </is>
      </c>
      <c r="B73" s="348" t="inlineStr">
        <is>
          <t>Collecte huiles usagées</t>
        </is>
      </c>
      <c r="C73" s="348" t="n">
        <v>129</v>
      </c>
      <c r="D73" s="348" t="inlineStr"/>
      <c r="E73" s="348" t="n">
        <v>129</v>
      </c>
      <c r="F73" s="348" t="inlineStr"/>
      <c r="G73" s="220">
        <f>SUM(C73)-SUM(D73)</f>
        <v/>
      </c>
      <c r="H73" s="220">
        <f>SUM(E73)-SUM(F73)</f>
        <v/>
      </c>
      <c r="I73" s="221">
        <f>IF(A73="Total",VLOOKUP(B73,CORRESPONDANCE[#All],2,FALSE),I74)</f>
        <v/>
      </c>
      <c r="J73" s="350">
        <f>LEFT(A73,1)</f>
        <v/>
      </c>
      <c r="K73" s="347">
        <f>"LYSE"&amp;" - "&amp;A73</f>
        <v/>
      </c>
      <c r="L73" s="347">
        <f>+VLOOKUP(K73,TL[],4,FALSE)</f>
        <v/>
      </c>
    </row>
    <row r="74">
      <c r="A74" s="348" t="inlineStr">
        <is>
          <t>615613</t>
        </is>
      </c>
      <c r="B74" s="348" t="inlineStr">
        <is>
          <t>Reflex services</t>
        </is>
      </c>
      <c r="C74" s="348" t="n">
        <v>334</v>
      </c>
      <c r="D74" s="348" t="inlineStr"/>
      <c r="E74" s="348" t="n">
        <v>334</v>
      </c>
      <c r="F74" s="348" t="inlineStr"/>
      <c r="G74" s="220">
        <f>SUM(C74)-SUM(D74)</f>
        <v/>
      </c>
      <c r="H74" s="220">
        <f>SUM(E74)-SUM(F74)</f>
        <v/>
      </c>
      <c r="I74" s="221">
        <f>IF(A74="Total",VLOOKUP(B74,CORRESPONDANCE[#All],2,FALSE),I75)</f>
        <v/>
      </c>
      <c r="J74" s="350">
        <f>LEFT(A74,1)</f>
        <v/>
      </c>
      <c r="K74" s="347">
        <f>"LYSE"&amp;" - "&amp;A74</f>
        <v/>
      </c>
      <c r="L74" s="347">
        <f>+VLOOKUP(K74,TL[],4,FALSE)</f>
        <v/>
      </c>
    </row>
    <row r="75">
      <c r="A75" s="348" t="inlineStr">
        <is>
          <t>615614</t>
        </is>
      </c>
      <c r="B75" s="348" t="inlineStr">
        <is>
          <t>Ad hoc</t>
        </is>
      </c>
      <c r="C75" s="348" t="n">
        <v>103</v>
      </c>
      <c r="D75" s="348" t="inlineStr"/>
      <c r="E75" s="348" t="n">
        <v>103</v>
      </c>
      <c r="F75" s="348" t="inlineStr"/>
      <c r="G75" s="220">
        <f>SUM(C75)-SUM(D75)</f>
        <v/>
      </c>
      <c r="H75" s="220">
        <f>SUM(E75)-SUM(F75)</f>
        <v/>
      </c>
      <c r="I75" s="221">
        <f>IF(A75="Total",VLOOKUP(B75,CORRESPONDANCE[#All],2,FALSE),I76)</f>
        <v/>
      </c>
      <c r="J75" s="350">
        <f>LEFT(A75,1)</f>
        <v/>
      </c>
      <c r="K75" s="347">
        <f>"LYSE"&amp;" - "&amp;A75</f>
        <v/>
      </c>
      <c r="L75" s="347">
        <f>+VLOOKUP(K75,TL[],4,FALSE)</f>
        <v/>
      </c>
    </row>
    <row r="76">
      <c r="A76" s="348" t="inlineStr">
        <is>
          <t>615616</t>
        </is>
      </c>
      <c r="B76" s="348" t="inlineStr">
        <is>
          <t>Acrelec</t>
        </is>
      </c>
      <c r="C76" s="348" t="n">
        <v>375</v>
      </c>
      <c r="D76" s="348" t="inlineStr"/>
      <c r="E76" s="348" t="n">
        <v>375</v>
      </c>
      <c r="F76" s="348" t="inlineStr"/>
      <c r="G76" s="220">
        <f>SUM(C76)-SUM(D76)</f>
        <v/>
      </c>
      <c r="H76" s="220">
        <f>SUM(E76)-SUM(F76)</f>
        <v/>
      </c>
      <c r="I76" s="221">
        <f>IF(A76="Total",VLOOKUP(B76,CORRESPONDANCE[#All],2,FALSE),I77)</f>
        <v/>
      </c>
      <c r="J76" s="350">
        <f>LEFT(A76,1)</f>
        <v/>
      </c>
      <c r="K76" s="347">
        <f>"LYSE"&amp;" - "&amp;A76</f>
        <v/>
      </c>
      <c r="L76" s="347">
        <f>+VLOOKUP(K76,TL[],4,FALSE)</f>
        <v/>
      </c>
    </row>
    <row r="77">
      <c r="A77" s="348" t="inlineStr">
        <is>
          <t>615617</t>
        </is>
      </c>
      <c r="B77" s="348" t="inlineStr">
        <is>
          <t>Canal music</t>
        </is>
      </c>
      <c r="C77" s="348" t="n">
        <v>19</v>
      </c>
      <c r="D77" s="348" t="inlineStr"/>
      <c r="E77" s="348" t="n">
        <v>19</v>
      </c>
      <c r="F77" s="348" t="inlineStr"/>
      <c r="G77" s="220">
        <f>SUM(C77)-SUM(D77)</f>
        <v/>
      </c>
      <c r="H77" s="220">
        <f>SUM(E77)-SUM(F77)</f>
        <v/>
      </c>
      <c r="I77" s="221">
        <f>IF(A77="Total",VLOOKUP(B77,CORRESPONDANCE[#All],2,FALSE),I78)</f>
        <v/>
      </c>
      <c r="J77" s="350">
        <f>LEFT(A77,1)</f>
        <v/>
      </c>
      <c r="K77" s="347">
        <f>"LYSE"&amp;" - "&amp;A77</f>
        <v/>
      </c>
      <c r="L77" s="347">
        <f>+VLOOKUP(K77,TL[],4,FALSE)</f>
        <v/>
      </c>
    </row>
    <row r="78">
      <c r="A78" s="348" t="inlineStr">
        <is>
          <t>615618</t>
        </is>
      </c>
      <c r="B78" s="348" t="inlineStr">
        <is>
          <t>Contrat wifi</t>
        </is>
      </c>
      <c r="C78" s="348" t="n">
        <v>89.09999999999999</v>
      </c>
      <c r="D78" s="348" t="inlineStr"/>
      <c r="E78" s="348" t="n">
        <v>89.09999999999999</v>
      </c>
      <c r="F78" s="348" t="inlineStr"/>
      <c r="G78" s="220">
        <f>SUM(C78)-SUM(D78)</f>
        <v/>
      </c>
      <c r="H78" s="220">
        <f>SUM(E78)-SUM(F78)</f>
        <v/>
      </c>
      <c r="I78" s="221">
        <f>IF(A78="Total",VLOOKUP(B78,CORRESPONDANCE[#All],2,FALSE),I79)</f>
        <v/>
      </c>
      <c r="J78" s="350">
        <f>LEFT(A78,1)</f>
        <v/>
      </c>
      <c r="K78" s="347">
        <f>"LYSE"&amp;" - "&amp;A78</f>
        <v/>
      </c>
      <c r="L78" s="347">
        <f>+VLOOKUP(K78,TL[],4,FALSE)</f>
        <v/>
      </c>
    </row>
    <row r="79">
      <c r="A79" s="348" t="inlineStr">
        <is>
          <t>615621</t>
        </is>
      </c>
      <c r="B79" s="348" t="inlineStr">
        <is>
          <t>Ramassage déchets</t>
        </is>
      </c>
      <c r="C79" s="348" t="n">
        <v>1100</v>
      </c>
      <c r="D79" s="348" t="inlineStr"/>
      <c r="E79" s="348" t="n">
        <v>1100</v>
      </c>
      <c r="F79" s="348" t="inlineStr"/>
      <c r="G79" s="220">
        <f>SUM(C79)-SUM(D79)</f>
        <v/>
      </c>
      <c r="H79" s="220">
        <f>SUM(E79)-SUM(F79)</f>
        <v/>
      </c>
      <c r="I79" s="221">
        <f>IF(A79="Total",VLOOKUP(B79,CORRESPONDANCE[#All],2,FALSE),I80)</f>
        <v/>
      </c>
      <c r="J79" s="350">
        <f>LEFT(A79,1)</f>
        <v/>
      </c>
      <c r="K79" s="347">
        <f>"LYSE"&amp;" - "&amp;A79</f>
        <v/>
      </c>
      <c r="L79" s="347">
        <f>+VLOOKUP(K79,TL[],4,FALSE)</f>
        <v/>
      </c>
    </row>
    <row r="80">
      <c r="A80" s="348" t="inlineStr">
        <is>
          <t>615622</t>
        </is>
      </c>
      <c r="B80" s="348" t="inlineStr">
        <is>
          <t>Siliker</t>
        </is>
      </c>
      <c r="C80" s="348" t="n">
        <v>102</v>
      </c>
      <c r="D80" s="348" t="inlineStr"/>
      <c r="E80" s="348" t="n">
        <v>102</v>
      </c>
      <c r="F80" s="348" t="inlineStr"/>
      <c r="G80" s="220">
        <f>SUM(C80)-SUM(D80)</f>
        <v/>
      </c>
      <c r="H80" s="220">
        <f>SUM(E80)-SUM(F80)</f>
        <v/>
      </c>
      <c r="I80" s="221">
        <f>IF(A80="Total",VLOOKUP(B80,CORRESPONDANCE[#All],2,FALSE),I81)</f>
        <v/>
      </c>
      <c r="J80" s="350">
        <f>LEFT(A80,1)</f>
        <v/>
      </c>
      <c r="K80" s="347">
        <f>"LYSE"&amp;" - "&amp;A80</f>
        <v/>
      </c>
      <c r="L80" s="347">
        <f>+VLOOKUP(K80,TL[],4,FALSE)</f>
        <v/>
      </c>
    </row>
    <row r="81">
      <c r="A81" s="348" t="inlineStr">
        <is>
          <t>615623</t>
        </is>
      </c>
      <c r="B81" s="348" t="inlineStr">
        <is>
          <t>Contrat helpline</t>
        </is>
      </c>
      <c r="C81" s="348" t="n">
        <v>668.42</v>
      </c>
      <c r="D81" s="348" t="inlineStr"/>
      <c r="E81" s="348" t="n">
        <v>668.42</v>
      </c>
      <c r="F81" s="348" t="inlineStr"/>
      <c r="G81" s="220">
        <f>SUM(C81)-SUM(D81)</f>
        <v/>
      </c>
      <c r="H81" s="220">
        <f>SUM(E81)-SUM(F81)</f>
        <v/>
      </c>
      <c r="I81" s="221">
        <f>IF(A81="Total",VLOOKUP(B81,CORRESPONDANCE[#All],2,FALSE),I82)</f>
        <v/>
      </c>
      <c r="J81" s="350">
        <f>LEFT(A81,1)</f>
        <v/>
      </c>
      <c r="K81" s="347">
        <f>"LYSE"&amp;" - "&amp;A81</f>
        <v/>
      </c>
      <c r="L81" s="347">
        <f>+VLOOKUP(K81,TL[],4,FALSE)</f>
        <v/>
      </c>
    </row>
    <row r="82">
      <c r="A82" s="348" t="inlineStr">
        <is>
          <t>615625</t>
        </is>
      </c>
      <c r="B82" s="348" t="inlineStr">
        <is>
          <t>Contrat melitta</t>
        </is>
      </c>
      <c r="C82" s="348" t="n">
        <v>120.02</v>
      </c>
      <c r="D82" s="348" t="inlineStr"/>
      <c r="E82" s="348" t="n">
        <v>120.02</v>
      </c>
      <c r="F82" s="348" t="inlineStr"/>
      <c r="G82" s="220">
        <f>SUM(C82)-SUM(D82)</f>
        <v/>
      </c>
      <c r="H82" s="220">
        <f>SUM(E82)-SUM(F82)</f>
        <v/>
      </c>
      <c r="I82" s="221">
        <f>IF(A82="Total",VLOOKUP(B82,CORRESPONDANCE[#All],2,FALSE),I83)</f>
        <v/>
      </c>
      <c r="J82" s="350">
        <f>LEFT(A82,1)</f>
        <v/>
      </c>
      <c r="K82" s="347">
        <f>"LYSE"&amp;" - "&amp;A82</f>
        <v/>
      </c>
      <c r="L82" s="347">
        <f>+VLOOKUP(K82,TL[],4,FALSE)</f>
        <v/>
      </c>
    </row>
    <row r="83">
      <c r="A83" s="348" t="inlineStr">
        <is>
          <t>615630</t>
        </is>
      </c>
      <c r="B83" s="348" t="inlineStr">
        <is>
          <t>Dégraissage - dératisation</t>
        </is>
      </c>
      <c r="C83" s="348" t="n">
        <v>599</v>
      </c>
      <c r="D83" s="348" t="inlineStr"/>
      <c r="E83" s="348" t="n">
        <v>599</v>
      </c>
      <c r="F83" s="348" t="inlineStr"/>
      <c r="G83" s="220">
        <f>SUM(C83)-SUM(D83)</f>
        <v/>
      </c>
      <c r="H83" s="220">
        <f>SUM(E83)-SUM(F83)</f>
        <v/>
      </c>
      <c r="I83" s="221">
        <f>IF(A83="Total",VLOOKUP(B83,CORRESPONDANCE[#All],2,FALSE),I84)</f>
        <v/>
      </c>
      <c r="J83" s="350">
        <f>LEFT(A83,1)</f>
        <v/>
      </c>
      <c r="K83" s="347">
        <f>"LYSE"&amp;" - "&amp;A83</f>
        <v/>
      </c>
      <c r="L83" s="347">
        <f>+VLOOKUP(K83,TL[],4,FALSE)</f>
        <v/>
      </c>
    </row>
    <row r="84">
      <c r="A84" s="348" t="inlineStr">
        <is>
          <t>615632</t>
        </is>
      </c>
      <c r="B84" s="348" t="inlineStr">
        <is>
          <t>Contrat coca cola</t>
        </is>
      </c>
      <c r="C84" s="348" t="n">
        <v>121</v>
      </c>
      <c r="D84" s="348" t="inlineStr"/>
      <c r="E84" s="348" t="n">
        <v>121</v>
      </c>
      <c r="F84" s="348" t="inlineStr"/>
      <c r="G84" s="220">
        <f>SUM(C84)-SUM(D84)</f>
        <v/>
      </c>
      <c r="H84" s="220">
        <f>SUM(E84)-SUM(F84)</f>
        <v/>
      </c>
      <c r="I84" s="221">
        <f>IF(A84="Total",VLOOKUP(B84,CORRESPONDANCE[#All],2,FALSE),I85)</f>
        <v/>
      </c>
      <c r="J84" s="350">
        <f>LEFT(A84,1)</f>
        <v/>
      </c>
      <c r="K84" s="347">
        <f>"LYSE"&amp;" - "&amp;A84</f>
        <v/>
      </c>
      <c r="L84" s="347">
        <f>+VLOOKUP(K84,TL[],4,FALSE)</f>
        <v/>
      </c>
    </row>
    <row r="85">
      <c r="A85" s="348" t="inlineStr">
        <is>
          <t>615636</t>
        </is>
      </c>
      <c r="B85" s="348" t="inlineStr">
        <is>
          <t>Contrat jri</t>
        </is>
      </c>
      <c r="C85" s="348" t="n">
        <v>50.47</v>
      </c>
      <c r="D85" s="348" t="inlineStr"/>
      <c r="E85" s="348" t="n">
        <v>50.47</v>
      </c>
      <c r="F85" s="348" t="inlineStr"/>
      <c r="G85" s="220">
        <f>SUM(C85)-SUM(D85)</f>
        <v/>
      </c>
      <c r="H85" s="220">
        <f>SUM(E85)-SUM(F85)</f>
        <v/>
      </c>
      <c r="I85" s="221">
        <f>IF(A85="Total",VLOOKUP(B85,CORRESPONDANCE[#All],2,FALSE),I86)</f>
        <v/>
      </c>
      <c r="J85" s="350">
        <f>LEFT(A85,1)</f>
        <v/>
      </c>
      <c r="K85" s="347">
        <f>"LYSE"&amp;" - "&amp;A85</f>
        <v/>
      </c>
      <c r="L85" s="347">
        <f>+VLOOKUP(K85,TL[],4,FALSE)</f>
        <v/>
      </c>
    </row>
    <row r="86">
      <c r="A86" s="348" t="inlineStr">
        <is>
          <t>615637</t>
        </is>
      </c>
      <c r="B86" s="348" t="inlineStr">
        <is>
          <t>Contrat ats gie</t>
        </is>
      </c>
      <c r="C86" s="348" t="n">
        <v>20</v>
      </c>
      <c r="D86" s="348" t="inlineStr"/>
      <c r="E86" s="348" t="n">
        <v>20</v>
      </c>
      <c r="F86" s="348" t="inlineStr"/>
      <c r="G86" s="220">
        <f>SUM(C86)-SUM(D86)</f>
        <v/>
      </c>
      <c r="H86" s="220">
        <f>SUM(E86)-SUM(F86)</f>
        <v/>
      </c>
      <c r="I86" s="221">
        <f>IF(A86="Total",VLOOKUP(B86,CORRESPONDANCE[#All],2,FALSE),I87)</f>
        <v/>
      </c>
      <c r="J86" s="350">
        <f>LEFT(A86,1)</f>
        <v/>
      </c>
      <c r="K86" s="347">
        <f>"LYSE"&amp;" - "&amp;A86</f>
        <v/>
      </c>
      <c r="L86" s="347">
        <f>+VLOOKUP(K86,TL[],4,FALSE)</f>
        <v/>
      </c>
    </row>
    <row r="87">
      <c r="A87" s="348" t="inlineStr">
        <is>
          <t>615639</t>
        </is>
      </c>
      <c r="B87" s="348" t="inlineStr">
        <is>
          <t>Contrat socotec</t>
        </is>
      </c>
      <c r="C87" s="348" t="n">
        <v>84</v>
      </c>
      <c r="D87" s="348" t="inlineStr"/>
      <c r="E87" s="348" t="n">
        <v>84</v>
      </c>
      <c r="F87" s="348" t="inlineStr"/>
      <c r="G87" s="220">
        <f>SUM(C87)-SUM(D87)</f>
        <v/>
      </c>
      <c r="H87" s="220">
        <f>SUM(E87)-SUM(F87)</f>
        <v/>
      </c>
      <c r="I87" s="221">
        <f>IF(A87="Total",VLOOKUP(B87,CORRESPONDANCE[#All],2,FALSE),I88)</f>
        <v/>
      </c>
      <c r="J87" s="350">
        <f>LEFT(A87,1)</f>
        <v/>
      </c>
      <c r="K87" s="347">
        <f>"LYSE"&amp;" - "&amp;A87</f>
        <v/>
      </c>
      <c r="L87" s="347">
        <f>+VLOOKUP(K87,TL[],4,FALSE)</f>
        <v/>
      </c>
    </row>
    <row r="88">
      <c r="A88" s="348" t="inlineStr">
        <is>
          <t>615640</t>
        </is>
      </c>
      <c r="B88" s="348" t="inlineStr">
        <is>
          <t>Contrat steeple</t>
        </is>
      </c>
      <c r="C88" s="348" t="n">
        <v>73.17</v>
      </c>
      <c r="D88" s="348" t="inlineStr"/>
      <c r="E88" s="348" t="n">
        <v>73.17</v>
      </c>
      <c r="F88" s="348" t="inlineStr"/>
      <c r="G88" s="220">
        <f>SUM(C88)-SUM(D88)</f>
        <v/>
      </c>
      <c r="H88" s="220">
        <f>SUM(E88)-SUM(F88)</f>
        <v/>
      </c>
      <c r="I88" s="221">
        <f>IF(A88="Total",VLOOKUP(B88,CORRESPONDANCE[#All],2,FALSE),I89)</f>
        <v/>
      </c>
      <c r="J88" s="350">
        <f>LEFT(A88,1)</f>
        <v/>
      </c>
      <c r="K88" s="347">
        <f>"LYSE"&amp;" - "&amp;A88</f>
        <v/>
      </c>
      <c r="L88" s="347">
        <f>+VLOOKUP(K88,TL[],4,FALSE)</f>
        <v/>
      </c>
    </row>
    <row r="89">
      <c r="A89" s="348" t="inlineStr">
        <is>
          <t>615641</t>
        </is>
      </c>
      <c r="B89" s="348" t="inlineStr">
        <is>
          <t>Contrat chubb</t>
        </is>
      </c>
      <c r="C89" s="348" t="n">
        <v>190</v>
      </c>
      <c r="D89" s="348" t="inlineStr"/>
      <c r="E89" s="348" t="n">
        <v>190</v>
      </c>
      <c r="F89" s="348" t="inlineStr"/>
      <c r="G89" s="220">
        <f>SUM(C89)-SUM(D89)</f>
        <v/>
      </c>
      <c r="H89" s="220">
        <f>SUM(E89)-SUM(F89)</f>
        <v/>
      </c>
      <c r="I89" s="221">
        <f>IF(A89="Total",VLOOKUP(B89,CORRESPONDANCE[#All],2,FALSE),I90)</f>
        <v/>
      </c>
      <c r="J89" s="350">
        <f>LEFT(A89,1)</f>
        <v/>
      </c>
      <c r="K89" s="347">
        <f>"LYSE"&amp;" - "&amp;A89</f>
        <v/>
      </c>
      <c r="L89" s="347">
        <f>+VLOOKUP(K89,TL[],4,FALSE)</f>
        <v/>
      </c>
    </row>
    <row r="90">
      <c r="A90" s="348" t="inlineStr">
        <is>
          <t>615642</t>
        </is>
      </c>
      <c r="B90" s="348" t="inlineStr">
        <is>
          <t>Application suivi performance</t>
        </is>
      </c>
      <c r="C90" s="348" t="n">
        <v>168</v>
      </c>
      <c r="D90" s="348" t="inlineStr"/>
      <c r="E90" s="348" t="n">
        <v>168</v>
      </c>
      <c r="F90" s="348" t="inlineStr"/>
      <c r="G90" s="220">
        <f>SUM(C90)-SUM(D90)</f>
        <v/>
      </c>
      <c r="H90" s="220">
        <f>SUM(E90)-SUM(F90)</f>
        <v/>
      </c>
      <c r="I90" s="221">
        <f>IF(A90="Total",VLOOKUP(B90,CORRESPONDANCE[#All],2,FALSE),I91)</f>
        <v/>
      </c>
      <c r="J90" s="350">
        <f>LEFT(A90,1)</f>
        <v/>
      </c>
      <c r="K90" s="347">
        <f>"LYSE"&amp;" - "&amp;A90</f>
        <v/>
      </c>
      <c r="L90" s="347">
        <f>+VLOOKUP(K90,TL[],4,FALSE)</f>
        <v/>
      </c>
    </row>
    <row r="91">
      <c r="A91" s="348" t="inlineStr">
        <is>
          <t>615643</t>
        </is>
      </c>
      <c r="B91" s="348" t="inlineStr">
        <is>
          <t>Contrat maint. autolaveuse</t>
        </is>
      </c>
      <c r="C91" s="348" t="n">
        <v>44.03</v>
      </c>
      <c r="D91" s="348" t="inlineStr"/>
      <c r="E91" s="348" t="n">
        <v>44.03</v>
      </c>
      <c r="F91" s="348" t="inlineStr"/>
      <c r="G91" s="220">
        <f>SUM(C91)-SUM(D91)</f>
        <v/>
      </c>
      <c r="H91" s="220">
        <f>SUM(E91)-SUM(F91)</f>
        <v/>
      </c>
      <c r="I91" s="221">
        <f>IF(A91="Total",VLOOKUP(B91,CORRESPONDANCE[#All],2,FALSE),I92)</f>
        <v/>
      </c>
      <c r="J91" s="350">
        <f>LEFT(A91,1)</f>
        <v/>
      </c>
      <c r="K91" s="347">
        <f>"LYSE"&amp;" - "&amp;A91</f>
        <v/>
      </c>
      <c r="L91" s="347">
        <f>+VLOOKUP(K91,TL[],4,FALSE)</f>
        <v/>
      </c>
    </row>
    <row r="92">
      <c r="A92" s="348" t="inlineStr">
        <is>
          <t>615644</t>
        </is>
      </c>
      <c r="B92" s="348" t="inlineStr">
        <is>
          <t>Contrat coates</t>
        </is>
      </c>
      <c r="C92" s="348" t="n">
        <v>76.7</v>
      </c>
      <c r="D92" s="348" t="inlineStr"/>
      <c r="E92" s="348" t="n">
        <v>76.7</v>
      </c>
      <c r="F92" s="348" t="inlineStr"/>
      <c r="G92" s="220">
        <f>SUM(C92)-SUM(D92)</f>
        <v/>
      </c>
      <c r="H92" s="220">
        <f>SUM(E92)-SUM(F92)</f>
        <v/>
      </c>
      <c r="I92" s="221">
        <f>IF(A92="Total",VLOOKUP(B92,CORRESPONDANCE[#All],2,FALSE),I93)</f>
        <v/>
      </c>
      <c r="J92" s="350">
        <f>LEFT(A92,1)</f>
        <v/>
      </c>
      <c r="K92" s="347">
        <f>"LYSE"&amp;" - "&amp;A92</f>
        <v/>
      </c>
      <c r="L92" s="347">
        <f>+VLOOKUP(K92,TL[],4,FALSE)</f>
        <v/>
      </c>
    </row>
    <row r="93">
      <c r="A93" s="348" t="inlineStr">
        <is>
          <t>615645</t>
        </is>
      </c>
      <c r="B93" s="348" t="inlineStr">
        <is>
          <t>Contrat CIS - Interway</t>
        </is>
      </c>
      <c r="C93" s="348" t="n">
        <v>162.67</v>
      </c>
      <c r="D93" s="348" t="inlineStr"/>
      <c r="E93" s="348" t="n">
        <v>162.67</v>
      </c>
      <c r="F93" s="348" t="inlineStr"/>
      <c r="G93" s="220">
        <f>SUM(C93)-SUM(D93)</f>
        <v/>
      </c>
      <c r="H93" s="220">
        <f>SUM(E93)-SUM(F93)</f>
        <v/>
      </c>
      <c r="I93" s="221">
        <f>IF(A93="Total",VLOOKUP(B93,CORRESPONDANCE[#All],2,FALSE),I94)</f>
        <v/>
      </c>
      <c r="J93" s="350">
        <f>LEFT(A93,1)</f>
        <v/>
      </c>
      <c r="K93" s="347">
        <f>"LYSE"&amp;" - "&amp;A93</f>
        <v/>
      </c>
      <c r="L93" s="347">
        <f>+VLOOKUP(K93,TL[],4,FALSE)</f>
        <v/>
      </c>
    </row>
    <row r="94">
      <c r="A94" s="348" t="inlineStr">
        <is>
          <t>615646</t>
        </is>
      </c>
      <c r="B94" s="348" t="inlineStr">
        <is>
          <t>Contrat primobox</t>
        </is>
      </c>
      <c r="C94" s="348" t="n">
        <v>40</v>
      </c>
      <c r="D94" s="348" t="inlineStr"/>
      <c r="E94" s="348" t="n">
        <v>40</v>
      </c>
      <c r="F94" s="348" t="inlineStr"/>
      <c r="G94" s="220">
        <f>SUM(C94)-SUM(D94)</f>
        <v/>
      </c>
      <c r="H94" s="220">
        <f>SUM(E94)-SUM(F94)</f>
        <v/>
      </c>
      <c r="I94" s="221">
        <f>IF(A94="Total",VLOOKUP(B94,CORRESPONDANCE[#All],2,FALSE),I95)</f>
        <v/>
      </c>
      <c r="J94" s="350">
        <f>LEFT(A94,1)</f>
        <v/>
      </c>
      <c r="K94" s="347">
        <f>"LYSE"&amp;" - "&amp;A94</f>
        <v/>
      </c>
      <c r="L94" s="347">
        <f>+VLOOKUP(K94,TL[],4,FALSE)</f>
        <v/>
      </c>
    </row>
    <row r="95">
      <c r="A95" s="348" t="inlineStr">
        <is>
          <t>626300</t>
        </is>
      </c>
      <c r="B95" s="348" t="inlineStr">
        <is>
          <t>Connexion TPE Interway</t>
        </is>
      </c>
      <c r="C95" s="348" t="n">
        <v>12.36</v>
      </c>
      <c r="D95" s="348" t="inlineStr"/>
      <c r="E95" s="348" t="n">
        <v>12.36</v>
      </c>
      <c r="F95" s="348" t="inlineStr"/>
      <c r="G95" s="220">
        <f>SUM(C95)-SUM(D95)</f>
        <v/>
      </c>
      <c r="H95" s="220">
        <f>SUM(E95)-SUM(F95)</f>
        <v/>
      </c>
      <c r="I95" s="221">
        <f>IF(A95="Total",VLOOKUP(B95,CORRESPONDANCE[#All],2,FALSE),I96)</f>
        <v/>
      </c>
      <c r="J95" s="350">
        <f>LEFT(A95,1)</f>
        <v/>
      </c>
      <c r="K95" s="347">
        <f>"LYSE"&amp;" - "&amp;A95</f>
        <v/>
      </c>
      <c r="L95" s="347">
        <f>+VLOOKUP(K95,TL[],4,FALSE)</f>
        <v/>
      </c>
    </row>
    <row r="96">
      <c r="A96" s="348" t="inlineStr">
        <is>
          <t>647500</t>
        </is>
      </c>
      <c r="B96" s="348" t="inlineStr">
        <is>
          <t>Medecine du travail pharm</t>
        </is>
      </c>
      <c r="C96" s="348" t="n">
        <v>1000</v>
      </c>
      <c r="D96" s="348" t="inlineStr"/>
      <c r="E96" s="348" t="n">
        <v>1000</v>
      </c>
      <c r="F96" s="348" t="inlineStr"/>
      <c r="G96" s="220">
        <f>SUM(C96)-SUM(D96)</f>
        <v/>
      </c>
      <c r="H96" s="220">
        <f>SUM(E96)-SUM(F96)</f>
        <v/>
      </c>
      <c r="I96" s="221">
        <f>IF(A96="Total",VLOOKUP(B96,CORRESPONDANCE[#All],2,FALSE),I97)</f>
        <v/>
      </c>
      <c r="J96" s="350">
        <f>LEFT(A96,1)</f>
        <v/>
      </c>
      <c r="K96" s="347">
        <f>"LYSE"&amp;" - "&amp;A96</f>
        <v/>
      </c>
      <c r="L96" s="347">
        <f>+VLOOKUP(K96,TL[],4,FALSE)</f>
        <v/>
      </c>
    </row>
    <row r="97">
      <c r="A97" s="348" t="inlineStr">
        <is>
          <t>651003</t>
        </is>
      </c>
      <c r="B97" s="348" t="inlineStr">
        <is>
          <t>Redevance sacem</t>
        </is>
      </c>
      <c r="C97" s="348" t="n">
        <v>100</v>
      </c>
      <c r="D97" s="348" t="inlineStr"/>
      <c r="E97" s="348" t="n">
        <v>100</v>
      </c>
      <c r="F97" s="348" t="inlineStr"/>
      <c r="G97" s="220">
        <f>SUM(C97)-SUM(D97)</f>
        <v/>
      </c>
      <c r="H97" s="220">
        <f>SUM(E97)-SUM(F97)</f>
        <v/>
      </c>
      <c r="I97" s="221">
        <f>IF(A97="Total",VLOOKUP(B97,CORRESPONDANCE[#All],2,FALSE),I98)</f>
        <v/>
      </c>
      <c r="J97" s="350">
        <f>LEFT(A97,1)</f>
        <v/>
      </c>
      <c r="K97" s="347">
        <f>"LYSE"&amp;" - "&amp;A97</f>
        <v/>
      </c>
      <c r="L97" s="347">
        <f>+VLOOKUP(K97,TL[],4,FALSE)</f>
        <v/>
      </c>
    </row>
    <row r="98">
      <c r="A98" s="348" t="inlineStr">
        <is>
          <t>651700</t>
        </is>
      </c>
      <c r="B98" s="348" t="inlineStr">
        <is>
          <t>Redevance interway</t>
        </is>
      </c>
      <c r="C98" s="348" t="n">
        <v>247.65</v>
      </c>
      <c r="D98" s="348" t="inlineStr"/>
      <c r="E98" s="348" t="n">
        <v>247.65</v>
      </c>
      <c r="F98" s="348" t="inlineStr"/>
      <c r="G98" s="220">
        <f>SUM(C98)-SUM(D98)</f>
        <v/>
      </c>
      <c r="H98" s="220">
        <f>SUM(E98)-SUM(F98)</f>
        <v/>
      </c>
      <c r="I98" s="221">
        <f>IF(A98="Total",VLOOKUP(B98,CORRESPONDANCE[#All],2,FALSE),I99)</f>
        <v/>
      </c>
      <c r="J98" s="350">
        <f>LEFT(A98,1)</f>
        <v/>
      </c>
      <c r="K98" s="347">
        <f>"LYSE"&amp;" - "&amp;A98</f>
        <v/>
      </c>
      <c r="L98" s="347">
        <f>+VLOOKUP(K98,TL[],4,FALSE)</f>
        <v/>
      </c>
    </row>
    <row r="99">
      <c r="A99" s="348" t="inlineStr">
        <is>
          <t>Total</t>
        </is>
      </c>
      <c r="B99" s="348" t="inlineStr">
        <is>
          <t>Table n°2  -  Autres Services Extérieurs</t>
        </is>
      </c>
      <c r="C99" s="348" t="n">
        <v>7956.45</v>
      </c>
      <c r="D99" s="348" t="inlineStr"/>
      <c r="E99" s="348" t="n">
        <v>7956.45</v>
      </c>
      <c r="F99" s="348" t="inlineStr"/>
      <c r="G99" s="220">
        <f>SUM(C99)-SUM(D99)</f>
        <v/>
      </c>
      <c r="H99" s="220">
        <f>SUM(E99)-SUM(F99)</f>
        <v/>
      </c>
      <c r="I99" s="221">
        <f>IF(A99="Total",VLOOKUP(B99,CORRESPONDANCE[#All],2,FALSE),#REF!)</f>
        <v/>
      </c>
      <c r="J99" s="350">
        <f>LEFT(A99,1)</f>
        <v/>
      </c>
      <c r="K99" s="347">
        <f>"LYSE"&amp;" - "&amp;A99</f>
        <v/>
      </c>
      <c r="L99" s="347">
        <f>+VLOOKUP(K99,TL[],4,FALSE)</f>
        <v/>
      </c>
    </row>
    <row r="100">
      <c r="A100" s="348" t="inlineStr">
        <is>
          <t>622800</t>
        </is>
      </c>
      <c r="B100" s="348" t="inlineStr">
        <is>
          <t>Commissions uber</t>
        </is>
      </c>
      <c r="C100" s="348" t="n">
        <v>6948.62</v>
      </c>
      <c r="D100" s="348" t="inlineStr"/>
      <c r="E100" s="348" t="n">
        <v>6948.62</v>
      </c>
      <c r="F100" s="348" t="inlineStr"/>
      <c r="G100" s="220">
        <f>SUM(C100)-SUM(D100)</f>
        <v/>
      </c>
      <c r="H100" s="220">
        <f>SUM(E100)-SUM(F100)</f>
        <v/>
      </c>
      <c r="I100" s="221">
        <f>IF(A100="Total",VLOOKUP(B100,CORRESPONDANCE[#All],2,FALSE),I101)</f>
        <v/>
      </c>
      <c r="J100" s="350">
        <f>LEFT(A100,1)</f>
        <v/>
      </c>
      <c r="K100" s="347">
        <f>"LYSE"&amp;" - "&amp;A100</f>
        <v/>
      </c>
      <c r="L100" s="347">
        <f>+VLOOKUP(K100,TL[],4,FALSE)</f>
        <v/>
      </c>
    </row>
    <row r="101">
      <c r="A101" s="348" t="inlineStr">
        <is>
          <t>Total</t>
        </is>
      </c>
      <c r="B101" s="348" t="inlineStr">
        <is>
          <t>Table n°2  -  Commissions Food Tech</t>
        </is>
      </c>
      <c r="C101" s="348" t="n">
        <v>6948.62</v>
      </c>
      <c r="D101" s="348" t="inlineStr"/>
      <c r="E101" s="348" t="n">
        <v>6948.62</v>
      </c>
      <c r="F101" s="348" t="inlineStr"/>
      <c r="G101" s="220">
        <f>SUM(C101)-SUM(D101)</f>
        <v/>
      </c>
      <c r="H101" s="220">
        <f>SUM(E101)-SUM(F101)</f>
        <v/>
      </c>
      <c r="I101" s="221">
        <f>IF(A101="Total",VLOOKUP(B101,CORRESPONDANCE[#All],2,FALSE),I102)</f>
        <v/>
      </c>
      <c r="J101" s="350">
        <f>LEFT(A101,1)</f>
        <v/>
      </c>
      <c r="K101" s="347">
        <f>"LYSE"&amp;" - "&amp;A101</f>
        <v/>
      </c>
      <c r="L101" s="347">
        <f>+VLOOKUP(K101,TL[],4,FALSE)</f>
        <v/>
      </c>
    </row>
    <row r="102">
      <c r="A102" s="348" t="inlineStr">
        <is>
          <t>623000</t>
        </is>
      </c>
      <c r="B102" s="348" t="inlineStr">
        <is>
          <t>Publicite gie</t>
        </is>
      </c>
      <c r="C102" s="348" t="n">
        <v>15259.5</v>
      </c>
      <c r="D102" s="348" t="inlineStr"/>
      <c r="E102" s="348" t="n">
        <v>15259.5</v>
      </c>
      <c r="F102" s="348" t="inlineStr"/>
      <c r="G102" s="220">
        <f>SUM(C102)-SUM(D102)</f>
        <v/>
      </c>
      <c r="H102" s="220">
        <f>SUM(E102)-SUM(F102)</f>
        <v/>
      </c>
      <c r="I102" s="221">
        <f>IF(A102="Total",VLOOKUP(B102,CORRESPONDANCE[#All],2,FALSE),I103)</f>
        <v/>
      </c>
      <c r="J102" s="350">
        <f>LEFT(A102,1)</f>
        <v/>
      </c>
      <c r="K102" s="347">
        <f>"LYSE"&amp;" - "&amp;A102</f>
        <v/>
      </c>
      <c r="L102" s="347">
        <f>+VLOOKUP(K102,TL[],4,FALSE)</f>
        <v/>
      </c>
    </row>
    <row r="103">
      <c r="A103" s="348" t="inlineStr">
        <is>
          <t>Total</t>
        </is>
      </c>
      <c r="B103" s="348" t="inlineStr">
        <is>
          <t>Table n°2  -  Publicité GIE</t>
        </is>
      </c>
      <c r="C103" s="348" t="n">
        <v>15259.5</v>
      </c>
      <c r="D103" s="348" t="inlineStr"/>
      <c r="E103" s="348" t="n">
        <v>15259.5</v>
      </c>
      <c r="F103" s="348" t="inlineStr"/>
      <c r="G103" s="220">
        <f>SUM(C103)-SUM(D103)</f>
        <v/>
      </c>
      <c r="H103" s="220">
        <f>SUM(E103)-SUM(F103)</f>
        <v/>
      </c>
      <c r="I103" s="221">
        <f>IF(A103="Total",VLOOKUP(B103,CORRESPONDANCE[#All],2,FALSE),I104)</f>
        <v/>
      </c>
      <c r="J103" s="350">
        <f>LEFT(A103,1)</f>
        <v/>
      </c>
      <c r="K103" s="347">
        <f>"LYSE"&amp;" - "&amp;A103</f>
        <v/>
      </c>
      <c r="L103" s="347">
        <f>+VLOOKUP(K103,TL[],4,FALSE)</f>
        <v/>
      </c>
    </row>
    <row r="104">
      <c r="A104" s="348" t="inlineStr">
        <is>
          <t>623002</t>
        </is>
      </c>
      <c r="B104" s="348" t="inlineStr">
        <is>
          <t>Promot° locale</t>
        </is>
      </c>
      <c r="C104" s="348" t="n">
        <v>2700</v>
      </c>
      <c r="D104" s="348" t="inlineStr"/>
      <c r="E104" s="348" t="n">
        <v>2700</v>
      </c>
      <c r="F104" s="348" t="inlineStr"/>
      <c r="G104" s="220">
        <f>SUM(C104)-SUM(D104)</f>
        <v/>
      </c>
      <c r="H104" s="220">
        <f>SUM(E104)-SUM(F104)</f>
        <v/>
      </c>
      <c r="I104" s="221">
        <f>IF(A104="Total",VLOOKUP(B104,CORRESPONDANCE[#All],2,FALSE),I105)</f>
        <v/>
      </c>
      <c r="J104" s="350">
        <f>LEFT(A104,1)</f>
        <v/>
      </c>
      <c r="K104" s="347">
        <f>"LYSE"&amp;" - "&amp;A104</f>
        <v/>
      </c>
      <c r="L104" s="347">
        <f>+VLOOKUP(K104,TL[],4,FALSE)</f>
        <v/>
      </c>
    </row>
    <row r="105">
      <c r="A105" s="348" t="inlineStr">
        <is>
          <t>623401</t>
        </is>
      </c>
      <c r="B105" s="348" t="inlineStr">
        <is>
          <t>Promotions</t>
        </is>
      </c>
      <c r="C105" s="348" t="n">
        <v>4185.13</v>
      </c>
      <c r="D105" s="348" t="inlineStr"/>
      <c r="E105" s="348" t="n">
        <v>4185.13</v>
      </c>
      <c r="F105" s="348" t="inlineStr"/>
      <c r="G105" s="220">
        <f>SUM(C105)-SUM(D105)</f>
        <v/>
      </c>
      <c r="H105" s="220">
        <f>SUM(E105)-SUM(F105)</f>
        <v/>
      </c>
      <c r="I105" s="221">
        <f>IF(A105="Total",VLOOKUP(B105,CORRESPONDANCE[#All],2,FALSE),I106)</f>
        <v/>
      </c>
      <c r="J105" s="350">
        <f>LEFT(A105,1)</f>
        <v/>
      </c>
      <c r="K105" s="347">
        <f>"LYSE"&amp;" - "&amp;A105</f>
        <v/>
      </c>
      <c r="L105" s="347">
        <f>+VLOOKUP(K105,TL[],4,FALSE)</f>
        <v/>
      </c>
    </row>
    <row r="106">
      <c r="A106" s="348" t="inlineStr">
        <is>
          <t>623415</t>
        </is>
      </c>
      <c r="B106" s="348" t="inlineStr">
        <is>
          <t>Premium</t>
        </is>
      </c>
      <c r="C106" s="348" t="n">
        <v>254.15</v>
      </c>
      <c r="D106" s="348" t="inlineStr"/>
      <c r="E106" s="348" t="n">
        <v>254.15</v>
      </c>
      <c r="F106" s="348" t="inlineStr"/>
      <c r="G106" s="220">
        <f>SUM(C106)-SUM(D106)</f>
        <v/>
      </c>
      <c r="H106" s="220">
        <f>SUM(E106)-SUM(F106)</f>
        <v/>
      </c>
      <c r="I106" s="221">
        <f>IF(A106="Total",VLOOKUP(B106,CORRESPONDANCE[#All],2,FALSE),I107)</f>
        <v/>
      </c>
      <c r="J106" s="350">
        <f>LEFT(A106,1)</f>
        <v/>
      </c>
      <c r="K106" s="347">
        <f>"LYSE"&amp;" - "&amp;A106</f>
        <v/>
      </c>
      <c r="L106" s="347">
        <f>+VLOOKUP(K106,TL[],4,FALSE)</f>
        <v/>
      </c>
    </row>
    <row r="107">
      <c r="A107" s="348" t="inlineStr">
        <is>
          <t>Total</t>
        </is>
      </c>
      <c r="B107" s="348" t="inlineStr">
        <is>
          <t>Table n°2  -  Promotion locale</t>
        </is>
      </c>
      <c r="C107" s="348" t="n">
        <v>7139.28</v>
      </c>
      <c r="D107" s="348" t="inlineStr"/>
      <c r="E107" s="348" t="n">
        <v>7139.28</v>
      </c>
      <c r="F107" s="348" t="inlineStr"/>
      <c r="G107" s="220">
        <f>SUM(C107)-SUM(D107)</f>
        <v/>
      </c>
      <c r="H107" s="220">
        <f>SUM(E107)-SUM(F107)</f>
        <v/>
      </c>
      <c r="I107" s="221">
        <f>IF(A107="Total",VLOOKUP(B107,CORRESPONDANCE[#All],2,FALSE),I108)</f>
        <v/>
      </c>
      <c r="J107" s="350">
        <f>LEFT(A107,1)</f>
        <v/>
      </c>
      <c r="K107" s="347">
        <f>"LYSE"&amp;" - "&amp;A107</f>
        <v/>
      </c>
      <c r="L107" s="347">
        <f>+VLOOKUP(K107,TL[],4,FALSE)</f>
        <v/>
      </c>
    </row>
    <row r="108">
      <c r="A108" s="348" t="inlineStr">
        <is>
          <t>606101</t>
        </is>
      </c>
      <c r="B108" s="348" t="inlineStr">
        <is>
          <t>Eau restaurant</t>
        </is>
      </c>
      <c r="C108" s="348" t="n">
        <v>654</v>
      </c>
      <c r="D108" s="348" t="inlineStr"/>
      <c r="E108" s="348" t="n">
        <v>654</v>
      </c>
      <c r="F108" s="348" t="inlineStr"/>
      <c r="G108" s="220">
        <f>SUM(C108)-SUM(D108)</f>
        <v/>
      </c>
      <c r="H108" s="220">
        <f>SUM(E108)-SUM(F108)</f>
        <v/>
      </c>
      <c r="I108" s="221">
        <f>IF(A108="Total",VLOOKUP(B108,CORRESPONDANCE[#All],2,FALSE),I109)</f>
        <v/>
      </c>
      <c r="J108" s="350">
        <f>LEFT(A108,1)</f>
        <v/>
      </c>
      <c r="K108" s="347">
        <f>"LYSE"&amp;" - "&amp;A108</f>
        <v/>
      </c>
      <c r="L108" s="347">
        <f>+VLOOKUP(K108,TL[],4,FALSE)</f>
        <v/>
      </c>
    </row>
    <row r="109">
      <c r="A109" s="348" t="inlineStr">
        <is>
          <t>606103</t>
        </is>
      </c>
      <c r="B109" s="348" t="inlineStr">
        <is>
          <t>Electricite restaurant</t>
        </is>
      </c>
      <c r="C109" s="348" t="n">
        <v>9223</v>
      </c>
      <c r="D109" s="348" t="inlineStr"/>
      <c r="E109" s="348" t="n">
        <v>9223</v>
      </c>
      <c r="F109" s="348" t="inlineStr"/>
      <c r="G109" s="220">
        <f>SUM(C109)-SUM(D109)</f>
        <v/>
      </c>
      <c r="H109" s="220">
        <f>SUM(E109)-SUM(F109)</f>
        <v/>
      </c>
      <c r="I109" s="221">
        <f>IF(A109="Total",VLOOKUP(B109,CORRESPONDANCE[#All],2,FALSE),I110)</f>
        <v/>
      </c>
      <c r="J109" s="350">
        <f>LEFT(A109,1)</f>
        <v/>
      </c>
      <c r="K109" s="347">
        <f>"LYSE"&amp;" - "&amp;A109</f>
        <v/>
      </c>
      <c r="L109" s="347">
        <f>+VLOOKUP(K109,TL[],4,FALSE)</f>
        <v/>
      </c>
    </row>
    <row r="110">
      <c r="A110" s="348" t="inlineStr">
        <is>
          <t>606105</t>
        </is>
      </c>
      <c r="B110" s="348" t="inlineStr">
        <is>
          <t>Achats gaz</t>
        </is>
      </c>
      <c r="C110" s="348" t="n">
        <v>589.98</v>
      </c>
      <c r="D110" s="348" t="inlineStr"/>
      <c r="E110" s="348" t="n">
        <v>589.98</v>
      </c>
      <c r="F110" s="348" t="inlineStr"/>
      <c r="G110" s="220">
        <f>SUM(C110)-SUM(D110)</f>
        <v/>
      </c>
      <c r="H110" s="220">
        <f>SUM(E110)-SUM(F110)</f>
        <v/>
      </c>
      <c r="I110" s="221">
        <f>IF(A110="Total",VLOOKUP(B110,CORRESPONDANCE[#All],2,FALSE),I111)</f>
        <v/>
      </c>
      <c r="J110" s="350">
        <f>LEFT(A110,1)</f>
        <v/>
      </c>
      <c r="K110" s="347">
        <f>"LYSE"&amp;" - "&amp;A110</f>
        <v/>
      </c>
      <c r="L110" s="347">
        <f>+VLOOKUP(K110,TL[],4,FALSE)</f>
        <v/>
      </c>
    </row>
    <row r="111">
      <c r="A111" s="348" t="inlineStr">
        <is>
          <t>626200</t>
        </is>
      </c>
      <c r="B111" s="348" t="inlineStr">
        <is>
          <t>Téléphone</t>
        </is>
      </c>
      <c r="C111" s="348" t="n">
        <v>200</v>
      </c>
      <c r="D111" s="348" t="inlineStr"/>
      <c r="E111" s="348" t="n">
        <v>200</v>
      </c>
      <c r="F111" s="348" t="inlineStr"/>
      <c r="G111" s="220">
        <f>SUM(C111)-SUM(D111)</f>
        <v/>
      </c>
      <c r="H111" s="220">
        <f>SUM(E111)-SUM(F111)</f>
        <v/>
      </c>
      <c r="I111" s="221">
        <f>IF(A111="Total",VLOOKUP(B111,CORRESPONDANCE[#All],2,FALSE),I112)</f>
        <v/>
      </c>
      <c r="J111" s="350">
        <f>LEFT(A111,1)</f>
        <v/>
      </c>
      <c r="K111" s="347">
        <f>"LYSE"&amp;" - "&amp;A111</f>
        <v/>
      </c>
      <c r="L111" s="347">
        <f>+VLOOKUP(K111,TL[],4,FALSE)</f>
        <v/>
      </c>
    </row>
    <row r="112">
      <c r="A112" s="348" t="inlineStr">
        <is>
          <t>Total</t>
        </is>
      </c>
      <c r="B112" s="348" t="inlineStr">
        <is>
          <t>Table n°2  -  Electricité, eau, gaz, téléphone</t>
        </is>
      </c>
      <c r="C112" s="348" t="n">
        <v>10666.98</v>
      </c>
      <c r="D112" s="348" t="inlineStr"/>
      <c r="E112" s="348" t="n">
        <v>10666.98</v>
      </c>
      <c r="F112" s="348" t="inlineStr"/>
      <c r="G112" s="220">
        <f>SUM(C112)-SUM(D112)</f>
        <v/>
      </c>
      <c r="H112" s="220">
        <f>SUM(E112)-SUM(F112)</f>
        <v/>
      </c>
      <c r="I112" s="221">
        <f>IF(A112="Total",VLOOKUP(B112,CORRESPONDANCE[#All],2,FALSE),I113)</f>
        <v/>
      </c>
      <c r="J112" s="350">
        <f>LEFT(A112,1)</f>
        <v/>
      </c>
      <c r="K112" s="347">
        <f>"LYSE"&amp;" - "&amp;A112</f>
        <v/>
      </c>
      <c r="L112" s="347">
        <f>+VLOOKUP(K112,TL[],4,FALSE)</f>
        <v/>
      </c>
    </row>
    <row r="113">
      <c r="A113" s="348" t="inlineStr">
        <is>
          <t>602610</t>
        </is>
      </c>
      <c r="B113" s="348" t="inlineStr">
        <is>
          <t>Emballages perdus</t>
        </is>
      </c>
      <c r="C113" s="348" t="n">
        <v>153.93</v>
      </c>
      <c r="D113" s="348" t="inlineStr"/>
      <c r="E113" s="348" t="n">
        <v>153.93</v>
      </c>
      <c r="F113" s="348" t="inlineStr"/>
      <c r="G113" s="220">
        <f>SUM(C113)-SUM(D113)</f>
        <v/>
      </c>
      <c r="H113" s="220">
        <f>SUM(E113)-SUM(F113)</f>
        <v/>
      </c>
      <c r="I113" s="221">
        <f>IF(A113="Total",VLOOKUP(B113,CORRESPONDANCE[#All],2,FALSE),I114)</f>
        <v/>
      </c>
      <c r="J113" s="350">
        <f>LEFT(A113,1)</f>
        <v/>
      </c>
      <c r="K113" s="347">
        <f>"LYSE"&amp;" - "&amp;A113</f>
        <v/>
      </c>
      <c r="L113" s="347">
        <f>+VLOOKUP(K113,TL[],4,FALSE)</f>
        <v/>
      </c>
    </row>
    <row r="114">
      <c r="A114" s="348" t="inlineStr">
        <is>
          <t>606302</t>
        </is>
      </c>
      <c r="B114" s="348" t="inlineStr">
        <is>
          <t>Fourn exploitat° et pdts entretien</t>
        </is>
      </c>
      <c r="C114" s="348" t="n">
        <v>3163.99</v>
      </c>
      <c r="D114" s="348" t="inlineStr"/>
      <c r="E114" s="348" t="n">
        <v>3163.99</v>
      </c>
      <c r="F114" s="348" t="inlineStr"/>
      <c r="G114" s="220">
        <f>SUM(C114)-SUM(D114)</f>
        <v/>
      </c>
      <c r="H114" s="220">
        <f>SUM(E114)-SUM(F114)</f>
        <v/>
      </c>
      <c r="I114" s="221">
        <f>IF(A114="Total",VLOOKUP(B114,CORRESPONDANCE[#All],2,FALSE),I115)</f>
        <v/>
      </c>
      <c r="J114" s="350">
        <f>LEFT(A114,1)</f>
        <v/>
      </c>
      <c r="K114" s="347">
        <f>"LYSE"&amp;" - "&amp;A114</f>
        <v/>
      </c>
      <c r="L114" s="347">
        <f>+VLOOKUP(K114,TL[],4,FALSE)</f>
        <v/>
      </c>
    </row>
    <row r="115">
      <c r="A115" s="348" t="inlineStr">
        <is>
          <t>606401</t>
        </is>
      </c>
      <c r="B115" s="348" t="inlineStr">
        <is>
          <t>Fourni bureau restaurant</t>
        </is>
      </c>
      <c r="C115" s="348" t="n">
        <v>151.22</v>
      </c>
      <c r="D115" s="348" t="inlineStr"/>
      <c r="E115" s="348" t="n">
        <v>151.22</v>
      </c>
      <c r="F115" s="348" t="inlineStr"/>
      <c r="G115" s="220">
        <f>SUM(C115)-SUM(D115)</f>
        <v/>
      </c>
      <c r="H115" s="220">
        <f>SUM(E115)-SUM(F115)</f>
        <v/>
      </c>
      <c r="I115" s="221">
        <f>IF(A115="Total",VLOOKUP(B115,CORRESPONDANCE[#All],2,FALSE),I116)</f>
        <v/>
      </c>
      <c r="J115" s="350">
        <f>LEFT(A115,1)</f>
        <v/>
      </c>
      <c r="K115" s="347">
        <f>"LYSE"&amp;" - "&amp;A115</f>
        <v/>
      </c>
      <c r="L115" s="347">
        <f>+VLOOKUP(K115,TL[],4,FALSE)</f>
        <v/>
      </c>
    </row>
    <row r="116">
      <c r="A116" s="348" t="inlineStr">
        <is>
          <t>Total</t>
        </is>
      </c>
      <c r="B116" s="348" t="inlineStr">
        <is>
          <t>Table n°2  -  Fournitures exploitation et bureau</t>
        </is>
      </c>
      <c r="C116" s="348" t="n">
        <v>3469.14</v>
      </c>
      <c r="D116" s="348" t="inlineStr"/>
      <c r="E116" s="348" t="n">
        <v>3469.14</v>
      </c>
      <c r="F116" s="348" t="inlineStr"/>
      <c r="G116" s="220">
        <f>SUM(C116)-SUM(D116)</f>
        <v/>
      </c>
      <c r="H116" s="220">
        <f>SUM(E116)-SUM(F116)</f>
        <v/>
      </c>
      <c r="I116" s="221">
        <f>IF(A116="Total",VLOOKUP(B116,CORRESPONDANCE[#All],2,FALSE),I117)</f>
        <v/>
      </c>
      <c r="J116" s="350">
        <f>LEFT(A116,1)</f>
        <v/>
      </c>
      <c r="K116" s="347">
        <f>"LYSE"&amp;" - "&amp;A116</f>
        <v/>
      </c>
      <c r="L116" s="347">
        <f>+VLOOKUP(K116,TL[],4,FALSE)</f>
        <v/>
      </c>
    </row>
    <row r="117">
      <c r="A117" s="348" t="inlineStr">
        <is>
          <t>625204</t>
        </is>
      </c>
      <c r="B117" s="348" t="inlineStr">
        <is>
          <t>Frais deplacement mgrs</t>
        </is>
      </c>
      <c r="C117" s="348" t="n">
        <v>134.59</v>
      </c>
      <c r="D117" s="348" t="inlineStr"/>
      <c r="E117" s="348" t="n">
        <v>134.59</v>
      </c>
      <c r="F117" s="348" t="inlineStr"/>
      <c r="G117" s="220">
        <f>SUM(C117)-SUM(D117)</f>
        <v/>
      </c>
      <c r="H117" s="220">
        <f>SUM(E117)-SUM(F117)</f>
        <v/>
      </c>
      <c r="I117" s="221">
        <f>IF(A117="Total",VLOOKUP(B117,CORRESPONDANCE[#All],2,FALSE),I118)</f>
        <v/>
      </c>
      <c r="J117" s="350">
        <f>LEFT(A117,1)</f>
        <v/>
      </c>
      <c r="K117" s="347">
        <f>"LYSE"&amp;" - "&amp;A117</f>
        <v/>
      </c>
      <c r="L117" s="347">
        <f>+VLOOKUP(K117,TL[],4,FALSE)</f>
        <v/>
      </c>
    </row>
    <row r="118">
      <c r="A118" s="348" t="inlineStr">
        <is>
          <t>Total</t>
        </is>
      </c>
      <c r="B118" s="348" t="inlineStr">
        <is>
          <t>Table n°2  -  Frais de déplacements et Evènements</t>
        </is>
      </c>
      <c r="C118" s="348" t="n">
        <v>134.59</v>
      </c>
      <c r="D118" s="348" t="inlineStr"/>
      <c r="E118" s="348" t="n">
        <v>134.59</v>
      </c>
      <c r="F118" s="348" t="inlineStr"/>
      <c r="G118" s="220">
        <f>SUM(C118)-SUM(D118)</f>
        <v/>
      </c>
      <c r="H118" s="220">
        <f>SUM(E118)-SUM(F118)</f>
        <v/>
      </c>
      <c r="I118" s="221">
        <f>IF(A118="Total",VLOOKUP(B118,CORRESPONDANCE[#All],2,FALSE),I119)</f>
        <v/>
      </c>
      <c r="J118" s="350">
        <f>LEFT(A118,1)</f>
        <v/>
      </c>
      <c r="K118" s="347">
        <f>"LYSE"&amp;" - "&amp;A118</f>
        <v/>
      </c>
      <c r="L118" s="347">
        <f>+VLOOKUP(K118,TL[],4,FALSE)</f>
        <v/>
      </c>
    </row>
    <row r="119">
      <c r="A119" s="348" t="inlineStr">
        <is>
          <t>606303</t>
        </is>
      </c>
      <c r="B119" s="348" t="inlineStr">
        <is>
          <t>Uniformes</t>
        </is>
      </c>
      <c r="C119" s="348" t="n">
        <v>1277.5</v>
      </c>
      <c r="D119" s="348" t="inlineStr"/>
      <c r="E119" s="348" t="n">
        <v>1277.5</v>
      </c>
      <c r="F119" s="348" t="inlineStr"/>
      <c r="G119" s="220">
        <f>SUM(C119)-SUM(D119)</f>
        <v/>
      </c>
      <c r="H119" s="220">
        <f>SUM(E119)-SUM(F119)</f>
        <v/>
      </c>
      <c r="I119" s="221">
        <f>IF(A119="Total",VLOOKUP(B119,CORRESPONDANCE[#All],2,FALSE),I120)</f>
        <v/>
      </c>
      <c r="J119" s="350">
        <f>LEFT(A119,1)</f>
        <v/>
      </c>
      <c r="K119" s="347">
        <f>"LYSE"&amp;" - "&amp;A119</f>
        <v/>
      </c>
      <c r="L119" s="347">
        <f>+VLOOKUP(K119,TL[],4,FALSE)</f>
        <v/>
      </c>
    </row>
    <row r="120">
      <c r="A120" s="348" t="inlineStr">
        <is>
          <t>625100</t>
        </is>
      </c>
      <c r="B120" s="348" t="inlineStr">
        <is>
          <t>Frais deplacemts</t>
        </is>
      </c>
      <c r="C120" s="348" t="n">
        <v>410</v>
      </c>
      <c r="D120" s="348" t="inlineStr"/>
      <c r="E120" s="348" t="n">
        <v>410</v>
      </c>
      <c r="F120" s="348" t="inlineStr"/>
      <c r="G120" s="220">
        <f>SUM(C120)-SUM(D120)</f>
        <v/>
      </c>
      <c r="H120" s="220">
        <f>SUM(E120)-SUM(F120)</f>
        <v/>
      </c>
      <c r="I120" s="221">
        <f>IF(A120="Total",VLOOKUP(B120,CORRESPONDANCE[#All],2,FALSE),I121)</f>
        <v/>
      </c>
      <c r="J120" s="350">
        <f>LEFT(A120,1)</f>
        <v/>
      </c>
      <c r="K120" s="347">
        <f>"LYSE"&amp;" - "&amp;A120</f>
        <v/>
      </c>
      <c r="L120" s="347">
        <f>+VLOOKUP(K120,TL[],4,FALSE)</f>
        <v/>
      </c>
    </row>
    <row r="121">
      <c r="A121" s="348" t="inlineStr">
        <is>
          <t>628023</t>
        </is>
      </c>
      <c r="B121" s="348" t="inlineStr">
        <is>
          <t>Divers</t>
        </is>
      </c>
      <c r="C121" s="348" t="n">
        <v>286</v>
      </c>
      <c r="D121" s="348" t="inlineStr"/>
      <c r="E121" s="348" t="n">
        <v>286</v>
      </c>
      <c r="F121" s="348" t="inlineStr"/>
      <c r="G121" s="220">
        <f>SUM(C121)-SUM(D121)</f>
        <v/>
      </c>
      <c r="H121" s="220">
        <f>SUM(E121)-SUM(F121)</f>
        <v/>
      </c>
      <c r="I121" s="221">
        <f>IF(A121="Total",VLOOKUP(B121,CORRESPONDANCE[#All],2,FALSE),I122)</f>
        <v/>
      </c>
      <c r="J121" s="350">
        <f>LEFT(A121,1)</f>
        <v/>
      </c>
      <c r="K121" s="347">
        <f>"LYSE"&amp;" - "&amp;A121</f>
        <v/>
      </c>
      <c r="L121" s="347">
        <f>+VLOOKUP(K121,TL[],4,FALSE)</f>
        <v/>
      </c>
    </row>
    <row r="122">
      <c r="A122" s="348" t="inlineStr">
        <is>
          <t>658000</t>
        </is>
      </c>
      <c r="B122" s="348" t="inlineStr">
        <is>
          <t>Charges div.gest.courante</t>
        </is>
      </c>
      <c r="C122" s="348" t="n">
        <v>0.06</v>
      </c>
      <c r="D122" s="348" t="inlineStr"/>
      <c r="E122" s="348" t="n">
        <v>0.06</v>
      </c>
      <c r="F122" s="348" t="inlineStr"/>
      <c r="G122" s="220">
        <f>SUM(C122)-SUM(D122)</f>
        <v/>
      </c>
      <c r="H122" s="220">
        <f>SUM(E122)-SUM(F122)</f>
        <v/>
      </c>
      <c r="I122" s="221">
        <f>IF(A122="Total",VLOOKUP(B122,CORRESPONDANCE[#All],2,FALSE),I123)</f>
        <v/>
      </c>
      <c r="J122" s="350">
        <f>LEFT(A122,1)</f>
        <v/>
      </c>
      <c r="K122" s="347">
        <f>"LYSE"&amp;" - "&amp;A122</f>
        <v/>
      </c>
      <c r="L122" s="347">
        <f>+VLOOKUP(K122,TL[],4,FALSE)</f>
        <v/>
      </c>
    </row>
    <row r="123">
      <c r="A123" s="348" t="inlineStr">
        <is>
          <t>671100</t>
        </is>
      </c>
      <c r="B123" s="348" t="inlineStr">
        <is>
          <t>Ecarts caisse</t>
        </is>
      </c>
      <c r="C123" s="348" t="n">
        <v>238.26</v>
      </c>
      <c r="D123" s="348" t="inlineStr"/>
      <c r="E123" s="348" t="n">
        <v>238.26</v>
      </c>
      <c r="F123" s="348" t="inlineStr"/>
      <c r="G123" s="220">
        <f>SUM(C123)-SUM(D123)</f>
        <v/>
      </c>
      <c r="H123" s="220">
        <f>SUM(E123)-SUM(F123)</f>
        <v/>
      </c>
      <c r="I123" s="221">
        <f>IF(A123="Total",VLOOKUP(B123,CORRESPONDANCE[#All],2,FALSE),I124)</f>
        <v/>
      </c>
      <c r="J123" s="350">
        <f>LEFT(A123,1)</f>
        <v/>
      </c>
      <c r="K123" s="347">
        <f>"LYSE"&amp;" - "&amp;A123</f>
        <v/>
      </c>
      <c r="L123" s="347">
        <f>+VLOOKUP(K123,TL[],4,FALSE)</f>
        <v/>
      </c>
    </row>
    <row r="124">
      <c r="A124" s="348" t="inlineStr">
        <is>
          <t>771100</t>
        </is>
      </c>
      <c r="B124" s="348" t="inlineStr">
        <is>
          <t>Ecarts caisse</t>
        </is>
      </c>
      <c r="C124" s="348" t="inlineStr"/>
      <c r="D124" s="348" t="n">
        <v>118.94</v>
      </c>
      <c r="E124" s="348" t="inlineStr"/>
      <c r="F124" s="348" t="n">
        <v>118.94</v>
      </c>
      <c r="G124" s="220">
        <f>SUM(C124)-SUM(D124)</f>
        <v/>
      </c>
      <c r="H124" s="220">
        <f>SUM(E124)-SUM(F124)</f>
        <v/>
      </c>
      <c r="I124" s="221">
        <f>IF(A124="Total",VLOOKUP(B124,CORRESPONDANCE[#All],2,FALSE),I125)</f>
        <v/>
      </c>
      <c r="J124" s="350">
        <f>LEFT(A124,1)</f>
        <v/>
      </c>
      <c r="K124" s="347">
        <f>"LYSE"&amp;" - "&amp;A124</f>
        <v/>
      </c>
      <c r="L124" s="347">
        <f>+VLOOKUP(K124,TL[],4,FALSE)</f>
        <v/>
      </c>
    </row>
    <row r="125">
      <c r="A125" s="348" t="inlineStr">
        <is>
          <t>Total</t>
        </is>
      </c>
      <c r="B125" s="348" t="inlineStr">
        <is>
          <t>Table n°2  -  Divers</t>
        </is>
      </c>
      <c r="C125" s="348" t="n">
        <v>2092.88</v>
      </c>
      <c r="D125" s="348" t="inlineStr"/>
      <c r="E125" s="348" t="n">
        <v>2092.88</v>
      </c>
      <c r="F125" s="348" t="inlineStr"/>
      <c r="G125" s="220">
        <f>SUM(C125)-SUM(D125)</f>
        <v/>
      </c>
      <c r="H125" s="220">
        <f>SUM(E125)-SUM(F125)</f>
        <v/>
      </c>
      <c r="I125" s="221">
        <f>IF(A125="Total",VLOOKUP(B125,CORRESPONDANCE[#All],2,FALSE),I126)</f>
        <v/>
      </c>
      <c r="J125" s="350">
        <f>LEFT(A125,1)</f>
        <v/>
      </c>
      <c r="K125" s="347">
        <f>"LYSE"&amp;" - "&amp;A125</f>
        <v/>
      </c>
      <c r="L125" s="347">
        <f>+VLOOKUP(K125,TL[],4,FALSE)</f>
        <v/>
      </c>
    </row>
    <row r="126">
      <c r="A126" s="348" t="inlineStr">
        <is>
          <t>613200</t>
        </is>
      </c>
      <c r="B126" s="348" t="inlineStr">
        <is>
          <t>Redevance standard 14%</t>
        </is>
      </c>
      <c r="C126" s="348" t="n">
        <v>54120.39</v>
      </c>
      <c r="D126" s="348" t="inlineStr"/>
      <c r="E126" s="348" t="n">
        <v>54120.39</v>
      </c>
      <c r="F126" s="348" t="inlineStr"/>
      <c r="G126" s="220">
        <f>SUM(C126)-SUM(D126)</f>
        <v/>
      </c>
      <c r="H126" s="220">
        <f>SUM(E126)-SUM(F126)</f>
        <v/>
      </c>
      <c r="I126" s="221">
        <f>IF(A126="Total",VLOOKUP(B126,CORRESPONDANCE[#All],2,FALSE),I127)</f>
        <v/>
      </c>
      <c r="J126" s="350">
        <f>LEFT(A126,1)</f>
        <v/>
      </c>
      <c r="K126" s="347">
        <f>"LYSE"&amp;" - "&amp;A126</f>
        <v/>
      </c>
      <c r="L126" s="347">
        <f>+VLOOKUP(K126,TL[],4,FALSE)</f>
        <v/>
      </c>
    </row>
    <row r="127">
      <c r="A127" s="348" t="inlineStr">
        <is>
          <t>Total</t>
        </is>
      </c>
      <c r="B127" s="348" t="inlineStr">
        <is>
          <t>Table n°2  -  Redevance standard</t>
        </is>
      </c>
      <c r="C127" s="348" t="n">
        <v>54120.39</v>
      </c>
      <c r="D127" s="348" t="inlineStr"/>
      <c r="E127" s="348" t="n">
        <v>54120.39</v>
      </c>
      <c r="F127" s="348" t="inlineStr"/>
      <c r="G127" s="220">
        <f>SUM(C127)-SUM(D127)</f>
        <v/>
      </c>
      <c r="H127" s="220">
        <f>SUM(E127)-SUM(F127)</f>
        <v/>
      </c>
      <c r="I127" s="221">
        <f>IF(A127="Total",VLOOKUP(B127,CORRESPONDANCE[#All],2,FALSE),I128)</f>
        <v/>
      </c>
      <c r="J127" s="350">
        <f>LEFT(A127,1)</f>
        <v/>
      </c>
      <c r="K127" s="347">
        <f>"LYSE"&amp;" - "&amp;A127</f>
        <v/>
      </c>
      <c r="L127" s="347">
        <f>+VLOOKUP(K127,TL[],4,FALSE)</f>
        <v/>
      </c>
    </row>
    <row r="128">
      <c r="A128" s="348" t="inlineStr">
        <is>
          <t>651200</t>
        </is>
      </c>
      <c r="B128" s="348" t="inlineStr">
        <is>
          <t>Avoir hm 14%</t>
        </is>
      </c>
      <c r="C128" s="348" t="inlineStr"/>
      <c r="D128" s="348" t="n">
        <v>712.16</v>
      </c>
      <c r="E128" s="348" t="inlineStr"/>
      <c r="F128" s="348" t="n">
        <v>712.16</v>
      </c>
      <c r="G128" s="220">
        <f>SUM(C128)-SUM(D128)</f>
        <v/>
      </c>
      <c r="H128" s="220">
        <f>SUM(E128)-SUM(F128)</f>
        <v/>
      </c>
      <c r="I128" s="221">
        <f>IF(A128="Total",VLOOKUP(B128,CORRESPONDANCE[#All],2,FALSE),I129)</f>
        <v/>
      </c>
      <c r="J128" s="350">
        <f>LEFT(A128,1)</f>
        <v/>
      </c>
      <c r="K128" s="347">
        <f>"LYSE"&amp;" - "&amp;A128</f>
        <v/>
      </c>
      <c r="L128" s="347">
        <f>+VLOOKUP(K128,TL[],4,FALSE)</f>
        <v/>
      </c>
    </row>
    <row r="129">
      <c r="A129" s="348" t="inlineStr">
        <is>
          <t>651210</t>
        </is>
      </c>
      <c r="B129" s="348" t="inlineStr">
        <is>
          <t>Avoir hm 5%</t>
        </is>
      </c>
      <c r="C129" s="348" t="inlineStr"/>
      <c r="D129" s="348" t="n">
        <v>253.7</v>
      </c>
      <c r="E129" s="348" t="inlineStr"/>
      <c r="F129" s="348" t="n">
        <v>253.7</v>
      </c>
      <c r="G129" s="220">
        <f>SUM(C129)-SUM(D129)</f>
        <v/>
      </c>
      <c r="H129" s="220">
        <f>SUM(E129)-SUM(F129)</f>
        <v/>
      </c>
      <c r="I129" s="221">
        <f>IF(A129="Total",VLOOKUP(B129,CORRESPONDANCE[#All],2,FALSE),I130)</f>
        <v/>
      </c>
      <c r="J129" s="350">
        <f>LEFT(A129,1)</f>
        <v/>
      </c>
      <c r="K129" s="347">
        <f>"LYSE"&amp;" - "&amp;A129</f>
        <v/>
      </c>
      <c r="L129" s="347">
        <f>+VLOOKUP(K129,TL[],4,FALSE)</f>
        <v/>
      </c>
    </row>
    <row r="130">
      <c r="A130" s="348" t="inlineStr">
        <is>
          <t>Total</t>
        </is>
      </c>
      <c r="B130" s="348" t="inlineStr">
        <is>
          <t>Table n°2  -  Incentives et Avoirs de redevance</t>
        </is>
      </c>
      <c r="C130" s="348" t="inlineStr"/>
      <c r="D130" s="348" t="n">
        <v>965.86</v>
      </c>
      <c r="E130" s="348" t="inlineStr"/>
      <c r="F130" s="348" t="n">
        <v>965.86</v>
      </c>
      <c r="G130" s="220">
        <f>SUM(C130)-SUM(D130)</f>
        <v/>
      </c>
      <c r="H130" s="220">
        <f>SUM(E130)-SUM(F130)</f>
        <v/>
      </c>
      <c r="I130" s="221">
        <f>IF(A130="Total",VLOOKUP(B130,CORRESPONDANCE[#All],2,FALSE),I131)</f>
        <v/>
      </c>
      <c r="J130" s="350">
        <f>LEFT(A130,1)</f>
        <v/>
      </c>
      <c r="K130" s="347">
        <f>"LYSE"&amp;" - "&amp;A130</f>
        <v/>
      </c>
      <c r="L130" s="347">
        <f>+VLOOKUP(K130,TL[],4,FALSE)</f>
        <v/>
      </c>
    </row>
    <row r="131">
      <c r="A131" s="348" t="inlineStr">
        <is>
          <t>614100</t>
        </is>
      </c>
      <c r="B131" s="348" t="inlineStr">
        <is>
          <t>Charges locatives mc do france</t>
        </is>
      </c>
      <c r="C131" s="348" t="n">
        <v>563</v>
      </c>
      <c r="D131" s="348" t="inlineStr"/>
      <c r="E131" s="348" t="n">
        <v>563</v>
      </c>
      <c r="F131" s="348" t="inlineStr"/>
      <c r="G131" s="220">
        <f>SUM(C131)-SUM(D131)</f>
        <v/>
      </c>
      <c r="H131" s="220">
        <f>SUM(E131)-SUM(F131)</f>
        <v/>
      </c>
      <c r="I131" s="221">
        <f>IF(A131="Total",VLOOKUP(B131,CORRESPONDANCE[#All],2,FALSE),I132)</f>
        <v/>
      </c>
      <c r="J131" s="350">
        <f>LEFT(A131,1)</f>
        <v/>
      </c>
      <c r="K131" s="347">
        <f>"LYSE"&amp;" - "&amp;A131</f>
        <v/>
      </c>
      <c r="L131" s="347">
        <f>+VLOOKUP(K131,TL[],4,FALSE)</f>
        <v/>
      </c>
    </row>
    <row r="132">
      <c r="A132" s="348" t="inlineStr">
        <is>
          <t>Total</t>
        </is>
      </c>
      <c r="B132" s="348" t="inlineStr">
        <is>
          <t>Table n°2  -  Charges locatives et copro</t>
        </is>
      </c>
      <c r="C132" s="348" t="n">
        <v>563</v>
      </c>
      <c r="D132" s="348" t="inlineStr"/>
      <c r="E132" s="348" t="n">
        <v>563</v>
      </c>
      <c r="F132" s="348" t="inlineStr"/>
      <c r="G132" s="220">
        <f>SUM(C132)-SUM(D132)</f>
        <v/>
      </c>
      <c r="H132" s="220">
        <f>SUM(E132)-SUM(F132)</f>
        <v/>
      </c>
      <c r="I132" s="221">
        <f>IF(A132="Total",VLOOKUP(B132,CORRESPONDANCE[#All],2,FALSE),I133)</f>
        <v/>
      </c>
      <c r="J132" s="350">
        <f>LEFT(A132,1)</f>
        <v/>
      </c>
      <c r="K132" s="347">
        <f>"LYSE"&amp;" - "&amp;A132</f>
        <v/>
      </c>
      <c r="L132" s="347">
        <f>+VLOOKUP(K132,TL[],4,FALSE)</f>
        <v/>
      </c>
    </row>
    <row r="133">
      <c r="A133" s="348" t="inlineStr">
        <is>
          <t>651001</t>
        </is>
      </c>
      <c r="B133" s="348" t="inlineStr">
        <is>
          <t>Redevance service 5%</t>
        </is>
      </c>
      <c r="C133" s="348" t="n">
        <v>19328.07</v>
      </c>
      <c r="D133" s="348" t="inlineStr"/>
      <c r="E133" s="348" t="n">
        <v>19328.07</v>
      </c>
      <c r="F133" s="348" t="inlineStr"/>
      <c r="G133" s="220">
        <f>SUM(C133)-SUM(D133)</f>
        <v/>
      </c>
      <c r="H133" s="220">
        <f>SUM(E133)-SUM(F133)</f>
        <v/>
      </c>
      <c r="I133" s="221">
        <f>IF(A133="Total",VLOOKUP(B133,CORRESPONDANCE[#All],2,FALSE),I134)</f>
        <v/>
      </c>
      <c r="J133" s="350">
        <f>LEFT(A133,1)</f>
        <v/>
      </c>
      <c r="K133" s="347">
        <f>"LYSE"&amp;" - "&amp;A133</f>
        <v/>
      </c>
      <c r="L133" s="347">
        <f>+VLOOKUP(K133,TL[],4,FALSE)</f>
        <v/>
      </c>
    </row>
    <row r="134">
      <c r="A134" s="348" t="inlineStr">
        <is>
          <t>Total</t>
        </is>
      </c>
      <c r="B134" s="348" t="inlineStr">
        <is>
          <t>Table n°2  -  Redevance service 5%</t>
        </is>
      </c>
      <c r="C134" s="348" t="n">
        <v>19328.07</v>
      </c>
      <c r="D134" s="348" t="inlineStr"/>
      <c r="E134" s="348" t="n">
        <v>19328.07</v>
      </c>
      <c r="F134" s="348" t="inlineStr"/>
      <c r="G134" s="220">
        <f>SUM(C134)-SUM(D134)</f>
        <v/>
      </c>
      <c r="H134" s="220">
        <f>SUM(E134)-SUM(F134)</f>
        <v/>
      </c>
      <c r="I134" s="221">
        <f>IF(A134="Total",VLOOKUP(B134,CORRESPONDANCE[#All],2,FALSE),I135)</f>
        <v/>
      </c>
      <c r="J134" s="350">
        <f>LEFT(A134,1)</f>
        <v/>
      </c>
      <c r="K134" s="347">
        <f>"LYSE"&amp;" - "&amp;A134</f>
        <v/>
      </c>
      <c r="L134" s="347">
        <f>+VLOOKUP(K134,TL[],4,FALSE)</f>
        <v/>
      </c>
    </row>
    <row r="135">
      <c r="A135" s="348" t="inlineStr">
        <is>
          <t>622600</t>
        </is>
      </c>
      <c r="B135" s="348" t="inlineStr">
        <is>
          <t>Honoraire comptable</t>
        </is>
      </c>
      <c r="C135" s="348" t="n">
        <v>860</v>
      </c>
      <c r="D135" s="348" t="inlineStr"/>
      <c r="E135" s="348" t="n">
        <v>860</v>
      </c>
      <c r="F135" s="348" t="inlineStr"/>
      <c r="G135" s="220">
        <f>SUM(C135)-SUM(D135)</f>
        <v/>
      </c>
      <c r="H135" s="220">
        <f>SUM(E135)-SUM(F135)</f>
        <v/>
      </c>
      <c r="I135" s="221">
        <f>IF(A135="Total",VLOOKUP(B135,CORRESPONDANCE[#All],2,FALSE),I136)</f>
        <v/>
      </c>
      <c r="J135" s="350">
        <f>LEFT(A135,1)</f>
        <v/>
      </c>
      <c r="K135" s="347">
        <f>"LYSE"&amp;" - "&amp;A135</f>
        <v/>
      </c>
      <c r="L135" s="347">
        <f>+VLOOKUP(K135,TL[],4,FALSE)</f>
        <v/>
      </c>
    </row>
    <row r="136">
      <c r="A136" s="348" t="inlineStr">
        <is>
          <t>622610</t>
        </is>
      </c>
      <c r="B136" s="348" t="inlineStr">
        <is>
          <t>Honoraire juridique</t>
        </is>
      </c>
      <c r="C136" s="348" t="n">
        <v>1185</v>
      </c>
      <c r="D136" s="348" t="inlineStr"/>
      <c r="E136" s="348" t="n">
        <v>1185</v>
      </c>
      <c r="F136" s="348" t="inlineStr"/>
      <c r="G136" s="220">
        <f>SUM(C136)-SUM(D136)</f>
        <v/>
      </c>
      <c r="H136" s="220">
        <f>SUM(E136)-SUM(F136)</f>
        <v/>
      </c>
      <c r="I136" s="221">
        <f>IF(A136="Total",VLOOKUP(B136,CORRESPONDANCE[#All],2,FALSE),I137)</f>
        <v/>
      </c>
      <c r="J136" s="350">
        <f>LEFT(A136,1)</f>
        <v/>
      </c>
      <c r="K136" s="347">
        <f>"LYSE"&amp;" - "&amp;A136</f>
        <v/>
      </c>
      <c r="L136" s="347">
        <f>+VLOOKUP(K136,TL[],4,FALSE)</f>
        <v/>
      </c>
    </row>
    <row r="137">
      <c r="A137" s="348" t="inlineStr">
        <is>
          <t>622620</t>
        </is>
      </c>
      <c r="B137" s="348" t="inlineStr">
        <is>
          <t>Honoraires cac</t>
        </is>
      </c>
      <c r="C137" s="348" t="n">
        <v>445</v>
      </c>
      <c r="D137" s="348" t="inlineStr"/>
      <c r="E137" s="348" t="n">
        <v>445</v>
      </c>
      <c r="F137" s="348" t="inlineStr"/>
      <c r="G137" s="220">
        <f>SUM(C137)-SUM(D137)</f>
        <v/>
      </c>
      <c r="H137" s="220">
        <f>SUM(E137)-SUM(F137)</f>
        <v/>
      </c>
      <c r="I137" s="221">
        <f>IF(A137="Total",VLOOKUP(B137,CORRESPONDANCE[#All],2,FALSE),I138)</f>
        <v/>
      </c>
      <c r="J137" s="350">
        <f>LEFT(A137,1)</f>
        <v/>
      </c>
      <c r="K137" s="347">
        <f>"LYSE"&amp;" - "&amp;A137</f>
        <v/>
      </c>
      <c r="L137" s="347">
        <f>+VLOOKUP(K137,TL[],4,FALSE)</f>
        <v/>
      </c>
    </row>
    <row r="138">
      <c r="A138" s="348" t="inlineStr">
        <is>
          <t>622630</t>
        </is>
      </c>
      <c r="B138" s="348" t="inlineStr">
        <is>
          <t>honoraires divers</t>
        </is>
      </c>
      <c r="C138" s="348" t="n">
        <v>289</v>
      </c>
      <c r="D138" s="348" t="inlineStr"/>
      <c r="E138" s="348" t="n">
        <v>289</v>
      </c>
      <c r="F138" s="348" t="inlineStr"/>
      <c r="G138" s="220">
        <f>SUM(C138)-SUM(D138)</f>
        <v/>
      </c>
      <c r="H138" s="220">
        <f>SUM(E138)-SUM(F138)</f>
        <v/>
      </c>
      <c r="I138" s="221">
        <f>IF(A138="Total",VLOOKUP(B138,CORRESPONDANCE[#All],2,FALSE),I139)</f>
        <v/>
      </c>
      <c r="J138" s="350">
        <f>LEFT(A138,1)</f>
        <v/>
      </c>
      <c r="K138" s="347">
        <f>"LYSE"&amp;" - "&amp;A138</f>
        <v/>
      </c>
      <c r="L138" s="347">
        <f>+VLOOKUP(K138,TL[],4,FALSE)</f>
        <v/>
      </c>
    </row>
    <row r="139">
      <c r="A139" s="348" t="inlineStr">
        <is>
          <t>Total</t>
        </is>
      </c>
      <c r="B139" s="348" t="inlineStr">
        <is>
          <t>Table n°2  -  Frais comptables et juridiques</t>
        </is>
      </c>
      <c r="C139" s="348" t="n">
        <v>2779</v>
      </c>
      <c r="D139" s="348" t="inlineStr"/>
      <c r="E139" s="348" t="n">
        <v>2779</v>
      </c>
      <c r="F139" s="348" t="inlineStr"/>
      <c r="G139" s="220">
        <f>SUM(C139)-SUM(D139)</f>
        <v/>
      </c>
      <c r="H139" s="220">
        <f>SUM(E139)-SUM(F139)</f>
        <v/>
      </c>
      <c r="I139" s="221">
        <f>IF(A139="Total",VLOOKUP(B139,CORRESPONDANCE[#All],2,FALSE),I140)</f>
        <v/>
      </c>
      <c r="J139" s="350">
        <f>LEFT(A139,1)</f>
        <v/>
      </c>
      <c r="K139" s="347">
        <f>"LYSE"&amp;" - "&amp;A139</f>
        <v/>
      </c>
      <c r="L139" s="347">
        <f>+VLOOKUP(K139,TL[],4,FALSE)</f>
        <v/>
      </c>
    </row>
    <row r="140">
      <c r="A140" s="348" t="inlineStr">
        <is>
          <t>616001</t>
        </is>
      </c>
      <c r="B140" s="348" t="inlineStr">
        <is>
          <t>Assurance multirisque res</t>
        </is>
      </c>
      <c r="C140" s="348" t="n">
        <v>2200</v>
      </c>
      <c r="D140" s="348" t="inlineStr"/>
      <c r="E140" s="348" t="n">
        <v>2200</v>
      </c>
      <c r="F140" s="348" t="inlineStr"/>
      <c r="G140" s="220">
        <f>SUM(C140)-SUM(D140)</f>
        <v/>
      </c>
      <c r="H140" s="220">
        <f>SUM(E140)-SUM(F140)</f>
        <v/>
      </c>
      <c r="I140" s="221">
        <f>IF(A140="Total",VLOOKUP(B140,CORRESPONDANCE[#All],2,FALSE),I141)</f>
        <v/>
      </c>
      <c r="J140" s="350">
        <f>LEFT(A140,1)</f>
        <v/>
      </c>
      <c r="K140" s="347">
        <f>"LYSE"&amp;" - "&amp;A140</f>
        <v/>
      </c>
      <c r="L140" s="347">
        <f>+VLOOKUP(K140,TL[],4,FALSE)</f>
        <v/>
      </c>
    </row>
    <row r="141">
      <c r="A141" s="348" t="inlineStr">
        <is>
          <t>616003</t>
        </is>
      </c>
      <c r="B141" s="348" t="inlineStr">
        <is>
          <t>Assurance auto-mission</t>
        </is>
      </c>
      <c r="C141" s="348" t="n">
        <v>19.58</v>
      </c>
      <c r="D141" s="348" t="inlineStr"/>
      <c r="E141" s="348" t="n">
        <v>19.58</v>
      </c>
      <c r="F141" s="348" t="inlineStr"/>
      <c r="G141" s="220">
        <f>SUM(C141)-SUM(D141)</f>
        <v/>
      </c>
      <c r="H141" s="220">
        <f>SUM(E141)-SUM(F141)</f>
        <v/>
      </c>
      <c r="I141" s="221">
        <f>IF(A141="Total",VLOOKUP(B141,CORRESPONDANCE[#All],2,FALSE),I142)</f>
        <v/>
      </c>
      <c r="J141" s="350">
        <f>LEFT(A141,1)</f>
        <v/>
      </c>
      <c r="K141" s="347">
        <f>"LYSE"&amp;" - "&amp;A141</f>
        <v/>
      </c>
      <c r="L141" s="347">
        <f>+VLOOKUP(K141,TL[],4,FALSE)</f>
        <v/>
      </c>
    </row>
    <row r="142">
      <c r="A142" s="348" t="inlineStr">
        <is>
          <t>Total</t>
        </is>
      </c>
      <c r="B142" s="348" t="inlineStr">
        <is>
          <t>Table n°2  -  Assurances</t>
        </is>
      </c>
      <c r="C142" s="348" t="n">
        <v>2219.58</v>
      </c>
      <c r="D142" s="348" t="inlineStr"/>
      <c r="E142" s="348" t="n">
        <v>2219.58</v>
      </c>
      <c r="F142" s="348" t="inlineStr"/>
      <c r="G142" s="220">
        <f>SUM(C142)-SUM(D142)</f>
        <v/>
      </c>
      <c r="H142" s="220">
        <f>SUM(E142)-SUM(F142)</f>
        <v/>
      </c>
      <c r="I142" s="221">
        <f>IF(A142="Total",VLOOKUP(B142,CORRESPONDANCE[#All],2,FALSE),I143)</f>
        <v/>
      </c>
      <c r="J142" s="350">
        <f>LEFT(A142,1)</f>
        <v/>
      </c>
      <c r="K142" s="347">
        <f>"LYSE"&amp;" - "&amp;A142</f>
        <v/>
      </c>
      <c r="L142" s="347">
        <f>+VLOOKUP(K142,TL[],4,FALSE)</f>
        <v/>
      </c>
    </row>
    <row r="143">
      <c r="A143" s="348" t="inlineStr">
        <is>
          <t>633300</t>
        </is>
      </c>
      <c r="B143" s="348" t="inlineStr">
        <is>
          <t>Format° pro.</t>
        </is>
      </c>
      <c r="C143" s="348" t="n">
        <v>918.28</v>
      </c>
      <c r="D143" s="348" t="inlineStr"/>
      <c r="E143" s="348" t="n">
        <v>918.28</v>
      </c>
      <c r="F143" s="348" t="inlineStr"/>
      <c r="G143" s="220">
        <f>SUM(C143)-SUM(D143)</f>
        <v/>
      </c>
      <c r="H143" s="220">
        <f>SUM(E143)-SUM(F143)</f>
        <v/>
      </c>
      <c r="I143" s="221">
        <f>IF(A143="Total",VLOOKUP(B143,CORRESPONDANCE[#All],2,FALSE),I144)</f>
        <v/>
      </c>
      <c r="J143" s="350">
        <f>LEFT(A143,1)</f>
        <v/>
      </c>
      <c r="K143" s="347">
        <f>"LYSE"&amp;" - "&amp;A143</f>
        <v/>
      </c>
      <c r="L143" s="347">
        <f>+VLOOKUP(K143,TL[],4,FALSE)</f>
        <v/>
      </c>
    </row>
    <row r="144">
      <c r="A144" s="348" t="inlineStr">
        <is>
          <t>633500</t>
        </is>
      </c>
      <c r="B144" s="348" t="inlineStr">
        <is>
          <t>Taxe apprentissage</t>
        </is>
      </c>
      <c r="C144" s="348" t="n">
        <v>610.8200000000001</v>
      </c>
      <c r="D144" s="348" t="inlineStr"/>
      <c r="E144" s="348" t="n">
        <v>610.8200000000001</v>
      </c>
      <c r="F144" s="348" t="inlineStr"/>
      <c r="G144" s="220">
        <f>SUM(C144)-SUM(D144)</f>
        <v/>
      </c>
      <c r="H144" s="220">
        <f>SUM(E144)-SUM(F144)</f>
        <v/>
      </c>
      <c r="I144" s="221">
        <f>IF(A144="Total",VLOOKUP(B144,CORRESPONDANCE[#All],2,FALSE),#REF!)</f>
        <v/>
      </c>
      <c r="J144" s="350">
        <f>LEFT(A144,1)</f>
        <v/>
      </c>
      <c r="K144" s="347">
        <f>"LYSE"&amp;" - "&amp;A144</f>
        <v/>
      </c>
      <c r="L144" s="347">
        <f>+VLOOKUP(K144,TL[],4,FALSE)</f>
        <v/>
      </c>
    </row>
    <row r="145">
      <c r="A145" s="348" t="inlineStr">
        <is>
          <t>635111</t>
        </is>
      </c>
      <c r="B145" s="348" t="inlineStr">
        <is>
          <t>Contrib.fonciere entreprise</t>
        </is>
      </c>
      <c r="C145" s="348" t="n">
        <v>392</v>
      </c>
      <c r="D145" s="348" t="inlineStr"/>
      <c r="E145" s="348" t="n">
        <v>392</v>
      </c>
      <c r="F145" s="348" t="inlineStr"/>
      <c r="G145" s="220">
        <f>SUM(C145)-SUM(D145)</f>
        <v/>
      </c>
      <c r="H145" s="220">
        <f>SUM(E145)-SUM(F145)</f>
        <v/>
      </c>
      <c r="I145" s="221">
        <f>IF(A145="Total",VLOOKUP(B145,CORRESPONDANCE[#All],2,FALSE),I146)</f>
        <v/>
      </c>
      <c r="J145" s="350">
        <f>LEFT(A145,1)</f>
        <v/>
      </c>
      <c r="K145" s="347">
        <f>"LYSE"&amp;" - "&amp;A145</f>
        <v/>
      </c>
      <c r="L145" s="347">
        <f>+VLOOKUP(K145,TL[],4,FALSE)</f>
        <v/>
      </c>
    </row>
    <row r="146">
      <c r="A146" s="348" t="inlineStr">
        <is>
          <t>635112</t>
        </is>
      </c>
      <c r="B146" s="348" t="inlineStr">
        <is>
          <t>Contrib valeur ajoutee entrep.</t>
        </is>
      </c>
      <c r="C146" s="348" t="n">
        <v>700</v>
      </c>
      <c r="D146" s="348" t="inlineStr"/>
      <c r="E146" s="348" t="n">
        <v>700</v>
      </c>
      <c r="F146" s="348" t="inlineStr"/>
      <c r="G146" s="220">
        <f>SUM(C146)-SUM(D146)</f>
        <v/>
      </c>
      <c r="H146" s="220">
        <f>SUM(E146)-SUM(F146)</f>
        <v/>
      </c>
      <c r="I146" s="221">
        <f>IF(A146="Total",VLOOKUP(B146,CORRESPONDANCE[#All],2,FALSE),I147)</f>
        <v/>
      </c>
      <c r="J146" s="350">
        <f>LEFT(A146,1)</f>
        <v/>
      </c>
      <c r="K146" s="347">
        <f>"LYSE"&amp;" - "&amp;A146</f>
        <v/>
      </c>
      <c r="L146" s="347">
        <f>+VLOOKUP(K146,TL[],4,FALSE)</f>
        <v/>
      </c>
    </row>
    <row r="147">
      <c r="A147" s="348" t="inlineStr">
        <is>
          <t>637300</t>
        </is>
      </c>
      <c r="B147" s="348" t="inlineStr">
        <is>
          <t>Taxe s/ les handicapés</t>
        </is>
      </c>
      <c r="C147" s="348" t="n">
        <v>442</v>
      </c>
      <c r="D147" s="348" t="inlineStr"/>
      <c r="E147" s="348" t="n">
        <v>442</v>
      </c>
      <c r="F147" s="348" t="inlineStr"/>
      <c r="G147" s="220">
        <f>SUM(C147)-SUM(D147)</f>
        <v/>
      </c>
      <c r="H147" s="220">
        <f>SUM(E147)-SUM(F147)</f>
        <v/>
      </c>
      <c r="I147" s="221">
        <f>IF(A147="Total",VLOOKUP(B147,CORRESPONDANCE[#All],2,FALSE),I148)</f>
        <v/>
      </c>
      <c r="J147" s="350">
        <f>LEFT(A147,1)</f>
        <v/>
      </c>
      <c r="K147" s="347">
        <f>"LYSE"&amp;" - "&amp;A147</f>
        <v/>
      </c>
      <c r="L147" s="347">
        <f>+VLOOKUP(K147,TL[],4,FALSE)</f>
        <v/>
      </c>
    </row>
    <row r="148">
      <c r="A148" s="348" t="inlineStr">
        <is>
          <t>Total</t>
        </is>
      </c>
      <c r="B148" s="348" t="inlineStr">
        <is>
          <t>Table n°2  -  Taxes</t>
        </is>
      </c>
      <c r="C148" s="348" t="n">
        <v>3063.1</v>
      </c>
      <c r="D148" s="348" t="inlineStr"/>
      <c r="E148" s="348" t="n">
        <v>3063.1</v>
      </c>
      <c r="F148" s="348" t="inlineStr"/>
      <c r="G148" s="220">
        <f>SUM(C148)-SUM(D148)</f>
        <v/>
      </c>
      <c r="H148" s="220">
        <f>SUM(E148)-SUM(F148)</f>
        <v/>
      </c>
      <c r="I148" s="221">
        <f>IF(A148="Total",VLOOKUP(B148,CORRESPONDANCE[#All],2,FALSE),I149)</f>
        <v/>
      </c>
      <c r="J148" s="350">
        <f>LEFT(A148,1)</f>
        <v/>
      </c>
      <c r="K148" s="347">
        <f>"LYSE"&amp;" - "&amp;A148</f>
        <v/>
      </c>
      <c r="L148" s="347">
        <f>+VLOOKUP(K148,TL[],4,FALSE)</f>
        <v/>
      </c>
    </row>
    <row r="149">
      <c r="A149" s="348" t="inlineStr">
        <is>
          <t>681110</t>
        </is>
      </c>
      <c r="B149" s="348" t="inlineStr">
        <is>
          <t>Dot.amort.immo.incorpore.</t>
        </is>
      </c>
      <c r="C149" s="348" t="n">
        <v>20000</v>
      </c>
      <c r="D149" s="348" t="inlineStr"/>
      <c r="E149" s="348" t="n">
        <v>20000</v>
      </c>
      <c r="F149" s="348" t="inlineStr"/>
      <c r="G149" s="220">
        <f>SUM(C149)-SUM(D149)</f>
        <v/>
      </c>
      <c r="H149" s="220">
        <f>SUM(E149)-SUM(F149)</f>
        <v/>
      </c>
      <c r="I149" s="221">
        <f>IF(A149="Total",VLOOKUP(B149,CORRESPONDANCE[#All],2,FALSE),I150)</f>
        <v/>
      </c>
      <c r="J149" s="350">
        <f>LEFT(A149,1)</f>
        <v/>
      </c>
      <c r="K149" s="347">
        <f>"LYSE"&amp;" - "&amp;A149</f>
        <v/>
      </c>
      <c r="L149" s="347">
        <f>+VLOOKUP(K149,TL[],4,FALSE)</f>
        <v/>
      </c>
    </row>
    <row r="150">
      <c r="A150" s="348" t="inlineStr">
        <is>
          <t>Total</t>
        </is>
      </c>
      <c r="B150" s="348" t="inlineStr">
        <is>
          <t>Table n°2  -  Dépréciations amortissements</t>
        </is>
      </c>
      <c r="C150" s="348" t="n">
        <v>20000</v>
      </c>
      <c r="D150" s="348" t="inlineStr"/>
      <c r="E150" s="348" t="n">
        <v>20000</v>
      </c>
      <c r="F150" s="348" t="inlineStr"/>
      <c r="G150" s="220">
        <f>SUM(C150)-SUM(D150)</f>
        <v/>
      </c>
      <c r="H150" s="220">
        <f>SUM(E150)-SUM(F150)</f>
        <v/>
      </c>
      <c r="I150" s="221">
        <f>IF(A150="Total",VLOOKUP(B150,CORRESPONDANCE[#All],2,FALSE),I151)</f>
        <v/>
      </c>
      <c r="J150" s="350">
        <f>LEFT(A150,1)</f>
        <v/>
      </c>
      <c r="K150" s="347">
        <f>"LYSE"&amp;" - "&amp;A150</f>
        <v/>
      </c>
      <c r="L150" s="347">
        <f>+VLOOKUP(K150,TL[],4,FALSE)</f>
        <v/>
      </c>
    </row>
    <row r="151">
      <c r="A151" s="348" t="inlineStr">
        <is>
          <t>613520</t>
        </is>
      </c>
      <c r="B151" s="348" t="inlineStr">
        <is>
          <t>Locations mat.inform.GRENKE</t>
        </is>
      </c>
      <c r="C151" s="348" t="n">
        <v>547.49</v>
      </c>
      <c r="D151" s="348" t="inlineStr"/>
      <c r="E151" s="348" t="n">
        <v>547.49</v>
      </c>
      <c r="F151" s="348" t="inlineStr"/>
      <c r="G151" s="220">
        <f>SUM(C151)-SUM(D151)</f>
        <v/>
      </c>
      <c r="H151" s="220">
        <f>SUM(E151)-SUM(F151)</f>
        <v/>
      </c>
      <c r="I151" s="221">
        <f>IF(A151="Total",VLOOKUP(B151,CORRESPONDANCE[#All],2,FALSE),I152)</f>
        <v/>
      </c>
      <c r="J151" s="350">
        <f>LEFT(A151,1)</f>
        <v/>
      </c>
      <c r="K151" s="347">
        <f>"LYSE"&amp;" - "&amp;A151</f>
        <v/>
      </c>
      <c r="L151" s="347">
        <f>+VLOOKUP(K151,TL[],4,FALSE)</f>
        <v/>
      </c>
    </row>
    <row r="152">
      <c r="A152" s="348" t="inlineStr">
        <is>
          <t>Total</t>
        </is>
      </c>
      <c r="B152" s="348" t="inlineStr">
        <is>
          <t>Table n°2  -  Crédit bail</t>
        </is>
      </c>
      <c r="C152" s="348" t="n">
        <v>547.49</v>
      </c>
      <c r="D152" s="348" t="inlineStr"/>
      <c r="E152" s="348" t="n">
        <v>547.49</v>
      </c>
      <c r="F152" s="348" t="inlineStr"/>
      <c r="G152" s="220">
        <f>SUM(C152)-SUM(D152)</f>
        <v/>
      </c>
      <c r="H152" s="220">
        <f>SUM(E152)-SUM(F152)</f>
        <v/>
      </c>
      <c r="I152" s="221">
        <f>IF(A152="Total",VLOOKUP(B152,CORRESPONDANCE[#All],2,FALSE),I153)</f>
        <v/>
      </c>
      <c r="J152" s="350">
        <f>LEFT(A152,1)</f>
        <v/>
      </c>
      <c r="K152" s="347">
        <f>"LYSE"&amp;" - "&amp;A152</f>
        <v/>
      </c>
      <c r="L152" s="347">
        <f>+VLOOKUP(K152,TL[],4,FALSE)</f>
        <v/>
      </c>
    </row>
    <row r="153">
      <c r="A153" s="348" t="inlineStr">
        <is>
          <t>613110</t>
        </is>
      </c>
      <c r="B153" s="348" t="inlineStr">
        <is>
          <t>loyer oeuvre d art</t>
        </is>
      </c>
      <c r="C153" s="348" t="n">
        <v>1463.62</v>
      </c>
      <c r="D153" s="348" t="inlineStr"/>
      <c r="E153" s="348" t="n">
        <v>1463.62</v>
      </c>
      <c r="F153" s="348" t="inlineStr"/>
      <c r="G153" s="220">
        <f>SUM(C153)-SUM(D153)</f>
        <v/>
      </c>
      <c r="H153" s="220">
        <f>SUM(E153)-SUM(F153)</f>
        <v/>
      </c>
      <c r="I153" s="221">
        <f>IF(A153="Total",VLOOKUP(B153,CORRESPONDANCE[#All],2,FALSE),I154)</f>
        <v/>
      </c>
      <c r="J153" s="350">
        <f>LEFT(A153,1)</f>
        <v/>
      </c>
      <c r="K153" s="347">
        <f>"LYSE"&amp;" - "&amp;A153</f>
        <v/>
      </c>
      <c r="L153" s="347">
        <f>+VLOOKUP(K153,TL[],4,FALSE)</f>
        <v/>
      </c>
    </row>
    <row r="154">
      <c r="A154" s="348" t="inlineStr">
        <is>
          <t>621411</t>
        </is>
      </c>
      <c r="B154" s="348" t="inlineStr">
        <is>
          <t>Refac Hotesses</t>
        </is>
      </c>
      <c r="C154" s="348" t="n">
        <v>429.58</v>
      </c>
      <c r="D154" s="348" t="inlineStr"/>
      <c r="E154" s="348" t="n">
        <v>429.58</v>
      </c>
      <c r="F154" s="348" t="inlineStr"/>
      <c r="G154" s="220">
        <f>SUM(C154)-SUM(D154)</f>
        <v/>
      </c>
      <c r="H154" s="220">
        <f>SUM(E154)-SUM(F154)</f>
        <v/>
      </c>
      <c r="I154" s="221">
        <f>IF(A154="Total",VLOOKUP(B154,CORRESPONDANCE[#All],2,FALSE),I155)</f>
        <v/>
      </c>
      <c r="J154" s="350">
        <f>LEFT(A154,1)</f>
        <v/>
      </c>
      <c r="K154" s="347">
        <f>"LYSE"&amp;" - "&amp;A154</f>
        <v/>
      </c>
      <c r="L154" s="347">
        <f>+VLOOKUP(K154,TL[],4,FALSE)</f>
        <v/>
      </c>
    </row>
    <row r="155">
      <c r="A155" s="348" t="inlineStr">
        <is>
          <t>Total</t>
        </is>
      </c>
      <c r="B155" s="348" t="inlineStr">
        <is>
          <t>Table n°2  -  Dépenses / Revenus divers</t>
        </is>
      </c>
      <c r="C155" s="348" t="n">
        <v>1893.2</v>
      </c>
      <c r="D155" s="348" t="inlineStr"/>
      <c r="E155" s="348" t="n">
        <v>1893.2</v>
      </c>
      <c r="F155" s="348" t="inlineStr"/>
      <c r="G155" s="220">
        <f>SUM(C155)-SUM(D155)</f>
        <v/>
      </c>
      <c r="H155" s="220">
        <f>SUM(E155)-SUM(F155)</f>
        <v/>
      </c>
      <c r="I155" s="221">
        <f>IF(A155="Total",VLOOKUP(B155,CORRESPONDANCE[#All],2,FALSE),I156)</f>
        <v/>
      </c>
      <c r="J155" s="350">
        <f>LEFT(A155,1)</f>
        <v/>
      </c>
      <c r="K155" s="347">
        <f>"LYSE"&amp;" - "&amp;A155</f>
        <v/>
      </c>
      <c r="L155" s="347">
        <f>+VLOOKUP(K155,TL[],4,FALSE)</f>
        <v/>
      </c>
    </row>
    <row r="156">
      <c r="A156" s="348" t="inlineStr">
        <is>
          <t>661100</t>
        </is>
      </c>
      <c r="B156" s="348" t="inlineStr">
        <is>
          <t>Int. sur emprunt</t>
        </is>
      </c>
      <c r="C156" s="348" t="n">
        <v>306.69</v>
      </c>
      <c r="D156" s="348" t="inlineStr"/>
      <c r="E156" s="348" t="n">
        <v>306.69</v>
      </c>
      <c r="F156" s="348" t="inlineStr"/>
      <c r="G156" s="220">
        <f>SUM(C156)-SUM(D156)</f>
        <v/>
      </c>
      <c r="H156" s="220">
        <f>SUM(E156)-SUM(F156)</f>
        <v/>
      </c>
      <c r="I156" s="221">
        <f>IF(A156="Total",VLOOKUP(B156,CORRESPONDANCE[#All],2,FALSE),I157)</f>
        <v/>
      </c>
      <c r="J156" s="350">
        <f>LEFT(A156,1)</f>
        <v/>
      </c>
      <c r="K156" s="347">
        <f>"LYSE"&amp;" - "&amp;A156</f>
        <v/>
      </c>
      <c r="L156" s="347">
        <f>+VLOOKUP(K156,TL[],4,FALSE)</f>
        <v/>
      </c>
    </row>
    <row r="157">
      <c r="A157" s="348" t="inlineStr">
        <is>
          <t>Total</t>
        </is>
      </c>
      <c r="B157" s="348" t="inlineStr">
        <is>
          <t>Table n°2  -  Charges / Revenus financiers</t>
        </is>
      </c>
      <c r="C157" s="348" t="n">
        <v>306.69</v>
      </c>
      <c r="D157" s="348" t="inlineStr"/>
      <c r="E157" s="348" t="n">
        <v>306.69</v>
      </c>
      <c r="F157" s="348" t="inlineStr"/>
      <c r="G157" s="220">
        <f>SUM(C157)-SUM(D157)</f>
        <v/>
      </c>
      <c r="H157" s="220">
        <f>SUM(E157)-SUM(F157)</f>
        <v/>
      </c>
      <c r="I157" s="221">
        <f>IF(A157="Total",VLOOKUP(B157,CORRESPONDANCE[#All],2,FALSE),I158)</f>
        <v/>
      </c>
      <c r="J157" s="350">
        <f>LEFT(A157,1)</f>
        <v/>
      </c>
      <c r="K157" s="347">
        <f>"LYSE"&amp;" - "&amp;A157</f>
        <v/>
      </c>
      <c r="L157" s="347">
        <f>+VLOOKUP(K157,TL[],4,FALSE)</f>
        <v/>
      </c>
    </row>
    <row r="158">
      <c r="A158" s="348" t="inlineStr">
        <is>
          <t>628300</t>
        </is>
      </c>
      <c r="B158" s="348" t="inlineStr">
        <is>
          <t>Frs fonctionnement gie</t>
        </is>
      </c>
      <c r="C158" s="348" t="n">
        <v>25296</v>
      </c>
      <c r="D158" s="348" t="inlineStr"/>
      <c r="E158" s="348" t="n">
        <v>25296</v>
      </c>
      <c r="F158" s="348" t="inlineStr"/>
      <c r="G158" s="220">
        <f>SUM(C158)-SUM(D158)</f>
        <v/>
      </c>
      <c r="H158" s="220">
        <f>SUM(E158)-SUM(F158)</f>
        <v/>
      </c>
      <c r="I158" s="221">
        <f>IF(A158="Total",VLOOKUP(B158,CORRESPONDANCE[#All],2,FALSE),I159)</f>
        <v/>
      </c>
      <c r="J158" s="350">
        <f>LEFT(A158,1)</f>
        <v/>
      </c>
      <c r="K158" s="347">
        <f>"LYSE"&amp;" - "&amp;A158</f>
        <v/>
      </c>
      <c r="L158" s="347">
        <f>+VLOOKUP(K158,TL[],4,FALSE)</f>
        <v/>
      </c>
    </row>
    <row r="159">
      <c r="A159" s="348" t="inlineStr">
        <is>
          <t>628340</t>
        </is>
      </c>
      <c r="B159" s="348" t="inlineStr">
        <is>
          <t>Redevance mungu</t>
        </is>
      </c>
      <c r="C159" s="348" t="n">
        <v>833.33</v>
      </c>
      <c r="D159" s="348" t="inlineStr"/>
      <c r="E159" s="348" t="n">
        <v>833.33</v>
      </c>
      <c r="F159" s="348" t="inlineStr"/>
      <c r="G159" s="220">
        <f>SUM(C159)-SUM(D159)</f>
        <v/>
      </c>
      <c r="H159" s="220">
        <f>SUM(E159)-SUM(F159)</f>
        <v/>
      </c>
      <c r="I159" s="221">
        <f>IF(A159="Total",VLOOKUP(B159,CORRESPONDANCE[#All],2,FALSE),I160)</f>
        <v/>
      </c>
      <c r="J159" s="350">
        <f>LEFT(A159,1)</f>
        <v/>
      </c>
      <c r="K159" s="347">
        <f>"LYSE"&amp;" - "&amp;A159</f>
        <v/>
      </c>
      <c r="L159" s="347">
        <f>+VLOOKUP(K159,TL[],4,FALSE)</f>
        <v/>
      </c>
    </row>
    <row r="160">
      <c r="A160" s="348" t="inlineStr">
        <is>
          <t>Total</t>
        </is>
      </c>
      <c r="B160" s="348" t="inlineStr">
        <is>
          <t>Table n°2  -  G&amp;A (Frais administratifs)</t>
        </is>
      </c>
      <c r="C160" s="348" t="n">
        <v>26129.33</v>
      </c>
      <c r="D160" s="348" t="inlineStr"/>
      <c r="E160" s="348" t="n">
        <v>26129.33</v>
      </c>
      <c r="F160" s="348" t="inlineStr"/>
      <c r="G160" s="220">
        <f>SUM(C160)-SUM(D160)</f>
        <v/>
      </c>
      <c r="H160" s="220">
        <f>SUM(E160)-SUM(F160)</f>
        <v/>
      </c>
      <c r="I160" s="221">
        <f>IF(A160="Total",VLOOKUP(B160,CORRESPONDANCE[#All],2,FALSE),I161)</f>
        <v/>
      </c>
      <c r="J160" s="350">
        <f>LEFT(A160,1)</f>
        <v/>
      </c>
      <c r="K160" s="347">
        <f>"LYSE"&amp;" - "&amp;A160</f>
        <v/>
      </c>
      <c r="L160" s="347">
        <f>+VLOOKUP(K160,TL[],4,FALSE)</f>
        <v/>
      </c>
    </row>
    <row r="161">
      <c r="A161" s="348" t="inlineStr">
        <is>
          <t>702300</t>
        </is>
      </c>
      <c r="B161" s="348" t="inlineStr">
        <is>
          <t>Ventes de produits interm</t>
        </is>
      </c>
      <c r="C161" s="348" t="inlineStr"/>
      <c r="D161" s="348" t="n">
        <v>7358.87</v>
      </c>
      <c r="E161" s="348" t="inlineStr"/>
      <c r="F161" s="348" t="n">
        <v>7358.87</v>
      </c>
      <c r="G161" s="220">
        <f>SUM(C161)-SUM(D161)</f>
        <v/>
      </c>
      <c r="H161" s="220">
        <f>SUM(E161)-SUM(F161)</f>
        <v/>
      </c>
      <c r="I161" s="221">
        <f>IF(A161="Total",VLOOKUP(B161,CORRESPONDANCE[#All],2,FALSE),I162)</f>
        <v/>
      </c>
      <c r="J161" s="350">
        <f>LEFT(A161,1)</f>
        <v/>
      </c>
      <c r="K161" s="347">
        <f>"LYSE"&amp;" - "&amp;A161</f>
        <v/>
      </c>
      <c r="L161" s="347">
        <f>+VLOOKUP(K161,TL[],4,FALSE)</f>
        <v/>
      </c>
    </row>
    <row r="162">
      <c r="A162" s="348" t="inlineStr">
        <is>
          <t>Total</t>
        </is>
      </c>
      <c r="B162" s="348" t="inlineStr">
        <is>
          <t>Table n°2  -  Ventes non alimentaires</t>
        </is>
      </c>
      <c r="C162" s="348" t="inlineStr"/>
      <c r="D162" s="348" t="n">
        <v>7358.87</v>
      </c>
      <c r="E162" s="348" t="inlineStr"/>
      <c r="F162" s="348" t="n">
        <v>7358.87</v>
      </c>
      <c r="G162" s="220">
        <f>SUM(C162)-SUM(D162)</f>
        <v/>
      </c>
      <c r="H162" s="220">
        <f>SUM(E162)-SUM(F162)</f>
        <v/>
      </c>
      <c r="I162" s="221">
        <f>IF(A162="Total",VLOOKUP(B162,CORRESPONDANCE[#All],2,FALSE),I163)</f>
        <v/>
      </c>
      <c r="J162" s="350">
        <f>LEFT(A162,1)</f>
        <v/>
      </c>
      <c r="K162" s="347">
        <f>"LYSE"&amp;" - "&amp;A162</f>
        <v/>
      </c>
      <c r="L162" s="347">
        <f>+VLOOKUP(K162,TL[],4,FALSE)</f>
        <v/>
      </c>
    </row>
    <row r="163">
      <c r="A163" s="348" t="inlineStr">
        <is>
          <t>602202</t>
        </is>
      </c>
      <c r="B163" s="348" t="inlineStr">
        <is>
          <t>Achats hm</t>
        </is>
      </c>
      <c r="C163" s="348" t="n">
        <v>2416.88</v>
      </c>
      <c r="D163" s="348" t="inlineStr"/>
      <c r="E163" s="348" t="n">
        <v>2416.88</v>
      </c>
      <c r="F163" s="348" t="inlineStr"/>
      <c r="G163" s="220">
        <f>SUM(C163)-SUM(D163)</f>
        <v/>
      </c>
      <c r="H163" s="220">
        <f>SUM(E163)-SUM(F163)</f>
        <v/>
      </c>
      <c r="I163" s="221">
        <f>IF(A163="Total",VLOOKUP(B163,CORRESPONDANCE[#All],2,FALSE),I164)</f>
        <v/>
      </c>
      <c r="J163" s="350">
        <f>LEFT(A163,1)</f>
        <v/>
      </c>
      <c r="K163" s="347">
        <f>"LYSE"&amp;" - "&amp;A163</f>
        <v/>
      </c>
      <c r="L163" s="347">
        <f>+VLOOKUP(K163,TL[],4,FALSE)</f>
        <v/>
      </c>
    </row>
    <row r="164">
      <c r="A164" s="348" t="inlineStr">
        <is>
          <t>603201</t>
        </is>
      </c>
      <c r="B164" s="348" t="inlineStr">
        <is>
          <t>Variation stock hm</t>
        </is>
      </c>
      <c r="C164" s="348" t="n">
        <v>1135.29</v>
      </c>
      <c r="D164" s="348" t="inlineStr"/>
      <c r="E164" s="348" t="n">
        <v>1135.29</v>
      </c>
      <c r="F164" s="348" t="inlineStr"/>
      <c r="G164" s="220">
        <f>SUM(C164)-SUM(D164)</f>
        <v/>
      </c>
      <c r="H164" s="220">
        <f>SUM(E164)-SUM(F164)</f>
        <v/>
      </c>
      <c r="I164" s="221">
        <f>IF(A164="Total",VLOOKUP(B164,CORRESPONDANCE[#All],2,FALSE),I165)</f>
        <v/>
      </c>
      <c r="J164" s="350">
        <f>LEFT(A164,1)</f>
        <v/>
      </c>
      <c r="K164" s="347">
        <f>"LYSE"&amp;" - "&amp;A164</f>
        <v/>
      </c>
      <c r="L164" s="347">
        <f>+VLOOKUP(K164,TL[],4,FALSE)</f>
        <v/>
      </c>
    </row>
    <row r="165">
      <c r="A165" s="348" t="inlineStr">
        <is>
          <t>Total</t>
        </is>
      </c>
      <c r="B165" s="348" t="inlineStr">
        <is>
          <t>Table n°2  -  Coût non alimentaire</t>
        </is>
      </c>
      <c r="C165" s="348" t="n">
        <v>3552.17</v>
      </c>
      <c r="D165" s="348" t="inlineStr"/>
      <c r="E165" s="348" t="n">
        <v>3552.17</v>
      </c>
      <c r="F165" s="348" t="inlineStr"/>
      <c r="G165" s="220">
        <f>SUM(C165)-SUM(D165)</f>
        <v/>
      </c>
      <c r="H165" s="220">
        <f>SUM(E165)-SUM(F165)</f>
        <v/>
      </c>
      <c r="I165" s="221">
        <f>IF(A165="Total",VLOOKUP(B165,CORRESPONDANCE[#All],2,FALSE),I166)</f>
        <v/>
      </c>
      <c r="J165" s="350">
        <f>LEFT(A165,1)</f>
        <v/>
      </c>
      <c r="K165" s="347">
        <f>"LYSE"&amp;" - "&amp;A165</f>
        <v/>
      </c>
      <c r="L165" s="347">
        <f>+VLOOKUP(K165,TL[],4,FALSE)</f>
        <v/>
      </c>
    </row>
    <row r="166">
      <c r="A166" s="348" t="inlineStr"/>
      <c r="B166" s="348" t="inlineStr">
        <is>
          <t>Total général</t>
        </is>
      </c>
      <c r="C166" s="348" t="n">
        <v>400293.06</v>
      </c>
      <c r="D166" s="348" t="n">
        <v>408655.21</v>
      </c>
      <c r="E166" s="348" t="n">
        <v>400293.06</v>
      </c>
      <c r="F166" s="348" t="n">
        <v>408655.21</v>
      </c>
      <c r="G166" s="220">
        <f>SUM(C166)-SUM(D166)</f>
        <v/>
      </c>
      <c r="H166" s="220">
        <f>SUM(E166)-SUM(F166)</f>
        <v/>
      </c>
      <c r="I166" s="221">
        <f>IF(A166="Total",VLOOKUP(B166,CORRESPONDANCE[#All],2,FALSE),I167)</f>
        <v/>
      </c>
      <c r="J166" s="350">
        <f>LEFT(A166,1)</f>
        <v/>
      </c>
      <c r="K166" s="347">
        <f>"LYSE"&amp;" - "&amp;A166</f>
        <v/>
      </c>
      <c r="L166" s="347">
        <f>+VLOOKUP(K166,TL[],4,FALSE)</f>
        <v/>
      </c>
    </row>
    <row r="167">
      <c r="G167" s="220">
        <f>SUM(C167)-SUM(D167)</f>
        <v/>
      </c>
      <c r="H167" s="220">
        <f>SUM(E167)-SUM(F167)</f>
        <v/>
      </c>
      <c r="I167" s="221">
        <f>IF(A167="Total",VLOOKUP(B167,CORRESPONDANCE[#All],2,FALSE),I168)</f>
        <v/>
      </c>
      <c r="J167" s="350">
        <f>LEFT(A167,1)</f>
        <v/>
      </c>
      <c r="K167" s="347">
        <f>"LYSE"&amp;" - "&amp;A167</f>
        <v/>
      </c>
      <c r="L167" s="347">
        <f>+VLOOKUP(K167,TL[],4,FALSE)</f>
        <v/>
      </c>
    </row>
    <row r="168">
      <c r="G168" s="220">
        <f>SUM(C168)-SUM(D168)</f>
        <v/>
      </c>
      <c r="H168" s="220">
        <f>SUM(E168)-SUM(F168)</f>
        <v/>
      </c>
      <c r="I168" s="221">
        <f>IF(A168="Total",VLOOKUP(B168,CORRESPONDANCE[#All],2,FALSE),I169)</f>
        <v/>
      </c>
      <c r="J168" s="350">
        <f>LEFT(A168,1)</f>
        <v/>
      </c>
      <c r="K168" s="347">
        <f>"LYSE"&amp;" - "&amp;A168</f>
        <v/>
      </c>
      <c r="L168" s="347">
        <f>+VLOOKUP(K168,TL[],4,FALSE)</f>
        <v/>
      </c>
    </row>
    <row r="169">
      <c r="G169" s="220">
        <f>SUM(C169)-SUM(D169)</f>
        <v/>
      </c>
      <c r="H169" s="220">
        <f>SUM(E169)-SUM(F169)</f>
        <v/>
      </c>
      <c r="I169" s="221">
        <f>IF(A169="Total",VLOOKUP(B169,CORRESPONDANCE[#All],2,FALSE),I170)</f>
        <v/>
      </c>
      <c r="J169" s="350">
        <f>LEFT(A169,1)</f>
        <v/>
      </c>
      <c r="K169" s="347">
        <f>"LYSE"&amp;" - "&amp;A169</f>
        <v/>
      </c>
      <c r="L169" s="347">
        <f>+VLOOKUP(K169,TL[],4,FALSE)</f>
        <v/>
      </c>
    </row>
    <row r="170">
      <c r="G170" s="220">
        <f>SUM(C170)-SUM(D170)</f>
        <v/>
      </c>
      <c r="H170" s="220">
        <f>SUM(E170)-SUM(F170)</f>
        <v/>
      </c>
      <c r="I170" s="221">
        <f>IF(A170="Total",VLOOKUP(B170,CORRESPONDANCE[#All],2,FALSE),I171)</f>
        <v/>
      </c>
      <c r="J170" s="350">
        <f>LEFT(A170,1)</f>
        <v/>
      </c>
      <c r="K170" s="347">
        <f>"LYSE"&amp;" - "&amp;A170</f>
        <v/>
      </c>
      <c r="L170" s="347">
        <f>+VLOOKUP(K170,TL[],4,FALSE)</f>
        <v/>
      </c>
    </row>
    <row r="171">
      <c r="G171" s="220">
        <f>SUM(C171)-SUM(D171)</f>
        <v/>
      </c>
      <c r="H171" s="220">
        <f>SUM(E171)-SUM(F171)</f>
        <v/>
      </c>
      <c r="I171" s="221">
        <f>IF(A171="Total",VLOOKUP(B171,CORRESPONDANCE[#All],2,FALSE),I172)</f>
        <v/>
      </c>
      <c r="J171" s="350">
        <f>LEFT(A171,1)</f>
        <v/>
      </c>
      <c r="K171" s="347">
        <f>"LYSE"&amp;" - "&amp;A171</f>
        <v/>
      </c>
      <c r="L171" s="347">
        <f>+VLOOKUP(K171,TL[],4,FALSE)</f>
        <v/>
      </c>
    </row>
    <row r="172">
      <c r="G172" s="223">
        <f>SUM(C172)-SUM(D172)</f>
        <v/>
      </c>
      <c r="H172" s="223">
        <f>SUM(E172)-SUM(F172)</f>
        <v/>
      </c>
      <c r="I172" s="224">
        <f>IF(A172="Total",VLOOKUP(B172,CORRESPONDANCE[#All],2,FALSE),I173)</f>
        <v/>
      </c>
      <c r="J172" s="347">
        <f>LEFT(A172,1)</f>
        <v/>
      </c>
      <c r="K172" s="347">
        <f>"LYSE"&amp;" - "&amp;A172</f>
        <v/>
      </c>
      <c r="L172" s="347">
        <f>+VLOOKUP(K172,TL[],4,FALSE)</f>
        <v/>
      </c>
    </row>
    <row r="173">
      <c r="G173" s="223">
        <f>SUM(C173)-SUM(D173)</f>
        <v/>
      </c>
      <c r="H173" s="223">
        <f>SUM(E173)-SUM(F173)</f>
        <v/>
      </c>
      <c r="I173" s="224">
        <f>IF(A173="Total",VLOOKUP(B173,CORRESPONDANCE[#All],2,FALSE),I174)</f>
        <v/>
      </c>
      <c r="J173" s="347">
        <f>LEFT(A173,1)</f>
        <v/>
      </c>
      <c r="K173" s="347">
        <f>"LYSE"&amp;" - "&amp;A173</f>
        <v/>
      </c>
      <c r="L173" s="347">
        <f>+VLOOKUP(K173,TL[],4,FALSE)</f>
        <v/>
      </c>
    </row>
    <row r="174">
      <c r="G174" s="223">
        <f>SUM(C174)-SUM(D174)</f>
        <v/>
      </c>
      <c r="H174" s="223">
        <f>SUM(E174)-SUM(F174)</f>
        <v/>
      </c>
      <c r="I174" s="224">
        <f>IF(A174="Total",VLOOKUP(B174,CORRESPONDANCE[#All],2,FALSE),I175)</f>
        <v/>
      </c>
      <c r="J174" s="347">
        <f>LEFT(A174,1)</f>
        <v/>
      </c>
      <c r="K174" s="347">
        <f>"LYSE"&amp;" - "&amp;A174</f>
        <v/>
      </c>
      <c r="L174" s="347">
        <f>+VLOOKUP(K174,TL[],4,FALSE)</f>
        <v/>
      </c>
    </row>
    <row r="175">
      <c r="G175" s="223">
        <f>SUM(C175)-SUM(D175)</f>
        <v/>
      </c>
      <c r="H175" s="223">
        <f>SUM(E175)-SUM(F175)</f>
        <v/>
      </c>
      <c r="I175" s="224">
        <f>IF(A175="Total",VLOOKUP(B175,CORRESPONDANCE[#All],2,FALSE),I176)</f>
        <v/>
      </c>
      <c r="J175" s="347">
        <f>LEFT(A175,1)</f>
        <v/>
      </c>
      <c r="K175" s="347">
        <f>"LYSE"&amp;" - "&amp;A175</f>
        <v/>
      </c>
      <c r="L175" s="347">
        <f>+VLOOKUP(K175,TL[],4,FALSE)</f>
        <v/>
      </c>
    </row>
    <row r="176">
      <c r="G176" s="223">
        <f>SUM(C176)-SUM(D176)</f>
        <v/>
      </c>
      <c r="H176" s="223">
        <f>SUM(E176)-SUM(F176)</f>
        <v/>
      </c>
      <c r="I176" s="224">
        <f>IF(A176="Total",VLOOKUP(B176,CORRESPONDANCE[#All],2,FALSE),I177)</f>
        <v/>
      </c>
      <c r="J176" s="347">
        <f>LEFT(A176,1)</f>
        <v/>
      </c>
      <c r="K176" s="347">
        <f>"LYSE"&amp;" - "&amp;A176</f>
        <v/>
      </c>
      <c r="L176" s="347">
        <f>+VLOOKUP(K176,TL[],4,FALSE)</f>
        <v/>
      </c>
    </row>
    <row r="177">
      <c r="G177" s="223">
        <f>SUM(C177)-SUM(D177)</f>
        <v/>
      </c>
      <c r="H177" s="223">
        <f>SUM(E177)-SUM(F177)</f>
        <v/>
      </c>
      <c r="I177" s="224">
        <f>IF(A177="Total",VLOOKUP(B177,CORRESPONDANCE[#All],2,FALSE),I178)</f>
        <v/>
      </c>
      <c r="J177" s="347">
        <f>LEFT(A177,1)</f>
        <v/>
      </c>
      <c r="K177" s="347">
        <f>"LYSE"&amp;" - "&amp;A177</f>
        <v/>
      </c>
      <c r="L177" s="347">
        <f>+VLOOKUP(K177,TL[],4,FALSE)</f>
        <v/>
      </c>
    </row>
    <row r="178">
      <c r="G178" s="223">
        <f>SUM(C178)-SUM(D178)</f>
        <v/>
      </c>
      <c r="H178" s="223">
        <f>SUM(E178)-SUM(F178)</f>
        <v/>
      </c>
      <c r="I178" s="224">
        <f>IF(A178="Total",VLOOKUP(B178,CORRESPONDANCE[#All],2,FALSE),I179)</f>
        <v/>
      </c>
      <c r="J178" s="347">
        <f>LEFT(A178,1)</f>
        <v/>
      </c>
      <c r="K178" s="347">
        <f>"LYSE"&amp;" - "&amp;A178</f>
        <v/>
      </c>
      <c r="L178" s="347">
        <f>+VLOOKUP(K178,TL[],4,FALSE)</f>
        <v/>
      </c>
    </row>
    <row r="179">
      <c r="G179" s="223">
        <f>SUM(C179)-SUM(D179)</f>
        <v/>
      </c>
      <c r="H179" s="223">
        <f>SUM(E179)-SUM(F179)</f>
        <v/>
      </c>
      <c r="I179" s="224">
        <f>IF(A179="Total",VLOOKUP(B179,CORRESPONDANCE[#All],2,FALSE),I180)</f>
        <v/>
      </c>
      <c r="J179" s="347">
        <f>LEFT(A179,1)</f>
        <v/>
      </c>
      <c r="K179" s="347">
        <f>"LYSE"&amp;" - "&amp;A179</f>
        <v/>
      </c>
      <c r="L179" s="347">
        <f>+VLOOKUP(K179,TL[],4,FALSE)</f>
        <v/>
      </c>
    </row>
    <row r="180">
      <c r="G180" s="223">
        <f>SUM(C180)-SUM(D180)</f>
        <v/>
      </c>
      <c r="H180" s="223">
        <f>SUM(E180)-SUM(F180)</f>
        <v/>
      </c>
      <c r="I180" s="224">
        <f>IF(A180="Total",VLOOKUP(B180,CORRESPONDANCE[#All],2,FALSE),I181)</f>
        <v/>
      </c>
      <c r="J180" s="347">
        <f>LEFT(A180,1)</f>
        <v/>
      </c>
      <c r="K180" s="347">
        <f>"LYSE"&amp;" - "&amp;A180</f>
        <v/>
      </c>
      <c r="L180" s="347">
        <f>+VLOOKUP(K180,TL[],4,FALSE)</f>
        <v/>
      </c>
    </row>
    <row r="181">
      <c r="G181" s="223">
        <f>SUM(C181)-SUM(D181)</f>
        <v/>
      </c>
      <c r="H181" s="223">
        <f>SUM(E181)-SUM(F181)</f>
        <v/>
      </c>
      <c r="I181" s="224">
        <f>IF(A181="Total",VLOOKUP(B181,CORRESPONDANCE[#All],2,FALSE),I182)</f>
        <v/>
      </c>
      <c r="J181" s="347">
        <f>LEFT(A181,1)</f>
        <v/>
      </c>
      <c r="K181" s="347">
        <f>"LYSE"&amp;" - "&amp;A181</f>
        <v/>
      </c>
      <c r="L181" s="347">
        <f>+VLOOKUP(K181,TL[],4,FALSE)</f>
        <v/>
      </c>
    </row>
    <row r="182">
      <c r="G182" s="223">
        <f>SUM(C182)-SUM(D182)</f>
        <v/>
      </c>
      <c r="H182" s="223">
        <f>SUM(E182)-SUM(F182)</f>
        <v/>
      </c>
      <c r="I182" s="224">
        <f>IF(A182="Total",VLOOKUP(B182,CORRESPONDANCE[#All],2,FALSE),I183)</f>
        <v/>
      </c>
      <c r="J182" s="347">
        <f>LEFT(A182,1)</f>
        <v/>
      </c>
      <c r="K182" s="347">
        <f>"LYSE"&amp;" - "&amp;A182</f>
        <v/>
      </c>
      <c r="L182" s="347">
        <f>+VLOOKUP(K182,TL[],4,FALSE)</f>
        <v/>
      </c>
    </row>
    <row r="183">
      <c r="G183" s="223">
        <f>SUM(C183)-SUM(D183)</f>
        <v/>
      </c>
      <c r="H183" s="223">
        <f>SUM(E183)-SUM(F183)</f>
        <v/>
      </c>
      <c r="I183" s="224">
        <f>IF(A183="Total",VLOOKUP(B183,CORRESPONDANCE[#All],2,FALSE),I184)</f>
        <v/>
      </c>
      <c r="J183" s="347">
        <f>LEFT(A183,1)</f>
        <v/>
      </c>
      <c r="K183" s="347">
        <f>"LYSE"&amp;" - "&amp;A183</f>
        <v/>
      </c>
      <c r="L183" s="347">
        <f>+VLOOKUP(K183,TL[],4,FALSE)</f>
        <v/>
      </c>
    </row>
    <row r="184">
      <c r="G184" s="223">
        <f>SUM(C184)-SUM(D184)</f>
        <v/>
      </c>
      <c r="H184" s="223">
        <f>SUM(E184)-SUM(F184)</f>
        <v/>
      </c>
      <c r="I184" s="224">
        <f>IF(A184="Total",VLOOKUP(B184,CORRESPONDANCE[#All],2,FALSE),I185)</f>
        <v/>
      </c>
      <c r="J184" s="347">
        <f>LEFT(A184,1)</f>
        <v/>
      </c>
      <c r="K184" s="347">
        <f>"LYSE"&amp;" - "&amp;A184</f>
        <v/>
      </c>
      <c r="L184" s="347">
        <f>+VLOOKUP(K184,TL[],4,FALSE)</f>
        <v/>
      </c>
    </row>
    <row r="185">
      <c r="G185" s="223">
        <f>SUM(C185)-SUM(D185)</f>
        <v/>
      </c>
      <c r="H185" s="223">
        <f>SUM(E185)-SUM(F185)</f>
        <v/>
      </c>
      <c r="I185" s="224">
        <f>IF(A185="Total",VLOOKUP(B185,CORRESPONDANCE[#All],2,FALSE),I186)</f>
        <v/>
      </c>
      <c r="J185" s="347">
        <f>LEFT(A185,1)</f>
        <v/>
      </c>
      <c r="K185" s="347">
        <f>"LYSE"&amp;" - "&amp;A185</f>
        <v/>
      </c>
      <c r="L185" s="347">
        <f>+VLOOKUP(K185,TL[],4,FALSE)</f>
        <v/>
      </c>
    </row>
    <row r="186">
      <c r="G186" s="223">
        <f>SUM(C186)-SUM(D186)</f>
        <v/>
      </c>
      <c r="H186" s="223">
        <f>SUM(E186)-SUM(F186)</f>
        <v/>
      </c>
      <c r="I186" s="224">
        <f>IF(A186="Total",VLOOKUP(B186,CORRESPONDANCE[#All],2,FALSE),I187)</f>
        <v/>
      </c>
      <c r="J186" s="347">
        <f>LEFT(A186,1)</f>
        <v/>
      </c>
      <c r="K186" s="347">
        <f>"LYSE"&amp;" - "&amp;A186</f>
        <v/>
      </c>
      <c r="L186" s="347">
        <f>+VLOOKUP(K186,TL[],4,FALSE)</f>
        <v/>
      </c>
    </row>
    <row r="187">
      <c r="G187" s="223">
        <f>SUM(C187)-SUM(D187)</f>
        <v/>
      </c>
      <c r="H187" s="223">
        <f>SUM(E187)-SUM(F187)</f>
        <v/>
      </c>
      <c r="I187" s="224">
        <f>IF(A187="Total",VLOOKUP(B187,CORRESPONDANCE[#All],2,FALSE),I188)</f>
        <v/>
      </c>
      <c r="J187" s="347">
        <f>LEFT(A187,1)</f>
        <v/>
      </c>
      <c r="K187" s="347">
        <f>"LYSE"&amp;" - "&amp;A187</f>
        <v/>
      </c>
      <c r="L187" s="347">
        <f>+VLOOKUP(K187,TL[],4,FALSE)</f>
        <v/>
      </c>
    </row>
    <row r="188">
      <c r="G188" s="223">
        <f>SUM(C188)-SUM(D188)</f>
        <v/>
      </c>
      <c r="H188" s="223">
        <f>SUM(E188)-SUM(F188)</f>
        <v/>
      </c>
      <c r="I188" s="224">
        <f>IF(A188="Total",VLOOKUP(B188,CORRESPONDANCE[#All],2,FALSE),I189)</f>
        <v/>
      </c>
      <c r="J188" s="347">
        <f>LEFT(A188,1)</f>
        <v/>
      </c>
      <c r="K188" s="347">
        <f>"LYSE"&amp;" - "&amp;A188</f>
        <v/>
      </c>
      <c r="L188" s="347">
        <f>+VLOOKUP(K188,TL[],4,FALSE)</f>
        <v/>
      </c>
    </row>
    <row r="189">
      <c r="G189" s="223">
        <f>SUM(C189)-SUM(D189)</f>
        <v/>
      </c>
      <c r="H189" s="223">
        <f>SUM(E189)-SUM(F189)</f>
        <v/>
      </c>
      <c r="I189" s="224">
        <f>IF(A189="Total",VLOOKUP(B189,CORRESPONDANCE[#All],2,FALSE),I190)</f>
        <v/>
      </c>
      <c r="J189" s="347">
        <f>LEFT(A189,1)</f>
        <v/>
      </c>
      <c r="K189" s="347">
        <f>"LYSE"&amp;" - "&amp;A189</f>
        <v/>
      </c>
      <c r="L189" s="347">
        <f>+VLOOKUP(K189,TL[],4,FALSE)</f>
        <v/>
      </c>
    </row>
    <row r="190">
      <c r="G190" s="223">
        <f>SUM(C190)-SUM(D190)</f>
        <v/>
      </c>
      <c r="H190" s="223">
        <f>SUM(E190)-SUM(F190)</f>
        <v/>
      </c>
      <c r="I190" s="224">
        <f>IF(A190="Total",VLOOKUP(B190,CORRESPONDANCE[#All],2,FALSE),I191)</f>
        <v/>
      </c>
      <c r="J190" s="347">
        <f>LEFT(A190,1)</f>
        <v/>
      </c>
      <c r="K190" s="347">
        <f>"LYSE"&amp;" - "&amp;A190</f>
        <v/>
      </c>
      <c r="L190" s="347">
        <f>+VLOOKUP(K190,TL[],4,FALSE)</f>
        <v/>
      </c>
    </row>
    <row r="191">
      <c r="G191" s="223">
        <f>SUM(C191)-SUM(D191)</f>
        <v/>
      </c>
      <c r="H191" s="223">
        <f>SUM(E191)-SUM(F191)</f>
        <v/>
      </c>
      <c r="I191" s="224">
        <f>IF(A191="Total",VLOOKUP(B191,CORRESPONDANCE[#All],2,FALSE),I192)</f>
        <v/>
      </c>
      <c r="J191" s="347">
        <f>LEFT(A191,1)</f>
        <v/>
      </c>
      <c r="K191" s="347">
        <f>"LYSE"&amp;" - "&amp;A191</f>
        <v/>
      </c>
      <c r="L191" s="347">
        <f>+VLOOKUP(K191,TL[],4,FALSE)</f>
        <v/>
      </c>
    </row>
    <row r="192">
      <c r="G192" s="223">
        <f>SUM(C192)-SUM(D192)</f>
        <v/>
      </c>
      <c r="H192" s="223">
        <f>SUM(E192)-SUM(F192)</f>
        <v/>
      </c>
      <c r="I192" s="224">
        <f>IF(A192="Total",VLOOKUP(B192,CORRESPONDANCE[#All],2,FALSE),I193)</f>
        <v/>
      </c>
      <c r="J192" s="347">
        <f>LEFT(A192,1)</f>
        <v/>
      </c>
      <c r="K192" s="347">
        <f>"LYSE"&amp;" - "&amp;A192</f>
        <v/>
      </c>
      <c r="L192" s="347">
        <f>+VLOOKUP(K192,TL[],4,FALSE)</f>
        <v/>
      </c>
    </row>
    <row r="193">
      <c r="G193" s="223">
        <f>SUM(C193)-SUM(D193)</f>
        <v/>
      </c>
      <c r="H193" s="223">
        <f>SUM(E193)-SUM(F193)</f>
        <v/>
      </c>
      <c r="I193" s="224">
        <f>IF(A193="Total",VLOOKUP(B193,CORRESPONDANCE[#All],2,FALSE),I194)</f>
        <v/>
      </c>
      <c r="J193" s="347">
        <f>LEFT(A193,1)</f>
        <v/>
      </c>
      <c r="K193" s="347">
        <f>"LYSE"&amp;" - "&amp;A193</f>
        <v/>
      </c>
      <c r="L193" s="347">
        <f>+VLOOKUP(K193,TL[],4,FALSE)</f>
        <v/>
      </c>
    </row>
    <row r="194">
      <c r="G194" s="223">
        <f>SUM(C194)-SUM(D194)</f>
        <v/>
      </c>
      <c r="H194" s="223">
        <f>SUM(E194)-SUM(F194)</f>
        <v/>
      </c>
      <c r="I194" s="224">
        <f>IF(A194="Total",VLOOKUP(B194,CORRESPONDANCE[#All],2,FALSE),I195)</f>
        <v/>
      </c>
      <c r="J194" s="347">
        <f>LEFT(A194,1)</f>
        <v/>
      </c>
      <c r="K194" s="347">
        <f>"LYSE"&amp;" - "&amp;A194</f>
        <v/>
      </c>
      <c r="L194" s="347">
        <f>+VLOOKUP(K194,TL[],4,FALSE)</f>
        <v/>
      </c>
    </row>
    <row r="195">
      <c r="G195" s="223">
        <f>SUM(C195)-SUM(D195)</f>
        <v/>
      </c>
      <c r="H195" s="223">
        <f>SUM(E195)-SUM(F195)</f>
        <v/>
      </c>
      <c r="I195" s="224">
        <f>IF(A195="Total",VLOOKUP(B195,CORRESPONDANCE[#All],2,FALSE),I196)</f>
        <v/>
      </c>
      <c r="J195" s="347">
        <f>LEFT(A195,1)</f>
        <v/>
      </c>
      <c r="K195" s="347">
        <f>"LYSE"&amp;" - "&amp;A195</f>
        <v/>
      </c>
      <c r="L195" s="347">
        <f>+VLOOKUP(K195,TL[],4,FALSE)</f>
        <v/>
      </c>
    </row>
    <row r="196">
      <c r="G196" s="223">
        <f>SUM(C196)-SUM(D196)</f>
        <v/>
      </c>
      <c r="H196" s="223">
        <f>SUM(E196)-SUM(F196)</f>
        <v/>
      </c>
      <c r="I196" s="224">
        <f>IF(A196="Total",VLOOKUP(B196,CORRESPONDANCE[#All],2,FALSE),I197)</f>
        <v/>
      </c>
      <c r="J196" s="347">
        <f>LEFT(A196,1)</f>
        <v/>
      </c>
      <c r="K196" s="347">
        <f>"LYSE"&amp;" - "&amp;A196</f>
        <v/>
      </c>
      <c r="L196" s="347">
        <f>+VLOOKUP(K196,TL[],4,FALSE)</f>
        <v/>
      </c>
    </row>
    <row r="197">
      <c r="G197" s="223">
        <f>SUM(C197)-SUM(D197)</f>
        <v/>
      </c>
      <c r="H197" s="223">
        <f>SUM(E197)-SUM(F197)</f>
        <v/>
      </c>
      <c r="I197" s="224">
        <f>IF(A197="Total",VLOOKUP(B197,CORRESPONDANCE[#All],2,FALSE),I198)</f>
        <v/>
      </c>
      <c r="J197" s="347">
        <f>LEFT(A197,1)</f>
        <v/>
      </c>
      <c r="K197" s="347">
        <f>"LYSE"&amp;" - "&amp;A197</f>
        <v/>
      </c>
      <c r="L197" s="347">
        <f>+VLOOKUP(K197,TL[],4,FALSE)</f>
        <v/>
      </c>
    </row>
    <row r="198">
      <c r="G198" s="223">
        <f>SUM(C198)-SUM(D198)</f>
        <v/>
      </c>
      <c r="H198" s="223">
        <f>SUM(E198)-SUM(F198)</f>
        <v/>
      </c>
      <c r="I198" s="224">
        <f>IF(A198="Total",VLOOKUP(B198,CORRESPONDANCE[#All],2,FALSE),I199)</f>
        <v/>
      </c>
      <c r="J198" s="347">
        <f>LEFT(A198,1)</f>
        <v/>
      </c>
      <c r="K198" s="347">
        <f>"LYSE"&amp;" - "&amp;A198</f>
        <v/>
      </c>
      <c r="L198" s="347">
        <f>+VLOOKUP(K198,TL[],4,FALSE)</f>
        <v/>
      </c>
    </row>
    <row r="199">
      <c r="G199" s="223">
        <f>SUM(C199)-SUM(D199)</f>
        <v/>
      </c>
      <c r="H199" s="223">
        <f>SUM(E199)-SUM(F199)</f>
        <v/>
      </c>
      <c r="I199" s="224">
        <f>IF(A199="Total",VLOOKUP(B199,CORRESPONDANCE[#All],2,FALSE),I200)</f>
        <v/>
      </c>
      <c r="J199" s="347">
        <f>LEFT(A199,1)</f>
        <v/>
      </c>
      <c r="K199" s="347">
        <f>"LYSE"&amp;" - "&amp;A199</f>
        <v/>
      </c>
      <c r="L199" s="347">
        <f>+VLOOKUP(K199,TL[],4,FALSE)</f>
        <v/>
      </c>
    </row>
    <row r="200">
      <c r="G200" s="223">
        <f>SUM(C200)-SUM(D200)</f>
        <v/>
      </c>
      <c r="H200" s="223">
        <f>SUM(E200)-SUM(F200)</f>
        <v/>
      </c>
      <c r="I200" s="224">
        <f>IF(A200="Total",VLOOKUP(B200,CORRESPONDANCE[#All],2,FALSE),I201)</f>
        <v/>
      </c>
      <c r="J200" s="347">
        <f>LEFT(A200,1)</f>
        <v/>
      </c>
      <c r="K200" s="347">
        <f>"LYSE"&amp;" - "&amp;A200</f>
        <v/>
      </c>
      <c r="L200" s="347">
        <f>+VLOOKUP(K200,TL[],4,FALSE)</f>
        <v/>
      </c>
    </row>
    <row r="201">
      <c r="G201" s="223">
        <f>SUM(C201)-SUM(D201)</f>
        <v/>
      </c>
      <c r="H201" s="223">
        <f>SUM(E201)-SUM(F201)</f>
        <v/>
      </c>
      <c r="I201" s="224">
        <f>IF(A201="Total",VLOOKUP(B201,CORRESPONDANCE[#All],2,FALSE),I202)</f>
        <v/>
      </c>
      <c r="J201" s="347">
        <f>LEFT(A201,1)</f>
        <v/>
      </c>
      <c r="K201" s="347">
        <f>"LYSE"&amp;" - "&amp;A201</f>
        <v/>
      </c>
      <c r="L201" s="347">
        <f>+VLOOKUP(K201,TL[],4,FALSE)</f>
        <v/>
      </c>
    </row>
    <row r="202">
      <c r="G202" s="223">
        <f>SUM(C202)-SUM(D202)</f>
        <v/>
      </c>
      <c r="H202" s="223">
        <f>SUM(E202)-SUM(F202)</f>
        <v/>
      </c>
      <c r="I202" s="224">
        <f>IF(A202="Total",VLOOKUP(B202,CORRESPONDANCE[#All],2,FALSE),I203)</f>
        <v/>
      </c>
      <c r="J202" s="347">
        <f>LEFT(A202,1)</f>
        <v/>
      </c>
      <c r="K202" s="347">
        <f>"LYSE"&amp;" - "&amp;A202</f>
        <v/>
      </c>
      <c r="L202" s="347">
        <f>+VLOOKUP(K202,TL[],4,FALSE)</f>
        <v/>
      </c>
    </row>
    <row r="203">
      <c r="G203" s="223">
        <f>SUM(C203)-SUM(D203)</f>
        <v/>
      </c>
      <c r="H203" s="223">
        <f>SUM(E203)-SUM(F203)</f>
        <v/>
      </c>
      <c r="I203" s="224">
        <f>IF(A203="Total",VLOOKUP(B203,CORRESPONDANCE[#All],2,FALSE),I204)</f>
        <v/>
      </c>
      <c r="J203" s="347">
        <f>LEFT(A203,1)</f>
        <v/>
      </c>
      <c r="K203" s="347">
        <f>"LYSE"&amp;" - "&amp;A203</f>
        <v/>
      </c>
      <c r="L203" s="347">
        <f>+VLOOKUP(K203,TL[],4,FALSE)</f>
        <v/>
      </c>
    </row>
    <row r="204">
      <c r="G204" s="223">
        <f>SUM(C204)-SUM(D204)</f>
        <v/>
      </c>
      <c r="H204" s="223">
        <f>SUM(E204)-SUM(F204)</f>
        <v/>
      </c>
      <c r="I204" s="224">
        <f>IF(A204="Total",VLOOKUP(B204,CORRESPONDANCE[#All],2,FALSE),I205)</f>
        <v/>
      </c>
      <c r="J204" s="347">
        <f>LEFT(A204,1)</f>
        <v/>
      </c>
      <c r="K204" s="347">
        <f>"LYSE"&amp;" - "&amp;A204</f>
        <v/>
      </c>
      <c r="L204" s="347">
        <f>+VLOOKUP(K204,TL[],4,FALSE)</f>
        <v/>
      </c>
    </row>
    <row r="205">
      <c r="G205" s="223">
        <f>SUM(C205)-SUM(D205)</f>
        <v/>
      </c>
      <c r="H205" s="223">
        <f>SUM(E205)-SUM(F205)</f>
        <v/>
      </c>
      <c r="I205" s="224">
        <f>IF(A205="Total",VLOOKUP(B205,CORRESPONDANCE[#All],2,FALSE),I206)</f>
        <v/>
      </c>
      <c r="J205" s="347">
        <f>LEFT(A205,1)</f>
        <v/>
      </c>
      <c r="K205" s="347">
        <f>"LYSE"&amp;" - "&amp;A205</f>
        <v/>
      </c>
      <c r="L205" s="347">
        <f>+VLOOKUP(K205,TL[],4,FALSE)</f>
        <v/>
      </c>
    </row>
    <row r="206">
      <c r="G206" s="223">
        <f>SUM(C206)-SUM(D206)</f>
        <v/>
      </c>
      <c r="H206" s="223">
        <f>SUM(E206)-SUM(F206)</f>
        <v/>
      </c>
      <c r="I206" s="224">
        <f>IF(A206="Total",VLOOKUP(B206,CORRESPONDANCE[#All],2,FALSE),I207)</f>
        <v/>
      </c>
      <c r="J206" s="347">
        <f>LEFT(A206,1)</f>
        <v/>
      </c>
      <c r="K206" s="347">
        <f>"LYSE"&amp;" - "&amp;A206</f>
        <v/>
      </c>
      <c r="L206" s="347">
        <f>+VLOOKUP(K206,TL[],4,FALSE)</f>
        <v/>
      </c>
    </row>
    <row r="207">
      <c r="G207" s="223">
        <f>SUM(C207)-SUM(D207)</f>
        <v/>
      </c>
      <c r="H207" s="223">
        <f>SUM(E207)-SUM(F207)</f>
        <v/>
      </c>
      <c r="I207" s="224">
        <f>IF(A207="Total",VLOOKUP(B207,CORRESPONDANCE[#All],2,FALSE),I208)</f>
        <v/>
      </c>
      <c r="J207" s="347">
        <f>LEFT(A207,1)</f>
        <v/>
      </c>
      <c r="K207" s="347">
        <f>"LYSE"&amp;" - "&amp;A207</f>
        <v/>
      </c>
      <c r="L207" s="347">
        <f>+VLOOKUP(K207,TL[],4,FALSE)</f>
        <v/>
      </c>
    </row>
    <row r="208">
      <c r="G208" s="223">
        <f>SUM(C208)-SUM(D208)</f>
        <v/>
      </c>
      <c r="H208" s="223">
        <f>SUM(E208)-SUM(F208)</f>
        <v/>
      </c>
      <c r="I208" s="224">
        <f>IF(A208="Total",VLOOKUP(B208,CORRESPONDANCE[#All],2,FALSE),I209)</f>
        <v/>
      </c>
      <c r="J208" s="347">
        <f>LEFT(A208,1)</f>
        <v/>
      </c>
      <c r="K208" s="347">
        <f>"LYSE"&amp;" - "&amp;A208</f>
        <v/>
      </c>
      <c r="L208" s="347">
        <f>+VLOOKUP(K208,TL[],4,FALSE)</f>
        <v/>
      </c>
    </row>
    <row r="209">
      <c r="G209" s="223">
        <f>SUM(C209)-SUM(D209)</f>
        <v/>
      </c>
      <c r="H209" s="223">
        <f>SUM(E209)-SUM(F209)</f>
        <v/>
      </c>
      <c r="I209" s="224">
        <f>IF(A209="Total",VLOOKUP(B209,CORRESPONDANCE[#All],2,FALSE),I210)</f>
        <v/>
      </c>
      <c r="J209" s="347">
        <f>LEFT(A209,1)</f>
        <v/>
      </c>
      <c r="K209" s="347">
        <f>"LYSE"&amp;" - "&amp;A209</f>
        <v/>
      </c>
      <c r="L209" s="347">
        <f>+VLOOKUP(K209,TL[],4,FALSE)</f>
        <v/>
      </c>
    </row>
    <row r="210">
      <c r="G210" s="223">
        <f>SUM(C210)-SUM(D210)</f>
        <v/>
      </c>
      <c r="H210" s="223">
        <f>SUM(E210)-SUM(F210)</f>
        <v/>
      </c>
      <c r="I210" s="224">
        <f>IF(A210="Total",VLOOKUP(B210,CORRESPONDANCE[#All],2,FALSE),I211)</f>
        <v/>
      </c>
      <c r="J210" s="347">
        <f>LEFT(A210,1)</f>
        <v/>
      </c>
      <c r="K210" s="347">
        <f>"LYSE"&amp;" - "&amp;A210</f>
        <v/>
      </c>
      <c r="L210" s="347">
        <f>+VLOOKUP(K210,TL[],4,FALSE)</f>
        <v/>
      </c>
    </row>
    <row r="211">
      <c r="G211" s="223">
        <f>SUM(C211)-SUM(D211)</f>
        <v/>
      </c>
      <c r="H211" s="223">
        <f>SUM(E211)-SUM(F211)</f>
        <v/>
      </c>
      <c r="I211" s="224">
        <f>IF(A211="Total",VLOOKUP(B211,CORRESPONDANCE[#All],2,FALSE),I212)</f>
        <v/>
      </c>
      <c r="J211" s="347">
        <f>LEFT(A211,1)</f>
        <v/>
      </c>
      <c r="K211" s="347">
        <f>"LYSE"&amp;" - "&amp;A211</f>
        <v/>
      </c>
      <c r="L211" s="347">
        <f>+VLOOKUP(K211,TL[],4,FALSE)</f>
        <v/>
      </c>
    </row>
    <row r="212">
      <c r="G212" s="223">
        <f>SUM(C212)-SUM(D212)</f>
        <v/>
      </c>
      <c r="H212" s="223">
        <f>SUM(E212)-SUM(F212)</f>
        <v/>
      </c>
      <c r="I212" s="224">
        <f>IF(A212="Total",VLOOKUP(B212,CORRESPONDANCE[#All],2,FALSE),I213)</f>
        <v/>
      </c>
      <c r="J212" s="347">
        <f>LEFT(A212,1)</f>
        <v/>
      </c>
      <c r="K212" s="347">
        <f>"LYSE"&amp;" - "&amp;A212</f>
        <v/>
      </c>
      <c r="L212" s="347">
        <f>+VLOOKUP(K212,TL[],4,FALSE)</f>
        <v/>
      </c>
    </row>
    <row r="213">
      <c r="G213" s="223">
        <f>SUM(C213)-SUM(D213)</f>
        <v/>
      </c>
      <c r="H213" s="223">
        <f>SUM(E213)-SUM(F213)</f>
        <v/>
      </c>
      <c r="I213" s="224">
        <f>IF(A213="Total",VLOOKUP(B213,CORRESPONDANCE[#All],2,FALSE),I214)</f>
        <v/>
      </c>
      <c r="J213" s="347">
        <f>LEFT(A213,1)</f>
        <v/>
      </c>
      <c r="K213" s="347">
        <f>"LYSE"&amp;" - "&amp;A213</f>
        <v/>
      </c>
      <c r="L213" s="347">
        <f>+VLOOKUP(K213,TL[],4,FALSE)</f>
        <v/>
      </c>
    </row>
    <row r="214">
      <c r="G214" s="223">
        <f>SUM(C214)-SUM(D214)</f>
        <v/>
      </c>
      <c r="H214" s="223">
        <f>SUM(E214)-SUM(F214)</f>
        <v/>
      </c>
      <c r="I214" s="224">
        <f>IF(A214="Total",VLOOKUP(B214,CORRESPONDANCE[#All],2,FALSE),I215)</f>
        <v/>
      </c>
      <c r="J214" s="347">
        <f>LEFT(A214,1)</f>
        <v/>
      </c>
      <c r="K214" s="347">
        <f>"LYSE"&amp;" - "&amp;A214</f>
        <v/>
      </c>
      <c r="L214" s="347">
        <f>+VLOOKUP(K214,TL[],4,FALSE)</f>
        <v/>
      </c>
    </row>
    <row r="215">
      <c r="G215" s="223">
        <f>SUM(C215)-SUM(D215)</f>
        <v/>
      </c>
      <c r="H215" s="223">
        <f>SUM(E215)-SUM(F215)</f>
        <v/>
      </c>
      <c r="I215" s="224">
        <f>IF(A215="Total",VLOOKUP(B215,CORRESPONDANCE[#All],2,FALSE),I216)</f>
        <v/>
      </c>
      <c r="J215" s="347">
        <f>LEFT(A215,1)</f>
        <v/>
      </c>
      <c r="K215" s="347">
        <f>"LYSE"&amp;" - "&amp;A215</f>
        <v/>
      </c>
      <c r="L215" s="347">
        <f>+VLOOKUP(K215,TL[],4,FALSE)</f>
        <v/>
      </c>
    </row>
    <row r="216">
      <c r="G216" s="223">
        <f>SUM(C216)-SUM(D216)</f>
        <v/>
      </c>
      <c r="H216" s="223">
        <f>SUM(E216)-SUM(F216)</f>
        <v/>
      </c>
      <c r="I216" s="224">
        <f>IF(A216="Total",VLOOKUP(B216,CORRESPONDANCE[#All],2,FALSE),I217)</f>
        <v/>
      </c>
      <c r="J216" s="347">
        <f>LEFT(A216,1)</f>
        <v/>
      </c>
      <c r="K216" s="347">
        <f>"LYSE"&amp;" - "&amp;A216</f>
        <v/>
      </c>
      <c r="L216" s="347">
        <f>+VLOOKUP(K216,TL[],4,FALSE)</f>
        <v/>
      </c>
    </row>
    <row r="217">
      <c r="G217" s="223">
        <f>SUM(C217)-SUM(D217)</f>
        <v/>
      </c>
      <c r="H217" s="223">
        <f>SUM(E217)-SUM(F217)</f>
        <v/>
      </c>
      <c r="I217" s="224">
        <f>IF(A217="Total",VLOOKUP(B217,CORRESPONDANCE[#All],2,FALSE),I218)</f>
        <v/>
      </c>
      <c r="J217" s="347">
        <f>LEFT(A217,1)</f>
        <v/>
      </c>
      <c r="K217" s="347">
        <f>"LYSE"&amp;" - "&amp;A217</f>
        <v/>
      </c>
      <c r="L217" s="347">
        <f>+VLOOKUP(K217,TL[],4,FALSE)</f>
        <v/>
      </c>
    </row>
    <row r="218">
      <c r="G218" s="223">
        <f>SUM(C218)-SUM(D218)</f>
        <v/>
      </c>
      <c r="H218" s="223">
        <f>SUM(E218)-SUM(F218)</f>
        <v/>
      </c>
      <c r="I218" s="224">
        <f>IF(A218="Total",VLOOKUP(B218,CORRESPONDANCE[#All],2,FALSE),I219)</f>
        <v/>
      </c>
      <c r="J218" s="347">
        <f>LEFT(A218,1)</f>
        <v/>
      </c>
      <c r="K218" s="347">
        <f>"LYSE"&amp;" - "&amp;A218</f>
        <v/>
      </c>
      <c r="L218" s="347">
        <f>+VLOOKUP(K218,TL[],4,FALSE)</f>
        <v/>
      </c>
    </row>
    <row r="219">
      <c r="G219" s="223">
        <f>SUM(C219)-SUM(D219)</f>
        <v/>
      </c>
      <c r="H219" s="223">
        <f>SUM(E219)-SUM(F219)</f>
        <v/>
      </c>
      <c r="I219" s="224">
        <f>IF(A219="Total",VLOOKUP(B219,CORRESPONDANCE[#All],2,FALSE),I220)</f>
        <v/>
      </c>
      <c r="J219" s="347">
        <f>LEFT(A219,1)</f>
        <v/>
      </c>
      <c r="K219" s="347">
        <f>"LYSE"&amp;" - "&amp;A219</f>
        <v/>
      </c>
      <c r="L219" s="347">
        <f>+VLOOKUP(K219,TL[],4,FALSE)</f>
        <v/>
      </c>
    </row>
    <row r="220">
      <c r="G220" s="223">
        <f>SUM(C220)-SUM(D220)</f>
        <v/>
      </c>
      <c r="H220" s="223">
        <f>SUM(E220)-SUM(F220)</f>
        <v/>
      </c>
      <c r="I220" s="224">
        <f>IF(A220="Total",VLOOKUP(B220,CORRESPONDANCE[#All],2,FALSE),I221)</f>
        <v/>
      </c>
      <c r="J220" s="347">
        <f>LEFT(A220,1)</f>
        <v/>
      </c>
      <c r="K220" s="347">
        <f>"LYSE"&amp;" - "&amp;A220</f>
        <v/>
      </c>
      <c r="L220" s="347">
        <f>+VLOOKUP(K220,TL[],4,FALSE)</f>
        <v/>
      </c>
    </row>
    <row r="221">
      <c r="G221" s="223">
        <f>SUM(C221)-SUM(D221)</f>
        <v/>
      </c>
      <c r="H221" s="223">
        <f>SUM(E221)-SUM(F221)</f>
        <v/>
      </c>
      <c r="I221" s="224">
        <f>IF(A221="Total",VLOOKUP(B221,CORRESPONDANCE[#All],2,FALSE),I222)</f>
        <v/>
      </c>
      <c r="J221" s="347">
        <f>LEFT(A221,1)</f>
        <v/>
      </c>
      <c r="K221" s="347">
        <f>"LYSE"&amp;" - "&amp;A221</f>
        <v/>
      </c>
      <c r="L221" s="347">
        <f>+VLOOKUP(K221,TL[],4,FALSE)</f>
        <v/>
      </c>
    </row>
    <row r="222">
      <c r="G222" s="223">
        <f>SUM(C222)-SUM(D222)</f>
        <v/>
      </c>
      <c r="H222" s="223">
        <f>SUM(E222)-SUM(F222)</f>
        <v/>
      </c>
      <c r="I222" s="224">
        <f>IF(A222="Total",VLOOKUP(B222,CORRESPONDANCE[#All],2,FALSE),I223)</f>
        <v/>
      </c>
      <c r="J222" s="347">
        <f>LEFT(A222,1)</f>
        <v/>
      </c>
      <c r="K222" s="347">
        <f>"LYSE"&amp;" - "&amp;A222</f>
        <v/>
      </c>
      <c r="L222" s="347">
        <f>+VLOOKUP(K222,TL[],4,FALSE)</f>
        <v/>
      </c>
    </row>
    <row r="223">
      <c r="G223" s="223">
        <f>SUM(C223)-SUM(D223)</f>
        <v/>
      </c>
      <c r="H223" s="223">
        <f>SUM(E223)-SUM(F223)</f>
        <v/>
      </c>
      <c r="I223" s="224">
        <f>IF(A223="Total",VLOOKUP(B223,CORRESPONDANCE[#All],2,FALSE),I224)</f>
        <v/>
      </c>
      <c r="J223" s="347">
        <f>LEFT(A223,1)</f>
        <v/>
      </c>
      <c r="K223" s="347">
        <f>"LYSE"&amp;" - "&amp;A223</f>
        <v/>
      </c>
      <c r="L223" s="347">
        <f>+VLOOKUP(K223,TL[],4,FALSE)</f>
        <v/>
      </c>
    </row>
    <row r="224">
      <c r="G224" s="223">
        <f>SUM(C224)-SUM(D224)</f>
        <v/>
      </c>
      <c r="H224" s="223">
        <f>SUM(E224)-SUM(F224)</f>
        <v/>
      </c>
      <c r="I224" s="224">
        <f>IF(A224="Total",VLOOKUP(B224,CORRESPONDANCE[#All],2,FALSE),I225)</f>
        <v/>
      </c>
      <c r="J224" s="347">
        <f>LEFT(A224,1)</f>
        <v/>
      </c>
      <c r="K224" s="347">
        <f>"LYSE"&amp;" - "&amp;A224</f>
        <v/>
      </c>
      <c r="L224" s="347">
        <f>+VLOOKUP(K224,TL[],4,FALSE)</f>
        <v/>
      </c>
    </row>
    <row r="225">
      <c r="G225" s="223">
        <f>SUM(C225)-SUM(D225)</f>
        <v/>
      </c>
      <c r="H225" s="223">
        <f>SUM(E225)-SUM(F225)</f>
        <v/>
      </c>
      <c r="I225" s="224">
        <f>IF(A225="Total",VLOOKUP(B225,CORRESPONDANCE[#All],2,FALSE),I226)</f>
        <v/>
      </c>
      <c r="J225" s="347">
        <f>LEFT(A225,1)</f>
        <v/>
      </c>
      <c r="K225" s="347">
        <f>"LYSE"&amp;" - "&amp;A225</f>
        <v/>
      </c>
      <c r="L225" s="347">
        <f>+VLOOKUP(K225,TL[],4,FALSE)</f>
        <v/>
      </c>
    </row>
    <row r="226">
      <c r="G226" s="223">
        <f>SUM(C226)-SUM(D226)</f>
        <v/>
      </c>
      <c r="H226" s="223">
        <f>SUM(E226)-SUM(F226)</f>
        <v/>
      </c>
      <c r="I226" s="224">
        <f>IF(A226="Total",VLOOKUP(B226,CORRESPONDANCE[#All],2,FALSE),I227)</f>
        <v/>
      </c>
      <c r="J226" s="347">
        <f>LEFT(A226,1)</f>
        <v/>
      </c>
      <c r="K226" s="347">
        <f>"LYSE"&amp;" - "&amp;A226</f>
        <v/>
      </c>
      <c r="L226" s="347">
        <f>+VLOOKUP(K226,TL[],4,FALSE)</f>
        <v/>
      </c>
    </row>
    <row r="227">
      <c r="G227" s="223">
        <f>SUM(C227)-SUM(D227)</f>
        <v/>
      </c>
      <c r="H227" s="223">
        <f>SUM(E227)-SUM(F227)</f>
        <v/>
      </c>
      <c r="I227" s="224">
        <f>IF(A227="Total",VLOOKUP(B227,CORRESPONDANCE[#All],2,FALSE),I228)</f>
        <v/>
      </c>
      <c r="J227" s="347">
        <f>LEFT(A227,1)</f>
        <v/>
      </c>
      <c r="K227" s="347">
        <f>"LYSE"&amp;" - "&amp;A227</f>
        <v/>
      </c>
      <c r="L227" s="347">
        <f>+VLOOKUP(K227,TL[],4,FALSE)</f>
        <v/>
      </c>
    </row>
    <row r="228">
      <c r="G228" s="223">
        <f>SUM(C228)-SUM(D228)</f>
        <v/>
      </c>
      <c r="H228" s="223">
        <f>SUM(E228)-SUM(F228)</f>
        <v/>
      </c>
      <c r="I228" s="224">
        <f>IF(A228="Total",VLOOKUP(B228,CORRESPONDANCE[#All],2,FALSE),I229)</f>
        <v/>
      </c>
      <c r="J228" s="347">
        <f>LEFT(A228,1)</f>
        <v/>
      </c>
      <c r="K228" s="347">
        <f>"LYSE"&amp;" - "&amp;A228</f>
        <v/>
      </c>
      <c r="L228" s="347">
        <f>+VLOOKUP(K228,TL[],4,FALSE)</f>
        <v/>
      </c>
    </row>
    <row r="229">
      <c r="G229" s="223">
        <f>SUM(C229)-SUM(D229)</f>
        <v/>
      </c>
      <c r="H229" s="223">
        <f>SUM(E229)-SUM(F229)</f>
        <v/>
      </c>
      <c r="I229" s="224">
        <f>IF(A229="Total",VLOOKUP(B229,CORRESPONDANCE[#All],2,FALSE),I230)</f>
        <v/>
      </c>
      <c r="J229" s="347">
        <f>LEFT(A229,1)</f>
        <v/>
      </c>
      <c r="K229" s="347">
        <f>"LYSE"&amp;" - "&amp;A229</f>
        <v/>
      </c>
      <c r="L229" s="347">
        <f>+VLOOKUP(K229,TL[],4,FALSE)</f>
        <v/>
      </c>
    </row>
    <row r="230">
      <c r="G230" s="223">
        <f>SUM(C230)-SUM(D230)</f>
        <v/>
      </c>
      <c r="H230" s="223">
        <f>SUM(E230)-SUM(F230)</f>
        <v/>
      </c>
      <c r="I230" s="224">
        <f>IF(A230="Total",VLOOKUP(B230,CORRESPONDANCE[#All],2,FALSE),I231)</f>
        <v/>
      </c>
      <c r="J230" s="347">
        <f>LEFT(A230,1)</f>
        <v/>
      </c>
      <c r="K230" s="347">
        <f>"LYSE"&amp;" - "&amp;A230</f>
        <v/>
      </c>
      <c r="L230" s="347">
        <f>+VLOOKUP(K230,TL[],4,FALSE)</f>
        <v/>
      </c>
    </row>
    <row r="231">
      <c r="G231" s="223">
        <f>SUM(C231)-SUM(D231)</f>
        <v/>
      </c>
      <c r="H231" s="223">
        <f>SUM(E231)-SUM(F231)</f>
        <v/>
      </c>
      <c r="I231" s="224">
        <f>IF(A231="Total",VLOOKUP(B231,CORRESPONDANCE[#All],2,FALSE),I232)</f>
        <v/>
      </c>
      <c r="J231" s="347">
        <f>LEFT(A231,1)</f>
        <v/>
      </c>
      <c r="K231" s="347">
        <f>"LYSE"&amp;" - "&amp;A231</f>
        <v/>
      </c>
      <c r="L231" s="347">
        <f>+VLOOKUP(K231,TL[],4,FALSE)</f>
        <v/>
      </c>
    </row>
    <row r="232">
      <c r="G232" s="223">
        <f>SUM(C232)-SUM(D232)</f>
        <v/>
      </c>
      <c r="H232" s="223">
        <f>SUM(E232)-SUM(F232)</f>
        <v/>
      </c>
      <c r="I232" s="224">
        <f>IF(A232="Total",VLOOKUP(B232,CORRESPONDANCE[#All],2,FALSE),I233)</f>
        <v/>
      </c>
      <c r="J232" s="347">
        <f>LEFT(A232,1)</f>
        <v/>
      </c>
      <c r="K232" s="347">
        <f>"LYSE"&amp;" - "&amp;A232</f>
        <v/>
      </c>
      <c r="L232" s="347">
        <f>+VLOOKUP(K232,TL[],4,FALSE)</f>
        <v/>
      </c>
    </row>
    <row r="233">
      <c r="G233" s="223">
        <f>SUM(C233)-SUM(D233)</f>
        <v/>
      </c>
      <c r="H233" s="223">
        <f>SUM(E233)-SUM(F233)</f>
        <v/>
      </c>
      <c r="I233" s="224">
        <f>IF(A233="Total",VLOOKUP(B233,CORRESPONDANCE[#All],2,FALSE),I234)</f>
        <v/>
      </c>
      <c r="J233" s="347">
        <f>LEFT(A233,1)</f>
        <v/>
      </c>
      <c r="K233" s="347">
        <f>"LYSE"&amp;" - "&amp;A233</f>
        <v/>
      </c>
      <c r="L233" s="347">
        <f>+VLOOKUP(K233,TL[],4,FALSE)</f>
        <v/>
      </c>
    </row>
    <row r="234">
      <c r="G234" s="223">
        <f>SUM(C234)-SUM(D234)</f>
        <v/>
      </c>
      <c r="H234" s="223">
        <f>SUM(E234)-SUM(F234)</f>
        <v/>
      </c>
      <c r="I234" s="224">
        <f>IF(A234="Total",VLOOKUP(B234,CORRESPONDANCE[#All],2,FALSE),I235)</f>
        <v/>
      </c>
      <c r="J234" s="347">
        <f>LEFT(A234,1)</f>
        <v/>
      </c>
      <c r="K234" s="347">
        <f>"LYSE"&amp;" - "&amp;A234</f>
        <v/>
      </c>
      <c r="L234" s="347">
        <f>+VLOOKUP(K234,TL[],4,FALSE)</f>
        <v/>
      </c>
    </row>
    <row r="235">
      <c r="G235" s="223">
        <f>SUM(C235)-SUM(D235)</f>
        <v/>
      </c>
      <c r="H235" s="223">
        <f>SUM(E235)-SUM(F235)</f>
        <v/>
      </c>
      <c r="I235" s="224">
        <f>IF(A235="Total",VLOOKUP(B235,CORRESPONDANCE[#All],2,FALSE),I236)</f>
        <v/>
      </c>
      <c r="J235" s="347">
        <f>LEFT(A235,1)</f>
        <v/>
      </c>
      <c r="K235" s="347">
        <f>"LYSE"&amp;" - "&amp;A235</f>
        <v/>
      </c>
      <c r="L235" s="347">
        <f>+VLOOKUP(K235,TL[],4,FALSE)</f>
        <v/>
      </c>
    </row>
    <row r="236">
      <c r="G236" s="223">
        <f>SUM(C236)-SUM(D236)</f>
        <v/>
      </c>
      <c r="H236" s="223">
        <f>SUM(E236)-SUM(F236)</f>
        <v/>
      </c>
      <c r="I236" s="224">
        <f>IF(A236="Total",VLOOKUP(B236,CORRESPONDANCE[#All],2,FALSE),I237)</f>
        <v/>
      </c>
      <c r="J236" s="347">
        <f>LEFT(A236,1)</f>
        <v/>
      </c>
      <c r="K236" s="347">
        <f>"LYSE"&amp;" - "&amp;A236</f>
        <v/>
      </c>
      <c r="L236" s="347">
        <f>+VLOOKUP(K236,TL[],4,FALSE)</f>
        <v/>
      </c>
    </row>
    <row r="237">
      <c r="G237" s="223">
        <f>SUM(C237)-SUM(D237)</f>
        <v/>
      </c>
      <c r="H237" s="223">
        <f>SUM(E237)-SUM(F237)</f>
        <v/>
      </c>
      <c r="I237" s="224">
        <f>IF(A237="Total",VLOOKUP(B237,CORRESPONDANCE[#All],2,FALSE),I238)</f>
        <v/>
      </c>
      <c r="J237" s="347">
        <f>LEFT(A237,1)</f>
        <v/>
      </c>
      <c r="K237" s="347">
        <f>"LYSE"&amp;" - "&amp;A237</f>
        <v/>
      </c>
      <c r="L237" s="347">
        <f>+VLOOKUP(K237,TL[],4,FALSE)</f>
        <v/>
      </c>
    </row>
    <row r="238">
      <c r="G238" s="223">
        <f>SUM(C238)-SUM(D238)</f>
        <v/>
      </c>
      <c r="H238" s="223">
        <f>SUM(E238)-SUM(F238)</f>
        <v/>
      </c>
      <c r="I238" s="224">
        <f>IF(A238="Total",VLOOKUP(B238,CORRESPONDANCE[#All],2,FALSE),I239)</f>
        <v/>
      </c>
      <c r="J238" s="347">
        <f>LEFT(A238,1)</f>
        <v/>
      </c>
      <c r="K238" s="347">
        <f>"LYSE"&amp;" - "&amp;A238</f>
        <v/>
      </c>
      <c r="L238" s="347">
        <f>+VLOOKUP(K238,TL[],4,FALSE)</f>
        <v/>
      </c>
    </row>
    <row r="239">
      <c r="G239" s="223">
        <f>SUM(C239)-SUM(D239)</f>
        <v/>
      </c>
      <c r="H239" s="223">
        <f>SUM(E239)-SUM(F239)</f>
        <v/>
      </c>
      <c r="I239" s="224">
        <f>IF(A239="Total",VLOOKUP(B239,CORRESPONDANCE[#All],2,FALSE),I240)</f>
        <v/>
      </c>
      <c r="J239" s="347">
        <f>LEFT(A239,1)</f>
        <v/>
      </c>
      <c r="K239" s="347">
        <f>"LYSE"&amp;" - "&amp;A239</f>
        <v/>
      </c>
      <c r="L239" s="347">
        <f>+VLOOKUP(K239,TL[],4,FALSE)</f>
        <v/>
      </c>
    </row>
    <row r="240">
      <c r="G240" s="223">
        <f>SUM(C240)-SUM(D240)</f>
        <v/>
      </c>
      <c r="H240" s="223">
        <f>SUM(E240)-SUM(F240)</f>
        <v/>
      </c>
      <c r="I240" s="224">
        <f>IF(A240="Total",VLOOKUP(B240,CORRESPONDANCE[#All],2,FALSE),I241)</f>
        <v/>
      </c>
      <c r="J240" s="347">
        <f>LEFT(A240,1)</f>
        <v/>
      </c>
      <c r="K240" s="347">
        <f>"LYSE"&amp;" - "&amp;A240</f>
        <v/>
      </c>
      <c r="L240" s="347">
        <f>+VLOOKUP(K240,TL[],4,FALSE)</f>
        <v/>
      </c>
    </row>
    <row r="241">
      <c r="G241" s="223">
        <f>SUM(C241)-SUM(D241)</f>
        <v/>
      </c>
      <c r="H241" s="223">
        <f>SUM(E241)-SUM(F241)</f>
        <v/>
      </c>
      <c r="I241" s="224">
        <f>IF(A241="Total",VLOOKUP(B241,CORRESPONDANCE[#All],2,FALSE),I242)</f>
        <v/>
      </c>
      <c r="J241" s="347">
        <f>LEFT(A241,1)</f>
        <v/>
      </c>
      <c r="K241" s="347">
        <f>"LYSE"&amp;" - "&amp;A241</f>
        <v/>
      </c>
      <c r="L241" s="347">
        <f>+VLOOKUP(K241,TL[],4,FALSE)</f>
        <v/>
      </c>
    </row>
    <row r="242">
      <c r="G242" s="223">
        <f>SUM(C242)-SUM(D242)</f>
        <v/>
      </c>
      <c r="H242" s="223">
        <f>SUM(E242)-SUM(F242)</f>
        <v/>
      </c>
      <c r="I242" s="224">
        <f>IF(A242="Total",VLOOKUP(B242,CORRESPONDANCE[#All],2,FALSE),I243)</f>
        <v/>
      </c>
      <c r="J242" s="347">
        <f>LEFT(A242,1)</f>
        <v/>
      </c>
      <c r="K242" s="347">
        <f>"LYSE"&amp;" - "&amp;A242</f>
        <v/>
      </c>
      <c r="L242" s="347">
        <f>+VLOOKUP(K242,TL[],4,FALSE)</f>
        <v/>
      </c>
    </row>
    <row r="243">
      <c r="G243" s="223">
        <f>SUM(C243)-SUM(D243)</f>
        <v/>
      </c>
      <c r="H243" s="223">
        <f>SUM(E243)-SUM(F243)</f>
        <v/>
      </c>
      <c r="I243" s="224">
        <f>IF(A243="Total",VLOOKUP(B243,CORRESPONDANCE[#All],2,FALSE),I244)</f>
        <v/>
      </c>
      <c r="J243" s="347">
        <f>LEFT(A243,1)</f>
        <v/>
      </c>
      <c r="K243" s="347">
        <f>"LYSE"&amp;" - "&amp;A243</f>
        <v/>
      </c>
      <c r="L243" s="347">
        <f>+VLOOKUP(K243,TL[],4,FALSE)</f>
        <v/>
      </c>
    </row>
    <row r="244">
      <c r="G244" s="223">
        <f>SUM(C244)-SUM(D244)</f>
        <v/>
      </c>
      <c r="H244" s="223">
        <f>SUM(E244)-SUM(F244)</f>
        <v/>
      </c>
      <c r="I244" s="224">
        <f>IF(A244="Total",VLOOKUP(B244,CORRESPONDANCE[#All],2,FALSE),I245)</f>
        <v/>
      </c>
      <c r="J244" s="347">
        <f>LEFT(A244,1)</f>
        <v/>
      </c>
      <c r="K244" s="347">
        <f>"LYSE"&amp;" - "&amp;A244</f>
        <v/>
      </c>
      <c r="L244" s="347">
        <f>+VLOOKUP(K244,TL[],4,FALSE)</f>
        <v/>
      </c>
    </row>
    <row r="245">
      <c r="G245" s="223">
        <f>SUM(C245)-SUM(D245)</f>
        <v/>
      </c>
      <c r="H245" s="223">
        <f>SUM(E245)-SUM(F245)</f>
        <v/>
      </c>
      <c r="I245" s="224">
        <f>IF(A245="Total",VLOOKUP(B245,CORRESPONDANCE[#All],2,FALSE),I246)</f>
        <v/>
      </c>
      <c r="J245" s="347">
        <f>LEFT(A245,1)</f>
        <v/>
      </c>
      <c r="K245" s="347">
        <f>"LYSE"&amp;" - "&amp;A245</f>
        <v/>
      </c>
      <c r="L245" s="347">
        <f>+VLOOKUP(K245,TL[],4,FALSE)</f>
        <v/>
      </c>
    </row>
    <row r="246">
      <c r="G246" s="223">
        <f>SUM(C246)-SUM(D246)</f>
        <v/>
      </c>
      <c r="H246" s="223">
        <f>SUM(E246)-SUM(F246)</f>
        <v/>
      </c>
      <c r="I246" s="224">
        <f>IF(A246="Total",VLOOKUP(B246,CORRESPONDANCE[#All],2,FALSE),I247)</f>
        <v/>
      </c>
      <c r="J246" s="347">
        <f>LEFT(A246,1)</f>
        <v/>
      </c>
      <c r="K246" s="347">
        <f>"LYSE"&amp;" - "&amp;A246</f>
        <v/>
      </c>
      <c r="L246" s="347">
        <f>+VLOOKUP(K246,TL[],4,FALSE)</f>
        <v/>
      </c>
    </row>
    <row r="247">
      <c r="G247" s="223">
        <f>SUM(C247)-SUM(D247)</f>
        <v/>
      </c>
      <c r="H247" s="223">
        <f>SUM(E247)-SUM(F247)</f>
        <v/>
      </c>
      <c r="I247" s="224">
        <f>IF(A247="Total",VLOOKUP(B247,CORRESPONDANCE[#All],2,FALSE),I248)</f>
        <v/>
      </c>
      <c r="J247" s="347">
        <f>LEFT(A247,1)</f>
        <v/>
      </c>
      <c r="K247" s="347">
        <f>"LYSE"&amp;" - "&amp;A247</f>
        <v/>
      </c>
      <c r="L247" s="347">
        <f>+VLOOKUP(K247,TL[],4,FALSE)</f>
        <v/>
      </c>
    </row>
    <row r="248">
      <c r="G248" s="223">
        <f>SUM(C248)-SUM(D248)</f>
        <v/>
      </c>
      <c r="H248" s="223">
        <f>SUM(E248)-SUM(F248)</f>
        <v/>
      </c>
      <c r="I248" s="224">
        <f>IF(A248="Total",VLOOKUP(B248,CORRESPONDANCE[#All],2,FALSE),I249)</f>
        <v/>
      </c>
      <c r="J248" s="347">
        <f>LEFT(A248,1)</f>
        <v/>
      </c>
      <c r="K248" s="347">
        <f>"LYSE"&amp;" - "&amp;A248</f>
        <v/>
      </c>
      <c r="L248" s="347">
        <f>+VLOOKUP(K248,TL[],4,FALSE)</f>
        <v/>
      </c>
    </row>
    <row r="249">
      <c r="G249" s="223">
        <f>SUM(C249)-SUM(D249)</f>
        <v/>
      </c>
      <c r="H249" s="223">
        <f>SUM(E249)-SUM(F249)</f>
        <v/>
      </c>
      <c r="I249" s="224">
        <f>IF(A249="Total",VLOOKUP(B249,CORRESPONDANCE[#All],2,FALSE),I250)</f>
        <v/>
      </c>
      <c r="J249" s="347">
        <f>LEFT(A249,1)</f>
        <v/>
      </c>
      <c r="K249" s="347">
        <f>"LYSE"&amp;" - "&amp;A249</f>
        <v/>
      </c>
      <c r="L249" s="347">
        <f>+VLOOKUP(K249,TL[],4,FALSE)</f>
        <v/>
      </c>
    </row>
    <row r="250">
      <c r="G250" s="223">
        <f>SUM(C250)-SUM(D250)</f>
        <v/>
      </c>
      <c r="H250" s="223">
        <f>SUM(E250)-SUM(F250)</f>
        <v/>
      </c>
      <c r="I250" s="224">
        <f>IF(A250="Total",VLOOKUP(B250,CORRESPONDANCE[#All],2,FALSE),I251)</f>
        <v/>
      </c>
      <c r="J250" s="347">
        <f>LEFT(A250,1)</f>
        <v/>
      </c>
      <c r="K250" s="347">
        <f>"LYSE"&amp;" - "&amp;A250</f>
        <v/>
      </c>
      <c r="L250" s="347">
        <f>+VLOOKUP(K250,TL[],4,FALSE)</f>
        <v/>
      </c>
    </row>
    <row r="251">
      <c r="G251" s="223">
        <f>SUM(C251)-SUM(D251)</f>
        <v/>
      </c>
      <c r="H251" s="223">
        <f>SUM(E251)-SUM(F251)</f>
        <v/>
      </c>
      <c r="I251" s="224">
        <f>IF(A251="Total",VLOOKUP(B251,CORRESPONDANCE[#All],2,FALSE),I252)</f>
        <v/>
      </c>
      <c r="J251" s="347">
        <f>LEFT(A251,1)</f>
        <v/>
      </c>
      <c r="K251" s="347">
        <f>"LYSE"&amp;" - "&amp;A251</f>
        <v/>
      </c>
      <c r="L251" s="347">
        <f>+VLOOKUP(K251,TL[],4,FALSE)</f>
        <v/>
      </c>
    </row>
    <row r="252">
      <c r="G252" s="223">
        <f>SUM(C252)-SUM(D252)</f>
        <v/>
      </c>
      <c r="H252" s="223">
        <f>SUM(E252)-SUM(F252)</f>
        <v/>
      </c>
      <c r="I252" s="224">
        <f>IF(A252="Total",VLOOKUP(B252,CORRESPONDANCE[#All],2,FALSE),I253)</f>
        <v/>
      </c>
      <c r="J252" s="347">
        <f>LEFT(A252,1)</f>
        <v/>
      </c>
      <c r="K252" s="347">
        <f>"LYSE"&amp;" - "&amp;A252</f>
        <v/>
      </c>
      <c r="L252" s="347">
        <f>+VLOOKUP(K252,TL[],4,FALSE)</f>
        <v/>
      </c>
    </row>
    <row r="253">
      <c r="G253" s="223">
        <f>SUM(C253)-SUM(D253)</f>
        <v/>
      </c>
      <c r="H253" s="223">
        <f>SUM(E253)-SUM(F253)</f>
        <v/>
      </c>
      <c r="I253" s="224">
        <f>IF(A253="Total",VLOOKUP(B253,CORRESPONDANCE[#All],2,FALSE),I254)</f>
        <v/>
      </c>
      <c r="J253" s="347">
        <f>LEFT(A253,1)</f>
        <v/>
      </c>
      <c r="K253" s="347">
        <f>"LYSE"&amp;" - "&amp;A253</f>
        <v/>
      </c>
      <c r="L253" s="347">
        <f>+VLOOKUP(K253,TL[],4,FALSE)</f>
        <v/>
      </c>
    </row>
    <row r="254">
      <c r="G254" s="223">
        <f>SUM(C254)-SUM(D254)</f>
        <v/>
      </c>
      <c r="H254" s="223">
        <f>SUM(E254)-SUM(F254)</f>
        <v/>
      </c>
      <c r="I254" s="224">
        <f>IF(A254="Total",VLOOKUP(B254,CORRESPONDANCE[#All],2,FALSE),I255)</f>
        <v/>
      </c>
      <c r="J254" s="347">
        <f>LEFT(A254,1)</f>
        <v/>
      </c>
      <c r="K254" s="347">
        <f>"LYSE"&amp;" - "&amp;A254</f>
        <v/>
      </c>
      <c r="L254" s="347">
        <f>+VLOOKUP(K254,TL[],4,FALSE)</f>
        <v/>
      </c>
    </row>
    <row r="255">
      <c r="G255" s="223">
        <f>SUM(C255)-SUM(D255)</f>
        <v/>
      </c>
      <c r="H255" s="223">
        <f>SUM(E255)-SUM(F255)</f>
        <v/>
      </c>
      <c r="I255" s="224">
        <f>IF(A255="Total",VLOOKUP(B255,CORRESPONDANCE[#All],2,FALSE),I256)</f>
        <v/>
      </c>
      <c r="J255" s="347">
        <f>LEFT(A255,1)</f>
        <v/>
      </c>
      <c r="K255" s="347">
        <f>"LYSE"&amp;" - "&amp;A255</f>
        <v/>
      </c>
      <c r="L255" s="347">
        <f>+VLOOKUP(K255,TL[],4,FALSE)</f>
        <v/>
      </c>
    </row>
    <row r="256">
      <c r="G256" s="223">
        <f>SUM(C256)-SUM(D256)</f>
        <v/>
      </c>
      <c r="H256" s="223">
        <f>SUM(E256)-SUM(F256)</f>
        <v/>
      </c>
      <c r="I256" s="224">
        <f>IF(A256="Total",VLOOKUP(B256,CORRESPONDANCE[#All],2,FALSE),I257)</f>
        <v/>
      </c>
      <c r="J256" s="347">
        <f>LEFT(A256,1)</f>
        <v/>
      </c>
      <c r="K256" s="347">
        <f>"LYSE"&amp;" - "&amp;A256</f>
        <v/>
      </c>
      <c r="L256" s="347">
        <f>+VLOOKUP(K256,TL[],4,FALSE)</f>
        <v/>
      </c>
    </row>
    <row r="257">
      <c r="G257" s="223">
        <f>SUM(C257)-SUM(D257)</f>
        <v/>
      </c>
      <c r="H257" s="223">
        <f>SUM(E257)-SUM(F257)</f>
        <v/>
      </c>
      <c r="I257" s="224">
        <f>IF(A257="Total",VLOOKUP(B257,CORRESPONDANCE[#All],2,FALSE),I258)</f>
        <v/>
      </c>
      <c r="J257" s="347">
        <f>LEFT(A257,1)</f>
        <v/>
      </c>
      <c r="K257" s="347">
        <f>"LYSE"&amp;" - "&amp;A257</f>
        <v/>
      </c>
      <c r="L257" s="347">
        <f>+VLOOKUP(K257,TL[],4,FALSE)</f>
        <v/>
      </c>
    </row>
    <row r="258">
      <c r="G258" s="223">
        <f>SUM(C258)-SUM(D258)</f>
        <v/>
      </c>
      <c r="H258" s="223">
        <f>SUM(E258)-SUM(F258)</f>
        <v/>
      </c>
      <c r="I258" s="224">
        <f>IF(A258="Total",VLOOKUP(B258,CORRESPONDANCE[#All],2,FALSE),I259)</f>
        <v/>
      </c>
      <c r="J258" s="347">
        <f>LEFT(A258,1)</f>
        <v/>
      </c>
      <c r="K258" s="347">
        <f>"LYSE"&amp;" - "&amp;A258</f>
        <v/>
      </c>
      <c r="L258" s="347">
        <f>+VLOOKUP(K258,TL[],4,FALSE)</f>
        <v/>
      </c>
    </row>
    <row r="259">
      <c r="G259" s="223">
        <f>SUM(C259)-SUM(D259)</f>
        <v/>
      </c>
      <c r="H259" s="223">
        <f>SUM(E259)-SUM(F259)</f>
        <v/>
      </c>
      <c r="I259" s="224">
        <f>IF(A259="Total",VLOOKUP(B259,CORRESPONDANCE[#All],2,FALSE),I260)</f>
        <v/>
      </c>
      <c r="J259" s="347">
        <f>LEFT(A259,1)</f>
        <v/>
      </c>
      <c r="K259" s="347">
        <f>"LYSE"&amp;" - "&amp;A259</f>
        <v/>
      </c>
      <c r="L259" s="347">
        <f>+VLOOKUP(K259,TL[],4,FALSE)</f>
        <v/>
      </c>
    </row>
    <row r="260">
      <c r="G260" s="223">
        <f>SUM(C260)-SUM(D260)</f>
        <v/>
      </c>
      <c r="H260" s="223">
        <f>SUM(E260)-SUM(F260)</f>
        <v/>
      </c>
      <c r="I260" s="224">
        <f>IF(A260="Total",VLOOKUP(B260,CORRESPONDANCE[#All],2,FALSE),I261)</f>
        <v/>
      </c>
      <c r="J260" s="347">
        <f>LEFT(A260,1)</f>
        <v/>
      </c>
      <c r="K260" s="347">
        <f>"LYSE"&amp;" - "&amp;A260</f>
        <v/>
      </c>
      <c r="L260" s="347">
        <f>+VLOOKUP(K260,TL[],4,FALSE)</f>
        <v/>
      </c>
    </row>
    <row r="261">
      <c r="G261" s="223">
        <f>SUM(C261)-SUM(D261)</f>
        <v/>
      </c>
      <c r="H261" s="223">
        <f>SUM(E261)-SUM(F261)</f>
        <v/>
      </c>
      <c r="I261" s="224">
        <f>IF(A261="Total",VLOOKUP(B261,CORRESPONDANCE[#All],2,FALSE),I262)</f>
        <v/>
      </c>
      <c r="J261" s="347">
        <f>LEFT(A261,1)</f>
        <v/>
      </c>
      <c r="K261" s="347">
        <f>"LYSE"&amp;" - "&amp;A261</f>
        <v/>
      </c>
      <c r="L261" s="347">
        <f>+VLOOKUP(K261,TL[],4,FALSE)</f>
        <v/>
      </c>
    </row>
    <row r="262">
      <c r="G262" s="223">
        <f>SUM(C262)-SUM(D262)</f>
        <v/>
      </c>
      <c r="H262" s="223">
        <f>SUM(E262)-SUM(F262)</f>
        <v/>
      </c>
      <c r="I262" s="224">
        <f>IF(A262="Total",VLOOKUP(B262,CORRESPONDANCE[#All],2,FALSE),I263)</f>
        <v/>
      </c>
      <c r="J262" s="347">
        <f>LEFT(A262,1)</f>
        <v/>
      </c>
      <c r="K262" s="347">
        <f>"LYSE"&amp;" - "&amp;A262</f>
        <v/>
      </c>
      <c r="L262" s="347">
        <f>+VLOOKUP(K262,TL[],4,FALSE)</f>
        <v/>
      </c>
    </row>
    <row r="263">
      <c r="G263" s="223">
        <f>SUM(C263)-SUM(D263)</f>
        <v/>
      </c>
      <c r="H263" s="223">
        <f>SUM(E263)-SUM(F263)</f>
        <v/>
      </c>
      <c r="I263" s="224">
        <f>IF(A263="Total",VLOOKUP(B263,CORRESPONDANCE[#All],2,FALSE),I264)</f>
        <v/>
      </c>
      <c r="J263" s="347">
        <f>LEFT(A263,1)</f>
        <v/>
      </c>
      <c r="K263" s="347">
        <f>"LYSE"&amp;" - "&amp;A263</f>
        <v/>
      </c>
      <c r="L263" s="347">
        <f>+VLOOKUP(K263,TL[],4,FALSE)</f>
        <v/>
      </c>
    </row>
    <row r="264">
      <c r="G264" s="223">
        <f>SUM(C264)-SUM(D264)</f>
        <v/>
      </c>
      <c r="H264" s="223">
        <f>SUM(E264)-SUM(F264)</f>
        <v/>
      </c>
      <c r="I264" s="224">
        <f>IF(A264="Total",VLOOKUP(B264,CORRESPONDANCE[#All],2,FALSE),I265)</f>
        <v/>
      </c>
      <c r="J264" s="347">
        <f>LEFT(A264,1)</f>
        <v/>
      </c>
      <c r="K264" s="347">
        <f>"LYSE"&amp;" - "&amp;A264</f>
        <v/>
      </c>
      <c r="L264" s="347">
        <f>+VLOOKUP(K264,TL[],4,FALSE)</f>
        <v/>
      </c>
    </row>
    <row r="265">
      <c r="G265" s="223">
        <f>SUM(C265)-SUM(D265)</f>
        <v/>
      </c>
      <c r="H265" s="223">
        <f>SUM(E265)-SUM(F265)</f>
        <v/>
      </c>
      <c r="I265" s="224">
        <f>IF(A265="Total",VLOOKUP(B265,CORRESPONDANCE[#All],2,FALSE),I266)</f>
        <v/>
      </c>
      <c r="J265" s="347">
        <f>LEFT(A265,1)</f>
        <v/>
      </c>
      <c r="K265" s="347">
        <f>"LYSE"&amp;" - "&amp;A265</f>
        <v/>
      </c>
      <c r="L265" s="347">
        <f>+VLOOKUP(K265,TL[],4,FALSE)</f>
        <v/>
      </c>
    </row>
    <row r="266">
      <c r="G266" s="223">
        <f>SUM(C266)-SUM(D266)</f>
        <v/>
      </c>
      <c r="H266" s="223">
        <f>SUM(E266)-SUM(F266)</f>
        <v/>
      </c>
      <c r="I266" s="224">
        <f>IF(A266="Total",VLOOKUP(B266,CORRESPONDANCE[#All],2,FALSE),I267)</f>
        <v/>
      </c>
      <c r="J266" s="347">
        <f>LEFT(A266,1)</f>
        <v/>
      </c>
      <c r="K266" s="347">
        <f>"LYSE"&amp;" - "&amp;A266</f>
        <v/>
      </c>
      <c r="L266" s="347">
        <f>+VLOOKUP(K266,TL[],4,FALSE)</f>
        <v/>
      </c>
    </row>
    <row r="267">
      <c r="G267" s="223">
        <f>SUM(C267)-SUM(D267)</f>
        <v/>
      </c>
      <c r="H267" s="223">
        <f>SUM(E267)-SUM(F267)</f>
        <v/>
      </c>
      <c r="I267" s="224">
        <f>IF(A267="Total",VLOOKUP(B267,CORRESPONDANCE[#All],2,FALSE),I268)</f>
        <v/>
      </c>
      <c r="J267" s="347">
        <f>LEFT(A267,1)</f>
        <v/>
      </c>
      <c r="K267" s="347">
        <f>"LYSE"&amp;" - "&amp;A267</f>
        <v/>
      </c>
      <c r="L267" s="347">
        <f>+VLOOKUP(K267,TL[],4,FALSE)</f>
        <v/>
      </c>
    </row>
    <row r="268">
      <c r="G268" s="223">
        <f>SUM(C268)-SUM(D268)</f>
        <v/>
      </c>
      <c r="H268" s="223">
        <f>SUM(E268)-SUM(F268)</f>
        <v/>
      </c>
      <c r="I268" s="224">
        <f>IF(A268="Total",VLOOKUP(B268,CORRESPONDANCE[#All],2,FALSE),I269)</f>
        <v/>
      </c>
      <c r="J268" s="347">
        <f>LEFT(A268,1)</f>
        <v/>
      </c>
      <c r="K268" s="347">
        <f>"LYSE"&amp;" - "&amp;A268</f>
        <v/>
      </c>
      <c r="L268" s="347">
        <f>+VLOOKUP(K268,TL[],4,FALSE)</f>
        <v/>
      </c>
    </row>
    <row r="269">
      <c r="G269" s="223">
        <f>SUM(C269)-SUM(D269)</f>
        <v/>
      </c>
      <c r="H269" s="223">
        <f>SUM(E269)-SUM(F269)</f>
        <v/>
      </c>
      <c r="I269" s="224">
        <f>IF(A269="Total",VLOOKUP(B269,CORRESPONDANCE[#All],2,FALSE),I270)</f>
        <v/>
      </c>
      <c r="J269" s="347">
        <f>LEFT(A269,1)</f>
        <v/>
      </c>
      <c r="K269" s="347">
        <f>"LYSE"&amp;" - "&amp;A269</f>
        <v/>
      </c>
      <c r="L269" s="347">
        <f>+VLOOKUP(K269,TL[],4,FALSE)</f>
        <v/>
      </c>
    </row>
    <row r="270">
      <c r="G270" s="223">
        <f>SUM(C270)-SUM(D270)</f>
        <v/>
      </c>
      <c r="H270" s="223">
        <f>SUM(E270)-SUM(F270)</f>
        <v/>
      </c>
      <c r="I270" s="224">
        <f>IF(A270="Total",VLOOKUP(B270,CORRESPONDANCE[#All],2,FALSE),I271)</f>
        <v/>
      </c>
      <c r="J270" s="347">
        <f>LEFT(A270,1)</f>
        <v/>
      </c>
      <c r="K270" s="347">
        <f>"LYSE"&amp;" - "&amp;A270</f>
        <v/>
      </c>
      <c r="L270" s="347">
        <f>+VLOOKUP(K270,TL[],4,FALSE)</f>
        <v/>
      </c>
    </row>
    <row r="271">
      <c r="G271" s="223">
        <f>SUM(C271)-SUM(D271)</f>
        <v/>
      </c>
      <c r="H271" s="223">
        <f>SUM(E271)-SUM(F271)</f>
        <v/>
      </c>
      <c r="I271" s="224">
        <f>IF(A271="Total",VLOOKUP(B271,CORRESPONDANCE[#All],2,FALSE),I272)</f>
        <v/>
      </c>
      <c r="J271" s="347">
        <f>LEFT(A271,1)</f>
        <v/>
      </c>
      <c r="K271" s="347">
        <f>"LYSE"&amp;" - "&amp;A271</f>
        <v/>
      </c>
      <c r="L271" s="347">
        <f>+VLOOKUP(K271,TL[],4,FALSE)</f>
        <v/>
      </c>
    </row>
    <row r="272">
      <c r="G272" s="223">
        <f>SUM(C272)-SUM(D272)</f>
        <v/>
      </c>
      <c r="H272" s="223">
        <f>SUM(E272)-SUM(F272)</f>
        <v/>
      </c>
      <c r="I272" s="224">
        <f>IF(A272="Total",VLOOKUP(B272,CORRESPONDANCE[#All],2,FALSE),I273)</f>
        <v/>
      </c>
      <c r="J272" s="347">
        <f>LEFT(A272,1)</f>
        <v/>
      </c>
      <c r="K272" s="347">
        <f>"LYSE"&amp;" - "&amp;A272</f>
        <v/>
      </c>
      <c r="L272" s="347">
        <f>+VLOOKUP(K272,TL[],4,FALSE)</f>
        <v/>
      </c>
    </row>
    <row r="273">
      <c r="G273" s="223">
        <f>SUM(C273)-SUM(D273)</f>
        <v/>
      </c>
      <c r="H273" s="223">
        <f>SUM(E273)-SUM(F273)</f>
        <v/>
      </c>
      <c r="I273" s="224">
        <f>IF(A273="Total",VLOOKUP(B273,CORRESPONDANCE[#All],2,FALSE),I274)</f>
        <v/>
      </c>
      <c r="J273" s="347">
        <f>LEFT(A273,1)</f>
        <v/>
      </c>
      <c r="K273" s="347">
        <f>"LYSE"&amp;" - "&amp;A273</f>
        <v/>
      </c>
      <c r="L273" s="347">
        <f>+VLOOKUP(K273,TL[],4,FALSE)</f>
        <v/>
      </c>
    </row>
    <row r="274">
      <c r="G274" s="223">
        <f>SUM(C274)-SUM(D274)</f>
        <v/>
      </c>
      <c r="H274" s="223">
        <f>SUM(E274)-SUM(F274)</f>
        <v/>
      </c>
      <c r="I274" s="224">
        <f>IF(A274="Total",VLOOKUP(B274,CORRESPONDANCE[#All],2,FALSE),I275)</f>
        <v/>
      </c>
      <c r="J274" s="347">
        <f>LEFT(A274,1)</f>
        <v/>
      </c>
      <c r="K274" s="347">
        <f>"LYSE"&amp;" - "&amp;A274</f>
        <v/>
      </c>
      <c r="L274" s="347">
        <f>+VLOOKUP(K274,TL[],4,FALSE)</f>
        <v/>
      </c>
    </row>
    <row r="275">
      <c r="G275" s="223">
        <f>SUM(C275)-SUM(D275)</f>
        <v/>
      </c>
      <c r="H275" s="223">
        <f>SUM(E275)-SUM(F275)</f>
        <v/>
      </c>
      <c r="I275" s="224">
        <f>IF(A275="Total",VLOOKUP(B275,CORRESPONDANCE[#All],2,FALSE),I276)</f>
        <v/>
      </c>
      <c r="J275" s="347">
        <f>LEFT(A275,1)</f>
        <v/>
      </c>
      <c r="K275" s="347">
        <f>"LYSE"&amp;" - "&amp;A275</f>
        <v/>
      </c>
      <c r="L275" s="347">
        <f>+VLOOKUP(K275,TL[],4,FALSE)</f>
        <v/>
      </c>
    </row>
    <row r="276">
      <c r="G276" s="223">
        <f>SUM(C276)-SUM(D276)</f>
        <v/>
      </c>
      <c r="H276" s="223">
        <f>SUM(E276)-SUM(F276)</f>
        <v/>
      </c>
      <c r="I276" s="224">
        <f>IF(A276="Total",VLOOKUP(B276,CORRESPONDANCE[#All],2,FALSE),I277)</f>
        <v/>
      </c>
      <c r="J276" s="347">
        <f>LEFT(A276,1)</f>
        <v/>
      </c>
      <c r="K276" s="347">
        <f>"LYSE"&amp;" - "&amp;A276</f>
        <v/>
      </c>
      <c r="L276" s="347">
        <f>+VLOOKUP(K276,TL[],4,FALSE)</f>
        <v/>
      </c>
    </row>
    <row r="277">
      <c r="G277" s="223">
        <f>SUM(C277)-SUM(D277)</f>
        <v/>
      </c>
      <c r="H277" s="223">
        <f>SUM(E277)-SUM(F277)</f>
        <v/>
      </c>
      <c r="I277" s="224">
        <f>IF(A277="Total",VLOOKUP(B277,CORRESPONDANCE[#All],2,FALSE),I278)</f>
        <v/>
      </c>
      <c r="J277" s="347">
        <f>LEFT(A277,1)</f>
        <v/>
      </c>
      <c r="K277" s="347">
        <f>"LYSE"&amp;" - "&amp;A277</f>
        <v/>
      </c>
      <c r="L277" s="347">
        <f>+VLOOKUP(K277,TL[],4,FALSE)</f>
        <v/>
      </c>
    </row>
    <row r="278">
      <c r="G278" s="223">
        <f>SUM(C278)-SUM(D278)</f>
        <v/>
      </c>
      <c r="H278" s="223">
        <f>SUM(E278)-SUM(F278)</f>
        <v/>
      </c>
      <c r="I278" s="224">
        <f>IF(A278="Total",VLOOKUP(B278,CORRESPONDANCE[#All],2,FALSE),I279)</f>
        <v/>
      </c>
      <c r="J278" s="347">
        <f>LEFT(A278,1)</f>
        <v/>
      </c>
      <c r="K278" s="347">
        <f>"LYSE"&amp;" - "&amp;A278</f>
        <v/>
      </c>
      <c r="L278" s="347">
        <f>+VLOOKUP(K278,TL[],4,FALSE)</f>
        <v/>
      </c>
    </row>
    <row r="279">
      <c r="G279" s="223">
        <f>SUM(C279)-SUM(D279)</f>
        <v/>
      </c>
      <c r="H279" s="223">
        <f>SUM(E279)-SUM(F279)</f>
        <v/>
      </c>
      <c r="I279" s="224">
        <f>IF(A279="Total",VLOOKUP(B279,CORRESPONDANCE[#All],2,FALSE),I280)</f>
        <v/>
      </c>
      <c r="J279" s="347">
        <f>LEFT(A279,1)</f>
        <v/>
      </c>
      <c r="K279" s="347">
        <f>"LYSE"&amp;" - "&amp;A279</f>
        <v/>
      </c>
      <c r="L279" s="347">
        <f>+VLOOKUP(K279,TL[],4,FALSE)</f>
        <v/>
      </c>
    </row>
    <row r="280">
      <c r="G280" s="223">
        <f>SUM(C280)-SUM(D280)</f>
        <v/>
      </c>
      <c r="H280" s="223">
        <f>SUM(E280)-SUM(F280)</f>
        <v/>
      </c>
      <c r="I280" s="224">
        <f>IF(A280="Total",VLOOKUP(B280,CORRESPONDANCE[#All],2,FALSE),I281)</f>
        <v/>
      </c>
      <c r="J280" s="347">
        <f>LEFT(A280,1)</f>
        <v/>
      </c>
      <c r="K280" s="347">
        <f>"LYSE"&amp;" - "&amp;A280</f>
        <v/>
      </c>
      <c r="L280" s="347">
        <f>+VLOOKUP(K280,TL[],4,FALSE)</f>
        <v/>
      </c>
    </row>
    <row r="281">
      <c r="G281" s="223">
        <f>SUM(C281)-SUM(D281)</f>
        <v/>
      </c>
      <c r="H281" s="223">
        <f>SUM(E281)-SUM(F281)</f>
        <v/>
      </c>
      <c r="I281" s="224">
        <f>IF(A281="Total",VLOOKUP(B281,CORRESPONDANCE[#All],2,FALSE),I282)</f>
        <v/>
      </c>
      <c r="J281" s="347">
        <f>LEFT(A281,1)</f>
        <v/>
      </c>
      <c r="K281" s="347">
        <f>"LYSE"&amp;" - "&amp;A281</f>
        <v/>
      </c>
      <c r="L281" s="347">
        <f>+VLOOKUP(K281,TL[],4,FALSE)</f>
        <v/>
      </c>
    </row>
    <row r="282">
      <c r="G282" s="223">
        <f>SUM(C282)-SUM(D282)</f>
        <v/>
      </c>
      <c r="H282" s="223">
        <f>SUM(E282)-SUM(F282)</f>
        <v/>
      </c>
      <c r="I282" s="224">
        <f>IF(A282="Total",VLOOKUP(B282,CORRESPONDANCE[#All],2,FALSE),I283)</f>
        <v/>
      </c>
      <c r="J282" s="347">
        <f>LEFT(A282,1)</f>
        <v/>
      </c>
      <c r="K282" s="347">
        <f>"LYSE"&amp;" - "&amp;A282</f>
        <v/>
      </c>
      <c r="L282" s="347">
        <f>+VLOOKUP(K282,TL[],4,FALSE)</f>
        <v/>
      </c>
    </row>
    <row r="283">
      <c r="G283" s="223">
        <f>SUM(C283)-SUM(D283)</f>
        <v/>
      </c>
      <c r="H283" s="223">
        <f>SUM(E283)-SUM(F283)</f>
        <v/>
      </c>
      <c r="I283" s="224">
        <f>IF(A283="Total",VLOOKUP(B283,CORRESPONDANCE[#All],2,FALSE),I284)</f>
        <v/>
      </c>
      <c r="J283" s="347">
        <f>LEFT(A283,1)</f>
        <v/>
      </c>
      <c r="K283" s="347">
        <f>"LYSE"&amp;" - "&amp;A283</f>
        <v/>
      </c>
      <c r="L283" s="347">
        <f>+VLOOKUP(K283,TL[],4,FALSE)</f>
        <v/>
      </c>
    </row>
    <row r="284">
      <c r="G284" s="223">
        <f>SUM(C284)-SUM(D284)</f>
        <v/>
      </c>
      <c r="H284" s="223">
        <f>SUM(E284)-SUM(F284)</f>
        <v/>
      </c>
      <c r="I284" s="224">
        <f>IF(A284="Total",VLOOKUP(B284,CORRESPONDANCE[#All],2,FALSE),I285)</f>
        <v/>
      </c>
      <c r="J284" s="347">
        <f>LEFT(A284,1)</f>
        <v/>
      </c>
      <c r="K284" s="347">
        <f>"LYSE"&amp;" - "&amp;A284</f>
        <v/>
      </c>
      <c r="L284" s="347">
        <f>+VLOOKUP(K284,TL[],4,FALSE)</f>
        <v/>
      </c>
    </row>
    <row r="285">
      <c r="G285" s="223">
        <f>SUM(C285)-SUM(D285)</f>
        <v/>
      </c>
      <c r="H285" s="223">
        <f>SUM(E285)-SUM(F285)</f>
        <v/>
      </c>
      <c r="I285" s="224">
        <f>IF(A285="Total",VLOOKUP(B285,CORRESPONDANCE[#All],2,FALSE),I286)</f>
        <v/>
      </c>
      <c r="J285" s="347">
        <f>LEFT(A285,1)</f>
        <v/>
      </c>
      <c r="K285" s="347">
        <f>"LYSE"&amp;" - "&amp;A285</f>
        <v/>
      </c>
      <c r="L285" s="347">
        <f>+VLOOKUP(K285,TL[],4,FALSE)</f>
        <v/>
      </c>
    </row>
    <row r="286">
      <c r="G286" s="223">
        <f>SUM(C286)-SUM(D286)</f>
        <v/>
      </c>
      <c r="H286" s="223">
        <f>SUM(E286)-SUM(F286)</f>
        <v/>
      </c>
      <c r="I286" s="224">
        <f>IF(A286="Total",VLOOKUP(B286,CORRESPONDANCE[#All],2,FALSE),I287)</f>
        <v/>
      </c>
      <c r="J286" s="347">
        <f>LEFT(A286,1)</f>
        <v/>
      </c>
      <c r="K286" s="347">
        <f>"LYSE"&amp;" - "&amp;A286</f>
        <v/>
      </c>
      <c r="L286" s="347">
        <f>+VLOOKUP(K286,TL[],4,FALSE)</f>
        <v/>
      </c>
    </row>
  </sheetData>
  <autoFilter ref="A1:L229"/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J227"/>
  <sheetViews>
    <sheetView workbookViewId="0">
      <selection activeCell="C2" sqref="C2:C53"/>
    </sheetView>
  </sheetViews>
  <sheetFormatPr baseColWidth="10" defaultRowHeight="12.75"/>
  <cols>
    <col width="35.28515625" bestFit="1" customWidth="1" style="161" min="2" max="2"/>
    <col width="12.140625" bestFit="1" customWidth="1" style="352" min="3" max="3"/>
    <col width="11.42578125" customWidth="1" style="352" min="4" max="4"/>
    <col width="13.5703125" bestFit="1" customWidth="1" style="352" min="5" max="5"/>
    <col width="11.42578125" customWidth="1" style="352" min="6" max="6"/>
    <col width="12.7109375" bestFit="1" customWidth="1" style="161" min="7" max="7"/>
    <col width="14.140625" bestFit="1" customWidth="1" style="161" min="8" max="8"/>
  </cols>
  <sheetData>
    <row r="1">
      <c r="A1" s="348" t="inlineStr">
        <is>
          <t xml:space="preserve">    N° </t>
        </is>
      </c>
      <c r="B1" s="348" t="inlineStr">
        <is>
          <t>P&amp;L</t>
        </is>
      </c>
      <c r="G1" s="348" t="inlineStr">
        <is>
          <t>Mois</t>
        </is>
      </c>
      <c r="H1" s="348" t="inlineStr">
        <is>
          <t>Cumulé</t>
        </is>
      </c>
      <c r="I1" s="348" t="inlineStr">
        <is>
          <t>Ligne P&amp;L</t>
        </is>
      </c>
      <c r="J1" s="348" t="inlineStr">
        <is>
          <t>Racine</t>
        </is>
      </c>
    </row>
    <row r="2">
      <c r="A2" s="348" t="n">
        <v>1</v>
      </c>
      <c r="B2" s="348" t="inlineStr">
        <is>
          <t>Ventes nettes totales</t>
        </is>
      </c>
      <c r="C2" s="352" t="n">
        <v>463391.3</v>
      </c>
      <c r="E2" s="352" t="n">
        <v>463391.3</v>
      </c>
      <c r="G2" s="348">
        <f>-SUM(C2)+SUM(D2)</f>
        <v/>
      </c>
      <c r="H2" s="348">
        <f>-SUM(E2)+SUM(F2)</f>
        <v/>
      </c>
      <c r="I2" s="348" t="n">
        <v>1</v>
      </c>
      <c r="J2" s="348" t="inlineStr">
        <is>
          <t>T</t>
        </is>
      </c>
    </row>
    <row r="3">
      <c r="A3" s="348" t="n">
        <v>2</v>
      </c>
      <c r="B3" s="348" t="inlineStr">
        <is>
          <t>Ventes produits alimentaires</t>
        </is>
      </c>
      <c r="C3" s="352" t="n">
        <v>456583.12</v>
      </c>
      <c r="E3" s="352" t="n">
        <v>456583.12</v>
      </c>
      <c r="G3" s="348">
        <f>-SUM(C3)+SUM(D3)</f>
        <v/>
      </c>
      <c r="H3" s="348">
        <f>-SUM(E3)+SUM(F3)</f>
        <v/>
      </c>
      <c r="I3" s="348" t="n">
        <v>2</v>
      </c>
      <c r="J3" s="348" t="inlineStr">
        <is>
          <t>T</t>
        </is>
      </c>
    </row>
    <row r="4">
      <c r="A4" s="348" t="n">
        <v>3</v>
      </c>
      <c r="B4" s="348" t="inlineStr">
        <is>
          <t>Coût achat nourriture</t>
        </is>
      </c>
      <c r="C4" s="352" t="n">
        <v>102230.68</v>
      </c>
      <c r="E4" s="352" t="n">
        <v>102230.68</v>
      </c>
      <c r="G4" s="348">
        <f>SUM(C4)-SUM(D4)</f>
        <v/>
      </c>
      <c r="H4" s="348">
        <f>SUM(E4)-SUM(F4)</f>
        <v/>
      </c>
      <c r="I4" s="348" t="n">
        <v>3</v>
      </c>
      <c r="J4" s="348" t="inlineStr">
        <is>
          <t>T</t>
        </is>
      </c>
    </row>
    <row r="5">
      <c r="A5" s="348" t="n">
        <v>4</v>
      </c>
      <c r="B5" s="348" t="inlineStr">
        <is>
          <t>Repas employés</t>
        </is>
      </c>
      <c r="C5" s="352" t="n">
        <v>2311.55</v>
      </c>
      <c r="E5" s="352" t="n">
        <v>2311.55</v>
      </c>
      <c r="G5" s="348">
        <f>SUM(C5)-SUM(D5)</f>
        <v/>
      </c>
      <c r="H5" s="348">
        <f>SUM(E5)-SUM(F5)</f>
        <v/>
      </c>
      <c r="I5" s="348" t="n">
        <v>4</v>
      </c>
      <c r="J5" s="348" t="inlineStr">
        <is>
          <t>T</t>
        </is>
      </c>
    </row>
    <row r="6">
      <c r="A6" s="348" t="n">
        <v>5</v>
      </c>
      <c r="B6" s="348" t="inlineStr">
        <is>
          <t>Déchets Pertes</t>
        </is>
      </c>
      <c r="C6" s="352" t="n">
        <v>3055.25</v>
      </c>
      <c r="E6" s="352" t="n">
        <v>3055.25</v>
      </c>
      <c r="G6" s="348">
        <f>SUM(C6)-SUM(D6)</f>
        <v/>
      </c>
      <c r="H6" s="348">
        <f>SUM(E6)-SUM(F6)</f>
        <v/>
      </c>
      <c r="I6" s="348" t="n">
        <v>5</v>
      </c>
      <c r="J6" s="348" t="inlineStr">
        <is>
          <t>T</t>
        </is>
      </c>
    </row>
    <row r="7">
      <c r="A7" s="348" t="n">
        <v>6</v>
      </c>
      <c r="B7" s="348" t="inlineStr">
        <is>
          <t>Coût emballages</t>
        </is>
      </c>
      <c r="C7" s="352" t="n">
        <v>10912.77</v>
      </c>
      <c r="E7" s="352" t="n">
        <v>10912.77</v>
      </c>
      <c r="G7" s="348">
        <f>SUM(C7)-SUM(D7)</f>
        <v/>
      </c>
      <c r="H7" s="348">
        <f>SUM(E7)-SUM(F7)</f>
        <v/>
      </c>
      <c r="I7" s="348" t="n">
        <v>6</v>
      </c>
      <c r="J7" s="348" t="inlineStr">
        <is>
          <t>T</t>
        </is>
      </c>
    </row>
    <row r="8">
      <c r="A8" s="348" t="n">
        <v>6.1</v>
      </c>
      <c r="B8" s="348" t="inlineStr">
        <is>
          <t>Vaisselle réutilisable</t>
        </is>
      </c>
      <c r="C8" s="352" t="n">
        <v>-343.14</v>
      </c>
      <c r="E8" s="352" t="n">
        <v>-343.14</v>
      </c>
      <c r="G8" s="348">
        <f>SUM(C8)-SUM(D8)</f>
        <v/>
      </c>
      <c r="H8" s="348">
        <f>SUM(E8)-SUM(F8)</f>
        <v/>
      </c>
      <c r="I8" s="348" t="inlineStr">
        <is>
          <t>6.1</t>
        </is>
      </c>
      <c r="J8" s="348" t="inlineStr">
        <is>
          <t>T</t>
        </is>
      </c>
    </row>
    <row r="9">
      <c r="A9" s="348" t="n">
        <v>7</v>
      </c>
      <c r="B9" s="348" t="inlineStr">
        <is>
          <t>Marge brute</t>
        </is>
      </c>
      <c r="C9" s="352" t="n">
        <v>338416.01</v>
      </c>
      <c r="E9" s="352" t="n">
        <v>338416.01</v>
      </c>
      <c r="G9" s="348">
        <f>SUM(C9)-SUM(D9)</f>
        <v/>
      </c>
      <c r="H9" s="348">
        <f>SUM(E9)-SUM(F9)</f>
        <v/>
      </c>
      <c r="I9" s="348" t="n">
        <v>7</v>
      </c>
      <c r="J9" s="348" t="inlineStr">
        <is>
          <t>T</t>
        </is>
      </c>
    </row>
    <row r="10">
      <c r="A10" s="348" t="n">
        <v>8</v>
      </c>
      <c r="B10" s="348" t="inlineStr">
        <is>
          <t>Main d'œuvre brute équipiers</t>
        </is>
      </c>
      <c r="C10" s="352" t="n">
        <v>71165.5</v>
      </c>
      <c r="E10" s="352" t="n">
        <v>71165.5</v>
      </c>
      <c r="G10" s="348">
        <f>SUM(C10)-SUM(D10)</f>
        <v/>
      </c>
      <c r="H10" s="348">
        <f>SUM(E10)-SUM(F10)</f>
        <v/>
      </c>
      <c r="I10" s="348" t="n">
        <v>8</v>
      </c>
      <c r="J10" s="348" t="inlineStr">
        <is>
          <t>T</t>
        </is>
      </c>
    </row>
    <row r="11">
      <c r="A11" s="348" t="n">
        <v>9</v>
      </c>
      <c r="B11" s="348" t="inlineStr">
        <is>
          <t>Charges sociales équipiers</t>
        </is>
      </c>
      <c r="C11" s="352" t="n">
        <v>10039.93</v>
      </c>
      <c r="E11" s="352" t="n">
        <v>10039.93</v>
      </c>
      <c r="G11" s="348">
        <f>SUM(C11)-SUM(D11)</f>
        <v/>
      </c>
      <c r="H11" s="348">
        <f>SUM(E11)-SUM(F11)</f>
        <v/>
      </c>
      <c r="I11" s="348" t="n">
        <v>9</v>
      </c>
      <c r="J11" s="348" t="inlineStr">
        <is>
          <t>T</t>
        </is>
      </c>
    </row>
    <row r="12">
      <c r="A12" s="348" t="n">
        <v>10</v>
      </c>
      <c r="B12" s="348" t="inlineStr">
        <is>
          <t>Main d'œuvre brute équipe de gestion</t>
        </is>
      </c>
      <c r="C12" s="352" t="n">
        <v>18858.77</v>
      </c>
      <c r="E12" s="352" t="n">
        <v>18858.77</v>
      </c>
      <c r="G12" s="348">
        <f>SUM(C12)-SUM(D12)</f>
        <v/>
      </c>
      <c r="H12" s="348">
        <f>SUM(E12)-SUM(F12)</f>
        <v/>
      </c>
      <c r="I12" s="348" t="n">
        <v>10</v>
      </c>
      <c r="J12" s="348" t="inlineStr">
        <is>
          <t>T</t>
        </is>
      </c>
    </row>
    <row r="13">
      <c r="A13" s="348" t="n">
        <v>11</v>
      </c>
      <c r="B13" s="348" t="inlineStr">
        <is>
          <t>Charges sociales équipe de gestion</t>
        </is>
      </c>
      <c r="C13" s="352" t="n">
        <v>5409.8</v>
      </c>
      <c r="E13" s="352" t="n">
        <v>5409.8</v>
      </c>
      <c r="G13" s="348">
        <f>SUM(C13)-SUM(D13)</f>
        <v/>
      </c>
      <c r="H13" s="348">
        <f>SUM(E13)-SUM(F13)</f>
        <v/>
      </c>
      <c r="I13" s="348" t="n">
        <v>11</v>
      </c>
      <c r="J13" s="348" t="inlineStr">
        <is>
          <t>T</t>
        </is>
      </c>
    </row>
    <row r="14">
      <c r="A14" s="348" t="n">
        <v>12</v>
      </c>
      <c r="B14" s="348" t="inlineStr">
        <is>
          <t>Aides et exonérations sociales</t>
        </is>
      </c>
      <c r="C14" s="352" t="n">
        <v>-500</v>
      </c>
      <c r="E14" s="352" t="n">
        <v>-500</v>
      </c>
      <c r="G14" s="348">
        <f>SUM(C14)-SUM(D14)</f>
        <v/>
      </c>
      <c r="H14" s="348">
        <f>SUM(E14)-SUM(F14)</f>
        <v/>
      </c>
      <c r="I14" s="348" t="n">
        <v>12</v>
      </c>
      <c r="J14" s="348" t="inlineStr">
        <is>
          <t>T</t>
        </is>
      </c>
    </row>
    <row r="15">
      <c r="A15" s="348" t="n">
        <v>13</v>
      </c>
      <c r="B15" s="348" t="inlineStr">
        <is>
          <t>Divers MO</t>
        </is>
      </c>
      <c r="C15" s="352" t="n">
        <v>0</v>
      </c>
      <c r="E15" s="352" t="n">
        <v>0</v>
      </c>
      <c r="G15" s="348">
        <f>SUM(C15)-SUM(D15)</f>
        <v/>
      </c>
      <c r="H15" s="348">
        <f>SUM(E15)-SUM(F15)</f>
        <v/>
      </c>
      <c r="I15" s="348" t="n">
        <v>13</v>
      </c>
      <c r="J15" s="348" t="inlineStr">
        <is>
          <t>T</t>
        </is>
      </c>
    </row>
    <row r="16">
      <c r="A16" s="348" t="n">
        <v>14</v>
      </c>
      <c r="B16" s="348" t="inlineStr">
        <is>
          <t>Sous total Main d'œuvre</t>
        </is>
      </c>
      <c r="C16" s="352" t="n">
        <v>104974</v>
      </c>
      <c r="E16" s="352" t="n">
        <v>104974</v>
      </c>
      <c r="G16" s="348">
        <f>SUM(C16)-SUM(D16)</f>
        <v/>
      </c>
      <c r="H16" s="348">
        <f>SUM(E16)-SUM(F16)</f>
        <v/>
      </c>
      <c r="I16" s="348" t="n">
        <v>14</v>
      </c>
      <c r="J16" s="348" t="inlineStr">
        <is>
          <t>T</t>
        </is>
      </c>
    </row>
    <row r="17">
      <c r="A17" s="348" t="n">
        <v>15</v>
      </c>
      <c r="B17" s="348" t="inlineStr">
        <is>
          <t>Nettoyage</t>
        </is>
      </c>
      <c r="C17" s="352" t="n">
        <v>10303.68</v>
      </c>
      <c r="E17" s="352" t="n">
        <v>10303.68</v>
      </c>
      <c r="G17" s="348">
        <f>SUM(C17)-SUM(D17)</f>
        <v/>
      </c>
      <c r="H17" s="348">
        <f>SUM(E17)-SUM(F17)</f>
        <v/>
      </c>
      <c r="I17" s="348" t="n">
        <v>15</v>
      </c>
      <c r="J17" s="348" t="inlineStr">
        <is>
          <t>T</t>
        </is>
      </c>
    </row>
    <row r="18">
      <c r="A18" s="348" t="n">
        <v>16</v>
      </c>
      <c r="B18" s="348" t="inlineStr">
        <is>
          <t>Sécurité et Gardiennage</t>
        </is>
      </c>
      <c r="C18" s="352" t="n">
        <v>34.23</v>
      </c>
      <c r="E18" s="352" t="n">
        <v>34.23</v>
      </c>
      <c r="G18" s="348">
        <f>SUM(C18)-SUM(D18)</f>
        <v/>
      </c>
      <c r="H18" s="348">
        <f>SUM(E18)-SUM(F18)</f>
        <v/>
      </c>
      <c r="I18" s="348" t="n">
        <v>16</v>
      </c>
      <c r="J18" s="348" t="inlineStr">
        <is>
          <t>T</t>
        </is>
      </c>
    </row>
    <row r="19">
      <c r="A19" s="348" t="n">
        <v>17</v>
      </c>
      <c r="B19" s="348" t="inlineStr">
        <is>
          <t>Frais bancaires</t>
        </is>
      </c>
      <c r="C19" s="352" t="n">
        <v>4376.16</v>
      </c>
      <c r="E19" s="352" t="n">
        <v>4376.16</v>
      </c>
      <c r="G19" s="348">
        <f>SUM(C19)-SUM(D19)</f>
        <v/>
      </c>
      <c r="H19" s="348">
        <f>SUM(E19)-SUM(F19)</f>
        <v/>
      </c>
      <c r="I19" s="348" t="n">
        <v>17</v>
      </c>
      <c r="J19" s="348" t="inlineStr">
        <is>
          <t>T</t>
        </is>
      </c>
    </row>
    <row r="20">
      <c r="A20" s="348" t="n">
        <v>18</v>
      </c>
      <c r="B20" s="348" t="inlineStr">
        <is>
          <t>Contrats Maintenance et réparations</t>
        </is>
      </c>
      <c r="C20" s="352" t="n">
        <v>6206.35</v>
      </c>
      <c r="E20" s="352" t="n">
        <v>6206.35</v>
      </c>
      <c r="G20" s="348">
        <f>SUM(C20)-SUM(D20)</f>
        <v/>
      </c>
      <c r="H20" s="348">
        <f>SUM(E20)-SUM(F20)</f>
        <v/>
      </c>
      <c r="I20" s="348" t="n">
        <v>18</v>
      </c>
      <c r="J20" s="348" t="inlineStr">
        <is>
          <t>T</t>
        </is>
      </c>
    </row>
    <row r="21">
      <c r="A21" s="348" t="n">
        <v>19</v>
      </c>
      <c r="B21" s="348" t="inlineStr">
        <is>
          <t>Autres Services Extérieurs</t>
        </is>
      </c>
      <c r="C21" s="352" t="n">
        <v>4930.51</v>
      </c>
      <c r="E21" s="352" t="n">
        <v>4930.51</v>
      </c>
      <c r="G21" s="348">
        <f>SUM(C21)-SUM(D21)</f>
        <v/>
      </c>
      <c r="H21" s="348">
        <f>SUM(E21)-SUM(F21)</f>
        <v/>
      </c>
      <c r="I21" s="348" t="n">
        <v>19</v>
      </c>
      <c r="J21" s="348" t="inlineStr">
        <is>
          <t>T</t>
        </is>
      </c>
    </row>
    <row r="22">
      <c r="A22" s="348" t="n">
        <v>20</v>
      </c>
      <c r="B22" s="348" t="inlineStr">
        <is>
          <t>Sous total Services Extérieurs</t>
        </is>
      </c>
      <c r="C22" s="352" t="n">
        <v>25850.93</v>
      </c>
      <c r="E22" s="352" t="n">
        <v>25850.93</v>
      </c>
      <c r="G22" s="348">
        <f>SUM(C22)-SUM(D22)</f>
        <v/>
      </c>
      <c r="H22" s="348">
        <f>SUM(E22)-SUM(F22)</f>
        <v/>
      </c>
      <c r="I22" s="348" t="n">
        <v>20</v>
      </c>
      <c r="J22" s="348" t="inlineStr">
        <is>
          <t>T</t>
        </is>
      </c>
    </row>
    <row r="23">
      <c r="A23" s="348" t="n">
        <v>21</v>
      </c>
      <c r="B23" s="348" t="inlineStr">
        <is>
          <t>Commissions Food Tech</t>
        </is>
      </c>
      <c r="C23" s="352" t="n">
        <v>11592.97</v>
      </c>
      <c r="E23" s="352" t="n">
        <v>11592.97</v>
      </c>
      <c r="G23" s="348">
        <f>SUM(C23)-SUM(D23)</f>
        <v/>
      </c>
      <c r="H23" s="348">
        <f>SUM(E23)-SUM(F23)</f>
        <v/>
      </c>
      <c r="I23" s="348" t="n">
        <v>21</v>
      </c>
      <c r="J23" s="348" t="inlineStr">
        <is>
          <t>T</t>
        </is>
      </c>
    </row>
    <row r="24">
      <c r="A24" s="348" t="n">
        <v>22</v>
      </c>
      <c r="B24" s="348" t="inlineStr">
        <is>
          <t>Publicité GIE</t>
        </is>
      </c>
      <c r="C24" s="352" t="n">
        <v>18521.27</v>
      </c>
      <c r="E24" s="352" t="n">
        <v>18521.27</v>
      </c>
      <c r="G24" s="348">
        <f>SUM(C24)-SUM(D24)</f>
        <v/>
      </c>
      <c r="H24" s="348">
        <f>SUM(E24)-SUM(F24)</f>
        <v/>
      </c>
      <c r="I24" s="348" t="n">
        <v>22</v>
      </c>
      <c r="J24" s="348" t="inlineStr">
        <is>
          <t>T</t>
        </is>
      </c>
    </row>
    <row r="25">
      <c r="A25" s="348" t="n">
        <v>23</v>
      </c>
      <c r="B25" s="348" t="inlineStr">
        <is>
          <t>Promotion locale</t>
        </is>
      </c>
      <c r="C25" s="352" t="n">
        <v>6471.76</v>
      </c>
      <c r="E25" s="352" t="n">
        <v>6471.76</v>
      </c>
      <c r="G25" s="348">
        <f>SUM(C25)-SUM(D25)</f>
        <v/>
      </c>
      <c r="H25" s="348">
        <f>SUM(E25)-SUM(F25)</f>
        <v/>
      </c>
      <c r="I25" s="348" t="n">
        <v>23</v>
      </c>
      <c r="J25" s="348" t="inlineStr">
        <is>
          <t>T</t>
        </is>
      </c>
    </row>
    <row r="26">
      <c r="A26" s="348" t="n">
        <v>24</v>
      </c>
      <c r="B26" s="348" t="inlineStr">
        <is>
          <t>Electricité, eau, gaz, téléphone</t>
        </is>
      </c>
      <c r="C26" s="352" t="n">
        <v>10280.16</v>
      </c>
      <c r="E26" s="352" t="n">
        <v>10280.16</v>
      </c>
      <c r="G26" s="348">
        <f>SUM(C26)-SUM(D26)</f>
        <v/>
      </c>
      <c r="H26" s="348">
        <f>SUM(E26)-SUM(F26)</f>
        <v/>
      </c>
      <c r="I26" s="348" t="n">
        <v>24</v>
      </c>
      <c r="J26" s="348" t="inlineStr">
        <is>
          <t>T</t>
        </is>
      </c>
    </row>
    <row r="27">
      <c r="A27" s="348" t="n">
        <v>25</v>
      </c>
      <c r="B27" s="348" t="inlineStr">
        <is>
          <t>Fournitures exploitation et bureau</t>
        </is>
      </c>
      <c r="C27" s="352" t="n">
        <v>4758.1</v>
      </c>
      <c r="E27" s="352" t="n">
        <v>4758.1</v>
      </c>
      <c r="G27" s="348">
        <f>SUM(C27)-SUM(D27)</f>
        <v/>
      </c>
      <c r="H27" s="348">
        <f>SUM(E27)-SUM(F27)</f>
        <v/>
      </c>
      <c r="I27" s="348" t="n">
        <v>25</v>
      </c>
      <c r="J27" s="348" t="inlineStr">
        <is>
          <t>T</t>
        </is>
      </c>
    </row>
    <row r="28">
      <c r="A28" s="348" t="n">
        <v>26</v>
      </c>
      <c r="B28" s="348" t="inlineStr">
        <is>
          <t>Frais de déplacements et Evènements</t>
        </is>
      </c>
      <c r="C28" s="352" t="n">
        <v>244.59</v>
      </c>
      <c r="E28" s="352" t="n">
        <v>244.59</v>
      </c>
      <c r="G28" s="348">
        <f>SUM(C28)-SUM(D28)</f>
        <v/>
      </c>
      <c r="H28" s="348">
        <f>SUM(E28)-SUM(F28)</f>
        <v/>
      </c>
      <c r="I28" s="348" t="n">
        <v>26</v>
      </c>
      <c r="J28" s="348" t="inlineStr">
        <is>
          <t>T</t>
        </is>
      </c>
    </row>
    <row r="29">
      <c r="A29" s="348" t="n">
        <v>27</v>
      </c>
      <c r="B29" s="348" t="inlineStr">
        <is>
          <t>Divers</t>
        </is>
      </c>
      <c r="C29" s="352" t="n">
        <v>737.08</v>
      </c>
      <c r="E29" s="352" t="n">
        <v>737.08</v>
      </c>
      <c r="G29" s="348">
        <f>SUM(C29)-SUM(D29)</f>
        <v/>
      </c>
      <c r="H29" s="348">
        <f>SUM(E29)-SUM(F29)</f>
        <v/>
      </c>
      <c r="I29" s="348" t="n">
        <v>27</v>
      </c>
      <c r="J29" s="348" t="inlineStr">
        <is>
          <t>T</t>
        </is>
      </c>
    </row>
    <row r="30">
      <c r="A30" s="348" t="n">
        <v>28</v>
      </c>
      <c r="B30" s="348" t="inlineStr">
        <is>
          <t>Profit après contrôlables (PAC)</t>
        </is>
      </c>
      <c r="C30" s="352" t="n">
        <v>154985.15</v>
      </c>
      <c r="E30" s="352" t="n">
        <v>154985.15</v>
      </c>
      <c r="G30" s="348">
        <f>SUM(C30)-SUM(D30)</f>
        <v/>
      </c>
      <c r="H30" s="348">
        <f>SUM(E30)-SUM(F30)</f>
        <v/>
      </c>
      <c r="I30" s="348" t="n">
        <v>28</v>
      </c>
      <c r="J30" s="348" t="inlineStr">
        <is>
          <t>T</t>
        </is>
      </c>
    </row>
    <row r="31">
      <c r="A31" s="348" t="n">
        <v>29</v>
      </c>
      <c r="B31" s="348" t="inlineStr">
        <is>
          <t>Redevance standard</t>
        </is>
      </c>
      <c r="C31" s="352" t="n">
        <v>70348.47</v>
      </c>
      <c r="E31" s="352" t="n">
        <v>70348.47</v>
      </c>
      <c r="G31" s="348">
        <f>SUM(C31)-SUM(D31)</f>
        <v/>
      </c>
      <c r="H31" s="348">
        <f>SUM(E31)-SUM(F31)</f>
        <v/>
      </c>
      <c r="I31" s="348" t="n">
        <v>29</v>
      </c>
      <c r="J31" s="348" t="inlineStr">
        <is>
          <t>T</t>
        </is>
      </c>
    </row>
    <row r="32">
      <c r="A32" s="348" t="n">
        <v>30</v>
      </c>
      <c r="B32" s="348" t="inlineStr">
        <is>
          <t>Indexation loyer externe</t>
        </is>
      </c>
      <c r="C32" s="352" t="n">
        <v>0</v>
      </c>
      <c r="E32" s="352" t="n">
        <v>0</v>
      </c>
      <c r="G32" s="348">
        <f>SUM(C32)-SUM(D32)</f>
        <v/>
      </c>
      <c r="H32" s="348">
        <f>SUM(E32)-SUM(F32)</f>
        <v/>
      </c>
      <c r="I32" s="348" t="n">
        <v>30</v>
      </c>
      <c r="J32" s="348" t="inlineStr">
        <is>
          <t>T</t>
        </is>
      </c>
    </row>
    <row r="33">
      <c r="A33" s="348" t="n">
        <v>31</v>
      </c>
      <c r="B33" s="348" t="inlineStr">
        <is>
          <t>Incentives et Avoirs de redevance</t>
        </is>
      </c>
      <c r="C33" s="352" t="n">
        <v>-2397.68</v>
      </c>
      <c r="E33" s="352" t="n">
        <v>-2397.68</v>
      </c>
      <c r="G33" s="348">
        <f>SUM(C33)-SUM(D33)</f>
        <v/>
      </c>
      <c r="H33" s="348">
        <f>SUM(E33)-SUM(F33)</f>
        <v/>
      </c>
      <c r="I33" s="348" t="n">
        <v>31</v>
      </c>
      <c r="J33" s="348" t="inlineStr">
        <is>
          <t>T</t>
        </is>
      </c>
    </row>
    <row r="34">
      <c r="A34" s="348" t="n">
        <v>32</v>
      </c>
      <c r="B34" s="348" t="inlineStr">
        <is>
          <t>Sous total Redevance effective</t>
        </is>
      </c>
      <c r="C34" s="352" t="n">
        <v>67950.79000000001</v>
      </c>
      <c r="E34" s="352" t="n">
        <v>67950.79000000001</v>
      </c>
      <c r="G34" s="348">
        <f>SUM(C34)-SUM(D34)</f>
        <v/>
      </c>
      <c r="H34" s="348">
        <f>SUM(E34)-SUM(F34)</f>
        <v/>
      </c>
      <c r="I34" s="348" t="n">
        <v>32</v>
      </c>
      <c r="J34" s="348" t="inlineStr">
        <is>
          <t>T</t>
        </is>
      </c>
    </row>
    <row r="35">
      <c r="A35" s="348" t="n">
        <v>33</v>
      </c>
      <c r="B35" s="348" t="inlineStr">
        <is>
          <t>Charges locatives et copro</t>
        </is>
      </c>
      <c r="C35" s="352" t="n">
        <v>0</v>
      </c>
      <c r="E35" s="352" t="n">
        <v>0</v>
      </c>
      <c r="G35" s="348">
        <f>SUM(C35)-SUM(D35)</f>
        <v/>
      </c>
      <c r="H35" s="348">
        <f>SUM(E35)-SUM(F35)</f>
        <v/>
      </c>
      <c r="I35" s="348" t="n">
        <v>33</v>
      </c>
      <c r="J35" s="348" t="inlineStr">
        <is>
          <t>T</t>
        </is>
      </c>
    </row>
    <row r="36">
      <c r="A36" s="348" t="n">
        <v>34</v>
      </c>
      <c r="B36" s="348" t="inlineStr">
        <is>
          <t>Redevance service 5%</t>
        </is>
      </c>
      <c r="C36" s="352" t="n">
        <v>23449.49</v>
      </c>
      <c r="E36" s="352" t="n">
        <v>23449.49</v>
      </c>
      <c r="G36" s="348">
        <f>SUM(C36)-SUM(D36)</f>
        <v/>
      </c>
      <c r="H36" s="348">
        <f>SUM(E36)-SUM(F36)</f>
        <v/>
      </c>
      <c r="I36" s="348" t="n">
        <v>34</v>
      </c>
      <c r="J36" s="348" t="inlineStr">
        <is>
          <t>T</t>
        </is>
      </c>
    </row>
    <row r="37">
      <c r="A37" s="348" t="n">
        <v>35</v>
      </c>
      <c r="B37" s="348" t="inlineStr">
        <is>
          <t>Frais comptables et juridiques</t>
        </is>
      </c>
      <c r="C37" s="352" t="n">
        <v>1696</v>
      </c>
      <c r="E37" s="352" t="n">
        <v>1696</v>
      </c>
      <c r="G37" s="348">
        <f>SUM(C37)-SUM(D37)</f>
        <v/>
      </c>
      <c r="H37" s="348">
        <f>SUM(E37)-SUM(F37)</f>
        <v/>
      </c>
      <c r="I37" s="348" t="n">
        <v>35</v>
      </c>
      <c r="J37" s="348" t="inlineStr">
        <is>
          <t>T</t>
        </is>
      </c>
    </row>
    <row r="38">
      <c r="A38" s="348" t="n">
        <v>36</v>
      </c>
      <c r="B38" s="348" t="inlineStr">
        <is>
          <t>Assurances</t>
        </is>
      </c>
      <c r="C38" s="352" t="n">
        <v>2135.29</v>
      </c>
      <c r="E38" s="352" t="n">
        <v>2135.29</v>
      </c>
      <c r="G38" s="348">
        <f>SUM(C38)-SUM(D38)</f>
        <v/>
      </c>
      <c r="H38" s="348">
        <f>SUM(E38)-SUM(F38)</f>
        <v/>
      </c>
      <c r="I38" s="348" t="n">
        <v>36</v>
      </c>
      <c r="J38" s="348" t="inlineStr">
        <is>
          <t>T</t>
        </is>
      </c>
    </row>
    <row r="39">
      <c r="A39" s="348" t="n">
        <v>37</v>
      </c>
      <c r="B39" s="348" t="inlineStr">
        <is>
          <t>Taxes</t>
        </is>
      </c>
      <c r="C39" s="352" t="n">
        <v>4065.82</v>
      </c>
      <c r="E39" s="352" t="n">
        <v>4065.82</v>
      </c>
      <c r="G39" s="348">
        <f>SUM(C39)-SUM(D39)</f>
        <v/>
      </c>
      <c r="H39" s="348">
        <f>SUM(E39)-SUM(F39)</f>
        <v/>
      </c>
      <c r="I39" s="348" t="n">
        <v>37</v>
      </c>
      <c r="J39" s="348" t="inlineStr">
        <is>
          <t>T</t>
        </is>
      </c>
    </row>
    <row r="40">
      <c r="A40" s="348" t="n">
        <v>38</v>
      </c>
      <c r="B40" s="348" t="inlineStr">
        <is>
          <t>Dépréciations amortissements</t>
        </is>
      </c>
      <c r="C40" s="352" t="n">
        <v>7700</v>
      </c>
      <c r="E40" s="352" t="n">
        <v>7700</v>
      </c>
      <c r="G40" s="348">
        <f>SUM(C40)-SUM(D40)</f>
        <v/>
      </c>
      <c r="H40" s="348">
        <f>SUM(E40)-SUM(F40)</f>
        <v/>
      </c>
      <c r="I40" s="348" t="n">
        <v>38</v>
      </c>
      <c r="J40" s="348" t="inlineStr">
        <is>
          <t>T</t>
        </is>
      </c>
    </row>
    <row r="41">
      <c r="A41" s="348" t="n">
        <v>39</v>
      </c>
      <c r="B41" s="348" t="inlineStr">
        <is>
          <t>Crédit bail</t>
        </is>
      </c>
      <c r="C41" s="352" t="n">
        <v>1020.5</v>
      </c>
      <c r="E41" s="352" t="n">
        <v>1020.5</v>
      </c>
      <c r="G41" s="348">
        <f>SUM(C41)-SUM(D41)</f>
        <v/>
      </c>
      <c r="H41" s="348">
        <f>SUM(E41)-SUM(F41)</f>
        <v/>
      </c>
      <c r="I41" s="348" t="n">
        <v>39</v>
      </c>
      <c r="J41" s="348" t="inlineStr">
        <is>
          <t>T</t>
        </is>
      </c>
    </row>
    <row r="42">
      <c r="A42" s="348" t="n">
        <v>40</v>
      </c>
      <c r="B42" s="348" t="inlineStr">
        <is>
          <t>Dépenses / Revenus divers</t>
        </is>
      </c>
      <c r="C42" s="352" t="n">
        <v>0</v>
      </c>
      <c r="E42" s="352" t="n">
        <v>0</v>
      </c>
      <c r="G42" s="348">
        <f>SUM(C42)-SUM(D42)</f>
        <v/>
      </c>
      <c r="H42" s="348">
        <f>SUM(E42)-SUM(F42)</f>
        <v/>
      </c>
      <c r="I42" s="348" t="n">
        <v>40</v>
      </c>
      <c r="J42" s="348" t="inlineStr">
        <is>
          <t>T</t>
        </is>
      </c>
    </row>
    <row r="43">
      <c r="A43" s="348" t="n">
        <v>41.1</v>
      </c>
      <c r="B43" s="348" t="inlineStr">
        <is>
          <t>Ventes non alimentaires</t>
        </is>
      </c>
      <c r="C43" s="352" t="n">
        <v>6808.18</v>
      </c>
      <c r="E43" s="352" t="n">
        <v>6808.18</v>
      </c>
      <c r="G43" s="348">
        <f>-SUM(C43)+SUM(D43)</f>
        <v/>
      </c>
      <c r="H43" s="348">
        <f>-SUM(E43)+SUM(F43)</f>
        <v/>
      </c>
      <c r="I43" s="348" t="inlineStr">
        <is>
          <t>41.1</t>
        </is>
      </c>
      <c r="J43" s="348" t="inlineStr">
        <is>
          <t>T</t>
        </is>
      </c>
    </row>
    <row r="44">
      <c r="A44" s="348" t="n">
        <v>41.2</v>
      </c>
      <c r="B44" s="348" t="inlineStr">
        <is>
          <t>Coût non alimentaire</t>
        </is>
      </c>
      <c r="C44" s="352" t="n">
        <v>6548.99</v>
      </c>
      <c r="E44" s="352" t="n">
        <v>6548.99</v>
      </c>
      <c r="G44" s="348">
        <f>SUM(C44)-SUM(D44)</f>
        <v/>
      </c>
      <c r="H44" s="348">
        <f>SUM(E44)-SUM(F44)</f>
        <v/>
      </c>
      <c r="I44" s="348" t="inlineStr">
        <is>
          <t>41.2</t>
        </is>
      </c>
      <c r="J44" s="348" t="inlineStr">
        <is>
          <t>T</t>
        </is>
      </c>
    </row>
    <row r="45">
      <c r="A45" s="348" t="n">
        <v>41</v>
      </c>
      <c r="B45" s="348" t="inlineStr">
        <is>
          <t>Résultat net non alimentaire</t>
        </is>
      </c>
      <c r="C45" s="352" t="n">
        <v>259.1900000000005</v>
      </c>
      <c r="E45" s="352" t="n">
        <v>259.1900000000005</v>
      </c>
      <c r="G45" s="348">
        <f>SUM(C45)-SUM(D45)</f>
        <v/>
      </c>
      <c r="H45" s="348">
        <f>SUM(E45)-SUM(F45)</f>
        <v/>
      </c>
      <c r="I45" s="348" t="n">
        <v>41</v>
      </c>
      <c r="J45" s="348" t="inlineStr">
        <is>
          <t>T</t>
        </is>
      </c>
    </row>
    <row r="46">
      <c r="A46" s="348" t="n">
        <v>42</v>
      </c>
      <c r="B46" s="348" t="inlineStr">
        <is>
          <t>Charges / Revenus financiers</t>
        </is>
      </c>
      <c r="C46" s="352" t="n">
        <v>18.14</v>
      </c>
      <c r="E46" s="352" t="n">
        <v>18.14</v>
      </c>
      <c r="G46" s="348">
        <f>SUM(C46)-SUM(D46)</f>
        <v/>
      </c>
      <c r="H46" s="348">
        <f>SUM(E46)-SUM(F46)</f>
        <v/>
      </c>
      <c r="I46" s="348" t="n">
        <v>42</v>
      </c>
      <c r="J46" s="348" t="inlineStr">
        <is>
          <t>T</t>
        </is>
      </c>
    </row>
    <row r="47">
      <c r="A47" s="348" t="n">
        <v>43</v>
      </c>
      <c r="B47" s="348" t="inlineStr">
        <is>
          <t>Résultat net d'exploitation (SOI)</t>
        </is>
      </c>
      <c r="C47" s="352" t="n">
        <v>47208.31000000001</v>
      </c>
      <c r="E47" s="352" t="n">
        <v>47208.31000000001</v>
      </c>
      <c r="G47" s="348">
        <f>SUM(C47)-SUM(D47)</f>
        <v/>
      </c>
      <c r="H47" s="348">
        <f>SUM(E47)-SUM(F47)</f>
        <v/>
      </c>
      <c r="I47" s="348" t="n">
        <v>43</v>
      </c>
      <c r="J47" s="348" t="inlineStr">
        <is>
          <t>T</t>
        </is>
      </c>
    </row>
    <row r="48">
      <c r="A48" s="348" t="n">
        <v>44</v>
      </c>
      <c r="B48" s="348" t="inlineStr">
        <is>
          <t>Cash Flow avant fin, G&amp;A et IS</t>
        </is>
      </c>
      <c r="C48" s="352" t="n">
        <v>55946.95000000001</v>
      </c>
      <c r="E48" s="352" t="n">
        <v>55946.95000000001</v>
      </c>
      <c r="G48" s="348">
        <f>SUM(C48)-SUM(D48)</f>
        <v/>
      </c>
      <c r="H48" s="348">
        <f>SUM(E48)-SUM(F48)</f>
        <v/>
      </c>
      <c r="I48" s="348" t="n">
        <v>44</v>
      </c>
      <c r="J48" s="348" t="inlineStr">
        <is>
          <t>T</t>
        </is>
      </c>
    </row>
    <row r="49">
      <c r="A49" s="348" t="n">
        <v>45</v>
      </c>
      <c r="B49" s="348" t="inlineStr">
        <is>
          <t>Charges et produits exceptionnels</t>
        </is>
      </c>
      <c r="C49" s="352" t="n">
        <v>0</v>
      </c>
      <c r="E49" s="352" t="n">
        <v>0</v>
      </c>
      <c r="G49" s="348">
        <f>SUM(C49)-SUM(D49)</f>
        <v/>
      </c>
      <c r="H49" s="348">
        <f>SUM(E49)-SUM(F49)</f>
        <v/>
      </c>
      <c r="I49" s="348" t="n">
        <v>45</v>
      </c>
      <c r="J49" s="348" t="inlineStr">
        <is>
          <t>T</t>
        </is>
      </c>
    </row>
    <row r="50">
      <c r="A50" s="348" t="n">
        <v>46</v>
      </c>
      <c r="B50" s="348" t="inlineStr">
        <is>
          <t>G&amp;A (Frais administratifs)</t>
        </is>
      </c>
      <c r="C50" s="352" t="n">
        <v>29505</v>
      </c>
      <c r="E50" s="352" t="n">
        <v>29505</v>
      </c>
      <c r="G50" s="348">
        <f>SUM(C50)-SUM(D50)</f>
        <v/>
      </c>
      <c r="H50" s="348">
        <f>SUM(E50)-SUM(F50)</f>
        <v/>
      </c>
      <c r="I50" s="348" t="n">
        <v>46</v>
      </c>
      <c r="J50" s="348" t="inlineStr">
        <is>
          <t>T</t>
        </is>
      </c>
    </row>
    <row r="51">
      <c r="A51" s="348" t="n">
        <v>47</v>
      </c>
      <c r="B51" s="348" t="inlineStr">
        <is>
          <t>Revenu net avant impôt</t>
        </is>
      </c>
      <c r="C51" s="352" t="n">
        <v>17703.31000000001</v>
      </c>
      <c r="E51" s="352" t="n">
        <v>17703.31000000001</v>
      </c>
      <c r="G51" s="348">
        <f>SUM(C51)-SUM(D51)</f>
        <v/>
      </c>
      <c r="H51" s="348">
        <f>SUM(E51)-SUM(F51)</f>
        <v/>
      </c>
      <c r="I51" s="348" t="n">
        <v>47</v>
      </c>
      <c r="J51" s="348" t="inlineStr">
        <is>
          <t>T</t>
        </is>
      </c>
    </row>
    <row r="52">
      <c r="A52" s="348" t="n">
        <v>48</v>
      </c>
      <c r="B52" s="348" t="inlineStr">
        <is>
          <t>Impôt sur les sociétés</t>
        </is>
      </c>
      <c r="C52" s="352" t="n">
        <v>6491.21</v>
      </c>
      <c r="E52" s="352" t="n">
        <v>6491.21</v>
      </c>
      <c r="G52" s="348">
        <f>SUM(C52)-SUM(D52)</f>
        <v/>
      </c>
      <c r="H52" s="348">
        <f>SUM(E52)-SUM(F52)</f>
        <v/>
      </c>
      <c r="I52" s="348" t="n">
        <v>48</v>
      </c>
      <c r="J52" s="348" t="inlineStr">
        <is>
          <t>T</t>
        </is>
      </c>
    </row>
    <row r="53">
      <c r="A53" s="348" t="n">
        <v>49</v>
      </c>
      <c r="B53" s="348" t="inlineStr">
        <is>
          <t>Résultat net</t>
        </is>
      </c>
      <c r="C53" s="352" t="n">
        <v>11212.10000000001</v>
      </c>
      <c r="E53" s="352" t="n">
        <v>11212.10000000001</v>
      </c>
      <c r="G53" s="348">
        <f>SUM(C53)-SUM(D53)</f>
        <v/>
      </c>
      <c r="H53" s="348">
        <f>SUM(E53)-SUM(F53)</f>
        <v/>
      </c>
      <c r="I53" s="348" t="n">
        <v>49</v>
      </c>
      <c r="J53" s="348" t="inlineStr">
        <is>
          <t>T</t>
        </is>
      </c>
    </row>
    <row r="54">
      <c r="J54" s="348">
        <f>LEFT(A54,1)</f>
        <v/>
      </c>
    </row>
    <row r="55">
      <c r="J55" s="348">
        <f>LEFT(A55,1)</f>
        <v/>
      </c>
    </row>
    <row r="56">
      <c r="J56" s="348">
        <f>LEFT(A56,1)</f>
        <v/>
      </c>
    </row>
    <row r="57">
      <c r="J57" s="348">
        <f>LEFT(A57,1)</f>
        <v/>
      </c>
    </row>
    <row r="58">
      <c r="J58" s="348">
        <f>LEFT(A58,1)</f>
        <v/>
      </c>
    </row>
    <row r="59">
      <c r="J59" s="348">
        <f>LEFT(A59,1)</f>
        <v/>
      </c>
    </row>
    <row r="60">
      <c r="J60" s="348">
        <f>LEFT(A60,1)</f>
        <v/>
      </c>
    </row>
    <row r="61">
      <c r="J61" s="348">
        <f>LEFT(A61,1)</f>
        <v/>
      </c>
    </row>
    <row r="62">
      <c r="J62" s="348">
        <f>LEFT(A62,1)</f>
        <v/>
      </c>
    </row>
    <row r="63">
      <c r="J63" s="348">
        <f>LEFT(A63,1)</f>
        <v/>
      </c>
    </row>
    <row r="64">
      <c r="J64" s="348">
        <f>LEFT(A64,1)</f>
        <v/>
      </c>
    </row>
    <row r="65">
      <c r="J65" s="348">
        <f>LEFT(A65,1)</f>
        <v/>
      </c>
    </row>
    <row r="66">
      <c r="J66" s="348">
        <f>LEFT(A66,1)</f>
        <v/>
      </c>
    </row>
    <row r="67">
      <c r="J67" s="348">
        <f>LEFT(A67,1)</f>
        <v/>
      </c>
    </row>
    <row r="68">
      <c r="J68" s="348">
        <f>LEFT(A68,1)</f>
        <v/>
      </c>
    </row>
    <row r="69">
      <c r="J69" s="348">
        <f>LEFT(A69,1)</f>
        <v/>
      </c>
    </row>
    <row r="70">
      <c r="J70" s="348">
        <f>LEFT(A70,1)</f>
        <v/>
      </c>
    </row>
    <row r="71">
      <c r="J71" s="348">
        <f>LEFT(A71,1)</f>
        <v/>
      </c>
    </row>
    <row r="72">
      <c r="J72" s="348">
        <f>LEFT(A72,1)</f>
        <v/>
      </c>
    </row>
    <row r="73">
      <c r="J73" s="348">
        <f>LEFT(A73,1)</f>
        <v/>
      </c>
    </row>
    <row r="74">
      <c r="J74" s="348">
        <f>LEFT(A74,1)</f>
        <v/>
      </c>
    </row>
    <row r="75">
      <c r="J75" s="348">
        <f>LEFT(A75,1)</f>
        <v/>
      </c>
    </row>
    <row r="76">
      <c r="J76" s="348">
        <f>LEFT(A76,1)</f>
        <v/>
      </c>
    </row>
    <row r="77">
      <c r="J77" s="348">
        <f>LEFT(A77,1)</f>
        <v/>
      </c>
    </row>
    <row r="78">
      <c r="J78" s="348">
        <f>LEFT(A78,1)</f>
        <v/>
      </c>
    </row>
    <row r="79">
      <c r="J79" s="348">
        <f>LEFT(A79,1)</f>
        <v/>
      </c>
    </row>
    <row r="80">
      <c r="J80" s="348">
        <f>LEFT(A80,1)</f>
        <v/>
      </c>
    </row>
    <row r="81">
      <c r="J81" s="348">
        <f>LEFT(A81,1)</f>
        <v/>
      </c>
    </row>
    <row r="82">
      <c r="J82" s="348">
        <f>LEFT(A82,1)</f>
        <v/>
      </c>
    </row>
    <row r="83">
      <c r="J83" s="348">
        <f>LEFT(A83,1)</f>
        <v/>
      </c>
    </row>
    <row r="84">
      <c r="J84" s="348">
        <f>LEFT(A84,1)</f>
        <v/>
      </c>
    </row>
    <row r="85">
      <c r="J85" s="348">
        <f>LEFT(A85,1)</f>
        <v/>
      </c>
    </row>
    <row r="86">
      <c r="J86" s="348">
        <f>LEFT(A86,1)</f>
        <v/>
      </c>
    </row>
    <row r="87">
      <c r="J87" s="348">
        <f>LEFT(A87,1)</f>
        <v/>
      </c>
    </row>
    <row r="88">
      <c r="J88" s="348">
        <f>LEFT(A88,1)</f>
        <v/>
      </c>
    </row>
    <row r="89">
      <c r="J89" s="348">
        <f>LEFT(A89,1)</f>
        <v/>
      </c>
    </row>
    <row r="90">
      <c r="J90" s="348">
        <f>LEFT(A90,1)</f>
        <v/>
      </c>
    </row>
    <row r="91">
      <c r="J91" s="348">
        <f>LEFT(A91,1)</f>
        <v/>
      </c>
    </row>
    <row r="92">
      <c r="J92" s="348">
        <f>LEFT(A92,1)</f>
        <v/>
      </c>
    </row>
    <row r="93">
      <c r="J93" s="348">
        <f>LEFT(A93,1)</f>
        <v/>
      </c>
    </row>
    <row r="94">
      <c r="J94" s="348">
        <f>LEFT(A94,1)</f>
        <v/>
      </c>
    </row>
    <row r="95">
      <c r="J95" s="348">
        <f>LEFT(A95,1)</f>
        <v/>
      </c>
    </row>
    <row r="96">
      <c r="J96" s="348">
        <f>LEFT(A96,1)</f>
        <v/>
      </c>
    </row>
    <row r="97">
      <c r="J97" s="348">
        <f>LEFT(A97,1)</f>
        <v/>
      </c>
    </row>
    <row r="98">
      <c r="J98" s="348">
        <f>LEFT(A98,1)</f>
        <v/>
      </c>
    </row>
    <row r="99">
      <c r="J99" s="348">
        <f>LEFT(A99,1)</f>
        <v/>
      </c>
    </row>
    <row r="100">
      <c r="J100" s="348">
        <f>LEFT(A100,1)</f>
        <v/>
      </c>
    </row>
    <row r="101">
      <c r="J101" s="348">
        <f>LEFT(A101,1)</f>
        <v/>
      </c>
    </row>
    <row r="102">
      <c r="J102" s="348">
        <f>LEFT(A102,1)</f>
        <v/>
      </c>
    </row>
    <row r="103">
      <c r="J103" s="348">
        <f>LEFT(A103,1)</f>
        <v/>
      </c>
    </row>
    <row r="104">
      <c r="J104" s="348">
        <f>LEFT(A104,1)</f>
        <v/>
      </c>
    </row>
    <row r="105">
      <c r="J105" s="348">
        <f>LEFT(A105,1)</f>
        <v/>
      </c>
    </row>
    <row r="106">
      <c r="J106" s="348">
        <f>LEFT(A106,1)</f>
        <v/>
      </c>
    </row>
    <row r="107">
      <c r="J107" s="348">
        <f>LEFT(A107,1)</f>
        <v/>
      </c>
    </row>
    <row r="108">
      <c r="J108" s="348">
        <f>LEFT(A108,1)</f>
        <v/>
      </c>
    </row>
    <row r="109">
      <c r="J109" s="348">
        <f>LEFT(A109,1)</f>
        <v/>
      </c>
    </row>
    <row r="110">
      <c r="J110" s="348">
        <f>LEFT(A110,1)</f>
        <v/>
      </c>
    </row>
    <row r="111">
      <c r="J111" s="348">
        <f>LEFT(A111,1)</f>
        <v/>
      </c>
    </row>
    <row r="112">
      <c r="J112" s="348">
        <f>LEFT(A112,1)</f>
        <v/>
      </c>
    </row>
    <row r="113">
      <c r="J113" s="348">
        <f>LEFT(A113,1)</f>
        <v/>
      </c>
    </row>
    <row r="114">
      <c r="J114" s="348">
        <f>LEFT(A114,1)</f>
        <v/>
      </c>
    </row>
    <row r="115">
      <c r="J115" s="348">
        <f>LEFT(A115,1)</f>
        <v/>
      </c>
    </row>
    <row r="116">
      <c r="J116" s="348">
        <f>LEFT(A116,1)</f>
        <v/>
      </c>
    </row>
    <row r="117">
      <c r="J117" s="348">
        <f>LEFT(A117,1)</f>
        <v/>
      </c>
    </row>
    <row r="118">
      <c r="J118" s="348">
        <f>LEFT(A118,1)</f>
        <v/>
      </c>
    </row>
    <row r="119">
      <c r="J119" s="348">
        <f>LEFT(A119,1)</f>
        <v/>
      </c>
    </row>
    <row r="120">
      <c r="J120" s="348">
        <f>LEFT(A120,1)</f>
        <v/>
      </c>
    </row>
    <row r="121">
      <c r="J121" s="348">
        <f>LEFT(A121,1)</f>
        <v/>
      </c>
    </row>
    <row r="122">
      <c r="J122" s="348">
        <f>LEFT(A122,1)</f>
        <v/>
      </c>
    </row>
    <row r="123">
      <c r="J123" s="348">
        <f>LEFT(A123,1)</f>
        <v/>
      </c>
    </row>
    <row r="124">
      <c r="J124" s="348">
        <f>LEFT(A124,1)</f>
        <v/>
      </c>
    </row>
    <row r="125">
      <c r="J125" s="348">
        <f>LEFT(A125,1)</f>
        <v/>
      </c>
    </row>
    <row r="126">
      <c r="J126" s="348">
        <f>LEFT(A126,1)</f>
        <v/>
      </c>
    </row>
    <row r="127">
      <c r="J127" s="348">
        <f>LEFT(A127,1)</f>
        <v/>
      </c>
    </row>
    <row r="128">
      <c r="J128" s="348">
        <f>LEFT(A128,1)</f>
        <v/>
      </c>
    </row>
    <row r="129">
      <c r="J129" s="348">
        <f>LEFT(A129,1)</f>
        <v/>
      </c>
    </row>
    <row r="130">
      <c r="J130" s="348">
        <f>LEFT(A130,1)</f>
        <v/>
      </c>
    </row>
    <row r="131">
      <c r="J131" s="348">
        <f>LEFT(A131,1)</f>
        <v/>
      </c>
    </row>
    <row r="132">
      <c r="J132" s="348">
        <f>LEFT(A132,1)</f>
        <v/>
      </c>
    </row>
    <row r="133">
      <c r="J133" s="348">
        <f>LEFT(A133,1)</f>
        <v/>
      </c>
    </row>
    <row r="134">
      <c r="J134" s="348">
        <f>LEFT(A134,1)</f>
        <v/>
      </c>
    </row>
    <row r="135">
      <c r="J135" s="348">
        <f>LEFT(A135,1)</f>
        <v/>
      </c>
    </row>
    <row r="136">
      <c r="J136" s="348">
        <f>LEFT(A136,1)</f>
        <v/>
      </c>
    </row>
    <row r="137">
      <c r="J137" s="348">
        <f>LEFT(A137,1)</f>
        <v/>
      </c>
    </row>
    <row r="138">
      <c r="J138" s="348">
        <f>LEFT(A138,1)</f>
        <v/>
      </c>
    </row>
    <row r="139">
      <c r="J139" s="348">
        <f>LEFT(A139,1)</f>
        <v/>
      </c>
    </row>
    <row r="140">
      <c r="J140" s="348">
        <f>LEFT(A140,1)</f>
        <v/>
      </c>
    </row>
    <row r="141">
      <c r="J141" s="348">
        <f>LEFT(A141,1)</f>
        <v/>
      </c>
    </row>
    <row r="142">
      <c r="J142" s="348">
        <f>LEFT(A142,1)</f>
        <v/>
      </c>
    </row>
    <row r="143">
      <c r="J143" s="348">
        <f>LEFT(A143,1)</f>
        <v/>
      </c>
    </row>
    <row r="144">
      <c r="J144" s="348">
        <f>LEFT(A144,1)</f>
        <v/>
      </c>
    </row>
    <row r="145">
      <c r="J145" s="348">
        <f>LEFT(A145,1)</f>
        <v/>
      </c>
    </row>
    <row r="146">
      <c r="J146" s="348">
        <f>LEFT(A146,1)</f>
        <v/>
      </c>
    </row>
    <row r="147">
      <c r="J147" s="348">
        <f>LEFT(A147,1)</f>
        <v/>
      </c>
    </row>
    <row r="148">
      <c r="J148" s="348">
        <f>LEFT(A148,1)</f>
        <v/>
      </c>
    </row>
    <row r="149">
      <c r="J149" s="348">
        <f>LEFT(A149,1)</f>
        <v/>
      </c>
    </row>
    <row r="150">
      <c r="J150" s="348">
        <f>LEFT(A150,1)</f>
        <v/>
      </c>
    </row>
    <row r="151">
      <c r="J151" s="348">
        <f>LEFT(A151,1)</f>
        <v/>
      </c>
    </row>
    <row r="152">
      <c r="J152" s="348">
        <f>LEFT(A152,1)</f>
        <v/>
      </c>
    </row>
    <row r="153">
      <c r="J153" s="348">
        <f>LEFT(A153,1)</f>
        <v/>
      </c>
    </row>
    <row r="154">
      <c r="J154" s="348">
        <f>LEFT(A154,1)</f>
        <v/>
      </c>
    </row>
    <row r="155">
      <c r="J155" s="348">
        <f>LEFT(A155,1)</f>
        <v/>
      </c>
    </row>
    <row r="156">
      <c r="J156" s="348">
        <f>LEFT(A156,1)</f>
        <v/>
      </c>
    </row>
    <row r="157">
      <c r="J157" s="348">
        <f>LEFT(A157,1)</f>
        <v/>
      </c>
    </row>
    <row r="158">
      <c r="J158" s="348">
        <f>LEFT(A158,1)</f>
        <v/>
      </c>
    </row>
    <row r="159">
      <c r="J159" s="348">
        <f>LEFT(A159,1)</f>
        <v/>
      </c>
    </row>
    <row r="160">
      <c r="J160" s="348">
        <f>LEFT(A160,1)</f>
        <v/>
      </c>
    </row>
    <row r="161">
      <c r="J161" s="348">
        <f>LEFT(A161,1)</f>
        <v/>
      </c>
    </row>
    <row r="162">
      <c r="J162" s="348">
        <f>LEFT(A162,1)</f>
        <v/>
      </c>
    </row>
    <row r="163">
      <c r="J163" s="348">
        <f>LEFT(A163,1)</f>
        <v/>
      </c>
    </row>
    <row r="164">
      <c r="J164" s="348">
        <f>LEFT(A164,1)</f>
        <v/>
      </c>
    </row>
    <row r="165">
      <c r="J165" s="348">
        <f>LEFT(A165,1)</f>
        <v/>
      </c>
    </row>
    <row r="166">
      <c r="J166" s="348">
        <f>LEFT(A166,1)</f>
        <v/>
      </c>
    </row>
    <row r="167">
      <c r="J167" s="348">
        <f>LEFT(A167,1)</f>
        <v/>
      </c>
    </row>
    <row r="168">
      <c r="J168" s="348">
        <f>LEFT(A168,1)</f>
        <v/>
      </c>
    </row>
    <row r="169">
      <c r="J169" s="348">
        <f>LEFT(A169,1)</f>
        <v/>
      </c>
    </row>
    <row r="170">
      <c r="J170" s="348">
        <f>LEFT(A170,1)</f>
        <v/>
      </c>
    </row>
    <row r="171">
      <c r="J171" s="348">
        <f>LEFT(A171,1)</f>
        <v/>
      </c>
    </row>
    <row r="172">
      <c r="J172" s="348">
        <f>LEFT(A172,1)</f>
        <v/>
      </c>
    </row>
    <row r="173">
      <c r="J173" s="348">
        <f>LEFT(A173,1)</f>
        <v/>
      </c>
    </row>
    <row r="174">
      <c r="J174" s="348">
        <f>LEFT(A174,1)</f>
        <v/>
      </c>
    </row>
    <row r="175">
      <c r="J175" s="348">
        <f>LEFT(A175,1)</f>
        <v/>
      </c>
    </row>
    <row r="176">
      <c r="J176" s="348">
        <f>LEFT(A176,1)</f>
        <v/>
      </c>
    </row>
    <row r="177">
      <c r="J177" s="348">
        <f>LEFT(A177,1)</f>
        <v/>
      </c>
    </row>
    <row r="178">
      <c r="J178" s="348">
        <f>LEFT(A178,1)</f>
        <v/>
      </c>
    </row>
    <row r="179">
      <c r="J179" s="348">
        <f>LEFT(A179,1)</f>
        <v/>
      </c>
    </row>
    <row r="180">
      <c r="J180" s="348">
        <f>LEFT(A180,1)</f>
        <v/>
      </c>
    </row>
    <row r="181">
      <c r="J181" s="348">
        <f>LEFT(A181,1)</f>
        <v/>
      </c>
    </row>
    <row r="182">
      <c r="J182" s="348">
        <f>LEFT(A182,1)</f>
        <v/>
      </c>
    </row>
    <row r="183">
      <c r="J183" s="348">
        <f>LEFT(A183,1)</f>
        <v/>
      </c>
    </row>
    <row r="184">
      <c r="J184" s="348">
        <f>LEFT(A184,1)</f>
        <v/>
      </c>
    </row>
    <row r="185">
      <c r="J185" s="348">
        <f>LEFT(A185,1)</f>
        <v/>
      </c>
    </row>
    <row r="186">
      <c r="J186" s="348">
        <f>LEFT(A186,1)</f>
        <v/>
      </c>
    </row>
    <row r="187">
      <c r="J187" s="348">
        <f>LEFT(A187,1)</f>
        <v/>
      </c>
    </row>
    <row r="188">
      <c r="J188" s="348">
        <f>LEFT(A188,1)</f>
        <v/>
      </c>
    </row>
    <row r="189">
      <c r="J189" s="348">
        <f>LEFT(A189,1)</f>
        <v/>
      </c>
    </row>
    <row r="190">
      <c r="J190" s="348">
        <f>LEFT(A190,1)</f>
        <v/>
      </c>
    </row>
    <row r="191">
      <c r="J191" s="348">
        <f>LEFT(A191,1)</f>
        <v/>
      </c>
    </row>
    <row r="192">
      <c r="J192" s="348">
        <f>LEFT(A192,1)</f>
        <v/>
      </c>
    </row>
    <row r="193">
      <c r="J193" s="348">
        <f>LEFT(A193,1)</f>
        <v/>
      </c>
    </row>
    <row r="194">
      <c r="J194" s="348">
        <f>LEFT(A194,1)</f>
        <v/>
      </c>
    </row>
    <row r="195">
      <c r="J195" s="348">
        <f>LEFT(A195,1)</f>
        <v/>
      </c>
    </row>
    <row r="196">
      <c r="J196" s="348">
        <f>LEFT(A196,1)</f>
        <v/>
      </c>
    </row>
    <row r="197">
      <c r="J197" s="348">
        <f>LEFT(A197,1)</f>
        <v/>
      </c>
    </row>
    <row r="198">
      <c r="J198" s="348">
        <f>LEFT(A198,1)</f>
        <v/>
      </c>
    </row>
    <row r="199">
      <c r="J199" s="348">
        <f>LEFT(A199,1)</f>
        <v/>
      </c>
    </row>
    <row r="200">
      <c r="J200" s="348">
        <f>LEFT(A200,1)</f>
        <v/>
      </c>
    </row>
    <row r="201">
      <c r="J201" s="348">
        <f>LEFT(A201,1)</f>
        <v/>
      </c>
    </row>
    <row r="202">
      <c r="J202" s="348">
        <f>LEFT(A202,1)</f>
        <v/>
      </c>
    </row>
    <row r="203">
      <c r="J203" s="348">
        <f>LEFT(A203,1)</f>
        <v/>
      </c>
    </row>
    <row r="204">
      <c r="J204" s="348">
        <f>LEFT(A204,1)</f>
        <v/>
      </c>
    </row>
    <row r="205">
      <c r="J205" s="348">
        <f>LEFT(A205,1)</f>
        <v/>
      </c>
    </row>
    <row r="206">
      <c r="J206" s="348">
        <f>LEFT(A206,1)</f>
        <v/>
      </c>
    </row>
    <row r="207">
      <c r="J207" s="348">
        <f>LEFT(A207,1)</f>
        <v/>
      </c>
    </row>
    <row r="208">
      <c r="J208" s="348">
        <f>LEFT(A208,1)</f>
        <v/>
      </c>
    </row>
    <row r="209">
      <c r="J209" s="348">
        <f>LEFT(A209,1)</f>
        <v/>
      </c>
    </row>
    <row r="210">
      <c r="J210" s="348">
        <f>LEFT(A210,1)</f>
        <v/>
      </c>
    </row>
    <row r="211">
      <c r="J211" s="348">
        <f>LEFT(A211,1)</f>
        <v/>
      </c>
    </row>
    <row r="212">
      <c r="J212" s="348">
        <f>LEFT(A212,1)</f>
        <v/>
      </c>
    </row>
    <row r="213">
      <c r="J213" s="348">
        <f>LEFT(A213,1)</f>
        <v/>
      </c>
    </row>
    <row r="214">
      <c r="J214" s="348">
        <f>LEFT(A214,1)</f>
        <v/>
      </c>
    </row>
    <row r="215">
      <c r="J215" s="348">
        <f>LEFT(A215,1)</f>
        <v/>
      </c>
    </row>
    <row r="216">
      <c r="J216" s="348">
        <f>LEFT(A216,1)</f>
        <v/>
      </c>
    </row>
    <row r="217">
      <c r="J217" s="348">
        <f>LEFT(A217,1)</f>
        <v/>
      </c>
    </row>
    <row r="218">
      <c r="J218" s="348">
        <f>LEFT(A218,1)</f>
        <v/>
      </c>
    </row>
    <row r="219">
      <c r="J219" s="348">
        <f>LEFT(A219,1)</f>
        <v/>
      </c>
    </row>
    <row r="220">
      <c r="G220" s="348">
        <f>SUM(C220)-SUM(D220)</f>
        <v/>
      </c>
      <c r="H220" s="348">
        <f>SUM(E220)-SUM(F220)</f>
        <v/>
      </c>
      <c r="I220" s="348">
        <f>IF(A220="Total",VLOOKUP(B220,CORRESPONDANCE[#All],2,FALSE),I221)</f>
        <v/>
      </c>
      <c r="J220" s="348">
        <f>LEFT(A220,1)</f>
        <v/>
      </c>
    </row>
    <row r="221">
      <c r="G221" s="348">
        <f>SUM(C221)-SUM(D221)</f>
        <v/>
      </c>
      <c r="H221" s="348">
        <f>SUM(E221)-SUM(F221)</f>
        <v/>
      </c>
      <c r="I221" s="348">
        <f>IF(A221="Total",VLOOKUP(B221,CORRESPONDANCE[#All],2,FALSE),I222)</f>
        <v/>
      </c>
      <c r="J221" s="348">
        <f>LEFT(A221,1)</f>
        <v/>
      </c>
    </row>
    <row r="222">
      <c r="G222" s="348">
        <f>SUM(C222)-SUM(D222)</f>
        <v/>
      </c>
      <c r="H222" s="348">
        <f>SUM(E222)-SUM(F222)</f>
        <v/>
      </c>
      <c r="I222" s="348">
        <f>IF(A222="Total",VLOOKUP(B222,CORRESPONDANCE[#All],2,FALSE),I223)</f>
        <v/>
      </c>
      <c r="J222" s="348">
        <f>LEFT(A222,1)</f>
        <v/>
      </c>
    </row>
    <row r="223">
      <c r="G223" s="348">
        <f>SUM(C223)-SUM(D223)</f>
        <v/>
      </c>
      <c r="H223" s="348">
        <f>SUM(E223)-SUM(F223)</f>
        <v/>
      </c>
      <c r="I223" s="348">
        <f>IF(A223="Total",VLOOKUP(B223,CORRESPONDANCE[#All],2,FALSE),I224)</f>
        <v/>
      </c>
      <c r="J223" s="348">
        <f>LEFT(A223,1)</f>
        <v/>
      </c>
    </row>
    <row r="224">
      <c r="G224" s="348">
        <f>SUM(C224)-SUM(D224)</f>
        <v/>
      </c>
      <c r="H224" s="348">
        <f>SUM(E224)-SUM(F224)</f>
        <v/>
      </c>
      <c r="I224" s="348">
        <f>IF(A224="Total",VLOOKUP(B224,CORRESPONDANCE[#All],2,FALSE),I225)</f>
        <v/>
      </c>
      <c r="J224" s="348">
        <f>LEFT(A224,1)</f>
        <v/>
      </c>
    </row>
    <row r="225">
      <c r="G225" s="348">
        <f>SUM(C225)-SUM(D225)</f>
        <v/>
      </c>
      <c r="H225" s="348">
        <f>SUM(E225)-SUM(F225)</f>
        <v/>
      </c>
      <c r="I225" s="348">
        <f>IF(A225="Total",VLOOKUP(B225,CORRESPONDANCE[#All],2,FALSE),I226)</f>
        <v/>
      </c>
      <c r="J225" s="348">
        <f>LEFT(A225,1)</f>
        <v/>
      </c>
    </row>
    <row r="226">
      <c r="G226" s="348">
        <f>SUM(C226)-SUM(D226)</f>
        <v/>
      </c>
      <c r="H226" s="348">
        <f>SUM(E226)-SUM(F226)</f>
        <v/>
      </c>
      <c r="I226" s="348">
        <f>IF(A226="Total",VLOOKUP(B226,CORRESPONDANCE[#All],2,FALSE),I227)</f>
        <v/>
      </c>
      <c r="J226" s="348">
        <f>LEFT(A226,1)</f>
        <v/>
      </c>
    </row>
    <row r="227">
      <c r="G227" s="348">
        <f>SUM(C227)-SUM(D227)</f>
        <v/>
      </c>
      <c r="H227" s="348">
        <f>SUM(E227)-SUM(F227)</f>
        <v/>
      </c>
      <c r="I227" s="348">
        <f>IF(A227="Total",VLOOKUP(B227,CORRESPONDANCE[#All],2,FALSE),I228)</f>
        <v/>
      </c>
      <c r="J227" s="348">
        <f>LEFT(A227,1)</f>
        <v/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J227"/>
  <sheetViews>
    <sheetView workbookViewId="0">
      <selection activeCell="E21" sqref="E21"/>
    </sheetView>
  </sheetViews>
  <sheetFormatPr baseColWidth="10" defaultRowHeight="12.75"/>
  <cols>
    <col width="7.7109375" bestFit="1" customWidth="1" style="161" min="1" max="1"/>
    <col width="35.28515625" bestFit="1" customWidth="1" style="161" min="2" max="2"/>
    <col width="12.140625" bestFit="1" customWidth="1" style="352" min="3" max="4"/>
    <col width="13.5703125" bestFit="1" customWidth="1" style="352" min="5" max="5"/>
    <col width="11.42578125" customWidth="1" style="352" min="6" max="6"/>
    <col width="12.7109375" bestFit="1" customWidth="1" style="161" min="7" max="8"/>
    <col width="12.140625" bestFit="1" customWidth="1" style="161" min="11" max="11"/>
  </cols>
  <sheetData>
    <row r="1">
      <c r="A1" s="348" t="inlineStr">
        <is>
          <t xml:space="preserve">    N° </t>
        </is>
      </c>
      <c r="B1" s="348" t="inlineStr">
        <is>
          <t>P&amp;L</t>
        </is>
      </c>
      <c r="G1" s="348" t="inlineStr">
        <is>
          <t>Mois</t>
        </is>
      </c>
      <c r="H1" s="348" t="inlineStr">
        <is>
          <t>Cumulé</t>
        </is>
      </c>
      <c r="I1" s="348" t="inlineStr">
        <is>
          <t>Ligne P&amp;L</t>
        </is>
      </c>
      <c r="J1" s="348" t="inlineStr">
        <is>
          <t>Racine</t>
        </is>
      </c>
    </row>
    <row r="2">
      <c r="A2" s="348" t="n">
        <v>1</v>
      </c>
      <c r="B2" s="348" t="inlineStr">
        <is>
          <t>Ventes nettes totales</t>
        </is>
      </c>
      <c r="C2" s="352" t="n">
        <v>548178.27</v>
      </c>
      <c r="E2" s="352" t="n">
        <v>548178.27</v>
      </c>
      <c r="G2" s="348">
        <f>-SUM(C2)+SUM(D2)</f>
        <v/>
      </c>
      <c r="H2" s="348">
        <f>-SUM(E2)+SUM(F2)</f>
        <v/>
      </c>
      <c r="I2" s="348" t="n">
        <v>1</v>
      </c>
      <c r="J2" s="348" t="inlineStr">
        <is>
          <t>T</t>
        </is>
      </c>
    </row>
    <row r="3">
      <c r="A3" s="348" t="n">
        <v>2</v>
      </c>
      <c r="B3" s="348" t="inlineStr">
        <is>
          <t>Ventes produits alimentaires</t>
        </is>
      </c>
      <c r="C3" s="352" t="n">
        <v>539353.96</v>
      </c>
      <c r="E3" s="352" t="n">
        <v>539353.96</v>
      </c>
      <c r="G3" s="348">
        <f>-SUM(C3)+SUM(D3)</f>
        <v/>
      </c>
      <c r="H3" s="348">
        <f>-SUM(E3)+SUM(F3)</f>
        <v/>
      </c>
      <c r="I3" s="348" t="n">
        <v>2</v>
      </c>
      <c r="J3" s="348" t="inlineStr">
        <is>
          <t>T</t>
        </is>
      </c>
    </row>
    <row r="4">
      <c r="A4" s="348" t="n">
        <v>3</v>
      </c>
      <c r="B4" s="348" t="inlineStr">
        <is>
          <t>Coût achat nourriture</t>
        </is>
      </c>
      <c r="C4" s="352" t="n">
        <v>122091.34</v>
      </c>
      <c r="E4" s="352" t="n">
        <v>122091.34</v>
      </c>
      <c r="G4" s="348">
        <f>SUM(C4)-SUM(D4)</f>
        <v/>
      </c>
      <c r="H4" s="348">
        <f>SUM(E4)-SUM(F4)</f>
        <v/>
      </c>
      <c r="I4" s="348" t="n">
        <v>3</v>
      </c>
      <c r="J4" s="348" t="inlineStr">
        <is>
          <t>T</t>
        </is>
      </c>
    </row>
    <row r="5">
      <c r="A5" s="348" t="n">
        <v>4</v>
      </c>
      <c r="B5" s="348" t="inlineStr">
        <is>
          <t>Repas employés</t>
        </is>
      </c>
      <c r="C5" s="352" t="n">
        <v>1881.18</v>
      </c>
      <c r="E5" s="352" t="n">
        <v>1881.18</v>
      </c>
      <c r="G5" s="348">
        <f>SUM(C5)-SUM(D5)</f>
        <v/>
      </c>
      <c r="H5" s="348">
        <f>SUM(E5)-SUM(F5)</f>
        <v/>
      </c>
      <c r="I5" s="348" t="n">
        <v>4</v>
      </c>
      <c r="J5" s="348" t="inlineStr">
        <is>
          <t>T</t>
        </is>
      </c>
    </row>
    <row r="6">
      <c r="A6" s="348" t="n">
        <v>5</v>
      </c>
      <c r="B6" s="348" t="inlineStr">
        <is>
          <t>Déchets Pertes</t>
        </is>
      </c>
      <c r="C6" s="352" t="n">
        <v>3908.97</v>
      </c>
      <c r="E6" s="352" t="n">
        <v>3908.97</v>
      </c>
      <c r="G6" s="348">
        <f>SUM(C6)-SUM(D6)</f>
        <v/>
      </c>
      <c r="H6" s="348">
        <f>SUM(E6)-SUM(F6)</f>
        <v/>
      </c>
      <c r="I6" s="348" t="n">
        <v>5</v>
      </c>
      <c r="J6" s="348" t="inlineStr">
        <is>
          <t>T</t>
        </is>
      </c>
    </row>
    <row r="7">
      <c r="A7" s="348" t="n">
        <v>6</v>
      </c>
      <c r="B7" s="348" t="inlineStr">
        <is>
          <t>Coût emballages</t>
        </is>
      </c>
      <c r="C7" s="352" t="n">
        <v>12190.04</v>
      </c>
      <c r="E7" s="352" t="n">
        <v>12190.04</v>
      </c>
      <c r="G7" s="348">
        <f>SUM(C7)-SUM(D7)</f>
        <v/>
      </c>
      <c r="H7" s="348">
        <f>SUM(E7)-SUM(F7)</f>
        <v/>
      </c>
      <c r="I7" s="348" t="n">
        <v>6</v>
      </c>
      <c r="J7" s="348" t="inlineStr">
        <is>
          <t>T</t>
        </is>
      </c>
    </row>
    <row r="8">
      <c r="A8" s="348" t="n">
        <v>6.1</v>
      </c>
      <c r="B8" s="348" t="inlineStr">
        <is>
          <t>Vaisselle réutilisable</t>
        </is>
      </c>
      <c r="C8" s="352" t="n">
        <v>156</v>
      </c>
      <c r="E8" s="352" t="n">
        <v>156</v>
      </c>
      <c r="G8" s="348">
        <f>SUM(C8)-SUM(D8)</f>
        <v/>
      </c>
      <c r="H8" s="348">
        <f>SUM(E8)-SUM(F8)</f>
        <v/>
      </c>
      <c r="I8" s="348" t="inlineStr">
        <is>
          <t>6.1</t>
        </is>
      </c>
      <c r="J8" s="348" t="inlineStr">
        <is>
          <t>T</t>
        </is>
      </c>
    </row>
    <row r="9">
      <c r="A9" s="348" t="n">
        <v>7</v>
      </c>
      <c r="B9" s="348" t="inlineStr">
        <is>
          <t>Marge brute</t>
        </is>
      </c>
      <c r="C9" s="352" t="n">
        <v>399126.4299999999</v>
      </c>
      <c r="E9" s="352" t="n">
        <v>399126.4299999999</v>
      </c>
      <c r="G9" s="348">
        <f>SUM(C9)-SUM(D9)</f>
        <v/>
      </c>
      <c r="H9" s="348">
        <f>SUM(E9)-SUM(F9)</f>
        <v/>
      </c>
      <c r="I9" s="348" t="n">
        <v>7</v>
      </c>
      <c r="J9" s="348" t="inlineStr">
        <is>
          <t>T</t>
        </is>
      </c>
    </row>
    <row r="10">
      <c r="A10" s="348" t="n">
        <v>8</v>
      </c>
      <c r="B10" s="348" t="inlineStr">
        <is>
          <t>Main d'œuvre brute équipiers</t>
        </is>
      </c>
      <c r="C10" s="352" t="n">
        <v>72086.84</v>
      </c>
      <c r="E10" s="352" t="n">
        <v>72086.84</v>
      </c>
      <c r="G10" s="348">
        <f>SUM(C10)-SUM(D10)</f>
        <v/>
      </c>
      <c r="H10" s="348">
        <f>SUM(E10)-SUM(F10)</f>
        <v/>
      </c>
      <c r="I10" s="348" t="n">
        <v>8</v>
      </c>
      <c r="J10" s="348" t="inlineStr">
        <is>
          <t>T</t>
        </is>
      </c>
    </row>
    <row r="11">
      <c r="A11" s="348" t="n">
        <v>9</v>
      </c>
      <c r="B11" s="348" t="inlineStr">
        <is>
          <t>Charges sociales équipiers</t>
        </is>
      </c>
      <c r="C11" s="352" t="n">
        <v>10795.29</v>
      </c>
      <c r="E11" s="352" t="n">
        <v>10795.29</v>
      </c>
      <c r="G11" s="348">
        <f>SUM(C11)-SUM(D11)</f>
        <v/>
      </c>
      <c r="H11" s="348">
        <f>SUM(E11)-SUM(F11)</f>
        <v/>
      </c>
      <c r="I11" s="348" t="n">
        <v>9</v>
      </c>
      <c r="J11" s="348" t="inlineStr">
        <is>
          <t>T</t>
        </is>
      </c>
    </row>
    <row r="12">
      <c r="A12" s="348" t="n">
        <v>10</v>
      </c>
      <c r="B12" s="348" t="inlineStr">
        <is>
          <t>Main d'œuvre brute équipe de gestion</t>
        </is>
      </c>
      <c r="C12" s="352" t="n">
        <v>24772.49</v>
      </c>
      <c r="E12" s="352" t="n">
        <v>24772.49</v>
      </c>
      <c r="G12" s="348">
        <f>SUM(C12)-SUM(D12)</f>
        <v/>
      </c>
      <c r="H12" s="348">
        <f>SUM(E12)-SUM(F12)</f>
        <v/>
      </c>
      <c r="I12" s="348" t="n">
        <v>10</v>
      </c>
      <c r="J12" s="348" t="inlineStr">
        <is>
          <t>T</t>
        </is>
      </c>
    </row>
    <row r="13">
      <c r="A13" s="348" t="n">
        <v>11</v>
      </c>
      <c r="B13" s="348" t="inlineStr">
        <is>
          <t>Charges sociales équipe de gestion</t>
        </is>
      </c>
      <c r="C13" s="352" t="n">
        <v>7984.86</v>
      </c>
      <c r="E13" s="352" t="n">
        <v>7984.86</v>
      </c>
      <c r="G13" s="348">
        <f>SUM(C13)-SUM(D13)</f>
        <v/>
      </c>
      <c r="H13" s="348">
        <f>SUM(E13)-SUM(F13)</f>
        <v/>
      </c>
      <c r="I13" s="348" t="n">
        <v>11</v>
      </c>
      <c r="J13" s="348" t="inlineStr">
        <is>
          <t>T</t>
        </is>
      </c>
    </row>
    <row r="14">
      <c r="A14" s="348" t="n">
        <v>12</v>
      </c>
      <c r="B14" s="348" t="inlineStr">
        <is>
          <t>Aides et exonérations sociales</t>
        </is>
      </c>
      <c r="C14" s="352" t="n">
        <v>-500</v>
      </c>
      <c r="E14" s="352" t="n">
        <v>-500</v>
      </c>
      <c r="G14" s="348">
        <f>SUM(C14)-SUM(D14)</f>
        <v/>
      </c>
      <c r="H14" s="348">
        <f>SUM(E14)-SUM(F14)</f>
        <v/>
      </c>
      <c r="I14" s="348" t="n">
        <v>12</v>
      </c>
      <c r="J14" s="348" t="inlineStr">
        <is>
          <t>T</t>
        </is>
      </c>
    </row>
    <row r="15">
      <c r="A15" s="348" t="n">
        <v>13</v>
      </c>
      <c r="B15" s="348" t="inlineStr">
        <is>
          <t>Divers MO</t>
        </is>
      </c>
      <c r="G15" s="348">
        <f>SUM(C15)-SUM(D15)</f>
        <v/>
      </c>
      <c r="H15" s="348">
        <f>SUM(E15)-SUM(F15)</f>
        <v/>
      </c>
      <c r="I15" s="348" t="n">
        <v>13</v>
      </c>
      <c r="J15" s="348" t="inlineStr">
        <is>
          <t>T</t>
        </is>
      </c>
    </row>
    <row r="16">
      <c r="A16" s="348" t="n">
        <v>14</v>
      </c>
      <c r="B16" s="348" t="inlineStr">
        <is>
          <t>Sous total Main d'œuvre</t>
        </is>
      </c>
      <c r="C16" s="352" t="n">
        <v>115139.48</v>
      </c>
      <c r="E16" s="352" t="n">
        <v>115139.48</v>
      </c>
      <c r="G16" s="348">
        <f>SUM(C16)-SUM(D16)</f>
        <v/>
      </c>
      <c r="H16" s="348">
        <f>SUM(E16)-SUM(F16)</f>
        <v/>
      </c>
      <c r="I16" s="348" t="n">
        <v>14</v>
      </c>
      <c r="J16" s="348" t="inlineStr">
        <is>
          <t>T</t>
        </is>
      </c>
    </row>
    <row r="17">
      <c r="A17" s="348" t="n">
        <v>15</v>
      </c>
      <c r="B17" s="348" t="inlineStr">
        <is>
          <t>Nettoyage</t>
        </is>
      </c>
      <c r="C17" s="352" t="n">
        <v>10141.41</v>
      </c>
      <c r="E17" s="352" t="n">
        <v>10141.41</v>
      </c>
      <c r="G17" s="348">
        <f>SUM(C17)-SUM(D17)</f>
        <v/>
      </c>
      <c r="H17" s="348">
        <f>SUM(E17)-SUM(F17)</f>
        <v/>
      </c>
      <c r="I17" s="348" t="n">
        <v>15</v>
      </c>
      <c r="J17" s="348" t="inlineStr">
        <is>
          <t>T</t>
        </is>
      </c>
    </row>
    <row r="18">
      <c r="A18" s="348" t="n">
        <v>16</v>
      </c>
      <c r="B18" s="348" t="inlineStr">
        <is>
          <t>Sécurité et Gardiennage</t>
        </is>
      </c>
      <c r="C18" s="352" t="n">
        <v>29.17</v>
      </c>
      <c r="E18" s="352" t="n">
        <v>29.17</v>
      </c>
      <c r="G18" s="348">
        <f>SUM(C18)-SUM(D18)</f>
        <v/>
      </c>
      <c r="H18" s="348">
        <f>SUM(E18)-SUM(F18)</f>
        <v/>
      </c>
      <c r="I18" s="348" t="n">
        <v>16</v>
      </c>
      <c r="J18" s="348" t="inlineStr">
        <is>
          <t>T</t>
        </is>
      </c>
    </row>
    <row r="19">
      <c r="A19" s="348" t="n">
        <v>17</v>
      </c>
      <c r="B19" s="348" t="inlineStr">
        <is>
          <t>Frais bancaires</t>
        </is>
      </c>
      <c r="C19" s="352" t="n">
        <v>4985.45</v>
      </c>
      <c r="E19" s="352" t="n">
        <v>4985.45</v>
      </c>
      <c r="G19" s="348">
        <f>SUM(C19)-SUM(D19)</f>
        <v/>
      </c>
      <c r="H19" s="348">
        <f>SUM(E19)-SUM(F19)</f>
        <v/>
      </c>
      <c r="I19" s="348" t="n">
        <v>17</v>
      </c>
      <c r="J19" s="348" t="inlineStr">
        <is>
          <t>T</t>
        </is>
      </c>
    </row>
    <row r="20">
      <c r="A20" s="348" t="n">
        <v>18</v>
      </c>
      <c r="B20" s="348" t="inlineStr">
        <is>
          <t>Contrats Maintenance et réparations</t>
        </is>
      </c>
      <c r="C20" s="352" t="n">
        <v>6110.32</v>
      </c>
      <c r="E20" s="352" t="n">
        <v>6110.32</v>
      </c>
      <c r="G20" s="348">
        <f>SUM(C20)-SUM(D20)</f>
        <v/>
      </c>
      <c r="H20" s="348">
        <f>SUM(E20)-SUM(F20)</f>
        <v/>
      </c>
      <c r="I20" s="348" t="n">
        <v>18</v>
      </c>
      <c r="J20" s="348" t="inlineStr">
        <is>
          <t>T</t>
        </is>
      </c>
    </row>
    <row r="21">
      <c r="A21" s="348" t="n">
        <v>19</v>
      </c>
      <c r="B21" s="348" t="inlineStr">
        <is>
          <t>Autres Services Extérieurs</t>
        </is>
      </c>
      <c r="C21" s="352" t="n">
        <v>6597.48</v>
      </c>
      <c r="E21" s="352" t="n">
        <v>6597.48</v>
      </c>
      <c r="G21" s="348">
        <f>SUM(C21)-SUM(D21)</f>
        <v/>
      </c>
      <c r="H21" s="348">
        <f>SUM(E21)-SUM(F21)</f>
        <v/>
      </c>
      <c r="I21" s="348" t="n">
        <v>19</v>
      </c>
      <c r="J21" s="348" t="inlineStr">
        <is>
          <t>T</t>
        </is>
      </c>
    </row>
    <row r="22">
      <c r="A22" s="348" t="n">
        <v>20</v>
      </c>
      <c r="B22" s="348" t="inlineStr">
        <is>
          <t>Sous total Services Extérieurs</t>
        </is>
      </c>
      <c r="C22" s="352" t="n">
        <v>27863.83</v>
      </c>
      <c r="E22" s="352" t="n">
        <v>27863.83</v>
      </c>
      <c r="G22" s="348">
        <f>SUM(C22)-SUM(D22)</f>
        <v/>
      </c>
      <c r="H22" s="348">
        <f>SUM(E22)-SUM(F22)</f>
        <v/>
      </c>
      <c r="I22" s="348" t="n">
        <v>20</v>
      </c>
      <c r="J22" s="348" t="inlineStr">
        <is>
          <t>T</t>
        </is>
      </c>
    </row>
    <row r="23">
      <c r="A23" s="348" t="n">
        <v>21</v>
      </c>
      <c r="B23" s="348" t="inlineStr">
        <is>
          <t>Commissions Food Tech</t>
        </is>
      </c>
      <c r="C23" s="352" t="n">
        <v>6824.05</v>
      </c>
      <c r="E23" s="352" t="n">
        <v>6824.05</v>
      </c>
      <c r="G23" s="348">
        <f>SUM(C23)-SUM(D23)</f>
        <v/>
      </c>
      <c r="H23" s="348">
        <f>SUM(E23)-SUM(F23)</f>
        <v/>
      </c>
      <c r="I23" s="348" t="n">
        <v>21</v>
      </c>
      <c r="J23" s="348" t="inlineStr">
        <is>
          <t>T</t>
        </is>
      </c>
    </row>
    <row r="24">
      <c r="A24" s="348" t="n">
        <v>22</v>
      </c>
      <c r="B24" s="348" t="inlineStr">
        <is>
          <t>Publicité GIE</t>
        </is>
      </c>
      <c r="C24" s="352" t="n">
        <v>21734.36</v>
      </c>
      <c r="E24" s="352" t="n">
        <v>21734.36</v>
      </c>
      <c r="G24" s="348">
        <f>SUM(C24)-SUM(D24)</f>
        <v/>
      </c>
      <c r="H24" s="348">
        <f>SUM(E24)-SUM(F24)</f>
        <v/>
      </c>
      <c r="I24" s="348" t="n">
        <v>22</v>
      </c>
      <c r="J24" s="348" t="inlineStr">
        <is>
          <t>T</t>
        </is>
      </c>
    </row>
    <row r="25">
      <c r="A25" s="348" t="n">
        <v>23</v>
      </c>
      <c r="B25" s="348" t="inlineStr">
        <is>
          <t>Promotion locale</t>
        </is>
      </c>
      <c r="C25" s="352" t="n">
        <v>9017.35</v>
      </c>
      <c r="E25" s="352" t="n">
        <v>9017.35</v>
      </c>
      <c r="G25" s="348">
        <f>SUM(C25)-SUM(D25)</f>
        <v/>
      </c>
      <c r="H25" s="348">
        <f>SUM(E25)-SUM(F25)</f>
        <v/>
      </c>
      <c r="I25" s="348" t="n">
        <v>23</v>
      </c>
      <c r="J25" s="348" t="inlineStr">
        <is>
          <t>T</t>
        </is>
      </c>
    </row>
    <row r="26">
      <c r="A26" s="348" t="n">
        <v>24</v>
      </c>
      <c r="B26" s="348" t="inlineStr">
        <is>
          <t>Electricité, eau, gaz, téléphone</t>
        </is>
      </c>
      <c r="C26" s="352" t="n">
        <v>10901.88</v>
      </c>
      <c r="E26" s="352" t="n">
        <v>10901.88</v>
      </c>
      <c r="G26" s="348">
        <f>SUM(C26)-SUM(D26)</f>
        <v/>
      </c>
      <c r="H26" s="348">
        <f>SUM(E26)-SUM(F26)</f>
        <v/>
      </c>
      <c r="I26" s="348" t="n">
        <v>24</v>
      </c>
      <c r="J26" s="348" t="inlineStr">
        <is>
          <t>T</t>
        </is>
      </c>
    </row>
    <row r="27">
      <c r="A27" s="348" t="n">
        <v>25</v>
      </c>
      <c r="B27" s="348" t="inlineStr">
        <is>
          <t>Fournitures exploitation et bureau</t>
        </is>
      </c>
      <c r="C27" s="352" t="n">
        <v>4597.1</v>
      </c>
      <c r="E27" s="352" t="n">
        <v>4597.1</v>
      </c>
      <c r="G27" s="348">
        <f>SUM(C27)-SUM(D27)</f>
        <v/>
      </c>
      <c r="H27" s="348">
        <f>SUM(E27)-SUM(F27)</f>
        <v/>
      </c>
      <c r="I27" s="348" t="n">
        <v>25</v>
      </c>
      <c r="J27" s="348" t="inlineStr">
        <is>
          <t>T</t>
        </is>
      </c>
    </row>
    <row r="28">
      <c r="A28" s="348" t="n">
        <v>26</v>
      </c>
      <c r="B28" s="348" t="inlineStr">
        <is>
          <t>Frais de déplacements et Evènements</t>
        </is>
      </c>
      <c r="C28" s="352" t="n">
        <v>383.32</v>
      </c>
      <c r="E28" s="352" t="n">
        <v>383.32</v>
      </c>
      <c r="G28" s="348">
        <f>SUM(C28)-SUM(D28)</f>
        <v/>
      </c>
      <c r="H28" s="348">
        <f>SUM(E28)-SUM(F28)</f>
        <v/>
      </c>
      <c r="I28" s="348" t="n">
        <v>26</v>
      </c>
      <c r="J28" s="348" t="inlineStr">
        <is>
          <t>T</t>
        </is>
      </c>
    </row>
    <row r="29">
      <c r="A29" s="348" t="n">
        <v>27</v>
      </c>
      <c r="B29" s="348" t="inlineStr">
        <is>
          <t>Divers</t>
        </is>
      </c>
      <c r="C29" s="352" t="n">
        <v>370.35</v>
      </c>
      <c r="E29" s="352" t="n">
        <v>370.35</v>
      </c>
      <c r="G29" s="348">
        <f>SUM(C29)-SUM(D29)</f>
        <v/>
      </c>
      <c r="H29" s="348">
        <f>SUM(E29)-SUM(F29)</f>
        <v/>
      </c>
      <c r="I29" s="348" t="n">
        <v>27</v>
      </c>
      <c r="J29" s="348" t="inlineStr">
        <is>
          <t>T</t>
        </is>
      </c>
    </row>
    <row r="30">
      <c r="A30" s="348" t="n">
        <v>28</v>
      </c>
      <c r="B30" s="348" t="inlineStr">
        <is>
          <t>Profit après contrôlables (PAC)</t>
        </is>
      </c>
      <c r="C30" s="352" t="n">
        <v>202294.71</v>
      </c>
      <c r="E30" s="352" t="n">
        <v>202294.71</v>
      </c>
      <c r="G30" s="348">
        <f>SUM(C30)-SUM(D30)</f>
        <v/>
      </c>
      <c r="H30" s="348">
        <f>SUM(E30)-SUM(F30)</f>
        <v/>
      </c>
      <c r="I30" s="348" t="n">
        <v>28</v>
      </c>
      <c r="J30" s="348" t="inlineStr">
        <is>
          <t>T</t>
        </is>
      </c>
    </row>
    <row r="31">
      <c r="A31" s="348" t="n">
        <v>29</v>
      </c>
      <c r="B31" s="348" t="inlineStr">
        <is>
          <t>Redevance standard</t>
        </is>
      </c>
      <c r="C31" s="352" t="n">
        <v>82739.99000000001</v>
      </c>
      <c r="E31" s="352" t="n">
        <v>82739.99000000001</v>
      </c>
      <c r="G31" s="348">
        <f>SUM(C31)-SUM(D31)</f>
        <v/>
      </c>
      <c r="H31" s="348">
        <f>SUM(E31)-SUM(F31)</f>
        <v/>
      </c>
      <c r="I31" s="348" t="n">
        <v>29</v>
      </c>
      <c r="J31" s="348" t="inlineStr">
        <is>
          <t>T</t>
        </is>
      </c>
    </row>
    <row r="32">
      <c r="A32" s="348" t="n">
        <v>30</v>
      </c>
      <c r="B32" s="348" t="inlineStr">
        <is>
          <t>Indexation loyer externe</t>
        </is>
      </c>
      <c r="G32" s="348">
        <f>SUM(C32)-SUM(D32)</f>
        <v/>
      </c>
      <c r="H32" s="348">
        <f>SUM(E32)-SUM(F32)</f>
        <v/>
      </c>
      <c r="I32" s="348" t="n">
        <v>30</v>
      </c>
      <c r="J32" s="348" t="inlineStr">
        <is>
          <t>T</t>
        </is>
      </c>
    </row>
    <row r="33">
      <c r="A33" s="348" t="n">
        <v>31</v>
      </c>
      <c r="B33" s="348" t="inlineStr">
        <is>
          <t>Incentives et Avoirs de redevance</t>
        </is>
      </c>
      <c r="C33" s="352" t="n">
        <v>-2407.3</v>
      </c>
      <c r="E33" s="352" t="n">
        <v>-2407.3</v>
      </c>
      <c r="G33" s="348">
        <f>SUM(C33)-SUM(D33)</f>
        <v/>
      </c>
      <c r="H33" s="348">
        <f>SUM(E33)-SUM(F33)</f>
        <v/>
      </c>
      <c r="I33" s="348" t="n">
        <v>31</v>
      </c>
      <c r="J33" s="348" t="inlineStr">
        <is>
          <t>T</t>
        </is>
      </c>
    </row>
    <row r="34">
      <c r="A34" s="348" t="n">
        <v>32</v>
      </c>
      <c r="B34" s="348" t="inlineStr">
        <is>
          <t>Sous total Redevance effective</t>
        </is>
      </c>
      <c r="C34" s="352" t="n">
        <v>80332.69</v>
      </c>
      <c r="E34" s="352" t="n">
        <v>80332.69</v>
      </c>
      <c r="G34" s="348">
        <f>SUM(C34)-SUM(D34)</f>
        <v/>
      </c>
      <c r="H34" s="348">
        <f>SUM(E34)-SUM(F34)</f>
        <v/>
      </c>
      <c r="I34" s="348" t="n">
        <v>32</v>
      </c>
      <c r="J34" s="348" t="inlineStr">
        <is>
          <t>T</t>
        </is>
      </c>
    </row>
    <row r="35">
      <c r="A35" s="348" t="n">
        <v>33</v>
      </c>
      <c r="B35" s="348" t="inlineStr">
        <is>
          <t>Charges locatives et copro</t>
        </is>
      </c>
      <c r="G35" s="348">
        <f>SUM(C35)-SUM(D35)</f>
        <v/>
      </c>
      <c r="H35" s="348">
        <f>SUM(E35)-SUM(F35)</f>
        <v/>
      </c>
      <c r="I35" s="348" t="n">
        <v>33</v>
      </c>
      <c r="J35" s="348" t="inlineStr">
        <is>
          <t>T</t>
        </is>
      </c>
    </row>
    <row r="36">
      <c r="A36" s="348" t="n">
        <v>34</v>
      </c>
      <c r="B36" s="348" t="inlineStr">
        <is>
          <t>Redevance service 5%</t>
        </is>
      </c>
      <c r="C36" s="352" t="n">
        <v>27580</v>
      </c>
      <c r="E36" s="352" t="n">
        <v>27580</v>
      </c>
      <c r="G36" s="348">
        <f>SUM(C36)-SUM(D36)</f>
        <v/>
      </c>
      <c r="H36" s="348">
        <f>SUM(E36)-SUM(F36)</f>
        <v/>
      </c>
      <c r="I36" s="348" t="n">
        <v>34</v>
      </c>
      <c r="J36" s="348" t="inlineStr">
        <is>
          <t>T</t>
        </is>
      </c>
    </row>
    <row r="37">
      <c r="A37" s="348" t="n">
        <v>35</v>
      </c>
      <c r="B37" s="348" t="inlineStr">
        <is>
          <t>Frais comptables et juridiques</t>
        </is>
      </c>
      <c r="C37" s="352" t="n">
        <v>1661</v>
      </c>
      <c r="E37" s="352" t="n">
        <v>1661</v>
      </c>
      <c r="G37" s="348">
        <f>SUM(C37)-SUM(D37)</f>
        <v/>
      </c>
      <c r="H37" s="348">
        <f>SUM(E37)-SUM(F37)</f>
        <v/>
      </c>
      <c r="I37" s="348" t="n">
        <v>35</v>
      </c>
      <c r="J37" s="348" t="inlineStr">
        <is>
          <t>T</t>
        </is>
      </c>
    </row>
    <row r="38">
      <c r="A38" s="348" t="n">
        <v>36</v>
      </c>
      <c r="B38" s="348" t="inlineStr">
        <is>
          <t>Assurances</t>
        </is>
      </c>
      <c r="C38" s="352" t="n">
        <v>2554.36</v>
      </c>
      <c r="E38" s="352" t="n">
        <v>2554.36</v>
      </c>
      <c r="G38" s="348">
        <f>SUM(C38)-SUM(D38)</f>
        <v/>
      </c>
      <c r="H38" s="348">
        <f>SUM(E38)-SUM(F38)</f>
        <v/>
      </c>
      <c r="I38" s="348" t="n">
        <v>36</v>
      </c>
      <c r="J38" s="348" t="inlineStr">
        <is>
          <t>T</t>
        </is>
      </c>
    </row>
    <row r="39">
      <c r="A39" s="348" t="n">
        <v>37</v>
      </c>
      <c r="B39" s="348" t="inlineStr">
        <is>
          <t>Taxes</t>
        </is>
      </c>
      <c r="C39" s="352" t="n">
        <v>5381.01</v>
      </c>
      <c r="E39" s="352" t="n">
        <v>5381.01</v>
      </c>
      <c r="G39" s="348">
        <f>SUM(C39)-SUM(D39)</f>
        <v/>
      </c>
      <c r="H39" s="348">
        <f>SUM(E39)-SUM(F39)</f>
        <v/>
      </c>
      <c r="I39" s="348" t="n">
        <v>37</v>
      </c>
      <c r="J39" s="348" t="inlineStr">
        <is>
          <t>T</t>
        </is>
      </c>
    </row>
    <row r="40">
      <c r="A40" s="348" t="n">
        <v>38</v>
      </c>
      <c r="B40" s="348" t="inlineStr">
        <is>
          <t>Dépréciations amortissements</t>
        </is>
      </c>
      <c r="C40" s="352" t="n">
        <v>6200</v>
      </c>
      <c r="E40" s="352" t="n">
        <v>6200</v>
      </c>
      <c r="G40" s="348">
        <f>SUM(C40)-SUM(D40)</f>
        <v/>
      </c>
      <c r="H40" s="348">
        <f>SUM(E40)-SUM(F40)</f>
        <v/>
      </c>
      <c r="I40" s="348" t="n">
        <v>38</v>
      </c>
      <c r="J40" s="348" t="inlineStr">
        <is>
          <t>T</t>
        </is>
      </c>
    </row>
    <row r="41">
      <c r="A41" s="348" t="n">
        <v>39</v>
      </c>
      <c r="B41" s="348" t="inlineStr">
        <is>
          <t>Crédit bail</t>
        </is>
      </c>
      <c r="C41" s="352" t="n">
        <v>1156.72</v>
      </c>
      <c r="E41" s="352" t="n">
        <v>1156.72</v>
      </c>
      <c r="G41" s="348">
        <f>SUM(C41)-SUM(D41)</f>
        <v/>
      </c>
      <c r="H41" s="348">
        <f>SUM(E41)-SUM(F41)</f>
        <v/>
      </c>
      <c r="I41" s="348" t="n">
        <v>39</v>
      </c>
      <c r="J41" s="348" t="inlineStr">
        <is>
          <t>T</t>
        </is>
      </c>
    </row>
    <row r="42">
      <c r="A42" s="348" t="n">
        <v>40</v>
      </c>
      <c r="B42" s="348" t="inlineStr">
        <is>
          <t>Dépenses / Revenus divers</t>
        </is>
      </c>
      <c r="C42" s="352" t="n">
        <v>-655.5</v>
      </c>
      <c r="E42" s="352" t="n">
        <v>-655.5</v>
      </c>
      <c r="G42" s="348">
        <f>SUM(C42)-SUM(D42)</f>
        <v/>
      </c>
      <c r="H42" s="348">
        <f>SUM(E42)-SUM(F42)</f>
        <v/>
      </c>
      <c r="I42" s="348" t="n">
        <v>40</v>
      </c>
      <c r="J42" s="348" t="inlineStr">
        <is>
          <t>T</t>
        </is>
      </c>
    </row>
    <row r="43">
      <c r="A43" s="348" t="n">
        <v>41.1</v>
      </c>
      <c r="B43" s="348" t="inlineStr">
        <is>
          <t>Ventes non alimentaires</t>
        </is>
      </c>
      <c r="C43" s="352" t="n">
        <v>8824.309999999999</v>
      </c>
      <c r="E43" s="352" t="n">
        <v>8824.309999999999</v>
      </c>
      <c r="G43" s="348">
        <f>-SUM(C43)+SUM(D43)</f>
        <v/>
      </c>
      <c r="H43" s="348">
        <f>-SUM(E43)+SUM(F43)</f>
        <v/>
      </c>
      <c r="I43" s="348" t="inlineStr">
        <is>
          <t>41.1</t>
        </is>
      </c>
      <c r="J43" s="348" t="inlineStr">
        <is>
          <t>T</t>
        </is>
      </c>
    </row>
    <row r="44">
      <c r="A44" s="348" t="n">
        <v>41.2</v>
      </c>
      <c r="B44" s="348" t="inlineStr">
        <is>
          <t>Coût non alimentaire</t>
        </is>
      </c>
      <c r="C44" s="352" t="n">
        <v>6935.79</v>
      </c>
      <c r="E44" s="352" t="n">
        <v>6935.79</v>
      </c>
      <c r="G44" s="348">
        <f>SUM(C44)-SUM(D44)</f>
        <v/>
      </c>
      <c r="H44" s="348">
        <f>SUM(E44)-SUM(F44)</f>
        <v/>
      </c>
      <c r="I44" s="348" t="inlineStr">
        <is>
          <t>41.2</t>
        </is>
      </c>
      <c r="J44" s="348" t="inlineStr">
        <is>
          <t>T</t>
        </is>
      </c>
    </row>
    <row r="45">
      <c r="A45" s="348" t="n">
        <v>41</v>
      </c>
      <c r="B45" s="348" t="inlineStr">
        <is>
          <t>Résultat net non alimentaire</t>
        </is>
      </c>
      <c r="C45" s="352" t="n">
        <v>1888.52</v>
      </c>
      <c r="E45" s="352" t="n">
        <v>1888.52</v>
      </c>
      <c r="G45" s="348">
        <f>SUM(C45)-SUM(D45)</f>
        <v/>
      </c>
      <c r="H45" s="348">
        <f>SUM(E45)-SUM(F45)</f>
        <v/>
      </c>
      <c r="I45" s="348" t="n">
        <v>41</v>
      </c>
      <c r="J45" s="348" t="inlineStr">
        <is>
          <t>T</t>
        </is>
      </c>
    </row>
    <row r="46">
      <c r="A46" s="348" t="n">
        <v>42</v>
      </c>
      <c r="B46" s="348" t="inlineStr">
        <is>
          <t>Charges / Revenus financiers</t>
        </is>
      </c>
      <c r="C46" s="352" t="n">
        <v>-496.14</v>
      </c>
      <c r="E46" s="352" t="n">
        <v>-496.14</v>
      </c>
      <c r="G46" s="348">
        <f>SUM(C46)-SUM(D46)</f>
        <v/>
      </c>
      <c r="H46" s="348">
        <f>SUM(E46)-SUM(F46)</f>
        <v/>
      </c>
      <c r="I46" s="348" t="n">
        <v>42</v>
      </c>
      <c r="J46" s="348" t="inlineStr">
        <is>
          <t>T</t>
        </is>
      </c>
    </row>
    <row r="47">
      <c r="A47" s="348" t="n">
        <v>43</v>
      </c>
      <c r="B47" s="348" t="inlineStr">
        <is>
          <t>Résultat net d'exploitation (SOI)</t>
        </is>
      </c>
      <c r="C47" s="352" t="n">
        <v>80469.08999999997</v>
      </c>
      <c r="E47" s="352" t="n">
        <v>80469.08999999997</v>
      </c>
      <c r="G47" s="348">
        <f>SUM(C47)-SUM(D47)</f>
        <v/>
      </c>
      <c r="H47" s="348">
        <f>SUM(E47)-SUM(F47)</f>
        <v/>
      </c>
      <c r="I47" s="348" t="n">
        <v>43</v>
      </c>
      <c r="J47" s="348" t="inlineStr">
        <is>
          <t>T</t>
        </is>
      </c>
    </row>
    <row r="48">
      <c r="A48" s="348" t="n">
        <v>44</v>
      </c>
      <c r="B48" s="348" t="inlineStr">
        <is>
          <t>Cash Flow avant fin, G&amp;A et IS</t>
        </is>
      </c>
      <c r="C48" s="352" t="n">
        <v>87329.66999999997</v>
      </c>
      <c r="E48" s="352" t="n">
        <v>87329.66999999997</v>
      </c>
      <c r="G48" s="348">
        <f>SUM(C48)-SUM(D48)</f>
        <v/>
      </c>
      <c r="H48" s="348">
        <f>SUM(E48)-SUM(F48)</f>
        <v/>
      </c>
      <c r="I48" s="348" t="n">
        <v>44</v>
      </c>
      <c r="J48" s="348" t="inlineStr">
        <is>
          <t>T</t>
        </is>
      </c>
    </row>
    <row r="49">
      <c r="A49" s="348" t="n">
        <v>45</v>
      </c>
      <c r="B49" s="348" t="inlineStr">
        <is>
          <t>Charges et produits exceptionnels</t>
        </is>
      </c>
      <c r="G49" s="348">
        <f>SUM(C49)-SUM(D49)</f>
        <v/>
      </c>
      <c r="H49" s="348">
        <f>SUM(E49)-SUM(F49)</f>
        <v/>
      </c>
      <c r="I49" s="348" t="n">
        <v>45</v>
      </c>
      <c r="J49" s="348" t="inlineStr">
        <is>
          <t>T</t>
        </is>
      </c>
    </row>
    <row r="50">
      <c r="A50" s="348" t="n">
        <v>46</v>
      </c>
      <c r="B50" s="348" t="inlineStr">
        <is>
          <t>G&amp;A (Frais administratifs)</t>
        </is>
      </c>
      <c r="C50" s="352" t="n">
        <v>35146</v>
      </c>
      <c r="E50" s="352" t="n">
        <v>35146</v>
      </c>
      <c r="G50" s="348">
        <f>SUM(C50)-SUM(D50)</f>
        <v/>
      </c>
      <c r="H50" s="348">
        <f>SUM(E50)-SUM(F50)</f>
        <v/>
      </c>
      <c r="I50" s="348" t="n">
        <v>46</v>
      </c>
      <c r="J50" s="348" t="inlineStr">
        <is>
          <t>T</t>
        </is>
      </c>
    </row>
    <row r="51">
      <c r="A51" s="348" t="n">
        <v>47</v>
      </c>
      <c r="B51" s="348" t="inlineStr">
        <is>
          <t>Revenu net avant impôt</t>
        </is>
      </c>
      <c r="C51" s="352" t="n">
        <v>45323.08999999997</v>
      </c>
      <c r="E51" s="352" t="n">
        <v>45323.08999999997</v>
      </c>
      <c r="G51" s="348">
        <f>SUM(C51)-SUM(D51)</f>
        <v/>
      </c>
      <c r="H51" s="348">
        <f>SUM(E51)-SUM(F51)</f>
        <v/>
      </c>
      <c r="I51" s="348" t="n">
        <v>47</v>
      </c>
      <c r="J51" s="348" t="inlineStr">
        <is>
          <t>T</t>
        </is>
      </c>
    </row>
    <row r="52">
      <c r="A52" s="348" t="n">
        <v>48</v>
      </c>
      <c r="B52" s="348" t="inlineStr">
        <is>
          <t>Impôt sur les sociétés</t>
        </is>
      </c>
      <c r="C52" s="352" t="n">
        <v>16618.47</v>
      </c>
      <c r="E52" s="352" t="n">
        <v>16618.47</v>
      </c>
      <c r="G52" s="348">
        <f>SUM(C52)-SUM(D52)</f>
        <v/>
      </c>
      <c r="H52" s="348">
        <f>SUM(E52)-SUM(F52)</f>
        <v/>
      </c>
      <c r="I52" s="348" t="n">
        <v>48</v>
      </c>
      <c r="J52" s="348" t="inlineStr">
        <is>
          <t>T</t>
        </is>
      </c>
    </row>
    <row r="53">
      <c r="A53" s="348" t="n">
        <v>49</v>
      </c>
      <c r="B53" s="348" t="inlineStr">
        <is>
          <t>Résultat net</t>
        </is>
      </c>
      <c r="C53" s="352" t="n">
        <v>28704.61999999997</v>
      </c>
      <c r="E53" s="352" t="n">
        <v>28704.61999999997</v>
      </c>
      <c r="G53" s="348">
        <f>SUM(C53)-SUM(D53)</f>
        <v/>
      </c>
      <c r="H53" s="348">
        <f>SUM(E53)-SUM(F53)</f>
        <v/>
      </c>
      <c r="I53" s="348" t="n">
        <v>49</v>
      </c>
      <c r="J53" s="348" t="inlineStr">
        <is>
          <t>T</t>
        </is>
      </c>
    </row>
    <row r="227">
      <c r="G227" s="348">
        <f>SUM(C227)-SUM(D227)</f>
        <v/>
      </c>
      <c r="H227" s="348">
        <f>SUM(E227)-SUM(F227)</f>
        <v/>
      </c>
      <c r="I227" s="348">
        <f>IF(A227="Total",VLOOKUP(B227,CORRESPONDANCE[#All],2,FALSE),I228)</f>
        <v/>
      </c>
      <c r="J227" s="348">
        <f>LEFT(A227,1)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J227"/>
  <sheetViews>
    <sheetView workbookViewId="0">
      <selection activeCell="F10" sqref="F10"/>
    </sheetView>
  </sheetViews>
  <sheetFormatPr baseColWidth="10" defaultRowHeight="12.75"/>
  <cols>
    <col width="35.28515625" bestFit="1" customWidth="1" style="161" min="2" max="2"/>
    <col width="24.85546875" bestFit="1" customWidth="1" style="352" min="3" max="3"/>
    <col width="11.42578125" customWidth="1" style="352" min="4" max="4"/>
    <col width="13.5703125" bestFit="1" customWidth="1" style="352" min="5" max="5"/>
    <col width="11.42578125" customWidth="1" style="352" min="6" max="6"/>
    <col width="12.7109375" bestFit="1" customWidth="1" style="161" min="7" max="8"/>
  </cols>
  <sheetData>
    <row r="1">
      <c r="A1" s="348" t="inlineStr">
        <is>
          <t xml:space="preserve">    N° </t>
        </is>
      </c>
      <c r="B1" s="348" t="inlineStr">
        <is>
          <t>P&amp;L</t>
        </is>
      </c>
      <c r="G1" s="348" t="inlineStr">
        <is>
          <t>Mois</t>
        </is>
      </c>
      <c r="H1" s="348" t="inlineStr">
        <is>
          <t>Cumulé</t>
        </is>
      </c>
      <c r="I1" s="348" t="inlineStr">
        <is>
          <t>Ligne P&amp;L</t>
        </is>
      </c>
      <c r="J1" s="348" t="inlineStr">
        <is>
          <t>Racine</t>
        </is>
      </c>
    </row>
    <row r="2">
      <c r="A2" s="348" t="n">
        <v>1</v>
      </c>
      <c r="B2" s="348" t="inlineStr">
        <is>
          <t>Ventes nettes totales</t>
        </is>
      </c>
      <c r="C2" s="352" t="n">
        <v>220740.84</v>
      </c>
      <c r="E2" s="352" t="n">
        <v>220740.84</v>
      </c>
      <c r="G2" s="348">
        <f>-SUM(C2)+SUM(D2)</f>
        <v/>
      </c>
      <c r="H2" s="348">
        <f>-SUM(E2)+SUM(F2)</f>
        <v/>
      </c>
      <c r="I2" s="348" t="n">
        <v>1</v>
      </c>
      <c r="J2" s="348" t="inlineStr">
        <is>
          <t>T</t>
        </is>
      </c>
    </row>
    <row r="3">
      <c r="A3" s="348" t="n">
        <v>2</v>
      </c>
      <c r="B3" s="348" t="inlineStr">
        <is>
          <t>Ventes produits alimentaires</t>
        </is>
      </c>
      <c r="C3" s="352" t="n">
        <v>217685.38</v>
      </c>
      <c r="E3" s="352" t="n">
        <v>217685.38</v>
      </c>
      <c r="G3" s="348">
        <f>-SUM(C3)+SUM(D3)</f>
        <v/>
      </c>
      <c r="H3" s="348">
        <f>-SUM(E3)+SUM(F3)</f>
        <v/>
      </c>
      <c r="I3" s="348" t="n">
        <v>2</v>
      </c>
      <c r="J3" s="348" t="inlineStr">
        <is>
          <t>T</t>
        </is>
      </c>
    </row>
    <row r="4">
      <c r="A4" s="348" t="n">
        <v>3</v>
      </c>
      <c r="B4" s="348" t="inlineStr">
        <is>
          <t>Coût achat nourriture</t>
        </is>
      </c>
      <c r="C4" s="352" t="n">
        <v>47830.02</v>
      </c>
      <c r="E4" s="352" t="n">
        <v>47830.02</v>
      </c>
      <c r="G4" s="348">
        <f>SUM(C4)-SUM(D4)</f>
        <v/>
      </c>
      <c r="H4" s="348">
        <f>SUM(E4)-SUM(F4)</f>
        <v/>
      </c>
      <c r="I4" s="348" t="n">
        <v>3</v>
      </c>
      <c r="J4" s="348" t="inlineStr">
        <is>
          <t>T</t>
        </is>
      </c>
    </row>
    <row r="5">
      <c r="A5" s="348" t="n">
        <v>4</v>
      </c>
      <c r="B5" s="348" t="inlineStr">
        <is>
          <t>Repas employés</t>
        </is>
      </c>
      <c r="C5" s="352" t="n">
        <v>1208.45</v>
      </c>
      <c r="E5" s="352" t="n">
        <v>1208.45</v>
      </c>
      <c r="G5" s="348">
        <f>SUM(C5)-SUM(D5)</f>
        <v/>
      </c>
      <c r="H5" s="348">
        <f>SUM(E5)-SUM(F5)</f>
        <v/>
      </c>
      <c r="I5" s="348" t="n">
        <v>4</v>
      </c>
      <c r="J5" s="348" t="inlineStr">
        <is>
          <t>T</t>
        </is>
      </c>
    </row>
    <row r="6">
      <c r="A6" s="348" t="n">
        <v>5</v>
      </c>
      <c r="B6" s="348" t="inlineStr">
        <is>
          <t>Déchets Pertes</t>
        </is>
      </c>
      <c r="C6" s="352" t="n">
        <v>1821.88</v>
      </c>
      <c r="E6" s="352" t="n">
        <v>1821.88</v>
      </c>
      <c r="G6" s="348">
        <f>SUM(C6)-SUM(D6)</f>
        <v/>
      </c>
      <c r="H6" s="348">
        <f>SUM(E6)-SUM(F6)</f>
        <v/>
      </c>
      <c r="I6" s="348" t="n">
        <v>5</v>
      </c>
      <c r="J6" s="348" t="inlineStr">
        <is>
          <t>T</t>
        </is>
      </c>
    </row>
    <row r="7">
      <c r="A7" s="348" t="n">
        <v>6</v>
      </c>
      <c r="B7" s="348" t="inlineStr">
        <is>
          <t>Coût emballages</t>
        </is>
      </c>
      <c r="C7" s="352" t="n">
        <v>5086.73</v>
      </c>
      <c r="E7" s="352" t="n">
        <v>5086.73</v>
      </c>
      <c r="G7" s="348">
        <f>SUM(C7)-SUM(D7)</f>
        <v/>
      </c>
      <c r="H7" s="348">
        <f>SUM(E7)-SUM(F7)</f>
        <v/>
      </c>
      <c r="I7" s="348" t="n">
        <v>6</v>
      </c>
      <c r="J7" s="348" t="inlineStr">
        <is>
          <t>T</t>
        </is>
      </c>
    </row>
    <row r="8">
      <c r="A8" s="348" t="n">
        <v>6.1</v>
      </c>
      <c r="B8" s="348" t="inlineStr">
        <is>
          <t>Vaisselle réutilisable</t>
        </is>
      </c>
      <c r="C8" s="352" t="n">
        <v>4274.56</v>
      </c>
      <c r="E8" s="352" t="n">
        <v>4274.56</v>
      </c>
      <c r="G8" s="348">
        <f>SUM(C8)-SUM(D8)</f>
        <v/>
      </c>
      <c r="H8" s="348">
        <f>SUM(E8)-SUM(F8)</f>
        <v/>
      </c>
      <c r="I8" s="348" t="inlineStr">
        <is>
          <t>6.1</t>
        </is>
      </c>
      <c r="J8" s="348" t="inlineStr">
        <is>
          <t>T</t>
        </is>
      </c>
    </row>
    <row r="9">
      <c r="A9" s="348" t="n">
        <v>7</v>
      </c>
      <c r="B9" s="348" t="inlineStr">
        <is>
          <t>Marge brute</t>
        </is>
      </c>
      <c r="C9" s="352" t="n">
        <v>157463.74</v>
      </c>
      <c r="E9" s="352" t="n">
        <v>157463.74</v>
      </c>
      <c r="G9" s="348">
        <f>SUM(C9)-SUM(D9)</f>
        <v/>
      </c>
      <c r="H9" s="348">
        <f>SUM(E9)-SUM(F9)</f>
        <v/>
      </c>
      <c r="I9" s="348" t="n">
        <v>7</v>
      </c>
      <c r="J9" s="348" t="inlineStr">
        <is>
          <t>T</t>
        </is>
      </c>
    </row>
    <row r="10">
      <c r="A10" s="348" t="n">
        <v>8</v>
      </c>
      <c r="B10" s="348" t="inlineStr">
        <is>
          <t>Main d'œuvre brute équipiers</t>
        </is>
      </c>
      <c r="C10" s="352" t="n">
        <v>37851.33</v>
      </c>
      <c r="E10" s="352" t="n">
        <v>37851.33</v>
      </c>
      <c r="G10" s="348">
        <f>SUM(C10)-SUM(D10)</f>
        <v/>
      </c>
      <c r="H10" s="348">
        <f>SUM(E10)-SUM(F10)</f>
        <v/>
      </c>
      <c r="I10" s="348" t="n">
        <v>8</v>
      </c>
      <c r="J10" s="348" t="inlineStr">
        <is>
          <t>T</t>
        </is>
      </c>
    </row>
    <row r="11">
      <c r="A11" s="348" t="n">
        <v>9</v>
      </c>
      <c r="B11" s="348" t="inlineStr">
        <is>
          <t>Charges sociales équipiers</t>
        </is>
      </c>
      <c r="C11" s="352" t="n">
        <v>6354.98</v>
      </c>
      <c r="E11" s="352" t="n">
        <v>6354.98</v>
      </c>
      <c r="G11" s="348">
        <f>SUM(C11)-SUM(D11)</f>
        <v/>
      </c>
      <c r="H11" s="348">
        <f>SUM(E11)-SUM(F11)</f>
        <v/>
      </c>
      <c r="I11" s="348" t="n">
        <v>9</v>
      </c>
      <c r="J11" s="348" t="inlineStr">
        <is>
          <t>T</t>
        </is>
      </c>
    </row>
    <row r="12">
      <c r="A12" s="348" t="n">
        <v>10</v>
      </c>
      <c r="B12" s="348" t="inlineStr">
        <is>
          <t>Main d'œuvre brute équipe de gestion</t>
        </is>
      </c>
      <c r="C12" s="352" t="n">
        <v>11027.81</v>
      </c>
      <c r="E12" s="352" t="n">
        <v>11027.81</v>
      </c>
      <c r="G12" s="348">
        <f>SUM(C12)-SUM(D12)</f>
        <v/>
      </c>
      <c r="H12" s="348">
        <f>SUM(E12)-SUM(F12)</f>
        <v/>
      </c>
      <c r="I12" s="348" t="n">
        <v>10</v>
      </c>
      <c r="J12" s="348" t="inlineStr">
        <is>
          <t>T</t>
        </is>
      </c>
    </row>
    <row r="13">
      <c r="A13" s="348" t="n">
        <v>11</v>
      </c>
      <c r="B13" s="348" t="inlineStr">
        <is>
          <t>Charges sociales équipe de gestion</t>
        </is>
      </c>
      <c r="C13" s="352" t="n">
        <v>3084.86</v>
      </c>
      <c r="E13" s="352" t="n">
        <v>3084.86</v>
      </c>
      <c r="G13" s="348">
        <f>SUM(C13)-SUM(D13)</f>
        <v/>
      </c>
      <c r="H13" s="348">
        <f>SUM(E13)-SUM(F13)</f>
        <v/>
      </c>
      <c r="I13" s="348" t="n">
        <v>11</v>
      </c>
      <c r="J13" s="348" t="inlineStr">
        <is>
          <t>T</t>
        </is>
      </c>
    </row>
    <row r="14">
      <c r="A14" s="348" t="n">
        <v>12</v>
      </c>
      <c r="B14" s="348" t="inlineStr">
        <is>
          <t>Aides et exonérations sociales</t>
        </is>
      </c>
      <c r="G14" s="348">
        <f>SUM(C14)-SUM(D14)</f>
        <v/>
      </c>
      <c r="H14" s="348">
        <f>SUM(E14)-SUM(F14)</f>
        <v/>
      </c>
      <c r="I14" s="348" t="n">
        <v>12</v>
      </c>
      <c r="J14" s="348" t="inlineStr">
        <is>
          <t>T</t>
        </is>
      </c>
    </row>
    <row r="15">
      <c r="A15" s="348" t="n">
        <v>13</v>
      </c>
      <c r="B15" s="348" t="inlineStr">
        <is>
          <t>Divers MO</t>
        </is>
      </c>
      <c r="G15" s="348">
        <f>SUM(C15)-SUM(D15)</f>
        <v/>
      </c>
      <c r="H15" s="348">
        <f>SUM(E15)-SUM(F15)</f>
        <v/>
      </c>
      <c r="I15" s="348" t="n">
        <v>13</v>
      </c>
      <c r="J15" s="348" t="inlineStr">
        <is>
          <t>T</t>
        </is>
      </c>
    </row>
    <row r="16">
      <c r="A16" s="348" t="n">
        <v>14</v>
      </c>
      <c r="B16" s="348" t="inlineStr">
        <is>
          <t>Sous total Main d'œuvre</t>
        </is>
      </c>
      <c r="C16" s="352" t="n">
        <v>58318.98</v>
      </c>
      <c r="E16" s="352" t="n">
        <v>58318.98</v>
      </c>
      <c r="G16" s="348">
        <f>SUM(C16)-SUM(D16)</f>
        <v/>
      </c>
      <c r="H16" s="348">
        <f>SUM(E16)-SUM(F16)</f>
        <v/>
      </c>
      <c r="I16" s="348" t="n">
        <v>14</v>
      </c>
      <c r="J16" s="348" t="inlineStr">
        <is>
          <t>T</t>
        </is>
      </c>
    </row>
    <row r="17">
      <c r="A17" s="348" t="n">
        <v>15</v>
      </c>
      <c r="B17" s="348" t="inlineStr">
        <is>
          <t>Nettoyage</t>
        </is>
      </c>
      <c r="C17" s="352" t="n">
        <v>85.23</v>
      </c>
      <c r="E17" s="352" t="n">
        <v>85.23</v>
      </c>
      <c r="G17" s="348">
        <f>SUM(C17)-SUM(D17)</f>
        <v/>
      </c>
      <c r="H17" s="348">
        <f>SUM(E17)-SUM(F17)</f>
        <v/>
      </c>
      <c r="I17" s="348" t="n">
        <v>15</v>
      </c>
      <c r="J17" s="348" t="inlineStr">
        <is>
          <t>T</t>
        </is>
      </c>
    </row>
    <row r="18">
      <c r="A18" s="348" t="n">
        <v>16</v>
      </c>
      <c r="B18" s="348" t="inlineStr">
        <is>
          <t>Sécurité et Gardiennage</t>
        </is>
      </c>
      <c r="C18" s="352" t="n">
        <v>29.17</v>
      </c>
      <c r="E18" s="352" t="n">
        <v>29.17</v>
      </c>
      <c r="G18" s="348">
        <f>SUM(C18)-SUM(D18)</f>
        <v/>
      </c>
      <c r="H18" s="348">
        <f>SUM(E18)-SUM(F18)</f>
        <v/>
      </c>
      <c r="I18" s="348" t="n">
        <v>16</v>
      </c>
      <c r="J18" s="348" t="inlineStr">
        <is>
          <t>T</t>
        </is>
      </c>
    </row>
    <row r="19">
      <c r="A19" s="348" t="n">
        <v>17</v>
      </c>
      <c r="B19" s="348" t="inlineStr">
        <is>
          <t>Frais bancaires</t>
        </is>
      </c>
      <c r="C19" s="352" t="n">
        <v>1492.38</v>
      </c>
      <c r="E19" s="352" t="n">
        <v>1492.38</v>
      </c>
      <c r="G19" s="348">
        <f>SUM(C19)-SUM(D19)</f>
        <v/>
      </c>
      <c r="H19" s="348">
        <f>SUM(E19)-SUM(F19)</f>
        <v/>
      </c>
      <c r="I19" s="348" t="n">
        <v>17</v>
      </c>
      <c r="J19" s="348" t="inlineStr">
        <is>
          <t>T</t>
        </is>
      </c>
    </row>
    <row r="20">
      <c r="A20" s="348" t="n">
        <v>18</v>
      </c>
      <c r="B20" s="348" t="inlineStr">
        <is>
          <t>Contrats Maintenance et réparations</t>
        </is>
      </c>
      <c r="C20" s="352" t="n">
        <v>4262.08</v>
      </c>
      <c r="E20" s="352" t="n">
        <v>4262.08</v>
      </c>
      <c r="G20" s="348">
        <f>SUM(C20)-SUM(D20)</f>
        <v/>
      </c>
      <c r="H20" s="348">
        <f>SUM(E20)-SUM(F20)</f>
        <v/>
      </c>
      <c r="I20" s="348" t="n">
        <v>18</v>
      </c>
      <c r="J20" s="348" t="inlineStr">
        <is>
          <t>T</t>
        </is>
      </c>
    </row>
    <row r="21">
      <c r="A21" s="348" t="n">
        <v>19</v>
      </c>
      <c r="B21" s="348" t="inlineStr">
        <is>
          <t>Autres Services Extérieurs</t>
        </is>
      </c>
      <c r="C21" s="352" t="n">
        <v>2282.11</v>
      </c>
      <c r="E21" s="352" t="n">
        <v>2282.11</v>
      </c>
      <c r="G21" s="348">
        <f>SUM(C21)-SUM(D21)</f>
        <v/>
      </c>
      <c r="H21" s="348">
        <f>SUM(E21)-SUM(F21)</f>
        <v/>
      </c>
      <c r="I21" s="348" t="n">
        <v>19</v>
      </c>
      <c r="J21" s="348" t="inlineStr">
        <is>
          <t>T</t>
        </is>
      </c>
    </row>
    <row r="22">
      <c r="A22" s="348" t="n">
        <v>20</v>
      </c>
      <c r="B22" s="348" t="inlineStr">
        <is>
          <t>Sous total Services Extérieurs</t>
        </is>
      </c>
      <c r="C22" s="352" t="n">
        <v>8150.970000000001</v>
      </c>
      <c r="E22" s="352" t="n">
        <v>8150.970000000001</v>
      </c>
      <c r="G22" s="348">
        <f>SUM(C22)-SUM(D22)</f>
        <v/>
      </c>
      <c r="H22" s="348">
        <f>SUM(E22)-SUM(F22)</f>
        <v/>
      </c>
      <c r="I22" s="348" t="n">
        <v>20</v>
      </c>
      <c r="J22" s="348" t="inlineStr">
        <is>
          <t>T</t>
        </is>
      </c>
    </row>
    <row r="23">
      <c r="A23" s="348" t="n">
        <v>21</v>
      </c>
      <c r="B23" s="348" t="inlineStr">
        <is>
          <t>Commissions Food Tech</t>
        </is>
      </c>
      <c r="C23" s="352" t="n">
        <v>11722.3</v>
      </c>
      <c r="E23" s="352" t="n">
        <v>11722.3</v>
      </c>
      <c r="G23" s="348">
        <f>SUM(C23)-SUM(D23)</f>
        <v/>
      </c>
      <c r="H23" s="348">
        <f>SUM(E23)-SUM(F23)</f>
        <v/>
      </c>
      <c r="I23" s="348" t="n">
        <v>21</v>
      </c>
      <c r="J23" s="348" t="inlineStr">
        <is>
          <t>T</t>
        </is>
      </c>
    </row>
    <row r="24">
      <c r="A24" s="348" t="n">
        <v>22</v>
      </c>
      <c r="B24" s="348" t="inlineStr">
        <is>
          <t>Publicité GIE</t>
        </is>
      </c>
      <c r="C24" s="352" t="n">
        <v>8845.309999999999</v>
      </c>
      <c r="E24" s="352" t="n">
        <v>8845.309999999999</v>
      </c>
      <c r="G24" s="348">
        <f>SUM(C24)-SUM(D24)</f>
        <v/>
      </c>
      <c r="H24" s="348">
        <f>SUM(E24)-SUM(F24)</f>
        <v/>
      </c>
      <c r="I24" s="348" t="n">
        <v>22</v>
      </c>
      <c r="J24" s="348" t="inlineStr">
        <is>
          <t>T</t>
        </is>
      </c>
    </row>
    <row r="25">
      <c r="A25" s="348" t="n">
        <v>23</v>
      </c>
      <c r="B25" s="348" t="inlineStr">
        <is>
          <t>Promotion locale</t>
        </is>
      </c>
      <c r="C25" s="352" t="n">
        <v>5429.68</v>
      </c>
      <c r="E25" s="352" t="n">
        <v>5429.68</v>
      </c>
      <c r="G25" s="348">
        <f>SUM(C25)-SUM(D25)</f>
        <v/>
      </c>
      <c r="H25" s="348">
        <f>SUM(E25)-SUM(F25)</f>
        <v/>
      </c>
      <c r="I25" s="348" t="n">
        <v>23</v>
      </c>
      <c r="J25" s="348" t="inlineStr">
        <is>
          <t>T</t>
        </is>
      </c>
    </row>
    <row r="26">
      <c r="A26" s="348" t="n">
        <v>24</v>
      </c>
      <c r="B26" s="348" t="inlineStr">
        <is>
          <t>Electricité, eau, gaz, téléphone</t>
        </is>
      </c>
      <c r="C26" s="352" t="n">
        <v>6521.4</v>
      </c>
      <c r="E26" s="352" t="n">
        <v>6521.4</v>
      </c>
      <c r="G26" s="348">
        <f>SUM(C26)-SUM(D26)</f>
        <v/>
      </c>
      <c r="H26" s="348">
        <f>SUM(E26)-SUM(F26)</f>
        <v/>
      </c>
      <c r="I26" s="348" t="n">
        <v>24</v>
      </c>
      <c r="J26" s="348" t="inlineStr">
        <is>
          <t>T</t>
        </is>
      </c>
    </row>
    <row r="27">
      <c r="A27" s="348" t="n">
        <v>25</v>
      </c>
      <c r="B27" s="348" t="inlineStr">
        <is>
          <t>Fournitures exploitation et bureau</t>
        </is>
      </c>
      <c r="C27" s="352" t="n">
        <v>1437.1</v>
      </c>
      <c r="E27" s="352" t="n">
        <v>1437.1</v>
      </c>
      <c r="G27" s="348">
        <f>SUM(C27)-SUM(D27)</f>
        <v/>
      </c>
      <c r="H27" s="348">
        <f>SUM(E27)-SUM(F27)</f>
        <v/>
      </c>
      <c r="I27" s="348" t="n">
        <v>25</v>
      </c>
      <c r="J27" s="348" t="inlineStr">
        <is>
          <t>T</t>
        </is>
      </c>
    </row>
    <row r="28">
      <c r="A28" s="348" t="n">
        <v>26</v>
      </c>
      <c r="B28" s="348" t="inlineStr">
        <is>
          <t>Frais de déplacements et Evènements</t>
        </is>
      </c>
      <c r="C28" s="352" t="n">
        <v>45</v>
      </c>
      <c r="E28" s="352" t="n">
        <v>45</v>
      </c>
      <c r="G28" s="348">
        <f>SUM(C28)-SUM(D28)</f>
        <v/>
      </c>
      <c r="H28" s="348">
        <f>SUM(E28)-SUM(F28)</f>
        <v/>
      </c>
      <c r="I28" s="348" t="n">
        <v>26</v>
      </c>
      <c r="J28" s="348" t="inlineStr">
        <is>
          <t>T</t>
        </is>
      </c>
    </row>
    <row r="29">
      <c r="A29" s="348" t="n">
        <v>27</v>
      </c>
      <c r="B29" s="348" t="inlineStr">
        <is>
          <t>Divers</t>
        </is>
      </c>
      <c r="C29" s="352" t="n">
        <v>507.75</v>
      </c>
      <c r="E29" s="352" t="n">
        <v>507.75</v>
      </c>
      <c r="G29" s="348">
        <f>SUM(C29)-SUM(D29)</f>
        <v/>
      </c>
      <c r="H29" s="348">
        <f>SUM(E29)-SUM(F29)</f>
        <v/>
      </c>
      <c r="I29" s="348" t="n">
        <v>27</v>
      </c>
      <c r="J29" s="348" t="inlineStr">
        <is>
          <t>T</t>
        </is>
      </c>
    </row>
    <row r="30">
      <c r="A30" s="348" t="n">
        <v>28</v>
      </c>
      <c r="B30" s="348" t="inlineStr">
        <is>
          <t>Profit après contrôlables (PAC)</t>
        </is>
      </c>
      <c r="C30" s="352" t="n">
        <v>56485.25000000002</v>
      </c>
      <c r="E30" s="352" t="n">
        <v>56485.25000000002</v>
      </c>
      <c r="G30" s="348">
        <f>SUM(C30)-SUM(D30)</f>
        <v/>
      </c>
      <c r="H30" s="348">
        <f>SUM(E30)-SUM(F30)</f>
        <v/>
      </c>
      <c r="I30" s="348" t="n">
        <v>28</v>
      </c>
      <c r="J30" s="348" t="inlineStr">
        <is>
          <t>T</t>
        </is>
      </c>
    </row>
    <row r="31">
      <c r="A31" s="348" t="n">
        <v>29</v>
      </c>
      <c r="B31" s="348" t="inlineStr">
        <is>
          <t>Redevance standard</t>
        </is>
      </c>
      <c r="C31" s="352" t="n">
        <v>22406.16</v>
      </c>
      <c r="E31" s="352" t="n">
        <v>22406.16</v>
      </c>
      <c r="G31" s="348">
        <f>SUM(C31)-SUM(D31)</f>
        <v/>
      </c>
      <c r="H31" s="348">
        <f>SUM(E31)-SUM(F31)</f>
        <v/>
      </c>
      <c r="I31" s="348" t="n">
        <v>29</v>
      </c>
      <c r="J31" s="348" t="inlineStr">
        <is>
          <t>T</t>
        </is>
      </c>
    </row>
    <row r="32">
      <c r="A32" s="348" t="n">
        <v>30</v>
      </c>
      <c r="B32" s="348" t="inlineStr">
        <is>
          <t>Indexation loyer externe</t>
        </is>
      </c>
      <c r="G32" s="348">
        <f>SUM(C32)-SUM(D32)</f>
        <v/>
      </c>
      <c r="H32" s="348">
        <f>SUM(E32)-SUM(F32)</f>
        <v/>
      </c>
      <c r="I32" s="348" t="n">
        <v>30</v>
      </c>
      <c r="J32" s="348" t="inlineStr">
        <is>
          <t>T</t>
        </is>
      </c>
    </row>
    <row r="33">
      <c r="A33" s="348" t="n">
        <v>31</v>
      </c>
      <c r="B33" s="348" t="inlineStr">
        <is>
          <t>Incentives et Avoirs de redevance</t>
        </is>
      </c>
      <c r="C33" s="352" t="n">
        <v>-3403.9</v>
      </c>
      <c r="E33" s="352" t="n">
        <v>-3403.9</v>
      </c>
      <c r="G33" s="348">
        <f>SUM(C33)-SUM(D33)</f>
        <v/>
      </c>
      <c r="H33" s="348">
        <f>SUM(E33)-SUM(F33)</f>
        <v/>
      </c>
      <c r="I33" s="348" t="n">
        <v>31</v>
      </c>
      <c r="J33" s="348" t="inlineStr">
        <is>
          <t>T</t>
        </is>
      </c>
    </row>
    <row r="34">
      <c r="A34" s="348" t="n">
        <v>32</v>
      </c>
      <c r="B34" s="348" t="inlineStr">
        <is>
          <t>Sous total Redevance effective</t>
        </is>
      </c>
      <c r="C34" s="352" t="n">
        <v>19002.26</v>
      </c>
      <c r="E34" s="352" t="n">
        <v>19002.26</v>
      </c>
      <c r="G34" s="348">
        <f>SUM(C34)-SUM(D34)</f>
        <v/>
      </c>
      <c r="H34" s="348">
        <f>SUM(E34)-SUM(F34)</f>
        <v/>
      </c>
      <c r="I34" s="348" t="n">
        <v>32</v>
      </c>
      <c r="J34" s="348" t="inlineStr">
        <is>
          <t>T</t>
        </is>
      </c>
    </row>
    <row r="35">
      <c r="A35" s="348" t="n">
        <v>33</v>
      </c>
      <c r="B35" s="348" t="inlineStr">
        <is>
          <t>Charges locatives et copro</t>
        </is>
      </c>
      <c r="G35" s="348">
        <f>SUM(C35)-SUM(D35)</f>
        <v/>
      </c>
      <c r="H35" s="348">
        <f>SUM(E35)-SUM(F35)</f>
        <v/>
      </c>
      <c r="I35" s="348" t="n">
        <v>33</v>
      </c>
      <c r="J35" s="348" t="inlineStr">
        <is>
          <t>T</t>
        </is>
      </c>
    </row>
    <row r="36">
      <c r="A36" s="348" t="n">
        <v>34</v>
      </c>
      <c r="B36" s="348" t="inlineStr">
        <is>
          <t>Redevance service 5%</t>
        </is>
      </c>
      <c r="C36" s="352" t="n">
        <v>11203.08</v>
      </c>
      <c r="E36" s="352" t="n">
        <v>11203.08</v>
      </c>
      <c r="G36" s="348">
        <f>SUM(C36)-SUM(D36)</f>
        <v/>
      </c>
      <c r="H36" s="348">
        <f>SUM(E36)-SUM(F36)</f>
        <v/>
      </c>
      <c r="I36" s="348" t="n">
        <v>34</v>
      </c>
      <c r="J36" s="348" t="inlineStr">
        <is>
          <t>T</t>
        </is>
      </c>
    </row>
    <row r="37">
      <c r="A37" s="348" t="n">
        <v>35</v>
      </c>
      <c r="B37" s="348" t="inlineStr">
        <is>
          <t>Frais comptables et juridiques</t>
        </is>
      </c>
      <c r="C37" s="352" t="n">
        <v>1286</v>
      </c>
      <c r="E37" s="352" t="n">
        <v>1286</v>
      </c>
      <c r="G37" s="348">
        <f>SUM(C37)-SUM(D37)</f>
        <v/>
      </c>
      <c r="H37" s="348">
        <f>SUM(E37)-SUM(F37)</f>
        <v/>
      </c>
      <c r="I37" s="348" t="n">
        <v>35</v>
      </c>
      <c r="J37" s="348" t="inlineStr">
        <is>
          <t>T</t>
        </is>
      </c>
    </row>
    <row r="38">
      <c r="A38" s="348" t="n">
        <v>36</v>
      </c>
      <c r="B38" s="348" t="inlineStr">
        <is>
          <t>Assurances</t>
        </is>
      </c>
      <c r="C38" s="352" t="n">
        <v>1018.29</v>
      </c>
      <c r="E38" s="352" t="n">
        <v>1018.29</v>
      </c>
      <c r="G38" s="348">
        <f>SUM(C38)-SUM(D38)</f>
        <v/>
      </c>
      <c r="H38" s="348">
        <f>SUM(E38)-SUM(F38)</f>
        <v/>
      </c>
      <c r="I38" s="348" t="n">
        <v>36</v>
      </c>
      <c r="J38" s="348" t="inlineStr">
        <is>
          <t>T</t>
        </is>
      </c>
    </row>
    <row r="39">
      <c r="A39" s="348" t="n">
        <v>37</v>
      </c>
      <c r="B39" s="348" t="inlineStr">
        <is>
          <t>Taxes</t>
        </is>
      </c>
      <c r="C39" s="352" t="n">
        <v>2048.69</v>
      </c>
      <c r="E39" s="352" t="n">
        <v>2048.69</v>
      </c>
      <c r="G39" s="348">
        <f>SUM(C39)-SUM(D39)</f>
        <v/>
      </c>
      <c r="H39" s="348">
        <f>SUM(E39)-SUM(F39)</f>
        <v/>
      </c>
      <c r="I39" s="348" t="n">
        <v>37</v>
      </c>
      <c r="J39" s="348" t="inlineStr">
        <is>
          <t>T</t>
        </is>
      </c>
    </row>
    <row r="40">
      <c r="A40" s="348" t="n">
        <v>38</v>
      </c>
      <c r="B40" s="348" t="inlineStr">
        <is>
          <t>Dépréciations amortissements</t>
        </is>
      </c>
      <c r="C40" s="352" t="n">
        <v>9200</v>
      </c>
      <c r="E40" s="352" t="n">
        <v>9200</v>
      </c>
      <c r="G40" s="348">
        <f>SUM(C40)-SUM(D40)</f>
        <v/>
      </c>
      <c r="H40" s="348">
        <f>SUM(E40)-SUM(F40)</f>
        <v/>
      </c>
      <c r="I40" s="348" t="n">
        <v>38</v>
      </c>
      <c r="J40" s="348" t="inlineStr">
        <is>
          <t>T</t>
        </is>
      </c>
    </row>
    <row r="41">
      <c r="A41" s="348" t="n">
        <v>39</v>
      </c>
      <c r="B41" s="348" t="inlineStr">
        <is>
          <t>Crédit bail</t>
        </is>
      </c>
      <c r="C41" s="352" t="n">
        <v>668.65</v>
      </c>
      <c r="E41" s="352" t="n">
        <v>668.65</v>
      </c>
      <c r="G41" s="348">
        <f>SUM(C41)-SUM(D41)</f>
        <v/>
      </c>
      <c r="H41" s="348">
        <f>SUM(E41)-SUM(F41)</f>
        <v/>
      </c>
      <c r="I41" s="348" t="n">
        <v>39</v>
      </c>
      <c r="J41" s="348" t="inlineStr">
        <is>
          <t>T</t>
        </is>
      </c>
    </row>
    <row r="42">
      <c r="A42" s="348" t="n">
        <v>40</v>
      </c>
      <c r="B42" s="348" t="inlineStr">
        <is>
          <t>Dépenses / Revenus divers</t>
        </is>
      </c>
      <c r="G42" s="348">
        <f>SUM(C42)-SUM(D42)</f>
        <v/>
      </c>
      <c r="H42" s="348">
        <f>SUM(E42)-SUM(F42)</f>
        <v/>
      </c>
      <c r="I42" s="348" t="n">
        <v>40</v>
      </c>
      <c r="J42" s="348" t="inlineStr">
        <is>
          <t>T</t>
        </is>
      </c>
    </row>
    <row r="43">
      <c r="A43" s="348" t="n">
        <v>41.1</v>
      </c>
      <c r="B43" s="348" t="inlineStr">
        <is>
          <t>Ventes non alimentaires</t>
        </is>
      </c>
      <c r="C43" s="352" t="n">
        <v>3055.46</v>
      </c>
      <c r="E43" s="352" t="n">
        <v>3055.46</v>
      </c>
      <c r="G43" s="348">
        <f>-SUM(C43)+SUM(D43)</f>
        <v/>
      </c>
      <c r="H43" s="348">
        <f>-SUM(E43)+SUM(F43)</f>
        <v/>
      </c>
      <c r="I43" s="348" t="inlineStr">
        <is>
          <t>41.1</t>
        </is>
      </c>
      <c r="J43" s="348" t="inlineStr">
        <is>
          <t>T</t>
        </is>
      </c>
    </row>
    <row r="44">
      <c r="A44" s="348" t="n">
        <v>41.2</v>
      </c>
      <c r="B44" s="348" t="inlineStr">
        <is>
          <t>Coût non alimentaire</t>
        </is>
      </c>
      <c r="C44" s="352" t="n">
        <v>2657.05</v>
      </c>
      <c r="E44" s="352" t="n">
        <v>2657.05</v>
      </c>
      <c r="G44" s="348">
        <f>SUM(C44)-SUM(D44)</f>
        <v/>
      </c>
      <c r="H44" s="348">
        <f>SUM(E44)-SUM(F44)</f>
        <v/>
      </c>
      <c r="I44" s="348" t="inlineStr">
        <is>
          <t>41.2</t>
        </is>
      </c>
      <c r="J44" s="348" t="inlineStr">
        <is>
          <t>T</t>
        </is>
      </c>
    </row>
    <row r="45">
      <c r="A45" s="348" t="n">
        <v>41</v>
      </c>
      <c r="B45" s="348" t="inlineStr">
        <is>
          <t>Résultat net non alimentaire</t>
        </is>
      </c>
      <c r="C45" s="352" t="n">
        <v>398.4099999999999</v>
      </c>
      <c r="E45" s="352" t="n">
        <v>398.4099999999999</v>
      </c>
      <c r="G45" s="348">
        <f>SUM(C45)-SUM(D45)</f>
        <v/>
      </c>
      <c r="H45" s="348">
        <f>SUM(E45)-SUM(F45)</f>
        <v/>
      </c>
      <c r="I45" s="348" t="n">
        <v>41</v>
      </c>
      <c r="J45" s="348" t="inlineStr">
        <is>
          <t>T</t>
        </is>
      </c>
    </row>
    <row r="46">
      <c r="A46" s="348" t="n">
        <v>42</v>
      </c>
      <c r="B46" s="348" t="inlineStr">
        <is>
          <t>Charges / Revenus financiers</t>
        </is>
      </c>
      <c r="C46" s="352" t="n">
        <v>218.69</v>
      </c>
      <c r="E46" s="352" t="n">
        <v>218.69</v>
      </c>
      <c r="G46" s="348">
        <f>SUM(C46)-SUM(D46)</f>
        <v/>
      </c>
      <c r="H46" s="348">
        <f>SUM(E46)-SUM(F46)</f>
        <v/>
      </c>
      <c r="I46" s="348" t="n">
        <v>42</v>
      </c>
      <c r="J46" s="348" t="inlineStr">
        <is>
          <t>T</t>
        </is>
      </c>
    </row>
    <row r="47">
      <c r="A47" s="348" t="n">
        <v>43</v>
      </c>
      <c r="B47" s="348" t="inlineStr">
        <is>
          <t>Résultat net d'exploitation (SOI)</t>
        </is>
      </c>
      <c r="C47" s="352" t="n">
        <v>12238.00000000002</v>
      </c>
      <c r="E47" s="352" t="n">
        <v>12238.00000000002</v>
      </c>
      <c r="G47" s="348">
        <f>SUM(C47)-SUM(D47)</f>
        <v/>
      </c>
      <c r="H47" s="348">
        <f>SUM(E47)-SUM(F47)</f>
        <v/>
      </c>
      <c r="I47" s="348" t="n">
        <v>43</v>
      </c>
      <c r="J47" s="348" t="inlineStr">
        <is>
          <t>T</t>
        </is>
      </c>
    </row>
    <row r="48">
      <c r="A48" s="348" t="n">
        <v>44</v>
      </c>
      <c r="B48" s="348" t="inlineStr">
        <is>
          <t>Cash Flow avant fin, G&amp;A et IS</t>
        </is>
      </c>
      <c r="C48" s="352" t="n">
        <v>22325.34000000002</v>
      </c>
      <c r="E48" s="352" t="n">
        <v>22325.34000000002</v>
      </c>
      <c r="G48" s="348">
        <f>SUM(C48)-SUM(D48)</f>
        <v/>
      </c>
      <c r="H48" s="348">
        <f>SUM(E48)-SUM(F48)</f>
        <v/>
      </c>
      <c r="I48" s="348" t="n">
        <v>44</v>
      </c>
      <c r="J48" s="348" t="inlineStr">
        <is>
          <t>T</t>
        </is>
      </c>
    </row>
    <row r="49">
      <c r="A49" s="348" t="n">
        <v>45</v>
      </c>
      <c r="B49" s="348" t="inlineStr">
        <is>
          <t>Charges et produits exceptionnels</t>
        </is>
      </c>
      <c r="G49" s="348">
        <f>SUM(C49)-SUM(D49)</f>
        <v/>
      </c>
      <c r="H49" s="348">
        <f>SUM(E49)-SUM(F49)</f>
        <v/>
      </c>
      <c r="I49" s="348" t="n">
        <v>45</v>
      </c>
      <c r="J49" s="348" t="inlineStr">
        <is>
          <t>T</t>
        </is>
      </c>
    </row>
    <row r="50">
      <c r="A50" s="348" t="n">
        <v>46</v>
      </c>
      <c r="B50" s="348" t="inlineStr">
        <is>
          <t>G&amp;A (Frais administratifs)</t>
        </is>
      </c>
      <c r="C50" s="352" t="n">
        <v>14618</v>
      </c>
      <c r="E50" s="352" t="n">
        <v>14618</v>
      </c>
      <c r="G50" s="348">
        <f>SUM(C50)-SUM(D50)</f>
        <v/>
      </c>
      <c r="H50" s="348">
        <f>SUM(E50)-SUM(F50)</f>
        <v/>
      </c>
      <c r="I50" s="348" t="n">
        <v>46</v>
      </c>
      <c r="J50" s="348" t="inlineStr">
        <is>
          <t>T</t>
        </is>
      </c>
    </row>
    <row r="51">
      <c r="A51" s="348" t="n">
        <v>47</v>
      </c>
      <c r="B51" s="348" t="inlineStr">
        <is>
          <t>Revenu net avant impôt</t>
        </is>
      </c>
      <c r="C51" s="352" t="n">
        <v>-2379.99999999998</v>
      </c>
      <c r="E51" s="352" t="n">
        <v>-2379.99999999998</v>
      </c>
      <c r="G51" s="348">
        <f>SUM(C51)-SUM(D51)</f>
        <v/>
      </c>
      <c r="H51" s="348">
        <f>SUM(E51)-SUM(F51)</f>
        <v/>
      </c>
      <c r="I51" s="348" t="n">
        <v>47</v>
      </c>
      <c r="J51" s="348" t="inlineStr">
        <is>
          <t>T</t>
        </is>
      </c>
    </row>
    <row r="52">
      <c r="A52" s="348" t="n">
        <v>48</v>
      </c>
      <c r="B52" s="348" t="inlineStr">
        <is>
          <t>Impôt sur les sociétés</t>
        </is>
      </c>
      <c r="C52" s="352" t="n">
        <v>-872.67</v>
      </c>
      <c r="E52" s="352" t="n">
        <v>-872.67</v>
      </c>
      <c r="G52" s="348">
        <f>SUM(C52)-SUM(D52)</f>
        <v/>
      </c>
      <c r="H52" s="348">
        <f>SUM(E52)-SUM(F52)</f>
        <v/>
      </c>
      <c r="I52" s="348" t="n">
        <v>48</v>
      </c>
      <c r="J52" s="348" t="inlineStr">
        <is>
          <t>T</t>
        </is>
      </c>
    </row>
    <row r="53">
      <c r="A53" s="348" t="n">
        <v>49</v>
      </c>
      <c r="B53" s="348" t="inlineStr">
        <is>
          <t>Résultat net</t>
        </is>
      </c>
      <c r="C53" s="352" t="n">
        <v>-1507.32999999998</v>
      </c>
      <c r="E53" s="352" t="n">
        <v>-1507.32999999998</v>
      </c>
      <c r="G53" s="348">
        <f>SUM(C53)-SUM(D53)</f>
        <v/>
      </c>
      <c r="H53" s="348">
        <f>SUM(E53)-SUM(F53)</f>
        <v/>
      </c>
      <c r="I53" s="348" t="n">
        <v>49</v>
      </c>
      <c r="J53" s="348" t="inlineStr">
        <is>
          <t>T</t>
        </is>
      </c>
    </row>
    <row r="54">
      <c r="J54" s="348">
        <f>LEFT(A54,1)</f>
        <v/>
      </c>
    </row>
    <row r="55">
      <c r="J55" s="348">
        <f>LEFT(A55,1)</f>
        <v/>
      </c>
    </row>
    <row r="56">
      <c r="J56" s="348">
        <f>LEFT(A56,1)</f>
        <v/>
      </c>
    </row>
    <row r="57">
      <c r="J57" s="348">
        <f>LEFT(A57,1)</f>
        <v/>
      </c>
    </row>
    <row r="58">
      <c r="J58" s="348">
        <f>LEFT(A58,1)</f>
        <v/>
      </c>
    </row>
    <row r="59">
      <c r="J59" s="348">
        <f>LEFT(A59,1)</f>
        <v/>
      </c>
    </row>
    <row r="60">
      <c r="J60" s="348">
        <f>LEFT(A60,1)</f>
        <v/>
      </c>
    </row>
    <row r="61">
      <c r="J61" s="348">
        <f>LEFT(A61,1)</f>
        <v/>
      </c>
    </row>
    <row r="62">
      <c r="J62" s="348">
        <f>LEFT(A62,1)</f>
        <v/>
      </c>
    </row>
    <row r="63">
      <c r="J63" s="348">
        <f>LEFT(A63,1)</f>
        <v/>
      </c>
    </row>
    <row r="64">
      <c r="J64" s="348">
        <f>LEFT(A64,1)</f>
        <v/>
      </c>
    </row>
    <row r="65">
      <c r="J65" s="348">
        <f>LEFT(A65,1)</f>
        <v/>
      </c>
    </row>
    <row r="66">
      <c r="J66" s="348">
        <f>LEFT(A66,1)</f>
        <v/>
      </c>
    </row>
    <row r="67">
      <c r="J67" s="348">
        <f>LEFT(A67,1)</f>
        <v/>
      </c>
    </row>
    <row r="68">
      <c r="J68" s="348">
        <f>LEFT(A68,1)</f>
        <v/>
      </c>
    </row>
    <row r="69">
      <c r="J69" s="348">
        <f>LEFT(A69,1)</f>
        <v/>
      </c>
    </row>
    <row r="70">
      <c r="J70" s="348">
        <f>LEFT(A70,1)</f>
        <v/>
      </c>
    </row>
    <row r="71">
      <c r="J71" s="348">
        <f>LEFT(A71,1)</f>
        <v/>
      </c>
    </row>
    <row r="72">
      <c r="J72" s="348">
        <f>LEFT(A72,1)</f>
        <v/>
      </c>
    </row>
    <row r="73">
      <c r="J73" s="348">
        <f>LEFT(A73,1)</f>
        <v/>
      </c>
    </row>
    <row r="74">
      <c r="J74" s="348">
        <f>LEFT(A74,1)</f>
        <v/>
      </c>
    </row>
    <row r="75">
      <c r="J75" s="348">
        <f>LEFT(A75,1)</f>
        <v/>
      </c>
    </row>
    <row r="76">
      <c r="J76" s="348">
        <f>LEFT(A76,1)</f>
        <v/>
      </c>
    </row>
    <row r="77">
      <c r="J77" s="348">
        <f>LEFT(A77,1)</f>
        <v/>
      </c>
    </row>
    <row r="78">
      <c r="J78" s="348">
        <f>LEFT(A78,1)</f>
        <v/>
      </c>
    </row>
    <row r="79">
      <c r="J79" s="348">
        <f>LEFT(A79,1)</f>
        <v/>
      </c>
    </row>
    <row r="80">
      <c r="J80" s="348">
        <f>LEFT(A80,1)</f>
        <v/>
      </c>
    </row>
    <row r="81">
      <c r="J81" s="348">
        <f>LEFT(A81,1)</f>
        <v/>
      </c>
    </row>
    <row r="82">
      <c r="J82" s="348">
        <f>LEFT(A82,1)</f>
        <v/>
      </c>
    </row>
    <row r="83">
      <c r="J83" s="348">
        <f>LEFT(A83,1)</f>
        <v/>
      </c>
    </row>
    <row r="84">
      <c r="J84" s="348">
        <f>LEFT(A84,1)</f>
        <v/>
      </c>
    </row>
    <row r="85">
      <c r="J85" s="348">
        <f>LEFT(A85,1)</f>
        <v/>
      </c>
    </row>
    <row r="86">
      <c r="J86" s="348">
        <f>LEFT(A86,1)</f>
        <v/>
      </c>
    </row>
    <row r="87">
      <c r="J87" s="348">
        <f>LEFT(A87,1)</f>
        <v/>
      </c>
    </row>
    <row r="88">
      <c r="J88" s="348">
        <f>LEFT(A88,1)</f>
        <v/>
      </c>
    </row>
    <row r="89">
      <c r="J89" s="348">
        <f>LEFT(A89,1)</f>
        <v/>
      </c>
    </row>
    <row r="90">
      <c r="J90" s="348">
        <f>LEFT(A90,1)</f>
        <v/>
      </c>
    </row>
    <row r="91">
      <c r="J91" s="348">
        <f>LEFT(A91,1)</f>
        <v/>
      </c>
    </row>
    <row r="92">
      <c r="J92" s="348">
        <f>LEFT(A92,1)</f>
        <v/>
      </c>
    </row>
    <row r="93">
      <c r="J93" s="348">
        <f>LEFT(A93,1)</f>
        <v/>
      </c>
    </row>
    <row r="94">
      <c r="J94" s="348">
        <f>LEFT(A94,1)</f>
        <v/>
      </c>
    </row>
    <row r="95">
      <c r="J95" s="348">
        <f>LEFT(A95,1)</f>
        <v/>
      </c>
    </row>
    <row r="96">
      <c r="J96" s="348">
        <f>LEFT(A96,1)</f>
        <v/>
      </c>
    </row>
    <row r="97">
      <c r="J97" s="348">
        <f>LEFT(A97,1)</f>
        <v/>
      </c>
    </row>
    <row r="98">
      <c r="J98" s="348">
        <f>LEFT(A98,1)</f>
        <v/>
      </c>
    </row>
    <row r="99">
      <c r="J99" s="348">
        <f>LEFT(A99,1)</f>
        <v/>
      </c>
    </row>
    <row r="100">
      <c r="J100" s="348">
        <f>LEFT(A100,1)</f>
        <v/>
      </c>
    </row>
    <row r="101">
      <c r="J101" s="348">
        <f>LEFT(A101,1)</f>
        <v/>
      </c>
    </row>
    <row r="102">
      <c r="J102" s="348">
        <f>LEFT(A102,1)</f>
        <v/>
      </c>
    </row>
    <row r="103">
      <c r="J103" s="348">
        <f>LEFT(A103,1)</f>
        <v/>
      </c>
    </row>
    <row r="104">
      <c r="J104" s="348">
        <f>LEFT(A104,1)</f>
        <v/>
      </c>
    </row>
    <row r="105">
      <c r="J105" s="348">
        <f>LEFT(A105,1)</f>
        <v/>
      </c>
    </row>
    <row r="106">
      <c r="J106" s="348">
        <f>LEFT(A106,1)</f>
        <v/>
      </c>
    </row>
    <row r="107">
      <c r="J107" s="348">
        <f>LEFT(A107,1)</f>
        <v/>
      </c>
    </row>
    <row r="108">
      <c r="J108" s="348">
        <f>LEFT(A108,1)</f>
        <v/>
      </c>
    </row>
    <row r="109">
      <c r="J109" s="348">
        <f>LEFT(A109,1)</f>
        <v/>
      </c>
    </row>
    <row r="110">
      <c r="J110" s="348">
        <f>LEFT(A110,1)</f>
        <v/>
      </c>
    </row>
    <row r="111">
      <c r="J111" s="348">
        <f>LEFT(A111,1)</f>
        <v/>
      </c>
    </row>
    <row r="112">
      <c r="J112" s="348">
        <f>LEFT(A112,1)</f>
        <v/>
      </c>
    </row>
    <row r="113">
      <c r="J113" s="348">
        <f>LEFT(A113,1)</f>
        <v/>
      </c>
    </row>
    <row r="114">
      <c r="J114" s="348">
        <f>LEFT(A114,1)</f>
        <v/>
      </c>
    </row>
    <row r="115">
      <c r="J115" s="348">
        <f>LEFT(A115,1)</f>
        <v/>
      </c>
    </row>
    <row r="116">
      <c r="J116" s="348">
        <f>LEFT(A116,1)</f>
        <v/>
      </c>
    </row>
    <row r="117">
      <c r="J117" s="348">
        <f>LEFT(A117,1)</f>
        <v/>
      </c>
    </row>
    <row r="118">
      <c r="J118" s="348">
        <f>LEFT(A118,1)</f>
        <v/>
      </c>
    </row>
    <row r="119">
      <c r="J119" s="348">
        <f>LEFT(A119,1)</f>
        <v/>
      </c>
    </row>
    <row r="120">
      <c r="J120" s="348">
        <f>LEFT(A120,1)</f>
        <v/>
      </c>
    </row>
    <row r="121">
      <c r="J121" s="348">
        <f>LEFT(A121,1)</f>
        <v/>
      </c>
    </row>
    <row r="122">
      <c r="J122" s="348">
        <f>LEFT(A122,1)</f>
        <v/>
      </c>
    </row>
    <row r="123">
      <c r="J123" s="348">
        <f>LEFT(A123,1)</f>
        <v/>
      </c>
    </row>
    <row r="124">
      <c r="J124" s="348">
        <f>LEFT(A124,1)</f>
        <v/>
      </c>
    </row>
    <row r="125">
      <c r="J125" s="348">
        <f>LEFT(A125,1)</f>
        <v/>
      </c>
    </row>
    <row r="126">
      <c r="J126" s="348">
        <f>LEFT(A126,1)</f>
        <v/>
      </c>
    </row>
    <row r="127">
      <c r="J127" s="348">
        <f>LEFT(A127,1)</f>
        <v/>
      </c>
    </row>
    <row r="128">
      <c r="J128" s="348">
        <f>LEFT(A128,1)</f>
        <v/>
      </c>
    </row>
    <row r="129">
      <c r="J129" s="348">
        <f>LEFT(A129,1)</f>
        <v/>
      </c>
    </row>
    <row r="130">
      <c r="J130" s="348">
        <f>LEFT(A130,1)</f>
        <v/>
      </c>
    </row>
    <row r="131">
      <c r="J131" s="348">
        <f>LEFT(A131,1)</f>
        <v/>
      </c>
    </row>
    <row r="132">
      <c r="J132" s="348">
        <f>LEFT(A132,1)</f>
        <v/>
      </c>
    </row>
    <row r="133">
      <c r="J133" s="348">
        <f>LEFT(A133,1)</f>
        <v/>
      </c>
    </row>
    <row r="134">
      <c r="J134" s="348">
        <f>LEFT(A134,1)</f>
        <v/>
      </c>
    </row>
    <row r="135">
      <c r="J135" s="348">
        <f>LEFT(A135,1)</f>
        <v/>
      </c>
    </row>
    <row r="136">
      <c r="J136" s="348">
        <f>LEFT(A136,1)</f>
        <v/>
      </c>
    </row>
    <row r="137">
      <c r="J137" s="348">
        <f>LEFT(A137,1)</f>
        <v/>
      </c>
    </row>
    <row r="138">
      <c r="J138" s="348">
        <f>LEFT(A138,1)</f>
        <v/>
      </c>
    </row>
    <row r="139">
      <c r="J139" s="348">
        <f>LEFT(A139,1)</f>
        <v/>
      </c>
    </row>
    <row r="140">
      <c r="J140" s="348">
        <f>LEFT(A140,1)</f>
        <v/>
      </c>
    </row>
    <row r="141">
      <c r="J141" s="348">
        <f>LEFT(A141,1)</f>
        <v/>
      </c>
    </row>
    <row r="142">
      <c r="J142" s="348">
        <f>LEFT(A142,1)</f>
        <v/>
      </c>
    </row>
    <row r="143">
      <c r="J143" s="348">
        <f>LEFT(A143,1)</f>
        <v/>
      </c>
    </row>
    <row r="144">
      <c r="J144" s="348">
        <f>LEFT(A144,1)</f>
        <v/>
      </c>
    </row>
    <row r="145">
      <c r="J145" s="348">
        <f>LEFT(A145,1)</f>
        <v/>
      </c>
    </row>
    <row r="146">
      <c r="J146" s="348">
        <f>LEFT(A146,1)</f>
        <v/>
      </c>
    </row>
    <row r="147">
      <c r="J147" s="348">
        <f>LEFT(A147,1)</f>
        <v/>
      </c>
    </row>
    <row r="148">
      <c r="J148" s="348">
        <f>LEFT(A148,1)</f>
        <v/>
      </c>
    </row>
    <row r="149">
      <c r="J149" s="348">
        <f>LEFT(A149,1)</f>
        <v/>
      </c>
    </row>
    <row r="150">
      <c r="J150" s="348">
        <f>LEFT(A150,1)</f>
        <v/>
      </c>
    </row>
    <row r="151">
      <c r="J151" s="348">
        <f>LEFT(A151,1)</f>
        <v/>
      </c>
    </row>
    <row r="152">
      <c r="J152" s="348">
        <f>LEFT(A152,1)</f>
        <v/>
      </c>
    </row>
    <row r="153">
      <c r="J153" s="348">
        <f>LEFT(A153,1)</f>
        <v/>
      </c>
    </row>
    <row r="154">
      <c r="J154" s="348">
        <f>LEFT(A154,1)</f>
        <v/>
      </c>
    </row>
    <row r="155">
      <c r="J155" s="348">
        <f>LEFT(A155,1)</f>
        <v/>
      </c>
    </row>
    <row r="156">
      <c r="J156" s="348">
        <f>LEFT(A156,1)</f>
        <v/>
      </c>
    </row>
    <row r="157">
      <c r="J157" s="348">
        <f>LEFT(A157,1)</f>
        <v/>
      </c>
    </row>
    <row r="158">
      <c r="J158" s="348">
        <f>LEFT(A158,1)</f>
        <v/>
      </c>
    </row>
    <row r="159">
      <c r="J159" s="348">
        <f>LEFT(A159,1)</f>
        <v/>
      </c>
    </row>
    <row r="160">
      <c r="J160" s="348">
        <f>LEFT(A160,1)</f>
        <v/>
      </c>
    </row>
    <row r="161">
      <c r="J161" s="348">
        <f>LEFT(A161,1)</f>
        <v/>
      </c>
    </row>
    <row r="162">
      <c r="J162" s="348">
        <f>LEFT(A162,1)</f>
        <v/>
      </c>
    </row>
    <row r="163">
      <c r="J163" s="348">
        <f>LEFT(A163,1)</f>
        <v/>
      </c>
    </row>
    <row r="164">
      <c r="J164" s="348">
        <f>LEFT(A164,1)</f>
        <v/>
      </c>
    </row>
    <row r="165">
      <c r="J165" s="348">
        <f>LEFT(A165,1)</f>
        <v/>
      </c>
    </row>
    <row r="166">
      <c r="J166" s="348">
        <f>LEFT(A166,1)</f>
        <v/>
      </c>
    </row>
    <row r="167">
      <c r="J167" s="348">
        <f>LEFT(A167,1)</f>
        <v/>
      </c>
    </row>
    <row r="168">
      <c r="J168" s="348">
        <f>LEFT(A168,1)</f>
        <v/>
      </c>
    </row>
    <row r="169">
      <c r="J169" s="348">
        <f>LEFT(A169,1)</f>
        <v/>
      </c>
    </row>
    <row r="170">
      <c r="J170" s="348">
        <f>LEFT(A170,1)</f>
        <v/>
      </c>
    </row>
    <row r="171">
      <c r="J171" s="348">
        <f>LEFT(A171,1)</f>
        <v/>
      </c>
    </row>
    <row r="172">
      <c r="J172" s="348">
        <f>LEFT(A172,1)</f>
        <v/>
      </c>
    </row>
    <row r="173">
      <c r="J173" s="348">
        <f>LEFT(A173,1)</f>
        <v/>
      </c>
    </row>
    <row r="174">
      <c r="J174" s="348">
        <f>LEFT(A174,1)</f>
        <v/>
      </c>
    </row>
    <row r="175">
      <c r="J175" s="348">
        <f>LEFT(A175,1)</f>
        <v/>
      </c>
    </row>
    <row r="176">
      <c r="J176" s="348">
        <f>LEFT(A176,1)</f>
        <v/>
      </c>
    </row>
    <row r="177">
      <c r="J177" s="348">
        <f>LEFT(A177,1)</f>
        <v/>
      </c>
    </row>
    <row r="178">
      <c r="J178" s="348">
        <f>LEFT(A178,1)</f>
        <v/>
      </c>
    </row>
    <row r="179">
      <c r="J179" s="348">
        <f>LEFT(A179,1)</f>
        <v/>
      </c>
    </row>
    <row r="180">
      <c r="J180" s="348">
        <f>LEFT(A180,1)</f>
        <v/>
      </c>
    </row>
    <row r="181">
      <c r="J181" s="348">
        <f>LEFT(A181,1)</f>
        <v/>
      </c>
    </row>
    <row r="182">
      <c r="J182" s="348">
        <f>LEFT(A182,1)</f>
        <v/>
      </c>
    </row>
    <row r="183">
      <c r="J183" s="348">
        <f>LEFT(A183,1)</f>
        <v/>
      </c>
    </row>
    <row r="184">
      <c r="J184" s="348">
        <f>LEFT(A184,1)</f>
        <v/>
      </c>
    </row>
    <row r="185">
      <c r="J185" s="348">
        <f>LEFT(A185,1)</f>
        <v/>
      </c>
    </row>
    <row r="186">
      <c r="J186" s="348">
        <f>LEFT(A186,1)</f>
        <v/>
      </c>
    </row>
    <row r="187">
      <c r="J187" s="348">
        <f>LEFT(A187,1)</f>
        <v/>
      </c>
    </row>
    <row r="188">
      <c r="J188" s="348">
        <f>LEFT(A188,1)</f>
        <v/>
      </c>
    </row>
    <row r="189">
      <c r="J189" s="348">
        <f>LEFT(A189,1)</f>
        <v/>
      </c>
    </row>
    <row r="190">
      <c r="J190" s="348">
        <f>LEFT(A190,1)</f>
        <v/>
      </c>
    </row>
    <row r="191">
      <c r="J191" s="348">
        <f>LEFT(A191,1)</f>
        <v/>
      </c>
    </row>
    <row r="192">
      <c r="J192" s="348">
        <f>LEFT(A192,1)</f>
        <v/>
      </c>
    </row>
    <row r="193">
      <c r="J193" s="348">
        <f>LEFT(A193,1)</f>
        <v/>
      </c>
    </row>
    <row r="194">
      <c r="J194" s="348">
        <f>LEFT(A194,1)</f>
        <v/>
      </c>
    </row>
    <row r="195">
      <c r="J195" s="348">
        <f>LEFT(A195,1)</f>
        <v/>
      </c>
    </row>
    <row r="196">
      <c r="J196" s="348">
        <f>LEFT(A196,1)</f>
        <v/>
      </c>
    </row>
    <row r="197">
      <c r="J197" s="348">
        <f>LEFT(A197,1)</f>
        <v/>
      </c>
    </row>
    <row r="198">
      <c r="J198" s="348">
        <f>LEFT(A198,1)</f>
        <v/>
      </c>
    </row>
    <row r="199">
      <c r="J199" s="348">
        <f>LEFT(A199,1)</f>
        <v/>
      </c>
    </row>
    <row r="200">
      <c r="J200" s="348">
        <f>LEFT(A200,1)</f>
        <v/>
      </c>
    </row>
    <row r="201">
      <c r="J201" s="348">
        <f>LEFT(A201,1)</f>
        <v/>
      </c>
    </row>
    <row r="202">
      <c r="J202" s="348">
        <f>LEFT(A202,1)</f>
        <v/>
      </c>
    </row>
    <row r="203">
      <c r="J203" s="348">
        <f>LEFT(A203,1)</f>
        <v/>
      </c>
    </row>
    <row r="204">
      <c r="J204" s="348">
        <f>LEFT(A204,1)</f>
        <v/>
      </c>
    </row>
    <row r="205">
      <c r="J205" s="348">
        <f>LEFT(A205,1)</f>
        <v/>
      </c>
    </row>
    <row r="206">
      <c r="J206" s="348">
        <f>LEFT(A206,1)</f>
        <v/>
      </c>
    </row>
    <row r="207">
      <c r="J207" s="348">
        <f>LEFT(A207,1)</f>
        <v/>
      </c>
    </row>
    <row r="208">
      <c r="J208" s="348">
        <f>LEFT(A208,1)</f>
        <v/>
      </c>
    </row>
    <row r="209">
      <c r="J209" s="348">
        <f>LEFT(A209,1)</f>
        <v/>
      </c>
    </row>
    <row r="210">
      <c r="J210" s="348">
        <f>LEFT(A210,1)</f>
        <v/>
      </c>
    </row>
    <row r="211">
      <c r="J211" s="348">
        <f>LEFT(A211,1)</f>
        <v/>
      </c>
    </row>
    <row r="212">
      <c r="J212" s="348">
        <f>LEFT(A212,1)</f>
        <v/>
      </c>
    </row>
    <row r="213">
      <c r="J213" s="348">
        <f>LEFT(A213,1)</f>
        <v/>
      </c>
    </row>
    <row r="214">
      <c r="J214" s="348">
        <f>LEFT(A214,1)</f>
        <v/>
      </c>
    </row>
    <row r="215">
      <c r="J215" s="348">
        <f>LEFT(A215,1)</f>
        <v/>
      </c>
    </row>
    <row r="216">
      <c r="J216" s="348">
        <f>LEFT(A216,1)</f>
        <v/>
      </c>
    </row>
    <row r="217">
      <c r="J217" s="348">
        <f>LEFT(A217,1)</f>
        <v/>
      </c>
    </row>
    <row r="218">
      <c r="J218" s="348">
        <f>LEFT(A218,1)</f>
        <v/>
      </c>
    </row>
    <row r="219">
      <c r="J219" s="348">
        <f>LEFT(A219,1)</f>
        <v/>
      </c>
    </row>
    <row r="220">
      <c r="G220" s="348">
        <f>SUM(C220)-SUM(D220)</f>
        <v/>
      </c>
      <c r="H220" s="348">
        <f>SUM(E220)-SUM(F220)</f>
        <v/>
      </c>
      <c r="I220" s="348">
        <f>IF(A220="Total",VLOOKUP(B220,CORRESPONDANCE[#All],2,FALSE),I221)</f>
        <v/>
      </c>
      <c r="J220" s="348">
        <f>LEFT(A220,1)</f>
        <v/>
      </c>
    </row>
    <row r="221">
      <c r="G221" s="348">
        <f>SUM(C221)-SUM(D221)</f>
        <v/>
      </c>
      <c r="H221" s="348">
        <f>SUM(E221)-SUM(F221)</f>
        <v/>
      </c>
      <c r="I221" s="348">
        <f>IF(A221="Total",VLOOKUP(B221,CORRESPONDANCE[#All],2,FALSE),I222)</f>
        <v/>
      </c>
      <c r="J221" s="348">
        <f>LEFT(A221,1)</f>
        <v/>
      </c>
    </row>
    <row r="222">
      <c r="G222" s="348">
        <f>SUM(C222)-SUM(D222)</f>
        <v/>
      </c>
      <c r="H222" s="348">
        <f>SUM(E222)-SUM(F222)</f>
        <v/>
      </c>
      <c r="I222" s="348">
        <f>IF(A222="Total",VLOOKUP(B222,CORRESPONDANCE[#All],2,FALSE),I223)</f>
        <v/>
      </c>
      <c r="J222" s="348">
        <f>LEFT(A222,1)</f>
        <v/>
      </c>
    </row>
    <row r="223">
      <c r="G223" s="348">
        <f>SUM(C223)-SUM(D223)</f>
        <v/>
      </c>
      <c r="H223" s="348">
        <f>SUM(E223)-SUM(F223)</f>
        <v/>
      </c>
      <c r="I223" s="348">
        <f>IF(A223="Total",VLOOKUP(B223,CORRESPONDANCE[#All],2,FALSE),I224)</f>
        <v/>
      </c>
      <c r="J223" s="348">
        <f>LEFT(A223,1)</f>
        <v/>
      </c>
    </row>
    <row r="224">
      <c r="G224" s="348">
        <f>SUM(C224)-SUM(D224)</f>
        <v/>
      </c>
      <c r="H224" s="348">
        <f>SUM(E224)-SUM(F224)</f>
        <v/>
      </c>
      <c r="I224" s="348">
        <f>IF(A224="Total",VLOOKUP(B224,CORRESPONDANCE[#All],2,FALSE),I225)</f>
        <v/>
      </c>
      <c r="J224" s="348">
        <f>LEFT(A224,1)</f>
        <v/>
      </c>
    </row>
    <row r="225">
      <c r="G225" s="348">
        <f>SUM(C225)-SUM(D225)</f>
        <v/>
      </c>
      <c r="H225" s="348">
        <f>SUM(E225)-SUM(F225)</f>
        <v/>
      </c>
      <c r="I225" s="348">
        <f>IF(A225="Total",VLOOKUP(B225,CORRESPONDANCE[#All],2,FALSE),I226)</f>
        <v/>
      </c>
      <c r="J225" s="348">
        <f>LEFT(A225,1)</f>
        <v/>
      </c>
    </row>
    <row r="226">
      <c r="G226" s="348">
        <f>SUM(C226)-SUM(D226)</f>
        <v/>
      </c>
      <c r="H226" s="348">
        <f>SUM(E226)-SUM(F226)</f>
        <v/>
      </c>
      <c r="I226" s="348">
        <f>IF(A226="Total",VLOOKUP(B226,CORRESPONDANCE[#All],2,FALSE),I227)</f>
        <v/>
      </c>
      <c r="J226" s="348">
        <f>LEFT(A226,1)</f>
        <v/>
      </c>
    </row>
    <row r="227">
      <c r="G227" s="348">
        <f>SUM(C227)-SUM(D227)</f>
        <v/>
      </c>
      <c r="H227" s="348">
        <f>SUM(E227)-SUM(F227)</f>
        <v/>
      </c>
      <c r="I227" s="348">
        <f>IF(A227="Total",VLOOKUP(B227,CORRESPONDANCE[#All],2,FALSE),I228)</f>
        <v/>
      </c>
      <c r="J227" s="348">
        <f>LEFT(A227,1)</f>
        <v/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J227"/>
  <sheetViews>
    <sheetView workbookViewId="0">
      <selection activeCell="A3" sqref="A3"/>
    </sheetView>
  </sheetViews>
  <sheetFormatPr baseColWidth="10" defaultRowHeight="12.75"/>
  <cols>
    <col width="35.28515625" bestFit="1" customWidth="1" style="161" min="2" max="2"/>
    <col width="12.140625" bestFit="1" customWidth="1" style="352" min="3" max="3"/>
    <col width="11.42578125" customWidth="1" style="352" min="4" max="4"/>
    <col width="13.5703125" bestFit="1" customWidth="1" style="352" min="5" max="5"/>
    <col width="11.42578125" customWidth="1" style="352" min="6" max="6"/>
    <col width="12.7109375" bestFit="1" customWidth="1" style="161" min="7" max="8"/>
  </cols>
  <sheetData>
    <row r="1">
      <c r="A1" s="348" t="inlineStr">
        <is>
          <t xml:space="preserve">    N° </t>
        </is>
      </c>
      <c r="B1" s="348" t="inlineStr">
        <is>
          <t>P&amp;L</t>
        </is>
      </c>
      <c r="G1" s="348" t="inlineStr">
        <is>
          <t>Mois</t>
        </is>
      </c>
      <c r="H1" s="348" t="inlineStr">
        <is>
          <t>Cumulé</t>
        </is>
      </c>
      <c r="I1" s="348" t="inlineStr">
        <is>
          <t>Ligne P&amp;L</t>
        </is>
      </c>
      <c r="J1" s="348" t="inlineStr">
        <is>
          <t>Racine</t>
        </is>
      </c>
    </row>
    <row r="2">
      <c r="A2" s="348" t="n">
        <v>1</v>
      </c>
      <c r="B2" s="348" t="inlineStr">
        <is>
          <t>Ventes nettes totales</t>
        </is>
      </c>
      <c r="C2" s="352" t="n">
        <v>228176.94</v>
      </c>
      <c r="E2" s="352" t="n">
        <v>228176.94</v>
      </c>
      <c r="G2" s="348">
        <f>-SUM(C2)+SUM(D2)</f>
        <v/>
      </c>
      <c r="H2" s="348">
        <f>-SUM(E2)+SUM(F2)</f>
        <v/>
      </c>
      <c r="I2" s="348" t="n">
        <v>1</v>
      </c>
      <c r="J2" s="348" t="inlineStr">
        <is>
          <t>T</t>
        </is>
      </c>
    </row>
    <row r="3">
      <c r="A3" s="348" t="n">
        <v>2</v>
      </c>
      <c r="B3" s="348" t="inlineStr">
        <is>
          <t>Ventes produits alimentaires</t>
        </is>
      </c>
      <c r="C3" s="352" t="n">
        <v>225059.06</v>
      </c>
      <c r="E3" s="352" t="n">
        <v>225059.06</v>
      </c>
      <c r="G3" s="348">
        <f>-SUM(C3)+SUM(D3)</f>
        <v/>
      </c>
      <c r="H3" s="348">
        <f>-SUM(E3)+SUM(F3)</f>
        <v/>
      </c>
      <c r="I3" s="348" t="n">
        <v>2</v>
      </c>
      <c r="J3" s="348" t="inlineStr">
        <is>
          <t>T</t>
        </is>
      </c>
    </row>
    <row r="4">
      <c r="A4" s="348" t="n">
        <v>3</v>
      </c>
      <c r="B4" s="348" t="inlineStr">
        <is>
          <t>Coût achat nourriture</t>
        </is>
      </c>
      <c r="C4" s="352" t="n">
        <v>49662.43</v>
      </c>
      <c r="E4" s="352" t="n">
        <v>49662.43</v>
      </c>
      <c r="G4" s="348">
        <f>SUM(C4)-SUM(D4)</f>
        <v/>
      </c>
      <c r="H4" s="348">
        <f>SUM(E4)-SUM(F4)</f>
        <v/>
      </c>
      <c r="I4" s="348" t="n">
        <v>3</v>
      </c>
      <c r="J4" s="348" t="inlineStr">
        <is>
          <t>T</t>
        </is>
      </c>
    </row>
    <row r="5">
      <c r="A5" s="348" t="n">
        <v>4</v>
      </c>
      <c r="B5" s="348" t="inlineStr">
        <is>
          <t>Repas employés</t>
        </is>
      </c>
      <c r="C5" s="352" t="n">
        <v>1353.01</v>
      </c>
      <c r="E5" s="352" t="n">
        <v>1353.01</v>
      </c>
      <c r="G5" s="348">
        <f>SUM(C5)-SUM(D5)</f>
        <v/>
      </c>
      <c r="H5" s="348">
        <f>SUM(E5)-SUM(F5)</f>
        <v/>
      </c>
      <c r="I5" s="348" t="n">
        <v>4</v>
      </c>
      <c r="J5" s="348" t="inlineStr">
        <is>
          <t>T</t>
        </is>
      </c>
    </row>
    <row r="6">
      <c r="A6" s="348" t="n">
        <v>5</v>
      </c>
      <c r="B6" s="348" t="inlineStr">
        <is>
          <t>Déchets Pertes</t>
        </is>
      </c>
      <c r="C6" s="352" t="n">
        <v>1893.68</v>
      </c>
      <c r="E6" s="352" t="n">
        <v>1893.68</v>
      </c>
      <c r="G6" s="348">
        <f>SUM(C6)-SUM(D6)</f>
        <v/>
      </c>
      <c r="H6" s="348">
        <f>SUM(E6)-SUM(F6)</f>
        <v/>
      </c>
      <c r="I6" s="348" t="n">
        <v>5</v>
      </c>
      <c r="J6" s="348" t="inlineStr">
        <is>
          <t>T</t>
        </is>
      </c>
    </row>
    <row r="7">
      <c r="A7" s="348" t="n">
        <v>6</v>
      </c>
      <c r="B7" s="348" t="inlineStr">
        <is>
          <t>Coût emballages</t>
        </is>
      </c>
      <c r="C7" s="352" t="n">
        <v>4062.77</v>
      </c>
      <c r="E7" s="352" t="n">
        <v>4062.77</v>
      </c>
      <c r="G7" s="348">
        <f>SUM(C7)-SUM(D7)</f>
        <v/>
      </c>
      <c r="H7" s="348">
        <f>SUM(E7)-SUM(F7)</f>
        <v/>
      </c>
      <c r="I7" s="348" t="n">
        <v>6</v>
      </c>
      <c r="J7" s="348" t="inlineStr">
        <is>
          <t>T</t>
        </is>
      </c>
    </row>
    <row r="8">
      <c r="A8" s="348" t="n">
        <v>6.1</v>
      </c>
      <c r="B8" s="348" t="inlineStr">
        <is>
          <t>Vaisselle réutilisable</t>
        </is>
      </c>
      <c r="C8" s="352" t="n">
        <v>164.78</v>
      </c>
      <c r="E8" s="352" t="n">
        <v>164.78</v>
      </c>
      <c r="G8" s="348">
        <f>SUM(C8)-SUM(D8)</f>
        <v/>
      </c>
      <c r="H8" s="348">
        <f>SUM(E8)-SUM(F8)</f>
        <v/>
      </c>
      <c r="I8" s="348" t="inlineStr">
        <is>
          <t>6.1</t>
        </is>
      </c>
      <c r="J8" s="348" t="inlineStr">
        <is>
          <t>T</t>
        </is>
      </c>
    </row>
    <row r="9">
      <c r="A9" s="348" t="n">
        <v>7</v>
      </c>
      <c r="B9" s="348" t="inlineStr">
        <is>
          <t>Marge brute</t>
        </is>
      </c>
      <c r="C9" s="352" t="n">
        <v>167922.39</v>
      </c>
      <c r="E9" s="352" t="n">
        <v>167922.39</v>
      </c>
      <c r="G9" s="348">
        <f>SUM(C9)-SUM(D9)</f>
        <v/>
      </c>
      <c r="H9" s="348">
        <f>SUM(E9)-SUM(F9)</f>
        <v/>
      </c>
      <c r="I9" s="348" t="n">
        <v>7</v>
      </c>
      <c r="J9" s="348" t="inlineStr">
        <is>
          <t>T</t>
        </is>
      </c>
    </row>
    <row r="10">
      <c r="A10" s="348" t="n">
        <v>8</v>
      </c>
      <c r="B10" s="348" t="inlineStr">
        <is>
          <t>Main d'œuvre brute équipiers</t>
        </is>
      </c>
      <c r="C10" s="352" t="n">
        <v>27614.92</v>
      </c>
      <c r="E10" s="352" t="n">
        <v>27614.92</v>
      </c>
      <c r="G10" s="348">
        <f>SUM(C10)-SUM(D10)</f>
        <v/>
      </c>
      <c r="H10" s="348">
        <f>SUM(E10)-SUM(F10)</f>
        <v/>
      </c>
      <c r="I10" s="348" t="n">
        <v>8</v>
      </c>
      <c r="J10" s="348" t="inlineStr">
        <is>
          <t>T</t>
        </is>
      </c>
    </row>
    <row r="11">
      <c r="A11" s="348" t="n">
        <v>9</v>
      </c>
      <c r="B11" s="348" t="inlineStr">
        <is>
          <t>Charges sociales équipiers</t>
        </is>
      </c>
      <c r="C11" s="352" t="n">
        <v>3379.71</v>
      </c>
      <c r="E11" s="352" t="n">
        <v>3379.71</v>
      </c>
      <c r="G11" s="348">
        <f>SUM(C11)-SUM(D11)</f>
        <v/>
      </c>
      <c r="H11" s="348">
        <f>SUM(E11)-SUM(F11)</f>
        <v/>
      </c>
      <c r="I11" s="348" t="n">
        <v>9</v>
      </c>
      <c r="J11" s="348" t="inlineStr">
        <is>
          <t>T</t>
        </is>
      </c>
    </row>
    <row r="12">
      <c r="A12" s="348" t="n">
        <v>10</v>
      </c>
      <c r="B12" s="348" t="inlineStr">
        <is>
          <t>Main d'œuvre brute équipe de gestion</t>
        </is>
      </c>
      <c r="C12" s="352" t="n">
        <v>18309.69</v>
      </c>
      <c r="E12" s="352" t="n">
        <v>18309.69</v>
      </c>
      <c r="G12" s="348">
        <f>SUM(C12)-SUM(D12)</f>
        <v/>
      </c>
      <c r="H12" s="348">
        <f>SUM(E12)-SUM(F12)</f>
        <v/>
      </c>
      <c r="I12" s="348" t="n">
        <v>10</v>
      </c>
      <c r="J12" s="348" t="inlineStr">
        <is>
          <t>T</t>
        </is>
      </c>
    </row>
    <row r="13">
      <c r="A13" s="348" t="n">
        <v>11</v>
      </c>
      <c r="B13" s="348" t="inlineStr">
        <is>
          <t>Charges sociales équipe de gestion</t>
        </is>
      </c>
      <c r="C13" s="352" t="n">
        <v>4405.86</v>
      </c>
      <c r="E13" s="352" t="n">
        <v>4405.86</v>
      </c>
      <c r="G13" s="348">
        <f>SUM(C13)-SUM(D13)</f>
        <v/>
      </c>
      <c r="H13" s="348">
        <f>SUM(E13)-SUM(F13)</f>
        <v/>
      </c>
      <c r="I13" s="348" t="n">
        <v>11</v>
      </c>
      <c r="J13" s="348" t="inlineStr">
        <is>
          <t>T</t>
        </is>
      </c>
    </row>
    <row r="14">
      <c r="A14" s="348" t="n">
        <v>12</v>
      </c>
      <c r="B14" s="348" t="inlineStr">
        <is>
          <t>Aides et exonérations sociales</t>
        </is>
      </c>
      <c r="C14" s="352" t="n">
        <v>-500</v>
      </c>
      <c r="E14" s="352" t="n">
        <v>-500</v>
      </c>
      <c r="G14" s="348">
        <f>SUM(C14)-SUM(D14)</f>
        <v/>
      </c>
      <c r="H14" s="348">
        <f>SUM(E14)-SUM(F14)</f>
        <v/>
      </c>
      <c r="I14" s="348" t="n">
        <v>12</v>
      </c>
      <c r="J14" s="348" t="inlineStr">
        <is>
          <t>T</t>
        </is>
      </c>
    </row>
    <row r="15">
      <c r="A15" s="348" t="n">
        <v>13</v>
      </c>
      <c r="B15" s="348" t="inlineStr">
        <is>
          <t>Divers MO</t>
        </is>
      </c>
      <c r="G15" s="348">
        <f>SUM(C15)-SUM(D15)</f>
        <v/>
      </c>
      <c r="H15" s="348">
        <f>SUM(E15)-SUM(F15)</f>
        <v/>
      </c>
      <c r="I15" s="348" t="n">
        <v>13</v>
      </c>
      <c r="J15" s="348" t="inlineStr">
        <is>
          <t>T</t>
        </is>
      </c>
    </row>
    <row r="16">
      <c r="A16" s="348" t="n">
        <v>14</v>
      </c>
      <c r="B16" s="348" t="inlineStr">
        <is>
          <t>Sous total Main d'œuvre</t>
        </is>
      </c>
      <c r="C16" s="352" t="n">
        <v>53210.17999999999</v>
      </c>
      <c r="E16" s="352" t="n">
        <v>53210.17999999999</v>
      </c>
      <c r="G16" s="348">
        <f>SUM(C16)-SUM(D16)</f>
        <v/>
      </c>
      <c r="H16" s="348">
        <f>SUM(E16)-SUM(F16)</f>
        <v/>
      </c>
      <c r="I16" s="348" t="n">
        <v>14</v>
      </c>
      <c r="J16" s="348" t="inlineStr">
        <is>
          <t>T</t>
        </is>
      </c>
    </row>
    <row r="17">
      <c r="A17" s="348" t="n">
        <v>15</v>
      </c>
      <c r="B17" s="348" t="inlineStr">
        <is>
          <t>Nettoyage</t>
        </is>
      </c>
      <c r="C17" s="352" t="n">
        <v>9540</v>
      </c>
      <c r="E17" s="352" t="n">
        <v>9540</v>
      </c>
      <c r="G17" s="348">
        <f>SUM(C17)-SUM(D17)</f>
        <v/>
      </c>
      <c r="H17" s="348">
        <f>SUM(E17)-SUM(F17)</f>
        <v/>
      </c>
      <c r="I17" s="348" t="n">
        <v>15</v>
      </c>
      <c r="J17" s="348" t="inlineStr">
        <is>
          <t>T</t>
        </is>
      </c>
    </row>
    <row r="18">
      <c r="A18" s="348" t="n">
        <v>16</v>
      </c>
      <c r="B18" s="348" t="inlineStr">
        <is>
          <t>Sécurité et Gardiennage</t>
        </is>
      </c>
      <c r="C18" s="352" t="n">
        <v>58.23</v>
      </c>
      <c r="E18" s="352" t="n">
        <v>58.23</v>
      </c>
      <c r="G18" s="348">
        <f>SUM(C18)-SUM(D18)</f>
        <v/>
      </c>
      <c r="H18" s="348">
        <f>SUM(E18)-SUM(F18)</f>
        <v/>
      </c>
      <c r="I18" s="348" t="n">
        <v>16</v>
      </c>
      <c r="J18" s="348" t="inlineStr">
        <is>
          <t>T</t>
        </is>
      </c>
    </row>
    <row r="19">
      <c r="A19" s="348" t="n">
        <v>17</v>
      </c>
      <c r="B19" s="348" t="inlineStr">
        <is>
          <t>Frais bancaires</t>
        </is>
      </c>
      <c r="C19" s="352" t="n">
        <v>1677.22</v>
      </c>
      <c r="E19" s="352" t="n">
        <v>1677.22</v>
      </c>
      <c r="G19" s="348">
        <f>SUM(C19)-SUM(D19)</f>
        <v/>
      </c>
      <c r="H19" s="348">
        <f>SUM(E19)-SUM(F19)</f>
        <v/>
      </c>
      <c r="I19" s="348" t="n">
        <v>17</v>
      </c>
      <c r="J19" s="348" t="inlineStr">
        <is>
          <t>T</t>
        </is>
      </c>
    </row>
    <row r="20">
      <c r="A20" s="348" t="n">
        <v>18</v>
      </c>
      <c r="B20" s="348" t="inlineStr">
        <is>
          <t>Contrats Maintenance et réparations</t>
        </is>
      </c>
      <c r="C20" s="352" t="n">
        <v>2890.53</v>
      </c>
      <c r="E20" s="352" t="n">
        <v>2890.53</v>
      </c>
      <c r="G20" s="348">
        <f>SUM(C20)-SUM(D20)</f>
        <v/>
      </c>
      <c r="H20" s="348">
        <f>SUM(E20)-SUM(F20)</f>
        <v/>
      </c>
      <c r="I20" s="348" t="n">
        <v>18</v>
      </c>
      <c r="J20" s="348" t="inlineStr">
        <is>
          <t>T</t>
        </is>
      </c>
    </row>
    <row r="21">
      <c r="A21" s="348" t="n">
        <v>19</v>
      </c>
      <c r="B21" s="348" t="inlineStr">
        <is>
          <t>Autres Services Extérieurs</t>
        </is>
      </c>
      <c r="C21" s="352" t="n">
        <v>4651.02</v>
      </c>
      <c r="E21" s="352" t="n">
        <v>4651.02</v>
      </c>
      <c r="G21" s="348">
        <f>SUM(C21)-SUM(D21)</f>
        <v/>
      </c>
      <c r="H21" s="348">
        <f>SUM(E21)-SUM(F21)</f>
        <v/>
      </c>
      <c r="I21" s="348" t="n">
        <v>19</v>
      </c>
      <c r="J21" s="348" t="inlineStr">
        <is>
          <t>T</t>
        </is>
      </c>
    </row>
    <row r="22">
      <c r="A22" s="348" t="n">
        <v>20</v>
      </c>
      <c r="B22" s="348" t="inlineStr">
        <is>
          <t>Sous total Services Extérieurs</t>
        </is>
      </c>
      <c r="C22" s="352" t="n">
        <v>18817</v>
      </c>
      <c r="E22" s="352" t="n">
        <v>18817</v>
      </c>
      <c r="G22" s="348">
        <f>SUM(C22)-SUM(D22)</f>
        <v/>
      </c>
      <c r="H22" s="348">
        <f>SUM(E22)-SUM(F22)</f>
        <v/>
      </c>
      <c r="I22" s="348" t="n">
        <v>20</v>
      </c>
      <c r="J22" s="348" t="inlineStr">
        <is>
          <t>T</t>
        </is>
      </c>
    </row>
    <row r="23">
      <c r="A23" s="348" t="n">
        <v>21</v>
      </c>
      <c r="B23" s="348" t="inlineStr">
        <is>
          <t>Commissions Food Tech</t>
        </is>
      </c>
      <c r="G23" s="348">
        <f>SUM(C23)-SUM(D23)</f>
        <v/>
      </c>
      <c r="H23" s="348">
        <f>SUM(E23)-SUM(F23)</f>
        <v/>
      </c>
      <c r="I23" s="348" t="n">
        <v>21</v>
      </c>
      <c r="J23" s="348" t="inlineStr">
        <is>
          <t>T</t>
        </is>
      </c>
    </row>
    <row r="24">
      <c r="A24" s="348" t="n">
        <v>22</v>
      </c>
      <c r="B24" s="348" t="inlineStr">
        <is>
          <t>Publicité GIE</t>
        </is>
      </c>
      <c r="C24" s="352" t="n">
        <v>9030.299999999999</v>
      </c>
      <c r="E24" s="352" t="n">
        <v>9030.299999999999</v>
      </c>
      <c r="G24" s="348">
        <f>SUM(C24)-SUM(D24)</f>
        <v/>
      </c>
      <c r="H24" s="348">
        <f>SUM(E24)-SUM(F24)</f>
        <v/>
      </c>
      <c r="I24" s="348" t="n">
        <v>22</v>
      </c>
      <c r="J24" s="348" t="inlineStr">
        <is>
          <t>T</t>
        </is>
      </c>
    </row>
    <row r="25">
      <c r="A25" s="348" t="n">
        <v>23</v>
      </c>
      <c r="B25" s="348" t="inlineStr">
        <is>
          <t>Promotion locale</t>
        </is>
      </c>
      <c r="C25" s="352" t="n">
        <v>5162.43</v>
      </c>
      <c r="E25" s="352" t="n">
        <v>5162.43</v>
      </c>
      <c r="G25" s="348">
        <f>SUM(C25)-SUM(D25)</f>
        <v/>
      </c>
      <c r="H25" s="348">
        <f>SUM(E25)-SUM(F25)</f>
        <v/>
      </c>
      <c r="I25" s="348" t="n">
        <v>23</v>
      </c>
      <c r="J25" s="348" t="inlineStr">
        <is>
          <t>T</t>
        </is>
      </c>
    </row>
    <row r="26">
      <c r="A26" s="348" t="n">
        <v>24</v>
      </c>
      <c r="B26" s="348" t="inlineStr">
        <is>
          <t>Electricité, eau, gaz, téléphone</t>
        </is>
      </c>
      <c r="C26" s="352" t="n">
        <v>8650.75</v>
      </c>
      <c r="E26" s="352" t="n">
        <v>8650.75</v>
      </c>
      <c r="G26" s="348">
        <f>SUM(C26)-SUM(D26)</f>
        <v/>
      </c>
      <c r="H26" s="348">
        <f>SUM(E26)-SUM(F26)</f>
        <v/>
      </c>
      <c r="I26" s="348" t="n">
        <v>24</v>
      </c>
      <c r="J26" s="348" t="inlineStr">
        <is>
          <t>T</t>
        </is>
      </c>
    </row>
    <row r="27">
      <c r="A27" s="348" t="n">
        <v>25</v>
      </c>
      <c r="B27" s="348" t="inlineStr">
        <is>
          <t>Fournitures exploitation et bureau</t>
        </is>
      </c>
      <c r="C27" s="352" t="n">
        <v>2492.22</v>
      </c>
      <c r="E27" s="352" t="n">
        <v>2492.22</v>
      </c>
      <c r="G27" s="348">
        <f>SUM(C27)-SUM(D27)</f>
        <v/>
      </c>
      <c r="H27" s="348">
        <f>SUM(E27)-SUM(F27)</f>
        <v/>
      </c>
      <c r="I27" s="348" t="n">
        <v>25</v>
      </c>
      <c r="J27" s="348" t="inlineStr">
        <is>
          <t>T</t>
        </is>
      </c>
    </row>
    <row r="28">
      <c r="A28" s="348" t="n">
        <v>26</v>
      </c>
      <c r="B28" s="348" t="inlineStr">
        <is>
          <t>Frais de déplacements et Evènements</t>
        </is>
      </c>
      <c r="C28" s="352" t="n">
        <v>268.03</v>
      </c>
      <c r="E28" s="352" t="n">
        <v>268.03</v>
      </c>
      <c r="G28" s="348">
        <f>SUM(C28)-SUM(D28)</f>
        <v/>
      </c>
      <c r="H28" s="348">
        <f>SUM(E28)-SUM(F28)</f>
        <v/>
      </c>
      <c r="I28" s="348" t="n">
        <v>26</v>
      </c>
      <c r="J28" s="348" t="inlineStr">
        <is>
          <t>T</t>
        </is>
      </c>
    </row>
    <row r="29">
      <c r="A29" s="348" t="n">
        <v>27</v>
      </c>
      <c r="B29" s="348" t="inlineStr">
        <is>
          <t>Divers</t>
        </is>
      </c>
      <c r="C29" s="352" t="n">
        <v>173.12</v>
      </c>
      <c r="E29" s="352" t="n">
        <v>173.12</v>
      </c>
      <c r="G29" s="348">
        <f>SUM(C29)-SUM(D29)</f>
        <v/>
      </c>
      <c r="H29" s="348">
        <f>SUM(E29)-SUM(F29)</f>
        <v/>
      </c>
      <c r="I29" s="348" t="n">
        <v>27</v>
      </c>
      <c r="J29" s="348" t="inlineStr">
        <is>
          <t>T</t>
        </is>
      </c>
    </row>
    <row r="30">
      <c r="A30" s="348" t="n">
        <v>28</v>
      </c>
      <c r="B30" s="348" t="inlineStr">
        <is>
          <t>Profit après contrôlables (PAC)</t>
        </is>
      </c>
      <c r="C30" s="352" t="n">
        <v>70118.36000000002</v>
      </c>
      <c r="E30" s="352" t="n">
        <v>70118.36000000002</v>
      </c>
      <c r="G30" s="348">
        <f>SUM(C30)-SUM(D30)</f>
        <v/>
      </c>
      <c r="H30" s="348">
        <f>SUM(E30)-SUM(F30)</f>
        <v/>
      </c>
      <c r="I30" s="348" t="n">
        <v>28</v>
      </c>
      <c r="J30" s="348" t="inlineStr">
        <is>
          <t>T</t>
        </is>
      </c>
    </row>
    <row r="31">
      <c r="A31" s="348" t="n">
        <v>29</v>
      </c>
      <c r="B31" s="348" t="inlineStr">
        <is>
          <t>Redevance standard</t>
        </is>
      </c>
      <c r="C31" s="352" t="n">
        <v>28522.12</v>
      </c>
      <c r="E31" s="352" t="n">
        <v>28522.12</v>
      </c>
      <c r="G31" s="348">
        <f>SUM(C31)-SUM(D31)</f>
        <v/>
      </c>
      <c r="H31" s="348">
        <f>SUM(E31)-SUM(F31)</f>
        <v/>
      </c>
      <c r="I31" s="348" t="n">
        <v>29</v>
      </c>
      <c r="J31" s="348" t="inlineStr">
        <is>
          <t>T</t>
        </is>
      </c>
    </row>
    <row r="32">
      <c r="A32" s="348" t="n">
        <v>30</v>
      </c>
      <c r="B32" s="348" t="inlineStr">
        <is>
          <t>Indexation loyer externe</t>
        </is>
      </c>
      <c r="G32" s="348">
        <f>SUM(C32)-SUM(D32)</f>
        <v/>
      </c>
      <c r="H32" s="348">
        <f>SUM(E32)-SUM(F32)</f>
        <v/>
      </c>
      <c r="I32" s="348" t="n">
        <v>30</v>
      </c>
      <c r="J32" s="348" t="inlineStr">
        <is>
          <t>T</t>
        </is>
      </c>
    </row>
    <row r="33">
      <c r="A33" s="348" t="n">
        <v>31</v>
      </c>
      <c r="B33" s="348" t="inlineStr">
        <is>
          <t>Incentives et Avoirs de redevance</t>
        </is>
      </c>
      <c r="C33" s="352" t="n">
        <v>-423.42</v>
      </c>
      <c r="E33" s="352" t="n">
        <v>-423.42</v>
      </c>
      <c r="G33" s="348">
        <f>SUM(C33)-SUM(D33)</f>
        <v/>
      </c>
      <c r="H33" s="348">
        <f>SUM(E33)-SUM(F33)</f>
        <v/>
      </c>
      <c r="I33" s="348" t="n">
        <v>31</v>
      </c>
      <c r="J33" s="348" t="inlineStr">
        <is>
          <t>T</t>
        </is>
      </c>
    </row>
    <row r="34">
      <c r="A34" s="348" t="n">
        <v>32</v>
      </c>
      <c r="B34" s="348" t="inlineStr">
        <is>
          <t>Sous total Redevance effective</t>
        </is>
      </c>
      <c r="C34" s="352" t="n">
        <v>28098.7</v>
      </c>
      <c r="E34" s="352" t="n">
        <v>28098.7</v>
      </c>
      <c r="G34" s="348">
        <f>SUM(C34)-SUM(D34)</f>
        <v/>
      </c>
      <c r="H34" s="348">
        <f>SUM(E34)-SUM(F34)</f>
        <v/>
      </c>
      <c r="I34" s="348" t="n">
        <v>32</v>
      </c>
      <c r="J34" s="348" t="inlineStr">
        <is>
          <t>T</t>
        </is>
      </c>
    </row>
    <row r="35">
      <c r="A35" s="348" t="n">
        <v>33</v>
      </c>
      <c r="B35" s="348" t="inlineStr">
        <is>
          <t>Charges locatives et copro</t>
        </is>
      </c>
      <c r="G35" s="348">
        <f>SUM(C35)-SUM(D35)</f>
        <v/>
      </c>
      <c r="H35" s="348">
        <f>SUM(E35)-SUM(F35)</f>
        <v/>
      </c>
      <c r="I35" s="348" t="n">
        <v>33</v>
      </c>
      <c r="J35" s="348" t="inlineStr">
        <is>
          <t>T</t>
        </is>
      </c>
    </row>
    <row r="36">
      <c r="A36" s="348" t="n">
        <v>34</v>
      </c>
      <c r="B36" s="348" t="inlineStr">
        <is>
          <t>Redevance service 5%</t>
        </is>
      </c>
      <c r="C36" s="352" t="n">
        <v>11408.85</v>
      </c>
      <c r="E36" s="352" t="n">
        <v>11408.85</v>
      </c>
      <c r="G36" s="348">
        <f>SUM(C36)-SUM(D36)</f>
        <v/>
      </c>
      <c r="H36" s="348">
        <f>SUM(E36)-SUM(F36)</f>
        <v/>
      </c>
      <c r="I36" s="348" t="n">
        <v>34</v>
      </c>
      <c r="J36" s="348" t="inlineStr">
        <is>
          <t>T</t>
        </is>
      </c>
    </row>
    <row r="37">
      <c r="A37" s="348" t="n">
        <v>35</v>
      </c>
      <c r="B37" s="348" t="inlineStr">
        <is>
          <t>Frais comptables et juridiques</t>
        </is>
      </c>
      <c r="C37" s="352" t="n">
        <v>1588</v>
      </c>
      <c r="E37" s="352" t="n">
        <v>1588</v>
      </c>
      <c r="G37" s="348">
        <f>SUM(C37)-SUM(D37)</f>
        <v/>
      </c>
      <c r="H37" s="348">
        <f>SUM(E37)-SUM(F37)</f>
        <v/>
      </c>
      <c r="I37" s="348" t="n">
        <v>35</v>
      </c>
      <c r="J37" s="348" t="inlineStr">
        <is>
          <t>T</t>
        </is>
      </c>
    </row>
    <row r="38">
      <c r="A38" s="348" t="n">
        <v>36</v>
      </c>
      <c r="B38" s="348" t="inlineStr">
        <is>
          <t>Assurances</t>
        </is>
      </c>
      <c r="C38" s="352" t="n">
        <v>1380.05</v>
      </c>
      <c r="E38" s="352" t="n">
        <v>1380.05</v>
      </c>
      <c r="G38" s="348">
        <f>SUM(C38)-SUM(D38)</f>
        <v/>
      </c>
      <c r="H38" s="348">
        <f>SUM(E38)-SUM(F38)</f>
        <v/>
      </c>
      <c r="I38" s="348" t="n">
        <v>36</v>
      </c>
      <c r="J38" s="348" t="inlineStr">
        <is>
          <t>T</t>
        </is>
      </c>
    </row>
    <row r="39">
      <c r="A39" s="348" t="n">
        <v>37</v>
      </c>
      <c r="B39" s="348" t="inlineStr">
        <is>
          <t>Taxes</t>
        </is>
      </c>
      <c r="C39" s="352" t="n">
        <v>2010.55</v>
      </c>
      <c r="E39" s="352" t="n">
        <v>2010.55</v>
      </c>
      <c r="G39" s="348">
        <f>SUM(C39)-SUM(D39)</f>
        <v/>
      </c>
      <c r="H39" s="348">
        <f>SUM(E39)-SUM(F39)</f>
        <v/>
      </c>
      <c r="I39" s="348" t="n">
        <v>37</v>
      </c>
      <c r="J39" s="348" t="inlineStr">
        <is>
          <t>T</t>
        </is>
      </c>
    </row>
    <row r="40">
      <c r="A40" s="348" t="n">
        <v>38</v>
      </c>
      <c r="B40" s="348" t="inlineStr">
        <is>
          <t>Dépréciations amortissements</t>
        </is>
      </c>
      <c r="C40" s="352" t="n">
        <v>6110</v>
      </c>
      <c r="E40" s="352" t="n">
        <v>6110</v>
      </c>
      <c r="G40" s="348">
        <f>SUM(C40)-SUM(D40)</f>
        <v/>
      </c>
      <c r="H40" s="348">
        <f>SUM(E40)-SUM(F40)</f>
        <v/>
      </c>
      <c r="I40" s="348" t="n">
        <v>38</v>
      </c>
      <c r="J40" s="348" t="inlineStr">
        <is>
          <t>T</t>
        </is>
      </c>
    </row>
    <row r="41">
      <c r="A41" s="348" t="n">
        <v>39</v>
      </c>
      <c r="B41" s="348" t="inlineStr">
        <is>
          <t>Crédit bail</t>
        </is>
      </c>
      <c r="C41" s="352" t="n">
        <v>218.56</v>
      </c>
      <c r="E41" s="352" t="n">
        <v>218.56</v>
      </c>
      <c r="G41" s="348">
        <f>SUM(C41)-SUM(D41)</f>
        <v/>
      </c>
      <c r="H41" s="348">
        <f>SUM(E41)-SUM(F41)</f>
        <v/>
      </c>
      <c r="I41" s="348" t="n">
        <v>39</v>
      </c>
      <c r="J41" s="348" t="inlineStr">
        <is>
          <t>T</t>
        </is>
      </c>
    </row>
    <row r="42">
      <c r="A42" s="348" t="n">
        <v>40</v>
      </c>
      <c r="B42" s="348" t="inlineStr">
        <is>
          <t>Dépenses / Revenus divers</t>
        </is>
      </c>
      <c r="C42" s="352" t="n">
        <v>2121.58</v>
      </c>
      <c r="E42" s="352" t="n">
        <v>2121.58</v>
      </c>
      <c r="G42" s="348">
        <f>SUM(C42)-SUM(D42)</f>
        <v/>
      </c>
      <c r="H42" s="348">
        <f>SUM(E42)-SUM(F42)</f>
        <v/>
      </c>
      <c r="I42" s="348" t="n">
        <v>40</v>
      </c>
      <c r="J42" s="348" t="inlineStr">
        <is>
          <t>T</t>
        </is>
      </c>
    </row>
    <row r="43">
      <c r="A43" s="348" t="n">
        <v>41.1</v>
      </c>
      <c r="B43" s="348" t="inlineStr">
        <is>
          <t>Ventes non alimentaires</t>
        </is>
      </c>
      <c r="C43" s="352" t="n">
        <v>3117.88</v>
      </c>
      <c r="E43" s="352" t="n">
        <v>3117.88</v>
      </c>
      <c r="G43" s="348">
        <f>-SUM(C43)+SUM(D43)</f>
        <v/>
      </c>
      <c r="H43" s="348">
        <f>-SUM(E43)+SUM(F43)</f>
        <v/>
      </c>
      <c r="I43" s="348" t="inlineStr">
        <is>
          <t>41.1</t>
        </is>
      </c>
      <c r="J43" s="348" t="inlineStr">
        <is>
          <t>T</t>
        </is>
      </c>
    </row>
    <row r="44">
      <c r="A44" s="348" t="n">
        <v>41.2</v>
      </c>
      <c r="B44" s="348" t="inlineStr">
        <is>
          <t>Coût non alimentaire</t>
        </is>
      </c>
      <c r="C44" s="352" t="n">
        <v>2975.81</v>
      </c>
      <c r="E44" s="352" t="n">
        <v>2975.81</v>
      </c>
      <c r="G44" s="348">
        <f>SUM(C44)-SUM(D44)</f>
        <v/>
      </c>
      <c r="H44" s="348">
        <f>SUM(E44)-SUM(F44)</f>
        <v/>
      </c>
      <c r="I44" s="348" t="inlineStr">
        <is>
          <t>41.2</t>
        </is>
      </c>
      <c r="J44" s="348" t="inlineStr">
        <is>
          <t>T</t>
        </is>
      </c>
    </row>
    <row r="45">
      <c r="A45" s="348" t="n">
        <v>41</v>
      </c>
      <c r="B45" s="348" t="inlineStr">
        <is>
          <t>Résultat net non alimentaire</t>
        </is>
      </c>
      <c r="C45" s="352" t="n">
        <v>142.0700000000002</v>
      </c>
      <c r="E45" s="352" t="n">
        <v>142.0700000000002</v>
      </c>
      <c r="G45" s="348">
        <f>SUM(C45)-SUM(D45)</f>
        <v/>
      </c>
      <c r="H45" s="348">
        <f>SUM(E45)-SUM(F45)</f>
        <v/>
      </c>
      <c r="I45" s="348" t="n">
        <v>41</v>
      </c>
      <c r="J45" s="348" t="inlineStr">
        <is>
          <t>T</t>
        </is>
      </c>
    </row>
    <row r="46">
      <c r="A46" s="348" t="n">
        <v>42</v>
      </c>
      <c r="B46" s="348" t="inlineStr">
        <is>
          <t>Charges / Revenus financiers</t>
        </is>
      </c>
      <c r="C46" s="352" t="n">
        <v>12.74</v>
      </c>
      <c r="E46" s="352" t="n">
        <v>12.74</v>
      </c>
      <c r="G46" s="348">
        <f>SUM(C46)-SUM(D46)</f>
        <v/>
      </c>
      <c r="H46" s="348">
        <f>SUM(E46)-SUM(F46)</f>
        <v/>
      </c>
      <c r="I46" s="348" t="n">
        <v>42</v>
      </c>
      <c r="J46" s="348" t="inlineStr">
        <is>
          <t>T</t>
        </is>
      </c>
    </row>
    <row r="47">
      <c r="A47" s="348" t="n">
        <v>43</v>
      </c>
      <c r="B47" s="348" t="inlineStr">
        <is>
          <t>Résultat net d'exploitation (SOI)</t>
        </is>
      </c>
      <c r="C47" s="352" t="n">
        <v>17311.40000000001</v>
      </c>
      <c r="E47" s="352" t="n">
        <v>17311.40000000001</v>
      </c>
      <c r="G47" s="348">
        <f>SUM(C47)-SUM(D47)</f>
        <v/>
      </c>
      <c r="H47" s="348">
        <f>SUM(E47)-SUM(F47)</f>
        <v/>
      </c>
      <c r="I47" s="348" t="n">
        <v>43</v>
      </c>
      <c r="J47" s="348" t="inlineStr">
        <is>
          <t>T</t>
        </is>
      </c>
    </row>
    <row r="48">
      <c r="A48" s="348" t="n">
        <v>44</v>
      </c>
      <c r="B48" s="348" t="inlineStr">
        <is>
          <t>Cash Flow avant fin, G&amp;A et IS</t>
        </is>
      </c>
      <c r="C48" s="352" t="n">
        <v>23652.70000000001</v>
      </c>
      <c r="E48" s="352" t="n">
        <v>23652.70000000001</v>
      </c>
      <c r="G48" s="348">
        <f>SUM(C48)-SUM(D48)</f>
        <v/>
      </c>
      <c r="H48" s="348">
        <f>SUM(E48)-SUM(F48)</f>
        <v/>
      </c>
      <c r="I48" s="348" t="n">
        <v>44</v>
      </c>
      <c r="J48" s="348" t="inlineStr">
        <is>
          <t>T</t>
        </is>
      </c>
    </row>
    <row r="49">
      <c r="A49" s="348" t="n">
        <v>45</v>
      </c>
      <c r="B49" s="348" t="inlineStr">
        <is>
          <t>Charges et produits exceptionnels</t>
        </is>
      </c>
      <c r="G49" s="348">
        <f>SUM(C49)-SUM(D49)</f>
        <v/>
      </c>
      <c r="H49" s="348">
        <f>SUM(E49)-SUM(F49)</f>
        <v/>
      </c>
      <c r="I49" s="348" t="n">
        <v>45</v>
      </c>
      <c r="J49" s="348" t="inlineStr">
        <is>
          <t>T</t>
        </is>
      </c>
    </row>
    <row r="50">
      <c r="A50" s="348" t="n">
        <v>46</v>
      </c>
      <c r="B50" s="348" t="inlineStr">
        <is>
          <t>G&amp;A (Frais administratifs)</t>
        </is>
      </c>
      <c r="C50" s="352" t="n">
        <v>18396</v>
      </c>
      <c r="E50" s="352" t="n">
        <v>18396</v>
      </c>
      <c r="G50" s="348">
        <f>SUM(C50)-SUM(D50)</f>
        <v/>
      </c>
      <c r="H50" s="348">
        <f>SUM(E50)-SUM(F50)</f>
        <v/>
      </c>
      <c r="I50" s="348" t="n">
        <v>46</v>
      </c>
      <c r="J50" s="348" t="inlineStr">
        <is>
          <t>T</t>
        </is>
      </c>
    </row>
    <row r="51">
      <c r="A51" s="348" t="n">
        <v>47</v>
      </c>
      <c r="B51" s="348" t="inlineStr">
        <is>
          <t>Revenu net avant impôt</t>
        </is>
      </c>
      <c r="C51" s="352" t="n">
        <v>-1084.599999999995</v>
      </c>
      <c r="E51" s="352" t="n">
        <v>-1084.599999999995</v>
      </c>
      <c r="G51" s="348">
        <f>SUM(C51)-SUM(D51)</f>
        <v/>
      </c>
      <c r="H51" s="348">
        <f>SUM(E51)-SUM(F51)</f>
        <v/>
      </c>
      <c r="I51" s="348" t="n">
        <v>47</v>
      </c>
      <c r="J51" s="348" t="inlineStr">
        <is>
          <t>T</t>
        </is>
      </c>
    </row>
    <row r="52">
      <c r="A52" s="348" t="n">
        <v>48</v>
      </c>
      <c r="B52" s="348" t="inlineStr">
        <is>
          <t>Impôt sur les sociétés</t>
        </is>
      </c>
      <c r="C52" s="352" t="n">
        <v>-397.69</v>
      </c>
      <c r="E52" s="352" t="n">
        <v>-397.69</v>
      </c>
      <c r="G52" s="348">
        <f>SUM(C52)-SUM(D52)</f>
        <v/>
      </c>
      <c r="H52" s="348">
        <f>SUM(E52)-SUM(F52)</f>
        <v/>
      </c>
      <c r="I52" s="348" t="n">
        <v>48</v>
      </c>
      <c r="J52" s="348" t="inlineStr">
        <is>
          <t>T</t>
        </is>
      </c>
    </row>
    <row r="53">
      <c r="A53" s="348" t="n">
        <v>49</v>
      </c>
      <c r="B53" s="348" t="inlineStr">
        <is>
          <t>Résultat net</t>
        </is>
      </c>
      <c r="C53" s="352" t="n">
        <v>-686.9099999999949</v>
      </c>
      <c r="E53" s="352" t="n">
        <v>-686.9099999999949</v>
      </c>
      <c r="G53" s="348">
        <f>SUM(C53)-SUM(D53)</f>
        <v/>
      </c>
      <c r="H53" s="348">
        <f>SUM(E53)-SUM(F53)</f>
        <v/>
      </c>
      <c r="I53" s="348" t="n">
        <v>49</v>
      </c>
      <c r="J53" s="348" t="inlineStr">
        <is>
          <t>T</t>
        </is>
      </c>
    </row>
    <row r="54">
      <c r="J54" s="348">
        <f>LEFT(A54,1)</f>
        <v/>
      </c>
    </row>
    <row r="55">
      <c r="J55" s="348">
        <f>LEFT(A55,1)</f>
        <v/>
      </c>
    </row>
    <row r="56">
      <c r="J56" s="348">
        <f>LEFT(A56,1)</f>
        <v/>
      </c>
    </row>
    <row r="57">
      <c r="J57" s="348">
        <f>LEFT(A57,1)</f>
        <v/>
      </c>
    </row>
    <row r="58">
      <c r="J58" s="348">
        <f>LEFT(A58,1)</f>
        <v/>
      </c>
    </row>
    <row r="59">
      <c r="J59" s="348">
        <f>LEFT(A59,1)</f>
        <v/>
      </c>
    </row>
    <row r="60">
      <c r="J60" s="348">
        <f>LEFT(A60,1)</f>
        <v/>
      </c>
    </row>
    <row r="61">
      <c r="J61" s="348">
        <f>LEFT(A61,1)</f>
        <v/>
      </c>
    </row>
    <row r="62">
      <c r="J62" s="348">
        <f>LEFT(A62,1)</f>
        <v/>
      </c>
    </row>
    <row r="63">
      <c r="J63" s="348">
        <f>LEFT(A63,1)</f>
        <v/>
      </c>
    </row>
    <row r="64">
      <c r="J64" s="348">
        <f>LEFT(A64,1)</f>
        <v/>
      </c>
    </row>
    <row r="65">
      <c r="J65" s="348">
        <f>LEFT(A65,1)</f>
        <v/>
      </c>
    </row>
    <row r="66">
      <c r="J66" s="348">
        <f>LEFT(A66,1)</f>
        <v/>
      </c>
    </row>
    <row r="67">
      <c r="J67" s="348">
        <f>LEFT(A67,1)</f>
        <v/>
      </c>
    </row>
    <row r="68">
      <c r="J68" s="348">
        <f>LEFT(A68,1)</f>
        <v/>
      </c>
    </row>
    <row r="69">
      <c r="J69" s="348">
        <f>LEFT(A69,1)</f>
        <v/>
      </c>
    </row>
    <row r="70">
      <c r="J70" s="348">
        <f>LEFT(A70,1)</f>
        <v/>
      </c>
    </row>
    <row r="71">
      <c r="J71" s="348">
        <f>LEFT(A71,1)</f>
        <v/>
      </c>
    </row>
    <row r="72">
      <c r="J72" s="348">
        <f>LEFT(A72,1)</f>
        <v/>
      </c>
    </row>
    <row r="73">
      <c r="J73" s="348">
        <f>LEFT(A73,1)</f>
        <v/>
      </c>
    </row>
    <row r="74">
      <c r="J74" s="348">
        <f>LEFT(A74,1)</f>
        <v/>
      </c>
    </row>
    <row r="75">
      <c r="J75" s="348">
        <f>LEFT(A75,1)</f>
        <v/>
      </c>
    </row>
    <row r="76">
      <c r="J76" s="348">
        <f>LEFT(A76,1)</f>
        <v/>
      </c>
    </row>
    <row r="77">
      <c r="J77" s="348">
        <f>LEFT(A77,1)</f>
        <v/>
      </c>
    </row>
    <row r="78">
      <c r="J78" s="348">
        <f>LEFT(A78,1)</f>
        <v/>
      </c>
    </row>
    <row r="79">
      <c r="J79" s="348">
        <f>LEFT(A79,1)</f>
        <v/>
      </c>
    </row>
    <row r="80">
      <c r="J80" s="348">
        <f>LEFT(A80,1)</f>
        <v/>
      </c>
    </row>
    <row r="81">
      <c r="J81" s="348">
        <f>LEFT(A81,1)</f>
        <v/>
      </c>
    </row>
    <row r="82">
      <c r="J82" s="348">
        <f>LEFT(A82,1)</f>
        <v/>
      </c>
    </row>
    <row r="83">
      <c r="J83" s="348">
        <f>LEFT(A83,1)</f>
        <v/>
      </c>
    </row>
    <row r="84">
      <c r="J84" s="348">
        <f>LEFT(A84,1)</f>
        <v/>
      </c>
    </row>
    <row r="85">
      <c r="J85" s="348">
        <f>LEFT(A85,1)</f>
        <v/>
      </c>
    </row>
    <row r="86">
      <c r="J86" s="348">
        <f>LEFT(A86,1)</f>
        <v/>
      </c>
    </row>
    <row r="87">
      <c r="J87" s="348">
        <f>LEFT(A87,1)</f>
        <v/>
      </c>
    </row>
    <row r="88">
      <c r="J88" s="348">
        <f>LEFT(A88,1)</f>
        <v/>
      </c>
    </row>
    <row r="89">
      <c r="J89" s="348">
        <f>LEFT(A89,1)</f>
        <v/>
      </c>
    </row>
    <row r="90">
      <c r="J90" s="348">
        <f>LEFT(A90,1)</f>
        <v/>
      </c>
    </row>
    <row r="91">
      <c r="J91" s="348">
        <f>LEFT(A91,1)</f>
        <v/>
      </c>
    </row>
    <row r="92">
      <c r="J92" s="348">
        <f>LEFT(A92,1)</f>
        <v/>
      </c>
    </row>
    <row r="93">
      <c r="J93" s="348">
        <f>LEFT(A93,1)</f>
        <v/>
      </c>
    </row>
    <row r="94">
      <c r="J94" s="348">
        <f>LEFT(A94,1)</f>
        <v/>
      </c>
    </row>
    <row r="95">
      <c r="J95" s="348">
        <f>LEFT(A95,1)</f>
        <v/>
      </c>
    </row>
    <row r="96">
      <c r="J96" s="348">
        <f>LEFT(A96,1)</f>
        <v/>
      </c>
    </row>
    <row r="97">
      <c r="J97" s="348">
        <f>LEFT(A97,1)</f>
        <v/>
      </c>
    </row>
    <row r="98">
      <c r="J98" s="348">
        <f>LEFT(A98,1)</f>
        <v/>
      </c>
    </row>
    <row r="99">
      <c r="J99" s="348">
        <f>LEFT(A99,1)</f>
        <v/>
      </c>
    </row>
    <row r="100">
      <c r="J100" s="348">
        <f>LEFT(A100,1)</f>
        <v/>
      </c>
    </row>
    <row r="101">
      <c r="J101" s="348">
        <f>LEFT(A101,1)</f>
        <v/>
      </c>
    </row>
    <row r="102">
      <c r="J102" s="348">
        <f>LEFT(A102,1)</f>
        <v/>
      </c>
    </row>
    <row r="103">
      <c r="J103" s="348">
        <f>LEFT(A103,1)</f>
        <v/>
      </c>
    </row>
    <row r="104">
      <c r="J104" s="348">
        <f>LEFT(A104,1)</f>
        <v/>
      </c>
    </row>
    <row r="105">
      <c r="J105" s="348">
        <f>LEFT(A105,1)</f>
        <v/>
      </c>
    </row>
    <row r="106">
      <c r="J106" s="348">
        <f>LEFT(A106,1)</f>
        <v/>
      </c>
    </row>
    <row r="107">
      <c r="J107" s="348">
        <f>LEFT(A107,1)</f>
        <v/>
      </c>
    </row>
    <row r="108">
      <c r="J108" s="348">
        <f>LEFT(A108,1)</f>
        <v/>
      </c>
    </row>
    <row r="109">
      <c r="J109" s="348">
        <f>LEFT(A109,1)</f>
        <v/>
      </c>
    </row>
    <row r="110">
      <c r="J110" s="348">
        <f>LEFT(A110,1)</f>
        <v/>
      </c>
    </row>
    <row r="111">
      <c r="J111" s="348">
        <f>LEFT(A111,1)</f>
        <v/>
      </c>
    </row>
    <row r="112">
      <c r="J112" s="348">
        <f>LEFT(A112,1)</f>
        <v/>
      </c>
    </row>
    <row r="113">
      <c r="J113" s="348">
        <f>LEFT(A113,1)</f>
        <v/>
      </c>
    </row>
    <row r="114">
      <c r="J114" s="348">
        <f>LEFT(A114,1)</f>
        <v/>
      </c>
    </row>
    <row r="115">
      <c r="J115" s="348">
        <f>LEFT(A115,1)</f>
        <v/>
      </c>
    </row>
    <row r="116">
      <c r="J116" s="348">
        <f>LEFT(A116,1)</f>
        <v/>
      </c>
    </row>
    <row r="117">
      <c r="J117" s="348">
        <f>LEFT(A117,1)</f>
        <v/>
      </c>
    </row>
    <row r="118">
      <c r="J118" s="348">
        <f>LEFT(A118,1)</f>
        <v/>
      </c>
    </row>
    <row r="119">
      <c r="J119" s="348">
        <f>LEFT(A119,1)</f>
        <v/>
      </c>
    </row>
    <row r="120">
      <c r="J120" s="348">
        <f>LEFT(A120,1)</f>
        <v/>
      </c>
    </row>
    <row r="121">
      <c r="J121" s="348">
        <f>LEFT(A121,1)</f>
        <v/>
      </c>
    </row>
    <row r="122">
      <c r="J122" s="348">
        <f>LEFT(A122,1)</f>
        <v/>
      </c>
    </row>
    <row r="123">
      <c r="J123" s="348">
        <f>LEFT(A123,1)</f>
        <v/>
      </c>
    </row>
    <row r="124">
      <c r="J124" s="348">
        <f>LEFT(A124,1)</f>
        <v/>
      </c>
    </row>
    <row r="125">
      <c r="J125" s="348">
        <f>LEFT(A125,1)</f>
        <v/>
      </c>
    </row>
    <row r="126">
      <c r="J126" s="348">
        <f>LEFT(A126,1)</f>
        <v/>
      </c>
    </row>
    <row r="127">
      <c r="J127" s="348">
        <f>LEFT(A127,1)</f>
        <v/>
      </c>
    </row>
    <row r="128">
      <c r="J128" s="348">
        <f>LEFT(A128,1)</f>
        <v/>
      </c>
    </row>
    <row r="129">
      <c r="J129" s="348">
        <f>LEFT(A129,1)</f>
        <v/>
      </c>
    </row>
    <row r="130">
      <c r="J130" s="348">
        <f>LEFT(A130,1)</f>
        <v/>
      </c>
    </row>
    <row r="131">
      <c r="J131" s="348">
        <f>LEFT(A131,1)</f>
        <v/>
      </c>
    </row>
    <row r="132">
      <c r="J132" s="348">
        <f>LEFT(A132,1)</f>
        <v/>
      </c>
    </row>
    <row r="133">
      <c r="J133" s="348">
        <f>LEFT(A133,1)</f>
        <v/>
      </c>
    </row>
    <row r="134">
      <c r="J134" s="348">
        <f>LEFT(A134,1)</f>
        <v/>
      </c>
    </row>
    <row r="135">
      <c r="J135" s="348">
        <f>LEFT(A135,1)</f>
        <v/>
      </c>
    </row>
    <row r="136">
      <c r="J136" s="348">
        <f>LEFT(A136,1)</f>
        <v/>
      </c>
    </row>
    <row r="137">
      <c r="J137" s="348">
        <f>LEFT(A137,1)</f>
        <v/>
      </c>
    </row>
    <row r="138">
      <c r="J138" s="348">
        <f>LEFT(A138,1)</f>
        <v/>
      </c>
    </row>
    <row r="139">
      <c r="J139" s="348">
        <f>LEFT(A139,1)</f>
        <v/>
      </c>
    </row>
    <row r="140">
      <c r="J140" s="348">
        <f>LEFT(A140,1)</f>
        <v/>
      </c>
    </row>
    <row r="141">
      <c r="J141" s="348">
        <f>LEFT(A141,1)</f>
        <v/>
      </c>
    </row>
    <row r="142">
      <c r="J142" s="348">
        <f>LEFT(A142,1)</f>
        <v/>
      </c>
    </row>
    <row r="143">
      <c r="J143" s="348">
        <f>LEFT(A143,1)</f>
        <v/>
      </c>
    </row>
    <row r="144">
      <c r="J144" s="348">
        <f>LEFT(A144,1)</f>
        <v/>
      </c>
    </row>
    <row r="145">
      <c r="J145" s="348">
        <f>LEFT(A145,1)</f>
        <v/>
      </c>
    </row>
    <row r="146">
      <c r="J146" s="348">
        <f>LEFT(A146,1)</f>
        <v/>
      </c>
    </row>
    <row r="147">
      <c r="J147" s="348">
        <f>LEFT(A147,1)</f>
        <v/>
      </c>
    </row>
    <row r="148">
      <c r="J148" s="348">
        <f>LEFT(A148,1)</f>
        <v/>
      </c>
    </row>
    <row r="149">
      <c r="J149" s="348">
        <f>LEFT(A149,1)</f>
        <v/>
      </c>
    </row>
    <row r="150">
      <c r="J150" s="348">
        <f>LEFT(A150,1)</f>
        <v/>
      </c>
    </row>
    <row r="151">
      <c r="J151" s="348">
        <f>LEFT(A151,1)</f>
        <v/>
      </c>
    </row>
    <row r="152">
      <c r="J152" s="348">
        <f>LEFT(A152,1)</f>
        <v/>
      </c>
    </row>
    <row r="153">
      <c r="J153" s="348">
        <f>LEFT(A153,1)</f>
        <v/>
      </c>
    </row>
    <row r="154">
      <c r="J154" s="348">
        <f>LEFT(A154,1)</f>
        <v/>
      </c>
    </row>
    <row r="155">
      <c r="J155" s="348">
        <f>LEFT(A155,1)</f>
        <v/>
      </c>
    </row>
    <row r="156">
      <c r="J156" s="348">
        <f>LEFT(A156,1)</f>
        <v/>
      </c>
    </row>
    <row r="157">
      <c r="J157" s="348">
        <f>LEFT(A157,1)</f>
        <v/>
      </c>
    </row>
    <row r="158">
      <c r="J158" s="348">
        <f>LEFT(A158,1)</f>
        <v/>
      </c>
    </row>
    <row r="159">
      <c r="J159" s="348">
        <f>LEFT(A159,1)</f>
        <v/>
      </c>
    </row>
    <row r="160">
      <c r="J160" s="348">
        <f>LEFT(A160,1)</f>
        <v/>
      </c>
    </row>
    <row r="161">
      <c r="J161" s="348">
        <f>LEFT(A161,1)</f>
        <v/>
      </c>
    </row>
    <row r="162">
      <c r="J162" s="348">
        <f>LEFT(A162,1)</f>
        <v/>
      </c>
    </row>
    <row r="163">
      <c r="J163" s="348">
        <f>LEFT(A163,1)</f>
        <v/>
      </c>
    </row>
    <row r="164">
      <c r="J164" s="348">
        <f>LEFT(A164,1)</f>
        <v/>
      </c>
    </row>
    <row r="165">
      <c r="J165" s="348">
        <f>LEFT(A165,1)</f>
        <v/>
      </c>
    </row>
    <row r="166">
      <c r="J166" s="348">
        <f>LEFT(A166,1)</f>
        <v/>
      </c>
    </row>
    <row r="167">
      <c r="J167" s="348">
        <f>LEFT(A167,1)</f>
        <v/>
      </c>
    </row>
    <row r="168">
      <c r="J168" s="348">
        <f>LEFT(A168,1)</f>
        <v/>
      </c>
    </row>
    <row r="169">
      <c r="J169" s="348">
        <f>LEFT(A169,1)</f>
        <v/>
      </c>
    </row>
    <row r="170">
      <c r="J170" s="348">
        <f>LEFT(A170,1)</f>
        <v/>
      </c>
    </row>
    <row r="171">
      <c r="J171" s="348">
        <f>LEFT(A171,1)</f>
        <v/>
      </c>
    </row>
    <row r="172">
      <c r="J172" s="348">
        <f>LEFT(A172,1)</f>
        <v/>
      </c>
    </row>
    <row r="173">
      <c r="J173" s="348">
        <f>LEFT(A173,1)</f>
        <v/>
      </c>
    </row>
    <row r="174">
      <c r="J174" s="348">
        <f>LEFT(A174,1)</f>
        <v/>
      </c>
    </row>
    <row r="175">
      <c r="J175" s="348">
        <f>LEFT(A175,1)</f>
        <v/>
      </c>
    </row>
    <row r="176">
      <c r="J176" s="348">
        <f>LEFT(A176,1)</f>
        <v/>
      </c>
    </row>
    <row r="177">
      <c r="J177" s="348">
        <f>LEFT(A177,1)</f>
        <v/>
      </c>
    </row>
    <row r="178">
      <c r="J178" s="348">
        <f>LEFT(A178,1)</f>
        <v/>
      </c>
    </row>
    <row r="179">
      <c r="J179" s="348">
        <f>LEFT(A179,1)</f>
        <v/>
      </c>
    </row>
    <row r="180">
      <c r="J180" s="348">
        <f>LEFT(A180,1)</f>
        <v/>
      </c>
    </row>
    <row r="181">
      <c r="J181" s="348">
        <f>LEFT(A181,1)</f>
        <v/>
      </c>
    </row>
    <row r="182">
      <c r="J182" s="348">
        <f>LEFT(A182,1)</f>
        <v/>
      </c>
    </row>
    <row r="183">
      <c r="J183" s="348">
        <f>LEFT(A183,1)</f>
        <v/>
      </c>
    </row>
    <row r="184">
      <c r="J184" s="348">
        <f>LEFT(A184,1)</f>
        <v/>
      </c>
    </row>
    <row r="185">
      <c r="J185" s="348">
        <f>LEFT(A185,1)</f>
        <v/>
      </c>
    </row>
    <row r="186">
      <c r="J186" s="348">
        <f>LEFT(A186,1)</f>
        <v/>
      </c>
    </row>
    <row r="187">
      <c r="J187" s="348">
        <f>LEFT(A187,1)</f>
        <v/>
      </c>
    </row>
    <row r="188">
      <c r="J188" s="348">
        <f>LEFT(A188,1)</f>
        <v/>
      </c>
    </row>
    <row r="189">
      <c r="J189" s="348">
        <f>LEFT(A189,1)</f>
        <v/>
      </c>
    </row>
    <row r="190">
      <c r="J190" s="348">
        <f>LEFT(A190,1)</f>
        <v/>
      </c>
    </row>
    <row r="191">
      <c r="J191" s="348">
        <f>LEFT(A191,1)</f>
        <v/>
      </c>
    </row>
    <row r="192">
      <c r="J192" s="348">
        <f>LEFT(A192,1)</f>
        <v/>
      </c>
    </row>
    <row r="193">
      <c r="J193" s="348">
        <f>LEFT(A193,1)</f>
        <v/>
      </c>
    </row>
    <row r="194">
      <c r="J194" s="348">
        <f>LEFT(A194,1)</f>
        <v/>
      </c>
    </row>
    <row r="195">
      <c r="J195" s="348">
        <f>LEFT(A195,1)</f>
        <v/>
      </c>
    </row>
    <row r="196">
      <c r="J196" s="348">
        <f>LEFT(A196,1)</f>
        <v/>
      </c>
    </row>
    <row r="197">
      <c r="J197" s="348">
        <f>LEFT(A197,1)</f>
        <v/>
      </c>
    </row>
    <row r="198">
      <c r="J198" s="348">
        <f>LEFT(A198,1)</f>
        <v/>
      </c>
    </row>
    <row r="199">
      <c r="J199" s="348">
        <f>LEFT(A199,1)</f>
        <v/>
      </c>
    </row>
    <row r="200">
      <c r="J200" s="348">
        <f>LEFT(A200,1)</f>
        <v/>
      </c>
    </row>
    <row r="201">
      <c r="J201" s="348">
        <f>LEFT(A201,1)</f>
        <v/>
      </c>
    </row>
    <row r="202">
      <c r="J202" s="348">
        <f>LEFT(A202,1)</f>
        <v/>
      </c>
    </row>
    <row r="203">
      <c r="J203" s="348">
        <f>LEFT(A203,1)</f>
        <v/>
      </c>
    </row>
    <row r="204">
      <c r="J204" s="348">
        <f>LEFT(A204,1)</f>
        <v/>
      </c>
    </row>
    <row r="205">
      <c r="J205" s="348">
        <f>LEFT(A205,1)</f>
        <v/>
      </c>
    </row>
    <row r="206">
      <c r="J206" s="348">
        <f>LEFT(A206,1)</f>
        <v/>
      </c>
    </row>
    <row r="207">
      <c r="J207" s="348">
        <f>LEFT(A207,1)</f>
        <v/>
      </c>
    </row>
    <row r="208">
      <c r="J208" s="348">
        <f>LEFT(A208,1)</f>
        <v/>
      </c>
    </row>
    <row r="209">
      <c r="J209" s="348">
        <f>LEFT(A209,1)</f>
        <v/>
      </c>
    </row>
    <row r="210">
      <c r="J210" s="348">
        <f>LEFT(A210,1)</f>
        <v/>
      </c>
    </row>
    <row r="211">
      <c r="J211" s="348">
        <f>LEFT(A211,1)</f>
        <v/>
      </c>
    </row>
    <row r="212">
      <c r="J212" s="348">
        <f>LEFT(A212,1)</f>
        <v/>
      </c>
    </row>
    <row r="213">
      <c r="J213" s="348">
        <f>LEFT(A213,1)</f>
        <v/>
      </c>
    </row>
    <row r="214">
      <c r="J214" s="348">
        <f>LEFT(A214,1)</f>
        <v/>
      </c>
    </row>
    <row r="215">
      <c r="J215" s="348">
        <f>LEFT(A215,1)</f>
        <v/>
      </c>
    </row>
    <row r="216">
      <c r="J216" s="348">
        <f>LEFT(A216,1)</f>
        <v/>
      </c>
    </row>
    <row r="217">
      <c r="J217" s="348">
        <f>LEFT(A217,1)</f>
        <v/>
      </c>
    </row>
    <row r="218">
      <c r="J218" s="348">
        <f>LEFT(A218,1)</f>
        <v/>
      </c>
    </row>
    <row r="219">
      <c r="J219" s="348">
        <f>LEFT(A219,1)</f>
        <v/>
      </c>
    </row>
    <row r="220">
      <c r="G220" s="348">
        <f>SUM(C220)-SUM(D220)</f>
        <v/>
      </c>
      <c r="H220" s="348">
        <f>SUM(E220)-SUM(F220)</f>
        <v/>
      </c>
      <c r="I220" s="348">
        <f>IF(A220="Total",VLOOKUP(B220,CORRESPONDANCE[#All],2,FALSE),I221)</f>
        <v/>
      </c>
      <c r="J220" s="348">
        <f>LEFT(A220,1)</f>
        <v/>
      </c>
    </row>
    <row r="221">
      <c r="G221" s="348">
        <f>SUM(C221)-SUM(D221)</f>
        <v/>
      </c>
      <c r="H221" s="348">
        <f>SUM(E221)-SUM(F221)</f>
        <v/>
      </c>
      <c r="I221" s="348">
        <f>IF(A221="Total",VLOOKUP(B221,CORRESPONDANCE[#All],2,FALSE),I222)</f>
        <v/>
      </c>
      <c r="J221" s="348">
        <f>LEFT(A221,1)</f>
        <v/>
      </c>
    </row>
    <row r="222">
      <c r="G222" s="348">
        <f>SUM(C222)-SUM(D222)</f>
        <v/>
      </c>
      <c r="H222" s="348">
        <f>SUM(E222)-SUM(F222)</f>
        <v/>
      </c>
      <c r="I222" s="348">
        <f>IF(A222="Total",VLOOKUP(B222,CORRESPONDANCE[#All],2,FALSE),I223)</f>
        <v/>
      </c>
      <c r="J222" s="348">
        <f>LEFT(A222,1)</f>
        <v/>
      </c>
    </row>
    <row r="223">
      <c r="G223" s="348">
        <f>SUM(C223)-SUM(D223)</f>
        <v/>
      </c>
      <c r="H223" s="348">
        <f>SUM(E223)-SUM(F223)</f>
        <v/>
      </c>
      <c r="I223" s="348">
        <f>IF(A223="Total",VLOOKUP(B223,CORRESPONDANCE[#All],2,FALSE),I224)</f>
        <v/>
      </c>
      <c r="J223" s="348">
        <f>LEFT(A223,1)</f>
        <v/>
      </c>
    </row>
    <row r="224">
      <c r="G224" s="348">
        <f>SUM(C224)-SUM(D224)</f>
        <v/>
      </c>
      <c r="H224" s="348">
        <f>SUM(E224)-SUM(F224)</f>
        <v/>
      </c>
      <c r="I224" s="348">
        <f>IF(A224="Total",VLOOKUP(B224,CORRESPONDANCE[#All],2,FALSE),I225)</f>
        <v/>
      </c>
      <c r="J224" s="348">
        <f>LEFT(A224,1)</f>
        <v/>
      </c>
    </row>
    <row r="225">
      <c r="G225" s="348">
        <f>SUM(C225)-SUM(D225)</f>
        <v/>
      </c>
      <c r="H225" s="348">
        <f>SUM(E225)-SUM(F225)</f>
        <v/>
      </c>
      <c r="I225" s="348">
        <f>IF(A225="Total",VLOOKUP(B225,CORRESPONDANCE[#All],2,FALSE),I226)</f>
        <v/>
      </c>
      <c r="J225" s="348">
        <f>LEFT(A225,1)</f>
        <v/>
      </c>
    </row>
    <row r="226">
      <c r="G226" s="348">
        <f>SUM(C226)-SUM(D226)</f>
        <v/>
      </c>
      <c r="H226" s="348">
        <f>SUM(E226)-SUM(F226)</f>
        <v/>
      </c>
      <c r="I226" s="348">
        <f>IF(A226="Total",VLOOKUP(B226,CORRESPONDANCE[#All],2,FALSE),I227)</f>
        <v/>
      </c>
      <c r="J226" s="348">
        <f>LEFT(A226,1)</f>
        <v/>
      </c>
    </row>
    <row r="227">
      <c r="G227" s="348">
        <f>SUM(C227)-SUM(D227)</f>
        <v/>
      </c>
      <c r="H227" s="348">
        <f>SUM(E227)-SUM(F227)</f>
        <v/>
      </c>
      <c r="I227" s="348">
        <f>IF(A227="Total",VLOOKUP(B227,CORRESPONDANCE[#All],2,FALSE),I228)</f>
        <v/>
      </c>
      <c r="J227" s="348">
        <f>LEFT(A227,1)</f>
        <v/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J227"/>
  <sheetViews>
    <sheetView workbookViewId="0">
      <selection activeCell="H24" sqref="H24"/>
    </sheetView>
  </sheetViews>
  <sheetFormatPr baseColWidth="10" defaultRowHeight="12.75"/>
  <cols>
    <col width="35.28515625" bestFit="1" customWidth="1" style="161" min="2" max="2"/>
    <col width="12.140625" bestFit="1" customWidth="1" style="352" min="3" max="3"/>
    <col width="11.42578125" customWidth="1" style="352" min="4" max="4"/>
    <col width="13.5703125" bestFit="1" customWidth="1" style="352" min="5" max="5"/>
    <col width="11.42578125" customWidth="1" style="352" min="6" max="6"/>
    <col width="12.7109375" bestFit="1" customWidth="1" style="161" min="7" max="8"/>
  </cols>
  <sheetData>
    <row r="1">
      <c r="A1" s="348" t="inlineStr">
        <is>
          <t xml:space="preserve">    N° </t>
        </is>
      </c>
      <c r="B1" s="348" t="inlineStr">
        <is>
          <t>P&amp;L</t>
        </is>
      </c>
      <c r="G1" s="348" t="inlineStr">
        <is>
          <t>Mois</t>
        </is>
      </c>
      <c r="H1" s="348" t="inlineStr">
        <is>
          <t>Cumulé</t>
        </is>
      </c>
      <c r="I1" s="348" t="inlineStr">
        <is>
          <t>Ligne P&amp;L</t>
        </is>
      </c>
      <c r="J1" s="348" t="inlineStr">
        <is>
          <t>Racine</t>
        </is>
      </c>
    </row>
    <row r="2">
      <c r="A2" s="348" t="n">
        <v>1</v>
      </c>
      <c r="B2" s="348" t="inlineStr">
        <is>
          <t>Ventes nettes totales</t>
        </is>
      </c>
      <c r="C2" s="352" t="n">
        <v>210808.26</v>
      </c>
      <c r="E2" s="352" t="n">
        <v>210808.26</v>
      </c>
      <c r="G2" s="348">
        <f>-SUM(C2)+SUM(D2)</f>
        <v/>
      </c>
      <c r="H2" s="348">
        <f>-SUM(E2)+SUM(F2)</f>
        <v/>
      </c>
      <c r="I2" s="348" t="n">
        <v>1</v>
      </c>
      <c r="J2" s="348" t="inlineStr">
        <is>
          <t>T</t>
        </is>
      </c>
    </row>
    <row r="3">
      <c r="A3" s="348" t="n">
        <v>2</v>
      </c>
      <c r="B3" s="348" t="inlineStr">
        <is>
          <t>Ventes produits alimentaires</t>
        </is>
      </c>
      <c r="C3" s="352" t="n">
        <v>207907.62</v>
      </c>
      <c r="E3" s="352" t="n">
        <v>207907.62</v>
      </c>
      <c r="G3" s="348">
        <f>-SUM(C3)+SUM(D3)</f>
        <v/>
      </c>
      <c r="H3" s="348">
        <f>-SUM(E3)+SUM(F3)</f>
        <v/>
      </c>
      <c r="I3" s="348" t="n">
        <v>2</v>
      </c>
      <c r="J3" s="348" t="inlineStr">
        <is>
          <t>T</t>
        </is>
      </c>
    </row>
    <row r="4">
      <c r="A4" s="348" t="n">
        <v>3</v>
      </c>
      <c r="B4" s="348" t="inlineStr">
        <is>
          <t>Coût achat nourriture</t>
        </is>
      </c>
      <c r="C4" s="352" t="n">
        <v>46670.29</v>
      </c>
      <c r="E4" s="352" t="n">
        <v>46670.29</v>
      </c>
      <c r="G4" s="348">
        <f>SUM(C4)-SUM(D4)</f>
        <v/>
      </c>
      <c r="H4" s="348">
        <f>SUM(E4)-SUM(F4)</f>
        <v/>
      </c>
      <c r="I4" s="348" t="n">
        <v>3</v>
      </c>
      <c r="J4" s="348" t="inlineStr">
        <is>
          <t>T</t>
        </is>
      </c>
    </row>
    <row r="5">
      <c r="A5" s="348" t="n">
        <v>4</v>
      </c>
      <c r="B5" s="348" t="inlineStr">
        <is>
          <t>Repas employés</t>
        </is>
      </c>
      <c r="C5" s="352" t="n">
        <v>1260.44</v>
      </c>
      <c r="E5" s="352" t="n">
        <v>1260.44</v>
      </c>
      <c r="G5" s="348">
        <f>SUM(C5)-SUM(D5)</f>
        <v/>
      </c>
      <c r="H5" s="348">
        <f>SUM(E5)-SUM(F5)</f>
        <v/>
      </c>
      <c r="I5" s="348" t="n">
        <v>4</v>
      </c>
      <c r="J5" s="348" t="inlineStr">
        <is>
          <t>T</t>
        </is>
      </c>
    </row>
    <row r="6">
      <c r="A6" s="348" t="n">
        <v>5</v>
      </c>
      <c r="B6" s="348" t="inlineStr">
        <is>
          <t>Déchets Pertes</t>
        </is>
      </c>
      <c r="C6" s="352" t="n">
        <v>1373.11</v>
      </c>
      <c r="E6" s="352" t="n">
        <v>1373.11</v>
      </c>
      <c r="G6" s="348">
        <f>SUM(C6)-SUM(D6)</f>
        <v/>
      </c>
      <c r="H6" s="348">
        <f>SUM(E6)-SUM(F6)</f>
        <v/>
      </c>
      <c r="I6" s="348" t="n">
        <v>5</v>
      </c>
      <c r="J6" s="348" t="inlineStr">
        <is>
          <t>T</t>
        </is>
      </c>
    </row>
    <row r="7">
      <c r="A7" s="348" t="n">
        <v>6</v>
      </c>
      <c r="B7" s="348" t="inlineStr">
        <is>
          <t>Coût emballages</t>
        </is>
      </c>
      <c r="C7" s="352" t="n">
        <v>4704.92</v>
      </c>
      <c r="E7" s="352" t="n">
        <v>4704.92</v>
      </c>
      <c r="G7" s="348">
        <f>SUM(C7)-SUM(D7)</f>
        <v/>
      </c>
      <c r="H7" s="348">
        <f>SUM(E7)-SUM(F7)</f>
        <v/>
      </c>
      <c r="I7" s="348" t="n">
        <v>6</v>
      </c>
      <c r="J7" s="348" t="inlineStr">
        <is>
          <t>T</t>
        </is>
      </c>
    </row>
    <row r="8">
      <c r="A8" s="348" t="n">
        <v>6.1</v>
      </c>
      <c r="B8" s="348" t="inlineStr">
        <is>
          <t>Vaisselle réutilisable</t>
        </is>
      </c>
      <c r="C8" s="352" t="n">
        <v>2120.61</v>
      </c>
      <c r="E8" s="352" t="n">
        <v>2120.61</v>
      </c>
      <c r="G8" s="348">
        <f>SUM(C8)-SUM(D8)</f>
        <v/>
      </c>
      <c r="H8" s="348">
        <f>SUM(E8)-SUM(F8)</f>
        <v/>
      </c>
      <c r="I8" s="348" t="inlineStr">
        <is>
          <t>6.1</t>
        </is>
      </c>
      <c r="J8" s="348" t="inlineStr">
        <is>
          <t>T</t>
        </is>
      </c>
    </row>
    <row r="9">
      <c r="A9" s="348" t="n">
        <v>7</v>
      </c>
      <c r="B9" s="348" t="inlineStr">
        <is>
          <t>Marge brute</t>
        </is>
      </c>
      <c r="C9" s="352" t="n">
        <v>151778.25</v>
      </c>
      <c r="E9" s="352" t="n">
        <v>151778.25</v>
      </c>
      <c r="G9" s="348">
        <f>SUM(C9)-SUM(D9)</f>
        <v/>
      </c>
      <c r="H9" s="348">
        <f>SUM(E9)-SUM(F9)</f>
        <v/>
      </c>
      <c r="I9" s="348" t="n">
        <v>7</v>
      </c>
      <c r="J9" s="348" t="inlineStr">
        <is>
          <t>T</t>
        </is>
      </c>
    </row>
    <row r="10">
      <c r="A10" s="348" t="n">
        <v>8</v>
      </c>
      <c r="B10" s="348" t="inlineStr">
        <is>
          <t>Main d'œuvre brute équipiers</t>
        </is>
      </c>
      <c r="C10" s="352" t="n">
        <v>31504.47</v>
      </c>
      <c r="E10" s="352" t="n">
        <v>31504.47</v>
      </c>
      <c r="G10" s="348">
        <f>SUM(C10)-SUM(D10)</f>
        <v/>
      </c>
      <c r="H10" s="348">
        <f>SUM(E10)-SUM(F10)</f>
        <v/>
      </c>
      <c r="I10" s="348" t="n">
        <v>8</v>
      </c>
      <c r="J10" s="348" t="inlineStr">
        <is>
          <t>T</t>
        </is>
      </c>
    </row>
    <row r="11">
      <c r="A11" s="348" t="n">
        <v>9</v>
      </c>
      <c r="B11" s="348" t="inlineStr">
        <is>
          <t>Charges sociales équipiers</t>
        </is>
      </c>
      <c r="C11" s="352" t="n">
        <v>4668.12</v>
      </c>
      <c r="E11" s="352" t="n">
        <v>4668.12</v>
      </c>
      <c r="G11" s="348">
        <f>SUM(C11)-SUM(D11)</f>
        <v/>
      </c>
      <c r="H11" s="348">
        <f>SUM(E11)-SUM(F11)</f>
        <v/>
      </c>
      <c r="I11" s="348" t="n">
        <v>9</v>
      </c>
      <c r="J11" s="348" t="inlineStr">
        <is>
          <t>T</t>
        </is>
      </c>
    </row>
    <row r="12">
      <c r="A12" s="348" t="n">
        <v>10</v>
      </c>
      <c r="B12" s="348" t="inlineStr">
        <is>
          <t>Main d'œuvre brute équipe de gestion</t>
        </is>
      </c>
      <c r="C12" s="352" t="n">
        <v>13629.52</v>
      </c>
      <c r="E12" s="352" t="n">
        <v>13629.52</v>
      </c>
      <c r="G12" s="348">
        <f>SUM(C12)-SUM(D12)</f>
        <v/>
      </c>
      <c r="H12" s="348">
        <f>SUM(E12)-SUM(F12)</f>
        <v/>
      </c>
      <c r="I12" s="348" t="n">
        <v>10</v>
      </c>
      <c r="J12" s="348" t="inlineStr">
        <is>
          <t>T</t>
        </is>
      </c>
    </row>
    <row r="13">
      <c r="A13" s="348" t="n">
        <v>11</v>
      </c>
      <c r="B13" s="348" t="inlineStr">
        <is>
          <t>Charges sociales équipe de gestion</t>
        </is>
      </c>
      <c r="C13" s="352" t="n">
        <v>3104.39</v>
      </c>
      <c r="E13" s="352" t="n">
        <v>3104.39</v>
      </c>
      <c r="G13" s="348">
        <f>SUM(C13)-SUM(D13)</f>
        <v/>
      </c>
      <c r="H13" s="348">
        <f>SUM(E13)-SUM(F13)</f>
        <v/>
      </c>
      <c r="I13" s="348" t="n">
        <v>11</v>
      </c>
      <c r="J13" s="348" t="inlineStr">
        <is>
          <t>T</t>
        </is>
      </c>
    </row>
    <row r="14">
      <c r="A14" s="348" t="n">
        <v>12</v>
      </c>
      <c r="B14" s="348" t="inlineStr">
        <is>
          <t>Aides et exonérations sociales</t>
        </is>
      </c>
      <c r="C14" s="352" t="n">
        <v>-500</v>
      </c>
      <c r="E14" s="352" t="n">
        <v>-500</v>
      </c>
      <c r="G14" s="348">
        <f>SUM(C14)-SUM(D14)</f>
        <v/>
      </c>
      <c r="H14" s="348">
        <f>SUM(E14)-SUM(F14)</f>
        <v/>
      </c>
      <c r="I14" s="348" t="n">
        <v>12</v>
      </c>
      <c r="J14" s="348" t="inlineStr">
        <is>
          <t>T</t>
        </is>
      </c>
    </row>
    <row r="15">
      <c r="A15" s="348" t="n">
        <v>13</v>
      </c>
      <c r="B15" s="348" t="inlineStr">
        <is>
          <t>Divers MO</t>
        </is>
      </c>
      <c r="G15" s="348">
        <f>SUM(C15)-SUM(D15)</f>
        <v/>
      </c>
      <c r="H15" s="348">
        <f>SUM(E15)-SUM(F15)</f>
        <v/>
      </c>
      <c r="I15" s="348" t="n">
        <v>13</v>
      </c>
      <c r="J15" s="348" t="inlineStr">
        <is>
          <t>T</t>
        </is>
      </c>
    </row>
    <row r="16">
      <c r="A16" s="348" t="n">
        <v>14</v>
      </c>
      <c r="B16" s="348" t="inlineStr">
        <is>
          <t>Sous total Main d'œuvre</t>
        </is>
      </c>
      <c r="C16" s="352" t="n">
        <v>52406.5</v>
      </c>
      <c r="E16" s="352" t="n">
        <v>52406.5</v>
      </c>
      <c r="G16" s="348">
        <f>SUM(C16)-SUM(D16)</f>
        <v/>
      </c>
      <c r="H16" s="348">
        <f>SUM(E16)-SUM(F16)</f>
        <v/>
      </c>
      <c r="I16" s="348" t="n">
        <v>14</v>
      </c>
      <c r="J16" s="348" t="inlineStr">
        <is>
          <t>T</t>
        </is>
      </c>
    </row>
    <row r="17">
      <c r="A17" s="348" t="n">
        <v>15</v>
      </c>
      <c r="B17" s="348" t="inlineStr">
        <is>
          <t>Nettoyage</t>
        </is>
      </c>
      <c r="C17" s="352" t="n">
        <v>8500</v>
      </c>
      <c r="E17" s="352" t="n">
        <v>8500</v>
      </c>
      <c r="G17" s="348">
        <f>SUM(C17)-SUM(D17)</f>
        <v/>
      </c>
      <c r="H17" s="348">
        <f>SUM(E17)-SUM(F17)</f>
        <v/>
      </c>
      <c r="I17" s="348" t="n">
        <v>15</v>
      </c>
      <c r="J17" s="348" t="inlineStr">
        <is>
          <t>T</t>
        </is>
      </c>
    </row>
    <row r="18">
      <c r="A18" s="348" t="n">
        <v>16</v>
      </c>
      <c r="B18" s="348" t="inlineStr">
        <is>
          <t>Sécurité et Gardiennage</t>
        </is>
      </c>
      <c r="C18" s="352" t="n">
        <v>29.17</v>
      </c>
      <c r="E18" s="352" t="n">
        <v>29.17</v>
      </c>
      <c r="G18" s="348">
        <f>SUM(C18)-SUM(D18)</f>
        <v/>
      </c>
      <c r="H18" s="348">
        <f>SUM(E18)-SUM(F18)</f>
        <v/>
      </c>
      <c r="I18" s="348" t="n">
        <v>16</v>
      </c>
      <c r="J18" s="348" t="inlineStr">
        <is>
          <t>T</t>
        </is>
      </c>
    </row>
    <row r="19">
      <c r="A19" s="348" t="n">
        <v>17</v>
      </c>
      <c r="B19" s="348" t="inlineStr">
        <is>
          <t>Frais bancaires</t>
        </is>
      </c>
      <c r="C19" s="352" t="n">
        <v>1668.17</v>
      </c>
      <c r="E19" s="352" t="n">
        <v>1668.17</v>
      </c>
      <c r="G19" s="348">
        <f>SUM(C19)-SUM(D19)</f>
        <v/>
      </c>
      <c r="H19" s="348">
        <f>SUM(E19)-SUM(F19)</f>
        <v/>
      </c>
      <c r="I19" s="348" t="n">
        <v>17</v>
      </c>
      <c r="J19" s="348" t="inlineStr">
        <is>
          <t>T</t>
        </is>
      </c>
    </row>
    <row r="20">
      <c r="A20" s="348" t="n">
        <v>18</v>
      </c>
      <c r="B20" s="348" t="inlineStr">
        <is>
          <t>Contrats Maintenance et réparations</t>
        </is>
      </c>
      <c r="C20" s="352" t="n">
        <v>3217.58</v>
      </c>
      <c r="E20" s="352" t="n">
        <v>3217.58</v>
      </c>
      <c r="G20" s="348">
        <f>SUM(C20)-SUM(D20)</f>
        <v/>
      </c>
      <c r="H20" s="348">
        <f>SUM(E20)-SUM(F20)</f>
        <v/>
      </c>
      <c r="I20" s="348" t="n">
        <v>18</v>
      </c>
      <c r="J20" s="348" t="inlineStr">
        <is>
          <t>T</t>
        </is>
      </c>
    </row>
    <row r="21">
      <c r="A21" s="348" t="n">
        <v>19</v>
      </c>
      <c r="B21" s="348" t="inlineStr">
        <is>
          <t>Autres Services Extérieurs</t>
        </is>
      </c>
      <c r="C21" s="352" t="n">
        <v>4635.39</v>
      </c>
      <c r="E21" s="352" t="n">
        <v>4635.39</v>
      </c>
      <c r="G21" s="348">
        <f>SUM(C21)-SUM(D21)</f>
        <v/>
      </c>
      <c r="H21" s="348">
        <f>SUM(E21)-SUM(F21)</f>
        <v/>
      </c>
      <c r="I21" s="348" t="n">
        <v>19</v>
      </c>
      <c r="J21" s="348" t="inlineStr">
        <is>
          <t>T</t>
        </is>
      </c>
    </row>
    <row r="22">
      <c r="A22" s="348" t="n">
        <v>20</v>
      </c>
      <c r="B22" s="348" t="inlineStr">
        <is>
          <t>Sous total Services Extérieurs</t>
        </is>
      </c>
      <c r="C22" s="352" t="n">
        <v>18050.31</v>
      </c>
      <c r="E22" s="352" t="n">
        <v>18050.31</v>
      </c>
      <c r="G22" s="348">
        <f>SUM(C22)-SUM(D22)</f>
        <v/>
      </c>
      <c r="H22" s="348">
        <f>SUM(E22)-SUM(F22)</f>
        <v/>
      </c>
      <c r="I22" s="348" t="n">
        <v>20</v>
      </c>
      <c r="J22" s="348" t="inlineStr">
        <is>
          <t>T</t>
        </is>
      </c>
    </row>
    <row r="23">
      <c r="A23" s="348" t="n">
        <v>21</v>
      </c>
      <c r="B23" s="348" t="inlineStr">
        <is>
          <t>Commissions Food Tech</t>
        </is>
      </c>
      <c r="G23" s="348">
        <f>SUM(C23)-SUM(D23)</f>
        <v/>
      </c>
      <c r="H23" s="348">
        <f>SUM(E23)-SUM(F23)</f>
        <v/>
      </c>
      <c r="I23" s="348" t="n">
        <v>21</v>
      </c>
      <c r="J23" s="348" t="inlineStr">
        <is>
          <t>T</t>
        </is>
      </c>
    </row>
    <row r="24">
      <c r="A24" s="348" t="n">
        <v>22</v>
      </c>
      <c r="B24" s="348" t="inlineStr">
        <is>
          <t>Publicité GIE</t>
        </is>
      </c>
      <c r="C24" s="352" t="n">
        <v>8344.639999999999</v>
      </c>
      <c r="E24" s="352" t="n">
        <v>8344.639999999999</v>
      </c>
      <c r="G24" s="348">
        <f>SUM(C24)-SUM(D24)</f>
        <v/>
      </c>
      <c r="H24" s="348">
        <f>SUM(E24)-SUM(F24)</f>
        <v/>
      </c>
      <c r="I24" s="348" t="n">
        <v>22</v>
      </c>
      <c r="J24" s="348" t="inlineStr">
        <is>
          <t>T</t>
        </is>
      </c>
    </row>
    <row r="25">
      <c r="A25" s="348" t="n">
        <v>23</v>
      </c>
      <c r="B25" s="348" t="inlineStr">
        <is>
          <t>Promotion locale</t>
        </is>
      </c>
      <c r="C25" s="352" t="n">
        <v>4703.75</v>
      </c>
      <c r="E25" s="352" t="n">
        <v>4703.75</v>
      </c>
      <c r="G25" s="348">
        <f>SUM(C25)-SUM(D25)</f>
        <v/>
      </c>
      <c r="H25" s="348">
        <f>SUM(E25)-SUM(F25)</f>
        <v/>
      </c>
      <c r="I25" s="348" t="n">
        <v>23</v>
      </c>
      <c r="J25" s="348" t="inlineStr">
        <is>
          <t>T</t>
        </is>
      </c>
    </row>
    <row r="26">
      <c r="A26" s="348" t="n">
        <v>24</v>
      </c>
      <c r="B26" s="348" t="inlineStr">
        <is>
          <t>Electricité, eau, gaz, téléphone</t>
        </is>
      </c>
      <c r="C26" s="352" t="n">
        <v>9177.139999999999</v>
      </c>
      <c r="E26" s="352" t="n">
        <v>9177.139999999999</v>
      </c>
      <c r="G26" s="348">
        <f>SUM(C26)-SUM(D26)</f>
        <v/>
      </c>
      <c r="H26" s="348">
        <f>SUM(E26)-SUM(F26)</f>
        <v/>
      </c>
      <c r="I26" s="348" t="n">
        <v>24</v>
      </c>
      <c r="J26" s="348" t="inlineStr">
        <is>
          <t>T</t>
        </is>
      </c>
    </row>
    <row r="27">
      <c r="A27" s="348" t="n">
        <v>25</v>
      </c>
      <c r="B27" s="348" t="inlineStr">
        <is>
          <t>Fournitures exploitation et bureau</t>
        </is>
      </c>
      <c r="C27" s="352" t="n">
        <v>1981.73</v>
      </c>
      <c r="E27" s="352" t="n">
        <v>1981.73</v>
      </c>
      <c r="G27" s="348">
        <f>SUM(C27)-SUM(D27)</f>
        <v/>
      </c>
      <c r="H27" s="348">
        <f>SUM(E27)-SUM(F27)</f>
        <v/>
      </c>
      <c r="I27" s="348" t="n">
        <v>25</v>
      </c>
      <c r="J27" s="348" t="inlineStr">
        <is>
          <t>T</t>
        </is>
      </c>
    </row>
    <row r="28">
      <c r="A28" s="348" t="n">
        <v>26</v>
      </c>
      <c r="B28" s="348" t="inlineStr">
        <is>
          <t>Frais de déplacements et Evènements</t>
        </is>
      </c>
      <c r="C28" s="352" t="n">
        <v>224.92</v>
      </c>
      <c r="E28" s="352" t="n">
        <v>224.92</v>
      </c>
      <c r="G28" s="348">
        <f>SUM(C28)-SUM(D28)</f>
        <v/>
      </c>
      <c r="H28" s="348">
        <f>SUM(E28)-SUM(F28)</f>
        <v/>
      </c>
      <c r="I28" s="348" t="n">
        <v>26</v>
      </c>
      <c r="J28" s="348" t="inlineStr">
        <is>
          <t>T</t>
        </is>
      </c>
    </row>
    <row r="29">
      <c r="A29" s="348" t="n">
        <v>27</v>
      </c>
      <c r="B29" s="348" t="inlineStr">
        <is>
          <t>Divers</t>
        </is>
      </c>
      <c r="C29" s="352" t="n">
        <v>-11.03</v>
      </c>
      <c r="E29" s="352" t="n">
        <v>-11.03</v>
      </c>
      <c r="G29" s="348">
        <f>SUM(C29)-SUM(D29)</f>
        <v/>
      </c>
      <c r="H29" s="348">
        <f>SUM(E29)-SUM(F29)</f>
        <v/>
      </c>
      <c r="I29" s="348" t="n">
        <v>27</v>
      </c>
      <c r="J29" s="348" t="inlineStr">
        <is>
          <t>T</t>
        </is>
      </c>
    </row>
    <row r="30">
      <c r="A30" s="348" t="n">
        <v>28</v>
      </c>
      <c r="B30" s="348" t="inlineStr">
        <is>
          <t>Profit après contrôlables (PAC)</t>
        </is>
      </c>
      <c r="C30" s="352" t="n">
        <v>56900.29000000001</v>
      </c>
      <c r="E30" s="352" t="n">
        <v>56900.29000000001</v>
      </c>
      <c r="G30" s="348">
        <f>SUM(C30)-SUM(D30)</f>
        <v/>
      </c>
      <c r="H30" s="348">
        <f>SUM(E30)-SUM(F30)</f>
        <v/>
      </c>
      <c r="I30" s="348" t="n">
        <v>28</v>
      </c>
      <c r="J30" s="348" t="inlineStr">
        <is>
          <t>T</t>
        </is>
      </c>
    </row>
    <row r="31">
      <c r="A31" s="348" t="n">
        <v>29</v>
      </c>
      <c r="B31" s="348" t="inlineStr">
        <is>
          <t>Redevance standard</t>
        </is>
      </c>
      <c r="C31" s="352" t="n">
        <v>28459.12</v>
      </c>
      <c r="E31" s="352" t="n">
        <v>28459.12</v>
      </c>
      <c r="G31" s="348">
        <f>SUM(C31)-SUM(D31)</f>
        <v/>
      </c>
      <c r="H31" s="348">
        <f>SUM(E31)-SUM(F31)</f>
        <v/>
      </c>
      <c r="I31" s="348" t="n">
        <v>29</v>
      </c>
      <c r="J31" s="348" t="inlineStr">
        <is>
          <t>T</t>
        </is>
      </c>
    </row>
    <row r="32">
      <c r="A32" s="348" t="n">
        <v>30</v>
      </c>
      <c r="B32" s="348" t="inlineStr">
        <is>
          <t>Indexation loyer externe</t>
        </is>
      </c>
      <c r="G32" s="348">
        <f>SUM(C32)-SUM(D32)</f>
        <v/>
      </c>
      <c r="H32" s="348">
        <f>SUM(E32)-SUM(F32)</f>
        <v/>
      </c>
      <c r="I32" s="348" t="n">
        <v>30</v>
      </c>
      <c r="J32" s="348" t="inlineStr">
        <is>
          <t>T</t>
        </is>
      </c>
    </row>
    <row r="33">
      <c r="A33" s="348" t="n">
        <v>31</v>
      </c>
      <c r="B33" s="348" t="inlineStr">
        <is>
          <t>Incentives et Avoirs de redevance</t>
        </is>
      </c>
      <c r="C33" s="352" t="n">
        <v>-405.56</v>
      </c>
      <c r="E33" s="352" t="n">
        <v>-405.56</v>
      </c>
      <c r="G33" s="348">
        <f>SUM(C33)-SUM(D33)</f>
        <v/>
      </c>
      <c r="H33" s="348">
        <f>SUM(E33)-SUM(F33)</f>
        <v/>
      </c>
      <c r="I33" s="348" t="n">
        <v>31</v>
      </c>
      <c r="J33" s="348" t="inlineStr">
        <is>
          <t>T</t>
        </is>
      </c>
    </row>
    <row r="34">
      <c r="A34" s="348" t="n">
        <v>32</v>
      </c>
      <c r="B34" s="348" t="inlineStr">
        <is>
          <t>Sous total Redevance effective</t>
        </is>
      </c>
      <c r="C34" s="352" t="n">
        <v>28053.56</v>
      </c>
      <c r="E34" s="352" t="n">
        <v>28053.56</v>
      </c>
      <c r="G34" s="348">
        <f>SUM(C34)-SUM(D34)</f>
        <v/>
      </c>
      <c r="H34" s="348">
        <f>SUM(E34)-SUM(F34)</f>
        <v/>
      </c>
      <c r="I34" s="348" t="n">
        <v>32</v>
      </c>
      <c r="J34" s="348" t="inlineStr">
        <is>
          <t>T</t>
        </is>
      </c>
    </row>
    <row r="35">
      <c r="A35" s="348" t="n">
        <v>33</v>
      </c>
      <c r="B35" s="348" t="inlineStr">
        <is>
          <t>Charges locatives et copro</t>
        </is>
      </c>
      <c r="C35" s="352" t="n">
        <v>250</v>
      </c>
      <c r="E35" s="352" t="n">
        <v>250</v>
      </c>
      <c r="G35" s="348">
        <f>SUM(C35)-SUM(D35)</f>
        <v/>
      </c>
      <c r="H35" s="348">
        <f>SUM(E35)-SUM(F35)</f>
        <v/>
      </c>
      <c r="I35" s="348" t="n">
        <v>33</v>
      </c>
      <c r="J35" s="348" t="inlineStr">
        <is>
          <t>T</t>
        </is>
      </c>
    </row>
    <row r="36">
      <c r="A36" s="348" t="n">
        <v>34</v>
      </c>
      <c r="B36" s="348" t="inlineStr">
        <is>
          <t>Redevance service 5%</t>
        </is>
      </c>
      <c r="C36" s="352" t="n">
        <v>10540.41</v>
      </c>
      <c r="E36" s="352" t="n">
        <v>10540.41</v>
      </c>
      <c r="G36" s="348">
        <f>SUM(C36)-SUM(D36)</f>
        <v/>
      </c>
      <c r="H36" s="348">
        <f>SUM(E36)-SUM(F36)</f>
        <v/>
      </c>
      <c r="I36" s="348" t="n">
        <v>34</v>
      </c>
      <c r="J36" s="348" t="inlineStr">
        <is>
          <t>T</t>
        </is>
      </c>
    </row>
    <row r="37">
      <c r="A37" s="348" t="n">
        <v>35</v>
      </c>
      <c r="B37" s="348" t="inlineStr">
        <is>
          <t>Frais comptables et juridiques</t>
        </is>
      </c>
      <c r="C37" s="352" t="n">
        <v>1000</v>
      </c>
      <c r="E37" s="352" t="n">
        <v>1000</v>
      </c>
      <c r="G37" s="348">
        <f>SUM(C37)-SUM(D37)</f>
        <v/>
      </c>
      <c r="H37" s="348">
        <f>SUM(E37)-SUM(F37)</f>
        <v/>
      </c>
      <c r="I37" s="348" t="n">
        <v>35</v>
      </c>
      <c r="J37" s="348" t="inlineStr">
        <is>
          <t>T</t>
        </is>
      </c>
    </row>
    <row r="38">
      <c r="A38" s="348" t="n">
        <v>36</v>
      </c>
      <c r="B38" s="348" t="inlineStr">
        <is>
          <t>Assurances</t>
        </is>
      </c>
      <c r="C38" s="352" t="n">
        <v>664.4400000000001</v>
      </c>
      <c r="E38" s="352" t="n">
        <v>664.4400000000001</v>
      </c>
      <c r="G38" s="348">
        <f>SUM(C38)-SUM(D38)</f>
        <v/>
      </c>
      <c r="H38" s="348">
        <f>SUM(E38)-SUM(F38)</f>
        <v/>
      </c>
      <c r="I38" s="348" t="n">
        <v>36</v>
      </c>
      <c r="J38" s="348" t="inlineStr">
        <is>
          <t>T</t>
        </is>
      </c>
    </row>
    <row r="39">
      <c r="A39" s="348" t="n">
        <v>37</v>
      </c>
      <c r="B39" s="348" t="inlineStr">
        <is>
          <t>Taxes</t>
        </is>
      </c>
      <c r="C39" s="352" t="n">
        <v>2160.51</v>
      </c>
      <c r="E39" s="352" t="n">
        <v>2160.51</v>
      </c>
      <c r="G39" s="348">
        <f>SUM(C39)-SUM(D39)</f>
        <v/>
      </c>
      <c r="H39" s="348">
        <f>SUM(E39)-SUM(F39)</f>
        <v/>
      </c>
      <c r="I39" s="348" t="n">
        <v>37</v>
      </c>
      <c r="J39" s="348" t="inlineStr">
        <is>
          <t>T</t>
        </is>
      </c>
    </row>
    <row r="40">
      <c r="A40" s="348" t="n">
        <v>38</v>
      </c>
      <c r="B40" s="348" t="inlineStr">
        <is>
          <t>Dépréciations amortissements</t>
        </is>
      </c>
      <c r="C40" s="352" t="n">
        <v>9000</v>
      </c>
      <c r="E40" s="352" t="n">
        <v>9000</v>
      </c>
      <c r="G40" s="348">
        <f>SUM(C40)-SUM(D40)</f>
        <v/>
      </c>
      <c r="H40" s="348">
        <f>SUM(E40)-SUM(F40)</f>
        <v/>
      </c>
      <c r="I40" s="348" t="n">
        <v>38</v>
      </c>
      <c r="J40" s="348" t="inlineStr">
        <is>
          <t>T</t>
        </is>
      </c>
    </row>
    <row r="41">
      <c r="A41" s="348" t="n">
        <v>39</v>
      </c>
      <c r="B41" s="348" t="inlineStr">
        <is>
          <t>Crédit bail</t>
        </is>
      </c>
      <c r="C41" s="352" t="n">
        <v>781.35</v>
      </c>
      <c r="E41" s="352" t="n">
        <v>781.35</v>
      </c>
      <c r="G41" s="348">
        <f>SUM(C41)-SUM(D41)</f>
        <v/>
      </c>
      <c r="H41" s="348">
        <f>SUM(E41)-SUM(F41)</f>
        <v/>
      </c>
      <c r="I41" s="348" t="n">
        <v>39</v>
      </c>
      <c r="J41" s="348" t="inlineStr">
        <is>
          <t>T</t>
        </is>
      </c>
    </row>
    <row r="42">
      <c r="A42" s="348" t="n">
        <v>40</v>
      </c>
      <c r="B42" s="348" t="inlineStr">
        <is>
          <t>Dépenses / Revenus divers</t>
        </is>
      </c>
      <c r="C42" s="352" t="n">
        <v>429.58</v>
      </c>
      <c r="E42" s="352" t="n">
        <v>429.58</v>
      </c>
      <c r="G42" s="348">
        <f>SUM(C42)-SUM(D42)</f>
        <v/>
      </c>
      <c r="H42" s="348">
        <f>SUM(E42)-SUM(F42)</f>
        <v/>
      </c>
      <c r="I42" s="348" t="n">
        <v>40</v>
      </c>
      <c r="J42" s="348" t="inlineStr">
        <is>
          <t>T</t>
        </is>
      </c>
    </row>
    <row r="43">
      <c r="A43" s="348" t="n">
        <v>41.1</v>
      </c>
      <c r="B43" s="348" t="inlineStr">
        <is>
          <t>Ventes non alimentaires</t>
        </is>
      </c>
      <c r="C43" s="352" t="n">
        <v>2900.64</v>
      </c>
      <c r="E43" s="352" t="n">
        <v>2900.64</v>
      </c>
      <c r="G43" s="348">
        <f>-SUM(C43)+SUM(D43)</f>
        <v/>
      </c>
      <c r="H43" s="348">
        <f>-SUM(E43)+SUM(F43)</f>
        <v/>
      </c>
      <c r="I43" s="348" t="inlineStr">
        <is>
          <t>41.1</t>
        </is>
      </c>
      <c r="J43" s="348" t="inlineStr">
        <is>
          <t>T</t>
        </is>
      </c>
    </row>
    <row r="44">
      <c r="A44" s="348" t="n">
        <v>41.2</v>
      </c>
      <c r="B44" s="348" t="inlineStr">
        <is>
          <t>Coût non alimentaire</t>
        </is>
      </c>
      <c r="C44" s="352" t="n">
        <v>1227.11</v>
      </c>
      <c r="E44" s="352" t="n">
        <v>1227.11</v>
      </c>
      <c r="G44" s="348">
        <f>SUM(C44)-SUM(D44)</f>
        <v/>
      </c>
      <c r="H44" s="348">
        <f>SUM(E44)-SUM(F44)</f>
        <v/>
      </c>
      <c r="I44" s="348" t="inlineStr">
        <is>
          <t>41.2</t>
        </is>
      </c>
      <c r="J44" s="348" t="inlineStr">
        <is>
          <t>T</t>
        </is>
      </c>
    </row>
    <row r="45">
      <c r="A45" s="348" t="n">
        <v>41</v>
      </c>
      <c r="B45" s="348" t="inlineStr">
        <is>
          <t>Résultat net non alimentaire</t>
        </is>
      </c>
      <c r="C45" s="352" t="n">
        <v>1673.53</v>
      </c>
      <c r="E45" s="352" t="n">
        <v>1673.53</v>
      </c>
      <c r="G45" s="348">
        <f>SUM(C45)-SUM(D45)</f>
        <v/>
      </c>
      <c r="H45" s="348">
        <f>SUM(E45)-SUM(F45)</f>
        <v/>
      </c>
      <c r="I45" s="348" t="n">
        <v>41</v>
      </c>
      <c r="J45" s="348" t="inlineStr">
        <is>
          <t>T</t>
        </is>
      </c>
    </row>
    <row r="46">
      <c r="A46" s="348" t="n">
        <v>42</v>
      </c>
      <c r="B46" s="348" t="inlineStr">
        <is>
          <t>Charges / Revenus financiers</t>
        </is>
      </c>
      <c r="C46" s="352" t="n">
        <v>2620.83</v>
      </c>
      <c r="E46" s="352" t="n">
        <v>2620.83</v>
      </c>
      <c r="G46" s="348">
        <f>SUM(C46)-SUM(D46)</f>
        <v/>
      </c>
      <c r="H46" s="348">
        <f>SUM(E46)-SUM(F46)</f>
        <v/>
      </c>
      <c r="I46" s="348" t="n">
        <v>42</v>
      </c>
      <c r="J46" s="348" t="inlineStr">
        <is>
          <t>T</t>
        </is>
      </c>
    </row>
    <row r="47">
      <c r="A47" s="348" t="n">
        <v>43</v>
      </c>
      <c r="B47" s="348" t="inlineStr">
        <is>
          <t>Résultat net d'exploitation (SOI)</t>
        </is>
      </c>
      <c r="C47" s="352" t="n">
        <v>3073.140000000002</v>
      </c>
      <c r="E47" s="352" t="n">
        <v>3073.140000000002</v>
      </c>
      <c r="G47" s="348">
        <f>SUM(C47)-SUM(D47)</f>
        <v/>
      </c>
      <c r="H47" s="348">
        <f>SUM(E47)-SUM(F47)</f>
        <v/>
      </c>
      <c r="I47" s="348" t="n">
        <v>43</v>
      </c>
      <c r="J47" s="348" t="inlineStr">
        <is>
          <t>T</t>
        </is>
      </c>
    </row>
    <row r="48">
      <c r="A48" s="348" t="n">
        <v>44</v>
      </c>
      <c r="B48" s="348" t="inlineStr">
        <is>
          <t>Cash Flow avant fin, G&amp;A et IS</t>
        </is>
      </c>
      <c r="C48" s="352" t="n">
        <v>15475.32</v>
      </c>
      <c r="E48" s="352" t="n">
        <v>15475.32</v>
      </c>
      <c r="G48" s="348">
        <f>SUM(C48)-SUM(D48)</f>
        <v/>
      </c>
      <c r="H48" s="348">
        <f>SUM(E48)-SUM(F48)</f>
        <v/>
      </c>
      <c r="I48" s="348" t="n">
        <v>44</v>
      </c>
      <c r="J48" s="348" t="inlineStr">
        <is>
          <t>T</t>
        </is>
      </c>
    </row>
    <row r="49">
      <c r="A49" s="348" t="n">
        <v>45</v>
      </c>
      <c r="B49" s="348" t="inlineStr">
        <is>
          <t>Charges et produits exceptionnels</t>
        </is>
      </c>
      <c r="G49" s="348">
        <f>SUM(C49)-SUM(D49)</f>
        <v/>
      </c>
      <c r="H49" s="348">
        <f>SUM(E49)-SUM(F49)</f>
        <v/>
      </c>
      <c r="I49" s="348" t="n">
        <v>45</v>
      </c>
      <c r="J49" s="348" t="inlineStr">
        <is>
          <t>T</t>
        </is>
      </c>
    </row>
    <row r="50">
      <c r="A50" s="348" t="n">
        <v>46</v>
      </c>
      <c r="B50" s="348" t="inlineStr">
        <is>
          <t>G&amp;A (Frais administratifs)</t>
        </is>
      </c>
      <c r="C50" s="352" t="n">
        <v>17040</v>
      </c>
      <c r="E50" s="352" t="n">
        <v>17040</v>
      </c>
      <c r="G50" s="348">
        <f>SUM(C50)-SUM(D50)</f>
        <v/>
      </c>
      <c r="H50" s="348">
        <f>SUM(E50)-SUM(F50)</f>
        <v/>
      </c>
      <c r="I50" s="348" t="n">
        <v>46</v>
      </c>
      <c r="J50" s="348" t="inlineStr">
        <is>
          <t>T</t>
        </is>
      </c>
    </row>
    <row r="51">
      <c r="A51" s="348" t="n">
        <v>47</v>
      </c>
      <c r="B51" s="348" t="inlineStr">
        <is>
          <t>Revenu net avant impôt</t>
        </is>
      </c>
      <c r="C51" s="352" t="n">
        <v>-13966.86</v>
      </c>
      <c r="E51" s="352" t="n">
        <v>-13966.86</v>
      </c>
      <c r="G51" s="348">
        <f>SUM(C51)-SUM(D51)</f>
        <v/>
      </c>
      <c r="H51" s="348">
        <f>SUM(E51)-SUM(F51)</f>
        <v/>
      </c>
      <c r="I51" s="348" t="n">
        <v>47</v>
      </c>
      <c r="J51" s="348" t="inlineStr">
        <is>
          <t>T</t>
        </is>
      </c>
    </row>
    <row r="52">
      <c r="A52" s="348" t="n">
        <v>48</v>
      </c>
      <c r="B52" s="348" t="inlineStr">
        <is>
          <t>Impôt sur les sociétés</t>
        </is>
      </c>
      <c r="C52" s="352" t="n">
        <v>-5121.18</v>
      </c>
      <c r="E52" s="352" t="n">
        <v>-5121.18</v>
      </c>
      <c r="G52" s="348">
        <f>SUM(C52)-SUM(D52)</f>
        <v/>
      </c>
      <c r="H52" s="348">
        <f>SUM(E52)-SUM(F52)</f>
        <v/>
      </c>
      <c r="I52" s="348" t="n">
        <v>48</v>
      </c>
      <c r="J52" s="348" t="inlineStr">
        <is>
          <t>T</t>
        </is>
      </c>
    </row>
    <row r="53">
      <c r="A53" s="348" t="n">
        <v>49</v>
      </c>
      <c r="B53" s="348" t="inlineStr">
        <is>
          <t>Résultat net</t>
        </is>
      </c>
      <c r="C53" s="352" t="n">
        <v>-8845.679999999997</v>
      </c>
      <c r="E53" s="352" t="n">
        <v>-8845.679999999997</v>
      </c>
      <c r="G53" s="348">
        <f>SUM(C53)-SUM(D53)</f>
        <v/>
      </c>
      <c r="H53" s="348">
        <f>SUM(E53)-SUM(F53)</f>
        <v/>
      </c>
      <c r="I53" s="348" t="n">
        <v>49</v>
      </c>
      <c r="J53" s="348" t="inlineStr">
        <is>
          <t>T</t>
        </is>
      </c>
    </row>
    <row r="54">
      <c r="J54" s="348">
        <f>LEFT(A54,1)</f>
        <v/>
      </c>
    </row>
    <row r="55">
      <c r="J55" s="348">
        <f>LEFT(A55,1)</f>
        <v/>
      </c>
    </row>
    <row r="56">
      <c r="J56" s="348">
        <f>LEFT(A56,1)</f>
        <v/>
      </c>
    </row>
    <row r="57">
      <c r="J57" s="348">
        <f>LEFT(A57,1)</f>
        <v/>
      </c>
    </row>
    <row r="58">
      <c r="J58" s="348">
        <f>LEFT(A58,1)</f>
        <v/>
      </c>
    </row>
    <row r="59">
      <c r="J59" s="348">
        <f>LEFT(A59,1)</f>
        <v/>
      </c>
    </row>
    <row r="60">
      <c r="J60" s="348">
        <f>LEFT(A60,1)</f>
        <v/>
      </c>
    </row>
    <row r="61">
      <c r="J61" s="348">
        <f>LEFT(A61,1)</f>
        <v/>
      </c>
    </row>
    <row r="62">
      <c r="J62" s="348">
        <f>LEFT(A62,1)</f>
        <v/>
      </c>
    </row>
    <row r="63">
      <c r="J63" s="348">
        <f>LEFT(A63,1)</f>
        <v/>
      </c>
    </row>
    <row r="64">
      <c r="J64" s="348">
        <f>LEFT(A64,1)</f>
        <v/>
      </c>
    </row>
    <row r="65">
      <c r="J65" s="348">
        <f>LEFT(A65,1)</f>
        <v/>
      </c>
    </row>
    <row r="66">
      <c r="J66" s="348">
        <f>LEFT(A66,1)</f>
        <v/>
      </c>
    </row>
    <row r="67">
      <c r="J67" s="348">
        <f>LEFT(A67,1)</f>
        <v/>
      </c>
    </row>
    <row r="68">
      <c r="J68" s="348">
        <f>LEFT(A68,1)</f>
        <v/>
      </c>
    </row>
    <row r="69">
      <c r="J69" s="348">
        <f>LEFT(A69,1)</f>
        <v/>
      </c>
    </row>
    <row r="70">
      <c r="J70" s="348">
        <f>LEFT(A70,1)</f>
        <v/>
      </c>
    </row>
    <row r="71">
      <c r="J71" s="348">
        <f>LEFT(A71,1)</f>
        <v/>
      </c>
    </row>
    <row r="72">
      <c r="J72" s="348">
        <f>LEFT(A72,1)</f>
        <v/>
      </c>
    </row>
    <row r="73">
      <c r="J73" s="348">
        <f>LEFT(A73,1)</f>
        <v/>
      </c>
    </row>
    <row r="74">
      <c r="J74" s="348">
        <f>LEFT(A74,1)</f>
        <v/>
      </c>
    </row>
    <row r="75">
      <c r="J75" s="348">
        <f>LEFT(A75,1)</f>
        <v/>
      </c>
    </row>
    <row r="76">
      <c r="J76" s="348">
        <f>LEFT(A76,1)</f>
        <v/>
      </c>
    </row>
    <row r="77">
      <c r="J77" s="348">
        <f>LEFT(A77,1)</f>
        <v/>
      </c>
    </row>
    <row r="78">
      <c r="J78" s="348">
        <f>LEFT(A78,1)</f>
        <v/>
      </c>
    </row>
    <row r="79">
      <c r="J79" s="348">
        <f>LEFT(A79,1)</f>
        <v/>
      </c>
    </row>
    <row r="80">
      <c r="J80" s="348">
        <f>LEFT(A80,1)</f>
        <v/>
      </c>
    </row>
    <row r="81">
      <c r="J81" s="348">
        <f>LEFT(A81,1)</f>
        <v/>
      </c>
    </row>
    <row r="82">
      <c r="J82" s="348">
        <f>LEFT(A82,1)</f>
        <v/>
      </c>
    </row>
    <row r="83">
      <c r="J83" s="348">
        <f>LEFT(A83,1)</f>
        <v/>
      </c>
    </row>
    <row r="84">
      <c r="J84" s="348">
        <f>LEFT(A84,1)</f>
        <v/>
      </c>
    </row>
    <row r="85">
      <c r="J85" s="348">
        <f>LEFT(A85,1)</f>
        <v/>
      </c>
    </row>
    <row r="86">
      <c r="J86" s="348">
        <f>LEFT(A86,1)</f>
        <v/>
      </c>
    </row>
    <row r="87">
      <c r="J87" s="348">
        <f>LEFT(A87,1)</f>
        <v/>
      </c>
    </row>
    <row r="88">
      <c r="J88" s="348">
        <f>LEFT(A88,1)</f>
        <v/>
      </c>
    </row>
    <row r="89">
      <c r="J89" s="348">
        <f>LEFT(A89,1)</f>
        <v/>
      </c>
    </row>
    <row r="90">
      <c r="J90" s="348">
        <f>LEFT(A90,1)</f>
        <v/>
      </c>
    </row>
    <row r="91">
      <c r="J91" s="348">
        <f>LEFT(A91,1)</f>
        <v/>
      </c>
    </row>
    <row r="92">
      <c r="J92" s="348">
        <f>LEFT(A92,1)</f>
        <v/>
      </c>
    </row>
    <row r="93">
      <c r="J93" s="348">
        <f>LEFT(A93,1)</f>
        <v/>
      </c>
    </row>
    <row r="94">
      <c r="J94" s="348">
        <f>LEFT(A94,1)</f>
        <v/>
      </c>
    </row>
    <row r="95">
      <c r="J95" s="348">
        <f>LEFT(A95,1)</f>
        <v/>
      </c>
    </row>
    <row r="96">
      <c r="J96" s="348">
        <f>LEFT(A96,1)</f>
        <v/>
      </c>
    </row>
    <row r="97">
      <c r="J97" s="348">
        <f>LEFT(A97,1)</f>
        <v/>
      </c>
    </row>
    <row r="98">
      <c r="J98" s="348">
        <f>LEFT(A98,1)</f>
        <v/>
      </c>
    </row>
    <row r="99">
      <c r="J99" s="348">
        <f>LEFT(A99,1)</f>
        <v/>
      </c>
    </row>
    <row r="100">
      <c r="J100" s="348">
        <f>LEFT(A100,1)</f>
        <v/>
      </c>
    </row>
    <row r="101">
      <c r="J101" s="348">
        <f>LEFT(A101,1)</f>
        <v/>
      </c>
    </row>
    <row r="102">
      <c r="J102" s="348">
        <f>LEFT(A102,1)</f>
        <v/>
      </c>
    </row>
    <row r="103">
      <c r="J103" s="348">
        <f>LEFT(A103,1)</f>
        <v/>
      </c>
    </row>
    <row r="104">
      <c r="J104" s="348">
        <f>LEFT(A104,1)</f>
        <v/>
      </c>
    </row>
    <row r="105">
      <c r="J105" s="348">
        <f>LEFT(A105,1)</f>
        <v/>
      </c>
    </row>
    <row r="106">
      <c r="J106" s="348">
        <f>LEFT(A106,1)</f>
        <v/>
      </c>
    </row>
    <row r="107">
      <c r="J107" s="348">
        <f>LEFT(A107,1)</f>
        <v/>
      </c>
    </row>
    <row r="108">
      <c r="J108" s="348">
        <f>LEFT(A108,1)</f>
        <v/>
      </c>
    </row>
    <row r="109">
      <c r="J109" s="348">
        <f>LEFT(A109,1)</f>
        <v/>
      </c>
    </row>
    <row r="110">
      <c r="J110" s="348">
        <f>LEFT(A110,1)</f>
        <v/>
      </c>
    </row>
    <row r="111">
      <c r="J111" s="348">
        <f>LEFT(A111,1)</f>
        <v/>
      </c>
    </row>
    <row r="112">
      <c r="J112" s="348">
        <f>LEFT(A112,1)</f>
        <v/>
      </c>
    </row>
    <row r="113">
      <c r="J113" s="348">
        <f>LEFT(A113,1)</f>
        <v/>
      </c>
    </row>
    <row r="114">
      <c r="J114" s="348">
        <f>LEFT(A114,1)</f>
        <v/>
      </c>
    </row>
    <row r="115">
      <c r="J115" s="348">
        <f>LEFT(A115,1)</f>
        <v/>
      </c>
    </row>
    <row r="116">
      <c r="J116" s="348">
        <f>LEFT(A116,1)</f>
        <v/>
      </c>
    </row>
    <row r="117">
      <c r="J117" s="348">
        <f>LEFT(A117,1)</f>
        <v/>
      </c>
    </row>
    <row r="118">
      <c r="J118" s="348">
        <f>LEFT(A118,1)</f>
        <v/>
      </c>
    </row>
    <row r="119">
      <c r="J119" s="348">
        <f>LEFT(A119,1)</f>
        <v/>
      </c>
    </row>
    <row r="120">
      <c r="J120" s="348">
        <f>LEFT(A120,1)</f>
        <v/>
      </c>
    </row>
    <row r="121">
      <c r="J121" s="348">
        <f>LEFT(A121,1)</f>
        <v/>
      </c>
    </row>
    <row r="122">
      <c r="J122" s="348">
        <f>LEFT(A122,1)</f>
        <v/>
      </c>
    </row>
    <row r="123">
      <c r="J123" s="348">
        <f>LEFT(A123,1)</f>
        <v/>
      </c>
    </row>
    <row r="124">
      <c r="J124" s="348">
        <f>LEFT(A124,1)</f>
        <v/>
      </c>
    </row>
    <row r="125">
      <c r="J125" s="348">
        <f>LEFT(A125,1)</f>
        <v/>
      </c>
    </row>
    <row r="126">
      <c r="J126" s="348">
        <f>LEFT(A126,1)</f>
        <v/>
      </c>
    </row>
    <row r="127">
      <c r="J127" s="348">
        <f>LEFT(A127,1)</f>
        <v/>
      </c>
    </row>
    <row r="128">
      <c r="J128" s="348">
        <f>LEFT(A128,1)</f>
        <v/>
      </c>
    </row>
    <row r="129">
      <c r="J129" s="348">
        <f>LEFT(A129,1)</f>
        <v/>
      </c>
    </row>
    <row r="130">
      <c r="J130" s="348">
        <f>LEFT(A130,1)</f>
        <v/>
      </c>
    </row>
    <row r="131">
      <c r="J131" s="348">
        <f>LEFT(A131,1)</f>
        <v/>
      </c>
    </row>
    <row r="132">
      <c r="J132" s="348">
        <f>LEFT(A132,1)</f>
        <v/>
      </c>
    </row>
    <row r="133">
      <c r="J133" s="348">
        <f>LEFT(A133,1)</f>
        <v/>
      </c>
    </row>
    <row r="134">
      <c r="J134" s="348">
        <f>LEFT(A134,1)</f>
        <v/>
      </c>
    </row>
    <row r="135">
      <c r="J135" s="348">
        <f>LEFT(A135,1)</f>
        <v/>
      </c>
    </row>
    <row r="136">
      <c r="J136" s="348">
        <f>LEFT(A136,1)</f>
        <v/>
      </c>
    </row>
    <row r="137">
      <c r="J137" s="348">
        <f>LEFT(A137,1)</f>
        <v/>
      </c>
    </row>
    <row r="138">
      <c r="J138" s="348">
        <f>LEFT(A138,1)</f>
        <v/>
      </c>
    </row>
    <row r="139">
      <c r="J139" s="348">
        <f>LEFT(A139,1)</f>
        <v/>
      </c>
    </row>
    <row r="140">
      <c r="J140" s="348">
        <f>LEFT(A140,1)</f>
        <v/>
      </c>
    </row>
    <row r="141">
      <c r="J141" s="348">
        <f>LEFT(A141,1)</f>
        <v/>
      </c>
    </row>
    <row r="142">
      <c r="J142" s="348">
        <f>LEFT(A142,1)</f>
        <v/>
      </c>
    </row>
    <row r="143">
      <c r="J143" s="348">
        <f>LEFT(A143,1)</f>
        <v/>
      </c>
    </row>
    <row r="144">
      <c r="J144" s="348">
        <f>LEFT(A144,1)</f>
        <v/>
      </c>
    </row>
    <row r="145">
      <c r="J145" s="348">
        <f>LEFT(A145,1)</f>
        <v/>
      </c>
    </row>
    <row r="146">
      <c r="J146" s="348">
        <f>LEFT(A146,1)</f>
        <v/>
      </c>
    </row>
    <row r="147">
      <c r="J147" s="348">
        <f>LEFT(A147,1)</f>
        <v/>
      </c>
    </row>
    <row r="148">
      <c r="J148" s="348">
        <f>LEFT(A148,1)</f>
        <v/>
      </c>
    </row>
    <row r="149">
      <c r="J149" s="348">
        <f>LEFT(A149,1)</f>
        <v/>
      </c>
    </row>
    <row r="150">
      <c r="J150" s="348">
        <f>LEFT(A150,1)</f>
        <v/>
      </c>
    </row>
    <row r="151">
      <c r="J151" s="348">
        <f>LEFT(A151,1)</f>
        <v/>
      </c>
    </row>
    <row r="152">
      <c r="J152" s="348">
        <f>LEFT(A152,1)</f>
        <v/>
      </c>
    </row>
    <row r="153">
      <c r="J153" s="348">
        <f>LEFT(A153,1)</f>
        <v/>
      </c>
    </row>
    <row r="154">
      <c r="J154" s="348">
        <f>LEFT(A154,1)</f>
        <v/>
      </c>
    </row>
    <row r="155">
      <c r="J155" s="348">
        <f>LEFT(A155,1)</f>
        <v/>
      </c>
    </row>
    <row r="156">
      <c r="J156" s="348">
        <f>LEFT(A156,1)</f>
        <v/>
      </c>
    </row>
    <row r="157">
      <c r="J157" s="348">
        <f>LEFT(A157,1)</f>
        <v/>
      </c>
    </row>
    <row r="158">
      <c r="J158" s="348">
        <f>LEFT(A158,1)</f>
        <v/>
      </c>
    </row>
    <row r="159">
      <c r="J159" s="348">
        <f>LEFT(A159,1)</f>
        <v/>
      </c>
    </row>
    <row r="160">
      <c r="J160" s="348">
        <f>LEFT(A160,1)</f>
        <v/>
      </c>
    </row>
    <row r="161">
      <c r="J161" s="348">
        <f>LEFT(A161,1)</f>
        <v/>
      </c>
    </row>
    <row r="162">
      <c r="J162" s="348">
        <f>LEFT(A162,1)</f>
        <v/>
      </c>
    </row>
    <row r="163">
      <c r="J163" s="348">
        <f>LEFT(A163,1)</f>
        <v/>
      </c>
    </row>
    <row r="164">
      <c r="J164" s="348">
        <f>LEFT(A164,1)</f>
        <v/>
      </c>
    </row>
    <row r="165">
      <c r="J165" s="348">
        <f>LEFT(A165,1)</f>
        <v/>
      </c>
    </row>
    <row r="166">
      <c r="J166" s="348">
        <f>LEFT(A166,1)</f>
        <v/>
      </c>
    </row>
    <row r="167">
      <c r="J167" s="348">
        <f>LEFT(A167,1)</f>
        <v/>
      </c>
    </row>
    <row r="168">
      <c r="J168" s="348">
        <f>LEFT(A168,1)</f>
        <v/>
      </c>
    </row>
    <row r="169">
      <c r="J169" s="348">
        <f>LEFT(A169,1)</f>
        <v/>
      </c>
    </row>
    <row r="170">
      <c r="J170" s="348">
        <f>LEFT(A170,1)</f>
        <v/>
      </c>
    </row>
    <row r="171">
      <c r="J171" s="348">
        <f>LEFT(A171,1)</f>
        <v/>
      </c>
    </row>
    <row r="172">
      <c r="J172" s="348">
        <f>LEFT(A172,1)</f>
        <v/>
      </c>
    </row>
    <row r="173">
      <c r="J173" s="348">
        <f>LEFT(A173,1)</f>
        <v/>
      </c>
    </row>
    <row r="174">
      <c r="J174" s="348">
        <f>LEFT(A174,1)</f>
        <v/>
      </c>
    </row>
    <row r="175">
      <c r="J175" s="348">
        <f>LEFT(A175,1)</f>
        <v/>
      </c>
    </row>
    <row r="176">
      <c r="J176" s="348">
        <f>LEFT(A176,1)</f>
        <v/>
      </c>
    </row>
    <row r="177">
      <c r="J177" s="348">
        <f>LEFT(A177,1)</f>
        <v/>
      </c>
    </row>
    <row r="178">
      <c r="J178" s="348">
        <f>LEFT(A178,1)</f>
        <v/>
      </c>
    </row>
    <row r="179">
      <c r="J179" s="348">
        <f>LEFT(A179,1)</f>
        <v/>
      </c>
    </row>
    <row r="180">
      <c r="J180" s="348">
        <f>LEFT(A180,1)</f>
        <v/>
      </c>
    </row>
    <row r="181">
      <c r="J181" s="348">
        <f>LEFT(A181,1)</f>
        <v/>
      </c>
    </row>
    <row r="182">
      <c r="J182" s="348">
        <f>LEFT(A182,1)</f>
        <v/>
      </c>
    </row>
    <row r="183">
      <c r="J183" s="348">
        <f>LEFT(A183,1)</f>
        <v/>
      </c>
    </row>
    <row r="184">
      <c r="J184" s="348">
        <f>LEFT(A184,1)</f>
        <v/>
      </c>
    </row>
    <row r="185">
      <c r="J185" s="348">
        <f>LEFT(A185,1)</f>
        <v/>
      </c>
    </row>
    <row r="186">
      <c r="J186" s="348">
        <f>LEFT(A186,1)</f>
        <v/>
      </c>
    </row>
    <row r="187">
      <c r="J187" s="348">
        <f>LEFT(A187,1)</f>
        <v/>
      </c>
    </row>
    <row r="188">
      <c r="J188" s="348">
        <f>LEFT(A188,1)</f>
        <v/>
      </c>
    </row>
    <row r="189">
      <c r="J189" s="348">
        <f>LEFT(A189,1)</f>
        <v/>
      </c>
    </row>
    <row r="190">
      <c r="J190" s="348">
        <f>LEFT(A190,1)</f>
        <v/>
      </c>
    </row>
    <row r="191">
      <c r="J191" s="348">
        <f>LEFT(A191,1)</f>
        <v/>
      </c>
    </row>
    <row r="192">
      <c r="J192" s="348">
        <f>LEFT(A192,1)</f>
        <v/>
      </c>
    </row>
    <row r="193">
      <c r="J193" s="348">
        <f>LEFT(A193,1)</f>
        <v/>
      </c>
    </row>
    <row r="194">
      <c r="J194" s="348">
        <f>LEFT(A194,1)</f>
        <v/>
      </c>
    </row>
    <row r="195">
      <c r="J195" s="348">
        <f>LEFT(A195,1)</f>
        <v/>
      </c>
    </row>
    <row r="196">
      <c r="J196" s="348">
        <f>LEFT(A196,1)</f>
        <v/>
      </c>
    </row>
    <row r="197">
      <c r="J197" s="348">
        <f>LEFT(A197,1)</f>
        <v/>
      </c>
    </row>
    <row r="198">
      <c r="J198" s="348">
        <f>LEFT(A198,1)</f>
        <v/>
      </c>
    </row>
    <row r="199">
      <c r="J199" s="348">
        <f>LEFT(A199,1)</f>
        <v/>
      </c>
    </row>
    <row r="200">
      <c r="J200" s="348">
        <f>LEFT(A200,1)</f>
        <v/>
      </c>
    </row>
    <row r="201">
      <c r="J201" s="348">
        <f>LEFT(A201,1)</f>
        <v/>
      </c>
    </row>
    <row r="202">
      <c r="J202" s="348">
        <f>LEFT(A202,1)</f>
        <v/>
      </c>
    </row>
    <row r="203">
      <c r="J203" s="348">
        <f>LEFT(A203,1)</f>
        <v/>
      </c>
    </row>
    <row r="204">
      <c r="J204" s="348">
        <f>LEFT(A204,1)</f>
        <v/>
      </c>
    </row>
    <row r="205">
      <c r="J205" s="348">
        <f>LEFT(A205,1)</f>
        <v/>
      </c>
    </row>
    <row r="206">
      <c r="J206" s="348">
        <f>LEFT(A206,1)</f>
        <v/>
      </c>
    </row>
    <row r="207">
      <c r="J207" s="348">
        <f>LEFT(A207,1)</f>
        <v/>
      </c>
    </row>
    <row r="208">
      <c r="J208" s="348">
        <f>LEFT(A208,1)</f>
        <v/>
      </c>
    </row>
    <row r="209">
      <c r="J209" s="348">
        <f>LEFT(A209,1)</f>
        <v/>
      </c>
    </row>
    <row r="210">
      <c r="J210" s="348">
        <f>LEFT(A210,1)</f>
        <v/>
      </c>
    </row>
    <row r="211">
      <c r="J211" s="348">
        <f>LEFT(A211,1)</f>
        <v/>
      </c>
    </row>
    <row r="212">
      <c r="J212" s="348">
        <f>LEFT(A212,1)</f>
        <v/>
      </c>
    </row>
    <row r="213">
      <c r="J213" s="348">
        <f>LEFT(A213,1)</f>
        <v/>
      </c>
    </row>
    <row r="214">
      <c r="J214" s="348">
        <f>LEFT(A214,1)</f>
        <v/>
      </c>
    </row>
    <row r="215">
      <c r="J215" s="348">
        <f>LEFT(A215,1)</f>
        <v/>
      </c>
    </row>
    <row r="216">
      <c r="J216" s="348">
        <f>LEFT(A216,1)</f>
        <v/>
      </c>
    </row>
    <row r="217">
      <c r="J217" s="348">
        <f>LEFT(A217,1)</f>
        <v/>
      </c>
    </row>
    <row r="218">
      <c r="J218" s="348">
        <f>LEFT(A218,1)</f>
        <v/>
      </c>
    </row>
    <row r="219">
      <c r="J219" s="348">
        <f>LEFT(A219,1)</f>
        <v/>
      </c>
    </row>
    <row r="220">
      <c r="G220" s="348">
        <f>SUM(C220)-SUM(D220)</f>
        <v/>
      </c>
      <c r="H220" s="348">
        <f>SUM(E220)-SUM(F220)</f>
        <v/>
      </c>
      <c r="I220" s="348">
        <f>IF(A220="Total",VLOOKUP(B220,CORRESPONDANCE[#All],2,FALSE),I221)</f>
        <v/>
      </c>
      <c r="J220" s="348">
        <f>LEFT(A220,1)</f>
        <v/>
      </c>
    </row>
    <row r="221">
      <c r="G221" s="348">
        <f>SUM(C221)-SUM(D221)</f>
        <v/>
      </c>
      <c r="H221" s="348">
        <f>SUM(E221)-SUM(F221)</f>
        <v/>
      </c>
      <c r="I221" s="348">
        <f>IF(A221="Total",VLOOKUP(B221,CORRESPONDANCE[#All],2,FALSE),I222)</f>
        <v/>
      </c>
      <c r="J221" s="348">
        <f>LEFT(A221,1)</f>
        <v/>
      </c>
    </row>
    <row r="222">
      <c r="G222" s="348">
        <f>SUM(C222)-SUM(D222)</f>
        <v/>
      </c>
      <c r="H222" s="348">
        <f>SUM(E222)-SUM(F222)</f>
        <v/>
      </c>
      <c r="I222" s="348">
        <f>IF(A222="Total",VLOOKUP(B222,CORRESPONDANCE[#All],2,FALSE),I223)</f>
        <v/>
      </c>
      <c r="J222" s="348">
        <f>LEFT(A222,1)</f>
        <v/>
      </c>
    </row>
    <row r="223">
      <c r="G223" s="348">
        <f>SUM(C223)-SUM(D223)</f>
        <v/>
      </c>
      <c r="H223" s="348">
        <f>SUM(E223)-SUM(F223)</f>
        <v/>
      </c>
      <c r="I223" s="348">
        <f>IF(A223="Total",VLOOKUP(B223,CORRESPONDANCE[#All],2,FALSE),I224)</f>
        <v/>
      </c>
      <c r="J223" s="348">
        <f>LEFT(A223,1)</f>
        <v/>
      </c>
    </row>
    <row r="224">
      <c r="G224" s="348">
        <f>SUM(C224)-SUM(D224)</f>
        <v/>
      </c>
      <c r="H224" s="348">
        <f>SUM(E224)-SUM(F224)</f>
        <v/>
      </c>
      <c r="I224" s="348">
        <f>IF(A224="Total",VLOOKUP(B224,CORRESPONDANCE[#All],2,FALSE),I225)</f>
        <v/>
      </c>
      <c r="J224" s="348">
        <f>LEFT(A224,1)</f>
        <v/>
      </c>
    </row>
    <row r="225">
      <c r="G225" s="348">
        <f>SUM(C225)-SUM(D225)</f>
        <v/>
      </c>
      <c r="H225" s="348">
        <f>SUM(E225)-SUM(F225)</f>
        <v/>
      </c>
      <c r="I225" s="348">
        <f>IF(A225="Total",VLOOKUP(B225,CORRESPONDANCE[#All],2,FALSE),I226)</f>
        <v/>
      </c>
      <c r="J225" s="348">
        <f>LEFT(A225,1)</f>
        <v/>
      </c>
    </row>
    <row r="226">
      <c r="G226" s="348">
        <f>SUM(C226)-SUM(D226)</f>
        <v/>
      </c>
      <c r="H226" s="348">
        <f>SUM(E226)-SUM(F226)</f>
        <v/>
      </c>
      <c r="I226" s="348">
        <f>IF(A226="Total",VLOOKUP(B226,CORRESPONDANCE[#All],2,FALSE),I227)</f>
        <v/>
      </c>
      <c r="J226" s="348">
        <f>LEFT(A226,1)</f>
        <v/>
      </c>
    </row>
    <row r="227">
      <c r="G227" s="348">
        <f>SUM(C227)-SUM(D227)</f>
        <v/>
      </c>
      <c r="H227" s="348">
        <f>SUM(E227)-SUM(F227)</f>
        <v/>
      </c>
      <c r="I227" s="348">
        <f>IF(A227="Total",VLOOKUP(B227,CORRESPONDANCE[#All],2,FALSE),I228)</f>
        <v/>
      </c>
      <c r="J227" s="348">
        <f>LEFT(A227,1)</f>
        <v/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tabColor rgb="FFFFFF00"/>
    <outlinePr summaryBelow="1" summaryRight="1"/>
    <pageSetUpPr/>
  </sheetPr>
  <dimension ref="A1:F6091"/>
  <sheetViews>
    <sheetView workbookViewId="0">
      <selection activeCell="G26" sqref="G26:G27"/>
    </sheetView>
  </sheetViews>
  <sheetFormatPr baseColWidth="10" defaultColWidth="11.5703125" defaultRowHeight="15"/>
  <cols>
    <col width="16.7109375" bestFit="1" customWidth="1" style="227" min="1" max="1"/>
    <col width="12.140625" bestFit="1" customWidth="1" style="227" min="2" max="2"/>
    <col width="37.7109375" bestFit="1" customWidth="1" style="227" min="3" max="3"/>
    <col width="15.7109375" customWidth="1" style="227" min="4" max="4"/>
    <col width="11.5703125" customWidth="1" style="227" min="5" max="5"/>
    <col width="19" customWidth="1" style="227" min="6" max="6"/>
    <col width="11.5703125" customWidth="1" style="227" min="7" max="16384"/>
  </cols>
  <sheetData>
    <row r="1" ht="32.45" customFormat="1" customHeight="1" s="226">
      <c r="A1" s="226" t="inlineStr">
        <is>
          <t>Société - compte</t>
        </is>
      </c>
      <c r="B1" s="226" t="inlineStr">
        <is>
          <t>Compte</t>
        </is>
      </c>
      <c r="C1" s="226" t="inlineStr">
        <is>
          <t>Intitulé</t>
        </is>
      </c>
      <c r="D1" s="238" t="inlineStr">
        <is>
          <t>Table Libre N° 1</t>
        </is>
      </c>
      <c r="E1" s="238" t="inlineStr">
        <is>
          <t>Table Libre N° 2</t>
        </is>
      </c>
      <c r="F1" s="226" t="inlineStr">
        <is>
          <t>Société</t>
        </is>
      </c>
    </row>
    <row r="2">
      <c r="A2" s="227">
        <f>TL[[#This Row],[Société]]&amp;" - "&amp;TL[[#This Row],[Compte]]</f>
        <v/>
      </c>
      <c r="B2" s="233" t="inlineStr">
        <is>
          <t>101300</t>
        </is>
      </c>
      <c r="C2" s="227" t="inlineStr">
        <is>
          <t>Capital souscrit-appelé, versé</t>
        </is>
      </c>
      <c r="F2" s="227" t="inlineStr">
        <is>
          <t>VR7</t>
        </is>
      </c>
    </row>
    <row r="3">
      <c r="A3" s="227">
        <f>TL[[#This Row],[Société]]&amp;" - "&amp;TL[[#This Row],[Compte]]</f>
        <v/>
      </c>
      <c r="B3" s="233" t="inlineStr">
        <is>
          <t>106100</t>
        </is>
      </c>
      <c r="C3" s="227" t="inlineStr">
        <is>
          <t>Réserve légale</t>
        </is>
      </c>
      <c r="F3" s="227" t="inlineStr">
        <is>
          <t>VR7</t>
        </is>
      </c>
    </row>
    <row r="4">
      <c r="A4" s="227">
        <f>TL[[#This Row],[Société]]&amp;" - "&amp;TL[[#This Row],[Compte]]</f>
        <v/>
      </c>
      <c r="B4" s="233" t="inlineStr">
        <is>
          <t>106300</t>
        </is>
      </c>
      <c r="C4" s="227" t="inlineStr">
        <is>
          <t>Réserves statutaires ou contract.</t>
        </is>
      </c>
      <c r="F4" s="227" t="inlineStr">
        <is>
          <t>VR7</t>
        </is>
      </c>
    </row>
    <row r="5">
      <c r="A5" s="227">
        <f>TL[[#This Row],[Société]]&amp;" - "&amp;TL[[#This Row],[Compte]]</f>
        <v/>
      </c>
      <c r="B5" s="233" t="inlineStr">
        <is>
          <t>106800</t>
        </is>
      </c>
      <c r="C5" s="227" t="inlineStr">
        <is>
          <t>Autres réserves</t>
        </is>
      </c>
      <c r="F5" s="227" t="inlineStr">
        <is>
          <t>VR7</t>
        </is>
      </c>
    </row>
    <row r="6">
      <c r="A6" s="227">
        <f>TL[[#This Row],[Société]]&amp;" - "&amp;TL[[#This Row],[Compte]]</f>
        <v/>
      </c>
      <c r="B6" s="233" t="inlineStr">
        <is>
          <t>120000</t>
        </is>
      </c>
      <c r="C6" s="227" t="inlineStr">
        <is>
          <t>Bénéfice</t>
        </is>
      </c>
      <c r="F6" s="227" t="inlineStr">
        <is>
          <t>VR7</t>
        </is>
      </c>
    </row>
    <row r="7">
      <c r="A7" s="227">
        <f>TL[[#This Row],[Société]]&amp;" - "&amp;TL[[#This Row],[Compte]]</f>
        <v/>
      </c>
      <c r="B7" s="233" t="inlineStr">
        <is>
          <t>128000</t>
        </is>
      </c>
      <c r="C7" s="227" t="inlineStr">
        <is>
          <t>Acomptes sur les dividendes</t>
        </is>
      </c>
      <c r="F7" s="227" t="inlineStr">
        <is>
          <t>VR7</t>
        </is>
      </c>
    </row>
    <row r="8">
      <c r="A8" s="227">
        <f>TL[[#This Row],[Société]]&amp;" - "&amp;TL[[#This Row],[Compte]]</f>
        <v/>
      </c>
      <c r="B8" s="233" t="inlineStr">
        <is>
          <t>129000</t>
        </is>
      </c>
      <c r="C8" s="227" t="inlineStr">
        <is>
          <t>Perte</t>
        </is>
      </c>
      <c r="F8" s="227" t="inlineStr">
        <is>
          <t>VR7</t>
        </is>
      </c>
    </row>
    <row r="9">
      <c r="A9" s="227">
        <f>TL[[#This Row],[Société]]&amp;" - "&amp;TL[[#This Row],[Compte]]</f>
        <v/>
      </c>
      <c r="B9" s="233" t="inlineStr">
        <is>
          <t>145000</t>
        </is>
      </c>
      <c r="C9" s="227" t="inlineStr">
        <is>
          <t>Cree par cegid</t>
        </is>
      </c>
      <c r="F9" s="227" t="inlineStr">
        <is>
          <t>VR7</t>
        </is>
      </c>
    </row>
    <row r="10">
      <c r="A10" s="227">
        <f>TL[[#This Row],[Société]]&amp;" - "&amp;TL[[#This Row],[Compte]]</f>
        <v/>
      </c>
      <c r="B10" s="233" t="inlineStr">
        <is>
          <t>151800</t>
        </is>
      </c>
      <c r="C10" s="227" t="inlineStr">
        <is>
          <t>Provision pour risques et charges</t>
        </is>
      </c>
      <c r="F10" s="227" t="inlineStr">
        <is>
          <t>VR7</t>
        </is>
      </c>
    </row>
    <row r="11">
      <c r="A11" s="227">
        <f>TL[[#This Row],[Société]]&amp;" - "&amp;TL[[#This Row],[Compte]]</f>
        <v/>
      </c>
      <c r="B11" s="233" t="inlineStr">
        <is>
          <t>153000</t>
        </is>
      </c>
      <c r="C11" s="227" t="inlineStr">
        <is>
          <t>Provisions pensions &amp; obligat.simil</t>
        </is>
      </c>
      <c r="F11" s="227" t="inlineStr">
        <is>
          <t>VR7</t>
        </is>
      </c>
    </row>
    <row r="12">
      <c r="A12" s="227">
        <f>TL[[#This Row],[Société]]&amp;" - "&amp;TL[[#This Row],[Compte]]</f>
        <v/>
      </c>
      <c r="B12" s="233" t="inlineStr">
        <is>
          <t>158000</t>
        </is>
      </c>
      <c r="C12" s="227" t="inlineStr">
        <is>
          <t>Autres provisions pour charges</t>
        </is>
      </c>
      <c r="F12" s="227" t="inlineStr">
        <is>
          <t>VR7</t>
        </is>
      </c>
    </row>
    <row r="13">
      <c r="A13" s="227">
        <f>TL[[#This Row],[Société]]&amp;" - "&amp;TL[[#This Row],[Compte]]</f>
        <v/>
      </c>
      <c r="B13" s="233" t="inlineStr">
        <is>
          <t>164000</t>
        </is>
      </c>
      <c r="C13" s="227" t="inlineStr">
        <is>
          <t>Emprunt CRCA Full Restaurant 200K€</t>
        </is>
      </c>
      <c r="F13" s="227" t="inlineStr">
        <is>
          <t>VR7</t>
        </is>
      </c>
    </row>
    <row r="14">
      <c r="A14" s="227">
        <f>TL[[#This Row],[Société]]&amp;" - "&amp;TL[[#This Row],[Compte]]</f>
        <v/>
      </c>
      <c r="B14" s="233" t="inlineStr">
        <is>
          <t>164100</t>
        </is>
      </c>
      <c r="C14" s="227" t="inlineStr">
        <is>
          <t>Emprunt SG Parking 150K€</t>
        </is>
      </c>
      <c r="F14" s="227" t="inlineStr">
        <is>
          <t>VR7</t>
        </is>
      </c>
    </row>
    <row r="15">
      <c r="A15" s="227">
        <f>TL[[#This Row],[Société]]&amp;" - "&amp;TL[[#This Row],[Compte]]</f>
        <v/>
      </c>
      <c r="B15" s="233" t="inlineStr">
        <is>
          <t>164200</t>
        </is>
      </c>
      <c r="C15" s="227" t="inlineStr">
        <is>
          <t>Emprunt CRCA Remodel 1400K€</t>
        </is>
      </c>
      <c r="F15" s="227" t="inlineStr">
        <is>
          <t>VR7</t>
        </is>
      </c>
    </row>
    <row r="16">
      <c r="A16" s="227">
        <f>TL[[#This Row],[Société]]&amp;" - "&amp;TL[[#This Row],[Compte]]</f>
        <v/>
      </c>
      <c r="B16" s="233" t="inlineStr">
        <is>
          <t>164300</t>
        </is>
      </c>
      <c r="C16" s="227" t="inlineStr">
        <is>
          <t>Emprunt CRCA PGE 100K€</t>
        </is>
      </c>
      <c r="F16" s="227" t="inlineStr">
        <is>
          <t>VR7</t>
        </is>
      </c>
    </row>
    <row r="17">
      <c r="A17" s="227">
        <f>TL[[#This Row],[Société]]&amp;" - "&amp;TL[[#This Row],[Compte]]</f>
        <v/>
      </c>
      <c r="B17" s="233" t="inlineStr">
        <is>
          <t>164400</t>
        </is>
      </c>
      <c r="C17" s="227" t="inlineStr">
        <is>
          <t>Emprunt CRCA PGE 350K€</t>
        </is>
      </c>
      <c r="F17" s="227" t="inlineStr">
        <is>
          <t>VR7</t>
        </is>
      </c>
    </row>
    <row r="18">
      <c r="A18" s="227">
        <f>TL[[#This Row],[Société]]&amp;" - "&amp;TL[[#This Row],[Compte]]</f>
        <v/>
      </c>
      <c r="B18" s="233" t="inlineStr">
        <is>
          <t>164500</t>
        </is>
      </c>
      <c r="C18" s="227" t="inlineStr">
        <is>
          <t>Emprunt NPU</t>
        </is>
      </c>
      <c r="F18" s="227" t="inlineStr">
        <is>
          <t>VR7</t>
        </is>
      </c>
    </row>
    <row r="19">
      <c r="A19" s="227">
        <f>TL[[#This Row],[Société]]&amp;" - "&amp;TL[[#This Row],[Compte]]</f>
        <v/>
      </c>
      <c r="B19" s="233" t="inlineStr">
        <is>
          <t>168840</t>
        </is>
      </c>
      <c r="C19" s="227" t="inlineStr">
        <is>
          <t>Int.courus s/emp.aup.etablt.crédit</t>
        </is>
      </c>
      <c r="F19" s="227" t="inlineStr">
        <is>
          <t>VR7</t>
        </is>
      </c>
    </row>
    <row r="20">
      <c r="A20" s="227">
        <f>TL[[#This Row],[Société]]&amp;" - "&amp;TL[[#This Row],[Compte]]</f>
        <v/>
      </c>
      <c r="B20" s="233" t="inlineStr">
        <is>
          <t>205000</t>
        </is>
      </c>
      <c r="C20" s="227" t="inlineStr">
        <is>
          <t>Concessions et droits similaires</t>
        </is>
      </c>
      <c r="F20" s="227" t="inlineStr">
        <is>
          <t>VR7</t>
        </is>
      </c>
    </row>
    <row r="21">
      <c r="A21" s="227">
        <f>TL[[#This Row],[Société]]&amp;" - "&amp;TL[[#This Row],[Compte]]</f>
        <v/>
      </c>
      <c r="B21" s="233" t="inlineStr">
        <is>
          <t>215400</t>
        </is>
      </c>
      <c r="C21" s="227" t="inlineStr">
        <is>
          <t>Matériel industriel</t>
        </is>
      </c>
      <c r="F21" s="227" t="inlineStr">
        <is>
          <t>VR7</t>
        </is>
      </c>
    </row>
    <row r="22">
      <c r="A22" s="227">
        <f>TL[[#This Row],[Société]]&amp;" - "&amp;TL[[#This Row],[Compte]]</f>
        <v/>
      </c>
      <c r="B22" s="233" t="inlineStr">
        <is>
          <t>218100</t>
        </is>
      </c>
      <c r="C22" s="227" t="inlineStr">
        <is>
          <t>Instal.gales, agenct, aménagt.div.</t>
        </is>
      </c>
      <c r="F22" s="227" t="inlineStr">
        <is>
          <t>VR7</t>
        </is>
      </c>
    </row>
    <row r="23">
      <c r="A23" s="227">
        <f>TL[[#This Row],[Société]]&amp;" - "&amp;TL[[#This Row],[Compte]]</f>
        <v/>
      </c>
      <c r="B23" s="233" t="inlineStr">
        <is>
          <t>218200</t>
        </is>
      </c>
      <c r="C23" s="227" t="inlineStr">
        <is>
          <t>Matériel de transport</t>
        </is>
      </c>
      <c r="F23" s="227" t="inlineStr">
        <is>
          <t>VR7</t>
        </is>
      </c>
    </row>
    <row r="24">
      <c r="A24" s="227">
        <f>TL[[#This Row],[Société]]&amp;" - "&amp;TL[[#This Row],[Compte]]</f>
        <v/>
      </c>
      <c r="B24" s="233" t="inlineStr">
        <is>
          <t>218300</t>
        </is>
      </c>
      <c r="C24" s="227" t="inlineStr">
        <is>
          <t>Mat.de bureau et informat</t>
        </is>
      </c>
      <c r="F24" s="227" t="inlineStr">
        <is>
          <t>VR7</t>
        </is>
      </c>
    </row>
    <row r="25">
      <c r="A25" s="227">
        <f>TL[[#This Row],[Société]]&amp;" - "&amp;TL[[#This Row],[Compte]]</f>
        <v/>
      </c>
      <c r="B25" s="233" t="inlineStr">
        <is>
          <t>218400</t>
        </is>
      </c>
      <c r="C25" s="227" t="inlineStr">
        <is>
          <t>Mobilier</t>
        </is>
      </c>
      <c r="F25" s="227" t="inlineStr">
        <is>
          <t>VR7</t>
        </is>
      </c>
    </row>
    <row r="26">
      <c r="A26" s="227">
        <f>TL[[#This Row],[Société]]&amp;" - "&amp;TL[[#This Row],[Compte]]</f>
        <v/>
      </c>
      <c r="B26" s="233" t="inlineStr">
        <is>
          <t>231000</t>
        </is>
      </c>
      <c r="C26" s="227" t="inlineStr">
        <is>
          <t>Immo.corporelles en cours</t>
        </is>
      </c>
      <c r="F26" s="227" t="inlineStr">
        <is>
          <t>VR7</t>
        </is>
      </c>
    </row>
    <row r="27">
      <c r="A27" s="227">
        <f>TL[[#This Row],[Société]]&amp;" - "&amp;TL[[#This Row],[Compte]]</f>
        <v/>
      </c>
      <c r="B27" s="233" t="inlineStr">
        <is>
          <t>238800</t>
        </is>
      </c>
      <c r="C27" s="227" t="inlineStr">
        <is>
          <t>Avances sur autres immobilisations</t>
        </is>
      </c>
      <c r="F27" s="227" t="inlineStr">
        <is>
          <t>VR7</t>
        </is>
      </c>
    </row>
    <row r="28">
      <c r="A28" s="227">
        <f>TL[[#This Row],[Société]]&amp;" - "&amp;TL[[#This Row],[Compte]]</f>
        <v/>
      </c>
      <c r="B28" s="233" t="inlineStr">
        <is>
          <t>275000</t>
        </is>
      </c>
      <c r="C28" s="227" t="inlineStr">
        <is>
          <t>Dépôts et cautionnements</t>
        </is>
      </c>
      <c r="F28" s="227" t="inlineStr">
        <is>
          <t>VR7</t>
        </is>
      </c>
    </row>
    <row r="29">
      <c r="A29" s="227">
        <f>TL[[#This Row],[Société]]&amp;" - "&amp;TL[[#This Row],[Compte]]</f>
        <v/>
      </c>
      <c r="B29" s="233" t="inlineStr">
        <is>
          <t>280500</t>
        </is>
      </c>
      <c r="C29" s="227" t="inlineStr">
        <is>
          <t>Amortis. concess. &amp; droits simil.</t>
        </is>
      </c>
      <c r="F29" s="227" t="inlineStr">
        <is>
          <t>VR7</t>
        </is>
      </c>
    </row>
    <row r="30">
      <c r="A30" s="227">
        <f>TL[[#This Row],[Société]]&amp;" - "&amp;TL[[#This Row],[Compte]]</f>
        <v/>
      </c>
      <c r="B30" s="233" t="inlineStr">
        <is>
          <t>281540</t>
        </is>
      </c>
      <c r="C30" s="227" t="inlineStr">
        <is>
          <t>Amort.materiel de cuisine</t>
        </is>
      </c>
      <c r="F30" s="227" t="inlineStr">
        <is>
          <t>VR7</t>
        </is>
      </c>
    </row>
    <row r="31">
      <c r="A31" s="227">
        <f>TL[[#This Row],[Société]]&amp;" - "&amp;TL[[#This Row],[Compte]]</f>
        <v/>
      </c>
      <c r="B31" s="233" t="inlineStr">
        <is>
          <t>281810</t>
        </is>
      </c>
      <c r="C31" s="227" t="inlineStr">
        <is>
          <t>Amortis. instal. gales, agenct. div</t>
        </is>
      </c>
      <c r="F31" s="227" t="inlineStr">
        <is>
          <t>VR7</t>
        </is>
      </c>
    </row>
    <row r="32">
      <c r="A32" s="227">
        <f>TL[[#This Row],[Société]]&amp;" - "&amp;TL[[#This Row],[Compte]]</f>
        <v/>
      </c>
      <c r="B32" s="233" t="inlineStr">
        <is>
          <t>281830</t>
        </is>
      </c>
      <c r="C32" s="227" t="inlineStr">
        <is>
          <t>Amortis. matériel de bureau</t>
        </is>
      </c>
      <c r="F32" s="227" t="inlineStr">
        <is>
          <t>VR7</t>
        </is>
      </c>
    </row>
    <row r="33">
      <c r="A33" s="227">
        <f>TL[[#This Row],[Société]]&amp;" - "&amp;TL[[#This Row],[Compte]]</f>
        <v/>
      </c>
      <c r="B33" s="233" t="inlineStr">
        <is>
          <t>281840</t>
        </is>
      </c>
      <c r="C33" s="227" t="inlineStr">
        <is>
          <t>Amortis. mobilier</t>
        </is>
      </c>
      <c r="F33" s="227" t="inlineStr">
        <is>
          <t>VR7</t>
        </is>
      </c>
    </row>
    <row r="34">
      <c r="A34" s="227">
        <f>TL[[#This Row],[Société]]&amp;" - "&amp;TL[[#This Row],[Compte]]</f>
        <v/>
      </c>
      <c r="B34" s="233" t="inlineStr">
        <is>
          <t>283100</t>
        </is>
      </c>
      <c r="C34" s="227" t="inlineStr">
        <is>
          <t>Cree par cegid</t>
        </is>
      </c>
      <c r="F34" s="227" t="inlineStr">
        <is>
          <t>VR7</t>
        </is>
      </c>
    </row>
    <row r="35">
      <c r="A35" s="227">
        <f>TL[[#This Row],[Société]]&amp;" - "&amp;TL[[#This Row],[Compte]]</f>
        <v/>
      </c>
      <c r="B35" s="233" t="inlineStr">
        <is>
          <t>310000</t>
        </is>
      </c>
      <c r="C35" s="227" t="inlineStr">
        <is>
          <t>Stock food</t>
        </is>
      </c>
      <c r="F35" s="227" t="inlineStr">
        <is>
          <t>VR7</t>
        </is>
      </c>
    </row>
    <row r="36">
      <c r="A36" s="227">
        <f>TL[[#This Row],[Société]]&amp;" - "&amp;TL[[#This Row],[Compte]]</f>
        <v/>
      </c>
      <c r="B36" s="233" t="inlineStr">
        <is>
          <t>320000</t>
        </is>
      </c>
      <c r="C36" s="227" t="inlineStr">
        <is>
          <t>Stock papier</t>
        </is>
      </c>
      <c r="F36" s="227" t="inlineStr">
        <is>
          <t>VR7</t>
        </is>
      </c>
    </row>
    <row r="37">
      <c r="A37" s="227">
        <f>TL[[#This Row],[Société]]&amp;" - "&amp;TL[[#This Row],[Compte]]</f>
        <v/>
      </c>
      <c r="B37" s="233" t="inlineStr">
        <is>
          <t>321000</t>
        </is>
      </c>
      <c r="C37" s="227" t="inlineStr">
        <is>
          <t>Stock matières consommables</t>
        </is>
      </c>
      <c r="F37" s="227" t="inlineStr">
        <is>
          <t>VR7</t>
        </is>
      </c>
    </row>
    <row r="38">
      <c r="A38" s="227">
        <f>TL[[#This Row],[Société]]&amp;" - "&amp;TL[[#This Row],[Compte]]</f>
        <v/>
      </c>
      <c r="B38" s="233" t="inlineStr">
        <is>
          <t>401000</t>
        </is>
      </c>
      <c r="C38" s="227" t="inlineStr">
        <is>
          <t>Fournisseurs créditeurs</t>
        </is>
      </c>
      <c r="F38" s="227" t="inlineStr">
        <is>
          <t>VR7</t>
        </is>
      </c>
    </row>
    <row r="39">
      <c r="A39" s="227">
        <f>TL[[#This Row],[Société]]&amp;" - "&amp;TL[[#This Row],[Compte]]</f>
        <v/>
      </c>
      <c r="B39" s="233" t="inlineStr">
        <is>
          <t>401110</t>
        </is>
      </c>
      <c r="C39" s="227" t="inlineStr">
        <is>
          <t>Fournisseurs créditeurs</t>
        </is>
      </c>
      <c r="F39" s="227" t="inlineStr">
        <is>
          <t>VR7</t>
        </is>
      </c>
    </row>
    <row r="40">
      <c r="A40" s="227">
        <f>TL[[#This Row],[Société]]&amp;" - "&amp;TL[[#This Row],[Compte]]</f>
        <v/>
      </c>
      <c r="B40" s="233" t="inlineStr">
        <is>
          <t>401111</t>
        </is>
      </c>
      <c r="C40" s="227" t="inlineStr">
        <is>
          <t>Fournisseurs débiteurs</t>
        </is>
      </c>
      <c r="F40" s="227" t="inlineStr">
        <is>
          <t>VR7</t>
        </is>
      </c>
    </row>
    <row r="41">
      <c r="A41" s="227">
        <f>TL[[#This Row],[Société]]&amp;" - "&amp;TL[[#This Row],[Compte]]</f>
        <v/>
      </c>
      <c r="B41" s="233" t="inlineStr">
        <is>
          <t>404100</t>
        </is>
      </c>
      <c r="C41" s="227" t="inlineStr">
        <is>
          <t>Fournisseurs d'immobilisations</t>
        </is>
      </c>
      <c r="F41" s="227" t="inlineStr">
        <is>
          <t>VR7</t>
        </is>
      </c>
    </row>
    <row r="42">
      <c r="A42" s="227">
        <f>TL[[#This Row],[Société]]&amp;" - "&amp;TL[[#This Row],[Compte]]</f>
        <v/>
      </c>
      <c r="B42" s="233" t="inlineStr">
        <is>
          <t>404110</t>
        </is>
      </c>
      <c r="C42" s="227" t="inlineStr">
        <is>
          <t>Fournisseurs d'immobilisations</t>
        </is>
      </c>
      <c r="F42" s="227" t="inlineStr">
        <is>
          <t>VR7</t>
        </is>
      </c>
    </row>
    <row r="43">
      <c r="A43" s="227">
        <f>TL[[#This Row],[Société]]&amp;" - "&amp;TL[[#This Row],[Compte]]</f>
        <v/>
      </c>
      <c r="B43" s="233" t="inlineStr">
        <is>
          <t>408100</t>
        </is>
      </c>
      <c r="C43" s="227" t="inlineStr">
        <is>
          <t>Fournisseurs - fact. non parvenues</t>
        </is>
      </c>
      <c r="F43" s="227" t="inlineStr">
        <is>
          <t>VR7</t>
        </is>
      </c>
    </row>
    <row r="44">
      <c r="A44" s="227">
        <f>TL[[#This Row],[Société]]&amp;" - "&amp;TL[[#This Row],[Compte]]</f>
        <v/>
      </c>
      <c r="B44" s="233" t="inlineStr">
        <is>
          <t>408400</t>
        </is>
      </c>
      <c r="C44" s="227" t="inlineStr">
        <is>
          <t>Frs immobil. - fact. non parvenues</t>
        </is>
      </c>
      <c r="F44" s="227" t="inlineStr">
        <is>
          <t>VR7</t>
        </is>
      </c>
    </row>
    <row r="45">
      <c r="A45" s="227">
        <f>TL[[#This Row],[Société]]&amp;" - "&amp;TL[[#This Row],[Compte]]</f>
        <v/>
      </c>
      <c r="B45" s="233" t="inlineStr">
        <is>
          <t>409100</t>
        </is>
      </c>
      <c r="C45" s="227" t="inlineStr">
        <is>
          <t>Fournisseurs acomptes s/c</t>
        </is>
      </c>
      <c r="F45" s="227" t="inlineStr">
        <is>
          <t>VR7</t>
        </is>
      </c>
    </row>
    <row r="46">
      <c r="A46" s="227">
        <f>TL[[#This Row],[Société]]&amp;" - "&amp;TL[[#This Row],[Compte]]</f>
        <v/>
      </c>
      <c r="B46" s="233" t="inlineStr">
        <is>
          <t>409600</t>
        </is>
      </c>
      <c r="C46" s="227" t="inlineStr">
        <is>
          <t>Fournisseurs - emballages à rendre</t>
        </is>
      </c>
      <c r="F46" s="227" t="inlineStr">
        <is>
          <t>VR7</t>
        </is>
      </c>
    </row>
    <row r="47">
      <c r="A47" s="227">
        <f>TL[[#This Row],[Société]]&amp;" - "&amp;TL[[#This Row],[Compte]]</f>
        <v/>
      </c>
      <c r="B47" s="233" t="inlineStr">
        <is>
          <t>409700</t>
        </is>
      </c>
      <c r="C47" s="227" t="inlineStr">
        <is>
          <t>Fournisseurs - autres avoirs</t>
        </is>
      </c>
      <c r="F47" s="227" t="inlineStr">
        <is>
          <t>VR7</t>
        </is>
      </c>
    </row>
    <row r="48">
      <c r="A48" s="227">
        <f>TL[[#This Row],[Société]]&amp;" - "&amp;TL[[#This Row],[Compte]]</f>
        <v/>
      </c>
      <c r="B48" s="233" t="inlineStr">
        <is>
          <t>409800</t>
        </is>
      </c>
      <c r="C48" s="227" t="inlineStr">
        <is>
          <t>Fournisseurs - avoirs à recevoir</t>
        </is>
      </c>
      <c r="F48" s="227" t="inlineStr">
        <is>
          <t>VR7</t>
        </is>
      </c>
    </row>
    <row r="49">
      <c r="A49" s="227">
        <f>TL[[#This Row],[Société]]&amp;" - "&amp;TL[[#This Row],[Compte]]</f>
        <v/>
      </c>
      <c r="B49" s="233" t="inlineStr">
        <is>
          <t>411000</t>
        </is>
      </c>
      <c r="C49" s="227" t="inlineStr">
        <is>
          <t>Clients</t>
        </is>
      </c>
      <c r="F49" s="227" t="inlineStr">
        <is>
          <t>VR7</t>
        </is>
      </c>
    </row>
    <row r="50">
      <c r="A50" s="227">
        <f>TL[[#This Row],[Société]]&amp;" - "&amp;TL[[#This Row],[Compte]]</f>
        <v/>
      </c>
      <c r="B50" s="233" t="inlineStr">
        <is>
          <t>411001</t>
        </is>
      </c>
      <c r="C50" s="227" t="inlineStr">
        <is>
          <t>Client oleo recycling NPU</t>
        </is>
      </c>
      <c r="F50" s="227" t="inlineStr">
        <is>
          <t>VR7</t>
        </is>
      </c>
    </row>
    <row r="51">
      <c r="A51" s="227">
        <f>TL[[#This Row],[Société]]&amp;" - "&amp;TL[[#This Row],[Compte]]</f>
        <v/>
      </c>
      <c r="B51" s="233" t="inlineStr">
        <is>
          <t>411100</t>
        </is>
      </c>
      <c r="C51" s="227" t="inlineStr">
        <is>
          <t>Clients débiteurs</t>
        </is>
      </c>
      <c r="F51" s="227" t="inlineStr">
        <is>
          <t>VR7</t>
        </is>
      </c>
    </row>
    <row r="52">
      <c r="A52" s="227">
        <f>TL[[#This Row],[Société]]&amp;" - "&amp;TL[[#This Row],[Compte]]</f>
        <v/>
      </c>
      <c r="B52" s="233" t="inlineStr">
        <is>
          <t>413000</t>
        </is>
      </c>
      <c r="C52" s="227" t="inlineStr">
        <is>
          <t>Clients - effets à recevoir</t>
        </is>
      </c>
      <c r="F52" s="227" t="inlineStr">
        <is>
          <t>VR7</t>
        </is>
      </c>
    </row>
    <row r="53">
      <c r="A53" s="227">
        <f>TL[[#This Row],[Société]]&amp;" - "&amp;TL[[#This Row],[Compte]]</f>
        <v/>
      </c>
      <c r="B53" s="233" t="inlineStr">
        <is>
          <t>418100</t>
        </is>
      </c>
      <c r="C53" s="227" t="inlineStr">
        <is>
          <t>Clients - factures à établir</t>
        </is>
      </c>
      <c r="F53" s="227" t="inlineStr">
        <is>
          <t>VR7</t>
        </is>
      </c>
    </row>
    <row r="54">
      <c r="A54" s="227">
        <f>TL[[#This Row],[Société]]&amp;" - "&amp;TL[[#This Row],[Compte]]</f>
        <v/>
      </c>
      <c r="B54" s="233" t="inlineStr">
        <is>
          <t>421000</t>
        </is>
      </c>
      <c r="C54" s="227" t="inlineStr">
        <is>
          <t>Personnel - rémunérations dues</t>
        </is>
      </c>
      <c r="F54" s="227" t="inlineStr">
        <is>
          <t>VR7</t>
        </is>
      </c>
    </row>
    <row r="55">
      <c r="A55" s="227">
        <f>TL[[#This Row],[Société]]&amp;" - "&amp;TL[[#This Row],[Compte]]</f>
        <v/>
      </c>
      <c r="B55" s="233" t="inlineStr">
        <is>
          <t>421010</t>
        </is>
      </c>
      <c r="C55" s="227" t="inlineStr">
        <is>
          <t>Personnel - rémunérations dues SDTC</t>
        </is>
      </c>
      <c r="F55" s="227" t="inlineStr">
        <is>
          <t>VR7</t>
        </is>
      </c>
    </row>
    <row r="56">
      <c r="A56" s="227">
        <f>TL[[#This Row],[Société]]&amp;" - "&amp;TL[[#This Row],[Compte]]</f>
        <v/>
      </c>
      <c r="B56" s="233" t="inlineStr">
        <is>
          <t>421100</t>
        </is>
      </c>
      <c r="C56" s="227" t="inlineStr">
        <is>
          <t>Personnel - rémunérations dues SDTC</t>
        </is>
      </c>
      <c r="F56" s="227" t="inlineStr">
        <is>
          <t>VR7</t>
        </is>
      </c>
    </row>
    <row r="57">
      <c r="A57" s="227">
        <f>TL[[#This Row],[Société]]&amp;" - "&amp;TL[[#This Row],[Compte]]</f>
        <v/>
      </c>
      <c r="B57" s="233" t="inlineStr">
        <is>
          <t>421444</t>
        </is>
      </c>
      <c r="C57" s="227" t="inlineStr">
        <is>
          <t>Salariés</t>
        </is>
      </c>
      <c r="F57" s="227" t="inlineStr">
        <is>
          <t>VR7</t>
        </is>
      </c>
    </row>
    <row r="58">
      <c r="A58" s="227">
        <f>TL[[#This Row],[Société]]&amp;" - "&amp;TL[[#This Row],[Compte]]</f>
        <v/>
      </c>
      <c r="B58" s="233" t="inlineStr">
        <is>
          <t>425000</t>
        </is>
      </c>
      <c r="C58" s="227" t="inlineStr">
        <is>
          <t>Personnel - avances et acomptes</t>
        </is>
      </c>
      <c r="F58" s="227" t="inlineStr">
        <is>
          <t>VR7</t>
        </is>
      </c>
    </row>
    <row r="59">
      <c r="A59" s="227">
        <f>TL[[#This Row],[Société]]&amp;" - "&amp;TL[[#This Row],[Compte]]</f>
        <v/>
      </c>
      <c r="B59" s="233" t="inlineStr">
        <is>
          <t>427000</t>
        </is>
      </c>
      <c r="C59" s="227" t="inlineStr">
        <is>
          <t>Saisie arrêt</t>
        </is>
      </c>
      <c r="F59" s="227" t="inlineStr">
        <is>
          <t>VR7</t>
        </is>
      </c>
    </row>
    <row r="60">
      <c r="A60" s="227">
        <f>TL[[#This Row],[Société]]&amp;" - "&amp;TL[[#This Row],[Compte]]</f>
        <v/>
      </c>
      <c r="B60" s="233" t="inlineStr">
        <is>
          <t>428220</t>
        </is>
      </c>
      <c r="C60" s="227" t="inlineStr">
        <is>
          <t>Dettes prov pour congés managers</t>
        </is>
      </c>
      <c r="F60" s="227" t="inlineStr">
        <is>
          <t>VR7</t>
        </is>
      </c>
    </row>
    <row r="61">
      <c r="A61" s="227">
        <f>TL[[#This Row],[Société]]&amp;" - "&amp;TL[[#This Row],[Compte]]</f>
        <v/>
      </c>
      <c r="B61" s="233" t="inlineStr">
        <is>
          <t>428230</t>
        </is>
      </c>
      <c r="C61" s="227" t="inlineStr">
        <is>
          <t>Dettes prov pour congés équipiers</t>
        </is>
      </c>
      <c r="F61" s="227" t="inlineStr">
        <is>
          <t>VR7</t>
        </is>
      </c>
    </row>
    <row r="62">
      <c r="A62" s="227">
        <f>TL[[#This Row],[Société]]&amp;" - "&amp;TL[[#This Row],[Compte]]</f>
        <v/>
      </c>
      <c r="B62" s="233" t="inlineStr">
        <is>
          <t>428600</t>
        </is>
      </c>
      <c r="C62" s="227" t="inlineStr">
        <is>
          <t>Provisions gratifications à payer</t>
        </is>
      </c>
      <c r="F62" s="227" t="inlineStr">
        <is>
          <t>VR7</t>
        </is>
      </c>
    </row>
    <row r="63">
      <c r="A63" s="227">
        <f>TL[[#This Row],[Société]]&amp;" - "&amp;TL[[#This Row],[Compte]]</f>
        <v/>
      </c>
      <c r="B63" s="233" t="inlineStr">
        <is>
          <t>428610</t>
        </is>
      </c>
      <c r="C63" s="227" t="inlineStr">
        <is>
          <t>Personnel, charges à payer</t>
        </is>
      </c>
      <c r="F63" s="227" t="inlineStr">
        <is>
          <t>VR7</t>
        </is>
      </c>
    </row>
    <row r="64">
      <c r="A64" s="227">
        <f>TL[[#This Row],[Société]]&amp;" - "&amp;TL[[#This Row],[Compte]]</f>
        <v/>
      </c>
      <c r="B64" s="233" t="inlineStr">
        <is>
          <t>431000</t>
        </is>
      </c>
      <c r="C64" s="227" t="inlineStr">
        <is>
          <t>Sécurité sociale</t>
        </is>
      </c>
      <c r="F64" s="227" t="inlineStr">
        <is>
          <t>VR7</t>
        </is>
      </c>
    </row>
    <row r="65">
      <c r="A65" s="227">
        <f>TL[[#This Row],[Société]]&amp;" - "&amp;TL[[#This Row],[Compte]]</f>
        <v/>
      </c>
      <c r="B65" s="233" t="inlineStr">
        <is>
          <t>437000</t>
        </is>
      </c>
      <c r="C65" s="227" t="inlineStr">
        <is>
          <t>Autres organismes sociaux</t>
        </is>
      </c>
      <c r="F65" s="227" t="inlineStr">
        <is>
          <t>VR7</t>
        </is>
      </c>
    </row>
    <row r="66">
      <c r="A66" s="227">
        <f>TL[[#This Row],[Société]]&amp;" - "&amp;TL[[#This Row],[Compte]]</f>
        <v/>
      </c>
      <c r="B66" s="233" t="inlineStr">
        <is>
          <t>437010</t>
        </is>
      </c>
      <c r="C66" s="227" t="inlineStr">
        <is>
          <t>Activité partielle</t>
        </is>
      </c>
      <c r="F66" s="227" t="inlineStr">
        <is>
          <t>VR7</t>
        </is>
      </c>
    </row>
    <row r="67">
      <c r="A67" s="227">
        <f>TL[[#This Row],[Société]]&amp;" - "&amp;TL[[#This Row],[Compte]]</f>
        <v/>
      </c>
      <c r="B67" s="233" t="inlineStr">
        <is>
          <t>437020</t>
        </is>
      </c>
      <c r="C67" s="227" t="inlineStr">
        <is>
          <t>Retraite klésia</t>
        </is>
      </c>
      <c r="F67" s="227" t="inlineStr">
        <is>
          <t>VR7</t>
        </is>
      </c>
    </row>
    <row r="68">
      <c r="A68" s="227">
        <f>TL[[#This Row],[Société]]&amp;" - "&amp;TL[[#This Row],[Compte]]</f>
        <v/>
      </c>
      <c r="B68" s="233" t="inlineStr">
        <is>
          <t>437030</t>
        </is>
      </c>
      <c r="C68" s="227" t="inlineStr">
        <is>
          <t>Predica Retraite compltaire cadre</t>
        </is>
      </c>
      <c r="F68" s="227" t="inlineStr">
        <is>
          <t>VR7</t>
        </is>
      </c>
    </row>
    <row r="69">
      <c r="A69" s="227">
        <f>TL[[#This Row],[Société]]&amp;" - "&amp;TL[[#This Row],[Compte]]</f>
        <v/>
      </c>
      <c r="B69" s="233" t="inlineStr">
        <is>
          <t>437080</t>
        </is>
      </c>
      <c r="C69" s="227" t="inlineStr">
        <is>
          <t>Prévoyance Klesia</t>
        </is>
      </c>
      <c r="F69" s="227" t="inlineStr">
        <is>
          <t>VR7</t>
        </is>
      </c>
    </row>
    <row r="70">
      <c r="A70" s="227">
        <f>TL[[#This Row],[Société]]&amp;" - "&amp;TL[[#This Row],[Compte]]</f>
        <v/>
      </c>
      <c r="B70" s="233" t="inlineStr">
        <is>
          <t>437090</t>
        </is>
      </c>
      <c r="C70" s="227" t="inlineStr">
        <is>
          <t>Mutuelle npu</t>
        </is>
      </c>
      <c r="F70" s="227" t="inlineStr">
        <is>
          <t>VR7</t>
        </is>
      </c>
    </row>
    <row r="71">
      <c r="A71" s="227">
        <f>TL[[#This Row],[Société]]&amp;" - "&amp;TL[[#This Row],[Compte]]</f>
        <v/>
      </c>
      <c r="B71" s="233" t="inlineStr">
        <is>
          <t>437091</t>
        </is>
      </c>
      <c r="C71" s="227" t="inlineStr">
        <is>
          <t>PRELVT SOURCE</t>
        </is>
      </c>
      <c r="F71" s="227" t="inlineStr">
        <is>
          <t>VR7</t>
        </is>
      </c>
    </row>
    <row r="72">
      <c r="A72" s="227">
        <f>TL[[#This Row],[Société]]&amp;" - "&amp;TL[[#This Row],[Compte]]</f>
        <v/>
      </c>
      <c r="B72" s="233" t="inlineStr">
        <is>
          <t>437200</t>
        </is>
      </c>
      <c r="C72" s="227" t="inlineStr">
        <is>
          <t>Mutuelle cerap</t>
        </is>
      </c>
      <c r="F72" s="227" t="inlineStr">
        <is>
          <t>VR7</t>
        </is>
      </c>
    </row>
    <row r="73">
      <c r="A73" s="227">
        <f>TL[[#This Row],[Société]]&amp;" - "&amp;TL[[#This Row],[Compte]]</f>
        <v/>
      </c>
      <c r="B73" s="233" t="inlineStr">
        <is>
          <t>438000</t>
        </is>
      </c>
      <c r="C73" s="227" t="inlineStr">
        <is>
          <t>ta libératoire</t>
        </is>
      </c>
      <c r="F73" s="227" t="inlineStr">
        <is>
          <t>VR7</t>
        </is>
      </c>
    </row>
    <row r="74">
      <c r="A74" s="227">
        <f>TL[[#This Row],[Société]]&amp;" - "&amp;TL[[#This Row],[Compte]]</f>
        <v/>
      </c>
      <c r="B74" s="233" t="inlineStr">
        <is>
          <t>438300</t>
        </is>
      </c>
      <c r="C74" s="227" t="inlineStr">
        <is>
          <t>Prov ch sociales s gratifications</t>
        </is>
      </c>
      <c r="F74" s="227" t="inlineStr">
        <is>
          <t>VR7</t>
        </is>
      </c>
    </row>
    <row r="75">
      <c r="A75" s="227">
        <f>TL[[#This Row],[Société]]&amp;" - "&amp;TL[[#This Row],[Compte]]</f>
        <v/>
      </c>
      <c r="B75" s="233" t="inlineStr">
        <is>
          <t>438600</t>
        </is>
      </c>
      <c r="C75" s="227" t="inlineStr">
        <is>
          <t>Charges sociales - charges à payer</t>
        </is>
      </c>
      <c r="F75" s="227" t="inlineStr">
        <is>
          <t>VR7</t>
        </is>
      </c>
    </row>
    <row r="76">
      <c r="A76" s="227">
        <f>TL[[#This Row],[Société]]&amp;" - "&amp;TL[[#This Row],[Compte]]</f>
        <v/>
      </c>
      <c r="B76" s="233" t="inlineStr">
        <is>
          <t>438620</t>
        </is>
      </c>
      <c r="C76" s="227" t="inlineStr">
        <is>
          <t>Charges sociales prov cp assistants</t>
        </is>
      </c>
      <c r="F76" s="227" t="inlineStr">
        <is>
          <t>VR7</t>
        </is>
      </c>
    </row>
    <row r="77">
      <c r="A77" s="227">
        <f>TL[[#This Row],[Société]]&amp;" - "&amp;TL[[#This Row],[Compte]]</f>
        <v/>
      </c>
      <c r="B77" s="233" t="inlineStr">
        <is>
          <t>438630</t>
        </is>
      </c>
      <c r="C77" s="227" t="inlineStr">
        <is>
          <t>Charges sociales prov cp équipiers</t>
        </is>
      </c>
      <c r="F77" s="227" t="inlineStr">
        <is>
          <t>VR7</t>
        </is>
      </c>
    </row>
    <row r="78">
      <c r="A78" s="227">
        <f>TL[[#This Row],[Société]]&amp;" - "&amp;TL[[#This Row],[Compte]]</f>
        <v/>
      </c>
      <c r="B78" s="233" t="inlineStr">
        <is>
          <t>442000</t>
        </is>
      </c>
      <c r="C78" s="227" t="inlineStr">
        <is>
          <t>Etat - impôts et taxes recouv.s/tie</t>
        </is>
      </c>
      <c r="F78" s="227" t="inlineStr">
        <is>
          <t>VR7</t>
        </is>
      </c>
    </row>
    <row r="79">
      <c r="A79" s="227">
        <f>TL[[#This Row],[Société]]&amp;" - "&amp;TL[[#This Row],[Compte]]</f>
        <v/>
      </c>
      <c r="B79" s="233" t="inlineStr">
        <is>
          <t>442100</t>
        </is>
      </c>
      <c r="C79" s="227" t="inlineStr">
        <is>
          <t>prelevement liberatoire</t>
        </is>
      </c>
      <c r="F79" s="227" t="inlineStr">
        <is>
          <t>VR7</t>
        </is>
      </c>
    </row>
    <row r="80">
      <c r="A80" s="227">
        <f>TL[[#This Row],[Société]]&amp;" - "&amp;TL[[#This Row],[Compte]]</f>
        <v/>
      </c>
      <c r="B80" s="233" t="inlineStr">
        <is>
          <t>442300</t>
        </is>
      </c>
      <c r="C80" s="227" t="inlineStr">
        <is>
          <t>Retenues et prél. sur distributions</t>
        </is>
      </c>
      <c r="F80" s="227" t="inlineStr">
        <is>
          <t>VR7</t>
        </is>
      </c>
    </row>
    <row r="81">
      <c r="A81" s="227">
        <f>TL[[#This Row],[Société]]&amp;" - "&amp;TL[[#This Row],[Compte]]</f>
        <v/>
      </c>
      <c r="B81" s="233" t="inlineStr">
        <is>
          <t>444000</t>
        </is>
      </c>
      <c r="C81" s="227" t="inlineStr">
        <is>
          <t>Etat - impôts sur les bénéfices</t>
        </is>
      </c>
      <c r="F81" s="227" t="inlineStr">
        <is>
          <t>VR7</t>
        </is>
      </c>
    </row>
    <row r="82">
      <c r="A82" s="227">
        <f>TL[[#This Row],[Société]]&amp;" - "&amp;TL[[#This Row],[Compte]]</f>
        <v/>
      </c>
      <c r="B82" s="233" t="inlineStr">
        <is>
          <t>445200</t>
        </is>
      </c>
      <c r="C82" s="227" t="inlineStr">
        <is>
          <t>Tva ue collectée</t>
        </is>
      </c>
      <c r="F82" s="227" t="inlineStr">
        <is>
          <t>VR7</t>
        </is>
      </c>
    </row>
    <row r="83">
      <c r="A83" s="227">
        <f>TL[[#This Row],[Société]]&amp;" - "&amp;TL[[#This Row],[Compte]]</f>
        <v/>
      </c>
      <c r="B83" s="233" t="inlineStr">
        <is>
          <t>445510</t>
        </is>
      </c>
      <c r="C83" s="227" t="inlineStr">
        <is>
          <t>Tva à décaisser</t>
        </is>
      </c>
      <c r="F83" s="227" t="inlineStr">
        <is>
          <t>VR7</t>
        </is>
      </c>
    </row>
    <row r="84">
      <c r="A84" s="227">
        <f>TL[[#This Row],[Société]]&amp;" - "&amp;TL[[#This Row],[Compte]]</f>
        <v/>
      </c>
      <c r="B84" s="233" t="inlineStr">
        <is>
          <t>445580</t>
        </is>
      </c>
      <c r="C84" s="227" t="inlineStr">
        <is>
          <t>Acomptes sur tva à décaisser</t>
        </is>
      </c>
      <c r="F84" s="227" t="inlineStr">
        <is>
          <t>VR7</t>
        </is>
      </c>
    </row>
    <row r="85">
      <c r="A85" s="227">
        <f>TL[[#This Row],[Société]]&amp;" - "&amp;TL[[#This Row],[Compte]]</f>
        <v/>
      </c>
      <c r="B85" s="233" t="inlineStr">
        <is>
          <t>445620</t>
        </is>
      </c>
      <c r="C85" s="227" t="inlineStr">
        <is>
          <t>Tva déductible s/immobilisations</t>
        </is>
      </c>
      <c r="F85" s="227" t="inlineStr">
        <is>
          <t>VR7</t>
        </is>
      </c>
    </row>
    <row r="86">
      <c r="A86" s="227">
        <f>TL[[#This Row],[Société]]&amp;" - "&amp;TL[[#This Row],[Compte]]</f>
        <v/>
      </c>
      <c r="B86" s="233" t="inlineStr">
        <is>
          <t>445621</t>
        </is>
      </c>
      <c r="C86" s="227" t="inlineStr">
        <is>
          <t>Tva s/ immo encaissements</t>
        </is>
      </c>
      <c r="F86" s="227" t="inlineStr">
        <is>
          <t>VR7</t>
        </is>
      </c>
    </row>
    <row r="87">
      <c r="A87" s="227">
        <f>TL[[#This Row],[Société]]&amp;" - "&amp;TL[[#This Row],[Compte]]</f>
        <v/>
      </c>
      <c r="B87" s="233" t="inlineStr">
        <is>
          <t>445660</t>
        </is>
      </c>
      <c r="C87" s="227" t="inlineStr">
        <is>
          <t>Tva déductible s/aut.biens et sces</t>
        </is>
      </c>
      <c r="F87" s="227" t="inlineStr">
        <is>
          <t>VR7</t>
        </is>
      </c>
    </row>
    <row r="88">
      <c r="A88" s="227">
        <f>TL[[#This Row],[Société]]&amp;" - "&amp;TL[[#This Row],[Compte]]</f>
        <v/>
      </c>
      <c r="B88" s="233" t="inlineStr">
        <is>
          <t>445661</t>
        </is>
      </c>
      <c r="C88" s="227" t="inlineStr">
        <is>
          <t>Tva déductible s/prest. services</t>
        </is>
      </c>
      <c r="F88" s="227" t="inlineStr">
        <is>
          <t>VR7</t>
        </is>
      </c>
    </row>
    <row r="89">
      <c r="A89" s="227">
        <f>TL[[#This Row],[Société]]&amp;" - "&amp;TL[[#This Row],[Compte]]</f>
        <v/>
      </c>
      <c r="B89" s="233" t="inlineStr">
        <is>
          <t>445662</t>
        </is>
      </c>
      <c r="C89" s="227" t="inlineStr">
        <is>
          <t>Tva déductible ue</t>
        </is>
      </c>
      <c r="F89" s="227" t="inlineStr">
        <is>
          <t>VR7</t>
        </is>
      </c>
    </row>
    <row r="90">
      <c r="A90" s="227">
        <f>TL[[#This Row],[Société]]&amp;" - "&amp;TL[[#This Row],[Compte]]</f>
        <v/>
      </c>
      <c r="B90" s="233" t="inlineStr">
        <is>
          <t>445670</t>
        </is>
      </c>
      <c r="C90" s="227" t="inlineStr">
        <is>
          <t>Crédit de tva à reporter</t>
        </is>
      </c>
      <c r="F90" s="227" t="inlineStr">
        <is>
          <t>VR7</t>
        </is>
      </c>
    </row>
    <row r="91">
      <c r="A91" s="227">
        <f>TL[[#This Row],[Société]]&amp;" - "&amp;TL[[#This Row],[Compte]]</f>
        <v/>
      </c>
      <c r="B91" s="233" t="inlineStr">
        <is>
          <t>445710</t>
        </is>
      </c>
      <c r="C91" s="227" t="inlineStr">
        <is>
          <t>Tva à 5,5%</t>
        </is>
      </c>
      <c r="F91" s="227" t="inlineStr">
        <is>
          <t>VR7</t>
        </is>
      </c>
    </row>
    <row r="92">
      <c r="A92" s="227">
        <f>TL[[#This Row],[Société]]&amp;" - "&amp;TL[[#This Row],[Compte]]</f>
        <v/>
      </c>
      <c r="B92" s="233" t="inlineStr">
        <is>
          <t>445716</t>
        </is>
      </c>
      <c r="C92" s="227" t="inlineStr">
        <is>
          <t>Tva à 10%</t>
        </is>
      </c>
      <c r="F92" s="227" t="inlineStr">
        <is>
          <t>VR7</t>
        </is>
      </c>
    </row>
    <row r="93">
      <c r="A93" s="227">
        <f>TL[[#This Row],[Société]]&amp;" - "&amp;TL[[#This Row],[Compte]]</f>
        <v/>
      </c>
      <c r="B93" s="233" t="inlineStr">
        <is>
          <t>445717</t>
        </is>
      </c>
      <c r="C93" s="227" t="inlineStr">
        <is>
          <t>Tva 20 % lr service</t>
        </is>
      </c>
      <c r="F93" s="227" t="inlineStr">
        <is>
          <t>VR7</t>
        </is>
      </c>
    </row>
    <row r="94">
      <c r="A94" s="227">
        <f>TL[[#This Row],[Société]]&amp;" - "&amp;TL[[#This Row],[Compte]]</f>
        <v/>
      </c>
      <c r="B94" s="233" t="inlineStr">
        <is>
          <t>445720</t>
        </is>
      </c>
      <c r="C94" s="227" t="inlineStr">
        <is>
          <t>Tva à 20%</t>
        </is>
      </c>
      <c r="F94" s="227" t="inlineStr">
        <is>
          <t>VR7</t>
        </is>
      </c>
    </row>
    <row r="95">
      <c r="A95" s="227">
        <f>TL[[#This Row],[Société]]&amp;" - "&amp;TL[[#This Row],[Compte]]</f>
        <v/>
      </c>
      <c r="B95" s="233" t="inlineStr">
        <is>
          <t>445750</t>
        </is>
      </c>
      <c r="C95" s="227" t="inlineStr">
        <is>
          <t>Tva collectee à 19.60 %</t>
        </is>
      </c>
      <c r="F95" s="227" t="inlineStr">
        <is>
          <t>VR7</t>
        </is>
      </c>
    </row>
    <row r="96">
      <c r="A96" s="227">
        <f>TL[[#This Row],[Société]]&amp;" - "&amp;TL[[#This Row],[Compte]]</f>
        <v/>
      </c>
      <c r="B96" s="233" t="inlineStr">
        <is>
          <t>445830</t>
        </is>
      </c>
      <c r="C96" s="227" t="inlineStr">
        <is>
          <t>Remboursement de tva demandé</t>
        </is>
      </c>
      <c r="F96" s="227" t="inlineStr">
        <is>
          <t>VR7</t>
        </is>
      </c>
    </row>
    <row r="97">
      <c r="A97" s="227">
        <f>TL[[#This Row],[Société]]&amp;" - "&amp;TL[[#This Row],[Compte]]</f>
        <v/>
      </c>
      <c r="B97" s="233" t="inlineStr">
        <is>
          <t>445860</t>
        </is>
      </c>
      <c r="C97" s="227" t="inlineStr">
        <is>
          <t>Tva sur factures non parvenues</t>
        </is>
      </c>
      <c r="F97" s="227" t="inlineStr">
        <is>
          <t>VR7</t>
        </is>
      </c>
    </row>
    <row r="98">
      <c r="A98" s="227">
        <f>TL[[#This Row],[Société]]&amp;" - "&amp;TL[[#This Row],[Compte]]</f>
        <v/>
      </c>
      <c r="B98" s="233" t="inlineStr">
        <is>
          <t>445861</t>
        </is>
      </c>
      <c r="C98" s="227" t="inlineStr">
        <is>
          <t>Tva avoir a recevoir</t>
        </is>
      </c>
      <c r="F98" s="227" t="inlineStr">
        <is>
          <t>VR7</t>
        </is>
      </c>
    </row>
    <row r="99">
      <c r="A99" s="227">
        <f>TL[[#This Row],[Société]]&amp;" - "&amp;TL[[#This Row],[Compte]]</f>
        <v/>
      </c>
      <c r="B99" s="233" t="inlineStr">
        <is>
          <t>445870</t>
        </is>
      </c>
      <c r="C99" s="227" t="inlineStr">
        <is>
          <t>Tva sur factures à établir</t>
        </is>
      </c>
      <c r="F99" s="227" t="inlineStr">
        <is>
          <t>VR7</t>
        </is>
      </c>
    </row>
    <row r="100">
      <c r="A100" s="227">
        <f>TL[[#This Row],[Société]]&amp;" - "&amp;TL[[#This Row],[Compte]]</f>
        <v/>
      </c>
      <c r="B100" s="233" t="inlineStr">
        <is>
          <t>448600</t>
        </is>
      </c>
      <c r="C100" s="227" t="inlineStr">
        <is>
          <t>Etat - autres charges à payer</t>
        </is>
      </c>
      <c r="F100" s="227" t="inlineStr">
        <is>
          <t>VR7</t>
        </is>
      </c>
    </row>
    <row r="101">
      <c r="A101" s="227">
        <f>TL[[#This Row],[Société]]&amp;" - "&amp;TL[[#This Row],[Compte]]</f>
        <v/>
      </c>
      <c r="B101" s="233" t="inlineStr">
        <is>
          <t>448700</t>
        </is>
      </c>
      <c r="C101" s="227" t="inlineStr">
        <is>
          <t>Etat - produits à recevoir</t>
        </is>
      </c>
      <c r="F101" s="227" t="inlineStr">
        <is>
          <t>VR7</t>
        </is>
      </c>
    </row>
    <row r="102">
      <c r="A102" s="227">
        <f>TL[[#This Row],[Société]]&amp;" - "&amp;TL[[#This Row],[Compte]]</f>
        <v/>
      </c>
      <c r="B102" s="233" t="inlineStr">
        <is>
          <t>455000</t>
        </is>
      </c>
      <c r="C102" s="227" t="inlineStr">
        <is>
          <t>Associés - régis régo de sebes</t>
        </is>
      </c>
      <c r="F102" s="227" t="inlineStr">
        <is>
          <t>VR7</t>
        </is>
      </c>
    </row>
    <row r="103">
      <c r="A103" s="227">
        <f>TL[[#This Row],[Société]]&amp;" - "&amp;TL[[#This Row],[Compte]]</f>
        <v/>
      </c>
      <c r="B103" s="233" t="inlineStr">
        <is>
          <t>455100</t>
        </is>
      </c>
      <c r="C103" s="227" t="inlineStr">
        <is>
          <t>Rth76</t>
        </is>
      </c>
      <c r="F103" s="227" t="inlineStr">
        <is>
          <t>VR7</t>
        </is>
      </c>
    </row>
    <row r="104">
      <c r="A104" s="227">
        <f>TL[[#This Row],[Société]]&amp;" - "&amp;TL[[#This Row],[Compte]]</f>
        <v/>
      </c>
      <c r="B104" s="233" t="inlineStr">
        <is>
          <t>455200</t>
        </is>
      </c>
      <c r="C104" s="227" t="inlineStr">
        <is>
          <t>Associés - renaud rego de sebes</t>
        </is>
      </c>
      <c r="F104" s="227" t="inlineStr">
        <is>
          <t>VR7</t>
        </is>
      </c>
    </row>
    <row r="105">
      <c r="A105" s="227">
        <f>TL[[#This Row],[Société]]&amp;" - "&amp;TL[[#This Row],[Compte]]</f>
        <v/>
      </c>
      <c r="B105" s="233" t="inlineStr">
        <is>
          <t>457000</t>
        </is>
      </c>
      <c r="C105" s="227" t="inlineStr">
        <is>
          <t>Associés dividendes à payer</t>
        </is>
      </c>
      <c r="F105" s="227" t="inlineStr">
        <is>
          <t>VR7</t>
        </is>
      </c>
    </row>
    <row r="106">
      <c r="A106" s="227">
        <f>TL[[#This Row],[Société]]&amp;" - "&amp;TL[[#This Row],[Compte]]</f>
        <v/>
      </c>
      <c r="B106" s="233" t="inlineStr">
        <is>
          <t>458800</t>
        </is>
      </c>
      <c r="C106" s="227" t="inlineStr">
        <is>
          <t>Associés - intérêts courus</t>
        </is>
      </c>
      <c r="F106" s="227" t="inlineStr">
        <is>
          <t>VR7</t>
        </is>
      </c>
    </row>
    <row r="107">
      <c r="A107" s="227">
        <f>TL[[#This Row],[Société]]&amp;" - "&amp;TL[[#This Row],[Compte]]</f>
        <v/>
      </c>
      <c r="B107" s="233" t="inlineStr">
        <is>
          <t>467000</t>
        </is>
      </c>
      <c r="C107" s="227" t="inlineStr">
        <is>
          <t>Autres comptes débiteurs/créditeurs</t>
        </is>
      </c>
      <c r="F107" s="227" t="inlineStr">
        <is>
          <t>VR7</t>
        </is>
      </c>
    </row>
    <row r="108">
      <c r="A108" s="227">
        <f>TL[[#This Row],[Société]]&amp;" - "&amp;TL[[#This Row],[Compte]]</f>
        <v/>
      </c>
      <c r="B108" s="233" t="inlineStr">
        <is>
          <t>467100</t>
        </is>
      </c>
      <c r="C108" s="227" t="inlineStr">
        <is>
          <t>urne</t>
        </is>
      </c>
      <c r="F108" s="227" t="inlineStr">
        <is>
          <t>VR7</t>
        </is>
      </c>
    </row>
    <row r="109">
      <c r="A109" s="227">
        <f>TL[[#This Row],[Société]]&amp;" - "&amp;TL[[#This Row],[Compte]]</f>
        <v/>
      </c>
      <c r="B109" s="233" t="inlineStr">
        <is>
          <t>467110</t>
        </is>
      </c>
      <c r="C109" s="227" t="inlineStr">
        <is>
          <t>urne</t>
        </is>
      </c>
      <c r="F109" s="227" t="inlineStr">
        <is>
          <t>VR7</t>
        </is>
      </c>
    </row>
    <row r="110">
      <c r="A110" s="227">
        <f>TL[[#This Row],[Société]]&amp;" - "&amp;TL[[#This Row],[Compte]]</f>
        <v/>
      </c>
      <c r="B110" s="233" t="inlineStr">
        <is>
          <t>467200</t>
        </is>
      </c>
      <c r="C110" s="227" t="inlineStr">
        <is>
          <t>GLR5 NE PAS UTILISER</t>
        </is>
      </c>
      <c r="F110" s="227" t="inlineStr">
        <is>
          <t>VR7</t>
        </is>
      </c>
    </row>
    <row r="111">
      <c r="A111" s="227">
        <f>TL[[#This Row],[Société]]&amp;" - "&amp;TL[[#This Row],[Compte]]</f>
        <v/>
      </c>
      <c r="B111" s="233" t="inlineStr">
        <is>
          <t>467210</t>
        </is>
      </c>
      <c r="C111" s="227" t="inlineStr">
        <is>
          <t>GLR5</t>
        </is>
      </c>
      <c r="F111" s="227" t="inlineStr">
        <is>
          <t>VR7</t>
        </is>
      </c>
    </row>
    <row r="112">
      <c r="A112" s="227">
        <f>TL[[#This Row],[Société]]&amp;" - "&amp;TL[[#This Row],[Compte]]</f>
        <v/>
      </c>
      <c r="B112" s="233" t="inlineStr">
        <is>
          <t>467220</t>
        </is>
      </c>
      <c r="C112" s="227" t="inlineStr">
        <is>
          <t>ecart s/remise chq</t>
        </is>
      </c>
      <c r="F112" s="227" t="inlineStr">
        <is>
          <t>VR7</t>
        </is>
      </c>
    </row>
    <row r="113">
      <c r="A113" s="227">
        <f>TL[[#This Row],[Société]]&amp;" - "&amp;TL[[#This Row],[Compte]]</f>
        <v/>
      </c>
      <c r="B113" s="233" t="inlineStr">
        <is>
          <t>467230</t>
        </is>
      </c>
      <c r="C113" s="227" t="inlineStr">
        <is>
          <t>Ecart s/ remise tr</t>
        </is>
      </c>
      <c r="F113" s="227" t="inlineStr">
        <is>
          <t>VR7</t>
        </is>
      </c>
    </row>
    <row r="114">
      <c r="A114" s="227">
        <f>TL[[#This Row],[Société]]&amp;" - "&amp;TL[[#This Row],[Compte]]</f>
        <v/>
      </c>
      <c r="B114" s="233" t="inlineStr">
        <is>
          <t>467240</t>
        </is>
      </c>
      <c r="C114" s="227" t="inlineStr">
        <is>
          <t>Ecart remise espèces</t>
        </is>
      </c>
      <c r="F114" s="227" t="inlineStr">
        <is>
          <t>VR7</t>
        </is>
      </c>
    </row>
    <row r="115">
      <c r="A115" s="227">
        <f>TL[[#This Row],[Société]]&amp;" - "&amp;TL[[#This Row],[Compte]]</f>
        <v/>
      </c>
      <c r="B115" s="233" t="inlineStr">
        <is>
          <t>467250</t>
        </is>
      </c>
      <c r="C115" s="227" t="inlineStr">
        <is>
          <t>Ecart s/remise cv</t>
        </is>
      </c>
      <c r="F115" s="227" t="inlineStr">
        <is>
          <t>VR7</t>
        </is>
      </c>
    </row>
    <row r="116">
      <c r="A116" s="227">
        <f>TL[[#This Row],[Société]]&amp;" - "&amp;TL[[#This Row],[Compte]]</f>
        <v/>
      </c>
      <c r="B116" s="233" t="inlineStr">
        <is>
          <t>467260</t>
        </is>
      </c>
      <c r="C116" s="227" t="inlineStr">
        <is>
          <t>Ecart sur remise cb</t>
        </is>
      </c>
      <c r="F116" s="227" t="inlineStr">
        <is>
          <t>VR7</t>
        </is>
      </c>
    </row>
    <row r="117">
      <c r="A117" s="227">
        <f>TL[[#This Row],[Société]]&amp;" - "&amp;TL[[#This Row],[Compte]]</f>
        <v/>
      </c>
      <c r="B117" s="233" t="inlineStr">
        <is>
          <t>467270</t>
        </is>
      </c>
      <c r="C117" s="227" t="inlineStr">
        <is>
          <t>NE PAS UTILISER</t>
        </is>
      </c>
      <c r="F117" s="227" t="inlineStr">
        <is>
          <t>VR7</t>
        </is>
      </c>
    </row>
    <row r="118">
      <c r="A118" s="227">
        <f>TL[[#This Row],[Société]]&amp;" - "&amp;TL[[#This Row],[Compte]]</f>
        <v/>
      </c>
      <c r="B118" s="233" t="inlineStr">
        <is>
          <t>467280</t>
        </is>
      </c>
      <c r="C118" s="227" t="inlineStr">
        <is>
          <t>Turvilla</t>
        </is>
      </c>
      <c r="F118" s="227" t="inlineStr">
        <is>
          <t>VR7</t>
        </is>
      </c>
    </row>
    <row r="119">
      <c r="A119" s="227">
        <f>TL[[#This Row],[Société]]&amp;" - "&amp;TL[[#This Row],[Compte]]</f>
        <v/>
      </c>
      <c r="B119" s="233" t="inlineStr">
        <is>
          <t>467290</t>
        </is>
      </c>
      <c r="C119" s="227" t="inlineStr">
        <is>
          <t>ecart lyveat</t>
        </is>
      </c>
      <c r="F119" s="227" t="inlineStr">
        <is>
          <t>VR7</t>
        </is>
      </c>
    </row>
    <row r="120">
      <c r="A120" s="227">
        <f>TL[[#This Row],[Société]]&amp;" - "&amp;TL[[#This Row],[Compte]]</f>
        <v/>
      </c>
      <c r="B120" s="233" t="inlineStr">
        <is>
          <t>467300</t>
        </is>
      </c>
      <c r="C120" s="227" t="inlineStr">
        <is>
          <t>TIRR</t>
        </is>
      </c>
      <c r="F120" s="227" t="inlineStr">
        <is>
          <t>VR7</t>
        </is>
      </c>
    </row>
    <row r="121">
      <c r="A121" s="227">
        <f>TL[[#This Row],[Société]]&amp;" - "&amp;TL[[#This Row],[Compte]]</f>
        <v/>
      </c>
      <c r="B121" s="233" t="inlineStr">
        <is>
          <t>467310</t>
        </is>
      </c>
      <c r="C121" s="227" t="inlineStr">
        <is>
          <t>LYSE</t>
        </is>
      </c>
      <c r="F121" s="227" t="inlineStr">
        <is>
          <t>VR7</t>
        </is>
      </c>
    </row>
    <row r="122">
      <c r="A122" s="227">
        <f>TL[[#This Row],[Société]]&amp;" - "&amp;TL[[#This Row],[Compte]]</f>
        <v/>
      </c>
      <c r="B122" s="233" t="inlineStr">
        <is>
          <t>467330</t>
        </is>
      </c>
      <c r="C122" s="227" t="inlineStr">
        <is>
          <t>GIE GTH 14</t>
        </is>
      </c>
      <c r="F122" s="227" t="inlineStr">
        <is>
          <t>VR7</t>
        </is>
      </c>
    </row>
    <row r="123">
      <c r="A123" s="227">
        <f>TL[[#This Row],[Société]]&amp;" - "&amp;TL[[#This Row],[Compte]]</f>
        <v/>
      </c>
      <c r="B123" s="233" t="inlineStr">
        <is>
          <t>467340</t>
        </is>
      </c>
      <c r="C123" s="227" t="inlineStr">
        <is>
          <t>HART</t>
        </is>
      </c>
      <c r="F123" s="227" t="inlineStr">
        <is>
          <t>VR7</t>
        </is>
      </c>
    </row>
    <row r="124">
      <c r="A124" s="227">
        <f>TL[[#This Row],[Société]]&amp;" - "&amp;TL[[#This Row],[Compte]]</f>
        <v/>
      </c>
      <c r="B124" s="233" t="inlineStr">
        <is>
          <t>467667</t>
        </is>
      </c>
      <c r="C124" s="227" t="inlineStr">
        <is>
          <t>Créditeurs divers non collectif</t>
        </is>
      </c>
      <c r="F124" s="227" t="inlineStr">
        <is>
          <t>VR7</t>
        </is>
      </c>
    </row>
    <row r="125">
      <c r="A125" s="227">
        <f>TL[[#This Row],[Société]]&amp;" - "&amp;TL[[#This Row],[Compte]]</f>
        <v/>
      </c>
      <c r="B125" s="233" t="inlineStr">
        <is>
          <t>468700</t>
        </is>
      </c>
      <c r="C125" s="227" t="inlineStr">
        <is>
          <t>Divers - produits à recevoir</t>
        </is>
      </c>
      <c r="F125" s="227" t="inlineStr">
        <is>
          <t>VR7</t>
        </is>
      </c>
    </row>
    <row r="126">
      <c r="A126" s="227">
        <f>TL[[#This Row],[Société]]&amp;" - "&amp;TL[[#This Row],[Compte]]</f>
        <v/>
      </c>
      <c r="B126" s="233" t="inlineStr">
        <is>
          <t>471000</t>
        </is>
      </c>
      <c r="C126" s="227" t="inlineStr">
        <is>
          <t>Compte général d'attente</t>
        </is>
      </c>
      <c r="F126" s="227" t="inlineStr">
        <is>
          <t>VR7</t>
        </is>
      </c>
    </row>
    <row r="127">
      <c r="A127" s="227">
        <f>TL[[#This Row],[Société]]&amp;" - "&amp;TL[[#This Row],[Compte]]</f>
        <v/>
      </c>
      <c r="B127" s="233" t="inlineStr">
        <is>
          <t>486000</t>
        </is>
      </c>
      <c r="C127" s="227" t="inlineStr">
        <is>
          <t>Charges constatées d'avance</t>
        </is>
      </c>
      <c r="F127" s="227" t="inlineStr">
        <is>
          <t>VR7</t>
        </is>
      </c>
    </row>
    <row r="128">
      <c r="A128" s="227">
        <f>TL[[#This Row],[Société]]&amp;" - "&amp;TL[[#This Row],[Compte]]</f>
        <v/>
      </c>
      <c r="B128" s="233" t="inlineStr">
        <is>
          <t>487000</t>
        </is>
      </c>
      <c r="C128" s="227" t="inlineStr">
        <is>
          <t>Produits constatés d'avance</t>
        </is>
      </c>
      <c r="F128" s="227" t="inlineStr">
        <is>
          <t>VR7</t>
        </is>
      </c>
    </row>
    <row r="129">
      <c r="A129" s="227">
        <f>TL[[#This Row],[Société]]&amp;" - "&amp;TL[[#This Row],[Compte]]</f>
        <v/>
      </c>
      <c r="B129" s="233" t="inlineStr">
        <is>
          <t>508010</t>
        </is>
      </c>
      <c r="C129" s="227" t="inlineStr">
        <is>
          <t>Ecureuil monepremiere fcp</t>
        </is>
      </c>
      <c r="F129" s="227" t="inlineStr">
        <is>
          <t>VR7</t>
        </is>
      </c>
    </row>
    <row r="130">
      <c r="A130" s="227">
        <f>TL[[#This Row],[Société]]&amp;" - "&amp;TL[[#This Row],[Compte]]</f>
        <v/>
      </c>
      <c r="B130" s="233" t="inlineStr">
        <is>
          <t>511200</t>
        </is>
      </c>
      <c r="C130" s="227" t="inlineStr">
        <is>
          <t>Chèques à encaisser npu</t>
        </is>
      </c>
      <c r="F130" s="227" t="inlineStr">
        <is>
          <t>VR7</t>
        </is>
      </c>
    </row>
    <row r="131">
      <c r="A131" s="227">
        <f>TL[[#This Row],[Société]]&amp;" - "&amp;TL[[#This Row],[Compte]]</f>
        <v/>
      </c>
      <c r="B131" s="233" t="inlineStr">
        <is>
          <t>511211</t>
        </is>
      </c>
      <c r="C131" s="227" t="inlineStr">
        <is>
          <t>Chèques bancaires à encaisser</t>
        </is>
      </c>
      <c r="F131" s="227" t="inlineStr">
        <is>
          <t>VR7</t>
        </is>
      </c>
    </row>
    <row r="132">
      <c r="A132" s="227">
        <f>TL[[#This Row],[Société]]&amp;" - "&amp;TL[[#This Row],[Compte]]</f>
        <v/>
      </c>
      <c r="B132" s="233" t="inlineStr">
        <is>
          <t>511221</t>
        </is>
      </c>
      <c r="C132" s="227" t="inlineStr">
        <is>
          <t>Cartes bancaires</t>
        </is>
      </c>
      <c r="F132" s="227" t="inlineStr">
        <is>
          <t>VR7</t>
        </is>
      </c>
    </row>
    <row r="133">
      <c r="A133" s="227">
        <f>TL[[#This Row],[Société]]&amp;" - "&amp;TL[[#This Row],[Compte]]</f>
        <v/>
      </c>
      <c r="B133" s="233" t="inlineStr">
        <is>
          <t>511231</t>
        </is>
      </c>
      <c r="C133" s="227" t="inlineStr">
        <is>
          <t>Tickets restaurants</t>
        </is>
      </c>
      <c r="F133" s="227" t="inlineStr">
        <is>
          <t>VR7</t>
        </is>
      </c>
    </row>
    <row r="134">
      <c r="A134" s="227">
        <f>TL[[#This Row],[Société]]&amp;" - "&amp;TL[[#This Row],[Compte]]</f>
        <v/>
      </c>
      <c r="B134" s="233" t="inlineStr">
        <is>
          <t>511251</t>
        </is>
      </c>
      <c r="C134" s="227" t="inlineStr">
        <is>
          <t>Chèques vacances</t>
        </is>
      </c>
      <c r="F134" s="227" t="inlineStr">
        <is>
          <t>VR7</t>
        </is>
      </c>
    </row>
    <row r="135">
      <c r="A135" s="227">
        <f>TL[[#This Row],[Société]]&amp;" - "&amp;TL[[#This Row],[Compte]]</f>
        <v/>
      </c>
      <c r="B135" s="233" t="inlineStr">
        <is>
          <t>511252</t>
        </is>
      </c>
      <c r="C135" s="227" t="inlineStr">
        <is>
          <t>lad</t>
        </is>
      </c>
      <c r="F135" s="227" t="inlineStr">
        <is>
          <t>VR7</t>
        </is>
      </c>
    </row>
    <row r="136">
      <c r="A136" s="227">
        <f>TL[[#This Row],[Société]]&amp;" - "&amp;TL[[#This Row],[Compte]]</f>
        <v/>
      </c>
      <c r="B136" s="233" t="inlineStr">
        <is>
          <t>511253</t>
        </is>
      </c>
      <c r="C136" s="227" t="inlineStr">
        <is>
          <t>NPU deliveroo</t>
        </is>
      </c>
      <c r="F136" s="227" t="inlineStr">
        <is>
          <t>VR7</t>
        </is>
      </c>
    </row>
    <row r="137">
      <c r="A137" s="227">
        <f>TL[[#This Row],[Société]]&amp;" - "&amp;TL[[#This Row],[Compte]]</f>
        <v/>
      </c>
      <c r="B137" s="233" t="inlineStr">
        <is>
          <t>511254</t>
        </is>
      </c>
      <c r="C137" s="227" t="inlineStr">
        <is>
          <t>UBER</t>
        </is>
      </c>
      <c r="F137" s="227" t="inlineStr">
        <is>
          <t>VR7</t>
        </is>
      </c>
    </row>
    <row r="138">
      <c r="A138" s="227">
        <f>TL[[#This Row],[Société]]&amp;" - "&amp;TL[[#This Row],[Compte]]</f>
        <v/>
      </c>
      <c r="B138" s="233" t="inlineStr">
        <is>
          <t>511260</t>
        </is>
      </c>
      <c r="C138" s="227" t="inlineStr">
        <is>
          <t>Pre-paiement</t>
        </is>
      </c>
      <c r="F138" s="227" t="inlineStr">
        <is>
          <t>VR7</t>
        </is>
      </c>
    </row>
    <row r="139">
      <c r="A139" s="227">
        <f>TL[[#This Row],[Société]]&amp;" - "&amp;TL[[#This Row],[Compte]]</f>
        <v/>
      </c>
      <c r="B139" s="233" t="inlineStr">
        <is>
          <t>511261</t>
        </is>
      </c>
      <c r="C139" s="227" t="inlineStr">
        <is>
          <t>Paypal</t>
        </is>
      </c>
      <c r="F139" s="227" t="inlineStr">
        <is>
          <t>VR7</t>
        </is>
      </c>
    </row>
    <row r="140">
      <c r="A140" s="227">
        <f>TL[[#This Row],[Société]]&amp;" - "&amp;TL[[#This Row],[Compte]]</f>
        <v/>
      </c>
      <c r="B140" s="233" t="inlineStr">
        <is>
          <t>511701</t>
        </is>
      </c>
      <c r="C140" s="227" t="inlineStr">
        <is>
          <t>Chèques émis caisse d'epargne</t>
        </is>
      </c>
      <c r="F140" s="227" t="inlineStr">
        <is>
          <t>VR7</t>
        </is>
      </c>
    </row>
    <row r="141">
      <c r="A141" s="227">
        <f>TL[[#This Row],[Société]]&amp;" - "&amp;TL[[#This Row],[Compte]]</f>
        <v/>
      </c>
      <c r="B141" s="233" t="inlineStr">
        <is>
          <t>511702</t>
        </is>
      </c>
      <c r="C141" s="227" t="inlineStr">
        <is>
          <t>Chèques émis crca caen</t>
        </is>
      </c>
      <c r="F141" s="227" t="inlineStr">
        <is>
          <t>VR7</t>
        </is>
      </c>
    </row>
    <row r="142">
      <c r="A142" s="227">
        <f>TL[[#This Row],[Société]]&amp;" - "&amp;TL[[#This Row],[Compte]]</f>
        <v/>
      </c>
      <c r="B142" s="233" t="inlineStr">
        <is>
          <t>511703</t>
        </is>
      </c>
      <c r="C142" s="227" t="inlineStr">
        <is>
          <t>Chèques émis crca rouen</t>
        </is>
      </c>
      <c r="F142" s="227" t="inlineStr">
        <is>
          <t>VR7</t>
        </is>
      </c>
    </row>
    <row r="143">
      <c r="A143" s="227">
        <f>TL[[#This Row],[Société]]&amp;" - "&amp;TL[[#This Row],[Compte]]</f>
        <v/>
      </c>
      <c r="B143" s="233" t="inlineStr">
        <is>
          <t>512210</t>
        </is>
      </c>
      <c r="C143" s="227" t="inlineStr">
        <is>
          <t>Compte excédent trésorerie</t>
        </is>
      </c>
      <c r="F143" s="227" t="inlineStr">
        <is>
          <t>VR7</t>
        </is>
      </c>
    </row>
    <row r="144">
      <c r="A144" s="227">
        <f>TL[[#This Row],[Société]]&amp;" - "&amp;TL[[#This Row],[Compte]]</f>
        <v/>
      </c>
      <c r="B144" s="233" t="inlineStr">
        <is>
          <t>512300</t>
        </is>
      </c>
      <c r="C144" s="227" t="inlineStr">
        <is>
          <t>Caisse d'epargne</t>
        </is>
      </c>
      <c r="F144" s="227" t="inlineStr">
        <is>
          <t>VR7</t>
        </is>
      </c>
    </row>
    <row r="145">
      <c r="A145" s="227">
        <f>TL[[#This Row],[Société]]&amp;" - "&amp;TL[[#This Row],[Compte]]</f>
        <v/>
      </c>
      <c r="B145" s="233" t="inlineStr">
        <is>
          <t>512600</t>
        </is>
      </c>
      <c r="C145" s="227" t="inlineStr">
        <is>
          <t>Crca normandie caen</t>
        </is>
      </c>
      <c r="F145" s="227" t="inlineStr">
        <is>
          <t>VR7</t>
        </is>
      </c>
    </row>
    <row r="146">
      <c r="A146" s="227">
        <f>TL[[#This Row],[Société]]&amp;" - "&amp;TL[[#This Row],[Compte]]</f>
        <v/>
      </c>
      <c r="B146" s="233" t="inlineStr">
        <is>
          <t>512700</t>
        </is>
      </c>
      <c r="C146" s="227" t="inlineStr">
        <is>
          <t>Crca normandie rouen</t>
        </is>
      </c>
      <c r="F146" s="227" t="inlineStr">
        <is>
          <t>VR7</t>
        </is>
      </c>
    </row>
    <row r="147">
      <c r="A147" s="227">
        <f>TL[[#This Row],[Société]]&amp;" - "&amp;TL[[#This Row],[Compte]]</f>
        <v/>
      </c>
      <c r="B147" s="233" t="inlineStr">
        <is>
          <t>512800</t>
        </is>
      </c>
      <c r="C147" s="227" t="inlineStr">
        <is>
          <t>Société générale</t>
        </is>
      </c>
      <c r="F147" s="227" t="inlineStr">
        <is>
          <t>VR7</t>
        </is>
      </c>
    </row>
    <row r="148">
      <c r="A148" s="227">
        <f>TL[[#This Row],[Société]]&amp;" - "&amp;TL[[#This Row],[Compte]]</f>
        <v/>
      </c>
      <c r="B148" s="233" t="inlineStr">
        <is>
          <t>518600</t>
        </is>
      </c>
      <c r="C148" s="227" t="inlineStr">
        <is>
          <t>Intérêts courus à payer</t>
        </is>
      </c>
      <c r="F148" s="227" t="inlineStr">
        <is>
          <t>VR7</t>
        </is>
      </c>
    </row>
    <row r="149">
      <c r="A149" s="227">
        <f>TL[[#This Row],[Société]]&amp;" - "&amp;TL[[#This Row],[Compte]]</f>
        <v/>
      </c>
      <c r="B149" s="233" t="inlineStr">
        <is>
          <t>518800</t>
        </is>
      </c>
      <c r="C149" s="227" t="inlineStr">
        <is>
          <t>Banque - Intérêts courus à recevoir</t>
        </is>
      </c>
      <c r="F149" s="227" t="inlineStr">
        <is>
          <t>VR7</t>
        </is>
      </c>
    </row>
    <row r="150">
      <c r="A150" s="227">
        <f>TL[[#This Row],[Société]]&amp;" - "&amp;TL[[#This Row],[Compte]]</f>
        <v/>
      </c>
      <c r="B150" s="233" t="inlineStr">
        <is>
          <t>530000</t>
        </is>
      </c>
      <c r="C150" s="227" t="inlineStr">
        <is>
          <t>Caisse</t>
        </is>
      </c>
      <c r="F150" s="227" t="inlineStr">
        <is>
          <t>VR7</t>
        </is>
      </c>
    </row>
    <row r="151">
      <c r="A151" s="227">
        <f>TL[[#This Row],[Société]]&amp;" - "&amp;TL[[#This Row],[Compte]]</f>
        <v/>
      </c>
      <c r="B151" s="233" t="inlineStr">
        <is>
          <t>530200</t>
        </is>
      </c>
      <c r="C151" s="227" t="inlineStr">
        <is>
          <t>Coffre</t>
        </is>
      </c>
      <c r="F151" s="227" t="inlineStr">
        <is>
          <t>VR7</t>
        </is>
      </c>
    </row>
    <row r="152">
      <c r="A152" s="227">
        <f>TL[[#This Row],[Société]]&amp;" - "&amp;TL[[#This Row],[Compte]]</f>
        <v/>
      </c>
      <c r="B152" s="233" t="inlineStr">
        <is>
          <t>531000</t>
        </is>
      </c>
      <c r="C152" s="227" t="inlineStr">
        <is>
          <t>Petite caisse</t>
        </is>
      </c>
      <c r="F152" s="227" t="inlineStr">
        <is>
          <t>VR7</t>
        </is>
      </c>
    </row>
    <row r="153">
      <c r="A153" s="227">
        <f>TL[[#This Row],[Société]]&amp;" - "&amp;TL[[#This Row],[Compte]]</f>
        <v/>
      </c>
      <c r="B153" s="233" t="inlineStr">
        <is>
          <t>581000</t>
        </is>
      </c>
      <c r="C153" s="227" t="inlineStr">
        <is>
          <t>Versements espèces</t>
        </is>
      </c>
      <c r="F153" s="227" t="inlineStr">
        <is>
          <t>VR7</t>
        </is>
      </c>
    </row>
    <row r="154">
      <c r="A154" s="227">
        <f>TL[[#This Row],[Société]]&amp;" - "&amp;TL[[#This Row],[Compte]]</f>
        <v/>
      </c>
      <c r="B154" s="233" t="inlineStr">
        <is>
          <t>581100</t>
        </is>
      </c>
      <c r="C154" s="227" t="inlineStr">
        <is>
          <t>Virement internes</t>
        </is>
      </c>
      <c r="F154" s="227" t="inlineStr">
        <is>
          <t>VR7</t>
        </is>
      </c>
    </row>
    <row r="155">
      <c r="A155" s="227">
        <f>TL[[#This Row],[Société]]&amp;" - "&amp;TL[[#This Row],[Compte]]</f>
        <v/>
      </c>
      <c r="B155" s="233" t="inlineStr">
        <is>
          <t>583000</t>
        </is>
      </c>
      <c r="C155" s="227" t="inlineStr">
        <is>
          <t>Approvisionnement en monnaie</t>
        </is>
      </c>
      <c r="F155" s="227" t="inlineStr">
        <is>
          <t>VR7</t>
        </is>
      </c>
    </row>
    <row r="156">
      <c r="A156" s="227">
        <f>TL[[#This Row],[Société]]&amp;" - "&amp;TL[[#This Row],[Compte]]</f>
        <v/>
      </c>
      <c r="B156" s="233" t="inlineStr">
        <is>
          <t>601100</t>
        </is>
      </c>
      <c r="C156" s="227" t="inlineStr">
        <is>
          <t>Achats nourriture</t>
        </is>
      </c>
      <c r="D156" s="233" t="inlineStr">
        <is>
          <t>06</t>
        </is>
      </c>
      <c r="E156" s="233" t="inlineStr">
        <is>
          <t>03</t>
        </is>
      </c>
      <c r="F156" s="227" t="inlineStr">
        <is>
          <t>VR7</t>
        </is>
      </c>
    </row>
    <row r="157">
      <c r="A157" s="227">
        <f>TL[[#This Row],[Société]]&amp;" - "&amp;TL[[#This Row],[Compte]]</f>
        <v/>
      </c>
      <c r="B157" s="233" t="inlineStr">
        <is>
          <t>601102</t>
        </is>
      </c>
      <c r="C157" s="227" t="inlineStr">
        <is>
          <t>Dechets</t>
        </is>
      </c>
      <c r="D157" s="233" t="inlineStr">
        <is>
          <t>07</t>
        </is>
      </c>
      <c r="E157" s="233" t="inlineStr">
        <is>
          <t>05</t>
        </is>
      </c>
      <c r="F157" s="227" t="inlineStr">
        <is>
          <t>VR7</t>
        </is>
      </c>
    </row>
    <row r="158">
      <c r="A158" s="227">
        <f>TL[[#This Row],[Société]]&amp;" - "&amp;TL[[#This Row],[Compte]]</f>
        <v/>
      </c>
      <c r="B158" s="233" t="inlineStr">
        <is>
          <t>601103</t>
        </is>
      </c>
      <c r="C158" s="227" t="inlineStr">
        <is>
          <t>Repas employes</t>
        </is>
      </c>
      <c r="D158" s="233" t="inlineStr">
        <is>
          <t>08</t>
        </is>
      </c>
      <c r="E158" s="233" t="inlineStr">
        <is>
          <t>04</t>
        </is>
      </c>
      <c r="F158" s="227" t="inlineStr">
        <is>
          <t>VR7</t>
        </is>
      </c>
    </row>
    <row r="159">
      <c r="A159" s="227">
        <f>TL[[#This Row],[Société]]&amp;" - "&amp;TL[[#This Row],[Compte]]</f>
        <v/>
      </c>
      <c r="B159" s="233" t="inlineStr">
        <is>
          <t>602155</t>
        </is>
      </c>
      <c r="C159" s="227" t="inlineStr">
        <is>
          <t>Jouets et divers</t>
        </is>
      </c>
      <c r="F159" s="227" t="inlineStr">
        <is>
          <t>VR7</t>
        </is>
      </c>
    </row>
    <row r="160">
      <c r="A160" s="227">
        <f>TL[[#This Row],[Société]]&amp;" - "&amp;TL[[#This Row],[Compte]]</f>
        <v/>
      </c>
      <c r="B160" s="233" t="inlineStr">
        <is>
          <t>602201</t>
        </is>
      </c>
      <c r="C160" s="227" t="inlineStr">
        <is>
          <t>Achats papiers</t>
        </is>
      </c>
      <c r="D160" s="233" t="inlineStr">
        <is>
          <t>03</t>
        </is>
      </c>
      <c r="E160" s="233" t="inlineStr">
        <is>
          <t>06</t>
        </is>
      </c>
      <c r="F160" s="227" t="inlineStr">
        <is>
          <t>VR7</t>
        </is>
      </c>
    </row>
    <row r="161">
      <c r="A161" s="227">
        <f>TL[[#This Row],[Société]]&amp;" - "&amp;TL[[#This Row],[Compte]]</f>
        <v/>
      </c>
      <c r="B161" s="233" t="inlineStr">
        <is>
          <t>602202</t>
        </is>
      </c>
      <c r="C161" s="227" t="inlineStr">
        <is>
          <t>Achats jouets happy meal</t>
        </is>
      </c>
      <c r="D161" s="233" t="inlineStr">
        <is>
          <t>62</t>
        </is>
      </c>
      <c r="E161" s="233" t="inlineStr">
        <is>
          <t>51</t>
        </is>
      </c>
      <c r="F161" s="227" t="inlineStr">
        <is>
          <t>VR7</t>
        </is>
      </c>
    </row>
    <row r="162">
      <c r="A162" s="227">
        <f>TL[[#This Row],[Société]]&amp;" - "&amp;TL[[#This Row],[Compte]]</f>
        <v/>
      </c>
      <c r="B162" s="233" t="inlineStr">
        <is>
          <t>602600</t>
        </is>
      </c>
      <c r="C162" s="227" t="inlineStr">
        <is>
          <t>Achats emballages</t>
        </is>
      </c>
      <c r="D162" s="233" t="inlineStr">
        <is>
          <t>03</t>
        </is>
      </c>
      <c r="E162" s="233" t="inlineStr">
        <is>
          <t>06</t>
        </is>
      </c>
      <c r="F162" s="227" t="inlineStr">
        <is>
          <t>VR7</t>
        </is>
      </c>
    </row>
    <row r="163">
      <c r="A163" s="227">
        <f>TL[[#This Row],[Société]]&amp;" - "&amp;TL[[#This Row],[Compte]]</f>
        <v/>
      </c>
      <c r="B163" s="233" t="inlineStr">
        <is>
          <t>602610</t>
        </is>
      </c>
      <c r="C163" s="227" t="inlineStr">
        <is>
          <t>Emballages perdus</t>
        </is>
      </c>
      <c r="D163" s="233" t="inlineStr">
        <is>
          <t>18</t>
        </is>
      </c>
      <c r="E163" s="233" t="inlineStr">
        <is>
          <t>06</t>
        </is>
      </c>
      <c r="F163" s="227" t="inlineStr">
        <is>
          <t>VR7</t>
        </is>
      </c>
    </row>
    <row r="164">
      <c r="A164" s="227">
        <f>TL[[#This Row],[Société]]&amp;" - "&amp;TL[[#This Row],[Compte]]</f>
        <v/>
      </c>
      <c r="B164" s="233" t="inlineStr">
        <is>
          <t>602630</t>
        </is>
      </c>
      <c r="C164" s="227" t="inlineStr">
        <is>
          <t>Achats papier</t>
        </is>
      </c>
      <c r="D164" s="233" t="inlineStr">
        <is>
          <t>03</t>
        </is>
      </c>
      <c r="E164" s="233" t="inlineStr">
        <is>
          <t>06</t>
        </is>
      </c>
      <c r="F164" s="227" t="inlineStr">
        <is>
          <t>VR7</t>
        </is>
      </c>
    </row>
    <row r="165">
      <c r="A165" s="227">
        <f>TL[[#This Row],[Société]]&amp;" - "&amp;TL[[#This Row],[Compte]]</f>
        <v/>
      </c>
      <c r="B165" s="233" t="inlineStr">
        <is>
          <t>603100</t>
        </is>
      </c>
      <c r="C165" s="227" t="inlineStr">
        <is>
          <t>Variat. stocks matières premières</t>
        </is>
      </c>
      <c r="D165" s="233" t="inlineStr">
        <is>
          <t>06</t>
        </is>
      </c>
      <c r="E165" s="233" t="inlineStr">
        <is>
          <t>03</t>
        </is>
      </c>
      <c r="F165" s="227" t="inlineStr">
        <is>
          <t>VR7</t>
        </is>
      </c>
    </row>
    <row r="166">
      <c r="A166" s="227">
        <f>TL[[#This Row],[Société]]&amp;" - "&amp;TL[[#This Row],[Compte]]</f>
        <v/>
      </c>
      <c r="B166" s="233" t="inlineStr">
        <is>
          <t>603200</t>
        </is>
      </c>
      <c r="C166" s="227" t="inlineStr">
        <is>
          <t>Variat. stocks papier</t>
        </is>
      </c>
      <c r="D166" s="233" t="inlineStr">
        <is>
          <t>03</t>
        </is>
      </c>
      <c r="E166" s="233" t="inlineStr">
        <is>
          <t>06</t>
        </is>
      </c>
      <c r="F166" s="227" t="inlineStr">
        <is>
          <t>VR7</t>
        </is>
      </c>
    </row>
    <row r="167">
      <c r="A167" s="227">
        <f>TL[[#This Row],[Société]]&amp;" - "&amp;TL[[#This Row],[Compte]]</f>
        <v/>
      </c>
      <c r="B167" s="233" t="inlineStr">
        <is>
          <t>603210</t>
        </is>
      </c>
      <c r="C167" s="227" t="inlineStr">
        <is>
          <t>Var stock produits non alimentaires</t>
        </is>
      </c>
      <c r="D167" s="233" t="inlineStr">
        <is>
          <t>62</t>
        </is>
      </c>
      <c r="E167" s="233" t="inlineStr">
        <is>
          <t>51</t>
        </is>
      </c>
      <c r="F167" s="227" t="inlineStr">
        <is>
          <t>VR7</t>
        </is>
      </c>
    </row>
    <row r="168">
      <c r="A168" s="227">
        <f>TL[[#This Row],[Société]]&amp;" - "&amp;TL[[#This Row],[Compte]]</f>
        <v/>
      </c>
      <c r="B168" s="233" t="inlineStr">
        <is>
          <t>606101</t>
        </is>
      </c>
      <c r="C168" s="227" t="inlineStr">
        <is>
          <t>Eau restaurant</t>
        </is>
      </c>
      <c r="D168" s="233" t="inlineStr">
        <is>
          <t>20</t>
        </is>
      </c>
      <c r="E168" s="233" t="inlineStr">
        <is>
          <t>24</t>
        </is>
      </c>
      <c r="F168" s="227" t="inlineStr">
        <is>
          <t>VR7</t>
        </is>
      </c>
    </row>
    <row r="169">
      <c r="A169" s="227">
        <f>TL[[#This Row],[Société]]&amp;" - "&amp;TL[[#This Row],[Compte]]</f>
        <v/>
      </c>
      <c r="B169" s="233" t="inlineStr">
        <is>
          <t>606103</t>
        </is>
      </c>
      <c r="C169" s="227" t="inlineStr">
        <is>
          <t>Electricite restaurant</t>
        </is>
      </c>
      <c r="D169" s="233" t="inlineStr">
        <is>
          <t>20</t>
        </is>
      </c>
      <c r="E169" s="233" t="inlineStr">
        <is>
          <t>24</t>
        </is>
      </c>
      <c r="F169" s="227" t="inlineStr">
        <is>
          <t>VR7</t>
        </is>
      </c>
    </row>
    <row r="170">
      <c r="A170" s="227">
        <f>TL[[#This Row],[Société]]&amp;" - "&amp;TL[[#This Row],[Compte]]</f>
        <v/>
      </c>
      <c r="B170" s="233" t="inlineStr">
        <is>
          <t>606105</t>
        </is>
      </c>
      <c r="C170" s="227" t="inlineStr">
        <is>
          <t>Achats  gaz</t>
        </is>
      </c>
      <c r="D170" s="233" t="inlineStr">
        <is>
          <t>20</t>
        </is>
      </c>
      <c r="E170" s="233" t="inlineStr">
        <is>
          <t>24</t>
        </is>
      </c>
      <c r="F170" s="227" t="inlineStr">
        <is>
          <t>VR7</t>
        </is>
      </c>
    </row>
    <row r="171">
      <c r="A171" s="227">
        <f>TL[[#This Row],[Société]]&amp;" - "&amp;TL[[#This Row],[Compte]]</f>
        <v/>
      </c>
      <c r="B171" s="233" t="inlineStr">
        <is>
          <t>606110</t>
        </is>
      </c>
      <c r="C171" s="227" t="inlineStr">
        <is>
          <t>Fournitures eau</t>
        </is>
      </c>
      <c r="D171" s="233" t="inlineStr">
        <is>
          <t>20</t>
        </is>
      </c>
      <c r="E171" s="233" t="inlineStr">
        <is>
          <t>24</t>
        </is>
      </c>
      <c r="F171" s="227" t="inlineStr">
        <is>
          <t>VR7</t>
        </is>
      </c>
    </row>
    <row r="172">
      <c r="A172" s="227">
        <f>TL[[#This Row],[Société]]&amp;" - "&amp;TL[[#This Row],[Compte]]</f>
        <v/>
      </c>
      <c r="B172" s="233" t="inlineStr">
        <is>
          <t>606120</t>
        </is>
      </c>
      <c r="C172" s="227" t="inlineStr">
        <is>
          <t>Fournitures edf</t>
        </is>
      </c>
      <c r="D172" s="233" t="inlineStr">
        <is>
          <t>20</t>
        </is>
      </c>
      <c r="E172" s="233" t="inlineStr">
        <is>
          <t>24</t>
        </is>
      </c>
      <c r="F172" s="227" t="inlineStr">
        <is>
          <t>VR7</t>
        </is>
      </c>
    </row>
    <row r="173">
      <c r="A173" s="227">
        <f>TL[[#This Row],[Société]]&amp;" - "&amp;TL[[#This Row],[Compte]]</f>
        <v/>
      </c>
      <c r="B173" s="233" t="inlineStr">
        <is>
          <t>606150</t>
        </is>
      </c>
      <c r="C173" s="227" t="inlineStr">
        <is>
          <t>Gaz</t>
        </is>
      </c>
      <c r="D173" s="233" t="inlineStr">
        <is>
          <t>20</t>
        </is>
      </c>
      <c r="E173" s="233" t="inlineStr">
        <is>
          <t>24</t>
        </is>
      </c>
      <c r="F173" s="227" t="inlineStr">
        <is>
          <t>VR7</t>
        </is>
      </c>
    </row>
    <row r="174">
      <c r="A174" s="227">
        <f>TL[[#This Row],[Société]]&amp;" - "&amp;TL[[#This Row],[Compte]]</f>
        <v/>
      </c>
      <c r="B174" s="233" t="inlineStr">
        <is>
          <t>606280</t>
        </is>
      </c>
      <c r="C174" s="227" t="inlineStr">
        <is>
          <t>Autres fournitures non stockées</t>
        </is>
      </c>
      <c r="F174" s="227" t="inlineStr">
        <is>
          <t>VR7</t>
        </is>
      </c>
    </row>
    <row r="175">
      <c r="A175" s="227">
        <f>TL[[#This Row],[Société]]&amp;" - "&amp;TL[[#This Row],[Compte]]</f>
        <v/>
      </c>
      <c r="B175" s="233" t="inlineStr">
        <is>
          <t>606300</t>
        </is>
      </c>
      <c r="C175" s="227" t="inlineStr">
        <is>
          <t>Petit outillage</t>
        </is>
      </c>
      <c r="D175" s="233" t="inlineStr">
        <is>
          <t>19</t>
        </is>
      </c>
      <c r="E175" s="233" t="inlineStr">
        <is>
          <t>18</t>
        </is>
      </c>
      <c r="F175" s="227" t="inlineStr">
        <is>
          <t>VR7</t>
        </is>
      </c>
    </row>
    <row r="176">
      <c r="A176" s="227">
        <f>TL[[#This Row],[Société]]&amp;" - "&amp;TL[[#This Row],[Compte]]</f>
        <v/>
      </c>
      <c r="B176" s="233" t="inlineStr">
        <is>
          <t>606301</t>
        </is>
      </c>
      <c r="C176" s="227" t="inlineStr">
        <is>
          <t>Fournitures petit-entretien</t>
        </is>
      </c>
      <c r="F176" s="227" t="inlineStr">
        <is>
          <t>VR7</t>
        </is>
      </c>
    </row>
    <row r="177">
      <c r="A177" s="227">
        <f>TL[[#This Row],[Société]]&amp;" - "&amp;TL[[#This Row],[Compte]]</f>
        <v/>
      </c>
      <c r="B177" s="233" t="inlineStr">
        <is>
          <t>606302</t>
        </is>
      </c>
      <c r="C177" s="227" t="inlineStr">
        <is>
          <t>Fournit d'exploit et pdts entretien</t>
        </is>
      </c>
      <c r="D177" s="233" t="inlineStr">
        <is>
          <t>18</t>
        </is>
      </c>
      <c r="E177" s="233" t="inlineStr">
        <is>
          <t>25</t>
        </is>
      </c>
      <c r="F177" s="227" t="inlineStr">
        <is>
          <t>VR7</t>
        </is>
      </c>
    </row>
    <row r="178">
      <c r="A178" s="227">
        <f>TL[[#This Row],[Société]]&amp;" - "&amp;TL[[#This Row],[Compte]]</f>
        <v/>
      </c>
      <c r="B178" s="233" t="inlineStr">
        <is>
          <t>606303</t>
        </is>
      </c>
      <c r="C178" s="227" t="inlineStr">
        <is>
          <t>Uniformes</t>
        </is>
      </c>
      <c r="D178" s="233" t="inlineStr">
        <is>
          <t>17</t>
        </is>
      </c>
      <c r="E178" s="233" t="inlineStr">
        <is>
          <t>27</t>
        </is>
      </c>
      <c r="F178" s="227" t="inlineStr">
        <is>
          <t>VR7</t>
        </is>
      </c>
    </row>
    <row r="179">
      <c r="A179" s="227">
        <f>TL[[#This Row],[Société]]&amp;" - "&amp;TL[[#This Row],[Compte]]</f>
        <v/>
      </c>
      <c r="B179" s="233" t="inlineStr">
        <is>
          <t>606305</t>
        </is>
      </c>
      <c r="C179" s="227" t="inlineStr">
        <is>
          <t>Petit equipement-protection Covid</t>
        </is>
      </c>
      <c r="D179" s="233" t="inlineStr">
        <is>
          <t>18</t>
        </is>
      </c>
      <c r="E179" s="233" t="inlineStr">
        <is>
          <t>25</t>
        </is>
      </c>
      <c r="F179" s="227" t="inlineStr">
        <is>
          <t>VR7</t>
        </is>
      </c>
    </row>
    <row r="180">
      <c r="A180" s="227">
        <f>TL[[#This Row],[Société]]&amp;" - "&amp;TL[[#This Row],[Compte]]</f>
        <v/>
      </c>
      <c r="B180" s="233" t="inlineStr">
        <is>
          <t>606400</t>
        </is>
      </c>
      <c r="C180" s="227" t="inlineStr">
        <is>
          <t>Achats fournitures npu</t>
        </is>
      </c>
      <c r="D180" s="233" t="inlineStr">
        <is>
          <t>21</t>
        </is>
      </c>
      <c r="E180" s="233" t="inlineStr">
        <is>
          <t>25</t>
        </is>
      </c>
      <c r="F180" s="227" t="inlineStr">
        <is>
          <t>VR7</t>
        </is>
      </c>
    </row>
    <row r="181">
      <c r="A181" s="227">
        <f>TL[[#This Row],[Société]]&amp;" - "&amp;TL[[#This Row],[Compte]]</f>
        <v/>
      </c>
      <c r="B181" s="233" t="inlineStr">
        <is>
          <t>606401</t>
        </is>
      </c>
      <c r="C181" s="227" t="inlineStr">
        <is>
          <t>Fourni. bureau restaurant</t>
        </is>
      </c>
      <c r="D181" s="233" t="inlineStr">
        <is>
          <t>21</t>
        </is>
      </c>
      <c r="E181" s="233" t="inlineStr">
        <is>
          <t>25</t>
        </is>
      </c>
      <c r="F181" s="227" t="inlineStr">
        <is>
          <t>VR7</t>
        </is>
      </c>
    </row>
    <row r="182">
      <c r="A182" s="227">
        <f>TL[[#This Row],[Société]]&amp;" - "&amp;TL[[#This Row],[Compte]]</f>
        <v/>
      </c>
      <c r="B182" s="233" t="inlineStr">
        <is>
          <t>606613</t>
        </is>
      </c>
      <c r="C182" s="227" t="inlineStr">
        <is>
          <t>Carburant NPU</t>
        </is>
      </c>
      <c r="D182" s="233" t="inlineStr">
        <is>
          <t>13</t>
        </is>
      </c>
      <c r="E182" s="233" t="inlineStr">
        <is>
          <t>26</t>
        </is>
      </c>
      <c r="F182" s="227" t="inlineStr">
        <is>
          <t>VR7</t>
        </is>
      </c>
    </row>
    <row r="183">
      <c r="A183" s="227">
        <f>TL[[#This Row],[Société]]&amp;" - "&amp;TL[[#This Row],[Compte]]</f>
        <v/>
      </c>
      <c r="B183" s="233" t="inlineStr">
        <is>
          <t>606614</t>
        </is>
      </c>
      <c r="C183" s="227" t="inlineStr">
        <is>
          <t>CARBURANT</t>
        </is>
      </c>
      <c r="D183" s="233" t="inlineStr">
        <is>
          <t>39</t>
        </is>
      </c>
      <c r="E183" s="233" t="inlineStr">
        <is>
          <t>26</t>
        </is>
      </c>
      <c r="F183" s="227" t="inlineStr">
        <is>
          <t>VR7</t>
        </is>
      </c>
    </row>
    <row r="184">
      <c r="A184" s="227">
        <f>TL[[#This Row],[Société]]&amp;" - "&amp;TL[[#This Row],[Compte]]</f>
        <v/>
      </c>
      <c r="B184" s="233" t="inlineStr">
        <is>
          <t>606800</t>
        </is>
      </c>
      <c r="C184" s="227" t="inlineStr">
        <is>
          <t>CARBURANT</t>
        </is>
      </c>
      <c r="D184" s="233" t="inlineStr">
        <is>
          <t>13</t>
        </is>
      </c>
      <c r="E184" s="233" t="inlineStr">
        <is>
          <t>40</t>
        </is>
      </c>
      <c r="F184" s="227" t="inlineStr">
        <is>
          <t>VR7</t>
        </is>
      </c>
    </row>
    <row r="185">
      <c r="A185" s="227">
        <f>TL[[#This Row],[Société]]&amp;" - "&amp;TL[[#This Row],[Compte]]</f>
        <v/>
      </c>
      <c r="B185" s="233" t="inlineStr">
        <is>
          <t>606810</t>
        </is>
      </c>
      <c r="C185" s="227" t="inlineStr">
        <is>
          <t>Lingerie</t>
        </is>
      </c>
      <c r="F185" s="227" t="inlineStr">
        <is>
          <t>VR7</t>
        </is>
      </c>
    </row>
    <row r="186">
      <c r="A186" s="227">
        <f>TL[[#This Row],[Société]]&amp;" - "&amp;TL[[#This Row],[Compte]]</f>
        <v/>
      </c>
      <c r="B186" s="233" t="inlineStr">
        <is>
          <t>609000</t>
        </is>
      </c>
      <c r="C186" s="227" t="inlineStr">
        <is>
          <t>Rabais, remises &amp; ristourn. obtenus</t>
        </is>
      </c>
      <c r="D186" s="233" t="inlineStr">
        <is>
          <t>06</t>
        </is>
      </c>
      <c r="E186" s="233" t="inlineStr">
        <is>
          <t>03</t>
        </is>
      </c>
      <c r="F186" s="227" t="inlineStr">
        <is>
          <t>VR7</t>
        </is>
      </c>
    </row>
    <row r="187">
      <c r="A187" s="227">
        <f>TL[[#This Row],[Société]]&amp;" - "&amp;TL[[#This Row],[Compte]]</f>
        <v/>
      </c>
      <c r="B187" s="233" t="inlineStr">
        <is>
          <t>609100</t>
        </is>
      </c>
      <c r="C187" s="227" t="inlineStr">
        <is>
          <t>R.r.r.obtenus s/ach.mat.premières</t>
        </is>
      </c>
      <c r="D187" s="233" t="inlineStr">
        <is>
          <t>06</t>
        </is>
      </c>
      <c r="E187" s="233" t="inlineStr">
        <is>
          <t>03</t>
        </is>
      </c>
      <c r="F187" s="227" t="inlineStr">
        <is>
          <t>VR7</t>
        </is>
      </c>
    </row>
    <row r="188">
      <c r="A188" s="227">
        <f>TL[[#This Row],[Société]]&amp;" - "&amp;TL[[#This Row],[Compte]]</f>
        <v/>
      </c>
      <c r="B188" s="233" t="inlineStr">
        <is>
          <t>609700</t>
        </is>
      </c>
      <c r="C188" s="227" t="inlineStr">
        <is>
          <t>R.R.R.obtenus s/ach.de marchandises</t>
        </is>
      </c>
      <c r="D188" s="233" t="inlineStr">
        <is>
          <t>19</t>
        </is>
      </c>
      <c r="E188" s="233" t="inlineStr">
        <is>
          <t>03</t>
        </is>
      </c>
      <c r="F188" s="227" t="inlineStr">
        <is>
          <t>VR7</t>
        </is>
      </c>
    </row>
    <row r="189">
      <c r="A189" s="227">
        <f>TL[[#This Row],[Société]]&amp;" - "&amp;TL[[#This Row],[Compte]]</f>
        <v/>
      </c>
      <c r="B189" s="233" t="inlineStr">
        <is>
          <t>611100</t>
        </is>
      </c>
      <c r="C189" s="227" t="inlineStr">
        <is>
          <t>Contrat Silae</t>
        </is>
      </c>
      <c r="D189" s="233" t="inlineStr">
        <is>
          <t>32</t>
        </is>
      </c>
      <c r="E189" s="233" t="inlineStr">
        <is>
          <t>19</t>
        </is>
      </c>
      <c r="F189" s="227" t="inlineStr">
        <is>
          <t>VR7</t>
        </is>
      </c>
    </row>
    <row r="190">
      <c r="A190" s="227">
        <f>TL[[#This Row],[Société]]&amp;" - "&amp;TL[[#This Row],[Compte]]</f>
        <v/>
      </c>
      <c r="B190" s="233" t="inlineStr">
        <is>
          <t>613000</t>
        </is>
      </c>
      <c r="C190" s="227" t="inlineStr">
        <is>
          <t>Locations redevance standard</t>
        </is>
      </c>
      <c r="D190" s="233" t="inlineStr">
        <is>
          <t>30</t>
        </is>
      </c>
      <c r="E190" s="233" t="inlineStr">
        <is>
          <t>29</t>
        </is>
      </c>
      <c r="F190" s="227" t="inlineStr">
        <is>
          <t>VR7</t>
        </is>
      </c>
    </row>
    <row r="191">
      <c r="A191" s="227">
        <f>TL[[#This Row],[Société]]&amp;" - "&amp;TL[[#This Row],[Compte]]</f>
        <v/>
      </c>
      <c r="B191" s="233" t="inlineStr">
        <is>
          <t>613001</t>
        </is>
      </c>
      <c r="C191" s="227" t="inlineStr">
        <is>
          <t>location caisse biodechets</t>
        </is>
      </c>
      <c r="D191" s="233" t="inlineStr">
        <is>
          <t>16</t>
        </is>
      </c>
      <c r="E191" s="233" t="inlineStr">
        <is>
          <t>19</t>
        </is>
      </c>
      <c r="F191" s="227" t="inlineStr">
        <is>
          <t>VR7</t>
        </is>
      </c>
    </row>
    <row r="192">
      <c r="A192" s="227">
        <f>TL[[#This Row],[Société]]&amp;" - "&amp;TL[[#This Row],[Compte]]</f>
        <v/>
      </c>
      <c r="B192" s="233" t="inlineStr">
        <is>
          <t>613100</t>
        </is>
      </c>
      <c r="C192" s="227" t="inlineStr">
        <is>
          <t>Locations diverses</t>
        </is>
      </c>
      <c r="D192" s="233" t="inlineStr">
        <is>
          <t>16</t>
        </is>
      </c>
      <c r="E192" s="233" t="inlineStr">
        <is>
          <t>19</t>
        </is>
      </c>
      <c r="F192" s="227" t="inlineStr">
        <is>
          <t>VR7</t>
        </is>
      </c>
    </row>
    <row r="193">
      <c r="A193" s="227">
        <f>TL[[#This Row],[Société]]&amp;" - "&amp;TL[[#This Row],[Compte]]</f>
        <v/>
      </c>
      <c r="B193" s="233" t="inlineStr">
        <is>
          <t>613300</t>
        </is>
      </c>
      <c r="C193" s="227" t="inlineStr">
        <is>
          <t>Loc audi a1 bw-661-jb</t>
        </is>
      </c>
      <c r="D193" s="233" t="inlineStr">
        <is>
          <t>39</t>
        </is>
      </c>
      <c r="E193" s="233" t="inlineStr">
        <is>
          <t>39</t>
        </is>
      </c>
      <c r="F193" s="227" t="inlineStr">
        <is>
          <t>VR7</t>
        </is>
      </c>
    </row>
    <row r="194">
      <c r="A194" s="227">
        <f>TL[[#This Row],[Société]]&amp;" - "&amp;TL[[#This Row],[Compte]]</f>
        <v/>
      </c>
      <c r="B194" s="233" t="inlineStr">
        <is>
          <t>613310</t>
        </is>
      </c>
      <c r="C194" s="227" t="inlineStr">
        <is>
          <t>Volswagen Location A4 Allroad</t>
        </is>
      </c>
      <c r="D194" s="233" t="inlineStr">
        <is>
          <t>39</t>
        </is>
      </c>
      <c r="E194" s="233" t="inlineStr">
        <is>
          <t>39</t>
        </is>
      </c>
      <c r="F194" s="227" t="inlineStr">
        <is>
          <t>VR7</t>
        </is>
      </c>
    </row>
    <row r="195">
      <c r="A195" s="227">
        <f>TL[[#This Row],[Société]]&amp;" - "&amp;TL[[#This Row],[Compte]]</f>
        <v/>
      </c>
      <c r="B195" s="233" t="inlineStr">
        <is>
          <t>613320</t>
        </is>
      </c>
      <c r="C195" s="227" t="inlineStr">
        <is>
          <t>loc vehicule audi ea-888-sn</t>
        </is>
      </c>
      <c r="D195" s="233" t="inlineStr">
        <is>
          <t>39</t>
        </is>
      </c>
      <c r="E195" s="233" t="inlineStr">
        <is>
          <t>39</t>
        </is>
      </c>
      <c r="F195" s="227" t="inlineStr">
        <is>
          <t>VR7</t>
        </is>
      </c>
    </row>
    <row r="196">
      <c r="A196" s="227">
        <f>TL[[#This Row],[Société]]&amp;" - "&amp;TL[[#This Row],[Compte]]</f>
        <v/>
      </c>
      <c r="B196" s="233" t="inlineStr">
        <is>
          <t>613400</t>
        </is>
      </c>
      <c r="C196" s="227" t="inlineStr">
        <is>
          <t>Loyer audi df-711-jy</t>
        </is>
      </c>
      <c r="D196" s="233" t="inlineStr">
        <is>
          <t>39</t>
        </is>
      </c>
      <c r="E196" s="233" t="inlineStr">
        <is>
          <t>39</t>
        </is>
      </c>
      <c r="F196" s="227" t="inlineStr">
        <is>
          <t>VR7</t>
        </is>
      </c>
    </row>
    <row r="197">
      <c r="A197" s="227">
        <f>TL[[#This Row],[Société]]&amp;" - "&amp;TL[[#This Row],[Compte]]</f>
        <v/>
      </c>
      <c r="B197" s="233" t="inlineStr">
        <is>
          <t>613500</t>
        </is>
      </c>
      <c r="C197" s="227" t="inlineStr">
        <is>
          <t>Loc audi a1 bw-661-jb - rhf</t>
        </is>
      </c>
      <c r="D197" s="233" t="inlineStr">
        <is>
          <t>39</t>
        </is>
      </c>
      <c r="E197" s="233" t="inlineStr">
        <is>
          <t>40</t>
        </is>
      </c>
      <c r="F197" s="227" t="inlineStr">
        <is>
          <t>VR7</t>
        </is>
      </c>
    </row>
    <row r="198">
      <c r="A198" s="227">
        <f>TL[[#This Row],[Société]]&amp;" - "&amp;TL[[#This Row],[Compte]]</f>
        <v/>
      </c>
      <c r="B198" s="233" t="inlineStr">
        <is>
          <t>613510</t>
        </is>
      </c>
      <c r="C198" s="227" t="inlineStr">
        <is>
          <t>Loc audi df-711-jy</t>
        </is>
      </c>
      <c r="D198" s="233" t="inlineStr">
        <is>
          <t>39</t>
        </is>
      </c>
      <c r="E198" s="233" t="inlineStr">
        <is>
          <t>40</t>
        </is>
      </c>
      <c r="F198" s="227" t="inlineStr">
        <is>
          <t>VR7</t>
        </is>
      </c>
    </row>
    <row r="199">
      <c r="A199" s="227">
        <f>TL[[#This Row],[Société]]&amp;" - "&amp;TL[[#This Row],[Compte]]</f>
        <v/>
      </c>
      <c r="B199" s="233" t="inlineStr">
        <is>
          <t>613520</t>
        </is>
      </c>
      <c r="C199" s="227" t="inlineStr">
        <is>
          <t>Loc occas. de matériel de transport</t>
        </is>
      </c>
      <c r="D199" s="233" t="inlineStr">
        <is>
          <t>16</t>
        </is>
      </c>
      <c r="E199" s="233" t="inlineStr">
        <is>
          <t>40</t>
        </is>
      </c>
      <c r="F199" s="227" t="inlineStr">
        <is>
          <t>VR7</t>
        </is>
      </c>
    </row>
    <row r="200">
      <c r="A200" s="227">
        <f>TL[[#This Row],[Société]]&amp;" - "&amp;TL[[#This Row],[Compte]]</f>
        <v/>
      </c>
      <c r="B200" s="233" t="inlineStr">
        <is>
          <t>613530</t>
        </is>
      </c>
      <c r="C200" s="227" t="inlineStr">
        <is>
          <t>Location interway</t>
        </is>
      </c>
      <c r="D200" s="233" t="inlineStr">
        <is>
          <t>16</t>
        </is>
      </c>
      <c r="E200" s="233" t="inlineStr">
        <is>
          <t>19</t>
        </is>
      </c>
      <c r="F200" s="227" t="inlineStr">
        <is>
          <t>VR7</t>
        </is>
      </c>
    </row>
    <row r="201">
      <c r="A201" s="227">
        <f>TL[[#This Row],[Société]]&amp;" - "&amp;TL[[#This Row],[Compte]]</f>
        <v/>
      </c>
      <c r="B201" s="233" t="inlineStr">
        <is>
          <t>613540</t>
        </is>
      </c>
      <c r="C201" s="227" t="inlineStr">
        <is>
          <t>loyer mercedes HTR8 DN-822-GT</t>
        </is>
      </c>
      <c r="D201" s="233" t="inlineStr">
        <is>
          <t>39</t>
        </is>
      </c>
      <c r="E201" s="233" t="inlineStr">
        <is>
          <t>40</t>
        </is>
      </c>
      <c r="F201" s="227" t="inlineStr">
        <is>
          <t>VR7</t>
        </is>
      </c>
    </row>
    <row r="202">
      <c r="A202" s="227">
        <f>TL[[#This Row],[Société]]&amp;" - "&amp;TL[[#This Row],[Compte]]</f>
        <v/>
      </c>
      <c r="B202" s="233" t="inlineStr">
        <is>
          <t>613550</t>
        </is>
      </c>
      <c r="C202" s="227" t="inlineStr">
        <is>
          <t>Loyer véhicule resp formation</t>
        </is>
      </c>
      <c r="D202" s="233" t="inlineStr">
        <is>
          <t>39</t>
        </is>
      </c>
      <c r="E202" s="233" t="inlineStr">
        <is>
          <t>40</t>
        </is>
      </c>
      <c r="F202" s="227" t="inlineStr">
        <is>
          <t>VR7</t>
        </is>
      </c>
    </row>
    <row r="203">
      <c r="A203" s="227">
        <f>TL[[#This Row],[Société]]&amp;" - "&amp;TL[[#This Row],[Compte]]</f>
        <v/>
      </c>
      <c r="B203" s="233" t="inlineStr">
        <is>
          <t>613551</t>
        </is>
      </c>
      <c r="C203" s="227" t="inlineStr">
        <is>
          <t>Loyer véhicule Wassa</t>
        </is>
      </c>
      <c r="D203" s="233" t="inlineStr">
        <is>
          <t>39</t>
        </is>
      </c>
      <c r="E203" s="233" t="inlineStr">
        <is>
          <t>40</t>
        </is>
      </c>
      <c r="F203" s="227" t="inlineStr">
        <is>
          <t>VR7</t>
        </is>
      </c>
    </row>
    <row r="204">
      <c r="A204" s="227">
        <f>TL[[#This Row],[Société]]&amp;" - "&amp;TL[[#This Row],[Compte]]</f>
        <v/>
      </c>
      <c r="B204" s="233" t="inlineStr">
        <is>
          <t>613552</t>
        </is>
      </c>
      <c r="C204" s="227" t="inlineStr">
        <is>
          <t>loyer audi q2 ep 574 sx</t>
        </is>
      </c>
      <c r="D204" s="233" t="inlineStr">
        <is>
          <t>39</t>
        </is>
      </c>
      <c r="E204" s="233" t="inlineStr">
        <is>
          <t>40</t>
        </is>
      </c>
      <c r="F204" s="227" t="inlineStr">
        <is>
          <t>VR7</t>
        </is>
      </c>
    </row>
    <row r="205">
      <c r="A205" s="227">
        <f>TL[[#This Row],[Société]]&amp;" - "&amp;TL[[#This Row],[Compte]]</f>
        <v/>
      </c>
      <c r="B205" s="233" t="inlineStr">
        <is>
          <t>613553</t>
        </is>
      </c>
      <c r="C205" s="227" t="inlineStr">
        <is>
          <t>loyer voiture bun rath</t>
        </is>
      </c>
      <c r="D205" s="233" t="inlineStr">
        <is>
          <t>39</t>
        </is>
      </c>
      <c r="E205" s="233" t="inlineStr">
        <is>
          <t>40</t>
        </is>
      </c>
      <c r="F205" s="227" t="inlineStr">
        <is>
          <t>VR7</t>
        </is>
      </c>
    </row>
    <row r="206">
      <c r="A206" s="227">
        <f>TL[[#This Row],[Société]]&amp;" - "&amp;TL[[#This Row],[Compte]]</f>
        <v/>
      </c>
      <c r="B206" s="233" t="inlineStr">
        <is>
          <t>613555</t>
        </is>
      </c>
      <c r="C206" s="227" t="inlineStr">
        <is>
          <t>loyer mercedes tirr wassa</t>
        </is>
      </c>
      <c r="D206" s="233" t="inlineStr">
        <is>
          <t>39</t>
        </is>
      </c>
      <c r="E206" s="233" t="inlineStr">
        <is>
          <t>40</t>
        </is>
      </c>
      <c r="F206" s="227" t="inlineStr">
        <is>
          <t>VR7</t>
        </is>
      </c>
    </row>
    <row r="207">
      <c r="A207" s="227">
        <f>TL[[#This Row],[Société]]&amp;" - "&amp;TL[[#This Row],[Compte]]</f>
        <v/>
      </c>
      <c r="B207" s="233" t="inlineStr">
        <is>
          <t>613556</t>
        </is>
      </c>
      <c r="C207" s="227" t="inlineStr">
        <is>
          <t>loyer bmw fh 787 sz</t>
        </is>
      </c>
      <c r="D207" s="233" t="inlineStr">
        <is>
          <t>39</t>
        </is>
      </c>
      <c r="E207" s="233" t="inlineStr">
        <is>
          <t>40</t>
        </is>
      </c>
      <c r="F207" s="227" t="inlineStr">
        <is>
          <t>VR7</t>
        </is>
      </c>
    </row>
    <row r="208">
      <c r="A208" s="227">
        <f>TL[[#This Row],[Société]]&amp;" - "&amp;TL[[#This Row],[Compte]]</f>
        <v/>
      </c>
      <c r="B208" s="233" t="inlineStr">
        <is>
          <t>613557</t>
        </is>
      </c>
      <c r="C208" s="227" t="inlineStr">
        <is>
          <t>loy voiture lanos</t>
        </is>
      </c>
      <c r="D208" s="233" t="inlineStr">
        <is>
          <t>39</t>
        </is>
      </c>
      <c r="E208" s="233" t="inlineStr">
        <is>
          <t>40</t>
        </is>
      </c>
      <c r="F208" s="227" t="inlineStr">
        <is>
          <t>VR7</t>
        </is>
      </c>
    </row>
    <row r="209">
      <c r="A209" s="227">
        <f>TL[[#This Row],[Société]]&amp;" - "&amp;TL[[#This Row],[Compte]]</f>
        <v/>
      </c>
      <c r="B209" s="233" t="inlineStr">
        <is>
          <t>613558</t>
        </is>
      </c>
      <c r="C209" s="227" t="inlineStr">
        <is>
          <t>loy voiture marine</t>
        </is>
      </c>
      <c r="D209" s="233" t="inlineStr">
        <is>
          <t>39</t>
        </is>
      </c>
      <c r="E209" s="233" t="inlineStr">
        <is>
          <t>40</t>
        </is>
      </c>
      <c r="F209" s="227" t="inlineStr">
        <is>
          <t>VR7</t>
        </is>
      </c>
    </row>
    <row r="210">
      <c r="A210" s="227">
        <f>TL[[#This Row],[Société]]&amp;" - "&amp;TL[[#This Row],[Compte]]</f>
        <v/>
      </c>
      <c r="B210" s="233" t="inlineStr">
        <is>
          <t>613559</t>
        </is>
      </c>
      <c r="C210" s="227" t="inlineStr">
        <is>
          <t>loyer voiture sandrine mercedez</t>
        </is>
      </c>
      <c r="D210" s="233" t="inlineStr">
        <is>
          <t>39</t>
        </is>
      </c>
      <c r="E210" s="233" t="inlineStr">
        <is>
          <t>40</t>
        </is>
      </c>
      <c r="F210" s="227" t="inlineStr">
        <is>
          <t>VR7</t>
        </is>
      </c>
    </row>
    <row r="211">
      <c r="A211" s="227">
        <f>TL[[#This Row],[Société]]&amp;" - "&amp;TL[[#This Row],[Compte]]</f>
        <v/>
      </c>
      <c r="B211" s="233" t="inlineStr">
        <is>
          <t>613560</t>
        </is>
      </c>
      <c r="C211" s="227" t="inlineStr">
        <is>
          <t>location vehicule</t>
        </is>
      </c>
      <c r="D211" s="233" t="inlineStr">
        <is>
          <t>16</t>
        </is>
      </c>
      <c r="E211" s="233" t="inlineStr">
        <is>
          <t>40</t>
        </is>
      </c>
      <c r="F211" s="227" t="inlineStr">
        <is>
          <t>VR7</t>
        </is>
      </c>
    </row>
    <row r="212">
      <c r="A212" s="227">
        <f>TL[[#This Row],[Société]]&amp;" - "&amp;TL[[#This Row],[Compte]]</f>
        <v/>
      </c>
      <c r="B212" s="233" t="inlineStr">
        <is>
          <t>613561</t>
        </is>
      </c>
      <c r="C212" s="227" t="inlineStr">
        <is>
          <t>loyer oeuvre d art</t>
        </is>
      </c>
      <c r="D212" s="233" t="inlineStr">
        <is>
          <t>39</t>
        </is>
      </c>
      <c r="E212" s="233" t="inlineStr">
        <is>
          <t>40</t>
        </is>
      </c>
      <c r="F212" s="227" t="inlineStr">
        <is>
          <t>VR7</t>
        </is>
      </c>
    </row>
    <row r="213">
      <c r="A213" s="227">
        <f>TL[[#This Row],[Société]]&amp;" - "&amp;TL[[#This Row],[Compte]]</f>
        <v/>
      </c>
      <c r="B213" s="233" t="inlineStr">
        <is>
          <t>613562</t>
        </is>
      </c>
      <c r="C213" s="227" t="inlineStr">
        <is>
          <t>location defibrillateur</t>
        </is>
      </c>
      <c r="D213" s="233" t="inlineStr">
        <is>
          <t>16</t>
        </is>
      </c>
      <c r="E213" s="233" t="inlineStr">
        <is>
          <t>19</t>
        </is>
      </c>
      <c r="F213" s="227" t="inlineStr">
        <is>
          <t>VR7</t>
        </is>
      </c>
    </row>
    <row r="214">
      <c r="A214" s="227">
        <f>TL[[#This Row],[Société]]&amp;" - "&amp;TL[[#This Row],[Compte]]</f>
        <v/>
      </c>
      <c r="B214" s="233" t="inlineStr">
        <is>
          <t>613563</t>
        </is>
      </c>
      <c r="C214" s="227" t="inlineStr">
        <is>
          <t>loyer veh audi elect hugo</t>
        </is>
      </c>
      <c r="D214" s="233" t="inlineStr">
        <is>
          <t>39</t>
        </is>
      </c>
      <c r="E214" s="233" t="inlineStr">
        <is>
          <t>40</t>
        </is>
      </c>
      <c r="F214" s="227" t="inlineStr">
        <is>
          <t>VR7</t>
        </is>
      </c>
    </row>
    <row r="215">
      <c r="A215" s="227">
        <f>TL[[#This Row],[Société]]&amp;" - "&amp;TL[[#This Row],[Compte]]</f>
        <v/>
      </c>
      <c r="B215" s="233" t="inlineStr">
        <is>
          <t>613564</t>
        </is>
      </c>
      <c r="C215" s="227" t="inlineStr">
        <is>
          <t>loyer voit yatera htr8</t>
        </is>
      </c>
      <c r="D215" s="233" t="inlineStr">
        <is>
          <t>39</t>
        </is>
      </c>
      <c r="E215" s="233" t="inlineStr">
        <is>
          <t>40</t>
        </is>
      </c>
      <c r="F215" s="227" t="inlineStr">
        <is>
          <t>VR7</t>
        </is>
      </c>
    </row>
    <row r="216">
      <c r="A216" s="227">
        <f>TL[[#This Row],[Société]]&amp;" - "&amp;TL[[#This Row],[Compte]]</f>
        <v/>
      </c>
      <c r="B216" s="233" t="inlineStr">
        <is>
          <t>613565</t>
        </is>
      </c>
      <c r="C216" s="227" t="inlineStr">
        <is>
          <t>Loyr véh Phoeuk</t>
        </is>
      </c>
      <c r="D216" s="233" t="inlineStr">
        <is>
          <t>39</t>
        </is>
      </c>
      <c r="E216" s="233" t="inlineStr">
        <is>
          <t>40</t>
        </is>
      </c>
      <c r="F216" s="227" t="inlineStr">
        <is>
          <t>VR7</t>
        </is>
      </c>
    </row>
    <row r="217">
      <c r="A217" s="227">
        <f>TL[[#This Row],[Société]]&amp;" - "&amp;TL[[#This Row],[Compte]]</f>
        <v/>
      </c>
      <c r="B217" s="233" t="inlineStr">
        <is>
          <t>614100</t>
        </is>
      </c>
      <c r="C217" s="227" t="inlineStr">
        <is>
          <t>Taxes foncières</t>
        </is>
      </c>
      <c r="D217" s="233" t="inlineStr">
        <is>
          <t>34</t>
        </is>
      </c>
      <c r="E217" s="233" t="inlineStr">
        <is>
          <t>33</t>
        </is>
      </c>
      <c r="F217" s="227" t="inlineStr">
        <is>
          <t>VR7</t>
        </is>
      </c>
    </row>
    <row r="218">
      <c r="A218" s="227">
        <f>TL[[#This Row],[Société]]&amp;" - "&amp;TL[[#This Row],[Compte]]</f>
        <v/>
      </c>
      <c r="B218" s="233" t="inlineStr">
        <is>
          <t>615300</t>
        </is>
      </c>
      <c r="C218" s="227" t="inlineStr">
        <is>
          <t>Entretien equipement</t>
        </is>
      </c>
      <c r="F218" s="227" t="inlineStr">
        <is>
          <t>VR7</t>
        </is>
      </c>
    </row>
    <row r="219">
      <c r="A219" s="227">
        <f>TL[[#This Row],[Société]]&amp;" - "&amp;TL[[#This Row],[Compte]]</f>
        <v/>
      </c>
      <c r="B219" s="233" t="inlineStr">
        <is>
          <t>615500</t>
        </is>
      </c>
      <c r="C219" s="227" t="inlineStr">
        <is>
          <t>Entretien sur biens mobiliers</t>
        </is>
      </c>
      <c r="D219" s="233" t="inlineStr">
        <is>
          <t>19</t>
        </is>
      </c>
      <c r="E219" s="233" t="inlineStr">
        <is>
          <t>18</t>
        </is>
      </c>
      <c r="F219" s="227" t="inlineStr">
        <is>
          <t>VR7</t>
        </is>
      </c>
    </row>
    <row r="220">
      <c r="A220" s="227">
        <f>TL[[#This Row],[Société]]&amp;" - "&amp;TL[[#This Row],[Compte]]</f>
        <v/>
      </c>
      <c r="B220" s="233" t="inlineStr">
        <is>
          <t>615520</t>
        </is>
      </c>
      <c r="C220" s="227" t="inlineStr">
        <is>
          <t>Entretien matériel de transport</t>
        </is>
      </c>
      <c r="D220" s="233" t="inlineStr">
        <is>
          <t>39</t>
        </is>
      </c>
      <c r="E220" s="233" t="inlineStr">
        <is>
          <t>18</t>
        </is>
      </c>
      <c r="F220" s="227" t="inlineStr">
        <is>
          <t>VR7</t>
        </is>
      </c>
    </row>
    <row r="221">
      <c r="A221" s="227">
        <f>TL[[#This Row],[Société]]&amp;" - "&amp;TL[[#This Row],[Compte]]</f>
        <v/>
      </c>
      <c r="B221" s="233" t="inlineStr">
        <is>
          <t>615612</t>
        </is>
      </c>
      <c r="C221" s="227" t="inlineStr">
        <is>
          <t>Contrat huiles npu</t>
        </is>
      </c>
      <c r="D221" s="233" t="inlineStr">
        <is>
          <t>16</t>
        </is>
      </c>
      <c r="E221" s="233" t="inlineStr">
        <is>
          <t>19</t>
        </is>
      </c>
      <c r="F221" s="227" t="inlineStr">
        <is>
          <t>VR7</t>
        </is>
      </c>
    </row>
    <row r="222">
      <c r="A222" s="227">
        <f>TL[[#This Row],[Société]]&amp;" - "&amp;TL[[#This Row],[Compte]]</f>
        <v/>
      </c>
      <c r="B222" s="233" t="inlineStr">
        <is>
          <t>615613</t>
        </is>
      </c>
      <c r="C222" s="227" t="inlineStr">
        <is>
          <t>Contrat reflex services</t>
        </is>
      </c>
      <c r="D222" s="233" t="inlineStr">
        <is>
          <t>16</t>
        </is>
      </c>
      <c r="E222" s="233" t="inlineStr">
        <is>
          <t>19</t>
        </is>
      </c>
      <c r="F222" s="227" t="inlineStr">
        <is>
          <t>VR7</t>
        </is>
      </c>
    </row>
    <row r="223">
      <c r="A223" s="227">
        <f>TL[[#This Row],[Société]]&amp;" - "&amp;TL[[#This Row],[Compte]]</f>
        <v/>
      </c>
      <c r="B223" s="233" t="inlineStr">
        <is>
          <t>615614</t>
        </is>
      </c>
      <c r="C223" s="227" t="inlineStr">
        <is>
          <t>Maintenance mc do</t>
        </is>
      </c>
      <c r="D223" s="233" t="inlineStr">
        <is>
          <t>16</t>
        </is>
      </c>
      <c r="E223" s="233" t="inlineStr">
        <is>
          <t>19</t>
        </is>
      </c>
      <c r="F223" s="227" t="inlineStr">
        <is>
          <t>VR7</t>
        </is>
      </c>
    </row>
    <row r="224">
      <c r="A224" s="227">
        <f>TL[[#This Row],[Société]]&amp;" - "&amp;TL[[#This Row],[Compte]]</f>
        <v/>
      </c>
      <c r="B224" s="233" t="inlineStr">
        <is>
          <t>615615</t>
        </is>
      </c>
      <c r="C224" s="227" t="inlineStr">
        <is>
          <t>Contrat entretien linge</t>
        </is>
      </c>
      <c r="D224" s="233" t="inlineStr">
        <is>
          <t>16</t>
        </is>
      </c>
      <c r="E224" s="233" t="inlineStr">
        <is>
          <t>19</t>
        </is>
      </c>
      <c r="F224" s="227" t="inlineStr">
        <is>
          <t>VR7</t>
        </is>
      </c>
    </row>
    <row r="225">
      <c r="A225" s="227">
        <f>TL[[#This Row],[Société]]&amp;" - "&amp;TL[[#This Row],[Compte]]</f>
        <v/>
      </c>
      <c r="B225" s="233" t="inlineStr">
        <is>
          <t>615616</t>
        </is>
      </c>
      <c r="C225" s="227" t="inlineStr">
        <is>
          <t>Contrat Vitres</t>
        </is>
      </c>
      <c r="D225" s="233" t="inlineStr">
        <is>
          <t>16</t>
        </is>
      </c>
      <c r="E225" s="233" t="inlineStr">
        <is>
          <t>15</t>
        </is>
      </c>
      <c r="F225" s="227" t="inlineStr">
        <is>
          <t>VR7</t>
        </is>
      </c>
    </row>
    <row r="226">
      <c r="A226" s="227">
        <f>TL[[#This Row],[Société]]&amp;" - "&amp;TL[[#This Row],[Compte]]</f>
        <v/>
      </c>
      <c r="B226" s="233" t="inlineStr">
        <is>
          <t>615619</t>
        </is>
      </c>
      <c r="C226" s="227" t="inlineStr">
        <is>
          <t>Contrat ecolab</t>
        </is>
      </c>
      <c r="D226" s="233" t="inlineStr">
        <is>
          <t>16</t>
        </is>
      </c>
      <c r="E226" s="233" t="inlineStr">
        <is>
          <t>19</t>
        </is>
      </c>
      <c r="F226" s="227" t="inlineStr">
        <is>
          <t>VR7</t>
        </is>
      </c>
    </row>
    <row r="227">
      <c r="A227" s="227">
        <f>TL[[#This Row],[Société]]&amp;" - "&amp;TL[[#This Row],[Compte]]</f>
        <v/>
      </c>
      <c r="B227" s="233" t="inlineStr">
        <is>
          <t>615620</t>
        </is>
      </c>
      <c r="C227" s="227" t="inlineStr">
        <is>
          <t>Télésurveillance</t>
        </is>
      </c>
      <c r="D227" s="233" t="inlineStr">
        <is>
          <t>16</t>
        </is>
      </c>
      <c r="E227" s="233" t="inlineStr">
        <is>
          <t>16</t>
        </is>
      </c>
      <c r="F227" s="227" t="inlineStr">
        <is>
          <t>VR7</t>
        </is>
      </c>
    </row>
    <row r="228">
      <c r="A228" s="227">
        <f>TL[[#This Row],[Société]]&amp;" - "&amp;TL[[#This Row],[Compte]]</f>
        <v/>
      </c>
      <c r="B228" s="233" t="inlineStr">
        <is>
          <t>615621</t>
        </is>
      </c>
      <c r="C228" s="227" t="inlineStr">
        <is>
          <t>Contrat vitres sols</t>
        </is>
      </c>
      <c r="D228" s="233" t="inlineStr">
        <is>
          <t>16</t>
        </is>
      </c>
      <c r="E228" s="233" t="inlineStr">
        <is>
          <t>15</t>
        </is>
      </c>
      <c r="F228" s="227" t="inlineStr">
        <is>
          <t>VR7</t>
        </is>
      </c>
    </row>
    <row r="229">
      <c r="A229" s="227">
        <f>TL[[#This Row],[Société]]&amp;" - "&amp;TL[[#This Row],[Compte]]</f>
        <v/>
      </c>
      <c r="B229" s="233" t="inlineStr">
        <is>
          <t>615622</t>
        </is>
      </c>
      <c r="C229" s="227" t="inlineStr">
        <is>
          <t>Contrat calypsound</t>
        </is>
      </c>
      <c r="D229" s="233" t="inlineStr">
        <is>
          <t>16</t>
        </is>
      </c>
      <c r="E229" s="233" t="inlineStr">
        <is>
          <t>19</t>
        </is>
      </c>
      <c r="F229" s="227" t="inlineStr">
        <is>
          <t>VR7</t>
        </is>
      </c>
    </row>
    <row r="230">
      <c r="A230" s="227">
        <f>TL[[#This Row],[Société]]&amp;" - "&amp;TL[[#This Row],[Compte]]</f>
        <v/>
      </c>
      <c r="B230" s="233" t="inlineStr">
        <is>
          <t>615623</t>
        </is>
      </c>
      <c r="C230" s="227" t="inlineStr">
        <is>
          <t>Contrat spie - clim</t>
        </is>
      </c>
      <c r="D230" s="233" t="inlineStr">
        <is>
          <t>16</t>
        </is>
      </c>
      <c r="E230" s="233" t="inlineStr">
        <is>
          <t>19</t>
        </is>
      </c>
      <c r="F230" s="227" t="inlineStr">
        <is>
          <t>VR7</t>
        </is>
      </c>
    </row>
    <row r="231">
      <c r="A231" s="227">
        <f>TL[[#This Row],[Société]]&amp;" - "&amp;TL[[#This Row],[Compte]]</f>
        <v/>
      </c>
      <c r="B231" s="233" t="inlineStr">
        <is>
          <t>615624</t>
        </is>
      </c>
      <c r="C231" s="227" t="inlineStr">
        <is>
          <t>Cont telima</t>
        </is>
      </c>
      <c r="D231" s="233" t="inlineStr">
        <is>
          <t>16</t>
        </is>
      </c>
      <c r="E231" s="233" t="inlineStr">
        <is>
          <t>19</t>
        </is>
      </c>
      <c r="F231" s="227" t="inlineStr">
        <is>
          <t>VR7</t>
        </is>
      </c>
    </row>
    <row r="232">
      <c r="A232" s="227">
        <f>TL[[#This Row],[Société]]&amp;" - "&amp;TL[[#This Row],[Compte]]</f>
        <v/>
      </c>
      <c r="B232" s="233" t="inlineStr">
        <is>
          <t>615625</t>
        </is>
      </c>
      <c r="C232" s="227" t="inlineStr">
        <is>
          <t>Contrat tsn</t>
        </is>
      </c>
      <c r="D232" s="233" t="inlineStr">
        <is>
          <t>16</t>
        </is>
      </c>
      <c r="E232" s="233" t="inlineStr">
        <is>
          <t>19</t>
        </is>
      </c>
      <c r="F232" s="227" t="inlineStr">
        <is>
          <t>VR7</t>
        </is>
      </c>
    </row>
    <row r="233">
      <c r="A233" s="227">
        <f>TL[[#This Row],[Société]]&amp;" - "&amp;TL[[#This Row],[Compte]]</f>
        <v/>
      </c>
      <c r="B233" s="233" t="inlineStr">
        <is>
          <t>615626</t>
        </is>
      </c>
      <c r="C233" s="227" t="inlineStr">
        <is>
          <t>Contrat rammassage espèces</t>
        </is>
      </c>
      <c r="D233" s="233" t="inlineStr">
        <is>
          <t>16</t>
        </is>
      </c>
      <c r="E233" s="233" t="inlineStr">
        <is>
          <t>19</t>
        </is>
      </c>
      <c r="F233" s="227" t="inlineStr">
        <is>
          <t>VR7</t>
        </is>
      </c>
    </row>
    <row r="234">
      <c r="A234" s="227">
        <f>TL[[#This Row],[Société]]&amp;" - "&amp;TL[[#This Row],[Compte]]</f>
        <v/>
      </c>
      <c r="B234" s="233" t="inlineStr">
        <is>
          <t>615627</t>
        </is>
      </c>
      <c r="C234" s="227" t="inlineStr">
        <is>
          <t>Contrat entretien jardin</t>
        </is>
      </c>
      <c r="D234" s="233" t="inlineStr">
        <is>
          <t>16</t>
        </is>
      </c>
      <c r="E234" s="233" t="inlineStr">
        <is>
          <t>19</t>
        </is>
      </c>
      <c r="F234" s="227" t="inlineStr">
        <is>
          <t>VR7</t>
        </is>
      </c>
    </row>
    <row r="235">
      <c r="A235" s="227">
        <f>TL[[#This Row],[Société]]&amp;" - "&amp;TL[[#This Row],[Compte]]</f>
        <v/>
      </c>
      <c r="B235" s="233" t="inlineStr">
        <is>
          <t>615628</t>
        </is>
      </c>
      <c r="C235" s="227" t="inlineStr">
        <is>
          <t>Contrat sesam</t>
        </is>
      </c>
      <c r="D235" s="233" t="inlineStr">
        <is>
          <t>16</t>
        </is>
      </c>
      <c r="E235" s="233" t="inlineStr">
        <is>
          <t>19</t>
        </is>
      </c>
      <c r="F235" s="227" t="inlineStr">
        <is>
          <t>VR7</t>
        </is>
      </c>
    </row>
    <row r="236">
      <c r="A236" s="227">
        <f>TL[[#This Row],[Société]]&amp;" - "&amp;TL[[#This Row],[Compte]]</f>
        <v/>
      </c>
      <c r="B236" s="233" t="inlineStr">
        <is>
          <t>615629</t>
        </is>
      </c>
      <c r="C236" s="227" t="inlineStr">
        <is>
          <t>Contrat guildagil</t>
        </is>
      </c>
      <c r="D236" s="233" t="inlineStr">
        <is>
          <t>16</t>
        </is>
      </c>
      <c r="E236" s="233" t="inlineStr">
        <is>
          <t>19</t>
        </is>
      </c>
      <c r="F236" s="227" t="inlineStr">
        <is>
          <t>VR7</t>
        </is>
      </c>
    </row>
    <row r="237">
      <c r="A237" s="227">
        <f>TL[[#This Row],[Société]]&amp;" - "&amp;TL[[#This Row],[Compte]]</f>
        <v/>
      </c>
      <c r="B237" s="233" t="inlineStr">
        <is>
          <t>615630</t>
        </is>
      </c>
      <c r="C237" s="227" t="inlineStr">
        <is>
          <t>Contrat sacem</t>
        </is>
      </c>
      <c r="D237" s="233" t="inlineStr">
        <is>
          <t>16</t>
        </is>
      </c>
      <c r="E237" s="233" t="inlineStr">
        <is>
          <t>19</t>
        </is>
      </c>
      <c r="F237" s="227" t="inlineStr">
        <is>
          <t>VR7</t>
        </is>
      </c>
    </row>
    <row r="238">
      <c r="A238" s="227">
        <f>TL[[#This Row],[Société]]&amp;" - "&amp;TL[[#This Row],[Compte]]</f>
        <v/>
      </c>
      <c r="B238" s="233" t="inlineStr">
        <is>
          <t>615633</t>
        </is>
      </c>
      <c r="C238" s="227" t="inlineStr">
        <is>
          <t>Contrat alarme</t>
        </is>
      </c>
      <c r="D238" s="233" t="inlineStr">
        <is>
          <t>16</t>
        </is>
      </c>
      <c r="E238" s="233" t="inlineStr">
        <is>
          <t>16</t>
        </is>
      </c>
      <c r="F238" s="227" t="inlineStr">
        <is>
          <t>VR7</t>
        </is>
      </c>
    </row>
    <row r="239">
      <c r="A239" s="227">
        <f>TL[[#This Row],[Société]]&amp;" - "&amp;TL[[#This Row],[Compte]]</f>
        <v/>
      </c>
      <c r="B239" s="233" t="inlineStr">
        <is>
          <t>615634</t>
        </is>
      </c>
      <c r="C239" s="227" t="inlineStr">
        <is>
          <t>contrat siriusweb</t>
        </is>
      </c>
      <c r="D239" s="233" t="inlineStr">
        <is>
          <t>16</t>
        </is>
      </c>
      <c r="E239" s="233" t="inlineStr">
        <is>
          <t>19</t>
        </is>
      </c>
      <c r="F239" s="227" t="inlineStr">
        <is>
          <t>VR7</t>
        </is>
      </c>
    </row>
    <row r="240">
      <c r="A240" s="227">
        <f>TL[[#This Row],[Société]]&amp;" - "&amp;TL[[#This Row],[Compte]]</f>
        <v/>
      </c>
      <c r="B240" s="233" t="inlineStr">
        <is>
          <t>615636</t>
        </is>
      </c>
      <c r="C240" s="227" t="inlineStr">
        <is>
          <t>Contrat iroun montain</t>
        </is>
      </c>
      <c r="D240" s="233" t="inlineStr">
        <is>
          <t>16</t>
        </is>
      </c>
      <c r="E240" s="233" t="inlineStr">
        <is>
          <t>19</t>
        </is>
      </c>
      <c r="F240" s="227" t="inlineStr">
        <is>
          <t>VR7</t>
        </is>
      </c>
    </row>
    <row r="241">
      <c r="A241" s="227">
        <f>TL[[#This Row],[Société]]&amp;" - "&amp;TL[[#This Row],[Compte]]</f>
        <v/>
      </c>
      <c r="B241" s="233" t="inlineStr">
        <is>
          <t>615637</t>
        </is>
      </c>
      <c r="C241" s="227" t="inlineStr">
        <is>
          <t>Contrat Socotec</t>
        </is>
      </c>
      <c r="D241" s="233" t="inlineStr">
        <is>
          <t>16</t>
        </is>
      </c>
      <c r="E241" s="233" t="inlineStr">
        <is>
          <t>19</t>
        </is>
      </c>
      <c r="F241" s="227" t="inlineStr">
        <is>
          <t>VR7</t>
        </is>
      </c>
    </row>
    <row r="242">
      <c r="A242" s="227">
        <f>TL[[#This Row],[Société]]&amp;" - "&amp;TL[[#This Row],[Compte]]</f>
        <v/>
      </c>
      <c r="B242" s="233" t="inlineStr">
        <is>
          <t>615639</t>
        </is>
      </c>
      <c r="C242" s="227" t="inlineStr">
        <is>
          <t>Contrat guildalgil</t>
        </is>
      </c>
      <c r="D242" s="233" t="inlineStr">
        <is>
          <t>16</t>
        </is>
      </c>
      <c r="E242" s="233" t="inlineStr">
        <is>
          <t>19</t>
        </is>
      </c>
      <c r="F242" s="227" t="inlineStr">
        <is>
          <t>VR7</t>
        </is>
      </c>
    </row>
    <row r="243">
      <c r="A243" s="227">
        <f>TL[[#This Row],[Société]]&amp;" - "&amp;TL[[#This Row],[Compte]]</f>
        <v/>
      </c>
      <c r="B243" s="233" t="inlineStr">
        <is>
          <t>615641</t>
        </is>
      </c>
      <c r="C243" s="227" t="inlineStr">
        <is>
          <t>NE PAS UTILISER</t>
        </is>
      </c>
      <c r="D243" s="233" t="inlineStr">
        <is>
          <t>99</t>
        </is>
      </c>
      <c r="F243" s="227" t="inlineStr">
        <is>
          <t>VR7</t>
        </is>
      </c>
    </row>
    <row r="244">
      <c r="A244" s="227">
        <f>TL[[#This Row],[Société]]&amp;" - "&amp;TL[[#This Row],[Compte]]</f>
        <v/>
      </c>
      <c r="B244" s="233" t="inlineStr">
        <is>
          <t>615642</t>
        </is>
      </c>
      <c r="C244" s="227" t="inlineStr">
        <is>
          <t>contrat wi fi</t>
        </is>
      </c>
      <c r="D244" s="233" t="inlineStr">
        <is>
          <t>16</t>
        </is>
      </c>
      <c r="E244" s="233" t="inlineStr">
        <is>
          <t>19</t>
        </is>
      </c>
      <c r="F244" s="227" t="inlineStr">
        <is>
          <t>VR7</t>
        </is>
      </c>
    </row>
    <row r="245">
      <c r="A245" s="227">
        <f>TL[[#This Row],[Société]]&amp;" - "&amp;TL[[#This Row],[Compte]]</f>
        <v/>
      </c>
      <c r="B245" s="233" t="inlineStr">
        <is>
          <t>615643</t>
        </is>
      </c>
      <c r="C245" s="227" t="inlineStr">
        <is>
          <t>Contrat servipro</t>
        </is>
      </c>
      <c r="D245" s="233" t="inlineStr">
        <is>
          <t>16</t>
        </is>
      </c>
      <c r="E245" s="233" t="inlineStr">
        <is>
          <t>19</t>
        </is>
      </c>
      <c r="F245" s="227" t="inlineStr">
        <is>
          <t>VR7</t>
        </is>
      </c>
    </row>
    <row r="246">
      <c r="A246" s="227">
        <f>TL[[#This Row],[Société]]&amp;" - "&amp;TL[[#This Row],[Compte]]</f>
        <v/>
      </c>
      <c r="B246" s="233" t="inlineStr">
        <is>
          <t>615653</t>
        </is>
      </c>
      <c r="C246" s="227" t="inlineStr">
        <is>
          <t>Contrat acrelec</t>
        </is>
      </c>
      <c r="D246" s="233" t="inlineStr">
        <is>
          <t>16</t>
        </is>
      </c>
      <c r="E246" s="233" t="inlineStr">
        <is>
          <t>19</t>
        </is>
      </c>
      <c r="F246" s="227" t="inlineStr">
        <is>
          <t>VR7</t>
        </is>
      </c>
    </row>
    <row r="247">
      <c r="A247" s="227">
        <f>TL[[#This Row],[Société]]&amp;" - "&amp;TL[[#This Row],[Compte]]</f>
        <v/>
      </c>
      <c r="B247" s="233" t="inlineStr">
        <is>
          <t>615655</t>
        </is>
      </c>
      <c r="C247" s="227" t="inlineStr">
        <is>
          <t>Contrat collecte huiles usagées ole</t>
        </is>
      </c>
      <c r="D247" s="233" t="inlineStr">
        <is>
          <t>16</t>
        </is>
      </c>
      <c r="E247" s="233" t="inlineStr">
        <is>
          <t>19</t>
        </is>
      </c>
      <c r="F247" s="227" t="inlineStr">
        <is>
          <t>VR7</t>
        </is>
      </c>
    </row>
    <row r="248">
      <c r="A248" s="227">
        <f>TL[[#This Row],[Société]]&amp;" - "&amp;TL[[#This Row],[Compte]]</f>
        <v/>
      </c>
      <c r="B248" s="233" t="inlineStr">
        <is>
          <t>615656</t>
        </is>
      </c>
      <c r="C248" s="227" t="inlineStr">
        <is>
          <t>Contrat coca</t>
        </is>
      </c>
      <c r="D248" s="233" t="inlineStr">
        <is>
          <t>16</t>
        </is>
      </c>
      <c r="E248" s="233" t="inlineStr">
        <is>
          <t>19</t>
        </is>
      </c>
      <c r="F248" s="227" t="inlineStr">
        <is>
          <t>VR7</t>
        </is>
      </c>
    </row>
    <row r="249">
      <c r="A249" s="227">
        <f>TL[[#This Row],[Société]]&amp;" - "&amp;TL[[#This Row],[Compte]]</f>
        <v/>
      </c>
      <c r="B249" s="233" t="inlineStr">
        <is>
          <t>615657</t>
        </is>
      </c>
      <c r="C249" s="227" t="inlineStr">
        <is>
          <t>Rammassages déchets</t>
        </is>
      </c>
      <c r="D249" s="233" t="inlineStr">
        <is>
          <t>16</t>
        </is>
      </c>
      <c r="E249" s="233" t="inlineStr">
        <is>
          <t>19</t>
        </is>
      </c>
      <c r="F249" s="227" t="inlineStr">
        <is>
          <t>VR7</t>
        </is>
      </c>
    </row>
    <row r="250">
      <c r="A250" s="227">
        <f>TL[[#This Row],[Société]]&amp;" - "&amp;TL[[#This Row],[Compte]]</f>
        <v/>
      </c>
      <c r="B250" s="233" t="inlineStr">
        <is>
          <t>615658</t>
        </is>
      </c>
      <c r="C250" s="227" t="inlineStr">
        <is>
          <t>Abonnement recru-net</t>
        </is>
      </c>
      <c r="D250" s="233" t="inlineStr">
        <is>
          <t>16</t>
        </is>
      </c>
      <c r="E250" s="233" t="inlineStr">
        <is>
          <t>19</t>
        </is>
      </c>
      <c r="F250" s="227" t="inlineStr">
        <is>
          <t>VR7</t>
        </is>
      </c>
    </row>
    <row r="251">
      <c r="A251" s="227">
        <f>TL[[#This Row],[Société]]&amp;" - "&amp;TL[[#This Row],[Compte]]</f>
        <v/>
      </c>
      <c r="B251" s="233" t="inlineStr">
        <is>
          <t>615659</t>
        </is>
      </c>
      <c r="C251" s="227" t="inlineStr">
        <is>
          <t>Contrat technivap</t>
        </is>
      </c>
      <c r="D251" s="233" t="inlineStr">
        <is>
          <t>16</t>
        </is>
      </c>
      <c r="E251" s="233" t="inlineStr">
        <is>
          <t>19</t>
        </is>
      </c>
      <c r="F251" s="227" t="inlineStr">
        <is>
          <t>VR7</t>
        </is>
      </c>
    </row>
    <row r="252">
      <c r="A252" s="227">
        <f>TL[[#This Row],[Société]]&amp;" - "&amp;TL[[#This Row],[Compte]]</f>
        <v/>
      </c>
      <c r="B252" s="233" t="inlineStr">
        <is>
          <t>615660</t>
        </is>
      </c>
      <c r="C252" s="227" t="inlineStr">
        <is>
          <t>Contrat interway NPU</t>
        </is>
      </c>
      <c r="D252" s="233" t="inlineStr">
        <is>
          <t>16</t>
        </is>
      </c>
      <c r="E252" s="233" t="inlineStr">
        <is>
          <t>19</t>
        </is>
      </c>
      <c r="F252" s="227" t="inlineStr">
        <is>
          <t>VR7</t>
        </is>
      </c>
    </row>
    <row r="253">
      <c r="A253" s="227">
        <f>TL[[#This Row],[Société]]&amp;" - "&amp;TL[[#This Row],[Compte]]</f>
        <v/>
      </c>
      <c r="B253" s="233" t="inlineStr">
        <is>
          <t>615661</t>
        </is>
      </c>
      <c r="C253" s="227" t="inlineStr">
        <is>
          <t>contrat iss</t>
        </is>
      </c>
      <c r="D253" s="233" t="inlineStr">
        <is>
          <t>16</t>
        </is>
      </c>
      <c r="E253" s="233" t="inlineStr">
        <is>
          <t>19</t>
        </is>
      </c>
      <c r="F253" s="227" t="inlineStr">
        <is>
          <t>VR7</t>
        </is>
      </c>
    </row>
    <row r="254">
      <c r="A254" s="227">
        <f>TL[[#This Row],[Société]]&amp;" - "&amp;TL[[#This Row],[Compte]]</f>
        <v/>
      </c>
      <c r="B254" s="233" t="inlineStr">
        <is>
          <t>615670</t>
        </is>
      </c>
      <c r="C254" s="227" t="inlineStr">
        <is>
          <t>Silliker</t>
        </is>
      </c>
      <c r="D254" s="233" t="inlineStr">
        <is>
          <t>16</t>
        </is>
      </c>
      <c r="E254" s="233" t="inlineStr">
        <is>
          <t>19</t>
        </is>
      </c>
      <c r="F254" s="227" t="inlineStr">
        <is>
          <t>VR7</t>
        </is>
      </c>
    </row>
    <row r="255">
      <c r="A255" s="227">
        <f>TL[[#This Row],[Société]]&amp;" - "&amp;TL[[#This Row],[Compte]]</f>
        <v/>
      </c>
      <c r="B255" s="233" t="inlineStr">
        <is>
          <t>615671</t>
        </is>
      </c>
      <c r="C255" s="227" t="inlineStr">
        <is>
          <t>Contrat tyco</t>
        </is>
      </c>
      <c r="D255" s="233" t="inlineStr">
        <is>
          <t>16</t>
        </is>
      </c>
      <c r="E255" s="233" t="inlineStr">
        <is>
          <t>19</t>
        </is>
      </c>
      <c r="F255" s="227" t="inlineStr">
        <is>
          <t>VR7</t>
        </is>
      </c>
    </row>
    <row r="256">
      <c r="A256" s="227">
        <f>TL[[#This Row],[Société]]&amp;" - "&amp;TL[[#This Row],[Compte]]</f>
        <v/>
      </c>
      <c r="B256" s="233" t="inlineStr">
        <is>
          <t>615672</t>
        </is>
      </c>
      <c r="C256" s="227" t="inlineStr">
        <is>
          <t>contrat jri</t>
        </is>
      </c>
      <c r="D256" s="233" t="inlineStr">
        <is>
          <t>16</t>
        </is>
      </c>
      <c r="E256" s="233" t="inlineStr">
        <is>
          <t>19</t>
        </is>
      </c>
      <c r="F256" s="227" t="inlineStr">
        <is>
          <t>VR7</t>
        </is>
      </c>
    </row>
    <row r="257">
      <c r="A257" s="227">
        <f>TL[[#This Row],[Société]]&amp;" - "&amp;TL[[#This Row],[Compte]]</f>
        <v/>
      </c>
      <c r="B257" s="233" t="inlineStr">
        <is>
          <t>615673</t>
        </is>
      </c>
      <c r="C257" s="227" t="inlineStr">
        <is>
          <t>contrat mood</t>
        </is>
      </c>
      <c r="D257" s="233" t="inlineStr">
        <is>
          <t>16</t>
        </is>
      </c>
      <c r="E257" s="233" t="inlineStr">
        <is>
          <t>19</t>
        </is>
      </c>
      <c r="F257" s="227" t="inlineStr">
        <is>
          <t>VR7</t>
        </is>
      </c>
    </row>
    <row r="258">
      <c r="A258" s="227">
        <f>TL[[#This Row],[Société]]&amp;" - "&amp;TL[[#This Row],[Compte]]</f>
        <v/>
      </c>
      <c r="B258" s="233" t="inlineStr">
        <is>
          <t>615674</t>
        </is>
      </c>
      <c r="C258" s="227" t="inlineStr">
        <is>
          <t>contrat majie</t>
        </is>
      </c>
      <c r="D258" s="233" t="inlineStr">
        <is>
          <t>16</t>
        </is>
      </c>
      <c r="E258" s="233" t="inlineStr">
        <is>
          <t>19</t>
        </is>
      </c>
      <c r="F258" s="227" t="inlineStr">
        <is>
          <t>VR7</t>
        </is>
      </c>
    </row>
    <row r="259">
      <c r="A259" s="227">
        <f>TL[[#This Row],[Société]]&amp;" - "&amp;TL[[#This Row],[Compte]]</f>
        <v/>
      </c>
      <c r="B259" s="233" t="inlineStr">
        <is>
          <t>615675</t>
        </is>
      </c>
      <c r="C259" s="227" t="inlineStr">
        <is>
          <t>contrat grenke</t>
        </is>
      </c>
      <c r="D259" s="233" t="inlineStr">
        <is>
          <t>16</t>
        </is>
      </c>
      <c r="E259" s="233" t="inlineStr">
        <is>
          <t>19</t>
        </is>
      </c>
      <c r="F259" s="227" t="inlineStr">
        <is>
          <t>VR7</t>
        </is>
      </c>
    </row>
    <row r="260">
      <c r="A260" s="227">
        <f>TL[[#This Row],[Société]]&amp;" - "&amp;TL[[#This Row],[Compte]]</f>
        <v/>
      </c>
      <c r="B260" s="233" t="inlineStr">
        <is>
          <t>615676</t>
        </is>
      </c>
      <c r="C260" s="227" t="inlineStr">
        <is>
          <t>contrat indelec rech borne</t>
        </is>
      </c>
      <c r="D260" s="233" t="inlineStr">
        <is>
          <t>16</t>
        </is>
      </c>
      <c r="E260" s="233" t="inlineStr">
        <is>
          <t>19</t>
        </is>
      </c>
      <c r="F260" s="227" t="inlineStr">
        <is>
          <t>VR7</t>
        </is>
      </c>
    </row>
    <row r="261">
      <c r="A261" s="227">
        <f>TL[[#This Row],[Société]]&amp;" - "&amp;TL[[#This Row],[Compte]]</f>
        <v/>
      </c>
      <c r="B261" s="233" t="inlineStr">
        <is>
          <t>615677</t>
        </is>
      </c>
      <c r="C261" s="227" t="inlineStr">
        <is>
          <t>contrat advertis</t>
        </is>
      </c>
      <c r="D261" s="233" t="inlineStr">
        <is>
          <t>16</t>
        </is>
      </c>
      <c r="E261" s="233" t="inlineStr">
        <is>
          <t>19</t>
        </is>
      </c>
      <c r="F261" s="227" t="inlineStr">
        <is>
          <t>VR7</t>
        </is>
      </c>
    </row>
    <row r="262">
      <c r="A262" s="227">
        <f>TL[[#This Row],[Société]]&amp;" - "&amp;TL[[#This Row],[Compte]]</f>
        <v/>
      </c>
      <c r="B262" s="233" t="inlineStr">
        <is>
          <t>615678</t>
        </is>
      </c>
      <c r="C262" s="227" t="inlineStr">
        <is>
          <t>contrat steeple</t>
        </is>
      </c>
      <c r="D262" s="233" t="inlineStr">
        <is>
          <t>16</t>
        </is>
      </c>
      <c r="E262" s="233" t="inlineStr">
        <is>
          <t>19</t>
        </is>
      </c>
      <c r="F262" s="227" t="inlineStr">
        <is>
          <t>VR7</t>
        </is>
      </c>
    </row>
    <row r="263">
      <c r="A263" s="227">
        <f>TL[[#This Row],[Société]]&amp;" - "&amp;TL[[#This Row],[Compte]]</f>
        <v/>
      </c>
      <c r="B263" s="233" t="inlineStr">
        <is>
          <t>615679</t>
        </is>
      </c>
      <c r="C263" s="227" t="inlineStr">
        <is>
          <t>contrat axed porte auto</t>
        </is>
      </c>
      <c r="D263" s="233" t="inlineStr">
        <is>
          <t>16</t>
        </is>
      </c>
      <c r="E263" s="233" t="inlineStr">
        <is>
          <t>19</t>
        </is>
      </c>
      <c r="F263" s="227" t="inlineStr">
        <is>
          <t>VR7</t>
        </is>
      </c>
    </row>
    <row r="264">
      <c r="A264" s="227">
        <f>TL[[#This Row],[Société]]&amp;" - "&amp;TL[[#This Row],[Compte]]</f>
        <v/>
      </c>
      <c r="B264" s="233" t="inlineStr">
        <is>
          <t>615680</t>
        </is>
      </c>
      <c r="C264" s="227" t="inlineStr">
        <is>
          <t>applicat suivi perf mgr</t>
        </is>
      </c>
      <c r="D264" s="233" t="inlineStr">
        <is>
          <t>16</t>
        </is>
      </c>
      <c r="E264" s="233" t="inlineStr">
        <is>
          <t>19</t>
        </is>
      </c>
      <c r="F264" s="227" t="inlineStr">
        <is>
          <t>VR7</t>
        </is>
      </c>
    </row>
    <row r="265">
      <c r="A265" s="227">
        <f>TL[[#This Row],[Société]]&amp;" - "&amp;TL[[#This Row],[Compte]]</f>
        <v/>
      </c>
      <c r="B265" s="233" t="inlineStr">
        <is>
          <t>616000</t>
        </is>
      </c>
      <c r="C265" s="227" t="inlineStr">
        <is>
          <t>Primes d'assurance</t>
        </is>
      </c>
      <c r="D265" s="233" t="inlineStr">
        <is>
          <t>33</t>
        </is>
      </c>
      <c r="E265" s="233" t="inlineStr">
        <is>
          <t>36</t>
        </is>
      </c>
      <c r="F265" s="227" t="inlineStr">
        <is>
          <t>VR7</t>
        </is>
      </c>
    </row>
    <row r="266">
      <c r="A266" s="227">
        <f>TL[[#This Row],[Société]]&amp;" - "&amp;TL[[#This Row],[Compte]]</f>
        <v/>
      </c>
      <c r="B266" s="233" t="inlineStr">
        <is>
          <t>616200</t>
        </is>
      </c>
      <c r="C266" s="227" t="inlineStr">
        <is>
          <t>Assurances restaurant</t>
        </is>
      </c>
      <c r="D266" s="233" t="inlineStr">
        <is>
          <t>33</t>
        </is>
      </c>
      <c r="E266" s="233" t="inlineStr">
        <is>
          <t>36</t>
        </is>
      </c>
      <c r="F266" s="227" t="inlineStr">
        <is>
          <t>VR7</t>
        </is>
      </c>
    </row>
    <row r="267">
      <c r="A267" s="227">
        <f>TL[[#This Row],[Société]]&amp;" - "&amp;TL[[#This Row],[Compte]]</f>
        <v/>
      </c>
      <c r="B267" s="233" t="inlineStr">
        <is>
          <t>616300</t>
        </is>
      </c>
      <c r="C267" s="227" t="inlineStr">
        <is>
          <t>Assurance diverses</t>
        </is>
      </c>
      <c r="D267" s="233" t="inlineStr">
        <is>
          <t>33</t>
        </is>
      </c>
      <c r="E267" s="233" t="inlineStr">
        <is>
          <t>36</t>
        </is>
      </c>
      <c r="F267" s="227" t="inlineStr">
        <is>
          <t>VR7</t>
        </is>
      </c>
    </row>
    <row r="268">
      <c r="A268" s="227">
        <f>TL[[#This Row],[Société]]&amp;" - "&amp;TL[[#This Row],[Compte]]</f>
        <v/>
      </c>
      <c r="B268" s="233" t="inlineStr">
        <is>
          <t>616330</t>
        </is>
      </c>
      <c r="C268" s="227" t="inlineStr">
        <is>
          <t>Assurance audi hugo</t>
        </is>
      </c>
      <c r="D268" s="233" t="inlineStr">
        <is>
          <t>39</t>
        </is>
      </c>
      <c r="E268" s="233" t="inlineStr">
        <is>
          <t>40</t>
        </is>
      </c>
      <c r="F268" s="227" t="inlineStr">
        <is>
          <t>VR7</t>
        </is>
      </c>
    </row>
    <row r="269">
      <c r="A269" s="227">
        <f>TL[[#This Row],[Société]]&amp;" - "&amp;TL[[#This Row],[Compte]]</f>
        <v/>
      </c>
      <c r="B269" s="233" t="inlineStr">
        <is>
          <t>616340</t>
        </is>
      </c>
      <c r="C269" s="227" t="inlineStr">
        <is>
          <t>assurance mercedes HTR8</t>
        </is>
      </c>
      <c r="D269" s="233" t="inlineStr">
        <is>
          <t>39</t>
        </is>
      </c>
      <c r="E269" s="233" t="inlineStr">
        <is>
          <t>36</t>
        </is>
      </c>
      <c r="F269" s="227" t="inlineStr">
        <is>
          <t>VR7</t>
        </is>
      </c>
    </row>
    <row r="270">
      <c r="A270" s="227">
        <f>TL[[#This Row],[Société]]&amp;" - "&amp;TL[[#This Row],[Compte]]</f>
        <v/>
      </c>
      <c r="B270" s="233" t="inlineStr">
        <is>
          <t>616350</t>
        </is>
      </c>
      <c r="C270" s="227" t="inlineStr">
        <is>
          <t>Assurances véhicules autres</t>
        </is>
      </c>
      <c r="D270" s="233" t="inlineStr">
        <is>
          <t>39</t>
        </is>
      </c>
      <c r="E270" s="233" t="inlineStr">
        <is>
          <t>36</t>
        </is>
      </c>
      <c r="F270" s="227" t="inlineStr">
        <is>
          <t>VR7</t>
        </is>
      </c>
    </row>
    <row r="271">
      <c r="A271" s="227">
        <f>TL[[#This Row],[Société]]&amp;" - "&amp;TL[[#This Row],[Compte]]</f>
        <v/>
      </c>
      <c r="B271" s="233" t="inlineStr">
        <is>
          <t>621000</t>
        </is>
      </c>
      <c r="C271" s="227" t="inlineStr">
        <is>
          <t>Prêts personnel assistants</t>
        </is>
      </c>
      <c r="D271" s="233" t="inlineStr">
        <is>
          <t>11</t>
        </is>
      </c>
      <c r="E271" s="233" t="inlineStr">
        <is>
          <t>10</t>
        </is>
      </c>
      <c r="F271" s="227" t="inlineStr">
        <is>
          <t>VR7</t>
        </is>
      </c>
    </row>
    <row r="272">
      <c r="A272" s="227">
        <f>TL[[#This Row],[Société]]&amp;" - "&amp;TL[[#This Row],[Compte]]</f>
        <v/>
      </c>
      <c r="B272" s="233" t="inlineStr">
        <is>
          <t>621010</t>
        </is>
      </c>
      <c r="C272" s="227" t="inlineStr">
        <is>
          <t>Prêt personnel assistants</t>
        </is>
      </c>
      <c r="D272" s="233" t="inlineStr">
        <is>
          <t>39</t>
        </is>
      </c>
      <c r="E272" s="233" t="inlineStr">
        <is>
          <t>10</t>
        </is>
      </c>
      <c r="F272" s="227" t="inlineStr">
        <is>
          <t>VR7</t>
        </is>
      </c>
    </row>
    <row r="273">
      <c r="A273" s="227">
        <f>TL[[#This Row],[Société]]&amp;" - "&amp;TL[[#This Row],[Compte]]</f>
        <v/>
      </c>
      <c r="B273" s="233" t="inlineStr">
        <is>
          <t>621011</t>
        </is>
      </c>
      <c r="C273" s="227" t="inlineStr">
        <is>
          <t>Refacturation personnel rhf</t>
        </is>
      </c>
      <c r="D273" s="233" t="inlineStr">
        <is>
          <t>51</t>
        </is>
      </c>
      <c r="E273" s="233" t="inlineStr">
        <is>
          <t>46</t>
        </is>
      </c>
      <c r="F273" s="227" t="inlineStr">
        <is>
          <t>VR7</t>
        </is>
      </c>
    </row>
    <row r="274">
      <c r="A274" s="227">
        <f>TL[[#This Row],[Société]]&amp;" - "&amp;TL[[#This Row],[Compte]]</f>
        <v/>
      </c>
      <c r="B274" s="233" t="inlineStr">
        <is>
          <t>621012</t>
        </is>
      </c>
      <c r="C274" s="227" t="inlineStr">
        <is>
          <t>Prêt personnel équipiers</t>
        </is>
      </c>
      <c r="D274" s="233" t="inlineStr">
        <is>
          <t>10</t>
        </is>
      </c>
      <c r="E274" s="233" t="inlineStr">
        <is>
          <t>08</t>
        </is>
      </c>
      <c r="F274" s="227" t="inlineStr">
        <is>
          <t>VR7</t>
        </is>
      </c>
    </row>
    <row r="275">
      <c r="A275" s="227">
        <f>TL[[#This Row],[Société]]&amp;" - "&amp;TL[[#This Row],[Compte]]</f>
        <v/>
      </c>
      <c r="B275" s="233" t="inlineStr">
        <is>
          <t>621013</t>
        </is>
      </c>
      <c r="C275" s="227" t="inlineStr">
        <is>
          <t>Prêt de Personnel Directeur</t>
        </is>
      </c>
      <c r="D275" s="233" t="inlineStr">
        <is>
          <t>39</t>
        </is>
      </c>
      <c r="E275" s="233" t="inlineStr">
        <is>
          <t>13</t>
        </is>
      </c>
      <c r="F275" s="227" t="inlineStr">
        <is>
          <t>VR7</t>
        </is>
      </c>
    </row>
    <row r="276">
      <c r="A276" s="227">
        <f>TL[[#This Row],[Société]]&amp;" - "&amp;TL[[#This Row],[Compte]]</f>
        <v/>
      </c>
      <c r="B276" s="233" t="inlineStr">
        <is>
          <t>621014</t>
        </is>
      </c>
      <c r="C276" s="227" t="inlineStr">
        <is>
          <t>Prêt de Personnel Formateur(trice)</t>
        </is>
      </c>
      <c r="D276" s="233" t="inlineStr">
        <is>
          <t>39</t>
        </is>
      </c>
      <c r="E276" s="233" t="inlineStr">
        <is>
          <t>13</t>
        </is>
      </c>
      <c r="F276" s="227" t="inlineStr">
        <is>
          <t>VR7</t>
        </is>
      </c>
    </row>
    <row r="277">
      <c r="A277" s="227">
        <f>TL[[#This Row],[Société]]&amp;" - "&amp;TL[[#This Row],[Compte]]</f>
        <v/>
      </c>
      <c r="B277" s="233" t="inlineStr">
        <is>
          <t>621015</t>
        </is>
      </c>
      <c r="C277" s="227" t="inlineStr">
        <is>
          <t>pret personnel technique</t>
        </is>
      </c>
      <c r="D277" s="233" t="inlineStr">
        <is>
          <t>39</t>
        </is>
      </c>
      <c r="E277" s="233" t="inlineStr">
        <is>
          <t>13</t>
        </is>
      </c>
      <c r="F277" s="227" t="inlineStr">
        <is>
          <t>VR7</t>
        </is>
      </c>
    </row>
    <row r="278">
      <c r="A278" s="227">
        <f>TL[[#This Row],[Société]]&amp;" - "&amp;TL[[#This Row],[Compte]]</f>
        <v/>
      </c>
      <c r="B278" s="233" t="inlineStr">
        <is>
          <t>622600</t>
        </is>
      </c>
      <c r="C278" s="227" t="inlineStr">
        <is>
          <t>Honoraires comptables</t>
        </is>
      </c>
      <c r="D278" s="233" t="inlineStr">
        <is>
          <t>32</t>
        </is>
      </c>
      <c r="E278" s="233" t="inlineStr">
        <is>
          <t>35</t>
        </is>
      </c>
      <c r="F278" s="227" t="inlineStr">
        <is>
          <t>VR7</t>
        </is>
      </c>
    </row>
    <row r="279">
      <c r="A279" s="227">
        <f>TL[[#This Row],[Société]]&amp;" - "&amp;TL[[#This Row],[Compte]]</f>
        <v/>
      </c>
      <c r="B279" s="233" t="inlineStr">
        <is>
          <t>622610</t>
        </is>
      </c>
      <c r="C279" s="227" t="inlineStr">
        <is>
          <t>Honoraires juridiques</t>
        </is>
      </c>
      <c r="D279" s="233" t="inlineStr">
        <is>
          <t>32</t>
        </is>
      </c>
      <c r="E279" s="233" t="inlineStr">
        <is>
          <t>35</t>
        </is>
      </c>
      <c r="F279" s="227" t="inlineStr">
        <is>
          <t>VR7</t>
        </is>
      </c>
    </row>
    <row r="280">
      <c r="A280" s="227">
        <f>TL[[#This Row],[Société]]&amp;" - "&amp;TL[[#This Row],[Compte]]</f>
        <v/>
      </c>
      <c r="B280" s="233" t="inlineStr">
        <is>
          <t>622660</t>
        </is>
      </c>
      <c r="C280" s="227" t="inlineStr">
        <is>
          <t>Honoraires juridiques</t>
        </is>
      </c>
      <c r="D280" s="233" t="inlineStr">
        <is>
          <t>32</t>
        </is>
      </c>
      <c r="E280" s="233" t="inlineStr">
        <is>
          <t>35</t>
        </is>
      </c>
      <c r="F280" s="227" t="inlineStr">
        <is>
          <t>VR7</t>
        </is>
      </c>
    </row>
    <row r="281">
      <c r="A281" s="227">
        <f>TL[[#This Row],[Société]]&amp;" - "&amp;TL[[#This Row],[Compte]]</f>
        <v/>
      </c>
      <c r="B281" s="233" t="inlineStr">
        <is>
          <t>622670</t>
        </is>
      </c>
      <c r="C281" s="227" t="inlineStr">
        <is>
          <t>Honoraires com. aux comptes</t>
        </is>
      </c>
      <c r="D281" s="233" t="inlineStr">
        <is>
          <t>32</t>
        </is>
      </c>
      <c r="E281" s="233" t="inlineStr">
        <is>
          <t>35</t>
        </is>
      </c>
      <c r="F281" s="227" t="inlineStr">
        <is>
          <t>VR7</t>
        </is>
      </c>
    </row>
    <row r="282">
      <c r="A282" s="227">
        <f>TL[[#This Row],[Société]]&amp;" - "&amp;TL[[#This Row],[Compte]]</f>
        <v/>
      </c>
      <c r="B282" s="233" t="inlineStr">
        <is>
          <t>622680</t>
        </is>
      </c>
      <c r="C282" s="227" t="inlineStr">
        <is>
          <t>Honoraires divers</t>
        </is>
      </c>
      <c r="D282" s="233" t="inlineStr">
        <is>
          <t>32</t>
        </is>
      </c>
      <c r="E282" s="233" t="inlineStr">
        <is>
          <t>35</t>
        </is>
      </c>
      <c r="F282" s="227" t="inlineStr">
        <is>
          <t>VR7</t>
        </is>
      </c>
    </row>
    <row r="283">
      <c r="A283" s="227">
        <f>TL[[#This Row],[Société]]&amp;" - "&amp;TL[[#This Row],[Compte]]</f>
        <v/>
      </c>
      <c r="B283" s="233" t="inlineStr">
        <is>
          <t>622690</t>
        </is>
      </c>
      <c r="C283" s="227" t="inlineStr">
        <is>
          <t>honoraires lyveat</t>
        </is>
      </c>
      <c r="D283" s="233" t="inlineStr">
        <is>
          <t>32</t>
        </is>
      </c>
      <c r="E283" s="233" t="inlineStr">
        <is>
          <t>21</t>
        </is>
      </c>
      <c r="F283" s="227" t="inlineStr">
        <is>
          <t>VR7</t>
        </is>
      </c>
    </row>
    <row r="284">
      <c r="A284" s="227">
        <f>TL[[#This Row],[Société]]&amp;" - "&amp;TL[[#This Row],[Compte]]</f>
        <v/>
      </c>
      <c r="B284" s="233" t="inlineStr">
        <is>
          <t>622691</t>
        </is>
      </c>
      <c r="C284" s="227" t="inlineStr">
        <is>
          <t>honoraires uber</t>
        </is>
      </c>
      <c r="D284" s="233" t="inlineStr">
        <is>
          <t>32</t>
        </is>
      </c>
      <c r="E284" s="233" t="inlineStr">
        <is>
          <t>21</t>
        </is>
      </c>
      <c r="F284" s="227" t="inlineStr">
        <is>
          <t>VR7</t>
        </is>
      </c>
    </row>
    <row r="285">
      <c r="A285" s="227">
        <f>TL[[#This Row],[Société]]&amp;" - "&amp;TL[[#This Row],[Compte]]</f>
        <v/>
      </c>
      <c r="B285" s="233" t="inlineStr">
        <is>
          <t>622692</t>
        </is>
      </c>
      <c r="C285" s="227" t="inlineStr">
        <is>
          <t>honoraires deliveroo</t>
        </is>
      </c>
      <c r="D285" s="233" t="inlineStr">
        <is>
          <t>32</t>
        </is>
      </c>
      <c r="E285" s="233" t="inlineStr">
        <is>
          <t>21</t>
        </is>
      </c>
      <c r="F285" s="227" t="inlineStr">
        <is>
          <t>VR7</t>
        </is>
      </c>
    </row>
    <row r="286">
      <c r="A286" s="227">
        <f>TL[[#This Row],[Société]]&amp;" - "&amp;TL[[#This Row],[Compte]]</f>
        <v/>
      </c>
      <c r="B286" s="233" t="inlineStr">
        <is>
          <t>622700</t>
        </is>
      </c>
      <c r="C286" s="227" t="inlineStr">
        <is>
          <t>Frais d'actes et contentieux</t>
        </is>
      </c>
      <c r="D286" s="233" t="inlineStr">
        <is>
          <t>32</t>
        </is>
      </c>
      <c r="E286" s="233" t="inlineStr">
        <is>
          <t>35</t>
        </is>
      </c>
      <c r="F286" s="227" t="inlineStr">
        <is>
          <t>VR7</t>
        </is>
      </c>
    </row>
    <row r="287">
      <c r="A287" s="227">
        <f>TL[[#This Row],[Société]]&amp;" - "&amp;TL[[#This Row],[Compte]]</f>
        <v/>
      </c>
      <c r="B287" s="233" t="inlineStr">
        <is>
          <t>623000</t>
        </is>
      </c>
      <c r="C287" s="227" t="inlineStr">
        <is>
          <t>Publicité gie</t>
        </is>
      </c>
      <c r="D287" s="233" t="inlineStr">
        <is>
          <t>14</t>
        </is>
      </c>
      <c r="E287" s="233" t="inlineStr">
        <is>
          <t>22</t>
        </is>
      </c>
      <c r="F287" s="227" t="inlineStr">
        <is>
          <t>VR7</t>
        </is>
      </c>
    </row>
    <row r="288">
      <c r="A288" s="227">
        <f>TL[[#This Row],[Société]]&amp;" - "&amp;TL[[#This Row],[Compte]]</f>
        <v/>
      </c>
      <c r="B288" s="233" t="inlineStr">
        <is>
          <t>623050</t>
        </is>
      </c>
      <c r="C288" s="227" t="inlineStr">
        <is>
          <t>Promotion</t>
        </is>
      </c>
      <c r="D288" s="233" t="inlineStr">
        <is>
          <t>15</t>
        </is>
      </c>
      <c r="E288" s="233" t="inlineStr">
        <is>
          <t>23</t>
        </is>
      </c>
      <c r="F288" s="227" t="inlineStr">
        <is>
          <t>VR7</t>
        </is>
      </c>
    </row>
    <row r="289">
      <c r="A289" s="227">
        <f>TL[[#This Row],[Société]]&amp;" - "&amp;TL[[#This Row],[Compte]]</f>
        <v/>
      </c>
      <c r="B289" s="233" t="inlineStr">
        <is>
          <t>623100</t>
        </is>
      </c>
      <c r="C289" s="227" t="inlineStr">
        <is>
          <t>Emploi pro20043</t>
        </is>
      </c>
      <c r="F289" s="227" t="inlineStr">
        <is>
          <t>VR7</t>
        </is>
      </c>
    </row>
    <row r="290">
      <c r="A290" s="227">
        <f>TL[[#This Row],[Société]]&amp;" - "&amp;TL[[#This Row],[Compte]]</f>
        <v/>
      </c>
      <c r="B290" s="233" t="inlineStr">
        <is>
          <t>623400</t>
        </is>
      </c>
      <c r="C290" s="227" t="inlineStr">
        <is>
          <t>Cadeaux</t>
        </is>
      </c>
      <c r="D290" s="233" t="inlineStr">
        <is>
          <t>13</t>
        </is>
      </c>
      <c r="E290" s="233" t="inlineStr">
        <is>
          <t>23</t>
        </is>
      </c>
      <c r="F290" s="227" t="inlineStr">
        <is>
          <t>VR7</t>
        </is>
      </c>
    </row>
    <row r="291">
      <c r="A291" s="227">
        <f>TL[[#This Row],[Société]]&amp;" - "&amp;TL[[#This Row],[Compte]]</f>
        <v/>
      </c>
      <c r="B291" s="233" t="inlineStr">
        <is>
          <t>623401</t>
        </is>
      </c>
      <c r="C291" s="227" t="inlineStr">
        <is>
          <t>Promo food paper</t>
        </is>
      </c>
      <c r="D291" s="233" t="inlineStr">
        <is>
          <t>15</t>
        </is>
      </c>
      <c r="E291" s="233" t="inlineStr">
        <is>
          <t>23</t>
        </is>
      </c>
      <c r="F291" s="227" t="inlineStr">
        <is>
          <t>VR7</t>
        </is>
      </c>
    </row>
    <row r="292">
      <c r="A292" s="227">
        <f>TL[[#This Row],[Société]]&amp;" - "&amp;TL[[#This Row],[Compte]]</f>
        <v/>
      </c>
      <c r="B292" s="233" t="inlineStr">
        <is>
          <t>623415</t>
        </is>
      </c>
      <c r="C292" s="227" t="inlineStr">
        <is>
          <t>Prémium cadeaux</t>
        </is>
      </c>
      <c r="D292" s="233" t="inlineStr">
        <is>
          <t>15</t>
        </is>
      </c>
      <c r="E292" s="233" t="inlineStr">
        <is>
          <t>23</t>
        </is>
      </c>
      <c r="F292" s="227" t="inlineStr">
        <is>
          <t>VR7</t>
        </is>
      </c>
    </row>
    <row r="293">
      <c r="A293" s="227">
        <f>TL[[#This Row],[Société]]&amp;" - "&amp;TL[[#This Row],[Compte]]</f>
        <v/>
      </c>
      <c r="B293" s="233" t="inlineStr">
        <is>
          <t>624100</t>
        </is>
      </c>
      <c r="C293" s="227" t="inlineStr">
        <is>
          <t>Transports sur achats</t>
        </is>
      </c>
      <c r="D293" s="233" t="inlineStr">
        <is>
          <t>06</t>
        </is>
      </c>
      <c r="E293" s="233" t="inlineStr">
        <is>
          <t>03</t>
        </is>
      </c>
      <c r="F293" s="227" t="inlineStr">
        <is>
          <t>VR7</t>
        </is>
      </c>
    </row>
    <row r="294">
      <c r="A294" s="227">
        <f>TL[[#This Row],[Société]]&amp;" - "&amp;TL[[#This Row],[Compte]]</f>
        <v/>
      </c>
      <c r="B294" s="233" t="inlineStr">
        <is>
          <t>625100</t>
        </is>
      </c>
      <c r="C294" s="227" t="inlineStr">
        <is>
          <t>voyages et deplacement</t>
        </is>
      </c>
      <c r="D294" s="233" t="inlineStr">
        <is>
          <t>13</t>
        </is>
      </c>
      <c r="E294" s="233" t="inlineStr">
        <is>
          <t>26</t>
        </is>
      </c>
      <c r="F294" s="227" t="inlineStr">
        <is>
          <t>VR7</t>
        </is>
      </c>
    </row>
    <row r="295">
      <c r="A295" s="227">
        <f>TL[[#This Row],[Société]]&amp;" - "&amp;TL[[#This Row],[Compte]]</f>
        <v/>
      </c>
      <c r="B295" s="233" t="inlineStr">
        <is>
          <t>625200</t>
        </is>
      </c>
      <c r="C295" s="227" t="inlineStr">
        <is>
          <t>Voyages et déplacements</t>
        </is>
      </c>
      <c r="D295" s="233" t="inlineStr">
        <is>
          <t>13</t>
        </is>
      </c>
      <c r="E295" s="233" t="inlineStr">
        <is>
          <t>26</t>
        </is>
      </c>
      <c r="F295" s="227" t="inlineStr">
        <is>
          <t>VR7</t>
        </is>
      </c>
    </row>
    <row r="296">
      <c r="A296" s="227">
        <f>TL[[#This Row],[Société]]&amp;" - "&amp;TL[[#This Row],[Compte]]</f>
        <v/>
      </c>
      <c r="B296" s="233" t="inlineStr">
        <is>
          <t>625201</t>
        </is>
      </c>
      <c r="C296" s="227" t="inlineStr">
        <is>
          <t>frais bun rath</t>
        </is>
      </c>
      <c r="D296" s="233" t="inlineStr">
        <is>
          <t>39</t>
        </is>
      </c>
      <c r="E296" s="233" t="inlineStr">
        <is>
          <t>26</t>
        </is>
      </c>
      <c r="F296" s="227" t="inlineStr">
        <is>
          <t>VR7</t>
        </is>
      </c>
    </row>
    <row r="297">
      <c r="A297" s="227">
        <f>TL[[#This Row],[Société]]&amp;" - "&amp;TL[[#This Row],[Compte]]</f>
        <v/>
      </c>
      <c r="B297" s="233" t="inlineStr">
        <is>
          <t>625400</t>
        </is>
      </c>
      <c r="C297" s="227" t="inlineStr">
        <is>
          <t>Frais professionnels du responsable</t>
        </is>
      </c>
      <c r="F297" s="227" t="inlineStr">
        <is>
          <t>VR7</t>
        </is>
      </c>
    </row>
    <row r="298">
      <c r="A298" s="227">
        <f>TL[[#This Row],[Société]]&amp;" - "&amp;TL[[#This Row],[Compte]]</f>
        <v/>
      </c>
      <c r="B298" s="233" t="inlineStr">
        <is>
          <t>625600</t>
        </is>
      </c>
      <c r="C298" s="227" t="inlineStr">
        <is>
          <t>Missions</t>
        </is>
      </c>
      <c r="F298" s="227" t="inlineStr">
        <is>
          <t>VR7</t>
        </is>
      </c>
    </row>
    <row r="299">
      <c r="A299" s="227">
        <f>TL[[#This Row],[Société]]&amp;" - "&amp;TL[[#This Row],[Compte]]</f>
        <v/>
      </c>
      <c r="B299" s="233" t="inlineStr">
        <is>
          <t>625700</t>
        </is>
      </c>
      <c r="C299" s="227" t="inlineStr">
        <is>
          <t>Frais mission reception</t>
        </is>
      </c>
      <c r="D299" s="239" t="inlineStr">
        <is>
          <t>13</t>
        </is>
      </c>
      <c r="E299" s="233" t="inlineStr">
        <is>
          <t>27</t>
        </is>
      </c>
      <c r="F299" s="227" t="inlineStr">
        <is>
          <t>VR7</t>
        </is>
      </c>
    </row>
    <row r="300">
      <c r="A300" s="227">
        <f>TL[[#This Row],[Société]]&amp;" - "&amp;TL[[#This Row],[Compte]]</f>
        <v/>
      </c>
      <c r="B300" s="233" t="inlineStr">
        <is>
          <t>626000</t>
        </is>
      </c>
      <c r="C300" s="227" t="inlineStr">
        <is>
          <t>Frais postaux</t>
        </is>
      </c>
      <c r="D300" s="233" t="inlineStr">
        <is>
          <t>21</t>
        </is>
      </c>
      <c r="E300" s="233" t="inlineStr">
        <is>
          <t>24</t>
        </is>
      </c>
      <c r="F300" s="227" t="inlineStr">
        <is>
          <t>VR7</t>
        </is>
      </c>
    </row>
    <row r="301">
      <c r="A301" s="227">
        <f>TL[[#This Row],[Société]]&amp;" - "&amp;TL[[#This Row],[Compte]]</f>
        <v/>
      </c>
      <c r="B301" s="233" t="inlineStr">
        <is>
          <t>626100</t>
        </is>
      </c>
      <c r="C301" s="227" t="inlineStr">
        <is>
          <t>Frais de télécommunication</t>
        </is>
      </c>
      <c r="D301" s="233" t="inlineStr">
        <is>
          <t>20</t>
        </is>
      </c>
      <c r="E301" s="233" t="inlineStr">
        <is>
          <t>24</t>
        </is>
      </c>
      <c r="F301" s="227" t="inlineStr">
        <is>
          <t>VR7</t>
        </is>
      </c>
    </row>
    <row r="302">
      <c r="A302" s="227">
        <f>TL[[#This Row],[Société]]&amp;" - "&amp;TL[[#This Row],[Compte]]</f>
        <v/>
      </c>
      <c r="B302" s="233" t="inlineStr">
        <is>
          <t>626200</t>
        </is>
      </c>
      <c r="C302" s="227" t="inlineStr">
        <is>
          <t>Téléphone</t>
        </is>
      </c>
      <c r="D302" s="233" t="inlineStr">
        <is>
          <t>20</t>
        </is>
      </c>
      <c r="E302" s="233" t="inlineStr">
        <is>
          <t>24</t>
        </is>
      </c>
      <c r="F302" s="227" t="inlineStr">
        <is>
          <t>VR7</t>
        </is>
      </c>
    </row>
    <row r="303">
      <c r="A303" s="227">
        <f>TL[[#This Row],[Société]]&amp;" - "&amp;TL[[#This Row],[Compte]]</f>
        <v/>
      </c>
      <c r="B303" s="233" t="inlineStr">
        <is>
          <t>627000</t>
        </is>
      </c>
      <c r="C303" s="227" t="inlineStr">
        <is>
          <t>Commissions de banque npu</t>
        </is>
      </c>
      <c r="F303" s="227" t="inlineStr">
        <is>
          <t>VR7</t>
        </is>
      </c>
    </row>
    <row r="304">
      <c r="A304" s="227">
        <f>TL[[#This Row],[Société]]&amp;" - "&amp;TL[[#This Row],[Compte]]</f>
        <v/>
      </c>
      <c r="B304" s="233" t="inlineStr">
        <is>
          <t>627001</t>
        </is>
      </c>
      <c r="C304" s="227" t="inlineStr">
        <is>
          <t>Frais et services bancaires</t>
        </is>
      </c>
      <c r="D304" s="233" t="inlineStr">
        <is>
          <t>37</t>
        </is>
      </c>
      <c r="E304" s="233" t="inlineStr">
        <is>
          <t>17</t>
        </is>
      </c>
      <c r="F304" s="227" t="inlineStr">
        <is>
          <t>VR7</t>
        </is>
      </c>
    </row>
    <row r="305">
      <c r="A305" s="227">
        <f>TL[[#This Row],[Société]]&amp;" - "&amp;TL[[#This Row],[Compte]]</f>
        <v/>
      </c>
      <c r="B305" s="233" t="inlineStr">
        <is>
          <t>627002</t>
        </is>
      </c>
      <c r="C305" s="227" t="inlineStr">
        <is>
          <t>Commissions cb</t>
        </is>
      </c>
      <c r="D305" s="233" t="inlineStr">
        <is>
          <t>37</t>
        </is>
      </c>
      <c r="E305" s="233" t="inlineStr">
        <is>
          <t>17</t>
        </is>
      </c>
      <c r="F305" s="227" t="inlineStr">
        <is>
          <t>VR7</t>
        </is>
      </c>
    </row>
    <row r="306">
      <c r="A306" s="227">
        <f>TL[[#This Row],[Société]]&amp;" - "&amp;TL[[#This Row],[Compte]]</f>
        <v/>
      </c>
      <c r="B306" s="233" t="inlineStr">
        <is>
          <t>627003</t>
        </is>
      </c>
      <c r="C306" s="227" t="inlineStr">
        <is>
          <t>Commissions tr</t>
        </is>
      </c>
      <c r="D306" s="233" t="inlineStr">
        <is>
          <t>37</t>
        </is>
      </c>
      <c r="E306" s="233" t="inlineStr">
        <is>
          <t>17</t>
        </is>
      </c>
      <c r="F306" s="227" t="inlineStr">
        <is>
          <t>VR7</t>
        </is>
      </c>
    </row>
    <row r="307">
      <c r="A307" s="227">
        <f>TL[[#This Row],[Société]]&amp;" - "&amp;TL[[#This Row],[Compte]]</f>
        <v/>
      </c>
      <c r="B307" s="233" t="inlineStr">
        <is>
          <t>627005</t>
        </is>
      </c>
      <c r="C307" s="227" t="inlineStr">
        <is>
          <t>Commissions cv</t>
        </is>
      </c>
      <c r="D307" s="233" t="inlineStr">
        <is>
          <t>37</t>
        </is>
      </c>
      <c r="E307" s="233" t="inlineStr">
        <is>
          <t>17</t>
        </is>
      </c>
      <c r="F307" s="227" t="inlineStr">
        <is>
          <t>VR7</t>
        </is>
      </c>
    </row>
    <row r="308">
      <c r="A308" s="227">
        <f>TL[[#This Row],[Société]]&amp;" - "&amp;TL[[#This Row],[Compte]]</f>
        <v/>
      </c>
      <c r="B308" s="233" t="inlineStr">
        <is>
          <t>627801</t>
        </is>
      </c>
      <c r="C308" s="227" t="inlineStr">
        <is>
          <t>Frais et services bancaires</t>
        </is>
      </c>
      <c r="D308" s="233" t="inlineStr">
        <is>
          <t>37</t>
        </is>
      </c>
      <c r="E308" s="233" t="inlineStr">
        <is>
          <t>17</t>
        </is>
      </c>
      <c r="F308" s="227" t="inlineStr">
        <is>
          <t>VR7</t>
        </is>
      </c>
    </row>
    <row r="309">
      <c r="A309" s="227">
        <f>TL[[#This Row],[Société]]&amp;" - "&amp;TL[[#This Row],[Compte]]</f>
        <v/>
      </c>
      <c r="B309" s="233" t="inlineStr">
        <is>
          <t>627802</t>
        </is>
      </c>
      <c r="C309" s="227" t="inlineStr">
        <is>
          <t>Commissions cb</t>
        </is>
      </c>
      <c r="D309" s="233" t="inlineStr">
        <is>
          <t>37</t>
        </is>
      </c>
      <c r="E309" s="233" t="inlineStr">
        <is>
          <t>17</t>
        </is>
      </c>
      <c r="F309" s="227" t="inlineStr">
        <is>
          <t>VR7</t>
        </is>
      </c>
    </row>
    <row r="310">
      <c r="A310" s="227">
        <f>TL[[#This Row],[Société]]&amp;" - "&amp;TL[[#This Row],[Compte]]</f>
        <v/>
      </c>
      <c r="B310" s="233" t="inlineStr">
        <is>
          <t>627803</t>
        </is>
      </c>
      <c r="C310" s="227" t="inlineStr">
        <is>
          <t>Commissions tr</t>
        </is>
      </c>
      <c r="D310" s="233" t="inlineStr">
        <is>
          <t>37</t>
        </is>
      </c>
      <c r="E310" s="233" t="inlineStr">
        <is>
          <t>17</t>
        </is>
      </c>
      <c r="F310" s="227" t="inlineStr">
        <is>
          <t>VR7</t>
        </is>
      </c>
    </row>
    <row r="311">
      <c r="A311" s="227">
        <f>TL[[#This Row],[Société]]&amp;" - "&amp;TL[[#This Row],[Compte]]</f>
        <v/>
      </c>
      <c r="B311" s="233" t="inlineStr">
        <is>
          <t>627805</t>
        </is>
      </c>
      <c r="C311" s="227" t="inlineStr">
        <is>
          <t>Commissions cv</t>
        </is>
      </c>
      <c r="D311" s="233" t="inlineStr">
        <is>
          <t>37</t>
        </is>
      </c>
      <c r="E311" s="233" t="inlineStr">
        <is>
          <t>17</t>
        </is>
      </c>
      <c r="F311" s="227" t="inlineStr">
        <is>
          <t>VR7</t>
        </is>
      </c>
    </row>
    <row r="312">
      <c r="A312" s="227">
        <f>TL[[#This Row],[Société]]&amp;" - "&amp;TL[[#This Row],[Compte]]</f>
        <v/>
      </c>
      <c r="B312" s="233" t="inlineStr">
        <is>
          <t>628023</t>
        </is>
      </c>
      <c r="C312" s="227" t="inlineStr">
        <is>
          <t>Certificats divers</t>
        </is>
      </c>
      <c r="D312" s="233" t="inlineStr">
        <is>
          <t>23</t>
        </is>
      </c>
      <c r="E312" s="233" t="inlineStr">
        <is>
          <t>27</t>
        </is>
      </c>
      <c r="F312" s="227" t="inlineStr">
        <is>
          <t>VR7</t>
        </is>
      </c>
    </row>
    <row r="313">
      <c r="A313" s="227">
        <f>TL[[#This Row],[Société]]&amp;" - "&amp;TL[[#This Row],[Compte]]</f>
        <v/>
      </c>
      <c r="B313" s="233" t="inlineStr">
        <is>
          <t>628024</t>
        </is>
      </c>
      <c r="C313" s="227" t="inlineStr">
        <is>
          <t>Places de cinéma</t>
        </is>
      </c>
      <c r="D313" s="233" t="inlineStr">
        <is>
          <t>62</t>
        </is>
      </c>
      <c r="E313" s="233" t="inlineStr">
        <is>
          <t>41</t>
        </is>
      </c>
      <c r="F313" s="227" t="inlineStr">
        <is>
          <t>VR7</t>
        </is>
      </c>
    </row>
    <row r="314">
      <c r="A314" s="227">
        <f>TL[[#This Row],[Société]]&amp;" - "&amp;TL[[#This Row],[Compte]]</f>
        <v/>
      </c>
      <c r="B314" s="233" t="inlineStr">
        <is>
          <t>628100</t>
        </is>
      </c>
      <c r="C314" s="227" t="inlineStr">
        <is>
          <t>Cotisations diverses</t>
        </is>
      </c>
      <c r="D314" s="233" t="inlineStr">
        <is>
          <t>23</t>
        </is>
      </c>
      <c r="E314" s="233" t="inlineStr">
        <is>
          <t>27</t>
        </is>
      </c>
      <c r="F314" s="227" t="inlineStr">
        <is>
          <t>VR7</t>
        </is>
      </c>
    </row>
    <row r="315">
      <c r="A315" s="227">
        <f>TL[[#This Row],[Société]]&amp;" - "&amp;TL[[#This Row],[Compte]]</f>
        <v/>
      </c>
      <c r="B315" s="233" t="inlineStr">
        <is>
          <t>628210</t>
        </is>
      </c>
      <c r="C315" s="227" t="inlineStr">
        <is>
          <t>Prestations services rhf</t>
        </is>
      </c>
      <c r="F315" s="227" t="inlineStr">
        <is>
          <t>VR7</t>
        </is>
      </c>
    </row>
    <row r="316">
      <c r="A316" s="227">
        <f>TL[[#This Row],[Société]]&amp;" - "&amp;TL[[#This Row],[Compte]]</f>
        <v/>
      </c>
      <c r="B316" s="233" t="inlineStr">
        <is>
          <t>628300</t>
        </is>
      </c>
      <c r="C316" s="227" t="inlineStr">
        <is>
          <t>Redevance gth14</t>
        </is>
      </c>
      <c r="D316" s="233" t="inlineStr">
        <is>
          <t>51</t>
        </is>
      </c>
      <c r="E316" s="233" t="inlineStr">
        <is>
          <t>46</t>
        </is>
      </c>
      <c r="F316" s="227" t="inlineStr">
        <is>
          <t>VR7</t>
        </is>
      </c>
    </row>
    <row r="317">
      <c r="A317" s="227">
        <f>TL[[#This Row],[Société]]&amp;" - "&amp;TL[[#This Row],[Compte]]</f>
        <v/>
      </c>
      <c r="B317" s="233" t="inlineStr">
        <is>
          <t>628310</t>
        </is>
      </c>
      <c r="C317" s="227" t="inlineStr">
        <is>
          <t>Prestations de services rth76</t>
        </is>
      </c>
      <c r="D317" s="233" t="inlineStr">
        <is>
          <t>51</t>
        </is>
      </c>
      <c r="E317" s="233" t="inlineStr">
        <is>
          <t>46</t>
        </is>
      </c>
      <c r="F317" s="227" t="inlineStr">
        <is>
          <t>VR7</t>
        </is>
      </c>
    </row>
    <row r="318">
      <c r="A318" s="227">
        <f>TL[[#This Row],[Société]]&amp;" - "&amp;TL[[#This Row],[Compte]]</f>
        <v/>
      </c>
      <c r="B318" s="233" t="inlineStr">
        <is>
          <t>628320</t>
        </is>
      </c>
      <c r="C318" s="227" t="inlineStr">
        <is>
          <t>Redevance MUNGU</t>
        </is>
      </c>
      <c r="D318" s="233" t="inlineStr">
        <is>
          <t>51</t>
        </is>
      </c>
      <c r="E318" s="233" t="inlineStr">
        <is>
          <t>46</t>
        </is>
      </c>
      <c r="F318" s="227" t="inlineStr">
        <is>
          <t>VR7</t>
        </is>
      </c>
    </row>
    <row r="319">
      <c r="A319" s="227">
        <f>TL[[#This Row],[Société]]&amp;" - "&amp;TL[[#This Row],[Compte]]</f>
        <v/>
      </c>
      <c r="B319" s="233" t="inlineStr">
        <is>
          <t>628400</t>
        </is>
      </c>
      <c r="C319" s="227" t="inlineStr">
        <is>
          <t>Formations</t>
        </is>
      </c>
      <c r="D319" s="233" t="inlineStr">
        <is>
          <t>13</t>
        </is>
      </c>
      <c r="E319" s="233" t="inlineStr">
        <is>
          <t>19</t>
        </is>
      </c>
      <c r="F319" s="227" t="inlineStr">
        <is>
          <t>VR7</t>
        </is>
      </c>
    </row>
    <row r="320">
      <c r="A320" s="227">
        <f>TL[[#This Row],[Société]]&amp;" - "&amp;TL[[#This Row],[Compte]]</f>
        <v/>
      </c>
      <c r="B320" s="233" t="inlineStr">
        <is>
          <t>633300</t>
        </is>
      </c>
      <c r="C320" s="227" t="inlineStr">
        <is>
          <t>Formation continue (organisme)</t>
        </is>
      </c>
      <c r="D320" s="233" t="inlineStr">
        <is>
          <t>34</t>
        </is>
      </c>
      <c r="E320" s="233" t="inlineStr">
        <is>
          <t>37</t>
        </is>
      </c>
      <c r="F320" s="227" t="inlineStr">
        <is>
          <t>VR7</t>
        </is>
      </c>
    </row>
    <row r="321">
      <c r="A321" s="227">
        <f>TL[[#This Row],[Société]]&amp;" - "&amp;TL[[#This Row],[Compte]]</f>
        <v/>
      </c>
      <c r="B321" s="233" t="inlineStr">
        <is>
          <t>633400</t>
        </is>
      </c>
      <c r="C321" s="227" t="inlineStr">
        <is>
          <t>Effort de construction</t>
        </is>
      </c>
      <c r="D321" s="233" t="inlineStr">
        <is>
          <t>34</t>
        </is>
      </c>
      <c r="E321" s="233" t="inlineStr">
        <is>
          <t>37</t>
        </is>
      </c>
      <c r="F321" s="227" t="inlineStr">
        <is>
          <t>VR7</t>
        </is>
      </c>
    </row>
    <row r="322">
      <c r="A322" s="227">
        <f>TL[[#This Row],[Société]]&amp;" - "&amp;TL[[#This Row],[Compte]]</f>
        <v/>
      </c>
      <c r="B322" s="233" t="inlineStr">
        <is>
          <t>633500</t>
        </is>
      </c>
      <c r="C322" s="227" t="inlineStr">
        <is>
          <t>Taxe d'apprentissage (verst libér.)</t>
        </is>
      </c>
      <c r="D322" s="233" t="inlineStr">
        <is>
          <t>34</t>
        </is>
      </c>
      <c r="E322" s="233" t="inlineStr">
        <is>
          <t>37</t>
        </is>
      </c>
      <c r="F322" s="227" t="inlineStr">
        <is>
          <t>VR7</t>
        </is>
      </c>
    </row>
    <row r="323">
      <c r="A323" s="227">
        <f>TL[[#This Row],[Société]]&amp;" - "&amp;TL[[#This Row],[Compte]]</f>
        <v/>
      </c>
      <c r="B323" s="233" t="inlineStr">
        <is>
          <t>635111</t>
        </is>
      </c>
      <c r="C323" s="227" t="inlineStr">
        <is>
          <t>Contribution foncière entreprises</t>
        </is>
      </c>
      <c r="D323" s="233" t="inlineStr">
        <is>
          <t>34</t>
        </is>
      </c>
      <c r="E323" s="233" t="inlineStr">
        <is>
          <t>37</t>
        </is>
      </c>
      <c r="F323" s="227" t="inlineStr">
        <is>
          <t>VR7</t>
        </is>
      </c>
    </row>
    <row r="324">
      <c r="A324" s="227">
        <f>TL[[#This Row],[Société]]&amp;" - "&amp;TL[[#This Row],[Compte]]</f>
        <v/>
      </c>
      <c r="B324" s="233" t="inlineStr">
        <is>
          <t>635112</t>
        </is>
      </c>
      <c r="C324" s="227" t="inlineStr">
        <is>
          <t>Contrib. valeur ajoutée entreprises</t>
        </is>
      </c>
      <c r="D324" s="233" t="inlineStr">
        <is>
          <t>34</t>
        </is>
      </c>
      <c r="E324" s="233" t="inlineStr">
        <is>
          <t>37</t>
        </is>
      </c>
      <c r="F324" s="227" t="inlineStr">
        <is>
          <t>VR7</t>
        </is>
      </c>
    </row>
    <row r="325">
      <c r="A325" s="227">
        <f>TL[[#This Row],[Société]]&amp;" - "&amp;TL[[#This Row],[Compte]]</f>
        <v/>
      </c>
      <c r="B325" s="233" t="inlineStr">
        <is>
          <t>635140</t>
        </is>
      </c>
      <c r="C325" s="227" t="inlineStr">
        <is>
          <t>Taxes sur les véhicules sociétés</t>
        </is>
      </c>
      <c r="D325" s="233" t="inlineStr">
        <is>
          <t>34</t>
        </is>
      </c>
      <c r="E325" s="233" t="inlineStr">
        <is>
          <t>37</t>
        </is>
      </c>
      <c r="F325" s="227" t="inlineStr">
        <is>
          <t>VR7</t>
        </is>
      </c>
    </row>
    <row r="326">
      <c r="A326" s="227">
        <f>TL[[#This Row],[Société]]&amp;" - "&amp;TL[[#This Row],[Compte]]</f>
        <v/>
      </c>
      <c r="B326" s="233" t="inlineStr">
        <is>
          <t>635510</t>
        </is>
      </c>
      <c r="C326" s="227" t="inlineStr">
        <is>
          <t>Taxe sur les boissons sucrées</t>
        </is>
      </c>
      <c r="D326" s="233" t="inlineStr">
        <is>
          <t>09</t>
        </is>
      </c>
      <c r="E326" s="233" t="inlineStr">
        <is>
          <t>03</t>
        </is>
      </c>
      <c r="F326" s="227" t="inlineStr">
        <is>
          <t>VR7</t>
        </is>
      </c>
    </row>
    <row r="327">
      <c r="A327" s="227">
        <f>TL[[#This Row],[Société]]&amp;" - "&amp;TL[[#This Row],[Compte]]</f>
        <v/>
      </c>
      <c r="B327" s="233" t="inlineStr">
        <is>
          <t>637100</t>
        </is>
      </c>
      <c r="C327" s="227" t="inlineStr">
        <is>
          <t>Contribution sociale de solidarité</t>
        </is>
      </c>
      <c r="D327" s="233" t="inlineStr">
        <is>
          <t>34</t>
        </is>
      </c>
      <c r="E327" s="233" t="inlineStr">
        <is>
          <t>37</t>
        </is>
      </c>
      <c r="F327" s="227" t="inlineStr">
        <is>
          <t>VR7</t>
        </is>
      </c>
    </row>
    <row r="328">
      <c r="A328" s="227">
        <f>TL[[#This Row],[Société]]&amp;" - "&amp;TL[[#This Row],[Compte]]</f>
        <v/>
      </c>
      <c r="B328" s="233" t="inlineStr">
        <is>
          <t>637300</t>
        </is>
      </c>
      <c r="C328" s="227" t="inlineStr">
        <is>
          <t>Agefip</t>
        </is>
      </c>
      <c r="D328" s="233" t="inlineStr">
        <is>
          <t>34</t>
        </is>
      </c>
      <c r="E328" s="233" t="inlineStr">
        <is>
          <t>37</t>
        </is>
      </c>
      <c r="F328" s="227" t="inlineStr">
        <is>
          <t>VR7</t>
        </is>
      </c>
    </row>
    <row r="329">
      <c r="A329" s="227">
        <f>TL[[#This Row],[Société]]&amp;" - "&amp;TL[[#This Row],[Compte]]</f>
        <v/>
      </c>
      <c r="B329" s="233" t="inlineStr">
        <is>
          <t>637800</t>
        </is>
      </c>
      <c r="C329" s="227" t="inlineStr">
        <is>
          <t>Taxes diverses</t>
        </is>
      </c>
      <c r="D329" s="233" t="inlineStr">
        <is>
          <t>34</t>
        </is>
      </c>
      <c r="E329" s="233" t="inlineStr">
        <is>
          <t>37</t>
        </is>
      </c>
      <c r="F329" s="227" t="inlineStr">
        <is>
          <t>VR7</t>
        </is>
      </c>
    </row>
    <row r="330">
      <c r="A330" s="227">
        <f>TL[[#This Row],[Société]]&amp;" - "&amp;TL[[#This Row],[Compte]]</f>
        <v/>
      </c>
      <c r="B330" s="233" t="inlineStr">
        <is>
          <t>637900</t>
        </is>
      </c>
      <c r="C330" s="227" t="inlineStr">
        <is>
          <t>Taxes diverses</t>
        </is>
      </c>
      <c r="D330" s="233" t="inlineStr">
        <is>
          <t>34</t>
        </is>
      </c>
      <c r="E330" s="233" t="inlineStr">
        <is>
          <t>37</t>
        </is>
      </c>
      <c r="F330" s="227" t="inlineStr">
        <is>
          <t>VR7</t>
        </is>
      </c>
    </row>
    <row r="331">
      <c r="A331" s="227">
        <f>TL[[#This Row],[Société]]&amp;" - "&amp;TL[[#This Row],[Compte]]</f>
        <v/>
      </c>
      <c r="B331" s="233" t="inlineStr">
        <is>
          <t>641020</t>
        </is>
      </c>
      <c r="C331" s="227" t="inlineStr">
        <is>
          <t>Rémunération des assistants</t>
        </is>
      </c>
      <c r="D331" s="233" t="inlineStr">
        <is>
          <t>11</t>
        </is>
      </c>
      <c r="E331" s="233" t="inlineStr">
        <is>
          <t>10</t>
        </is>
      </c>
      <c r="F331" s="227" t="inlineStr">
        <is>
          <t>VR7</t>
        </is>
      </c>
    </row>
    <row r="332">
      <c r="A332" s="227">
        <f>TL[[#This Row],[Société]]&amp;" - "&amp;TL[[#This Row],[Compte]]</f>
        <v/>
      </c>
      <c r="B332" s="233" t="inlineStr">
        <is>
          <t>641030</t>
        </is>
      </c>
      <c r="C332" s="227" t="inlineStr">
        <is>
          <t>Rémunération des équipiers</t>
        </is>
      </c>
      <c r="D332" s="233" t="inlineStr">
        <is>
          <t>10</t>
        </is>
      </c>
      <c r="E332" s="233" t="inlineStr">
        <is>
          <t>08</t>
        </is>
      </c>
      <c r="F332" s="227" t="inlineStr">
        <is>
          <t>VR7</t>
        </is>
      </c>
    </row>
    <row r="333">
      <c r="A333" s="227">
        <f>TL[[#This Row],[Société]]&amp;" - "&amp;TL[[#This Row],[Compte]]</f>
        <v/>
      </c>
      <c r="B333" s="233" t="inlineStr">
        <is>
          <t>641063</t>
        </is>
      </c>
      <c r="C333" s="227" t="inlineStr">
        <is>
          <t>An équipiers</t>
        </is>
      </c>
      <c r="D333" s="233" t="inlineStr">
        <is>
          <t>10</t>
        </is>
      </c>
      <c r="E333" s="233" t="inlineStr">
        <is>
          <t>08</t>
        </is>
      </c>
      <c r="F333" s="227" t="inlineStr">
        <is>
          <t>VR7</t>
        </is>
      </c>
    </row>
    <row r="334">
      <c r="A334" s="227">
        <f>TL[[#This Row],[Société]]&amp;" - "&amp;TL[[#This Row],[Compte]]</f>
        <v/>
      </c>
      <c r="B334" s="233" t="inlineStr">
        <is>
          <t>641064</t>
        </is>
      </c>
      <c r="C334" s="227" t="inlineStr">
        <is>
          <t>An assistants</t>
        </is>
      </c>
      <c r="D334" s="233" t="inlineStr">
        <is>
          <t>11</t>
        </is>
      </c>
      <c r="E334" s="233" t="inlineStr">
        <is>
          <t>10</t>
        </is>
      </c>
      <c r="F334" s="227" t="inlineStr">
        <is>
          <t>VR7</t>
        </is>
      </c>
    </row>
    <row r="335">
      <c r="A335" s="227">
        <f>TL[[#This Row],[Société]]&amp;" - "&amp;TL[[#This Row],[Compte]]</f>
        <v/>
      </c>
      <c r="B335" s="233" t="inlineStr">
        <is>
          <t>641065</t>
        </is>
      </c>
      <c r="C335" s="227" t="inlineStr">
        <is>
          <t>An Voiture</t>
        </is>
      </c>
      <c r="D335" s="233" t="inlineStr">
        <is>
          <t>11</t>
        </is>
      </c>
      <c r="E335" s="233" t="inlineStr">
        <is>
          <t>10</t>
        </is>
      </c>
      <c r="F335" s="227" t="inlineStr">
        <is>
          <t>VR7</t>
        </is>
      </c>
    </row>
    <row r="336">
      <c r="A336" s="227">
        <f>TL[[#This Row],[Société]]&amp;" - "&amp;TL[[#This Row],[Compte]]</f>
        <v/>
      </c>
      <c r="B336" s="233" t="inlineStr">
        <is>
          <t>641120</t>
        </is>
      </c>
      <c r="C336" s="227" t="inlineStr">
        <is>
          <t>Indemnité rupture conventionnelle</t>
        </is>
      </c>
      <c r="D336" s="233" t="inlineStr">
        <is>
          <t>39</t>
        </is>
      </c>
      <c r="E336" s="233" t="inlineStr">
        <is>
          <t>10</t>
        </is>
      </c>
      <c r="F336" s="227" t="inlineStr">
        <is>
          <t>VR7</t>
        </is>
      </c>
    </row>
    <row r="337">
      <c r="A337" s="227">
        <f>TL[[#This Row],[Société]]&amp;" - "&amp;TL[[#This Row],[Compte]]</f>
        <v/>
      </c>
      <c r="B337" s="233" t="inlineStr">
        <is>
          <t>641121</t>
        </is>
      </c>
      <c r="C337" s="227" t="inlineStr">
        <is>
          <t>ind rupt convent equip</t>
        </is>
      </c>
      <c r="D337" s="233" t="inlineStr">
        <is>
          <t>10</t>
        </is>
      </c>
      <c r="E337" s="233" t="inlineStr">
        <is>
          <t>09</t>
        </is>
      </c>
      <c r="F337" s="227" t="inlineStr">
        <is>
          <t>VR7</t>
        </is>
      </c>
    </row>
    <row r="338">
      <c r="A338" s="227">
        <f>TL[[#This Row],[Société]]&amp;" - "&amp;TL[[#This Row],[Compte]]</f>
        <v/>
      </c>
      <c r="B338" s="233" t="inlineStr">
        <is>
          <t>641130</t>
        </is>
      </c>
      <c r="C338" s="227" t="inlineStr">
        <is>
          <t>Salaires fevrier 2012</t>
        </is>
      </c>
      <c r="F338" s="227" t="inlineStr">
        <is>
          <t>VR7</t>
        </is>
      </c>
    </row>
    <row r="339">
      <c r="A339" s="227">
        <f>TL[[#This Row],[Société]]&amp;" - "&amp;TL[[#This Row],[Compte]]</f>
        <v/>
      </c>
      <c r="B339" s="233" t="inlineStr">
        <is>
          <t>641204</t>
        </is>
      </c>
      <c r="C339" s="227" t="inlineStr">
        <is>
          <t>An assistants voiture</t>
        </is>
      </c>
      <c r="D339" s="233" t="inlineStr">
        <is>
          <t>11</t>
        </is>
      </c>
      <c r="E339" s="233" t="inlineStr">
        <is>
          <t>10</t>
        </is>
      </c>
      <c r="F339" s="227" t="inlineStr">
        <is>
          <t>VR7</t>
        </is>
      </c>
    </row>
    <row r="340">
      <c r="A340" s="227">
        <f>TL[[#This Row],[Société]]&amp;" - "&amp;TL[[#This Row],[Compte]]</f>
        <v/>
      </c>
      <c r="B340" s="233" t="inlineStr">
        <is>
          <t>641220</t>
        </is>
      </c>
      <c r="C340" s="227" t="inlineStr">
        <is>
          <t>Prov congés payés managers</t>
        </is>
      </c>
      <c r="D340" s="233" t="inlineStr">
        <is>
          <t>11</t>
        </is>
      </c>
      <c r="E340" s="233" t="inlineStr">
        <is>
          <t>10</t>
        </is>
      </c>
      <c r="F340" s="227" t="inlineStr">
        <is>
          <t>VR7</t>
        </is>
      </c>
    </row>
    <row r="341">
      <c r="A341" s="227">
        <f>TL[[#This Row],[Société]]&amp;" - "&amp;TL[[#This Row],[Compte]]</f>
        <v/>
      </c>
      <c r="B341" s="233" t="inlineStr">
        <is>
          <t>641230</t>
        </is>
      </c>
      <c r="C341" s="227" t="inlineStr">
        <is>
          <t>Prov congés payés équipiers</t>
        </is>
      </c>
      <c r="D341" s="233" t="inlineStr">
        <is>
          <t>10</t>
        </is>
      </c>
      <c r="E341" s="233" t="inlineStr">
        <is>
          <t>08</t>
        </is>
      </c>
      <c r="F341" s="227" t="inlineStr">
        <is>
          <t>VR7</t>
        </is>
      </c>
    </row>
    <row r="342">
      <c r="A342" s="227">
        <f>TL[[#This Row],[Société]]&amp;" - "&amp;TL[[#This Row],[Compte]]</f>
        <v/>
      </c>
      <c r="B342" s="233" t="inlineStr">
        <is>
          <t>641320</t>
        </is>
      </c>
      <c r="C342" s="227" t="inlineStr">
        <is>
          <t>Var. prov gratifications assistants</t>
        </is>
      </c>
      <c r="D342" s="233" t="inlineStr">
        <is>
          <t>11</t>
        </is>
      </c>
      <c r="E342" s="233" t="inlineStr">
        <is>
          <t>10</t>
        </is>
      </c>
      <c r="F342" s="227" t="inlineStr">
        <is>
          <t>VR7</t>
        </is>
      </c>
    </row>
    <row r="343">
      <c r="A343" s="227">
        <f>TL[[#This Row],[Société]]&amp;" - "&amp;TL[[#This Row],[Compte]]</f>
        <v/>
      </c>
      <c r="B343" s="233" t="inlineStr">
        <is>
          <t>641330</t>
        </is>
      </c>
      <c r="C343" s="227" t="inlineStr">
        <is>
          <t>Var prov gratifications équipiers</t>
        </is>
      </c>
      <c r="D343" s="233" t="inlineStr">
        <is>
          <t>10</t>
        </is>
      </c>
      <c r="E343" s="233" t="inlineStr">
        <is>
          <t>08</t>
        </is>
      </c>
      <c r="F343" s="227" t="inlineStr">
        <is>
          <t>VR7</t>
        </is>
      </c>
    </row>
    <row r="344">
      <c r="A344" s="227">
        <f>TL[[#This Row],[Société]]&amp;" - "&amp;TL[[#This Row],[Compte]]</f>
        <v/>
      </c>
      <c r="B344" s="233" t="inlineStr">
        <is>
          <t>641400</t>
        </is>
      </c>
      <c r="C344" s="227" t="inlineStr">
        <is>
          <t>indem et avant divers</t>
        </is>
      </c>
      <c r="D344" s="233" t="inlineStr">
        <is>
          <t>10</t>
        </is>
      </c>
      <c r="E344" s="233" t="inlineStr">
        <is>
          <t>08</t>
        </is>
      </c>
      <c r="F344" s="227" t="inlineStr">
        <is>
          <t>VR7</t>
        </is>
      </c>
    </row>
    <row r="345">
      <c r="A345" s="227">
        <f>TL[[#This Row],[Société]]&amp;" - "&amp;TL[[#This Row],[Compte]]</f>
        <v/>
      </c>
      <c r="B345" s="233" t="inlineStr">
        <is>
          <t>641410</t>
        </is>
      </c>
      <c r="C345" s="227" t="inlineStr">
        <is>
          <t>Ind blanchisserie équipiers</t>
        </is>
      </c>
      <c r="D345" s="233" t="inlineStr">
        <is>
          <t>10</t>
        </is>
      </c>
      <c r="E345" s="233" t="inlineStr">
        <is>
          <t>08</t>
        </is>
      </c>
      <c r="F345" s="227" t="inlineStr">
        <is>
          <t>VR7</t>
        </is>
      </c>
    </row>
    <row r="346">
      <c r="A346" s="227">
        <f>TL[[#This Row],[Société]]&amp;" - "&amp;TL[[#This Row],[Compte]]</f>
        <v/>
      </c>
      <c r="B346" s="233" t="inlineStr">
        <is>
          <t>641411</t>
        </is>
      </c>
      <c r="C346" s="227" t="inlineStr">
        <is>
          <t>Ind blanchisserie assistants</t>
        </is>
      </c>
      <c r="D346" s="233" t="inlineStr">
        <is>
          <t>11</t>
        </is>
      </c>
      <c r="E346" s="233" t="inlineStr">
        <is>
          <t>10</t>
        </is>
      </c>
      <c r="F346" s="227" t="inlineStr">
        <is>
          <t>VR7</t>
        </is>
      </c>
    </row>
    <row r="347">
      <c r="A347" s="227">
        <f>TL[[#This Row],[Société]]&amp;" - "&amp;TL[[#This Row],[Compte]]</f>
        <v/>
      </c>
      <c r="B347" s="233" t="inlineStr">
        <is>
          <t>641412</t>
        </is>
      </c>
      <c r="C347" s="227" t="inlineStr">
        <is>
          <t>ind tpt equipiers</t>
        </is>
      </c>
      <c r="D347" s="233" t="inlineStr">
        <is>
          <t>10</t>
        </is>
      </c>
      <c r="E347" s="233" t="inlineStr">
        <is>
          <t>08</t>
        </is>
      </c>
      <c r="F347" s="227" t="inlineStr">
        <is>
          <t>VR7</t>
        </is>
      </c>
    </row>
    <row r="348">
      <c r="A348" s="227">
        <f>TL[[#This Row],[Société]]&amp;" - "&amp;TL[[#This Row],[Compte]]</f>
        <v/>
      </c>
      <c r="B348" s="233" t="inlineStr">
        <is>
          <t>641430</t>
        </is>
      </c>
      <c r="C348" s="227" t="inlineStr">
        <is>
          <t>Indem Licenciement Equipiers</t>
        </is>
      </c>
      <c r="D348" s="233" t="inlineStr">
        <is>
          <t>10</t>
        </is>
      </c>
      <c r="E348" s="233" t="inlineStr">
        <is>
          <t>08</t>
        </is>
      </c>
      <c r="F348" s="227" t="inlineStr">
        <is>
          <t>VR7</t>
        </is>
      </c>
    </row>
    <row r="349">
      <c r="A349" s="227">
        <f>TL[[#This Row],[Société]]&amp;" - "&amp;TL[[#This Row],[Compte]]</f>
        <v/>
      </c>
      <c r="B349" s="233" t="inlineStr">
        <is>
          <t>641431</t>
        </is>
      </c>
      <c r="C349" s="227" t="inlineStr">
        <is>
          <t>Indemn licenciement Managers</t>
        </is>
      </c>
      <c r="D349" s="233" t="inlineStr">
        <is>
          <t>11</t>
        </is>
      </c>
      <c r="E349" s="233" t="inlineStr">
        <is>
          <t>10</t>
        </is>
      </c>
      <c r="F349" s="227" t="inlineStr">
        <is>
          <t>VR7</t>
        </is>
      </c>
    </row>
    <row r="350">
      <c r="A350" s="227">
        <f>TL[[#This Row],[Société]]&amp;" - "&amp;TL[[#This Row],[Compte]]</f>
        <v/>
      </c>
      <c r="B350" s="233" t="inlineStr">
        <is>
          <t>641440</t>
        </is>
      </c>
      <c r="C350" s="227" t="inlineStr">
        <is>
          <t>SALAIRES 12/2022</t>
        </is>
      </c>
      <c r="F350" s="227" t="inlineStr">
        <is>
          <t>VR7</t>
        </is>
      </c>
    </row>
    <row r="351">
      <c r="A351" s="227">
        <f>TL[[#This Row],[Société]]&amp;" - "&amp;TL[[#This Row],[Compte]]</f>
        <v/>
      </c>
      <c r="B351" s="233" t="inlineStr">
        <is>
          <t>645120</t>
        </is>
      </c>
      <c r="C351" s="227" t="inlineStr">
        <is>
          <t>Urssaf assistants</t>
        </is>
      </c>
      <c r="D351" s="233" t="inlineStr">
        <is>
          <t>12</t>
        </is>
      </c>
      <c r="E351" s="233" t="inlineStr">
        <is>
          <t>11</t>
        </is>
      </c>
      <c r="F351" s="227" t="inlineStr">
        <is>
          <t>VR7</t>
        </is>
      </c>
    </row>
    <row r="352">
      <c r="A352" s="227">
        <f>TL[[#This Row],[Société]]&amp;" - "&amp;TL[[#This Row],[Compte]]</f>
        <v/>
      </c>
      <c r="B352" s="233" t="inlineStr">
        <is>
          <t>645130</t>
        </is>
      </c>
      <c r="C352" s="227" t="inlineStr">
        <is>
          <t>Urssaf équipiers</t>
        </is>
      </c>
      <c r="D352" s="233" t="inlineStr">
        <is>
          <t>10</t>
        </is>
      </c>
      <c r="E352" s="233" t="inlineStr">
        <is>
          <t>09</t>
        </is>
      </c>
      <c r="F352" s="227" t="inlineStr">
        <is>
          <t>VR7</t>
        </is>
      </c>
    </row>
    <row r="353">
      <c r="A353" s="227">
        <f>TL[[#This Row],[Société]]&amp;" - "&amp;TL[[#This Row],[Compte]]</f>
        <v/>
      </c>
      <c r="B353" s="233" t="inlineStr">
        <is>
          <t>645320</t>
        </is>
      </c>
      <c r="C353" s="227" t="inlineStr">
        <is>
          <t>Retraite assistants</t>
        </is>
      </c>
      <c r="D353" s="233" t="inlineStr">
        <is>
          <t>12</t>
        </is>
      </c>
      <c r="E353" s="233" t="inlineStr">
        <is>
          <t>11</t>
        </is>
      </c>
      <c r="F353" s="227" t="inlineStr">
        <is>
          <t>VR7</t>
        </is>
      </c>
    </row>
    <row r="354">
      <c r="A354" s="227">
        <f>TL[[#This Row],[Société]]&amp;" - "&amp;TL[[#This Row],[Compte]]</f>
        <v/>
      </c>
      <c r="B354" s="233" t="inlineStr">
        <is>
          <t>645330</t>
        </is>
      </c>
      <c r="C354" s="227" t="inlineStr">
        <is>
          <t>Retraite équipiers</t>
        </is>
      </c>
      <c r="D354" s="233" t="inlineStr">
        <is>
          <t>10</t>
        </is>
      </c>
      <c r="E354" s="233" t="inlineStr">
        <is>
          <t>09</t>
        </is>
      </c>
      <c r="F354" s="227" t="inlineStr">
        <is>
          <t>VR7</t>
        </is>
      </c>
    </row>
    <row r="355">
      <c r="A355" s="227">
        <f>TL[[#This Row],[Société]]&amp;" - "&amp;TL[[#This Row],[Compte]]</f>
        <v/>
      </c>
      <c r="B355" s="233" t="inlineStr">
        <is>
          <t>645340</t>
        </is>
      </c>
      <c r="C355" s="227" t="inlineStr">
        <is>
          <t>retraite cadre credit agricole</t>
        </is>
      </c>
      <c r="D355" s="233" t="inlineStr">
        <is>
          <t>12</t>
        </is>
      </c>
      <c r="E355" s="233" t="inlineStr">
        <is>
          <t>11</t>
        </is>
      </c>
      <c r="F355" s="227" t="inlineStr">
        <is>
          <t>VR7</t>
        </is>
      </c>
    </row>
    <row r="356">
      <c r="A356" s="227">
        <f>TL[[#This Row],[Société]]&amp;" - "&amp;TL[[#This Row],[Compte]]</f>
        <v/>
      </c>
      <c r="B356" s="233" t="inlineStr">
        <is>
          <t>645420</t>
        </is>
      </c>
      <c r="C356" s="227" t="inlineStr">
        <is>
          <t>Pôle emploi assistants</t>
        </is>
      </c>
      <c r="D356" s="233" t="inlineStr">
        <is>
          <t>12</t>
        </is>
      </c>
      <c r="E356" s="233" t="inlineStr">
        <is>
          <t>11</t>
        </is>
      </c>
      <c r="F356" s="227" t="inlineStr">
        <is>
          <t>VR7</t>
        </is>
      </c>
    </row>
    <row r="357">
      <c r="A357" s="227">
        <f>TL[[#This Row],[Société]]&amp;" - "&amp;TL[[#This Row],[Compte]]</f>
        <v/>
      </c>
      <c r="B357" s="233" t="inlineStr">
        <is>
          <t>645430</t>
        </is>
      </c>
      <c r="C357" s="227" t="inlineStr">
        <is>
          <t>Pôle emploi équipiers</t>
        </is>
      </c>
      <c r="D357" s="233" t="inlineStr">
        <is>
          <t>10</t>
        </is>
      </c>
      <c r="E357" s="233" t="inlineStr">
        <is>
          <t>09</t>
        </is>
      </c>
      <c r="F357" s="227" t="inlineStr">
        <is>
          <t>VR7</t>
        </is>
      </c>
    </row>
    <row r="358">
      <c r="A358" s="227">
        <f>TL[[#This Row],[Société]]&amp;" - "&amp;TL[[#This Row],[Compte]]</f>
        <v/>
      </c>
      <c r="B358" s="233" t="inlineStr">
        <is>
          <t>645520</t>
        </is>
      </c>
      <c r="C358" s="227" t="inlineStr">
        <is>
          <t>Mutuelle assistants</t>
        </is>
      </c>
      <c r="D358" s="233" t="inlineStr">
        <is>
          <t>12</t>
        </is>
      </c>
      <c r="E358" s="233" t="inlineStr">
        <is>
          <t>11</t>
        </is>
      </c>
      <c r="F358" s="227" t="inlineStr">
        <is>
          <t>VR7</t>
        </is>
      </c>
    </row>
    <row r="359">
      <c r="A359" s="227">
        <f>TL[[#This Row],[Société]]&amp;" - "&amp;TL[[#This Row],[Compte]]</f>
        <v/>
      </c>
      <c r="B359" s="233" t="inlineStr">
        <is>
          <t>645530</t>
        </is>
      </c>
      <c r="C359" s="227" t="inlineStr">
        <is>
          <t>Mutuelle équipiers</t>
        </is>
      </c>
      <c r="D359" s="233" t="inlineStr">
        <is>
          <t>10</t>
        </is>
      </c>
      <c r="E359" s="233" t="inlineStr">
        <is>
          <t>09</t>
        </is>
      </c>
      <c r="F359" s="227" t="inlineStr">
        <is>
          <t>VR7</t>
        </is>
      </c>
    </row>
    <row r="360">
      <c r="A360" s="227">
        <f>TL[[#This Row],[Société]]&amp;" - "&amp;TL[[#This Row],[Compte]]</f>
        <v/>
      </c>
      <c r="B360" s="233" t="inlineStr">
        <is>
          <t>645620</t>
        </is>
      </c>
      <c r="C360" s="227" t="inlineStr">
        <is>
          <t>Cotisations AGIRC Assistants</t>
        </is>
      </c>
      <c r="D360" s="233" t="inlineStr">
        <is>
          <t>12</t>
        </is>
      </c>
      <c r="E360" s="233" t="inlineStr">
        <is>
          <t>11</t>
        </is>
      </c>
      <c r="F360" s="227" t="inlineStr">
        <is>
          <t>VR7</t>
        </is>
      </c>
    </row>
    <row r="361">
      <c r="A361" s="227">
        <f>TL[[#This Row],[Société]]&amp;" - "&amp;TL[[#This Row],[Compte]]</f>
        <v/>
      </c>
      <c r="B361" s="233" t="inlineStr">
        <is>
          <t>645800</t>
        </is>
      </c>
      <c r="C361" s="227" t="inlineStr">
        <is>
          <t>Prov autres charges sociales</t>
        </is>
      </c>
      <c r="D361" s="233" t="inlineStr">
        <is>
          <t>12</t>
        </is>
      </c>
      <c r="E361" s="233" t="inlineStr">
        <is>
          <t>11</t>
        </is>
      </c>
      <c r="F361" s="227" t="inlineStr">
        <is>
          <t>VR7</t>
        </is>
      </c>
    </row>
    <row r="362">
      <c r="A362" s="227">
        <f>TL[[#This Row],[Société]]&amp;" - "&amp;TL[[#This Row],[Compte]]</f>
        <v/>
      </c>
      <c r="B362" s="233" t="inlineStr">
        <is>
          <t>645810</t>
        </is>
      </c>
      <c r="C362" s="227" t="inlineStr">
        <is>
          <t>Medecine du travail  npu</t>
        </is>
      </c>
      <c r="D362" s="233" t="inlineStr">
        <is>
          <t>16</t>
        </is>
      </c>
      <c r="E362" s="233" t="inlineStr">
        <is>
          <t>19</t>
        </is>
      </c>
      <c r="F362" s="227" t="inlineStr">
        <is>
          <t>VR7</t>
        </is>
      </c>
    </row>
    <row r="363">
      <c r="A363" s="227">
        <f>TL[[#This Row],[Société]]&amp;" - "&amp;TL[[#This Row],[Compte]]</f>
        <v/>
      </c>
      <c r="B363" s="233" t="inlineStr">
        <is>
          <t>645820</t>
        </is>
      </c>
      <c r="C363" s="227" t="inlineStr">
        <is>
          <t>Charges sociales sur cp assistants</t>
        </is>
      </c>
      <c r="D363" s="233" t="inlineStr">
        <is>
          <t>12</t>
        </is>
      </c>
      <c r="E363" s="233" t="inlineStr">
        <is>
          <t>11</t>
        </is>
      </c>
      <c r="F363" s="227" t="inlineStr">
        <is>
          <t>VR7</t>
        </is>
      </c>
    </row>
    <row r="364">
      <c r="A364" s="227">
        <f>TL[[#This Row],[Société]]&amp;" - "&amp;TL[[#This Row],[Compte]]</f>
        <v/>
      </c>
      <c r="B364" s="233" t="inlineStr">
        <is>
          <t>645821</t>
        </is>
      </c>
      <c r="C364" s="227" t="inlineStr">
        <is>
          <t>Charges sociales gratifications ass</t>
        </is>
      </c>
      <c r="D364" s="233" t="inlineStr">
        <is>
          <t>11</t>
        </is>
      </c>
      <c r="E364" s="233" t="inlineStr">
        <is>
          <t>11</t>
        </is>
      </c>
      <c r="F364" s="227" t="inlineStr">
        <is>
          <t>VR7</t>
        </is>
      </c>
    </row>
    <row r="365">
      <c r="A365" s="227">
        <f>TL[[#This Row],[Société]]&amp;" - "&amp;TL[[#This Row],[Compte]]</f>
        <v/>
      </c>
      <c r="B365" s="233" t="inlineStr">
        <is>
          <t>645830</t>
        </is>
      </c>
      <c r="C365" s="227" t="inlineStr">
        <is>
          <t>Charges sociales sur cp équipiers</t>
        </is>
      </c>
      <c r="D365" s="233" t="inlineStr">
        <is>
          <t>10</t>
        </is>
      </c>
      <c r="E365" s="233" t="inlineStr">
        <is>
          <t>09</t>
        </is>
      </c>
      <c r="F365" s="227" t="inlineStr">
        <is>
          <t>VR7</t>
        </is>
      </c>
    </row>
    <row r="366">
      <c r="A366" s="227">
        <f>TL[[#This Row],[Société]]&amp;" - "&amp;TL[[#This Row],[Compte]]</f>
        <v/>
      </c>
      <c r="B366" s="233" t="inlineStr">
        <is>
          <t>645831</t>
        </is>
      </c>
      <c r="C366" s="227" t="inlineStr">
        <is>
          <t>Charges sociales gratifications équ</t>
        </is>
      </c>
      <c r="D366" s="233" t="inlineStr">
        <is>
          <t>10</t>
        </is>
      </c>
      <c r="E366" s="233" t="inlineStr">
        <is>
          <t>09</t>
        </is>
      </c>
      <c r="F366" s="227" t="inlineStr">
        <is>
          <t>VR7</t>
        </is>
      </c>
    </row>
    <row r="367">
      <c r="A367" s="227">
        <f>TL[[#This Row],[Société]]&amp;" - "&amp;TL[[#This Row],[Compte]]</f>
        <v/>
      </c>
      <c r="B367" s="233" t="inlineStr">
        <is>
          <t>645870</t>
        </is>
      </c>
      <c r="C367" s="227" t="inlineStr">
        <is>
          <t>Charges ss et prévoyance</t>
        </is>
      </c>
      <c r="D367" s="233" t="inlineStr">
        <is>
          <t>12</t>
        </is>
      </c>
      <c r="E367" s="233" t="inlineStr">
        <is>
          <t>11</t>
        </is>
      </c>
      <c r="F367" s="227" t="inlineStr">
        <is>
          <t>VR7</t>
        </is>
      </c>
    </row>
    <row r="368">
      <c r="A368" s="227">
        <f>TL[[#This Row],[Société]]&amp;" - "&amp;TL[[#This Row],[Compte]]</f>
        <v/>
      </c>
      <c r="B368" s="233" t="inlineStr">
        <is>
          <t>645920</t>
        </is>
      </c>
      <c r="C368" s="227" t="inlineStr">
        <is>
          <t>Prévoyance assistants</t>
        </is>
      </c>
      <c r="D368" s="233" t="inlineStr">
        <is>
          <t>12</t>
        </is>
      </c>
      <c r="E368" s="233" t="inlineStr">
        <is>
          <t>11</t>
        </is>
      </c>
      <c r="F368" s="227" t="inlineStr">
        <is>
          <t>VR7</t>
        </is>
      </c>
    </row>
    <row r="369">
      <c r="A369" s="227">
        <f>TL[[#This Row],[Société]]&amp;" - "&amp;TL[[#This Row],[Compte]]</f>
        <v/>
      </c>
      <c r="B369" s="233" t="inlineStr">
        <is>
          <t>645930</t>
        </is>
      </c>
      <c r="C369" s="227" t="inlineStr">
        <is>
          <t>Prévoyance équipiers</t>
        </is>
      </c>
      <c r="D369" s="233" t="inlineStr">
        <is>
          <t>10</t>
        </is>
      </c>
      <c r="E369" s="233" t="inlineStr">
        <is>
          <t>09</t>
        </is>
      </c>
      <c r="F369" s="227" t="inlineStr">
        <is>
          <t>VR7</t>
        </is>
      </c>
    </row>
    <row r="370">
      <c r="A370" s="227">
        <f>TL[[#This Row],[Société]]&amp;" - "&amp;TL[[#This Row],[Compte]]</f>
        <v/>
      </c>
      <c r="B370" s="233" t="inlineStr">
        <is>
          <t>646200</t>
        </is>
      </c>
      <c r="C370" s="227" t="inlineStr">
        <is>
          <t>Cot vieillesse gérant</t>
        </is>
      </c>
      <c r="D370" s="233" t="inlineStr">
        <is>
          <t>51</t>
        </is>
      </c>
      <c r="E370" s="233" t="inlineStr">
        <is>
          <t>46</t>
        </is>
      </c>
      <c r="F370" s="227" t="inlineStr">
        <is>
          <t>VR7</t>
        </is>
      </c>
    </row>
    <row r="371">
      <c r="A371" s="227">
        <f>TL[[#This Row],[Société]]&amp;" - "&amp;TL[[#This Row],[Compte]]</f>
        <v/>
      </c>
      <c r="B371" s="233" t="inlineStr">
        <is>
          <t>647500</t>
        </is>
      </c>
      <c r="C371" s="227" t="inlineStr">
        <is>
          <t>FACT AMI SANTE DU 16.12.2014 18 VIS</t>
        </is>
      </c>
      <c r="D371" s="233" t="inlineStr">
        <is>
          <t>16</t>
        </is>
      </c>
      <c r="E371" s="233" t="inlineStr">
        <is>
          <t>19</t>
        </is>
      </c>
      <c r="F371" s="227" t="inlineStr">
        <is>
          <t>VR7</t>
        </is>
      </c>
    </row>
    <row r="372">
      <c r="A372" s="227">
        <f>TL[[#This Row],[Société]]&amp;" - "&amp;TL[[#This Row],[Compte]]</f>
        <v/>
      </c>
      <c r="B372" s="233" t="inlineStr">
        <is>
          <t>647516</t>
        </is>
      </c>
      <c r="C372" s="227" t="inlineStr">
        <is>
          <t>Medecine du travail</t>
        </is>
      </c>
      <c r="D372" s="233" t="inlineStr">
        <is>
          <t>16</t>
        </is>
      </c>
      <c r="E372" s="233" t="inlineStr">
        <is>
          <t>19</t>
        </is>
      </c>
      <c r="F372" s="227" t="inlineStr">
        <is>
          <t>VR7</t>
        </is>
      </c>
    </row>
    <row r="373">
      <c r="A373" s="227">
        <f>TL[[#This Row],[Société]]&amp;" - "&amp;TL[[#This Row],[Compte]]</f>
        <v/>
      </c>
      <c r="B373" s="233" t="inlineStr">
        <is>
          <t>649000</t>
        </is>
      </c>
      <c r="C373" s="227" t="inlineStr">
        <is>
          <t>Crédit d'impôt compétitivité entrep</t>
        </is>
      </c>
      <c r="F373" s="227" t="inlineStr">
        <is>
          <t>VR7</t>
        </is>
      </c>
    </row>
    <row r="374">
      <c r="A374" s="227">
        <f>TL[[#This Row],[Société]]&amp;" - "&amp;TL[[#This Row],[Compte]]</f>
        <v/>
      </c>
      <c r="B374" s="233" t="inlineStr">
        <is>
          <t>651110</t>
        </is>
      </c>
      <c r="C374" s="227" t="inlineStr">
        <is>
          <t>Redevance service</t>
        </is>
      </c>
      <c r="D374" s="233" t="inlineStr">
        <is>
          <t>31</t>
        </is>
      </c>
      <c r="E374" s="233" t="inlineStr">
        <is>
          <t>34</t>
        </is>
      </c>
      <c r="F374" s="227" t="inlineStr">
        <is>
          <t>VR7</t>
        </is>
      </c>
    </row>
    <row r="375">
      <c r="A375" s="227">
        <f>TL[[#This Row],[Société]]&amp;" - "&amp;TL[[#This Row],[Compte]]</f>
        <v/>
      </c>
      <c r="B375" s="233" t="inlineStr">
        <is>
          <t>651200</t>
        </is>
      </c>
      <c r="C375" s="227" t="inlineStr">
        <is>
          <t>Avoirs happy meals (15,5%)</t>
        </is>
      </c>
      <c r="D375" s="233" t="inlineStr">
        <is>
          <t>30</t>
        </is>
      </c>
      <c r="E375" s="233" t="inlineStr">
        <is>
          <t>31</t>
        </is>
      </c>
      <c r="F375" s="227" t="inlineStr">
        <is>
          <t>VR7</t>
        </is>
      </c>
    </row>
    <row r="376">
      <c r="A376" s="227">
        <f>TL[[#This Row],[Société]]&amp;" - "&amp;TL[[#This Row],[Compte]]</f>
        <v/>
      </c>
      <c r="B376" s="233" t="inlineStr">
        <is>
          <t>651210</t>
        </is>
      </c>
      <c r="C376" s="227" t="inlineStr">
        <is>
          <t>Avoirs happy meals (5%)</t>
        </is>
      </c>
      <c r="D376" s="233" t="inlineStr">
        <is>
          <t>31</t>
        </is>
      </c>
      <c r="E376" s="233" t="inlineStr">
        <is>
          <t>31</t>
        </is>
      </c>
      <c r="F376" s="227" t="inlineStr">
        <is>
          <t>VR7</t>
        </is>
      </c>
    </row>
    <row r="377">
      <c r="A377" s="227">
        <f>TL[[#This Row],[Société]]&amp;" - "&amp;TL[[#This Row],[Compte]]</f>
        <v/>
      </c>
      <c r="B377" s="233" t="inlineStr">
        <is>
          <t>654100</t>
        </is>
      </c>
      <c r="C377" s="227" t="inlineStr">
        <is>
          <t>Cheque impaye</t>
        </is>
      </c>
      <c r="F377" s="227" t="inlineStr">
        <is>
          <t>VR7</t>
        </is>
      </c>
    </row>
    <row r="378">
      <c r="A378" s="227">
        <f>TL[[#This Row],[Société]]&amp;" - "&amp;TL[[#This Row],[Compte]]</f>
        <v/>
      </c>
      <c r="B378" s="233" t="inlineStr">
        <is>
          <t>658000</t>
        </is>
      </c>
      <c r="C378" s="227" t="inlineStr">
        <is>
          <t>Charges diverses gestion courante</t>
        </is>
      </c>
      <c r="D378" s="233" t="inlineStr">
        <is>
          <t>39</t>
        </is>
      </c>
      <c r="E378" s="233" t="inlineStr">
        <is>
          <t>40</t>
        </is>
      </c>
      <c r="F378" s="227" t="inlineStr">
        <is>
          <t>VR7</t>
        </is>
      </c>
    </row>
    <row r="379">
      <c r="A379" s="227">
        <f>TL[[#This Row],[Société]]&amp;" - "&amp;TL[[#This Row],[Compte]]</f>
        <v/>
      </c>
      <c r="B379" s="233" t="inlineStr">
        <is>
          <t>661100</t>
        </is>
      </c>
      <c r="C379" s="227" t="inlineStr">
        <is>
          <t>Intérêts emprunt CRCA 200K€</t>
        </is>
      </c>
      <c r="D379" s="233" t="inlineStr">
        <is>
          <t>37</t>
        </is>
      </c>
      <c r="E379" s="233" t="inlineStr">
        <is>
          <t>42</t>
        </is>
      </c>
      <c r="F379" s="227" t="inlineStr">
        <is>
          <t>VR7</t>
        </is>
      </c>
    </row>
    <row r="380">
      <c r="A380" s="227">
        <f>TL[[#This Row],[Société]]&amp;" - "&amp;TL[[#This Row],[Compte]]</f>
        <v/>
      </c>
      <c r="B380" s="233" t="inlineStr">
        <is>
          <t>661110</t>
        </is>
      </c>
      <c r="C380" s="227" t="inlineStr">
        <is>
          <t>Intérêts emprunt SG 150K€</t>
        </is>
      </c>
      <c r="D380" s="233" t="inlineStr">
        <is>
          <t>37</t>
        </is>
      </c>
      <c r="E380" s="233" t="inlineStr">
        <is>
          <t>42</t>
        </is>
      </c>
      <c r="F380" s="227" t="inlineStr">
        <is>
          <t>VR7</t>
        </is>
      </c>
    </row>
    <row r="381">
      <c r="A381" s="227">
        <f>TL[[#This Row],[Société]]&amp;" - "&amp;TL[[#This Row],[Compte]]</f>
        <v/>
      </c>
      <c r="B381" s="233" t="inlineStr">
        <is>
          <t>661120</t>
        </is>
      </c>
      <c r="C381" s="227" t="inlineStr">
        <is>
          <t>Intérêts emprunt CRCA 1400K€</t>
        </is>
      </c>
      <c r="D381" s="233" t="inlineStr">
        <is>
          <t>37</t>
        </is>
      </c>
      <c r="E381" s="233" t="inlineStr">
        <is>
          <t>42</t>
        </is>
      </c>
      <c r="F381" s="227" t="inlineStr">
        <is>
          <t>VR7</t>
        </is>
      </c>
    </row>
    <row r="382">
      <c r="A382" s="227">
        <f>TL[[#This Row],[Société]]&amp;" - "&amp;TL[[#This Row],[Compte]]</f>
        <v/>
      </c>
      <c r="B382" s="233" t="inlineStr">
        <is>
          <t>661130</t>
        </is>
      </c>
      <c r="C382" s="227" t="inlineStr">
        <is>
          <t>Intérêts emprunt PGE 100K€</t>
        </is>
      </c>
      <c r="D382" s="233" t="inlineStr">
        <is>
          <t>37</t>
        </is>
      </c>
      <c r="E382" s="233" t="inlineStr">
        <is>
          <t>42</t>
        </is>
      </c>
      <c r="F382" s="227" t="inlineStr">
        <is>
          <t>VR7</t>
        </is>
      </c>
    </row>
    <row r="383">
      <c r="A383" s="227">
        <f>TL[[#This Row],[Société]]&amp;" - "&amp;TL[[#This Row],[Compte]]</f>
        <v/>
      </c>
      <c r="B383" s="233" t="inlineStr">
        <is>
          <t>661140</t>
        </is>
      </c>
      <c r="C383" s="227" t="inlineStr">
        <is>
          <t>Intérêts emprunt PGE 350K€</t>
        </is>
      </c>
      <c r="D383" s="233" t="inlineStr">
        <is>
          <t>37</t>
        </is>
      </c>
      <c r="E383" s="233" t="inlineStr">
        <is>
          <t>42</t>
        </is>
      </c>
      <c r="F383" s="227" t="inlineStr">
        <is>
          <t>VR7</t>
        </is>
      </c>
    </row>
    <row r="384">
      <c r="A384" s="227">
        <f>TL[[#This Row],[Société]]&amp;" - "&amp;TL[[#This Row],[Compte]]</f>
        <v/>
      </c>
      <c r="B384" s="233" t="inlineStr">
        <is>
          <t>661500</t>
        </is>
      </c>
      <c r="C384" s="227" t="inlineStr">
        <is>
          <t>Intérêts comptes courants rth 76</t>
        </is>
      </c>
      <c r="D384" s="233" t="inlineStr">
        <is>
          <t>38</t>
        </is>
      </c>
      <c r="E384" s="233" t="inlineStr">
        <is>
          <t>42</t>
        </is>
      </c>
      <c r="F384" s="227" t="inlineStr">
        <is>
          <t>VR7</t>
        </is>
      </c>
    </row>
    <row r="385">
      <c r="A385" s="227">
        <f>TL[[#This Row],[Société]]&amp;" - "&amp;TL[[#This Row],[Compte]]</f>
        <v/>
      </c>
      <c r="B385" s="233" t="inlineStr">
        <is>
          <t>661600</t>
        </is>
      </c>
      <c r="C385" s="227" t="inlineStr">
        <is>
          <t>Intérêts bancaires</t>
        </is>
      </c>
      <c r="D385" s="233" t="inlineStr">
        <is>
          <t>37</t>
        </is>
      </c>
      <c r="E385" s="233" t="inlineStr">
        <is>
          <t>42</t>
        </is>
      </c>
      <c r="F385" s="227" t="inlineStr">
        <is>
          <t>VR7</t>
        </is>
      </c>
    </row>
    <row r="386">
      <c r="A386" s="227">
        <f>TL[[#This Row],[Société]]&amp;" - "&amp;TL[[#This Row],[Compte]]</f>
        <v/>
      </c>
      <c r="B386" s="233" t="inlineStr">
        <is>
          <t>671100</t>
        </is>
      </c>
      <c r="C386" s="227" t="inlineStr">
        <is>
          <t>Ecarts de caisse</t>
        </is>
      </c>
      <c r="D386" s="233" t="inlineStr">
        <is>
          <t>22</t>
        </is>
      </c>
      <c r="E386" s="233" t="inlineStr">
        <is>
          <t>27</t>
        </is>
      </c>
      <c r="F386" s="227" t="inlineStr">
        <is>
          <t>VR7</t>
        </is>
      </c>
    </row>
    <row r="387">
      <c r="A387" s="227">
        <f>TL[[#This Row],[Société]]&amp;" - "&amp;TL[[#This Row],[Compte]]</f>
        <v/>
      </c>
      <c r="B387" s="233" t="inlineStr">
        <is>
          <t>671200</t>
        </is>
      </c>
      <c r="C387" s="227" t="inlineStr">
        <is>
          <t>Amendes et pénalités</t>
        </is>
      </c>
      <c r="D387" s="233" t="inlineStr">
        <is>
          <t>34</t>
        </is>
      </c>
      <c r="E387" s="233" t="inlineStr">
        <is>
          <t>37</t>
        </is>
      </c>
      <c r="F387" s="227" t="inlineStr">
        <is>
          <t>VR7</t>
        </is>
      </c>
    </row>
    <row r="388">
      <c r="A388" s="227">
        <f>TL[[#This Row],[Société]]&amp;" - "&amp;TL[[#This Row],[Compte]]</f>
        <v/>
      </c>
      <c r="B388" s="233" t="inlineStr">
        <is>
          <t>671310</t>
        </is>
      </c>
      <c r="C388" s="227" t="inlineStr">
        <is>
          <t>Dons, gie</t>
        </is>
      </c>
      <c r="D388" s="233" t="inlineStr">
        <is>
          <t>39</t>
        </is>
      </c>
      <c r="E388" s="233" t="inlineStr">
        <is>
          <t>45</t>
        </is>
      </c>
      <c r="F388" s="227" t="inlineStr">
        <is>
          <t>VR7</t>
        </is>
      </c>
    </row>
    <row r="389">
      <c r="A389" s="227">
        <f>TL[[#This Row],[Société]]&amp;" - "&amp;TL[[#This Row],[Compte]]</f>
        <v/>
      </c>
      <c r="B389" s="233" t="inlineStr">
        <is>
          <t>675000</t>
        </is>
      </c>
      <c r="C389" s="227" t="inlineStr">
        <is>
          <t>Cree par cegid</t>
        </is>
      </c>
      <c r="F389" s="227" t="inlineStr">
        <is>
          <t>VR7</t>
        </is>
      </c>
    </row>
    <row r="390">
      <c r="A390" s="227">
        <f>TL[[#This Row],[Société]]&amp;" - "&amp;TL[[#This Row],[Compte]]</f>
        <v/>
      </c>
      <c r="B390" s="233" t="inlineStr">
        <is>
          <t>675600</t>
        </is>
      </c>
      <c r="C390" s="227" t="inlineStr">
        <is>
          <t>Cree par cegid</t>
        </is>
      </c>
      <c r="F390" s="227" t="inlineStr">
        <is>
          <t>VR7</t>
        </is>
      </c>
    </row>
    <row r="391">
      <c r="A391" s="227">
        <f>TL[[#This Row],[Société]]&amp;" - "&amp;TL[[#This Row],[Compte]]</f>
        <v/>
      </c>
      <c r="B391" s="233" t="inlineStr">
        <is>
          <t>678800</t>
        </is>
      </c>
      <c r="C391" s="227" t="inlineStr">
        <is>
          <t>Charges exceptionnelles diverses</t>
        </is>
      </c>
      <c r="D391" s="233" t="inlineStr">
        <is>
          <t>39</t>
        </is>
      </c>
      <c r="E391" s="233" t="inlineStr">
        <is>
          <t>40</t>
        </is>
      </c>
      <c r="F391" s="227" t="inlineStr">
        <is>
          <t>VR7</t>
        </is>
      </c>
    </row>
    <row r="392">
      <c r="A392" s="227">
        <f>TL[[#This Row],[Société]]&amp;" - "&amp;TL[[#This Row],[Compte]]</f>
        <v/>
      </c>
      <c r="B392" s="233" t="inlineStr">
        <is>
          <t>681110</t>
        </is>
      </c>
      <c r="C392" s="227" t="inlineStr">
        <is>
          <t>Dot. amort. s/immobil. incorporel.</t>
        </is>
      </c>
      <c r="D392" s="233" t="inlineStr">
        <is>
          <t>36</t>
        </is>
      </c>
      <c r="E392" s="233" t="inlineStr">
        <is>
          <t>38</t>
        </is>
      </c>
      <c r="F392" s="227" t="inlineStr">
        <is>
          <t>VR7</t>
        </is>
      </c>
    </row>
    <row r="393">
      <c r="A393" s="227">
        <f>TL[[#This Row],[Société]]&amp;" - "&amp;TL[[#This Row],[Compte]]</f>
        <v/>
      </c>
      <c r="B393" s="233" t="inlineStr">
        <is>
          <t>681120</t>
        </is>
      </c>
      <c r="C393" s="227" t="inlineStr">
        <is>
          <t>Dotation aux amortissements</t>
        </is>
      </c>
      <c r="D393" s="233" t="inlineStr">
        <is>
          <t>36</t>
        </is>
      </c>
      <c r="E393" s="233" t="inlineStr">
        <is>
          <t>38</t>
        </is>
      </c>
      <c r="F393" s="227" t="inlineStr">
        <is>
          <t>VR7</t>
        </is>
      </c>
    </row>
    <row r="394">
      <c r="A394" s="227">
        <f>TL[[#This Row],[Société]]&amp;" - "&amp;TL[[#This Row],[Compte]]</f>
        <v/>
      </c>
      <c r="B394" s="233" t="inlineStr">
        <is>
          <t>681500</t>
        </is>
      </c>
      <c r="C394" s="227" t="inlineStr">
        <is>
          <t>Dot. prov. risques &amp; ch. exploit.</t>
        </is>
      </c>
      <c r="D394" s="233" t="inlineStr">
        <is>
          <t>36</t>
        </is>
      </c>
      <c r="E394" s="233" t="inlineStr">
        <is>
          <t>38</t>
        </is>
      </c>
      <c r="F394" s="227" t="inlineStr">
        <is>
          <t>VR7</t>
        </is>
      </c>
    </row>
    <row r="395">
      <c r="A395" s="227">
        <f>TL[[#This Row],[Société]]&amp;" - "&amp;TL[[#This Row],[Compte]]</f>
        <v/>
      </c>
      <c r="B395" s="233" t="inlineStr">
        <is>
          <t>687110</t>
        </is>
      </c>
      <c r="C395" s="227" t="inlineStr">
        <is>
          <t>Cree par cegid</t>
        </is>
      </c>
      <c r="F395" s="227" t="inlineStr">
        <is>
          <t>VR7</t>
        </is>
      </c>
    </row>
    <row r="396">
      <c r="A396" s="227">
        <f>TL[[#This Row],[Société]]&amp;" - "&amp;TL[[#This Row],[Compte]]</f>
        <v/>
      </c>
      <c r="B396" s="233" t="inlineStr">
        <is>
          <t>687120</t>
        </is>
      </c>
      <c r="C396" s="227" t="inlineStr">
        <is>
          <t>Dotation aux amorts</t>
        </is>
      </c>
      <c r="D396" s="233" t="inlineStr">
        <is>
          <t>36</t>
        </is>
      </c>
      <c r="E396" s="233" t="inlineStr">
        <is>
          <t>38</t>
        </is>
      </c>
      <c r="F396" s="227" t="inlineStr">
        <is>
          <t>VR7</t>
        </is>
      </c>
    </row>
    <row r="397">
      <c r="A397" s="227">
        <f>TL[[#This Row],[Société]]&amp;" - "&amp;TL[[#This Row],[Compte]]</f>
        <v/>
      </c>
      <c r="B397" s="233" t="inlineStr">
        <is>
          <t>687250</t>
        </is>
      </c>
      <c r="C397" s="227" t="inlineStr">
        <is>
          <t>Cree par cegid</t>
        </is>
      </c>
      <c r="F397" s="227" t="inlineStr">
        <is>
          <t>VR7</t>
        </is>
      </c>
    </row>
    <row r="398">
      <c r="A398" s="227">
        <f>TL[[#This Row],[Société]]&amp;" - "&amp;TL[[#This Row],[Compte]]</f>
        <v/>
      </c>
      <c r="B398" s="233" t="inlineStr">
        <is>
          <t>695000</t>
        </is>
      </c>
      <c r="C398" s="227" t="inlineStr">
        <is>
          <t>Impôts sur les bénéfices</t>
        </is>
      </c>
      <c r="D398" s="233" t="inlineStr">
        <is>
          <t>99</t>
        </is>
      </c>
      <c r="E398" s="233" t="inlineStr">
        <is>
          <t>48</t>
        </is>
      </c>
      <c r="F398" s="227" t="inlineStr">
        <is>
          <t>VR7</t>
        </is>
      </c>
    </row>
    <row r="399">
      <c r="A399" s="227">
        <f>TL[[#This Row],[Société]]&amp;" - "&amp;TL[[#This Row],[Compte]]</f>
        <v/>
      </c>
      <c r="B399" s="233" t="inlineStr">
        <is>
          <t>695100</t>
        </is>
      </c>
      <c r="C399" s="227" t="inlineStr">
        <is>
          <t>Crédit mecenat</t>
        </is>
      </c>
      <c r="D399" s="233" t="inlineStr">
        <is>
          <t>99</t>
        </is>
      </c>
      <c r="E399" s="233" t="inlineStr">
        <is>
          <t>48</t>
        </is>
      </c>
      <c r="F399" s="227" t="inlineStr">
        <is>
          <t>VR7</t>
        </is>
      </c>
    </row>
    <row r="400">
      <c r="A400" s="227">
        <f>TL[[#This Row],[Société]]&amp;" - "&amp;TL[[#This Row],[Compte]]</f>
        <v/>
      </c>
      <c r="B400" s="233" t="inlineStr">
        <is>
          <t>698910</t>
        </is>
      </c>
      <c r="C400" s="227" t="inlineStr">
        <is>
          <t>Crédit mecenat gie</t>
        </is>
      </c>
      <c r="D400" s="233" t="inlineStr">
        <is>
          <t>99</t>
        </is>
      </c>
      <c r="E400" s="233" t="inlineStr">
        <is>
          <t>48</t>
        </is>
      </c>
      <c r="F400" s="227" t="inlineStr">
        <is>
          <t>VR7</t>
        </is>
      </c>
    </row>
    <row r="401">
      <c r="A401" s="227">
        <f>TL[[#This Row],[Société]]&amp;" - "&amp;TL[[#This Row],[Compte]]</f>
        <v/>
      </c>
      <c r="B401" s="233" t="inlineStr">
        <is>
          <t>698920</t>
        </is>
      </c>
      <c r="C401" s="227" t="inlineStr">
        <is>
          <t>Cice gie</t>
        </is>
      </c>
      <c r="D401" s="233" t="inlineStr">
        <is>
          <t>99</t>
        </is>
      </c>
      <c r="E401" s="233" t="inlineStr">
        <is>
          <t>48</t>
        </is>
      </c>
      <c r="F401" s="227" t="inlineStr">
        <is>
          <t>VR7</t>
        </is>
      </c>
    </row>
    <row r="402">
      <c r="A402" s="227">
        <f>TL[[#This Row],[Société]]&amp;" - "&amp;TL[[#This Row],[Compte]]</f>
        <v/>
      </c>
      <c r="B402" s="233" t="inlineStr">
        <is>
          <t>701001</t>
        </is>
      </c>
      <c r="C402" s="227" t="inlineStr">
        <is>
          <t>Ventes non alimentaires</t>
        </is>
      </c>
      <c r="D402" s="233" t="inlineStr">
        <is>
          <t>01</t>
        </is>
      </c>
      <c r="E402" s="233" t="inlineStr">
        <is>
          <t>02</t>
        </is>
      </c>
      <c r="F402" s="227" t="inlineStr">
        <is>
          <t>VR7</t>
        </is>
      </c>
    </row>
    <row r="403">
      <c r="A403" s="227">
        <f>TL[[#This Row],[Société]]&amp;" - "&amp;TL[[#This Row],[Compte]]</f>
        <v/>
      </c>
      <c r="B403" s="233" t="inlineStr">
        <is>
          <t>701002</t>
        </is>
      </c>
      <c r="C403" s="227" t="inlineStr">
        <is>
          <t>Ventes a 5.5%</t>
        </is>
      </c>
      <c r="D403" s="233" t="inlineStr">
        <is>
          <t>01</t>
        </is>
      </c>
      <c r="E403" s="233" t="inlineStr">
        <is>
          <t>02</t>
        </is>
      </c>
      <c r="F403" s="227" t="inlineStr">
        <is>
          <t>VR7</t>
        </is>
      </c>
    </row>
    <row r="404">
      <c r="A404" s="227">
        <f>TL[[#This Row],[Société]]&amp;" - "&amp;TL[[#This Row],[Compte]]</f>
        <v/>
      </c>
      <c r="B404" s="233" t="inlineStr">
        <is>
          <t>701010</t>
        </is>
      </c>
      <c r="C404" s="227" t="inlineStr">
        <is>
          <t>Ventes à 10%</t>
        </is>
      </c>
      <c r="D404" s="233" t="inlineStr">
        <is>
          <t>01</t>
        </is>
      </c>
      <c r="E404" s="233" t="inlineStr">
        <is>
          <t>02</t>
        </is>
      </c>
      <c r="F404" s="227" t="inlineStr">
        <is>
          <t>VR7</t>
        </is>
      </c>
    </row>
    <row r="405">
      <c r="A405" s="227">
        <f>TL[[#This Row],[Société]]&amp;" - "&amp;TL[[#This Row],[Compte]]</f>
        <v/>
      </c>
      <c r="B405" s="233" t="inlineStr">
        <is>
          <t>701011</t>
        </is>
      </c>
      <c r="C405" s="227" t="inlineStr">
        <is>
          <t>Ventes 07/03</t>
        </is>
      </c>
      <c r="D405" s="233" t="inlineStr">
        <is>
          <t>01</t>
        </is>
      </c>
      <c r="E405" s="233" t="inlineStr">
        <is>
          <t>02</t>
        </is>
      </c>
      <c r="F405" s="227" t="inlineStr">
        <is>
          <t>VR7</t>
        </is>
      </c>
    </row>
    <row r="406">
      <c r="A406" s="227">
        <f>TL[[#This Row],[Société]]&amp;" - "&amp;TL[[#This Row],[Compte]]</f>
        <v/>
      </c>
      <c r="B406" s="233" t="inlineStr">
        <is>
          <t>701020</t>
        </is>
      </c>
      <c r="C406" s="227" t="inlineStr">
        <is>
          <t>Ventes à 20%</t>
        </is>
      </c>
      <c r="D406" s="233" t="inlineStr">
        <is>
          <t>01</t>
        </is>
      </c>
      <c r="E406" s="233" t="inlineStr">
        <is>
          <t>02</t>
        </is>
      </c>
      <c r="F406" s="227" t="inlineStr">
        <is>
          <t>VR7</t>
        </is>
      </c>
    </row>
    <row r="407">
      <c r="A407" s="227">
        <f>TL[[#This Row],[Société]]&amp;" - "&amp;TL[[#This Row],[Compte]]</f>
        <v/>
      </c>
      <c r="B407" s="233" t="inlineStr">
        <is>
          <t>701040</t>
        </is>
      </c>
      <c r="C407" s="227" t="inlineStr">
        <is>
          <t>Ventes à 7%</t>
        </is>
      </c>
      <c r="D407" s="233" t="inlineStr">
        <is>
          <t>01</t>
        </is>
      </c>
      <c r="E407" s="233" t="inlineStr">
        <is>
          <t>02</t>
        </is>
      </c>
      <c r="F407" s="227" t="inlineStr">
        <is>
          <t>VR7</t>
        </is>
      </c>
    </row>
    <row r="408">
      <c r="A408" s="227">
        <f>TL[[#This Row],[Société]]&amp;" - "&amp;TL[[#This Row],[Compte]]</f>
        <v/>
      </c>
      <c r="B408" s="233" t="inlineStr">
        <is>
          <t>701100</t>
        </is>
      </c>
      <c r="C408" s="227" t="inlineStr">
        <is>
          <t>Ventes à emporter à 05,50 %</t>
        </is>
      </c>
      <c r="F408" s="227" t="inlineStr">
        <is>
          <t>VR7</t>
        </is>
      </c>
    </row>
    <row r="409">
      <c r="A409" s="227">
        <f>TL[[#This Row],[Société]]&amp;" - "&amp;TL[[#This Row],[Compte]]</f>
        <v/>
      </c>
      <c r="B409" s="233" t="inlineStr">
        <is>
          <t>701200</t>
        </is>
      </c>
      <c r="C409" s="227" t="inlineStr">
        <is>
          <t>Ventes à emporter à 7 %</t>
        </is>
      </c>
      <c r="F409" s="227" t="inlineStr">
        <is>
          <t>VR7</t>
        </is>
      </c>
    </row>
    <row r="410">
      <c r="A410" s="227">
        <f>TL[[#This Row],[Société]]&amp;" - "&amp;TL[[#This Row],[Compte]]</f>
        <v/>
      </c>
      <c r="B410" s="233" t="inlineStr">
        <is>
          <t>702300</t>
        </is>
      </c>
      <c r="C410" s="227" t="inlineStr">
        <is>
          <t>Ventes non alimentaires</t>
        </is>
      </c>
      <c r="D410" s="233" t="inlineStr">
        <is>
          <t>60</t>
        </is>
      </c>
      <c r="E410" s="233" t="inlineStr">
        <is>
          <t>50</t>
        </is>
      </c>
      <c r="F410" s="227" t="inlineStr">
        <is>
          <t>VR7</t>
        </is>
      </c>
    </row>
    <row r="411">
      <c r="A411" s="227">
        <f>TL[[#This Row],[Société]]&amp;" - "&amp;TL[[#This Row],[Compte]]</f>
        <v/>
      </c>
      <c r="B411" s="233" t="inlineStr">
        <is>
          <t>703100</t>
        </is>
      </c>
      <c r="C411" s="227" t="inlineStr">
        <is>
          <t>Refacturation huiles usagées</t>
        </is>
      </c>
      <c r="D411" s="233" t="inlineStr">
        <is>
          <t>06</t>
        </is>
      </c>
      <c r="E411" s="233" t="inlineStr">
        <is>
          <t>03</t>
        </is>
      </c>
      <c r="F411" s="227" t="inlineStr">
        <is>
          <t>VR7</t>
        </is>
      </c>
    </row>
    <row r="412">
      <c r="A412" s="227">
        <f>TL[[#This Row],[Société]]&amp;" - "&amp;TL[[#This Row],[Compte]]</f>
        <v/>
      </c>
      <c r="B412" s="233" t="inlineStr">
        <is>
          <t>708000</t>
        </is>
      </c>
      <c r="C412" s="227" t="inlineStr">
        <is>
          <t>Remises MB</t>
        </is>
      </c>
      <c r="D412" s="233" t="inlineStr">
        <is>
          <t>06</t>
        </is>
      </c>
      <c r="E412" s="233" t="inlineStr">
        <is>
          <t>03</t>
        </is>
      </c>
      <c r="F412" s="227" t="inlineStr">
        <is>
          <t>VR7</t>
        </is>
      </c>
    </row>
    <row r="413">
      <c r="A413" s="227">
        <f>TL[[#This Row],[Société]]&amp;" - "&amp;TL[[#This Row],[Compte]]</f>
        <v/>
      </c>
      <c r="B413" s="233" t="inlineStr">
        <is>
          <t>708100</t>
        </is>
      </c>
      <c r="C413" s="227" t="inlineStr">
        <is>
          <t>Prêt equipiers</t>
        </is>
      </c>
      <c r="D413" s="233" t="inlineStr">
        <is>
          <t>10</t>
        </is>
      </c>
      <c r="E413" s="233" t="inlineStr">
        <is>
          <t>08</t>
        </is>
      </c>
      <c r="F413" s="227" t="inlineStr">
        <is>
          <t>VR7</t>
        </is>
      </c>
    </row>
    <row r="414">
      <c r="A414" s="227">
        <f>TL[[#This Row],[Société]]&amp;" - "&amp;TL[[#This Row],[Compte]]</f>
        <v/>
      </c>
      <c r="B414" s="233" t="inlineStr">
        <is>
          <t>708110</t>
        </is>
      </c>
      <c r="C414" s="227" t="inlineStr">
        <is>
          <t>Refacturation nourriture</t>
        </is>
      </c>
      <c r="D414" s="233" t="inlineStr">
        <is>
          <t>06</t>
        </is>
      </c>
      <c r="E414" s="233" t="inlineStr">
        <is>
          <t>03</t>
        </is>
      </c>
      <c r="F414" s="227" t="inlineStr">
        <is>
          <t>VR7</t>
        </is>
      </c>
    </row>
    <row r="415">
      <c r="A415" s="227">
        <f>TL[[#This Row],[Société]]&amp;" - "&amp;TL[[#This Row],[Compte]]</f>
        <v/>
      </c>
      <c r="B415" s="233" t="inlineStr">
        <is>
          <t>708111</t>
        </is>
      </c>
      <c r="C415" s="227" t="inlineStr">
        <is>
          <t>Refacturation paper</t>
        </is>
      </c>
      <c r="D415" s="233" t="inlineStr">
        <is>
          <t>03</t>
        </is>
      </c>
      <c r="E415" s="233" t="inlineStr">
        <is>
          <t>06</t>
        </is>
      </c>
      <c r="F415" s="227" t="inlineStr">
        <is>
          <t>VR7</t>
        </is>
      </c>
    </row>
    <row r="416">
      <c r="A416" s="227">
        <f>TL[[#This Row],[Société]]&amp;" - "&amp;TL[[#This Row],[Compte]]</f>
        <v/>
      </c>
      <c r="B416" s="233" t="inlineStr">
        <is>
          <t>708120</t>
        </is>
      </c>
      <c r="C416" s="227" t="inlineStr">
        <is>
          <t>Refacturation salaires mgr brut</t>
        </is>
      </c>
      <c r="D416" s="233" t="inlineStr">
        <is>
          <t>11</t>
        </is>
      </c>
      <c r="E416" s="233" t="inlineStr">
        <is>
          <t>10</t>
        </is>
      </c>
      <c r="F416" s="227" t="inlineStr">
        <is>
          <t>VR7</t>
        </is>
      </c>
    </row>
    <row r="417">
      <c r="A417" s="227">
        <f>TL[[#This Row],[Société]]&amp;" - "&amp;TL[[#This Row],[Compte]]</f>
        <v/>
      </c>
      <c r="B417" s="233" t="inlineStr">
        <is>
          <t>708130</t>
        </is>
      </c>
      <c r="C417" s="227" t="inlineStr">
        <is>
          <t>Refact sal mgr charges sociales</t>
        </is>
      </c>
      <c r="D417" s="233" t="inlineStr">
        <is>
          <t>12</t>
        </is>
      </c>
      <c r="E417" s="233" t="inlineStr">
        <is>
          <t>11</t>
        </is>
      </c>
      <c r="F417" s="227" t="inlineStr">
        <is>
          <t>VR7</t>
        </is>
      </c>
    </row>
    <row r="418">
      <c r="A418" s="227">
        <f>TL[[#This Row],[Société]]&amp;" - "&amp;TL[[#This Row],[Compte]]</f>
        <v/>
      </c>
      <c r="B418" s="233" t="inlineStr">
        <is>
          <t>708400</t>
        </is>
      </c>
      <c r="C418" s="227" t="inlineStr">
        <is>
          <t>Refacturation fourn exploitat°</t>
        </is>
      </c>
      <c r="D418" s="233" t="inlineStr">
        <is>
          <t>18</t>
        </is>
      </c>
      <c r="E418" s="233" t="inlineStr">
        <is>
          <t>25</t>
        </is>
      </c>
      <c r="F418" s="227" t="inlineStr">
        <is>
          <t>VR7</t>
        </is>
      </c>
    </row>
    <row r="419">
      <c r="A419" s="227">
        <f>TL[[#This Row],[Société]]&amp;" - "&amp;TL[[#This Row],[Compte]]</f>
        <v/>
      </c>
      <c r="B419" s="233" t="inlineStr">
        <is>
          <t>708500</t>
        </is>
      </c>
      <c r="C419" s="227" t="inlineStr">
        <is>
          <t>Refacturation happy meals</t>
        </is>
      </c>
      <c r="D419" s="233" t="inlineStr">
        <is>
          <t>62</t>
        </is>
      </c>
      <c r="E419" s="233" t="inlineStr">
        <is>
          <t>41</t>
        </is>
      </c>
      <c r="F419" s="227" t="inlineStr">
        <is>
          <t>VR7</t>
        </is>
      </c>
    </row>
    <row r="420">
      <c r="A420" s="227">
        <f>TL[[#This Row],[Société]]&amp;" - "&amp;TL[[#This Row],[Compte]]</f>
        <v/>
      </c>
      <c r="B420" s="233" t="inlineStr">
        <is>
          <t>708600</t>
        </is>
      </c>
      <c r="C420" s="227" t="inlineStr">
        <is>
          <t>Refacturation publicité intra group</t>
        </is>
      </c>
      <c r="D420" s="233" t="inlineStr">
        <is>
          <t>15</t>
        </is>
      </c>
      <c r="E420" s="233" t="inlineStr">
        <is>
          <t>22</t>
        </is>
      </c>
      <c r="F420" s="227" t="inlineStr">
        <is>
          <t>VR7</t>
        </is>
      </c>
    </row>
    <row r="421">
      <c r="A421" s="227">
        <f>TL[[#This Row],[Société]]&amp;" - "&amp;TL[[#This Row],[Compte]]</f>
        <v/>
      </c>
      <c r="B421" s="233" t="inlineStr">
        <is>
          <t>708800</t>
        </is>
      </c>
      <c r="C421" s="227" t="inlineStr">
        <is>
          <t>Refacturation huiles usagées</t>
        </is>
      </c>
      <c r="D421" s="233" t="inlineStr">
        <is>
          <t>06</t>
        </is>
      </c>
      <c r="E421" s="233" t="inlineStr">
        <is>
          <t>03</t>
        </is>
      </c>
      <c r="F421" s="227" t="inlineStr">
        <is>
          <t>VR7</t>
        </is>
      </c>
    </row>
    <row r="422">
      <c r="A422" s="227">
        <f>TL[[#This Row],[Société]]&amp;" - "&amp;TL[[#This Row],[Compte]]</f>
        <v/>
      </c>
      <c r="B422" s="233" t="inlineStr">
        <is>
          <t>708820</t>
        </is>
      </c>
      <c r="C422" s="227" t="inlineStr">
        <is>
          <t>Part. publicitaire à 19.60 %</t>
        </is>
      </c>
      <c r="F422" s="227" t="inlineStr">
        <is>
          <t>VR7</t>
        </is>
      </c>
    </row>
    <row r="423">
      <c r="A423" s="227">
        <f>TL[[#This Row],[Société]]&amp;" - "&amp;TL[[#This Row],[Compte]]</f>
        <v/>
      </c>
      <c r="B423" s="233" t="inlineStr">
        <is>
          <t>708830</t>
        </is>
      </c>
      <c r="C423" s="227" t="inlineStr">
        <is>
          <t>Facturations prestations assistants</t>
        </is>
      </c>
      <c r="D423" s="233" t="inlineStr">
        <is>
          <t>11</t>
        </is>
      </c>
      <c r="E423" s="233" t="inlineStr">
        <is>
          <t>10</t>
        </is>
      </c>
      <c r="F423" s="227" t="inlineStr">
        <is>
          <t>VR7</t>
        </is>
      </c>
    </row>
    <row r="424">
      <c r="A424" s="227">
        <f>TL[[#This Row],[Société]]&amp;" - "&amp;TL[[#This Row],[Compte]]</f>
        <v/>
      </c>
      <c r="B424" s="233" t="inlineStr">
        <is>
          <t>708840</t>
        </is>
      </c>
      <c r="C424" s="227" t="inlineStr">
        <is>
          <t>Refacturations charges sociales ass</t>
        </is>
      </c>
      <c r="D424" s="233" t="inlineStr">
        <is>
          <t>12</t>
        </is>
      </c>
      <c r="E424" s="233" t="inlineStr">
        <is>
          <t>11</t>
        </is>
      </c>
      <c r="F424" s="227" t="inlineStr">
        <is>
          <t>VR7</t>
        </is>
      </c>
    </row>
    <row r="425">
      <c r="A425" s="227">
        <f>TL[[#This Row],[Société]]&amp;" - "&amp;TL[[#This Row],[Compte]]</f>
        <v/>
      </c>
      <c r="B425" s="233" t="inlineStr">
        <is>
          <t>708850</t>
        </is>
      </c>
      <c r="C425" s="227" t="inlineStr">
        <is>
          <t>Facturations prestations équipiers</t>
        </is>
      </c>
      <c r="F425" s="227" t="inlineStr">
        <is>
          <t>VR7</t>
        </is>
      </c>
    </row>
    <row r="426">
      <c r="A426" s="227">
        <f>TL[[#This Row],[Société]]&amp;" - "&amp;TL[[#This Row],[Compte]]</f>
        <v/>
      </c>
      <c r="B426" s="233" t="inlineStr">
        <is>
          <t>708860</t>
        </is>
      </c>
      <c r="C426" s="227" t="inlineStr">
        <is>
          <t>Refacturation outillage</t>
        </is>
      </c>
      <c r="D426" s="233" t="inlineStr">
        <is>
          <t>19</t>
        </is>
      </c>
      <c r="E426" s="233" t="inlineStr">
        <is>
          <t>25</t>
        </is>
      </c>
      <c r="F426" s="227" t="inlineStr">
        <is>
          <t>VR7</t>
        </is>
      </c>
    </row>
    <row r="427">
      <c r="A427" s="227">
        <f>TL[[#This Row],[Société]]&amp;" - "&amp;TL[[#This Row],[Compte]]</f>
        <v/>
      </c>
      <c r="B427" s="233" t="inlineStr">
        <is>
          <t>708870</t>
        </is>
      </c>
      <c r="C427" s="227" t="inlineStr">
        <is>
          <t>Refacturation opérations de marché</t>
        </is>
      </c>
      <c r="D427" s="233" t="inlineStr">
        <is>
          <t>15</t>
        </is>
      </c>
      <c r="E427" s="233" t="inlineStr">
        <is>
          <t>23</t>
        </is>
      </c>
      <c r="F427" s="227" t="inlineStr">
        <is>
          <t>VR7</t>
        </is>
      </c>
    </row>
    <row r="428">
      <c r="A428" s="227">
        <f>TL[[#This Row],[Société]]&amp;" - "&amp;TL[[#This Row],[Compte]]</f>
        <v/>
      </c>
      <c r="B428" s="233" t="inlineStr">
        <is>
          <t>708880</t>
        </is>
      </c>
      <c r="C428" s="227" t="inlineStr">
        <is>
          <t>Refacturation loyer vehicule</t>
        </is>
      </c>
      <c r="D428" s="233" t="inlineStr">
        <is>
          <t>39</t>
        </is>
      </c>
      <c r="E428" s="233" t="inlineStr">
        <is>
          <t>40</t>
        </is>
      </c>
      <c r="F428" s="227" t="inlineStr">
        <is>
          <t>VR7</t>
        </is>
      </c>
    </row>
    <row r="429">
      <c r="A429" s="227">
        <f>TL[[#This Row],[Société]]&amp;" - "&amp;TL[[#This Row],[Compte]]</f>
        <v/>
      </c>
      <c r="B429" s="233" t="inlineStr">
        <is>
          <t>708881</t>
        </is>
      </c>
      <c r="C429" s="227" t="inlineStr">
        <is>
          <t>Refacturation assurance vehicule</t>
        </is>
      </c>
      <c r="D429" s="233" t="inlineStr">
        <is>
          <t>39</t>
        </is>
      </c>
      <c r="E429" s="233" t="inlineStr">
        <is>
          <t>36</t>
        </is>
      </c>
      <c r="F429" s="227" t="inlineStr">
        <is>
          <t>VR7</t>
        </is>
      </c>
    </row>
    <row r="430">
      <c r="A430" s="227">
        <f>TL[[#This Row],[Société]]&amp;" - "&amp;TL[[#This Row],[Compte]]</f>
        <v/>
      </c>
      <c r="B430" s="233" t="inlineStr">
        <is>
          <t>708890</t>
        </is>
      </c>
      <c r="C430" s="227" t="inlineStr">
        <is>
          <t>Refacturation publicite</t>
        </is>
      </c>
      <c r="D430" s="233" t="inlineStr">
        <is>
          <t>15</t>
        </is>
      </c>
      <c r="E430" s="233" t="inlineStr">
        <is>
          <t>22</t>
        </is>
      </c>
      <c r="F430" s="227" t="inlineStr">
        <is>
          <t>VR7</t>
        </is>
      </c>
    </row>
    <row r="431">
      <c r="A431" s="227">
        <f>TL[[#This Row],[Société]]&amp;" - "&amp;TL[[#This Row],[Compte]]</f>
        <v/>
      </c>
      <c r="B431" s="233" t="inlineStr">
        <is>
          <t>726100</t>
        </is>
      </c>
      <c r="C431" s="227" t="inlineStr">
        <is>
          <t>AN Nourriture Equipiers</t>
        </is>
      </c>
      <c r="D431" s="233" t="inlineStr">
        <is>
          <t>10</t>
        </is>
      </c>
      <c r="E431" s="233" t="inlineStr">
        <is>
          <t>08</t>
        </is>
      </c>
      <c r="F431" s="227" t="inlineStr">
        <is>
          <t>VR7</t>
        </is>
      </c>
    </row>
    <row r="432">
      <c r="A432" s="227">
        <f>TL[[#This Row],[Société]]&amp;" - "&amp;TL[[#This Row],[Compte]]</f>
        <v/>
      </c>
      <c r="B432" s="233" t="inlineStr">
        <is>
          <t>726110</t>
        </is>
      </c>
      <c r="C432" s="227" t="inlineStr">
        <is>
          <t>AN Nourriture Managers</t>
        </is>
      </c>
      <c r="D432" s="233" t="inlineStr">
        <is>
          <t>11</t>
        </is>
      </c>
      <c r="E432" s="233" t="inlineStr">
        <is>
          <t>10</t>
        </is>
      </c>
      <c r="F432" s="227" t="inlineStr">
        <is>
          <t>VR7</t>
        </is>
      </c>
    </row>
    <row r="433">
      <c r="A433" s="227">
        <f>TL[[#This Row],[Société]]&amp;" - "&amp;TL[[#This Row],[Compte]]</f>
        <v/>
      </c>
      <c r="B433" s="233" t="inlineStr">
        <is>
          <t>740000</t>
        </is>
      </c>
      <c r="C433" s="227" t="inlineStr">
        <is>
          <t>Subventions d'exploitation</t>
        </is>
      </c>
      <c r="D433" s="233" t="inlineStr">
        <is>
          <t>39</t>
        </is>
      </c>
      <c r="E433" s="233" t="inlineStr">
        <is>
          <t>45</t>
        </is>
      </c>
      <c r="F433" s="227" t="inlineStr">
        <is>
          <t>VR7</t>
        </is>
      </c>
    </row>
    <row r="434">
      <c r="A434" s="227">
        <f>TL[[#This Row],[Société]]&amp;" - "&amp;TL[[#This Row],[Compte]]</f>
        <v/>
      </c>
      <c r="B434" s="233" t="inlineStr">
        <is>
          <t>740001</t>
        </is>
      </c>
      <c r="C434" s="227" t="inlineStr">
        <is>
          <t>Fonds de solidarité</t>
        </is>
      </c>
      <c r="D434" s="233" t="inlineStr">
        <is>
          <t>39</t>
        </is>
      </c>
      <c r="E434" s="233" t="inlineStr">
        <is>
          <t>45</t>
        </is>
      </c>
      <c r="F434" s="227" t="inlineStr">
        <is>
          <t>VR7</t>
        </is>
      </c>
    </row>
    <row r="435">
      <c r="A435" s="227">
        <f>TL[[#This Row],[Société]]&amp;" - "&amp;TL[[#This Row],[Compte]]</f>
        <v/>
      </c>
      <c r="B435" s="233" t="inlineStr">
        <is>
          <t>740410</t>
        </is>
      </c>
      <c r="C435" s="227" t="inlineStr">
        <is>
          <t>aide fonds solidarite</t>
        </is>
      </c>
      <c r="D435" s="233" t="inlineStr">
        <is>
          <t>39</t>
        </is>
      </c>
      <c r="E435" s="233" t="inlineStr">
        <is>
          <t>45</t>
        </is>
      </c>
      <c r="F435" s="227" t="inlineStr">
        <is>
          <t>VR7</t>
        </is>
      </c>
    </row>
    <row r="436">
      <c r="A436" s="227">
        <f>TL[[#This Row],[Société]]&amp;" - "&amp;TL[[#This Row],[Compte]]</f>
        <v/>
      </c>
      <c r="B436" s="233" t="inlineStr">
        <is>
          <t>741000</t>
        </is>
      </c>
      <c r="C436" s="227" t="inlineStr">
        <is>
          <t>Subventions COVID</t>
        </is>
      </c>
      <c r="D436" s="233" t="inlineStr">
        <is>
          <t>39</t>
        </is>
      </c>
      <c r="E436" s="233" t="inlineStr">
        <is>
          <t>45</t>
        </is>
      </c>
      <c r="F436" s="227" t="inlineStr">
        <is>
          <t>VR7</t>
        </is>
      </c>
    </row>
    <row r="437">
      <c r="A437" s="227">
        <f>TL[[#This Row],[Société]]&amp;" - "&amp;TL[[#This Row],[Compte]]</f>
        <v/>
      </c>
      <c r="B437" s="233" t="inlineStr">
        <is>
          <t>758000</t>
        </is>
      </c>
      <c r="C437" s="227" t="inlineStr">
        <is>
          <t>Produits divers de gestion courante</t>
        </is>
      </c>
      <c r="D437" s="233" t="inlineStr">
        <is>
          <t>39</t>
        </is>
      </c>
      <c r="E437" s="233" t="inlineStr">
        <is>
          <t>27</t>
        </is>
      </c>
      <c r="F437" s="227" t="inlineStr">
        <is>
          <t>VR7</t>
        </is>
      </c>
    </row>
    <row r="438">
      <c r="A438" s="227">
        <f>TL[[#This Row],[Société]]&amp;" - "&amp;TL[[#This Row],[Compte]]</f>
        <v/>
      </c>
      <c r="B438" s="233" t="inlineStr">
        <is>
          <t>761100</t>
        </is>
      </c>
      <c r="C438" s="227" t="inlineStr">
        <is>
          <t>Intérêts compte courant RTH76</t>
        </is>
      </c>
      <c r="D438" s="233" t="inlineStr">
        <is>
          <t>38</t>
        </is>
      </c>
      <c r="E438" s="233" t="inlineStr">
        <is>
          <t>42</t>
        </is>
      </c>
      <c r="F438" s="227" t="inlineStr">
        <is>
          <t>VR7</t>
        </is>
      </c>
    </row>
    <row r="439">
      <c r="A439" s="227">
        <f>TL[[#This Row],[Société]]&amp;" - "&amp;TL[[#This Row],[Compte]]</f>
        <v/>
      </c>
      <c r="B439" s="233" t="inlineStr">
        <is>
          <t>767000</t>
        </is>
      </c>
      <c r="C439" s="227" t="inlineStr">
        <is>
          <t>Livret a</t>
        </is>
      </c>
      <c r="F439" s="227" t="inlineStr">
        <is>
          <t>VR7</t>
        </is>
      </c>
    </row>
    <row r="440">
      <c r="A440" s="227">
        <f>TL[[#This Row],[Société]]&amp;" - "&amp;TL[[#This Row],[Compte]]</f>
        <v/>
      </c>
      <c r="B440" s="233" t="inlineStr">
        <is>
          <t>768100</t>
        </is>
      </c>
      <c r="C440" s="227" t="inlineStr">
        <is>
          <t>Produits financiers cep</t>
        </is>
      </c>
      <c r="D440" s="233" t="inlineStr">
        <is>
          <t>38</t>
        </is>
      </c>
      <c r="E440" s="233" t="inlineStr">
        <is>
          <t>42</t>
        </is>
      </c>
      <c r="F440" s="227" t="inlineStr">
        <is>
          <t>VR7</t>
        </is>
      </c>
    </row>
    <row r="441">
      <c r="A441" s="227">
        <f>TL[[#This Row],[Société]]&amp;" - "&amp;TL[[#This Row],[Compte]]</f>
        <v/>
      </c>
      <c r="B441" s="233" t="inlineStr">
        <is>
          <t>771000</t>
        </is>
      </c>
      <c r="C441" s="227" t="inlineStr">
        <is>
          <t>produits exceptionnels</t>
        </is>
      </c>
      <c r="D441" s="233" t="inlineStr">
        <is>
          <t>39</t>
        </is>
      </c>
      <c r="E441" s="233" t="inlineStr">
        <is>
          <t>45</t>
        </is>
      </c>
      <c r="F441" s="227" t="inlineStr">
        <is>
          <t>VR7</t>
        </is>
      </c>
    </row>
    <row r="442">
      <c r="A442" s="227">
        <f>TL[[#This Row],[Société]]&amp;" - "&amp;TL[[#This Row],[Compte]]</f>
        <v/>
      </c>
      <c r="B442" s="233" t="inlineStr">
        <is>
          <t>771100</t>
        </is>
      </c>
      <c r="C442" s="227" t="inlineStr">
        <is>
          <t>Ecarts de caisse</t>
        </is>
      </c>
      <c r="D442" s="233" t="inlineStr">
        <is>
          <t>22</t>
        </is>
      </c>
      <c r="E442" s="233" t="inlineStr">
        <is>
          <t>27</t>
        </is>
      </c>
      <c r="F442" s="227" t="inlineStr">
        <is>
          <t>VR7</t>
        </is>
      </c>
    </row>
    <row r="443">
      <c r="A443" s="227">
        <f>TL[[#This Row],[Société]]&amp;" - "&amp;TL[[#This Row],[Compte]]</f>
        <v/>
      </c>
      <c r="B443" s="233" t="inlineStr">
        <is>
          <t>771300</t>
        </is>
      </c>
      <c r="C443" s="227" t="inlineStr">
        <is>
          <t>Ecarts de caisse</t>
        </is>
      </c>
      <c r="D443" s="233" t="inlineStr">
        <is>
          <t>38</t>
        </is>
      </c>
      <c r="E443" s="233" t="inlineStr">
        <is>
          <t>27</t>
        </is>
      </c>
      <c r="F443" s="227" t="inlineStr">
        <is>
          <t>VR7</t>
        </is>
      </c>
    </row>
    <row r="444">
      <c r="A444" s="227">
        <f>TL[[#This Row],[Société]]&amp;" - "&amp;TL[[#This Row],[Compte]]</f>
        <v/>
      </c>
      <c r="B444" s="233" t="inlineStr">
        <is>
          <t>771800</t>
        </is>
      </c>
      <c r="C444" s="227" t="inlineStr">
        <is>
          <t>Reclassement subv mcdo</t>
        </is>
      </c>
      <c r="F444" s="227" t="inlineStr">
        <is>
          <t>VR7</t>
        </is>
      </c>
    </row>
    <row r="445">
      <c r="A445" s="227">
        <f>TL[[#This Row],[Société]]&amp;" - "&amp;TL[[#This Row],[Compte]]</f>
        <v/>
      </c>
      <c r="B445" s="233" t="inlineStr">
        <is>
          <t>775200</t>
        </is>
      </c>
      <c r="C445" s="227" t="inlineStr">
        <is>
          <t>Prod cessions actifs - Immo corp</t>
        </is>
      </c>
      <c r="F445" s="227" t="inlineStr">
        <is>
          <t>VR7</t>
        </is>
      </c>
    </row>
    <row r="446">
      <c r="A446" s="227">
        <f>TL[[#This Row],[Société]]&amp;" - "&amp;TL[[#This Row],[Compte]]</f>
        <v/>
      </c>
      <c r="B446" s="233" t="inlineStr">
        <is>
          <t>781110</t>
        </is>
      </c>
      <c r="C446" s="227" t="inlineStr">
        <is>
          <t>Cree par cegid</t>
        </is>
      </c>
      <c r="F446" s="227" t="inlineStr">
        <is>
          <t>VR7</t>
        </is>
      </c>
    </row>
    <row r="447">
      <c r="A447" s="227">
        <f>TL[[#This Row],[Société]]&amp;" - "&amp;TL[[#This Row],[Compte]]</f>
        <v/>
      </c>
      <c r="B447" s="233" t="inlineStr">
        <is>
          <t>781120</t>
        </is>
      </c>
      <c r="C447" s="227" t="inlineStr">
        <is>
          <t>Cree par cegid</t>
        </is>
      </c>
      <c r="F447" s="227" t="inlineStr">
        <is>
          <t>VR7</t>
        </is>
      </c>
    </row>
    <row r="448">
      <c r="A448" s="227">
        <f>TL[[#This Row],[Société]]&amp;" - "&amp;TL[[#This Row],[Compte]]</f>
        <v/>
      </c>
      <c r="B448" s="233" t="inlineStr">
        <is>
          <t>781500</t>
        </is>
      </c>
      <c r="C448" s="227" t="inlineStr">
        <is>
          <t>Repr/prov.risq.charg.expl</t>
        </is>
      </c>
      <c r="D448" s="233" t="inlineStr">
        <is>
          <t>36</t>
        </is>
      </c>
      <c r="E448" s="233" t="inlineStr">
        <is>
          <t>38</t>
        </is>
      </c>
      <c r="F448" s="227" t="inlineStr">
        <is>
          <t>VR7</t>
        </is>
      </c>
    </row>
    <row r="449">
      <c r="A449" s="227">
        <f>TL[[#This Row],[Société]]&amp;" - "&amp;TL[[#This Row],[Compte]]</f>
        <v/>
      </c>
      <c r="B449" s="233" t="inlineStr">
        <is>
          <t>787250</t>
        </is>
      </c>
      <c r="C449" s="227" t="inlineStr">
        <is>
          <t>Cree par cegid</t>
        </is>
      </c>
      <c r="F449" s="227" t="inlineStr">
        <is>
          <t>VR7</t>
        </is>
      </c>
    </row>
    <row r="450">
      <c r="A450" s="227">
        <f>TL[[#This Row],[Société]]&amp;" - "&amp;TL[[#This Row],[Compte]]</f>
        <v/>
      </c>
      <c r="B450" s="233" t="inlineStr">
        <is>
          <t>791000</t>
        </is>
      </c>
      <c r="C450" s="227" t="inlineStr">
        <is>
          <t>Transfert de charges</t>
        </is>
      </c>
      <c r="D450" s="233" t="inlineStr">
        <is>
          <t>39</t>
        </is>
      </c>
      <c r="E450" s="233" t="inlineStr">
        <is>
          <t>40</t>
        </is>
      </c>
      <c r="F450" s="227" t="inlineStr">
        <is>
          <t>VR7</t>
        </is>
      </c>
    </row>
    <row r="451">
      <c r="A451" s="227">
        <f>TL[[#This Row],[Société]]&amp;" - "&amp;TL[[#This Row],[Compte]]</f>
        <v/>
      </c>
      <c r="B451" s="233" t="inlineStr">
        <is>
          <t>791010</t>
        </is>
      </c>
      <c r="C451" s="227" t="inlineStr">
        <is>
          <t>Remboursements formation</t>
        </is>
      </c>
      <c r="F451" s="227" t="inlineStr">
        <is>
          <t>VR7</t>
        </is>
      </c>
    </row>
    <row r="452">
      <c r="A452" s="227">
        <f>TL[[#This Row],[Société]]&amp;" - "&amp;TL[[#This Row],[Compte]]</f>
        <v/>
      </c>
      <c r="B452" s="233" t="inlineStr">
        <is>
          <t>791100</t>
        </is>
      </c>
      <c r="C452" s="227" t="inlineStr">
        <is>
          <t>An équipiers</t>
        </is>
      </c>
      <c r="D452" s="233" t="inlineStr">
        <is>
          <t>10</t>
        </is>
      </c>
      <c r="E452" s="233" t="inlineStr">
        <is>
          <t>08</t>
        </is>
      </c>
      <c r="F452" s="227" t="inlineStr">
        <is>
          <t>VR7</t>
        </is>
      </c>
    </row>
    <row r="453">
      <c r="A453" s="227">
        <f>TL[[#This Row],[Société]]&amp;" - "&amp;TL[[#This Row],[Compte]]</f>
        <v/>
      </c>
      <c r="B453" s="233" t="inlineStr">
        <is>
          <t>791104</t>
        </is>
      </c>
      <c r="C453" s="227" t="inlineStr">
        <is>
          <t>Av. en nature voiture</t>
        </is>
      </c>
      <c r="D453" s="233" t="inlineStr">
        <is>
          <t>11</t>
        </is>
      </c>
      <c r="E453" s="233" t="inlineStr">
        <is>
          <t>10</t>
        </is>
      </c>
      <c r="F453" s="227" t="inlineStr">
        <is>
          <t>VR7</t>
        </is>
      </c>
    </row>
    <row r="454">
      <c r="A454" s="227">
        <f>TL[[#This Row],[Société]]&amp;" - "&amp;TL[[#This Row],[Compte]]</f>
        <v/>
      </c>
      <c r="B454" s="233" t="inlineStr">
        <is>
          <t>791110</t>
        </is>
      </c>
      <c r="C454" s="227" t="inlineStr">
        <is>
          <t>An assistants</t>
        </is>
      </c>
      <c r="D454" s="233" t="inlineStr">
        <is>
          <t>11</t>
        </is>
      </c>
      <c r="E454" s="233" t="inlineStr">
        <is>
          <t>10</t>
        </is>
      </c>
      <c r="F454" s="227" t="inlineStr">
        <is>
          <t>VR7</t>
        </is>
      </c>
    </row>
    <row r="455">
      <c r="A455" s="227">
        <f>TL[[#This Row],[Société]]&amp;" - "&amp;TL[[#This Row],[Compte]]</f>
        <v/>
      </c>
      <c r="B455" s="233" t="inlineStr">
        <is>
          <t>791111</t>
        </is>
      </c>
      <c r="C455" s="227" t="inlineStr">
        <is>
          <t>An assistants voiture</t>
        </is>
      </c>
      <c r="D455" s="233" t="inlineStr">
        <is>
          <t>11</t>
        </is>
      </c>
      <c r="E455" s="233" t="inlineStr">
        <is>
          <t>10</t>
        </is>
      </c>
      <c r="F455" s="227" t="inlineStr">
        <is>
          <t>VR7</t>
        </is>
      </c>
    </row>
    <row r="456">
      <c r="A456" s="227">
        <f>TL[[#This Row],[Société]]&amp;" - "&amp;TL[[#This Row],[Compte]]</f>
        <v/>
      </c>
      <c r="B456" s="233" t="inlineStr">
        <is>
          <t>890000</t>
        </is>
      </c>
      <c r="C456" s="227" t="inlineStr">
        <is>
          <t>Compte de bilan</t>
        </is>
      </c>
      <c r="F456" s="227" t="inlineStr">
        <is>
          <t>VR7</t>
        </is>
      </c>
    </row>
    <row r="457">
      <c r="A457" s="227">
        <f>TL[[#This Row],[Société]]&amp;" - "&amp;TL[[#This Row],[Compte]]</f>
        <v/>
      </c>
      <c r="B457" s="233" t="inlineStr">
        <is>
          <t>10110000</t>
        </is>
      </c>
      <c r="C457" s="227" t="inlineStr">
        <is>
          <t>Capital souscrit-non appelÉ</t>
        </is>
      </c>
      <c r="F457" s="227" t="inlineStr">
        <is>
          <t>TH4</t>
        </is>
      </c>
    </row>
    <row r="458">
      <c r="A458" s="227">
        <f>TL[[#This Row],[Société]]&amp;" - "&amp;TL[[#This Row],[Compte]]</f>
        <v/>
      </c>
      <c r="B458" s="233" t="inlineStr">
        <is>
          <t>10130000</t>
        </is>
      </c>
      <c r="C458" s="227" t="inlineStr">
        <is>
          <t>Capital souscrit, appelé, versé</t>
        </is>
      </c>
      <c r="F458" s="227" t="inlineStr">
        <is>
          <t>TH4</t>
        </is>
      </c>
    </row>
    <row r="459">
      <c r="A459" s="227">
        <f>TL[[#This Row],[Société]]&amp;" - "&amp;TL[[#This Row],[Compte]]</f>
        <v/>
      </c>
      <c r="B459" s="233" t="inlineStr">
        <is>
          <t>10610000</t>
        </is>
      </c>
      <c r="C459" s="227" t="inlineStr">
        <is>
          <t>Réserve légale</t>
        </is>
      </c>
      <c r="F459" s="227" t="inlineStr">
        <is>
          <t>TH4</t>
        </is>
      </c>
    </row>
    <row r="460">
      <c r="A460" s="227">
        <f>TL[[#This Row],[Société]]&amp;" - "&amp;TL[[#This Row],[Compte]]</f>
        <v/>
      </c>
      <c r="B460" s="233" t="inlineStr">
        <is>
          <t>10630000</t>
        </is>
      </c>
      <c r="C460" s="227" t="inlineStr">
        <is>
          <t>RÉserves statutaires ou contract.</t>
        </is>
      </c>
      <c r="F460" s="227" t="inlineStr">
        <is>
          <t>TH4</t>
        </is>
      </c>
    </row>
    <row r="461">
      <c r="A461" s="227">
        <f>TL[[#This Row],[Société]]&amp;" - "&amp;TL[[#This Row],[Compte]]</f>
        <v/>
      </c>
      <c r="B461" s="233" t="inlineStr">
        <is>
          <t>10680000</t>
        </is>
      </c>
      <c r="C461" s="227" t="inlineStr">
        <is>
          <t>Autres réserves</t>
        </is>
      </c>
      <c r="F461" s="227" t="inlineStr">
        <is>
          <t>TH4</t>
        </is>
      </c>
    </row>
    <row r="462">
      <c r="A462" s="227">
        <f>TL[[#This Row],[Société]]&amp;" - "&amp;TL[[#This Row],[Compte]]</f>
        <v/>
      </c>
      <c r="B462" s="233" t="inlineStr">
        <is>
          <t>10681000</t>
        </is>
      </c>
      <c r="C462" s="227" t="inlineStr">
        <is>
          <t>Réserve spéciale oeuvre d'art</t>
        </is>
      </c>
      <c r="F462" s="227" t="inlineStr">
        <is>
          <t>TH4</t>
        </is>
      </c>
    </row>
    <row r="463">
      <c r="A463" s="227">
        <f>TL[[#This Row],[Société]]&amp;" - "&amp;TL[[#This Row],[Compte]]</f>
        <v/>
      </c>
      <c r="B463" s="233" t="inlineStr">
        <is>
          <t>11900000</t>
        </is>
      </c>
      <c r="C463" s="227" t="inlineStr">
        <is>
          <t>Report À nouveau (solde dÉbiteur)</t>
        </is>
      </c>
      <c r="F463" s="227" t="inlineStr">
        <is>
          <t>TH4</t>
        </is>
      </c>
    </row>
    <row r="464">
      <c r="A464" s="227">
        <f>TL[[#This Row],[Société]]&amp;" - "&amp;TL[[#This Row],[Compte]]</f>
        <v/>
      </c>
      <c r="B464" s="233" t="inlineStr">
        <is>
          <t>12000000</t>
        </is>
      </c>
      <c r="C464" s="227" t="inlineStr">
        <is>
          <t>BÉnÉfice</t>
        </is>
      </c>
      <c r="F464" s="227" t="inlineStr">
        <is>
          <t>TH4</t>
        </is>
      </c>
    </row>
    <row r="465">
      <c r="A465" s="227">
        <f>TL[[#This Row],[Société]]&amp;" - "&amp;TL[[#This Row],[Compte]]</f>
        <v/>
      </c>
      <c r="B465" s="233" t="inlineStr">
        <is>
          <t>12900000</t>
        </is>
      </c>
      <c r="C465" s="227" t="inlineStr">
        <is>
          <t>Perte</t>
        </is>
      </c>
      <c r="F465" s="227" t="inlineStr">
        <is>
          <t>TH4</t>
        </is>
      </c>
    </row>
    <row r="466">
      <c r="A466" s="227">
        <f>TL[[#This Row],[Société]]&amp;" - "&amp;TL[[#This Row],[Compte]]</f>
        <v/>
      </c>
      <c r="B466" s="233" t="inlineStr">
        <is>
          <t>14500000</t>
        </is>
      </c>
      <c r="C466" s="227" t="inlineStr">
        <is>
          <t>Amortissements dÉrogatoires</t>
        </is>
      </c>
      <c r="F466" s="227" t="inlineStr">
        <is>
          <t>TH4</t>
        </is>
      </c>
    </row>
    <row r="467">
      <c r="A467" s="227">
        <f>TL[[#This Row],[Société]]&amp;" - "&amp;TL[[#This Row],[Compte]]</f>
        <v/>
      </c>
      <c r="B467" s="233" t="inlineStr">
        <is>
          <t>15180000</t>
        </is>
      </c>
      <c r="C467" s="227" t="inlineStr">
        <is>
          <t>Autr.provis. pour risques</t>
        </is>
      </c>
      <c r="F467" s="227" t="inlineStr">
        <is>
          <t>TH4</t>
        </is>
      </c>
    </row>
    <row r="468">
      <c r="A468" s="227">
        <f>TL[[#This Row],[Société]]&amp;" - "&amp;TL[[#This Row],[Compte]]</f>
        <v/>
      </c>
      <c r="B468" s="233" t="inlineStr">
        <is>
          <t>15300000</t>
        </is>
      </c>
      <c r="C468" s="227" t="inlineStr">
        <is>
          <t>Provisions pensions &amp; obligat.simil</t>
        </is>
      </c>
      <c r="F468" s="227" t="inlineStr">
        <is>
          <t>TH4</t>
        </is>
      </c>
    </row>
    <row r="469">
      <c r="A469" s="227">
        <f>TL[[#This Row],[Société]]&amp;" - "&amp;TL[[#This Row],[Compte]]</f>
        <v/>
      </c>
      <c r="B469" s="233" t="inlineStr">
        <is>
          <t>15800000</t>
        </is>
      </c>
      <c r="C469" s="227" t="inlineStr">
        <is>
          <t>Autres provisions pour charges</t>
        </is>
      </c>
      <c r="F469" s="227" t="inlineStr">
        <is>
          <t>TH4</t>
        </is>
      </c>
    </row>
    <row r="470">
      <c r="A470" s="227">
        <f>TL[[#This Row],[Société]]&amp;" - "&amp;TL[[#This Row],[Compte]]</f>
        <v/>
      </c>
      <c r="B470" s="233" t="inlineStr">
        <is>
          <t>16410000</t>
        </is>
      </c>
      <c r="C470" s="227" t="inlineStr">
        <is>
          <t>Emprunt crca 450 k€ - remodel</t>
        </is>
      </c>
      <c r="F470" s="227" t="inlineStr">
        <is>
          <t>TH4</t>
        </is>
      </c>
    </row>
    <row r="471">
      <c r="A471" s="227">
        <f>TL[[#This Row],[Société]]&amp;" - "&amp;TL[[#This Row],[Compte]]</f>
        <v/>
      </c>
      <c r="B471" s="233" t="inlineStr">
        <is>
          <t>16420000</t>
        </is>
      </c>
      <c r="C471" s="227" t="inlineStr">
        <is>
          <t>Emprunt 150 k€ - cuisines</t>
        </is>
      </c>
      <c r="F471" s="227" t="inlineStr">
        <is>
          <t>TH4</t>
        </is>
      </c>
    </row>
    <row r="472">
      <c r="A472" s="227">
        <f>TL[[#This Row],[Société]]&amp;" - "&amp;TL[[#This Row],[Compte]]</f>
        <v/>
      </c>
      <c r="B472" s="233" t="inlineStr">
        <is>
          <t>16430000</t>
        </is>
      </c>
      <c r="C472" s="227" t="inlineStr">
        <is>
          <t>Emprunt 200k€ full restaurant</t>
        </is>
      </c>
      <c r="F472" s="227" t="inlineStr">
        <is>
          <t>TH4</t>
        </is>
      </c>
    </row>
    <row r="473">
      <c r="A473" s="227">
        <f>TL[[#This Row],[Société]]&amp;" - "&amp;TL[[#This Row],[Compte]]</f>
        <v/>
      </c>
      <c r="B473" s="233" t="inlineStr">
        <is>
          <t>16440000</t>
        </is>
      </c>
      <c r="C473" s="227" t="inlineStr">
        <is>
          <t>Emprunt 150 k€ full restaurant</t>
        </is>
      </c>
      <c r="F473" s="227" t="inlineStr">
        <is>
          <t>TH4</t>
        </is>
      </c>
    </row>
    <row r="474">
      <c r="A474" s="227">
        <f>TL[[#This Row],[Société]]&amp;" - "&amp;TL[[#This Row],[Compte]]</f>
        <v/>
      </c>
      <c r="B474" s="233" t="inlineStr">
        <is>
          <t>16450000</t>
        </is>
      </c>
      <c r="C474" s="227" t="inlineStr">
        <is>
          <t>Pret covid</t>
        </is>
      </c>
      <c r="F474" s="227" t="inlineStr">
        <is>
          <t>TH4</t>
        </is>
      </c>
    </row>
    <row r="475">
      <c r="A475" s="227">
        <f>TL[[#This Row],[Société]]&amp;" - "&amp;TL[[#This Row],[Compte]]</f>
        <v/>
      </c>
      <c r="B475" s="233" t="inlineStr">
        <is>
          <t>16880000</t>
        </is>
      </c>
      <c r="C475" s="227" t="inlineStr">
        <is>
          <t>Intérêts courus</t>
        </is>
      </c>
      <c r="F475" s="227" t="inlineStr">
        <is>
          <t>TH4</t>
        </is>
      </c>
    </row>
    <row r="476">
      <c r="A476" s="227">
        <f>TL[[#This Row],[Société]]&amp;" - "&amp;TL[[#This Row],[Compte]]</f>
        <v/>
      </c>
      <c r="B476" s="233" t="inlineStr">
        <is>
          <t>20110000</t>
        </is>
      </c>
      <c r="C476" s="227" t="inlineStr">
        <is>
          <t>Frais de constitution</t>
        </is>
      </c>
      <c r="F476" s="227" t="inlineStr">
        <is>
          <t>TH4</t>
        </is>
      </c>
    </row>
    <row r="477">
      <c r="A477" s="227">
        <f>TL[[#This Row],[Société]]&amp;" - "&amp;TL[[#This Row],[Compte]]</f>
        <v/>
      </c>
      <c r="B477" s="233" t="inlineStr">
        <is>
          <t>20500000</t>
        </is>
      </c>
      <c r="C477" s="227" t="inlineStr">
        <is>
          <t>Concessions et droits similaires</t>
        </is>
      </c>
      <c r="F477" s="227" t="inlineStr">
        <is>
          <t>TH4</t>
        </is>
      </c>
    </row>
    <row r="478">
      <c r="A478" s="227">
        <f>TL[[#This Row],[Société]]&amp;" - "&amp;TL[[#This Row],[Compte]]</f>
        <v/>
      </c>
      <c r="B478" s="233" t="inlineStr">
        <is>
          <t>21540000</t>
        </is>
      </c>
      <c r="C478" s="227" t="inlineStr">
        <is>
          <t>Matériel de cuisine</t>
        </is>
      </c>
      <c r="F478" s="227" t="inlineStr">
        <is>
          <t>TH4</t>
        </is>
      </c>
    </row>
    <row r="479">
      <c r="A479" s="227">
        <f>TL[[#This Row],[Société]]&amp;" - "&amp;TL[[#This Row],[Compte]]</f>
        <v/>
      </c>
      <c r="B479" s="233" t="inlineStr">
        <is>
          <t>21550000</t>
        </is>
      </c>
      <c r="C479" s="227" t="inlineStr">
        <is>
          <t>Outillage industriel</t>
        </is>
      </c>
      <c r="F479" s="227" t="inlineStr">
        <is>
          <t>TH4</t>
        </is>
      </c>
    </row>
    <row r="480">
      <c r="A480" s="227">
        <f>TL[[#This Row],[Société]]&amp;" - "&amp;TL[[#This Row],[Compte]]</f>
        <v/>
      </c>
      <c r="B480" s="233" t="inlineStr">
        <is>
          <t>21570000</t>
        </is>
      </c>
      <c r="C480" s="227" t="inlineStr">
        <is>
          <t>Agenct.aménagt.mat. &amp; outil. indust</t>
        </is>
      </c>
      <c r="F480" s="227" t="inlineStr">
        <is>
          <t>TH4</t>
        </is>
      </c>
    </row>
    <row r="481">
      <c r="A481" s="227">
        <f>TL[[#This Row],[Société]]&amp;" - "&amp;TL[[#This Row],[Compte]]</f>
        <v/>
      </c>
      <c r="B481" s="233" t="inlineStr">
        <is>
          <t>21810000</t>
        </is>
      </c>
      <c r="C481" s="227" t="inlineStr">
        <is>
          <t>Aai divers</t>
        </is>
      </c>
      <c r="F481" s="227" t="inlineStr">
        <is>
          <t>TH4</t>
        </is>
      </c>
    </row>
    <row r="482">
      <c r="A482" s="227">
        <f>TL[[#This Row],[Société]]&amp;" - "&amp;TL[[#This Row],[Compte]]</f>
        <v/>
      </c>
      <c r="B482" s="233" t="inlineStr">
        <is>
          <t>21830000</t>
        </is>
      </c>
      <c r="C482" s="227" t="inlineStr">
        <is>
          <t>Matériel de bureau et informatique</t>
        </is>
      </c>
      <c r="F482" s="227" t="inlineStr">
        <is>
          <t>TH4</t>
        </is>
      </c>
    </row>
    <row r="483">
      <c r="A483" s="227">
        <f>TL[[#This Row],[Société]]&amp;" - "&amp;TL[[#This Row],[Compte]]</f>
        <v/>
      </c>
      <c r="B483" s="233" t="inlineStr">
        <is>
          <t>21840000</t>
        </is>
      </c>
      <c r="C483" s="227" t="inlineStr">
        <is>
          <t>Mobilier de restaurant</t>
        </is>
      </c>
      <c r="F483" s="227" t="inlineStr">
        <is>
          <t>TH4</t>
        </is>
      </c>
    </row>
    <row r="484">
      <c r="A484" s="227">
        <f>TL[[#This Row],[Société]]&amp;" - "&amp;TL[[#This Row],[Compte]]</f>
        <v/>
      </c>
      <c r="B484" s="233" t="inlineStr">
        <is>
          <t>21860000</t>
        </is>
      </c>
      <c r="C484" s="227" t="inlineStr">
        <is>
          <t>Oeuvre d art</t>
        </is>
      </c>
      <c r="F484" s="227" t="inlineStr">
        <is>
          <t>TH4</t>
        </is>
      </c>
    </row>
    <row r="485">
      <c r="A485" s="227">
        <f>TL[[#This Row],[Société]]&amp;" - "&amp;TL[[#This Row],[Compte]]</f>
        <v/>
      </c>
      <c r="B485" s="233" t="inlineStr">
        <is>
          <t>26100000</t>
        </is>
      </c>
      <c r="C485" s="227" t="inlineStr">
        <is>
          <t>Titres de participation</t>
        </is>
      </c>
      <c r="F485" s="227" t="inlineStr">
        <is>
          <t>TH4</t>
        </is>
      </c>
    </row>
    <row r="486">
      <c r="A486" s="227">
        <f>TL[[#This Row],[Société]]&amp;" - "&amp;TL[[#This Row],[Compte]]</f>
        <v/>
      </c>
      <c r="B486" s="233" t="inlineStr">
        <is>
          <t>27110000</t>
        </is>
      </c>
      <c r="C486" s="227" t="inlineStr">
        <is>
          <t>Titres CRCA</t>
        </is>
      </c>
      <c r="F486" s="227" t="inlineStr">
        <is>
          <t>TH4</t>
        </is>
      </c>
    </row>
    <row r="487">
      <c r="A487" s="227">
        <f>TL[[#This Row],[Société]]&amp;" - "&amp;TL[[#This Row],[Compte]]</f>
        <v/>
      </c>
      <c r="B487" s="233" t="inlineStr">
        <is>
          <t>27500000</t>
        </is>
      </c>
      <c r="C487" s="227" t="inlineStr">
        <is>
          <t>Dépôts et cautionnements</t>
        </is>
      </c>
      <c r="F487" s="227" t="inlineStr">
        <is>
          <t>TH4</t>
        </is>
      </c>
    </row>
    <row r="488">
      <c r="A488" s="227">
        <f>TL[[#This Row],[Société]]&amp;" - "&amp;TL[[#This Row],[Compte]]</f>
        <v/>
      </c>
      <c r="B488" s="233" t="inlineStr">
        <is>
          <t>27510000</t>
        </is>
      </c>
      <c r="C488" s="227" t="inlineStr">
        <is>
          <t>Dépots de garantie</t>
        </is>
      </c>
      <c r="F488" s="227" t="inlineStr">
        <is>
          <t>TH4</t>
        </is>
      </c>
    </row>
    <row r="489">
      <c r="A489" s="227">
        <f>TL[[#This Row],[Société]]&amp;" - "&amp;TL[[#This Row],[Compte]]</f>
        <v/>
      </c>
      <c r="B489" s="233" t="inlineStr">
        <is>
          <t>27550000</t>
        </is>
      </c>
      <c r="C489" s="227" t="inlineStr">
        <is>
          <t>Cautionnements</t>
        </is>
      </c>
      <c r="F489" s="227" t="inlineStr">
        <is>
          <t>TH4</t>
        </is>
      </c>
    </row>
    <row r="490">
      <c r="A490" s="227">
        <f>TL[[#This Row],[Société]]&amp;" - "&amp;TL[[#This Row],[Compte]]</f>
        <v/>
      </c>
      <c r="B490" s="233" t="inlineStr">
        <is>
          <t>28011000</t>
        </is>
      </c>
      <c r="C490" s="227" t="inlineStr">
        <is>
          <t>Amort.frais d'établissem.</t>
        </is>
      </c>
      <c r="F490" s="227" t="inlineStr">
        <is>
          <t>TH4</t>
        </is>
      </c>
    </row>
    <row r="491">
      <c r="A491" s="227">
        <f>TL[[#This Row],[Société]]&amp;" - "&amp;TL[[#This Row],[Compte]]</f>
        <v/>
      </c>
      <c r="B491" s="233" t="inlineStr">
        <is>
          <t>28050000</t>
        </is>
      </c>
      <c r="C491" s="227" t="inlineStr">
        <is>
          <t>Amortis. concess. &amp; droits simil.</t>
        </is>
      </c>
      <c r="F491" s="227" t="inlineStr">
        <is>
          <t>TH4</t>
        </is>
      </c>
    </row>
    <row r="492">
      <c r="A492" s="227">
        <f>TL[[#This Row],[Société]]&amp;" - "&amp;TL[[#This Row],[Compte]]</f>
        <v/>
      </c>
      <c r="B492" s="233" t="inlineStr">
        <is>
          <t>28154000</t>
        </is>
      </c>
      <c r="C492" s="227" t="inlineStr">
        <is>
          <t>Amort.matériel de cuisine</t>
        </is>
      </c>
      <c r="F492" s="227" t="inlineStr">
        <is>
          <t>TH4</t>
        </is>
      </c>
    </row>
    <row r="493">
      <c r="A493" s="227">
        <f>TL[[#This Row],[Société]]&amp;" - "&amp;TL[[#This Row],[Compte]]</f>
        <v/>
      </c>
      <c r="B493" s="233" t="inlineStr">
        <is>
          <t>28155000</t>
        </is>
      </c>
      <c r="C493" s="227" t="inlineStr">
        <is>
          <t>Amort.outillag.industriel</t>
        </is>
      </c>
      <c r="F493" s="227" t="inlineStr">
        <is>
          <t>TH4</t>
        </is>
      </c>
    </row>
    <row r="494">
      <c r="A494" s="227">
        <f>TL[[#This Row],[Société]]&amp;" - "&amp;TL[[#This Row],[Compte]]</f>
        <v/>
      </c>
      <c r="B494" s="233" t="inlineStr">
        <is>
          <t>28157000</t>
        </is>
      </c>
      <c r="C494" s="227" t="inlineStr">
        <is>
          <t>Installations, matériel &amp; outillage</t>
        </is>
      </c>
      <c r="F494" s="227" t="inlineStr">
        <is>
          <t>TH4</t>
        </is>
      </c>
    </row>
    <row r="495">
      <c r="A495" s="227">
        <f>TL[[#This Row],[Société]]&amp;" - "&amp;TL[[#This Row],[Compte]]</f>
        <v/>
      </c>
      <c r="B495" s="233" t="inlineStr">
        <is>
          <t>28181000</t>
        </is>
      </c>
      <c r="C495" s="227" t="inlineStr">
        <is>
          <t>Amortis. instal. gales, agenct. div</t>
        </is>
      </c>
      <c r="F495" s="227" t="inlineStr">
        <is>
          <t>TH4</t>
        </is>
      </c>
    </row>
    <row r="496">
      <c r="A496" s="227">
        <f>TL[[#This Row],[Société]]&amp;" - "&amp;TL[[#This Row],[Compte]]</f>
        <v/>
      </c>
      <c r="B496" s="233" t="inlineStr">
        <is>
          <t>28183000</t>
        </is>
      </c>
      <c r="C496" s="227" t="inlineStr">
        <is>
          <t>Amortis. matér.bureau et informat.</t>
        </is>
      </c>
      <c r="F496" s="227" t="inlineStr">
        <is>
          <t>TH4</t>
        </is>
      </c>
    </row>
    <row r="497">
      <c r="A497" s="227">
        <f>TL[[#This Row],[Société]]&amp;" - "&amp;TL[[#This Row],[Compte]]</f>
        <v/>
      </c>
      <c r="B497" s="233" t="inlineStr">
        <is>
          <t>28184000</t>
        </is>
      </c>
      <c r="C497" s="227" t="inlineStr">
        <is>
          <t>Amortis. mobilier</t>
        </is>
      </c>
      <c r="F497" s="227" t="inlineStr">
        <is>
          <t>TH4</t>
        </is>
      </c>
    </row>
    <row r="498">
      <c r="A498" s="227">
        <f>TL[[#This Row],[Société]]&amp;" - "&amp;TL[[#This Row],[Compte]]</f>
        <v/>
      </c>
      <c r="B498" s="233" t="inlineStr">
        <is>
          <t>31000000</t>
        </is>
      </c>
      <c r="C498" s="227" t="inlineStr">
        <is>
          <t>Stocks nourriture</t>
        </is>
      </c>
      <c r="F498" s="227" t="inlineStr">
        <is>
          <t>TH4</t>
        </is>
      </c>
    </row>
    <row r="499">
      <c r="A499" s="227">
        <f>TL[[#This Row],[Société]]&amp;" - "&amp;TL[[#This Row],[Compte]]</f>
        <v/>
      </c>
      <c r="B499" s="233" t="inlineStr">
        <is>
          <t>32000000</t>
        </is>
      </c>
      <c r="C499" s="227" t="inlineStr">
        <is>
          <t>Stock emballage</t>
        </is>
      </c>
      <c r="F499" s="227" t="inlineStr">
        <is>
          <t>TH4</t>
        </is>
      </c>
    </row>
    <row r="500">
      <c r="A500" s="227">
        <f>TL[[#This Row],[Société]]&amp;" - "&amp;TL[[#This Row],[Compte]]</f>
        <v/>
      </c>
      <c r="B500" s="233" t="inlineStr">
        <is>
          <t>32100000</t>
        </is>
      </c>
      <c r="C500" s="227" t="inlineStr">
        <is>
          <t>Stocks pdts non alimentaires</t>
        </is>
      </c>
      <c r="F500" s="227" t="inlineStr">
        <is>
          <t>TH4</t>
        </is>
      </c>
    </row>
    <row r="501">
      <c r="A501" s="227">
        <f>TL[[#This Row],[Société]]&amp;" - "&amp;TL[[#This Row],[Compte]]</f>
        <v/>
      </c>
      <c r="B501" s="233" t="inlineStr">
        <is>
          <t>32200000</t>
        </is>
      </c>
      <c r="C501" s="227" t="inlineStr">
        <is>
          <t>Stock uniformes</t>
        </is>
      </c>
      <c r="F501" s="227" t="inlineStr">
        <is>
          <t>TH4</t>
        </is>
      </c>
    </row>
    <row r="502">
      <c r="A502" s="227">
        <f>TL[[#This Row],[Société]]&amp;" - "&amp;TL[[#This Row],[Compte]]</f>
        <v/>
      </c>
      <c r="B502" s="233" t="inlineStr">
        <is>
          <t>40100000</t>
        </is>
      </c>
      <c r="C502" s="227" t="inlineStr">
        <is>
          <t>Fournisseurs</t>
        </is>
      </c>
      <c r="F502" s="227" t="inlineStr">
        <is>
          <t>TH4</t>
        </is>
      </c>
    </row>
    <row r="503">
      <c r="A503" s="227">
        <f>TL[[#This Row],[Société]]&amp;" - "&amp;TL[[#This Row],[Compte]]</f>
        <v/>
      </c>
      <c r="B503" s="233" t="inlineStr">
        <is>
          <t>40410000</t>
        </is>
      </c>
      <c r="C503" s="227" t="inlineStr">
        <is>
          <t>Fournisseurs d'immobilis.</t>
        </is>
      </c>
      <c r="F503" s="227" t="inlineStr">
        <is>
          <t>TH4</t>
        </is>
      </c>
    </row>
    <row r="504">
      <c r="A504" s="227">
        <f>TL[[#This Row],[Société]]&amp;" - "&amp;TL[[#This Row],[Compte]]</f>
        <v/>
      </c>
      <c r="B504" s="233" t="inlineStr">
        <is>
          <t>40810000</t>
        </is>
      </c>
      <c r="C504" s="227" t="inlineStr">
        <is>
          <t>Fournisseurs - fact. non parvenues</t>
        </is>
      </c>
      <c r="F504" s="227" t="inlineStr">
        <is>
          <t>TH4</t>
        </is>
      </c>
    </row>
    <row r="505">
      <c r="A505" s="227">
        <f>TL[[#This Row],[Société]]&amp;" - "&amp;TL[[#This Row],[Compte]]</f>
        <v/>
      </c>
      <c r="B505" s="233" t="inlineStr">
        <is>
          <t>40840000</t>
        </is>
      </c>
      <c r="C505" s="227" t="inlineStr">
        <is>
          <t>Frs immobil. - fact. non parvenues</t>
        </is>
      </c>
      <c r="F505" s="227" t="inlineStr">
        <is>
          <t>TH4</t>
        </is>
      </c>
    </row>
    <row r="506">
      <c r="A506" s="227">
        <f>TL[[#This Row],[Société]]&amp;" - "&amp;TL[[#This Row],[Compte]]</f>
        <v/>
      </c>
      <c r="B506" s="233" t="inlineStr">
        <is>
          <t>40910000</t>
        </is>
      </c>
      <c r="C506" s="227" t="inlineStr">
        <is>
          <t>Frs avances et acomptes</t>
        </is>
      </c>
      <c r="F506" s="227" t="inlineStr">
        <is>
          <t>TH4</t>
        </is>
      </c>
    </row>
    <row r="507">
      <c r="A507" s="227">
        <f>TL[[#This Row],[Société]]&amp;" - "&amp;TL[[#This Row],[Compte]]</f>
        <v/>
      </c>
      <c r="B507" s="233" t="inlineStr">
        <is>
          <t>40960000</t>
        </is>
      </c>
      <c r="C507" s="227" t="inlineStr">
        <is>
          <t>Frs emb et mat à rendre</t>
        </is>
      </c>
      <c r="F507" s="227" t="inlineStr">
        <is>
          <t>TH4</t>
        </is>
      </c>
    </row>
    <row r="508">
      <c r="A508" s="227">
        <f>TL[[#This Row],[Société]]&amp;" - "&amp;TL[[#This Row],[Compte]]</f>
        <v/>
      </c>
      <c r="B508" s="233" t="inlineStr">
        <is>
          <t>40970000</t>
        </is>
      </c>
      <c r="C508" s="227" t="inlineStr">
        <is>
          <t>Fournisseurs - autres avoirs</t>
        </is>
      </c>
      <c r="F508" s="227" t="inlineStr">
        <is>
          <t>TH4</t>
        </is>
      </c>
    </row>
    <row r="509">
      <c r="A509" s="227">
        <f>TL[[#This Row],[Société]]&amp;" - "&amp;TL[[#This Row],[Compte]]</f>
        <v/>
      </c>
      <c r="B509" s="233" t="inlineStr">
        <is>
          <t>40980000</t>
        </is>
      </c>
      <c r="C509" s="227" t="inlineStr">
        <is>
          <t>Fournisseurs - rrr à obtenir</t>
        </is>
      </c>
      <c r="F509" s="227" t="inlineStr">
        <is>
          <t>TH4</t>
        </is>
      </c>
    </row>
    <row r="510">
      <c r="A510" s="227">
        <f>TL[[#This Row],[Société]]&amp;" - "&amp;TL[[#This Row],[Compte]]</f>
        <v/>
      </c>
      <c r="B510" s="233" t="inlineStr">
        <is>
          <t>41100000</t>
        </is>
      </c>
      <c r="C510" s="227" t="inlineStr">
        <is>
          <t>Clients</t>
        </is>
      </c>
      <c r="F510" s="227" t="inlineStr">
        <is>
          <t>TH4</t>
        </is>
      </c>
    </row>
    <row r="511">
      <c r="A511" s="227">
        <f>TL[[#This Row],[Société]]&amp;" - "&amp;TL[[#This Row],[Compte]]</f>
        <v/>
      </c>
      <c r="B511" s="233" t="inlineStr">
        <is>
          <t>41300000</t>
        </is>
      </c>
      <c r="C511" s="227" t="inlineStr">
        <is>
          <t>Clients - effet à recevoir</t>
        </is>
      </c>
      <c r="F511" s="227" t="inlineStr">
        <is>
          <t>TH4</t>
        </is>
      </c>
    </row>
    <row r="512">
      <c r="A512" s="227">
        <f>TL[[#This Row],[Société]]&amp;" - "&amp;TL[[#This Row],[Compte]]</f>
        <v/>
      </c>
      <c r="B512" s="233" t="inlineStr">
        <is>
          <t>41600000</t>
        </is>
      </c>
      <c r="C512" s="227" t="inlineStr">
        <is>
          <t>Clients douteux litigieux</t>
        </is>
      </c>
      <c r="F512" s="227" t="inlineStr">
        <is>
          <t>TH4</t>
        </is>
      </c>
    </row>
    <row r="513">
      <c r="A513" s="227">
        <f>TL[[#This Row],[Société]]&amp;" - "&amp;TL[[#This Row],[Compte]]</f>
        <v/>
      </c>
      <c r="B513" s="233" t="inlineStr">
        <is>
          <t>41810000</t>
        </is>
      </c>
      <c r="C513" s="227" t="inlineStr">
        <is>
          <t>Clients - factures à établir</t>
        </is>
      </c>
      <c r="F513" s="227" t="inlineStr">
        <is>
          <t>TH4</t>
        </is>
      </c>
    </row>
    <row r="514">
      <c r="A514" s="227">
        <f>TL[[#This Row],[Société]]&amp;" - "&amp;TL[[#This Row],[Compte]]</f>
        <v/>
      </c>
      <c r="B514" s="233" t="inlineStr">
        <is>
          <t>42100000</t>
        </is>
      </c>
      <c r="C514" s="227" t="inlineStr">
        <is>
          <t>Remuner.dues au personnel</t>
        </is>
      </c>
      <c r="F514" s="227" t="inlineStr">
        <is>
          <t>TH4</t>
        </is>
      </c>
    </row>
    <row r="515">
      <c r="A515" s="227">
        <f>TL[[#This Row],[Société]]&amp;" - "&amp;TL[[#This Row],[Compte]]</f>
        <v/>
      </c>
      <c r="B515" s="233" t="inlineStr">
        <is>
          <t>42101000</t>
        </is>
      </c>
      <c r="C515" s="227" t="inlineStr">
        <is>
          <t>Rem dues - stc exercices antérieurs</t>
        </is>
      </c>
      <c r="F515" s="227" t="inlineStr">
        <is>
          <t>TH4</t>
        </is>
      </c>
    </row>
    <row r="516">
      <c r="A516" s="227">
        <f>TL[[#This Row],[Société]]&amp;" - "&amp;TL[[#This Row],[Compte]]</f>
        <v/>
      </c>
      <c r="B516" s="233" t="inlineStr">
        <is>
          <t>42144400</t>
        </is>
      </c>
      <c r="C516" s="227" t="inlineStr">
        <is>
          <t>SalariÉs</t>
        </is>
      </c>
      <c r="F516" s="227" t="inlineStr">
        <is>
          <t>TH4</t>
        </is>
      </c>
    </row>
    <row r="517">
      <c r="A517" s="227">
        <f>TL[[#This Row],[Société]]&amp;" - "&amp;TL[[#This Row],[Compte]]</f>
        <v/>
      </c>
      <c r="B517" s="233" t="inlineStr">
        <is>
          <t>42500000</t>
        </is>
      </c>
      <c r="C517" s="227" t="inlineStr">
        <is>
          <t>Personnel avanc.et acptes</t>
        </is>
      </c>
      <c r="F517" s="227" t="inlineStr">
        <is>
          <t>TH4</t>
        </is>
      </c>
    </row>
    <row r="518">
      <c r="A518" s="227">
        <f>TL[[#This Row],[Société]]&amp;" - "&amp;TL[[#This Row],[Compte]]</f>
        <v/>
      </c>
      <c r="B518" s="233" t="inlineStr">
        <is>
          <t>42700000</t>
        </is>
      </c>
      <c r="C518" s="227" t="inlineStr">
        <is>
          <t>Personnel oppositions</t>
        </is>
      </c>
      <c r="F518" s="227" t="inlineStr">
        <is>
          <t>TH4</t>
        </is>
      </c>
    </row>
    <row r="519">
      <c r="A519" s="227">
        <f>TL[[#This Row],[Société]]&amp;" - "&amp;TL[[#This Row],[Compte]]</f>
        <v/>
      </c>
      <c r="B519" s="233" t="inlineStr">
        <is>
          <t>42820000</t>
        </is>
      </c>
      <c r="C519" s="227" t="inlineStr">
        <is>
          <t>Dettes provis. pr congés à payer</t>
        </is>
      </c>
      <c r="F519" s="227" t="inlineStr">
        <is>
          <t>TH4</t>
        </is>
      </c>
    </row>
    <row r="520">
      <c r="A520" s="227">
        <f>TL[[#This Row],[Société]]&amp;" - "&amp;TL[[#This Row],[Compte]]</f>
        <v/>
      </c>
      <c r="B520" s="233" t="inlineStr">
        <is>
          <t>42830000</t>
        </is>
      </c>
      <c r="C520" s="227" t="inlineStr">
        <is>
          <t>Dettes provision primes</t>
        </is>
      </c>
      <c r="F520" s="227" t="inlineStr">
        <is>
          <t>TH4</t>
        </is>
      </c>
    </row>
    <row r="521">
      <c r="A521" s="227">
        <f>TL[[#This Row],[Société]]&amp;" - "&amp;TL[[#This Row],[Compte]]</f>
        <v/>
      </c>
      <c r="B521" s="233" t="inlineStr">
        <is>
          <t>43100000</t>
        </is>
      </c>
      <c r="C521" s="227" t="inlineStr">
        <is>
          <t>Urssaf</t>
        </is>
      </c>
      <c r="F521" s="227" t="inlineStr">
        <is>
          <t>TH4</t>
        </is>
      </c>
    </row>
    <row r="522">
      <c r="A522" s="227">
        <f>TL[[#This Row],[Société]]&amp;" - "&amp;TL[[#This Row],[Compte]]</f>
        <v/>
      </c>
      <c r="B522" s="233" t="inlineStr">
        <is>
          <t>43700000</t>
        </is>
      </c>
      <c r="C522" s="227" t="inlineStr">
        <is>
          <t>Rsi</t>
        </is>
      </c>
      <c r="F522" s="227" t="inlineStr">
        <is>
          <t>TH4</t>
        </is>
      </c>
    </row>
    <row r="523">
      <c r="A523" s="227">
        <f>TL[[#This Row],[Société]]&amp;" - "&amp;TL[[#This Row],[Compte]]</f>
        <v/>
      </c>
      <c r="B523" s="233" t="inlineStr">
        <is>
          <t>43701000</t>
        </is>
      </c>
      <c r="C523" s="227" t="inlineStr">
        <is>
          <t>Indemnisation activité partielle</t>
        </is>
      </c>
      <c r="F523" s="227" t="inlineStr">
        <is>
          <t>TH4</t>
        </is>
      </c>
    </row>
    <row r="524">
      <c r="A524" s="227">
        <f>TL[[#This Row],[Société]]&amp;" - "&amp;TL[[#This Row],[Compte]]</f>
        <v/>
      </c>
      <c r="B524" s="233" t="inlineStr">
        <is>
          <t>43701500</t>
        </is>
      </c>
      <c r="C524" s="227" t="inlineStr">
        <is>
          <t>A3m cotisations</t>
        </is>
      </c>
      <c r="F524" s="227" t="inlineStr">
        <is>
          <t>TH4</t>
        </is>
      </c>
    </row>
    <row r="525">
      <c r="A525" s="227">
        <f>TL[[#This Row],[Société]]&amp;" - "&amp;TL[[#This Row],[Compte]]</f>
        <v/>
      </c>
      <c r="B525" s="233" t="inlineStr">
        <is>
          <t>43702000</t>
        </is>
      </c>
      <c r="C525" s="227" t="inlineStr">
        <is>
          <t>Klesia - retraite et prévoyance</t>
        </is>
      </c>
      <c r="F525" s="227" t="inlineStr">
        <is>
          <t>TH4</t>
        </is>
      </c>
    </row>
    <row r="526">
      <c r="A526" s="227">
        <f>TL[[#This Row],[Société]]&amp;" - "&amp;TL[[#This Row],[Compte]]</f>
        <v/>
      </c>
      <c r="B526" s="233" t="inlineStr">
        <is>
          <t>43702500</t>
        </is>
      </c>
      <c r="C526" s="227" t="inlineStr">
        <is>
          <t>Prédica - mutuelle</t>
        </is>
      </c>
      <c r="F526" s="227" t="inlineStr">
        <is>
          <t>TH4</t>
        </is>
      </c>
    </row>
    <row r="527">
      <c r="A527" s="227">
        <f>TL[[#This Row],[Société]]&amp;" - "&amp;TL[[#This Row],[Compte]]</f>
        <v/>
      </c>
      <c r="B527" s="233" t="inlineStr">
        <is>
          <t>43702600</t>
        </is>
      </c>
      <c r="C527" s="227" t="inlineStr">
        <is>
          <t>La Mondiale - prévoyance</t>
        </is>
      </c>
      <c r="F527" s="227" t="inlineStr">
        <is>
          <t>TH4</t>
        </is>
      </c>
    </row>
    <row r="528">
      <c r="A528" s="227">
        <f>TL[[#This Row],[Société]]&amp;" - "&amp;TL[[#This Row],[Compte]]</f>
        <v/>
      </c>
      <c r="B528" s="233" t="inlineStr">
        <is>
          <t>43702700</t>
        </is>
      </c>
      <c r="C528" s="227" t="inlineStr">
        <is>
          <t>Agirc</t>
        </is>
      </c>
      <c r="F528" s="227" t="inlineStr">
        <is>
          <t>TH4</t>
        </is>
      </c>
    </row>
    <row r="529">
      <c r="A529" s="227">
        <f>TL[[#This Row],[Société]]&amp;" - "&amp;TL[[#This Row],[Compte]]</f>
        <v/>
      </c>
      <c r="B529" s="233" t="inlineStr">
        <is>
          <t>43703000</t>
        </is>
      </c>
      <c r="C529" s="227" t="inlineStr">
        <is>
          <t>Pole emploi</t>
        </is>
      </c>
      <c r="F529" s="227" t="inlineStr">
        <is>
          <t>TH4</t>
        </is>
      </c>
    </row>
    <row r="530">
      <c r="A530" s="227">
        <f>TL[[#This Row],[Société]]&amp;" - "&amp;TL[[#This Row],[Compte]]</f>
        <v/>
      </c>
      <c r="B530" s="233" t="inlineStr">
        <is>
          <t>43704000</t>
        </is>
      </c>
      <c r="C530" s="227" t="inlineStr">
        <is>
          <t>Mutuelle gfp - NPU</t>
        </is>
      </c>
      <c r="F530" s="227" t="inlineStr">
        <is>
          <t>TH4</t>
        </is>
      </c>
    </row>
    <row r="531">
      <c r="A531" s="227">
        <f>TL[[#This Row],[Société]]&amp;" - "&amp;TL[[#This Row],[Compte]]</f>
        <v/>
      </c>
      <c r="B531" s="233" t="inlineStr">
        <is>
          <t>43705000</t>
        </is>
      </c>
      <c r="C531" s="227" t="inlineStr">
        <is>
          <t>Predica</t>
        </is>
      </c>
      <c r="F531" s="227" t="inlineStr">
        <is>
          <t>TH4</t>
        </is>
      </c>
    </row>
    <row r="532">
      <c r="A532" s="227">
        <f>TL[[#This Row],[Société]]&amp;" - "&amp;TL[[#This Row],[Compte]]</f>
        <v/>
      </c>
      <c r="B532" s="233" t="inlineStr">
        <is>
          <t>43706000</t>
        </is>
      </c>
      <c r="C532" s="227" t="inlineStr">
        <is>
          <t>Impot prelvt source</t>
        </is>
      </c>
      <c r="F532" s="227" t="inlineStr">
        <is>
          <t>TH4</t>
        </is>
      </c>
    </row>
    <row r="533">
      <c r="A533" s="227">
        <f>TL[[#This Row],[Société]]&amp;" - "&amp;TL[[#This Row],[Compte]]</f>
        <v/>
      </c>
      <c r="B533" s="233" t="inlineStr">
        <is>
          <t>43708000</t>
        </is>
      </c>
      <c r="C533" s="227" t="inlineStr">
        <is>
          <t>Paritarisme</t>
        </is>
      </c>
      <c r="F533" s="227" t="inlineStr">
        <is>
          <t>TH4</t>
        </is>
      </c>
    </row>
    <row r="534">
      <c r="A534" s="227">
        <f>TL[[#This Row],[Société]]&amp;" - "&amp;TL[[#This Row],[Compte]]</f>
        <v/>
      </c>
      <c r="B534" s="233" t="inlineStr">
        <is>
          <t>43800000</t>
        </is>
      </c>
      <c r="C534" s="227" t="inlineStr">
        <is>
          <t>Taxe apprentissage vert lib.</t>
        </is>
      </c>
      <c r="F534" s="227" t="inlineStr">
        <is>
          <t>TH4</t>
        </is>
      </c>
    </row>
    <row r="535">
      <c r="A535" s="227">
        <f>TL[[#This Row],[Société]]&amp;" - "&amp;TL[[#This Row],[Compte]]</f>
        <v/>
      </c>
      <c r="B535" s="233" t="inlineStr">
        <is>
          <t>43820000</t>
        </is>
      </c>
      <c r="C535" s="227" t="inlineStr">
        <is>
          <t>Charges sociales s/congés à payer</t>
        </is>
      </c>
      <c r="F535" s="227" t="inlineStr">
        <is>
          <t>TH4</t>
        </is>
      </c>
    </row>
    <row r="536">
      <c r="A536" s="227">
        <f>TL[[#This Row],[Société]]&amp;" - "&amp;TL[[#This Row],[Compte]]</f>
        <v/>
      </c>
      <c r="B536" s="233" t="inlineStr">
        <is>
          <t>43860000</t>
        </is>
      </c>
      <c r="C536" s="227" t="inlineStr">
        <is>
          <t>Charges sociales - charges à payer</t>
        </is>
      </c>
      <c r="F536" s="227" t="inlineStr">
        <is>
          <t>TH4</t>
        </is>
      </c>
    </row>
    <row r="537">
      <c r="A537" s="227">
        <f>TL[[#This Row],[Société]]&amp;" - "&amp;TL[[#This Row],[Compte]]</f>
        <v/>
      </c>
      <c r="B537" s="233" t="inlineStr">
        <is>
          <t>44200000</t>
        </is>
      </c>
      <c r="C537" s="227" t="inlineStr">
        <is>
          <t>Etat - impôts et taxes recouv tiers</t>
        </is>
      </c>
      <c r="F537" s="227" t="inlineStr">
        <is>
          <t>TH4</t>
        </is>
      </c>
    </row>
    <row r="538">
      <c r="A538" s="227">
        <f>TL[[#This Row],[Société]]&amp;" - "&amp;TL[[#This Row],[Compte]]</f>
        <v/>
      </c>
      <c r="B538" s="233" t="inlineStr">
        <is>
          <t>44210000</t>
        </is>
      </c>
      <c r="C538" s="227" t="inlineStr">
        <is>
          <t>Prel lib sociaux</t>
        </is>
      </c>
      <c r="F538" s="227" t="inlineStr">
        <is>
          <t>TH4</t>
        </is>
      </c>
    </row>
    <row r="539">
      <c r="A539" s="227">
        <f>TL[[#This Row],[Société]]&amp;" - "&amp;TL[[#This Row],[Compte]]</f>
        <v/>
      </c>
      <c r="B539" s="233" t="inlineStr">
        <is>
          <t>44300000</t>
        </is>
      </c>
      <c r="C539" s="227" t="inlineStr">
        <is>
          <t>Indemnités activité partielle</t>
        </is>
      </c>
      <c r="F539" s="227" t="inlineStr">
        <is>
          <t>TH4</t>
        </is>
      </c>
    </row>
    <row r="540">
      <c r="A540" s="227">
        <f>TL[[#This Row],[Société]]&amp;" - "&amp;TL[[#This Row],[Compte]]</f>
        <v/>
      </c>
      <c r="B540" s="233" t="inlineStr">
        <is>
          <t>44400000</t>
        </is>
      </c>
      <c r="C540" s="227" t="inlineStr">
        <is>
          <t>Etat - impôts sur les bénéfices</t>
        </is>
      </c>
      <c r="F540" s="227" t="inlineStr">
        <is>
          <t>TH4</t>
        </is>
      </c>
    </row>
    <row r="541">
      <c r="A541" s="227">
        <f>TL[[#This Row],[Société]]&amp;" - "&amp;TL[[#This Row],[Compte]]</f>
        <v/>
      </c>
      <c r="B541" s="233" t="inlineStr">
        <is>
          <t>44520000</t>
        </is>
      </c>
      <c r="C541" s="227" t="inlineStr">
        <is>
          <t>Tva due intracommunautaire</t>
        </is>
      </c>
      <c r="F541" s="227" t="inlineStr">
        <is>
          <t>TH4</t>
        </is>
      </c>
    </row>
    <row r="542">
      <c r="A542" s="227">
        <f>TL[[#This Row],[Société]]&amp;" - "&amp;TL[[#This Row],[Compte]]</f>
        <v/>
      </c>
      <c r="B542" s="233" t="inlineStr">
        <is>
          <t>44551000</t>
        </is>
      </c>
      <c r="C542" s="227" t="inlineStr">
        <is>
          <t>Tva à décaisser</t>
        </is>
      </c>
      <c r="F542" s="227" t="inlineStr">
        <is>
          <t>TH4</t>
        </is>
      </c>
    </row>
    <row r="543">
      <c r="A543" s="227">
        <f>TL[[#This Row],[Société]]&amp;" - "&amp;TL[[#This Row],[Compte]]</f>
        <v/>
      </c>
      <c r="B543" s="233" t="inlineStr">
        <is>
          <t>44562000</t>
        </is>
      </c>
      <c r="C543" s="227" t="inlineStr">
        <is>
          <t>Tva/immo déductible débits</t>
        </is>
      </c>
      <c r="F543" s="227" t="inlineStr">
        <is>
          <t>TH4</t>
        </is>
      </c>
    </row>
    <row r="544">
      <c r="A544" s="227">
        <f>TL[[#This Row],[Société]]&amp;" - "&amp;TL[[#This Row],[Compte]]</f>
        <v/>
      </c>
      <c r="B544" s="233" t="inlineStr">
        <is>
          <t>44562100</t>
        </is>
      </c>
      <c r="C544" s="227" t="inlineStr">
        <is>
          <t>Tva/immo déductible encaissemts</t>
        </is>
      </c>
      <c r="F544" s="227" t="inlineStr">
        <is>
          <t>TH4</t>
        </is>
      </c>
    </row>
    <row r="545">
      <c r="A545" s="227">
        <f>TL[[#This Row],[Société]]&amp;" - "&amp;TL[[#This Row],[Compte]]</f>
        <v/>
      </c>
      <c r="B545" s="233" t="inlineStr">
        <is>
          <t>44566000</t>
        </is>
      </c>
      <c r="C545" s="227" t="inlineStr">
        <is>
          <t>Tva sur autrs biens et services déd</t>
        </is>
      </c>
      <c r="F545" s="227" t="inlineStr">
        <is>
          <t>TH4</t>
        </is>
      </c>
    </row>
    <row r="546">
      <c r="A546" s="227">
        <f>TL[[#This Row],[Société]]&amp;" - "&amp;TL[[#This Row],[Compte]]</f>
        <v/>
      </c>
      <c r="B546" s="233" t="inlineStr">
        <is>
          <t>44566100</t>
        </is>
      </c>
      <c r="C546" s="227" t="inlineStr">
        <is>
          <t>Tva/prest.services</t>
        </is>
      </c>
      <c r="F546" s="227" t="inlineStr">
        <is>
          <t>TH4</t>
        </is>
      </c>
    </row>
    <row r="547">
      <c r="A547" s="227">
        <f>TL[[#This Row],[Société]]&amp;" - "&amp;TL[[#This Row],[Compte]]</f>
        <v/>
      </c>
      <c r="B547" s="233" t="inlineStr">
        <is>
          <t>44566200</t>
        </is>
      </c>
      <c r="C547" s="227" t="inlineStr">
        <is>
          <t>Tva ded sur intracommunautaire</t>
        </is>
      </c>
      <c r="F547" s="227" t="inlineStr">
        <is>
          <t>TH4</t>
        </is>
      </c>
    </row>
    <row r="548">
      <c r="A548" s="227">
        <f>TL[[#This Row],[Société]]&amp;" - "&amp;TL[[#This Row],[Compte]]</f>
        <v/>
      </c>
      <c r="B548" s="233" t="inlineStr">
        <is>
          <t>44567000</t>
        </is>
      </c>
      <c r="C548" s="227" t="inlineStr">
        <is>
          <t>Crédit de tva a reporter</t>
        </is>
      </c>
      <c r="F548" s="227" t="inlineStr">
        <is>
          <t>TH4</t>
        </is>
      </c>
    </row>
    <row r="549">
      <c r="A549" s="227">
        <f>TL[[#This Row],[Société]]&amp;" - "&amp;TL[[#This Row],[Compte]]</f>
        <v/>
      </c>
      <c r="B549" s="233" t="inlineStr">
        <is>
          <t>44571000</t>
        </is>
      </c>
      <c r="C549" s="227" t="inlineStr">
        <is>
          <t>Tva collectée à 5.5 %</t>
        </is>
      </c>
      <c r="F549" s="227" t="inlineStr">
        <is>
          <t>TH4</t>
        </is>
      </c>
    </row>
    <row r="550">
      <c r="A550" s="227">
        <f>TL[[#This Row],[Société]]&amp;" - "&amp;TL[[#This Row],[Compte]]</f>
        <v/>
      </c>
      <c r="B550" s="233" t="inlineStr">
        <is>
          <t>44571100</t>
        </is>
      </c>
      <c r="C550" s="227" t="inlineStr">
        <is>
          <t>Tva collectée à 7%</t>
        </is>
      </c>
      <c r="F550" s="227" t="inlineStr">
        <is>
          <t>TH4</t>
        </is>
      </c>
    </row>
    <row r="551">
      <c r="A551" s="227">
        <f>TL[[#This Row],[Société]]&amp;" - "&amp;TL[[#This Row],[Compte]]</f>
        <v/>
      </c>
      <c r="B551" s="233" t="inlineStr">
        <is>
          <t>44571300</t>
        </is>
      </c>
      <c r="C551" s="227" t="inlineStr">
        <is>
          <t>Tva intracommunautaire</t>
        </is>
      </c>
      <c r="F551" s="227" t="inlineStr">
        <is>
          <t>TH4</t>
        </is>
      </c>
    </row>
    <row r="552">
      <c r="A552" s="227">
        <f>TL[[#This Row],[Société]]&amp;" - "&amp;TL[[#This Row],[Compte]]</f>
        <v/>
      </c>
      <c r="B552" s="233" t="inlineStr">
        <is>
          <t>44571400</t>
        </is>
      </c>
      <c r="C552" s="227" t="inlineStr">
        <is>
          <t>Tva collectée à 19.6%</t>
        </is>
      </c>
      <c r="F552" s="227" t="inlineStr">
        <is>
          <t>TH4</t>
        </is>
      </c>
    </row>
    <row r="553">
      <c r="A553" s="227">
        <f>TL[[#This Row],[Société]]&amp;" - "&amp;TL[[#This Row],[Compte]]</f>
        <v/>
      </c>
      <c r="B553" s="233" t="inlineStr">
        <is>
          <t>44571500</t>
        </is>
      </c>
      <c r="C553" s="227" t="inlineStr">
        <is>
          <t>Tva lr service 19.6 %</t>
        </is>
      </c>
      <c r="F553" s="227" t="inlineStr">
        <is>
          <t>TH4</t>
        </is>
      </c>
    </row>
    <row r="554">
      <c r="A554" s="227">
        <f>TL[[#This Row],[Société]]&amp;" - "&amp;TL[[#This Row],[Compte]]</f>
        <v/>
      </c>
      <c r="B554" s="233" t="inlineStr">
        <is>
          <t>44571600</t>
        </is>
      </c>
      <c r="C554" s="227" t="inlineStr">
        <is>
          <t>Tva collectée à 10 %</t>
        </is>
      </c>
      <c r="F554" s="227" t="inlineStr">
        <is>
          <t>TH4</t>
        </is>
      </c>
    </row>
    <row r="555">
      <c r="A555" s="227">
        <f>TL[[#This Row],[Société]]&amp;" - "&amp;TL[[#This Row],[Compte]]</f>
        <v/>
      </c>
      <c r="B555" s="233" t="inlineStr">
        <is>
          <t>44571700</t>
        </is>
      </c>
      <c r="C555" s="227" t="inlineStr">
        <is>
          <t>Tva lr service 20 %</t>
        </is>
      </c>
      <c r="F555" s="227" t="inlineStr">
        <is>
          <t>TH4</t>
        </is>
      </c>
    </row>
    <row r="556">
      <c r="A556" s="227">
        <f>TL[[#This Row],[Société]]&amp;" - "&amp;TL[[#This Row],[Compte]]</f>
        <v/>
      </c>
      <c r="B556" s="233" t="inlineStr">
        <is>
          <t>44572000</t>
        </is>
      </c>
      <c r="C556" s="227" t="inlineStr">
        <is>
          <t>Tva collectée à 20 %</t>
        </is>
      </c>
      <c r="F556" s="227" t="inlineStr">
        <is>
          <t>TH4</t>
        </is>
      </c>
    </row>
    <row r="557">
      <c r="A557" s="227">
        <f>TL[[#This Row],[Société]]&amp;" - "&amp;TL[[#This Row],[Compte]]</f>
        <v/>
      </c>
      <c r="B557" s="233" t="inlineStr">
        <is>
          <t>44580000</t>
        </is>
      </c>
      <c r="C557" s="227" t="inlineStr">
        <is>
          <t>Regularisation de tva</t>
        </is>
      </c>
      <c r="F557" s="227" t="inlineStr">
        <is>
          <t>TH4</t>
        </is>
      </c>
    </row>
    <row r="558">
      <c r="A558" s="227">
        <f>TL[[#This Row],[Société]]&amp;" - "&amp;TL[[#This Row],[Compte]]</f>
        <v/>
      </c>
      <c r="B558" s="233" t="inlineStr">
        <is>
          <t>44583000</t>
        </is>
      </c>
      <c r="C558" s="227" t="inlineStr">
        <is>
          <t>Remboursement de tva demandé</t>
        </is>
      </c>
      <c r="F558" s="227" t="inlineStr">
        <is>
          <t>TH4</t>
        </is>
      </c>
    </row>
    <row r="559">
      <c r="A559" s="227">
        <f>TL[[#This Row],[Société]]&amp;" - "&amp;TL[[#This Row],[Compte]]</f>
        <v/>
      </c>
      <c r="B559" s="233" t="inlineStr">
        <is>
          <t>44586000</t>
        </is>
      </c>
      <c r="C559" s="227" t="inlineStr">
        <is>
          <t>Tca/fact. non parvenues</t>
        </is>
      </c>
      <c r="F559" s="227" t="inlineStr">
        <is>
          <t>TH4</t>
        </is>
      </c>
    </row>
    <row r="560">
      <c r="A560" s="227">
        <f>TL[[#This Row],[Société]]&amp;" - "&amp;TL[[#This Row],[Compte]]</f>
        <v/>
      </c>
      <c r="B560" s="233" t="inlineStr">
        <is>
          <t>44586100</t>
        </is>
      </c>
      <c r="C560" s="227" t="inlineStr">
        <is>
          <t>Tva s/avoirs a recevoir</t>
        </is>
      </c>
      <c r="F560" s="227" t="inlineStr">
        <is>
          <t>TH4</t>
        </is>
      </c>
    </row>
    <row r="561">
      <c r="A561" s="227">
        <f>TL[[#This Row],[Société]]&amp;" - "&amp;TL[[#This Row],[Compte]]</f>
        <v/>
      </c>
      <c r="B561" s="233" t="inlineStr">
        <is>
          <t>44587000</t>
        </is>
      </c>
      <c r="C561" s="227" t="inlineStr">
        <is>
          <t>Tva sur factures à établir</t>
        </is>
      </c>
      <c r="F561" s="227" t="inlineStr">
        <is>
          <t>TH4</t>
        </is>
      </c>
    </row>
    <row r="562">
      <c r="A562" s="227">
        <f>TL[[#This Row],[Société]]&amp;" - "&amp;TL[[#This Row],[Compte]]</f>
        <v/>
      </c>
      <c r="B562" s="233" t="inlineStr">
        <is>
          <t>44860000</t>
        </is>
      </c>
      <c r="C562" s="227" t="inlineStr">
        <is>
          <t>Etat - autres charges à payer</t>
        </is>
      </c>
      <c r="F562" s="227" t="inlineStr">
        <is>
          <t>TH4</t>
        </is>
      </c>
    </row>
    <row r="563">
      <c r="A563" s="227">
        <f>TL[[#This Row],[Société]]&amp;" - "&amp;TL[[#This Row],[Compte]]</f>
        <v/>
      </c>
      <c r="B563" s="233" t="inlineStr">
        <is>
          <t>44870000</t>
        </is>
      </c>
      <c r="C563" s="227" t="inlineStr">
        <is>
          <t>Etat - produits à recevoir</t>
        </is>
      </c>
      <c r="F563" s="227" t="inlineStr">
        <is>
          <t>TH4</t>
        </is>
      </c>
    </row>
    <row r="564">
      <c r="A564" s="227">
        <f>TL[[#This Row],[Société]]&amp;" - "&amp;TL[[#This Row],[Compte]]</f>
        <v/>
      </c>
      <c r="B564" s="233" t="inlineStr">
        <is>
          <t>45500000</t>
        </is>
      </c>
      <c r="C564" s="227" t="inlineStr">
        <is>
          <t>Cc regis rego</t>
        </is>
      </c>
      <c r="F564" s="227" t="inlineStr">
        <is>
          <t>TH4</t>
        </is>
      </c>
    </row>
    <row r="565">
      <c r="A565" s="227">
        <f>TL[[#This Row],[Société]]&amp;" - "&amp;TL[[#This Row],[Compte]]</f>
        <v/>
      </c>
      <c r="B565" s="233" t="inlineStr">
        <is>
          <t>45700000</t>
        </is>
      </c>
      <c r="C565" s="227" t="inlineStr">
        <is>
          <t>AssociÉs - dividendes À payer</t>
        </is>
      </c>
      <c r="F565" s="227" t="inlineStr">
        <is>
          <t>TH4</t>
        </is>
      </c>
    </row>
    <row r="566">
      <c r="A566" s="227">
        <f>TL[[#This Row],[Société]]&amp;" - "&amp;TL[[#This Row],[Compte]]</f>
        <v/>
      </c>
      <c r="B566" s="233" t="inlineStr">
        <is>
          <t>46700000</t>
        </is>
      </c>
      <c r="C566" s="227" t="inlineStr">
        <is>
          <t>Urnes</t>
        </is>
      </c>
      <c r="F566" s="227" t="inlineStr">
        <is>
          <t>TH4</t>
        </is>
      </c>
    </row>
    <row r="567">
      <c r="A567" s="227">
        <f>TL[[#This Row],[Société]]&amp;" - "&amp;TL[[#This Row],[Compte]]</f>
        <v/>
      </c>
      <c r="B567" s="233" t="inlineStr">
        <is>
          <t>46710000</t>
        </is>
      </c>
      <c r="C567" s="227" t="inlineStr">
        <is>
          <t>R314</t>
        </is>
      </c>
      <c r="F567" s="227" t="inlineStr">
        <is>
          <t>TH4</t>
        </is>
      </c>
    </row>
    <row r="568">
      <c r="A568" s="227">
        <f>TL[[#This Row],[Société]]&amp;" - "&amp;TL[[#This Row],[Compte]]</f>
        <v/>
      </c>
      <c r="B568" s="233" t="inlineStr">
        <is>
          <t>46720000</t>
        </is>
      </c>
      <c r="C568" s="227" t="inlineStr">
        <is>
          <t>Tl dives</t>
        </is>
      </c>
      <c r="F568" s="227" t="inlineStr">
        <is>
          <t>TH4</t>
        </is>
      </c>
    </row>
    <row r="569">
      <c r="A569" s="227">
        <f>TL[[#This Row],[Société]]&amp;" - "&amp;TL[[#This Row],[Compte]]</f>
        <v/>
      </c>
      <c r="B569" s="233" t="inlineStr">
        <is>
          <t>46721000</t>
        </is>
      </c>
      <c r="C569" s="227" t="inlineStr">
        <is>
          <t>Ecart sur remise cb</t>
        </is>
      </c>
      <c r="F569" s="227" t="inlineStr">
        <is>
          <t>TH4</t>
        </is>
      </c>
    </row>
    <row r="570">
      <c r="A570" s="227">
        <f>TL[[#This Row],[Société]]&amp;" - "&amp;TL[[#This Row],[Compte]]</f>
        <v/>
      </c>
      <c r="B570" s="233" t="inlineStr">
        <is>
          <t>46722000</t>
        </is>
      </c>
      <c r="C570" s="227" t="inlineStr">
        <is>
          <t>Ecart sur remise tr</t>
        </is>
      </c>
      <c r="F570" s="227" t="inlineStr">
        <is>
          <t>TH4</t>
        </is>
      </c>
    </row>
    <row r="571">
      <c r="A571" s="227">
        <f>TL[[#This Row],[Société]]&amp;" - "&amp;TL[[#This Row],[Compte]]</f>
        <v/>
      </c>
      <c r="B571" s="233" t="inlineStr">
        <is>
          <t>46723000</t>
        </is>
      </c>
      <c r="C571" s="227" t="inlineStr">
        <is>
          <t>Ecart sur remise cv</t>
        </is>
      </c>
      <c r="F571" s="227" t="inlineStr">
        <is>
          <t>TH4</t>
        </is>
      </c>
    </row>
    <row r="572">
      <c r="A572" s="227">
        <f>TL[[#This Row],[Société]]&amp;" - "&amp;TL[[#This Row],[Compte]]</f>
        <v/>
      </c>
      <c r="B572" s="233" t="inlineStr">
        <is>
          <t>46724000</t>
        </is>
      </c>
      <c r="C572" s="227" t="inlineStr">
        <is>
          <t>Ecart sur remise espèces</t>
        </is>
      </c>
      <c r="F572" s="227" t="inlineStr">
        <is>
          <t>TH4</t>
        </is>
      </c>
    </row>
    <row r="573">
      <c r="A573" s="227">
        <f>TL[[#This Row],[Société]]&amp;" - "&amp;TL[[#This Row],[Compte]]</f>
        <v/>
      </c>
      <c r="B573" s="233" t="inlineStr">
        <is>
          <t>46725000</t>
        </is>
      </c>
      <c r="C573" s="227" t="inlineStr">
        <is>
          <t>Ecart remise cheque</t>
        </is>
      </c>
      <c r="F573" s="227" t="inlineStr">
        <is>
          <t>TH4</t>
        </is>
      </c>
    </row>
    <row r="574">
      <c r="A574" s="227">
        <f>TL[[#This Row],[Société]]&amp;" - "&amp;TL[[#This Row],[Compte]]</f>
        <v/>
      </c>
      <c r="B574" s="233" t="inlineStr">
        <is>
          <t>46726000</t>
        </is>
      </c>
      <c r="C574" s="227" t="inlineStr">
        <is>
          <t>Écart paypal</t>
        </is>
      </c>
      <c r="F574" s="227" t="inlineStr">
        <is>
          <t>TH4</t>
        </is>
      </c>
    </row>
    <row r="575">
      <c r="A575" s="227">
        <f>TL[[#This Row],[Société]]&amp;" - "&amp;TL[[#This Row],[Compte]]</f>
        <v/>
      </c>
      <c r="B575" s="233" t="inlineStr">
        <is>
          <t>46727000</t>
        </is>
      </c>
      <c r="C575" s="227" t="inlineStr">
        <is>
          <t>écart lyv eat</t>
        </is>
      </c>
      <c r="F575" s="227" t="inlineStr">
        <is>
          <t>TH4</t>
        </is>
      </c>
    </row>
    <row r="576">
      <c r="A576" s="227">
        <f>TL[[#This Row],[Société]]&amp;" - "&amp;TL[[#This Row],[Compte]]</f>
        <v/>
      </c>
      <c r="B576" s="233" t="inlineStr">
        <is>
          <t>46730000</t>
        </is>
      </c>
      <c r="C576" s="227" t="inlineStr">
        <is>
          <t>Lyse</t>
        </is>
      </c>
      <c r="F576" s="227" t="inlineStr">
        <is>
          <t>TH4</t>
        </is>
      </c>
    </row>
    <row r="577">
      <c r="A577" s="227">
        <f>TL[[#This Row],[Société]]&amp;" - "&amp;TL[[#This Row],[Compte]]</f>
        <v/>
      </c>
      <c r="B577" s="233" t="inlineStr">
        <is>
          <t>46740000</t>
        </is>
      </c>
      <c r="C577" s="227" t="inlineStr">
        <is>
          <t>Glr5</t>
        </is>
      </c>
      <c r="F577" s="227" t="inlineStr">
        <is>
          <t>TH4</t>
        </is>
      </c>
    </row>
    <row r="578">
      <c r="A578" s="227">
        <f>TL[[#This Row],[Société]]&amp;" - "&amp;TL[[#This Row],[Compte]]</f>
        <v/>
      </c>
      <c r="B578" s="233" t="inlineStr">
        <is>
          <t>46744400</t>
        </is>
      </c>
      <c r="C578" s="227" t="inlineStr">
        <is>
          <t>Autres comptes dÉbiteurs</t>
        </is>
      </c>
      <c r="F578" s="227" t="inlineStr">
        <is>
          <t>TH4</t>
        </is>
      </c>
    </row>
    <row r="579">
      <c r="A579" s="227">
        <f>TL[[#This Row],[Société]]&amp;" - "&amp;TL[[#This Row],[Compte]]</f>
        <v/>
      </c>
      <c r="B579" s="233" t="inlineStr">
        <is>
          <t>46755500</t>
        </is>
      </c>
      <c r="C579" s="227" t="inlineStr">
        <is>
          <t>Lyse</t>
        </is>
      </c>
      <c r="F579" s="227" t="inlineStr">
        <is>
          <t>TH4</t>
        </is>
      </c>
    </row>
    <row r="580">
      <c r="A580" s="227">
        <f>TL[[#This Row],[Société]]&amp;" - "&amp;TL[[#This Row],[Compte]]</f>
        <v/>
      </c>
      <c r="B580" s="233" t="inlineStr">
        <is>
          <t>46766600</t>
        </is>
      </c>
      <c r="C580" s="227" t="inlineStr">
        <is>
          <t>Autres comptes dÉbiteurs/crÉditeurs</t>
        </is>
      </c>
      <c r="F580" s="227" t="inlineStr">
        <is>
          <t>TH4</t>
        </is>
      </c>
    </row>
    <row r="581">
      <c r="A581" s="227">
        <f>TL[[#This Row],[Société]]&amp;" - "&amp;TL[[#This Row],[Compte]]</f>
        <v/>
      </c>
      <c r="B581" s="233" t="inlineStr">
        <is>
          <t>46860000</t>
        </is>
      </c>
      <c r="C581" s="227" t="inlineStr">
        <is>
          <t>Divers - charges à payer</t>
        </is>
      </c>
      <c r="F581" s="227" t="inlineStr">
        <is>
          <t>TH4</t>
        </is>
      </c>
    </row>
    <row r="582">
      <c r="A582" s="227">
        <f>TL[[#This Row],[Société]]&amp;" - "&amp;TL[[#This Row],[Compte]]</f>
        <v/>
      </c>
      <c r="B582" s="233" t="inlineStr">
        <is>
          <t>46870000</t>
        </is>
      </c>
      <c r="C582" s="227" t="inlineStr">
        <is>
          <t>Divers - produits à recevoir</t>
        </is>
      </c>
      <c r="F582" s="227" t="inlineStr">
        <is>
          <t>TH4</t>
        </is>
      </c>
    </row>
    <row r="583">
      <c r="A583" s="227">
        <f>TL[[#This Row],[Société]]&amp;" - "&amp;TL[[#This Row],[Compte]]</f>
        <v/>
      </c>
      <c r="B583" s="233" t="inlineStr">
        <is>
          <t>47100000</t>
        </is>
      </c>
      <c r="C583" s="227" t="inlineStr">
        <is>
          <t>Compte gÉnÉral d'attente</t>
        </is>
      </c>
      <c r="F583" s="227" t="inlineStr">
        <is>
          <t>TH4</t>
        </is>
      </c>
    </row>
    <row r="584">
      <c r="A584" s="227">
        <f>TL[[#This Row],[Société]]&amp;" - "&amp;TL[[#This Row],[Compte]]</f>
        <v/>
      </c>
      <c r="B584" s="233" t="inlineStr">
        <is>
          <t>47200000</t>
        </is>
      </c>
      <c r="C584" s="227" t="inlineStr">
        <is>
          <t>Compte d attente ne pas utiliser</t>
        </is>
      </c>
      <c r="F584" s="227" t="inlineStr">
        <is>
          <t>TH4</t>
        </is>
      </c>
    </row>
    <row r="585">
      <c r="A585" s="227">
        <f>TL[[#This Row],[Société]]&amp;" - "&amp;TL[[#This Row],[Compte]]</f>
        <v/>
      </c>
      <c r="B585" s="233" t="inlineStr">
        <is>
          <t>48600000</t>
        </is>
      </c>
      <c r="C585" s="227" t="inlineStr">
        <is>
          <t>Charges constatées d'avance</t>
        </is>
      </c>
      <c r="F585" s="227" t="inlineStr">
        <is>
          <t>TH4</t>
        </is>
      </c>
    </row>
    <row r="586">
      <c r="A586" s="227">
        <f>TL[[#This Row],[Société]]&amp;" - "&amp;TL[[#This Row],[Compte]]</f>
        <v/>
      </c>
      <c r="B586" s="233" t="inlineStr">
        <is>
          <t>48700000</t>
        </is>
      </c>
      <c r="C586" s="227" t="inlineStr">
        <is>
          <t>Produits constatés d'avance</t>
        </is>
      </c>
      <c r="F586" s="227" t="inlineStr">
        <is>
          <t>TH4</t>
        </is>
      </c>
    </row>
    <row r="587">
      <c r="A587" s="227">
        <f>TL[[#This Row],[Société]]&amp;" - "&amp;TL[[#This Row],[Compte]]</f>
        <v/>
      </c>
      <c r="B587" s="233" t="inlineStr">
        <is>
          <t>50320000</t>
        </is>
      </c>
      <c r="C587" s="227" t="inlineStr">
        <is>
          <t>Parts sociales crca</t>
        </is>
      </c>
      <c r="F587" s="227" t="inlineStr">
        <is>
          <t>TH4</t>
        </is>
      </c>
    </row>
    <row r="588">
      <c r="A588" s="227">
        <f>TL[[#This Row],[Société]]&amp;" - "&amp;TL[[#This Row],[Compte]]</f>
        <v/>
      </c>
      <c r="B588" s="233" t="inlineStr">
        <is>
          <t>50800000</t>
        </is>
      </c>
      <c r="C588" s="227" t="inlineStr">
        <is>
          <t>Vmp</t>
        </is>
      </c>
      <c r="F588" s="227" t="inlineStr">
        <is>
          <t>TH4</t>
        </is>
      </c>
    </row>
    <row r="589">
      <c r="A589" s="227">
        <f>TL[[#This Row],[Société]]&amp;" - "&amp;TL[[#This Row],[Compte]]</f>
        <v/>
      </c>
      <c r="B589" s="233" t="inlineStr">
        <is>
          <t>50810000</t>
        </is>
      </c>
      <c r="C589" s="227" t="inlineStr">
        <is>
          <t>Livret b</t>
        </is>
      </c>
      <c r="F589" s="227" t="inlineStr">
        <is>
          <t>TH4</t>
        </is>
      </c>
    </row>
    <row r="590">
      <c r="A590" s="227">
        <f>TL[[#This Row],[Société]]&amp;" - "&amp;TL[[#This Row],[Compte]]</f>
        <v/>
      </c>
      <c r="B590" s="233" t="inlineStr">
        <is>
          <t>51120000</t>
        </is>
      </c>
      <c r="C590" s="227" t="inlineStr">
        <is>
          <t>Chèques</t>
        </is>
      </c>
      <c r="F590" s="227" t="inlineStr">
        <is>
          <t>TH4</t>
        </is>
      </c>
    </row>
    <row r="591">
      <c r="A591" s="227">
        <f>TL[[#This Row],[Société]]&amp;" - "&amp;TL[[#This Row],[Compte]]</f>
        <v/>
      </c>
      <c r="B591" s="233" t="inlineStr">
        <is>
          <t>51121000</t>
        </is>
      </c>
      <c r="C591" s="227" t="inlineStr">
        <is>
          <t>Chèques</t>
        </is>
      </c>
      <c r="F591" s="227" t="inlineStr">
        <is>
          <t>TH4</t>
        </is>
      </c>
    </row>
    <row r="592">
      <c r="A592" s="227">
        <f>TL[[#This Row],[Société]]&amp;" - "&amp;TL[[#This Row],[Compte]]</f>
        <v/>
      </c>
      <c r="B592" s="233" t="inlineStr">
        <is>
          <t>51121100</t>
        </is>
      </c>
      <c r="C592" s="227" t="inlineStr">
        <is>
          <t>Chèques</t>
        </is>
      </c>
      <c r="F592" s="227" t="inlineStr">
        <is>
          <t>TH4</t>
        </is>
      </c>
    </row>
    <row r="593">
      <c r="A593" s="227">
        <f>TL[[#This Row],[Société]]&amp;" - "&amp;TL[[#This Row],[Compte]]</f>
        <v/>
      </c>
      <c r="B593" s="233" t="inlineStr">
        <is>
          <t>51122000</t>
        </is>
      </c>
      <c r="C593" s="227" t="inlineStr">
        <is>
          <t>Cartes bleues</t>
        </is>
      </c>
      <c r="F593" s="227" t="inlineStr">
        <is>
          <t>TH4</t>
        </is>
      </c>
    </row>
    <row r="594">
      <c r="A594" s="227">
        <f>TL[[#This Row],[Société]]&amp;" - "&amp;TL[[#This Row],[Compte]]</f>
        <v/>
      </c>
      <c r="B594" s="233" t="inlineStr">
        <is>
          <t>51122100</t>
        </is>
      </c>
      <c r="C594" s="227" t="inlineStr">
        <is>
          <t>Cartes bleues</t>
        </is>
      </c>
      <c r="F594" s="227" t="inlineStr">
        <is>
          <t>TH4</t>
        </is>
      </c>
    </row>
    <row r="595">
      <c r="A595" s="227">
        <f>TL[[#This Row],[Société]]&amp;" - "&amp;TL[[#This Row],[Compte]]</f>
        <v/>
      </c>
      <c r="B595" s="233" t="inlineStr">
        <is>
          <t>51123000</t>
        </is>
      </c>
      <c r="C595" s="227" t="inlineStr">
        <is>
          <t>Tickets restaurant</t>
        </is>
      </c>
      <c r="F595" s="227" t="inlineStr">
        <is>
          <t>TH4</t>
        </is>
      </c>
    </row>
    <row r="596">
      <c r="A596" s="227">
        <f>TL[[#This Row],[Société]]&amp;" - "&amp;TL[[#This Row],[Compte]]</f>
        <v/>
      </c>
      <c r="B596" s="233" t="inlineStr">
        <is>
          <t>51123100</t>
        </is>
      </c>
      <c r="C596" s="227" t="inlineStr">
        <is>
          <t>Tickets restaurant</t>
        </is>
      </c>
      <c r="F596" s="227" t="inlineStr">
        <is>
          <t>TH4</t>
        </is>
      </c>
    </row>
    <row r="597">
      <c r="A597" s="227">
        <f>TL[[#This Row],[Société]]&amp;" - "&amp;TL[[#This Row],[Compte]]</f>
        <v/>
      </c>
      <c r="B597" s="233" t="inlineStr">
        <is>
          <t>51125000</t>
        </is>
      </c>
      <c r="C597" s="227" t="inlineStr">
        <is>
          <t>Chèques vacances</t>
        </is>
      </c>
      <c r="F597" s="227" t="inlineStr">
        <is>
          <t>TH4</t>
        </is>
      </c>
    </row>
    <row r="598">
      <c r="A598" s="227">
        <f>TL[[#This Row],[Société]]&amp;" - "&amp;TL[[#This Row],[Compte]]</f>
        <v/>
      </c>
      <c r="B598" s="233" t="inlineStr">
        <is>
          <t>51125100</t>
        </is>
      </c>
      <c r="C598" s="227" t="inlineStr">
        <is>
          <t>Chèques vacances</t>
        </is>
      </c>
      <c r="F598" s="227" t="inlineStr">
        <is>
          <t>TH4</t>
        </is>
      </c>
    </row>
    <row r="599">
      <c r="A599" s="227">
        <f>TL[[#This Row],[Société]]&amp;" - "&amp;TL[[#This Row],[Compte]]</f>
        <v/>
      </c>
      <c r="B599" s="233" t="inlineStr">
        <is>
          <t>51126000</t>
        </is>
      </c>
      <c r="C599" s="227" t="inlineStr">
        <is>
          <t>Vente 12/01</t>
        </is>
      </c>
      <c r="F599" s="227" t="inlineStr">
        <is>
          <t>TH4</t>
        </is>
      </c>
    </row>
    <row r="600">
      <c r="A600" s="227">
        <f>TL[[#This Row],[Société]]&amp;" - "&amp;TL[[#This Row],[Compte]]</f>
        <v/>
      </c>
      <c r="B600" s="233" t="inlineStr">
        <is>
          <t>51126100</t>
        </is>
      </c>
      <c r="C600" s="227" t="inlineStr">
        <is>
          <t>Paypal</t>
        </is>
      </c>
      <c r="F600" s="227" t="inlineStr">
        <is>
          <t>TH4</t>
        </is>
      </c>
    </row>
    <row r="601">
      <c r="A601" s="227">
        <f>TL[[#This Row],[Société]]&amp;" - "&amp;TL[[#This Row],[Compte]]</f>
        <v/>
      </c>
      <c r="B601" s="233" t="inlineStr">
        <is>
          <t>51127000</t>
        </is>
      </c>
      <c r="C601" s="227" t="inlineStr">
        <is>
          <t>lyveat</t>
        </is>
      </c>
      <c r="F601" s="227" t="inlineStr">
        <is>
          <t>TH4</t>
        </is>
      </c>
    </row>
    <row r="602">
      <c r="A602" s="227">
        <f>TL[[#This Row],[Société]]&amp;" - "&amp;TL[[#This Row],[Compte]]</f>
        <v/>
      </c>
      <c r="B602" s="233" t="inlineStr">
        <is>
          <t>51170000</t>
        </is>
      </c>
      <c r="C602" s="227" t="inlineStr">
        <is>
          <t>Chèque émis</t>
        </is>
      </c>
      <c r="F602" s="227" t="inlineStr">
        <is>
          <t>TH4</t>
        </is>
      </c>
    </row>
    <row r="603">
      <c r="A603" s="227">
        <f>TL[[#This Row],[Société]]&amp;" - "&amp;TL[[#This Row],[Compte]]</f>
        <v/>
      </c>
      <c r="B603" s="233" t="inlineStr">
        <is>
          <t>51170100</t>
        </is>
      </c>
      <c r="C603" s="227" t="inlineStr">
        <is>
          <t>Chèques émis intégrés</t>
        </is>
      </c>
      <c r="F603" s="227" t="inlineStr">
        <is>
          <t>TH4</t>
        </is>
      </c>
    </row>
    <row r="604">
      <c r="A604" s="227">
        <f>TL[[#This Row],[Société]]&amp;" - "&amp;TL[[#This Row],[Compte]]</f>
        <v/>
      </c>
      <c r="B604" s="233" t="inlineStr">
        <is>
          <t>51200000</t>
        </is>
      </c>
      <c r="C604" s="227" t="inlineStr">
        <is>
          <t>Crédit Agricole</t>
        </is>
      </c>
      <c r="F604" s="227" t="inlineStr">
        <is>
          <t>TH4</t>
        </is>
      </c>
    </row>
    <row r="605">
      <c r="A605" s="227">
        <f>TL[[#This Row],[Société]]&amp;" - "&amp;TL[[#This Row],[Compte]]</f>
        <v/>
      </c>
      <c r="B605" s="233" t="inlineStr">
        <is>
          <t>51210000</t>
        </is>
      </c>
      <c r="C605" s="227" t="inlineStr">
        <is>
          <t>Comptes en monnaie nationale</t>
        </is>
      </c>
      <c r="F605" s="227" t="inlineStr">
        <is>
          <t>TH4</t>
        </is>
      </c>
    </row>
    <row r="606">
      <c r="A606" s="227">
        <f>TL[[#This Row],[Société]]&amp;" - "&amp;TL[[#This Row],[Compte]]</f>
        <v/>
      </c>
      <c r="B606" s="233" t="inlineStr">
        <is>
          <t>51220000</t>
        </is>
      </c>
      <c r="C606" s="227" t="inlineStr">
        <is>
          <t>Crca - parts sociales</t>
        </is>
      </c>
      <c r="F606" s="227" t="inlineStr">
        <is>
          <t>TH4</t>
        </is>
      </c>
    </row>
    <row r="607">
      <c r="A607" s="227">
        <f>TL[[#This Row],[Société]]&amp;" - "&amp;TL[[#This Row],[Compte]]</f>
        <v/>
      </c>
      <c r="B607" s="233" t="inlineStr">
        <is>
          <t>51230000</t>
        </is>
      </c>
      <c r="C607" s="227" t="inlineStr">
        <is>
          <t>Caisse d' Epargne</t>
        </is>
      </c>
      <c r="F607" s="227" t="inlineStr">
        <is>
          <t>TH4</t>
        </is>
      </c>
    </row>
    <row r="608">
      <c r="A608" s="227">
        <f>TL[[#This Row],[Société]]&amp;" - "&amp;TL[[#This Row],[Compte]]</f>
        <v/>
      </c>
      <c r="B608" s="233" t="inlineStr">
        <is>
          <t>51240000</t>
        </is>
      </c>
      <c r="C608" s="227" t="inlineStr">
        <is>
          <t>Société Générale</t>
        </is>
      </c>
      <c r="F608" s="227" t="inlineStr">
        <is>
          <t>TH4</t>
        </is>
      </c>
    </row>
    <row r="609">
      <c r="A609" s="227">
        <f>TL[[#This Row],[Société]]&amp;" - "&amp;TL[[#This Row],[Compte]]</f>
        <v/>
      </c>
      <c r="B609" s="233" t="inlineStr">
        <is>
          <t>51810000</t>
        </is>
      </c>
      <c r="C609" s="227" t="inlineStr">
        <is>
          <t>Banque - intérets courus à payer</t>
        </is>
      </c>
      <c r="F609" s="227" t="inlineStr">
        <is>
          <t>TH4</t>
        </is>
      </c>
    </row>
    <row r="610">
      <c r="A610" s="227">
        <f>TL[[#This Row],[Société]]&amp;" - "&amp;TL[[#This Row],[Compte]]</f>
        <v/>
      </c>
      <c r="B610" s="233" t="inlineStr">
        <is>
          <t>51860000</t>
        </is>
      </c>
      <c r="C610" s="227" t="inlineStr">
        <is>
          <t>Intérêts courus à payer</t>
        </is>
      </c>
      <c r="F610" s="227" t="inlineStr">
        <is>
          <t>TH4</t>
        </is>
      </c>
    </row>
    <row r="611">
      <c r="A611" s="227">
        <f>TL[[#This Row],[Société]]&amp;" - "&amp;TL[[#This Row],[Compte]]</f>
        <v/>
      </c>
      <c r="B611" s="233" t="inlineStr">
        <is>
          <t>51880000</t>
        </is>
      </c>
      <c r="C611" s="227" t="inlineStr">
        <is>
          <t>Banque - intérêts courus à recevoir</t>
        </is>
      </c>
      <c r="F611" s="227" t="inlineStr">
        <is>
          <t>TH4</t>
        </is>
      </c>
    </row>
    <row r="612">
      <c r="A612" s="227">
        <f>TL[[#This Row],[Société]]&amp;" - "&amp;TL[[#This Row],[Compte]]</f>
        <v/>
      </c>
      <c r="B612" s="233" t="inlineStr">
        <is>
          <t>51910000</t>
        </is>
      </c>
      <c r="C612" s="227" t="inlineStr">
        <is>
          <t>Billets à ordre</t>
        </is>
      </c>
      <c r="F612" s="227" t="inlineStr">
        <is>
          <t>TH4</t>
        </is>
      </c>
    </row>
    <row r="613">
      <c r="A613" s="227">
        <f>TL[[#This Row],[Société]]&amp;" - "&amp;TL[[#This Row],[Compte]]</f>
        <v/>
      </c>
      <c r="B613" s="233" t="inlineStr">
        <is>
          <t>51920000</t>
        </is>
      </c>
      <c r="C613" s="227" t="inlineStr">
        <is>
          <t>Souscription dépôt à terme</t>
        </is>
      </c>
      <c r="F613" s="227" t="inlineStr">
        <is>
          <t>TH4</t>
        </is>
      </c>
    </row>
    <row r="614">
      <c r="A614" s="227">
        <f>TL[[#This Row],[Société]]&amp;" - "&amp;TL[[#This Row],[Compte]]</f>
        <v/>
      </c>
      <c r="B614" s="233" t="inlineStr">
        <is>
          <t>53020000</t>
        </is>
      </c>
      <c r="C614" s="227" t="inlineStr">
        <is>
          <t>Coffre</t>
        </is>
      </c>
      <c r="F614" s="227" t="inlineStr">
        <is>
          <t>TH4</t>
        </is>
      </c>
    </row>
    <row r="615">
      <c r="A615" s="227">
        <f>TL[[#This Row],[Société]]&amp;" - "&amp;TL[[#This Row],[Compte]]</f>
        <v/>
      </c>
      <c r="B615" s="233" t="inlineStr">
        <is>
          <t>53100000</t>
        </is>
      </c>
      <c r="C615" s="227" t="inlineStr">
        <is>
          <t>Petite caisse</t>
        </is>
      </c>
      <c r="F615" s="227" t="inlineStr">
        <is>
          <t>TH4</t>
        </is>
      </c>
    </row>
    <row r="616">
      <c r="A616" s="227">
        <f>TL[[#This Row],[Société]]&amp;" - "&amp;TL[[#This Row],[Compte]]</f>
        <v/>
      </c>
      <c r="B616" s="233" t="inlineStr">
        <is>
          <t>58000000</t>
        </is>
      </c>
      <c r="C616" s="227" t="inlineStr">
        <is>
          <t>Virements internes npu</t>
        </is>
      </c>
      <c r="F616" s="227" t="inlineStr">
        <is>
          <t>TH4</t>
        </is>
      </c>
    </row>
    <row r="617">
      <c r="A617" s="227">
        <f>TL[[#This Row],[Société]]&amp;" - "&amp;TL[[#This Row],[Compte]]</f>
        <v/>
      </c>
      <c r="B617" s="233" t="inlineStr">
        <is>
          <t>58010000</t>
        </is>
      </c>
      <c r="C617" s="227" t="inlineStr">
        <is>
          <t>Virements internes</t>
        </is>
      </c>
      <c r="F617" s="227" t="inlineStr">
        <is>
          <t>TH4</t>
        </is>
      </c>
    </row>
    <row r="618">
      <c r="A618" s="227">
        <f>TL[[#This Row],[Société]]&amp;" - "&amp;TL[[#This Row],[Compte]]</f>
        <v/>
      </c>
      <c r="B618" s="233" t="inlineStr">
        <is>
          <t>58100000</t>
        </is>
      </c>
      <c r="C618" s="227" t="inlineStr">
        <is>
          <t>Espèces</t>
        </is>
      </c>
      <c r="F618" s="227" t="inlineStr">
        <is>
          <t>TH4</t>
        </is>
      </c>
    </row>
    <row r="619">
      <c r="A619" s="227">
        <f>TL[[#This Row],[Société]]&amp;" - "&amp;TL[[#This Row],[Compte]]</f>
        <v/>
      </c>
      <c r="B619" s="233" t="inlineStr">
        <is>
          <t>58110000</t>
        </is>
      </c>
      <c r="C619" s="227" t="inlineStr">
        <is>
          <t>Vente 11/07</t>
        </is>
      </c>
      <c r="F619" s="227" t="inlineStr">
        <is>
          <t>TH4</t>
        </is>
      </c>
    </row>
    <row r="620">
      <c r="A620" s="227">
        <f>TL[[#This Row],[Société]]&amp;" - "&amp;TL[[#This Row],[Compte]]</f>
        <v/>
      </c>
      <c r="B620" s="233" t="inlineStr">
        <is>
          <t>58300000</t>
        </is>
      </c>
      <c r="C620" s="227" t="inlineStr">
        <is>
          <t>Monnaie</t>
        </is>
      </c>
      <c r="F620" s="227" t="inlineStr">
        <is>
          <t>TH4</t>
        </is>
      </c>
    </row>
    <row r="621">
      <c r="A621" s="227">
        <f>TL[[#This Row],[Société]]&amp;" - "&amp;TL[[#This Row],[Compte]]</f>
        <v/>
      </c>
      <c r="B621" s="233" t="inlineStr">
        <is>
          <t>60100000</t>
        </is>
      </c>
      <c r="C621" s="227" t="inlineStr">
        <is>
          <t>Alimentaire + surgelés</t>
        </is>
      </c>
      <c r="F621" s="227" t="inlineStr">
        <is>
          <t>TH4</t>
        </is>
      </c>
    </row>
    <row r="622">
      <c r="A622" s="227">
        <f>TL[[#This Row],[Société]]&amp;" - "&amp;TL[[#This Row],[Compte]]</f>
        <v/>
      </c>
      <c r="B622" s="233" t="inlineStr">
        <is>
          <t>60110000</t>
        </is>
      </c>
      <c r="C622" s="227" t="inlineStr">
        <is>
          <t>Achats nourriture</t>
        </is>
      </c>
      <c r="D622" s="233" t="inlineStr">
        <is>
          <t>06</t>
        </is>
      </c>
      <c r="E622" s="233" t="inlineStr">
        <is>
          <t>03</t>
        </is>
      </c>
      <c r="F622" s="227" t="inlineStr">
        <is>
          <t>TH4</t>
        </is>
      </c>
    </row>
    <row r="623">
      <c r="A623" s="227">
        <f>TL[[#This Row],[Société]]&amp;" - "&amp;TL[[#This Row],[Compte]]</f>
        <v/>
      </c>
      <c r="B623" s="233" t="inlineStr">
        <is>
          <t>60110200</t>
        </is>
      </c>
      <c r="C623" s="227" t="inlineStr">
        <is>
          <t>Dechets</t>
        </is>
      </c>
      <c r="D623" s="233" t="inlineStr">
        <is>
          <t>07</t>
        </is>
      </c>
      <c r="E623" s="233" t="inlineStr">
        <is>
          <t>05</t>
        </is>
      </c>
      <c r="F623" s="227" t="inlineStr">
        <is>
          <t>TH4</t>
        </is>
      </c>
    </row>
    <row r="624">
      <c r="A624" s="227">
        <f>TL[[#This Row],[Société]]&amp;" - "&amp;TL[[#This Row],[Compte]]</f>
        <v/>
      </c>
      <c r="B624" s="233" t="inlineStr">
        <is>
          <t>60110300</t>
        </is>
      </c>
      <c r="C624" s="227" t="inlineStr">
        <is>
          <t>Repas employes</t>
        </is>
      </c>
      <c r="D624" s="233" t="inlineStr">
        <is>
          <t>08</t>
        </is>
      </c>
      <c r="E624" s="233" t="inlineStr">
        <is>
          <t>04</t>
        </is>
      </c>
      <c r="F624" s="227" t="inlineStr">
        <is>
          <t>TH4</t>
        </is>
      </c>
    </row>
    <row r="625">
      <c r="A625" s="227">
        <f>TL[[#This Row],[Société]]&amp;" - "&amp;TL[[#This Row],[Compte]]</f>
        <v/>
      </c>
      <c r="B625" s="233" t="inlineStr">
        <is>
          <t>60220100</t>
        </is>
      </c>
      <c r="C625" s="227" t="inlineStr">
        <is>
          <t>Achat emballage</t>
        </is>
      </c>
      <c r="D625" s="233" t="inlineStr">
        <is>
          <t>03</t>
        </is>
      </c>
      <c r="E625" s="233" t="inlineStr">
        <is>
          <t>06</t>
        </is>
      </c>
      <c r="F625" s="227" t="inlineStr">
        <is>
          <t>TH4</t>
        </is>
      </c>
    </row>
    <row r="626">
      <c r="A626" s="227">
        <f>TL[[#This Row],[Société]]&amp;" - "&amp;TL[[#This Row],[Compte]]</f>
        <v/>
      </c>
      <c r="B626" s="233" t="inlineStr">
        <is>
          <t>60220200</t>
        </is>
      </c>
      <c r="C626" s="227" t="inlineStr">
        <is>
          <t>Achats happy meal</t>
        </is>
      </c>
      <c r="D626" s="233" t="inlineStr">
        <is>
          <t>62</t>
        </is>
      </c>
      <c r="E626" s="233" t="inlineStr">
        <is>
          <t>51</t>
        </is>
      </c>
      <c r="F626" s="227" t="inlineStr">
        <is>
          <t>TH4</t>
        </is>
      </c>
    </row>
    <row r="627">
      <c r="A627" s="227">
        <f>TL[[#This Row],[Société]]&amp;" - "&amp;TL[[#This Row],[Compte]]</f>
        <v/>
      </c>
      <c r="B627" s="233" t="inlineStr">
        <is>
          <t>60260000</t>
        </is>
      </c>
      <c r="C627" s="227" t="inlineStr">
        <is>
          <t>Achats emballages</t>
        </is>
      </c>
      <c r="F627" s="227" t="inlineStr">
        <is>
          <t>TH4</t>
        </is>
      </c>
    </row>
    <row r="628">
      <c r="A628" s="227">
        <f>TL[[#This Row],[Société]]&amp;" - "&amp;TL[[#This Row],[Compte]]</f>
        <v/>
      </c>
      <c r="B628" s="233" t="inlineStr">
        <is>
          <t>60261000</t>
        </is>
      </c>
      <c r="C628" s="227" t="inlineStr">
        <is>
          <t>Cartons collecte</t>
        </is>
      </c>
      <c r="D628" s="233" t="inlineStr">
        <is>
          <t>18</t>
        </is>
      </c>
      <c r="E628" s="240" t="inlineStr">
        <is>
          <t>06</t>
        </is>
      </c>
      <c r="F628" s="227" t="inlineStr">
        <is>
          <t>TH4</t>
        </is>
      </c>
    </row>
    <row r="629">
      <c r="A629" s="227">
        <f>TL[[#This Row],[Société]]&amp;" - "&amp;TL[[#This Row],[Compte]]</f>
        <v/>
      </c>
      <c r="B629" s="233" t="inlineStr">
        <is>
          <t>60261200</t>
        </is>
      </c>
      <c r="C629" s="227" t="inlineStr">
        <is>
          <t>Vaisselle</t>
        </is>
      </c>
      <c r="D629" s="235" t="inlineStr">
        <is>
          <t>06</t>
        </is>
      </c>
      <c r="E629" s="235" t="inlineStr">
        <is>
          <t>6.1</t>
        </is>
      </c>
      <c r="F629" s="227" t="inlineStr">
        <is>
          <t>TH4</t>
        </is>
      </c>
    </row>
    <row r="630">
      <c r="A630" s="227">
        <f>TL[[#This Row],[Société]]&amp;" - "&amp;TL[[#This Row],[Compte]]</f>
        <v/>
      </c>
      <c r="B630" s="233" t="inlineStr">
        <is>
          <t>60310000</t>
        </is>
      </c>
      <c r="C630" s="227" t="inlineStr">
        <is>
          <t>Variat. stocks food</t>
        </is>
      </c>
      <c r="D630" s="233" t="inlineStr">
        <is>
          <t>06</t>
        </is>
      </c>
      <c r="E630" s="233" t="inlineStr">
        <is>
          <t>03</t>
        </is>
      </c>
      <c r="F630" s="227" t="inlineStr">
        <is>
          <t>TH4</t>
        </is>
      </c>
    </row>
    <row r="631">
      <c r="A631" s="227">
        <f>TL[[#This Row],[Société]]&amp;" - "&amp;TL[[#This Row],[Compte]]</f>
        <v/>
      </c>
      <c r="B631" s="233" t="inlineStr">
        <is>
          <t>60320000</t>
        </is>
      </c>
      <c r="C631" s="227" t="inlineStr">
        <is>
          <t>Variat. stocks paper</t>
        </is>
      </c>
      <c r="D631" s="233" t="inlineStr">
        <is>
          <t>03</t>
        </is>
      </c>
      <c r="E631" s="233" t="inlineStr">
        <is>
          <t>06</t>
        </is>
      </c>
      <c r="F631" s="227" t="inlineStr">
        <is>
          <t>TH4</t>
        </is>
      </c>
    </row>
    <row r="632">
      <c r="A632" s="227">
        <f>TL[[#This Row],[Société]]&amp;" - "&amp;TL[[#This Row],[Compte]]</f>
        <v/>
      </c>
      <c r="B632" s="233" t="inlineStr">
        <is>
          <t>60320100</t>
        </is>
      </c>
      <c r="C632" s="227" t="inlineStr">
        <is>
          <t>Variat.stock happy meals</t>
        </is>
      </c>
      <c r="D632" s="233" t="inlineStr">
        <is>
          <t>62</t>
        </is>
      </c>
      <c r="E632" s="233" t="inlineStr">
        <is>
          <t>51</t>
        </is>
      </c>
      <c r="F632" s="227" t="inlineStr">
        <is>
          <t>TH4</t>
        </is>
      </c>
    </row>
    <row r="633">
      <c r="A633" s="227">
        <f>TL[[#This Row],[Société]]&amp;" - "&amp;TL[[#This Row],[Compte]]</f>
        <v/>
      </c>
      <c r="B633" s="233" t="inlineStr">
        <is>
          <t>60320200</t>
        </is>
      </c>
      <c r="C633" s="227" t="inlineStr">
        <is>
          <t>Variation stock uniforme</t>
        </is>
      </c>
      <c r="F633" s="227" t="inlineStr">
        <is>
          <t>TH4</t>
        </is>
      </c>
    </row>
    <row r="634">
      <c r="A634" s="227">
        <f>TL[[#This Row],[Société]]&amp;" - "&amp;TL[[#This Row],[Compte]]</f>
        <v/>
      </c>
      <c r="B634" s="233" t="inlineStr">
        <is>
          <t>60400000</t>
        </is>
      </c>
      <c r="C634" s="227" t="inlineStr">
        <is>
          <t>Achats d'études et prestations</t>
        </is>
      </c>
      <c r="F634" s="227" t="inlineStr">
        <is>
          <t>TH4</t>
        </is>
      </c>
    </row>
    <row r="635">
      <c r="A635" s="227">
        <f>TL[[#This Row],[Société]]&amp;" - "&amp;TL[[#This Row],[Compte]]</f>
        <v/>
      </c>
      <c r="B635" s="233" t="inlineStr">
        <is>
          <t>60610100</t>
        </is>
      </c>
      <c r="C635" s="227" t="inlineStr">
        <is>
          <t>Eau restaurant</t>
        </is>
      </c>
      <c r="D635" s="233" t="inlineStr">
        <is>
          <t>20</t>
        </is>
      </c>
      <c r="E635" s="233" t="inlineStr">
        <is>
          <t>24</t>
        </is>
      </c>
      <c r="F635" s="227" t="inlineStr">
        <is>
          <t>TH4</t>
        </is>
      </c>
    </row>
    <row r="636">
      <c r="A636" s="227">
        <f>TL[[#This Row],[Société]]&amp;" - "&amp;TL[[#This Row],[Compte]]</f>
        <v/>
      </c>
      <c r="B636" s="233" t="inlineStr">
        <is>
          <t>60610300</t>
        </is>
      </c>
      <c r="C636" s="227" t="inlineStr">
        <is>
          <t>Electricite restaurant</t>
        </is>
      </c>
      <c r="D636" s="233" t="inlineStr">
        <is>
          <t>20</t>
        </is>
      </c>
      <c r="E636" s="233" t="inlineStr">
        <is>
          <t>24</t>
        </is>
      </c>
      <c r="F636" s="227" t="inlineStr">
        <is>
          <t>TH4</t>
        </is>
      </c>
    </row>
    <row r="637">
      <c r="A637" s="227">
        <f>TL[[#This Row],[Société]]&amp;" - "&amp;TL[[#This Row],[Compte]]</f>
        <v/>
      </c>
      <c r="B637" s="233" t="inlineStr">
        <is>
          <t>60610500</t>
        </is>
      </c>
      <c r="C637" s="227" t="inlineStr">
        <is>
          <t>Achats gaz</t>
        </is>
      </c>
      <c r="D637" s="233" t="inlineStr">
        <is>
          <t>20</t>
        </is>
      </c>
      <c r="E637" s="233" t="inlineStr">
        <is>
          <t>24</t>
        </is>
      </c>
      <c r="F637" s="227" t="inlineStr">
        <is>
          <t>TH4</t>
        </is>
      </c>
    </row>
    <row r="638">
      <c r="A638" s="227">
        <f>TL[[#This Row],[Société]]&amp;" - "&amp;TL[[#This Row],[Compte]]</f>
        <v/>
      </c>
      <c r="B638" s="233" t="inlineStr">
        <is>
          <t>60630000</t>
        </is>
      </c>
      <c r="C638" s="227" t="inlineStr">
        <is>
          <t>Petit outillage</t>
        </is>
      </c>
      <c r="D638" s="233" t="inlineStr">
        <is>
          <t>19</t>
        </is>
      </c>
      <c r="E638" s="233" t="inlineStr">
        <is>
          <t>18</t>
        </is>
      </c>
      <c r="F638" s="227" t="inlineStr">
        <is>
          <t>TH4</t>
        </is>
      </c>
    </row>
    <row r="639">
      <c r="A639" s="227">
        <f>TL[[#This Row],[Société]]&amp;" - "&amp;TL[[#This Row],[Compte]]</f>
        <v/>
      </c>
      <c r="B639" s="233" t="inlineStr">
        <is>
          <t>60630100</t>
        </is>
      </c>
      <c r="C639" s="227" t="inlineStr">
        <is>
          <t>Fournitures exploitation</t>
        </is>
      </c>
      <c r="D639" s="233" t="inlineStr">
        <is>
          <t>18</t>
        </is>
      </c>
      <c r="E639" s="233" t="inlineStr">
        <is>
          <t>25</t>
        </is>
      </c>
      <c r="F639" s="227" t="inlineStr">
        <is>
          <t>TH4</t>
        </is>
      </c>
    </row>
    <row r="640">
      <c r="A640" s="227">
        <f>TL[[#This Row],[Société]]&amp;" - "&amp;TL[[#This Row],[Compte]]</f>
        <v/>
      </c>
      <c r="B640" s="233" t="inlineStr">
        <is>
          <t>60630200</t>
        </is>
      </c>
      <c r="C640" s="227" t="inlineStr">
        <is>
          <t>Fournit exploit et pdts entretien</t>
        </is>
      </c>
      <c r="D640" s="233" t="inlineStr">
        <is>
          <t>18</t>
        </is>
      </c>
      <c r="E640" s="233" t="inlineStr">
        <is>
          <t>25</t>
        </is>
      </c>
      <c r="F640" s="227" t="inlineStr">
        <is>
          <t>TH4</t>
        </is>
      </c>
    </row>
    <row r="641">
      <c r="A641" s="227">
        <f>TL[[#This Row],[Société]]&amp;" - "&amp;TL[[#This Row],[Compte]]</f>
        <v/>
      </c>
      <c r="B641" s="233" t="inlineStr">
        <is>
          <t>60630300</t>
        </is>
      </c>
      <c r="C641" s="227" t="inlineStr">
        <is>
          <t>Uniformes</t>
        </is>
      </c>
      <c r="D641" s="233" t="inlineStr">
        <is>
          <t>17</t>
        </is>
      </c>
      <c r="E641" s="233" t="inlineStr">
        <is>
          <t>27</t>
        </is>
      </c>
      <c r="F641" s="227" t="inlineStr">
        <is>
          <t>TH4</t>
        </is>
      </c>
    </row>
    <row r="642">
      <c r="A642" s="227">
        <f>TL[[#This Row],[Société]]&amp;" - "&amp;TL[[#This Row],[Compte]]</f>
        <v/>
      </c>
      <c r="B642" s="233" t="inlineStr">
        <is>
          <t>60630500</t>
        </is>
      </c>
      <c r="C642" s="227" t="inlineStr">
        <is>
          <t>Petit équipement COVID-19</t>
        </is>
      </c>
      <c r="D642" s="233" t="inlineStr">
        <is>
          <t>39</t>
        </is>
      </c>
      <c r="E642" s="233" t="inlineStr">
        <is>
          <t>25</t>
        </is>
      </c>
      <c r="F642" s="227" t="inlineStr">
        <is>
          <t>TH4</t>
        </is>
      </c>
    </row>
    <row r="643">
      <c r="A643" s="227">
        <f>TL[[#This Row],[Société]]&amp;" - "&amp;TL[[#This Row],[Compte]]</f>
        <v/>
      </c>
      <c r="B643" s="233" t="inlineStr">
        <is>
          <t>60640100</t>
        </is>
      </c>
      <c r="C643" s="227" t="inlineStr">
        <is>
          <t>Ftures bureau restaurant</t>
        </is>
      </c>
      <c r="D643" s="233" t="inlineStr">
        <is>
          <t>21</t>
        </is>
      </c>
      <c r="E643" s="233" t="inlineStr">
        <is>
          <t>25</t>
        </is>
      </c>
      <c r="F643" s="227" t="inlineStr">
        <is>
          <t>TH4</t>
        </is>
      </c>
    </row>
    <row r="644">
      <c r="A644" s="227">
        <f>TL[[#This Row],[Société]]&amp;" - "&amp;TL[[#This Row],[Compte]]</f>
        <v/>
      </c>
      <c r="B644" s="233" t="inlineStr">
        <is>
          <t>60640200</t>
        </is>
      </c>
      <c r="C644" s="227" t="inlineStr">
        <is>
          <t>Ftures bureau jda-martini</t>
        </is>
      </c>
      <c r="F644" s="227" t="inlineStr">
        <is>
          <t>TH4</t>
        </is>
      </c>
    </row>
    <row r="645">
      <c r="A645" s="227">
        <f>TL[[#This Row],[Société]]&amp;" - "&amp;TL[[#This Row],[Compte]]</f>
        <v/>
      </c>
      <c r="B645" s="233" t="inlineStr">
        <is>
          <t>60661300</t>
        </is>
      </c>
      <c r="C645" s="227" t="inlineStr">
        <is>
          <t>Carburant</t>
        </is>
      </c>
      <c r="D645" s="233" t="inlineStr">
        <is>
          <t>13</t>
        </is>
      </c>
      <c r="E645" s="233" t="inlineStr">
        <is>
          <t>40</t>
        </is>
      </c>
      <c r="F645" s="227" t="inlineStr">
        <is>
          <t>TH4</t>
        </is>
      </c>
    </row>
    <row r="646">
      <c r="A646" s="227">
        <f>TL[[#This Row],[Société]]&amp;" - "&amp;TL[[#This Row],[Compte]]</f>
        <v/>
      </c>
      <c r="B646" s="233" t="inlineStr">
        <is>
          <t>60680000</t>
        </is>
      </c>
      <c r="C646" s="227" t="inlineStr">
        <is>
          <t>Npu carburant</t>
        </is>
      </c>
      <c r="D646" s="233" t="inlineStr">
        <is>
          <t>13</t>
        </is>
      </c>
      <c r="E646" s="233" t="inlineStr">
        <is>
          <t>26</t>
        </is>
      </c>
      <c r="F646" s="227" t="inlineStr">
        <is>
          <t>TH4</t>
        </is>
      </c>
    </row>
    <row r="647">
      <c r="A647" s="227">
        <f>TL[[#This Row],[Société]]&amp;" - "&amp;TL[[#This Row],[Compte]]</f>
        <v/>
      </c>
      <c r="B647" s="233" t="inlineStr">
        <is>
          <t>60910000</t>
        </is>
      </c>
      <c r="C647" s="227" t="inlineStr">
        <is>
          <t>R.r.r.obtenus s/ach.mat.premières</t>
        </is>
      </c>
      <c r="D647" s="233" t="inlineStr">
        <is>
          <t>06</t>
        </is>
      </c>
      <c r="E647" s="233" t="inlineStr">
        <is>
          <t>03</t>
        </is>
      </c>
      <c r="F647" s="227" t="inlineStr">
        <is>
          <t>TH4</t>
        </is>
      </c>
    </row>
    <row r="648">
      <c r="A648" s="227">
        <f>TL[[#This Row],[Société]]&amp;" - "&amp;TL[[#This Row],[Compte]]</f>
        <v/>
      </c>
      <c r="B648" s="233" t="inlineStr">
        <is>
          <t>61100000</t>
        </is>
      </c>
      <c r="C648" s="227" t="inlineStr">
        <is>
          <t>Sous-traitance générale</t>
        </is>
      </c>
      <c r="F648" s="227" t="inlineStr">
        <is>
          <t>TH4</t>
        </is>
      </c>
    </row>
    <row r="649">
      <c r="A649" s="227">
        <f>TL[[#This Row],[Société]]&amp;" - "&amp;TL[[#This Row],[Compte]]</f>
        <v/>
      </c>
      <c r="B649" s="233" t="inlineStr">
        <is>
          <t>61100100</t>
        </is>
      </c>
      <c r="C649" s="227" t="inlineStr">
        <is>
          <t>ESPECES</t>
        </is>
      </c>
      <c r="D649" s="233" t="inlineStr">
        <is>
          <t>16</t>
        </is>
      </c>
      <c r="E649" s="233" t="inlineStr">
        <is>
          <t>19</t>
        </is>
      </c>
      <c r="F649" s="227" t="inlineStr">
        <is>
          <t>TH4</t>
        </is>
      </c>
    </row>
    <row r="650">
      <c r="A650" s="227">
        <f>TL[[#This Row],[Société]]&amp;" - "&amp;TL[[#This Row],[Compte]]</f>
        <v/>
      </c>
      <c r="B650" s="233" t="inlineStr">
        <is>
          <t>61100500</t>
        </is>
      </c>
      <c r="C650" s="227" t="inlineStr">
        <is>
          <t>Fleurs</t>
        </is>
      </c>
      <c r="D650" s="233" t="inlineStr">
        <is>
          <t>16</t>
        </is>
      </c>
      <c r="E650" s="233" t="inlineStr">
        <is>
          <t>19</t>
        </is>
      </c>
      <c r="F650" s="227" t="inlineStr">
        <is>
          <t>TH4</t>
        </is>
      </c>
    </row>
    <row r="651">
      <c r="A651" s="227">
        <f>TL[[#This Row],[Société]]&amp;" - "&amp;TL[[#This Row],[Compte]]</f>
        <v/>
      </c>
      <c r="B651" s="233" t="inlineStr">
        <is>
          <t>61110000</t>
        </is>
      </c>
      <c r="C651" s="227" t="inlineStr">
        <is>
          <t>Sous-traitance comptable</t>
        </is>
      </c>
      <c r="D651" s="233" t="inlineStr">
        <is>
          <t>32</t>
        </is>
      </c>
      <c r="E651" s="233" t="inlineStr">
        <is>
          <t>19</t>
        </is>
      </c>
      <c r="F651" s="227" t="inlineStr">
        <is>
          <t>TH4</t>
        </is>
      </c>
    </row>
    <row r="652">
      <c r="A652" s="227">
        <f>TL[[#This Row],[Société]]&amp;" - "&amp;TL[[#This Row],[Compte]]</f>
        <v/>
      </c>
      <c r="B652" s="233" t="inlineStr">
        <is>
          <t>61300000</t>
        </is>
      </c>
      <c r="C652" s="227" t="inlineStr">
        <is>
          <t>Locations</t>
        </is>
      </c>
      <c r="D652" s="233" t="inlineStr">
        <is>
          <t>99</t>
        </is>
      </c>
      <c r="E652" s="233" t="inlineStr">
        <is>
          <t>33</t>
        </is>
      </c>
      <c r="F652" s="227" t="inlineStr">
        <is>
          <t>TH4</t>
        </is>
      </c>
    </row>
    <row r="653">
      <c r="A653" s="227">
        <f>TL[[#This Row],[Société]]&amp;" - "&amp;TL[[#This Row],[Compte]]</f>
        <v/>
      </c>
      <c r="B653" s="233" t="inlineStr">
        <is>
          <t>61300400</t>
        </is>
      </c>
      <c r="C653" s="227" t="inlineStr">
        <is>
          <t>Redevance</t>
        </is>
      </c>
      <c r="D653" s="233" t="inlineStr">
        <is>
          <t>30</t>
        </is>
      </c>
      <c r="E653" s="233" t="inlineStr">
        <is>
          <t>34</t>
        </is>
      </c>
      <c r="F653" s="227" t="inlineStr">
        <is>
          <t>TH4</t>
        </is>
      </c>
    </row>
    <row r="654">
      <c r="A654" s="227">
        <f>TL[[#This Row],[Société]]&amp;" - "&amp;TL[[#This Row],[Compte]]</f>
        <v/>
      </c>
      <c r="B654" s="233" t="inlineStr">
        <is>
          <t>61300500</t>
        </is>
      </c>
      <c r="C654" s="227" t="inlineStr">
        <is>
          <t>Location c2</t>
        </is>
      </c>
      <c r="D654" s="233" t="inlineStr">
        <is>
          <t>16</t>
        </is>
      </c>
      <c r="E654" s="233" t="inlineStr">
        <is>
          <t>19</t>
        </is>
      </c>
      <c r="F654" s="227" t="inlineStr">
        <is>
          <t>TH4</t>
        </is>
      </c>
    </row>
    <row r="655">
      <c r="A655" s="227">
        <f>TL[[#This Row],[Société]]&amp;" - "&amp;TL[[#This Row],[Compte]]</f>
        <v/>
      </c>
      <c r="B655" s="233" t="inlineStr">
        <is>
          <t>61300600</t>
        </is>
      </c>
      <c r="C655" s="227" t="inlineStr">
        <is>
          <t>Location polo sukran mora</t>
        </is>
      </c>
      <c r="D655" s="233" t="inlineStr">
        <is>
          <t>16</t>
        </is>
      </c>
      <c r="E655" s="233" t="inlineStr">
        <is>
          <t>19</t>
        </is>
      </c>
      <c r="F655" s="227" t="inlineStr">
        <is>
          <t>TH4</t>
        </is>
      </c>
    </row>
    <row r="656">
      <c r="A656" s="227">
        <f>TL[[#This Row],[Société]]&amp;" - "&amp;TL[[#This Row],[Compte]]</f>
        <v/>
      </c>
      <c r="B656" s="233" t="inlineStr">
        <is>
          <t>61300700</t>
        </is>
      </c>
      <c r="C656" s="227" t="inlineStr">
        <is>
          <t>Npu location audi a1 business line</t>
        </is>
      </c>
      <c r="D656" s="233" t="inlineStr">
        <is>
          <t>39</t>
        </is>
      </c>
      <c r="E656" s="233" t="inlineStr">
        <is>
          <t>39</t>
        </is>
      </c>
      <c r="F656" s="227" t="inlineStr">
        <is>
          <t>TH4</t>
        </is>
      </c>
    </row>
    <row r="657">
      <c r="A657" s="227">
        <f>TL[[#This Row],[Société]]&amp;" - "&amp;TL[[#This Row],[Compte]]</f>
        <v/>
      </c>
      <c r="B657" s="233" t="inlineStr">
        <is>
          <t>61300800</t>
        </is>
      </c>
      <c r="C657" s="227" t="inlineStr">
        <is>
          <t>Location polo</t>
        </is>
      </c>
      <c r="F657" s="227" t="inlineStr">
        <is>
          <t>TH4</t>
        </is>
      </c>
    </row>
    <row r="658">
      <c r="A658" s="227">
        <f>TL[[#This Row],[Société]]&amp;" - "&amp;TL[[#This Row],[Compte]]</f>
        <v/>
      </c>
      <c r="B658" s="233" t="inlineStr">
        <is>
          <t>61300900</t>
        </is>
      </c>
      <c r="C658" s="227" t="inlineStr">
        <is>
          <t>Loc caisse palette biodechets</t>
        </is>
      </c>
      <c r="D658" s="233" t="inlineStr">
        <is>
          <t>16</t>
        </is>
      </c>
      <c r="E658" s="233" t="inlineStr">
        <is>
          <t>19</t>
        </is>
      </c>
      <c r="F658" s="227" t="inlineStr">
        <is>
          <t>TH4</t>
        </is>
      </c>
    </row>
    <row r="659">
      <c r="A659" s="227">
        <f>TL[[#This Row],[Société]]&amp;" - "&amp;TL[[#This Row],[Compte]]</f>
        <v/>
      </c>
      <c r="B659" s="233" t="inlineStr">
        <is>
          <t>61320000</t>
        </is>
      </c>
      <c r="C659" s="227" t="inlineStr">
        <is>
          <t>Redevance standard 14%</t>
        </is>
      </c>
      <c r="D659" s="233" t="inlineStr">
        <is>
          <t>30</t>
        </is>
      </c>
      <c r="E659" s="233" t="inlineStr">
        <is>
          <t>29</t>
        </is>
      </c>
      <c r="F659" s="227" t="inlineStr">
        <is>
          <t>TH4</t>
        </is>
      </c>
    </row>
    <row r="660">
      <c r="A660" s="227">
        <f>TL[[#This Row],[Société]]&amp;" - "&amp;TL[[#This Row],[Compte]]</f>
        <v/>
      </c>
      <c r="B660" s="233" t="inlineStr">
        <is>
          <t>61350000</t>
        </is>
      </c>
      <c r="C660" s="227" t="inlineStr">
        <is>
          <t>Locations vehicules ponctuelles</t>
        </is>
      </c>
      <c r="D660" s="233" t="inlineStr">
        <is>
          <t>16</t>
        </is>
      </c>
      <c r="E660" s="233" t="inlineStr">
        <is>
          <t>19</t>
        </is>
      </c>
      <c r="F660" s="227" t="inlineStr">
        <is>
          <t>TH4</t>
        </is>
      </c>
    </row>
    <row r="661">
      <c r="A661" s="227">
        <f>TL[[#This Row],[Société]]&amp;" - "&amp;TL[[#This Row],[Compte]]</f>
        <v/>
      </c>
      <c r="B661" s="233" t="inlineStr">
        <is>
          <t>61351000</t>
        </is>
      </c>
      <c r="C661" s="227" t="inlineStr">
        <is>
          <t>Locations ponctuelles</t>
        </is>
      </c>
      <c r="D661" s="233" t="inlineStr">
        <is>
          <t>16</t>
        </is>
      </c>
      <c r="E661" s="233" t="inlineStr">
        <is>
          <t>19</t>
        </is>
      </c>
      <c r="F661" s="227" t="inlineStr">
        <is>
          <t>TH4</t>
        </is>
      </c>
    </row>
    <row r="662">
      <c r="A662" s="227">
        <f>TL[[#This Row],[Société]]&amp;" - "&amp;TL[[#This Row],[Compte]]</f>
        <v/>
      </c>
      <c r="B662" s="233" t="inlineStr">
        <is>
          <t>61352000</t>
        </is>
      </c>
      <c r="C662" s="227" t="inlineStr">
        <is>
          <t>Locations audi a1 dy170dy</t>
        </is>
      </c>
      <c r="D662" s="233" t="inlineStr">
        <is>
          <t>16</t>
        </is>
      </c>
      <c r="E662" s="233" t="inlineStr">
        <is>
          <t>19</t>
        </is>
      </c>
      <c r="F662" s="227" t="inlineStr">
        <is>
          <t>TH4</t>
        </is>
      </c>
    </row>
    <row r="663">
      <c r="A663" s="227">
        <f>TL[[#This Row],[Société]]&amp;" - "&amp;TL[[#This Row],[Compte]]</f>
        <v/>
      </c>
      <c r="B663" s="233" t="inlineStr">
        <is>
          <t>61352100</t>
        </is>
      </c>
      <c r="C663" s="227" t="inlineStr">
        <is>
          <t>Location polo cp-409-dr</t>
        </is>
      </c>
      <c r="F663" s="227" t="inlineStr">
        <is>
          <t>TH4</t>
        </is>
      </c>
    </row>
    <row r="664">
      <c r="A664" s="227">
        <f>TL[[#This Row],[Société]]&amp;" - "&amp;TL[[#This Row],[Compte]]</f>
        <v/>
      </c>
      <c r="B664" s="233" t="inlineStr">
        <is>
          <t>61352200</t>
        </is>
      </c>
      <c r="C664" s="227" t="inlineStr">
        <is>
          <t>Loyer oeuvre d art</t>
        </is>
      </c>
      <c r="D664" s="233" t="inlineStr">
        <is>
          <t>39</t>
        </is>
      </c>
      <c r="E664" s="233" t="inlineStr">
        <is>
          <t>40</t>
        </is>
      </c>
      <c r="F664" s="227" t="inlineStr">
        <is>
          <t>TH4</t>
        </is>
      </c>
    </row>
    <row r="665">
      <c r="A665" s="227">
        <f>TL[[#This Row],[Société]]&amp;" - "&amp;TL[[#This Row],[Compte]]</f>
        <v/>
      </c>
      <c r="B665" s="233" t="inlineStr">
        <is>
          <t>61352300</t>
        </is>
      </c>
      <c r="C665" s="227" t="inlineStr">
        <is>
          <t>Loyer audi a1 em 535 ng</t>
        </is>
      </c>
      <c r="D665" s="233" t="inlineStr">
        <is>
          <t>39</t>
        </is>
      </c>
      <c r="E665" s="233" t="inlineStr">
        <is>
          <t>40</t>
        </is>
      </c>
      <c r="F665" s="227" t="inlineStr">
        <is>
          <t>TH4</t>
        </is>
      </c>
    </row>
    <row r="666">
      <c r="A666" s="227">
        <f>TL[[#This Row],[Société]]&amp;" - "&amp;TL[[#This Row],[Compte]]</f>
        <v/>
      </c>
      <c r="B666" s="233" t="inlineStr">
        <is>
          <t>61352400</t>
        </is>
      </c>
      <c r="C666" s="227" t="inlineStr">
        <is>
          <t>Location polo sport fn 598 qz</t>
        </is>
      </c>
      <c r="D666" s="233" t="inlineStr">
        <is>
          <t>39</t>
        </is>
      </c>
      <c r="E666" s="233" t="inlineStr">
        <is>
          <t>40</t>
        </is>
      </c>
      <c r="F666" s="227" t="inlineStr">
        <is>
          <t>TH4</t>
        </is>
      </c>
    </row>
    <row r="667">
      <c r="A667" s="227">
        <f>TL[[#This Row],[Société]]&amp;" - "&amp;TL[[#This Row],[Compte]]</f>
        <v/>
      </c>
      <c r="B667" s="233" t="inlineStr">
        <is>
          <t>61352500</t>
        </is>
      </c>
      <c r="C667" s="227" t="inlineStr">
        <is>
          <t>Loyer vehicule Thomas</t>
        </is>
      </c>
      <c r="D667" s="233" t="inlineStr">
        <is>
          <t>39</t>
        </is>
      </c>
      <c r="E667" s="233" t="inlineStr">
        <is>
          <t>40</t>
        </is>
      </c>
      <c r="F667" s="227" t="inlineStr">
        <is>
          <t>TH4</t>
        </is>
      </c>
    </row>
    <row r="668">
      <c r="A668" s="227">
        <f>TL[[#This Row],[Société]]&amp;" - "&amp;TL[[#This Row],[Compte]]</f>
        <v/>
      </c>
      <c r="B668" s="233" t="inlineStr">
        <is>
          <t>61352600</t>
        </is>
      </c>
      <c r="C668" s="227" t="inlineStr">
        <is>
          <t>Loyer vehicules autres</t>
        </is>
      </c>
      <c r="D668" s="233" t="inlineStr">
        <is>
          <t>39</t>
        </is>
      </c>
      <c r="E668" s="233" t="inlineStr">
        <is>
          <t>40</t>
        </is>
      </c>
      <c r="F668" s="227" t="inlineStr">
        <is>
          <t>TH4</t>
        </is>
      </c>
    </row>
    <row r="669">
      <c r="A669" s="227">
        <f>TL[[#This Row],[Société]]&amp;" - "&amp;TL[[#This Row],[Compte]]</f>
        <v/>
      </c>
      <c r="B669" s="233" t="inlineStr">
        <is>
          <t>61352700</t>
        </is>
      </c>
      <c r="C669" s="227" t="inlineStr">
        <is>
          <t>Loyer véhicule Hugo</t>
        </is>
      </c>
      <c r="D669" s="233" t="inlineStr">
        <is>
          <t>39</t>
        </is>
      </c>
      <c r="E669" s="233" t="inlineStr">
        <is>
          <t>40</t>
        </is>
      </c>
      <c r="F669" s="227" t="inlineStr">
        <is>
          <t>TH4</t>
        </is>
      </c>
    </row>
    <row r="670">
      <c r="A670" s="227">
        <f>TL[[#This Row],[Société]]&amp;" - "&amp;TL[[#This Row],[Compte]]</f>
        <v/>
      </c>
      <c r="B670" s="233" t="inlineStr">
        <is>
          <t>61352800</t>
        </is>
      </c>
      <c r="C670" s="227" t="inlineStr">
        <is>
          <t>loyer vehicule resse</t>
        </is>
      </c>
      <c r="D670" s="233" t="inlineStr">
        <is>
          <t>39</t>
        </is>
      </c>
      <c r="E670" s="233" t="inlineStr">
        <is>
          <t>40</t>
        </is>
      </c>
      <c r="F670" s="227" t="inlineStr">
        <is>
          <t>TH4</t>
        </is>
      </c>
    </row>
    <row r="671">
      <c r="A671" s="227">
        <f>TL[[#This Row],[Société]]&amp;" - "&amp;TL[[#This Row],[Compte]]</f>
        <v/>
      </c>
      <c r="B671" s="233" t="inlineStr">
        <is>
          <t>61353000</t>
        </is>
      </c>
      <c r="C671" s="227" t="inlineStr">
        <is>
          <t>Location tpe interway</t>
        </is>
      </c>
      <c r="D671" s="233" t="inlineStr">
        <is>
          <t>16</t>
        </is>
      </c>
      <c r="E671" s="233" t="inlineStr">
        <is>
          <t>19</t>
        </is>
      </c>
      <c r="F671" s="227" t="inlineStr">
        <is>
          <t>TH4</t>
        </is>
      </c>
    </row>
    <row r="672">
      <c r="A672" s="227">
        <f>TL[[#This Row],[Société]]&amp;" - "&amp;TL[[#This Row],[Compte]]</f>
        <v/>
      </c>
      <c r="B672" s="233" t="inlineStr">
        <is>
          <t>61354000</t>
        </is>
      </c>
      <c r="C672" s="227" t="inlineStr">
        <is>
          <t>Loc surveillance vidéo gardiennage</t>
        </is>
      </c>
      <c r="D672" s="233" t="inlineStr">
        <is>
          <t>16</t>
        </is>
      </c>
      <c r="E672" s="233" t="inlineStr">
        <is>
          <t>16</t>
        </is>
      </c>
      <c r="F672" s="227" t="inlineStr">
        <is>
          <t>TH4</t>
        </is>
      </c>
    </row>
    <row r="673">
      <c r="A673" s="227">
        <f>TL[[#This Row],[Société]]&amp;" - "&amp;TL[[#This Row],[Compte]]</f>
        <v/>
      </c>
      <c r="B673" s="233" t="inlineStr">
        <is>
          <t>61354100</t>
        </is>
      </c>
      <c r="C673" s="227" t="inlineStr">
        <is>
          <t>Location defibrillateur</t>
        </is>
      </c>
      <c r="D673" s="233" t="inlineStr">
        <is>
          <t>16</t>
        </is>
      </c>
      <c r="E673" s="233" t="inlineStr">
        <is>
          <t>19</t>
        </is>
      </c>
      <c r="F673" s="227" t="inlineStr">
        <is>
          <t>TH4</t>
        </is>
      </c>
    </row>
    <row r="674">
      <c r="A674" s="227">
        <f>TL[[#This Row],[Société]]&amp;" - "&amp;TL[[#This Row],[Compte]]</f>
        <v/>
      </c>
      <c r="B674" s="233" t="inlineStr">
        <is>
          <t>61354200</t>
        </is>
      </c>
      <c r="C674" s="227" t="inlineStr">
        <is>
          <t>Location box</t>
        </is>
      </c>
      <c r="D674" s="233" t="inlineStr">
        <is>
          <t>16</t>
        </is>
      </c>
      <c r="E674" s="233" t="inlineStr">
        <is>
          <t>19</t>
        </is>
      </c>
      <c r="F674" s="227" t="inlineStr">
        <is>
          <t>TH4</t>
        </is>
      </c>
    </row>
    <row r="675">
      <c r="A675" s="227">
        <f>TL[[#This Row],[Société]]&amp;" - "&amp;TL[[#This Row],[Compte]]</f>
        <v/>
      </c>
      <c r="B675" s="233" t="inlineStr">
        <is>
          <t>61354300</t>
        </is>
      </c>
      <c r="C675" s="227" t="inlineStr">
        <is>
          <t>Location baie de brassage</t>
        </is>
      </c>
      <c r="D675" s="233" t="inlineStr">
        <is>
          <t>16</t>
        </is>
      </c>
      <c r="E675" s="233" t="inlineStr">
        <is>
          <t>19</t>
        </is>
      </c>
      <c r="F675" s="227" t="inlineStr">
        <is>
          <t>TH4</t>
        </is>
      </c>
    </row>
    <row r="676">
      <c r="A676" s="227">
        <f>TL[[#This Row],[Société]]&amp;" - "&amp;TL[[#This Row],[Compte]]</f>
        <v/>
      </c>
      <c r="B676" s="233" t="inlineStr">
        <is>
          <t>61400000</t>
        </is>
      </c>
      <c r="C676" s="227" t="inlineStr">
        <is>
          <t>Charges locatives mc do france</t>
        </is>
      </c>
      <c r="F676" s="227" t="inlineStr">
        <is>
          <t>TH4</t>
        </is>
      </c>
    </row>
    <row r="677">
      <c r="A677" s="227">
        <f>TL[[#This Row],[Société]]&amp;" - "&amp;TL[[#This Row],[Compte]]</f>
        <v/>
      </c>
      <c r="B677" s="233" t="inlineStr">
        <is>
          <t>61410000</t>
        </is>
      </c>
      <c r="C677" s="227" t="inlineStr">
        <is>
          <t>Charges locat.copropriété</t>
        </is>
      </c>
      <c r="D677" s="233" t="inlineStr">
        <is>
          <t>34</t>
        </is>
      </c>
      <c r="E677" s="233" t="inlineStr">
        <is>
          <t>33</t>
        </is>
      </c>
      <c r="F677" s="227" t="inlineStr">
        <is>
          <t>TH4</t>
        </is>
      </c>
    </row>
    <row r="678">
      <c r="A678" s="227">
        <f>TL[[#This Row],[Société]]&amp;" - "&amp;TL[[#This Row],[Compte]]</f>
        <v/>
      </c>
      <c r="B678" s="233" t="inlineStr">
        <is>
          <t>61500000</t>
        </is>
      </c>
      <c r="C678" s="227" t="inlineStr">
        <is>
          <t>27.02/ac froid/interv fuite d'eau</t>
        </is>
      </c>
      <c r="F678" s="227" t="inlineStr">
        <is>
          <t>TH4</t>
        </is>
      </c>
    </row>
    <row r="679">
      <c r="A679" s="227">
        <f>TL[[#This Row],[Société]]&amp;" - "&amp;TL[[#This Row],[Compte]]</f>
        <v/>
      </c>
      <c r="B679" s="233" t="inlineStr">
        <is>
          <t>61500100</t>
        </is>
      </c>
      <c r="C679" s="227" t="inlineStr">
        <is>
          <t>Ent et repararat</t>
        </is>
      </c>
      <c r="D679" s="233" t="inlineStr">
        <is>
          <t>19</t>
        </is>
      </c>
      <c r="E679" s="233" t="inlineStr">
        <is>
          <t>18</t>
        </is>
      </c>
      <c r="F679" s="227" t="inlineStr">
        <is>
          <t>TH4</t>
        </is>
      </c>
    </row>
    <row r="680">
      <c r="A680" s="227">
        <f>TL[[#This Row],[Société]]&amp;" - "&amp;TL[[#This Row],[Compte]]</f>
        <v/>
      </c>
      <c r="B680" s="233" t="inlineStr">
        <is>
          <t>61500300</t>
        </is>
      </c>
      <c r="C680" s="227" t="inlineStr">
        <is>
          <t>Linge</t>
        </is>
      </c>
      <c r="D680" s="233" t="inlineStr">
        <is>
          <t>19</t>
        </is>
      </c>
      <c r="E680" s="233" t="inlineStr">
        <is>
          <t>19</t>
        </is>
      </c>
      <c r="F680" s="227" t="inlineStr">
        <is>
          <t>TH4</t>
        </is>
      </c>
    </row>
    <row r="681">
      <c r="A681" s="227">
        <f>TL[[#This Row],[Société]]&amp;" - "&amp;TL[[#This Row],[Compte]]</f>
        <v/>
      </c>
      <c r="B681" s="233" t="inlineStr">
        <is>
          <t>61500400</t>
        </is>
      </c>
      <c r="C681" s="227" t="inlineStr">
        <is>
          <t>Surveillance</t>
        </is>
      </c>
      <c r="D681" s="233" t="inlineStr">
        <is>
          <t>16</t>
        </is>
      </c>
      <c r="E681" s="233" t="inlineStr">
        <is>
          <t>16</t>
        </is>
      </c>
      <c r="F681" s="227" t="inlineStr">
        <is>
          <t>TH4</t>
        </is>
      </c>
    </row>
    <row r="682">
      <c r="A682" s="227">
        <f>TL[[#This Row],[Société]]&amp;" - "&amp;TL[[#This Row],[Compte]]</f>
        <v/>
      </c>
      <c r="B682" s="233" t="inlineStr">
        <is>
          <t>61500600</t>
        </is>
      </c>
      <c r="C682" s="227" t="inlineStr">
        <is>
          <t>Contrat sud récup</t>
        </is>
      </c>
      <c r="D682" s="233" t="inlineStr">
        <is>
          <t>16</t>
        </is>
      </c>
      <c r="E682" s="233" t="inlineStr">
        <is>
          <t>19</t>
        </is>
      </c>
      <c r="F682" s="227" t="inlineStr">
        <is>
          <t>TH4</t>
        </is>
      </c>
    </row>
    <row r="683">
      <c r="A683" s="227">
        <f>TL[[#This Row],[Société]]&amp;" - "&amp;TL[[#This Row],[Compte]]</f>
        <v/>
      </c>
      <c r="B683" s="233" t="inlineStr">
        <is>
          <t>61501100</t>
        </is>
      </c>
      <c r="C683" s="227" t="inlineStr">
        <is>
          <t>J normandie</t>
        </is>
      </c>
      <c r="D683" s="233" t="inlineStr">
        <is>
          <t>16</t>
        </is>
      </c>
      <c r="E683" s="233" t="inlineStr">
        <is>
          <t>19</t>
        </is>
      </c>
      <c r="F683" s="227" t="inlineStr">
        <is>
          <t>TH4</t>
        </is>
      </c>
    </row>
    <row r="684">
      <c r="A684" s="227">
        <f>TL[[#This Row],[Société]]&amp;" - "&amp;TL[[#This Row],[Compte]]</f>
        <v/>
      </c>
      <c r="B684" s="233" t="inlineStr">
        <is>
          <t>61501200</t>
        </is>
      </c>
      <c r="C684" s="227" t="inlineStr">
        <is>
          <t>Sire</t>
        </is>
      </c>
      <c r="D684" s="233" t="inlineStr">
        <is>
          <t>16</t>
        </is>
      </c>
      <c r="E684" s="233" t="inlineStr">
        <is>
          <t>15</t>
        </is>
      </c>
      <c r="F684" s="227" t="inlineStr">
        <is>
          <t>TH4</t>
        </is>
      </c>
    </row>
    <row r="685">
      <c r="A685" s="227">
        <f>TL[[#This Row],[Société]]&amp;" - "&amp;TL[[#This Row],[Compte]]</f>
        <v/>
      </c>
      <c r="B685" s="233" t="inlineStr">
        <is>
          <t>61501600</t>
        </is>
      </c>
      <c r="C685" s="227" t="inlineStr">
        <is>
          <t>Vitres</t>
        </is>
      </c>
      <c r="D685" s="233" t="inlineStr">
        <is>
          <t>16</t>
        </is>
      </c>
      <c r="E685" s="233" t="inlineStr">
        <is>
          <t>15</t>
        </is>
      </c>
      <c r="F685" s="227" t="inlineStr">
        <is>
          <t>TH4</t>
        </is>
      </c>
    </row>
    <row r="686">
      <c r="A686" s="227">
        <f>TL[[#This Row],[Société]]&amp;" - "&amp;TL[[#This Row],[Compte]]</f>
        <v/>
      </c>
      <c r="B686" s="233" t="inlineStr">
        <is>
          <t>61501700</t>
        </is>
      </c>
      <c r="C686" s="227" t="inlineStr">
        <is>
          <t>Meteor</t>
        </is>
      </c>
      <c r="D686" s="233" t="inlineStr">
        <is>
          <t>16</t>
        </is>
      </c>
      <c r="E686" s="233" t="inlineStr">
        <is>
          <t>19</t>
        </is>
      </c>
      <c r="F686" s="227" t="inlineStr">
        <is>
          <t>TH4</t>
        </is>
      </c>
    </row>
    <row r="687">
      <c r="A687" s="227">
        <f>TL[[#This Row],[Société]]&amp;" - "&amp;TL[[#This Row],[Compte]]</f>
        <v/>
      </c>
      <c r="B687" s="233" t="inlineStr">
        <is>
          <t>61520000</t>
        </is>
      </c>
      <c r="C687" s="227" t="inlineStr">
        <is>
          <t>Entretien espaces verts</t>
        </is>
      </c>
      <c r="D687" s="233" t="inlineStr">
        <is>
          <t>16</t>
        </is>
      </c>
      <c r="E687" s="233" t="inlineStr">
        <is>
          <t>19</t>
        </is>
      </c>
      <c r="F687" s="227" t="inlineStr">
        <is>
          <t>TH4</t>
        </is>
      </c>
    </row>
    <row r="688">
      <c r="A688" s="227">
        <f>TL[[#This Row],[Société]]&amp;" - "&amp;TL[[#This Row],[Compte]]</f>
        <v/>
      </c>
      <c r="B688" s="233" t="inlineStr">
        <is>
          <t>61521000</t>
        </is>
      </c>
      <c r="C688" s="227" t="inlineStr">
        <is>
          <t>Entretien vitres</t>
        </is>
      </c>
      <c r="D688" s="233" t="inlineStr">
        <is>
          <t>16</t>
        </is>
      </c>
      <c r="E688" s="233" t="inlineStr">
        <is>
          <t>15</t>
        </is>
      </c>
      <c r="F688" s="227" t="inlineStr">
        <is>
          <t>TH4</t>
        </is>
      </c>
    </row>
    <row r="689">
      <c r="A689" s="227">
        <f>TL[[#This Row],[Société]]&amp;" - "&amp;TL[[#This Row],[Compte]]</f>
        <v/>
      </c>
      <c r="B689" s="233" t="inlineStr">
        <is>
          <t>61522000</t>
        </is>
      </c>
      <c r="C689" s="227" t="inlineStr">
        <is>
          <t>Lexo entretien</t>
        </is>
      </c>
      <c r="D689" s="233" t="inlineStr">
        <is>
          <t>16</t>
        </is>
      </c>
      <c r="E689" s="233" t="inlineStr">
        <is>
          <t>19</t>
        </is>
      </c>
      <c r="F689" s="227" t="inlineStr">
        <is>
          <t>TH4</t>
        </is>
      </c>
    </row>
    <row r="690">
      <c r="A690" s="227">
        <f>TL[[#This Row],[Société]]&amp;" - "&amp;TL[[#This Row],[Compte]]</f>
        <v/>
      </c>
      <c r="B690" s="233" t="inlineStr">
        <is>
          <t>61550000</t>
        </is>
      </c>
      <c r="C690" s="227" t="inlineStr">
        <is>
          <t>Entretien et réparation divers</t>
        </is>
      </c>
      <c r="D690" s="233" t="inlineStr">
        <is>
          <t>19</t>
        </is>
      </c>
      <c r="E690" s="233" t="inlineStr">
        <is>
          <t>18</t>
        </is>
      </c>
      <c r="F690" s="227" t="inlineStr">
        <is>
          <t>TH4</t>
        </is>
      </c>
    </row>
    <row r="691">
      <c r="A691" s="227">
        <f>TL[[#This Row],[Société]]&amp;" - "&amp;TL[[#This Row],[Compte]]</f>
        <v/>
      </c>
      <c r="B691" s="233" t="inlineStr">
        <is>
          <t>61552000</t>
        </is>
      </c>
      <c r="C691" s="227" t="inlineStr">
        <is>
          <t>Entretien materiel transport</t>
        </is>
      </c>
      <c r="D691" s="233" t="inlineStr">
        <is>
          <t>19</t>
        </is>
      </c>
      <c r="E691" s="233" t="inlineStr">
        <is>
          <t>18</t>
        </is>
      </c>
      <c r="F691" s="227" t="inlineStr">
        <is>
          <t>TH4</t>
        </is>
      </c>
    </row>
    <row r="692">
      <c r="A692" s="227">
        <f>TL[[#This Row],[Société]]&amp;" - "&amp;TL[[#This Row],[Compte]]</f>
        <v/>
      </c>
      <c r="B692" s="233" t="inlineStr">
        <is>
          <t>61552100</t>
        </is>
      </c>
      <c r="C692" s="227" t="inlineStr">
        <is>
          <t>Entret.mat.de transp.</t>
        </is>
      </c>
      <c r="D692" s="233" t="inlineStr">
        <is>
          <t>39</t>
        </is>
      </c>
      <c r="E692" s="233" t="inlineStr">
        <is>
          <t>18</t>
        </is>
      </c>
      <c r="F692" s="227" t="inlineStr">
        <is>
          <t>TH4</t>
        </is>
      </c>
    </row>
    <row r="693">
      <c r="A693" s="227">
        <f>TL[[#This Row],[Société]]&amp;" - "&amp;TL[[#This Row],[Compte]]</f>
        <v/>
      </c>
      <c r="B693" s="233" t="inlineStr">
        <is>
          <t>61552200</t>
        </is>
      </c>
      <c r="C693" s="227" t="inlineStr">
        <is>
          <t>Ercem silliker</t>
        </is>
      </c>
      <c r="D693" s="233" t="inlineStr">
        <is>
          <t>16</t>
        </is>
      </c>
      <c r="E693" s="233" t="inlineStr">
        <is>
          <t>19</t>
        </is>
      </c>
      <c r="F693" s="227" t="inlineStr">
        <is>
          <t>TH4</t>
        </is>
      </c>
    </row>
    <row r="694">
      <c r="A694" s="227">
        <f>TL[[#This Row],[Société]]&amp;" - "&amp;TL[[#This Row],[Compte]]</f>
        <v/>
      </c>
      <c r="B694" s="233" t="inlineStr">
        <is>
          <t>61560000</t>
        </is>
      </c>
      <c r="C694" s="227" t="inlineStr">
        <is>
          <t>Maintenance mc do sire</t>
        </is>
      </c>
      <c r="D694" s="233" t="inlineStr">
        <is>
          <t>16</t>
        </is>
      </c>
      <c r="E694" s="233" t="inlineStr">
        <is>
          <t>19</t>
        </is>
      </c>
      <c r="F694" s="227" t="inlineStr">
        <is>
          <t>TH4</t>
        </is>
      </c>
    </row>
    <row r="695">
      <c r="A695" s="227">
        <f>TL[[#This Row],[Société]]&amp;" - "&amp;TL[[#This Row],[Compte]]</f>
        <v/>
      </c>
      <c r="B695" s="233" t="inlineStr">
        <is>
          <t>61561000</t>
        </is>
      </c>
      <c r="C695" s="227" t="inlineStr">
        <is>
          <t>Contrat iron mountain</t>
        </is>
      </c>
      <c r="D695" s="233" t="inlineStr">
        <is>
          <t>16</t>
        </is>
      </c>
      <c r="E695" s="233" t="inlineStr">
        <is>
          <t>19</t>
        </is>
      </c>
      <c r="F695" s="227" t="inlineStr">
        <is>
          <t>TH4</t>
        </is>
      </c>
    </row>
    <row r="696">
      <c r="A696" s="227">
        <f>TL[[#This Row],[Société]]&amp;" - "&amp;TL[[#This Row],[Compte]]</f>
        <v/>
      </c>
      <c r="B696" s="233" t="inlineStr">
        <is>
          <t>61561100</t>
        </is>
      </c>
      <c r="C696" s="227" t="inlineStr">
        <is>
          <t>Contrat ramassage espèces</t>
        </is>
      </c>
      <c r="D696" s="233" t="inlineStr">
        <is>
          <t>16</t>
        </is>
      </c>
      <c r="E696" s="233" t="inlineStr">
        <is>
          <t>19</t>
        </is>
      </c>
      <c r="F696" s="227" t="inlineStr">
        <is>
          <t>TH4</t>
        </is>
      </c>
    </row>
    <row r="697">
      <c r="A697" s="227">
        <f>TL[[#This Row],[Société]]&amp;" - "&amp;TL[[#This Row],[Compte]]</f>
        <v/>
      </c>
      <c r="B697" s="233" t="inlineStr">
        <is>
          <t>61561200</t>
        </is>
      </c>
      <c r="C697" s="227" t="inlineStr">
        <is>
          <t>Contrat collecte huiles usagées</t>
        </is>
      </c>
      <c r="D697" s="233" t="inlineStr">
        <is>
          <t>16</t>
        </is>
      </c>
      <c r="E697" s="233" t="inlineStr">
        <is>
          <t>19</t>
        </is>
      </c>
      <c r="F697" s="227" t="inlineStr">
        <is>
          <t>TH4</t>
        </is>
      </c>
    </row>
    <row r="698">
      <c r="A698" s="227">
        <f>TL[[#This Row],[Société]]&amp;" - "&amp;TL[[#This Row],[Compte]]</f>
        <v/>
      </c>
      <c r="B698" s="233" t="inlineStr">
        <is>
          <t>61561300</t>
        </is>
      </c>
      <c r="C698" s="227" t="inlineStr">
        <is>
          <t>Contrat reflex services</t>
        </is>
      </c>
      <c r="D698" s="233" t="inlineStr">
        <is>
          <t>16</t>
        </is>
      </c>
      <c r="E698" s="233" t="inlineStr">
        <is>
          <t>19</t>
        </is>
      </c>
      <c r="F698" s="227" t="inlineStr">
        <is>
          <t>TH4</t>
        </is>
      </c>
    </row>
    <row r="699">
      <c r="A699" s="227">
        <f>TL[[#This Row],[Société]]&amp;" - "&amp;TL[[#This Row],[Compte]]</f>
        <v/>
      </c>
      <c r="B699" s="233" t="inlineStr">
        <is>
          <t>61561400</t>
        </is>
      </c>
      <c r="C699" s="227" t="inlineStr">
        <is>
          <t>Contrat entretien aire de jeux</t>
        </is>
      </c>
      <c r="D699" s="233" t="inlineStr">
        <is>
          <t>16</t>
        </is>
      </c>
      <c r="E699" s="233" t="inlineStr">
        <is>
          <t>19</t>
        </is>
      </c>
      <c r="F699" s="227" t="inlineStr">
        <is>
          <t>TH4</t>
        </is>
      </c>
    </row>
    <row r="700">
      <c r="A700" s="227">
        <f>TL[[#This Row],[Société]]&amp;" - "&amp;TL[[#This Row],[Compte]]</f>
        <v/>
      </c>
      <c r="B700" s="233" t="inlineStr">
        <is>
          <t>61561500</t>
        </is>
      </c>
      <c r="C700" s="227" t="inlineStr">
        <is>
          <t>Contrat entretien linge</t>
        </is>
      </c>
      <c r="D700" s="233" t="inlineStr">
        <is>
          <t>16</t>
        </is>
      </c>
      <c r="E700" s="233" t="inlineStr">
        <is>
          <t>19</t>
        </is>
      </c>
      <c r="F700" s="227" t="inlineStr">
        <is>
          <t>TH4</t>
        </is>
      </c>
    </row>
    <row r="701">
      <c r="A701" s="227">
        <f>TL[[#This Row],[Société]]&amp;" - "&amp;TL[[#This Row],[Compte]]</f>
        <v/>
      </c>
      <c r="B701" s="233" t="inlineStr">
        <is>
          <t>61561600</t>
        </is>
      </c>
      <c r="C701" s="227" t="inlineStr">
        <is>
          <t>Contrat entretien climatisation</t>
        </is>
      </c>
      <c r="D701" s="233" t="inlineStr">
        <is>
          <t>16</t>
        </is>
      </c>
      <c r="E701" s="233" t="inlineStr">
        <is>
          <t>19</t>
        </is>
      </c>
      <c r="F701" s="227" t="inlineStr">
        <is>
          <t>TH4</t>
        </is>
      </c>
    </row>
    <row r="702">
      <c r="A702" s="227">
        <f>TL[[#This Row],[Société]]&amp;" - "&amp;TL[[#This Row],[Compte]]</f>
        <v/>
      </c>
      <c r="B702" s="233" t="inlineStr">
        <is>
          <t>61561700</t>
        </is>
      </c>
      <c r="C702" s="227" t="inlineStr">
        <is>
          <t>Contrat musique</t>
        </is>
      </c>
      <c r="D702" s="233" t="inlineStr">
        <is>
          <t>16</t>
        </is>
      </c>
      <c r="E702" s="233" t="inlineStr">
        <is>
          <t>19</t>
        </is>
      </c>
      <c r="F702" s="227" t="inlineStr">
        <is>
          <t>TH4</t>
        </is>
      </c>
    </row>
    <row r="703">
      <c r="A703" s="227">
        <f>TL[[#This Row],[Société]]&amp;" - "&amp;TL[[#This Row],[Compte]]</f>
        <v/>
      </c>
      <c r="B703" s="233" t="inlineStr">
        <is>
          <t>61561800</t>
        </is>
      </c>
      <c r="C703" s="227" t="inlineStr">
        <is>
          <t>Contrat wifi</t>
        </is>
      </c>
      <c r="D703" s="233" t="inlineStr">
        <is>
          <t>16</t>
        </is>
      </c>
      <c r="E703" s="233" t="inlineStr">
        <is>
          <t>19</t>
        </is>
      </c>
      <c r="F703" s="227" t="inlineStr">
        <is>
          <t>TH4</t>
        </is>
      </c>
    </row>
    <row r="704">
      <c r="A704" s="227">
        <f>TL[[#This Row],[Société]]&amp;" - "&amp;TL[[#This Row],[Compte]]</f>
        <v/>
      </c>
      <c r="B704" s="233" t="inlineStr">
        <is>
          <t>61561900</t>
        </is>
      </c>
      <c r="C704" s="227" t="inlineStr">
        <is>
          <t>Contrat ménage dératisat° désinfect</t>
        </is>
      </c>
      <c r="D704" s="233" t="inlineStr">
        <is>
          <t>16</t>
        </is>
      </c>
      <c r="E704" s="233" t="inlineStr">
        <is>
          <t>15</t>
        </is>
      </c>
      <c r="F704" s="227" t="inlineStr">
        <is>
          <t>TH4</t>
        </is>
      </c>
    </row>
    <row r="705">
      <c r="A705" s="227">
        <f>TL[[#This Row],[Société]]&amp;" - "&amp;TL[[#This Row],[Compte]]</f>
        <v/>
      </c>
      <c r="B705" s="233" t="inlineStr">
        <is>
          <t>61562000</t>
        </is>
      </c>
      <c r="C705" s="227" t="inlineStr">
        <is>
          <t>Surveillance gardiennage/vidéo</t>
        </is>
      </c>
      <c r="D705" s="233" t="inlineStr">
        <is>
          <t>16</t>
        </is>
      </c>
      <c r="E705" s="233" t="inlineStr">
        <is>
          <t>16</t>
        </is>
      </c>
      <c r="F705" s="227" t="inlineStr">
        <is>
          <t>TH4</t>
        </is>
      </c>
    </row>
    <row r="706">
      <c r="A706" s="227">
        <f>TL[[#This Row],[Société]]&amp;" - "&amp;TL[[#This Row],[Compte]]</f>
        <v/>
      </c>
      <c r="B706" s="233" t="inlineStr">
        <is>
          <t>61562100</t>
        </is>
      </c>
      <c r="C706" s="227" t="inlineStr">
        <is>
          <t>Contrat onyx veolia</t>
        </is>
      </c>
      <c r="D706" s="233" t="inlineStr">
        <is>
          <t>16</t>
        </is>
      </c>
      <c r="E706" s="233" t="inlineStr">
        <is>
          <t>19</t>
        </is>
      </c>
      <c r="F706" s="227" t="inlineStr">
        <is>
          <t>TH4</t>
        </is>
      </c>
    </row>
    <row r="707">
      <c r="A707" s="227">
        <f>TL[[#This Row],[Société]]&amp;" - "&amp;TL[[#This Row],[Compte]]</f>
        <v/>
      </c>
      <c r="B707" s="233" t="inlineStr">
        <is>
          <t>61562200</t>
        </is>
      </c>
      <c r="C707" s="227" t="inlineStr">
        <is>
          <t>Contrat silliker</t>
        </is>
      </c>
      <c r="D707" s="233" t="inlineStr">
        <is>
          <t>16</t>
        </is>
      </c>
      <c r="E707" s="233" t="inlineStr">
        <is>
          <t>19</t>
        </is>
      </c>
      <c r="F707" s="227" t="inlineStr">
        <is>
          <t>TH4</t>
        </is>
      </c>
    </row>
    <row r="708">
      <c r="A708" s="227">
        <f>TL[[#This Row],[Société]]&amp;" - "&amp;TL[[#This Row],[Compte]]</f>
        <v/>
      </c>
      <c r="B708" s="233" t="inlineStr">
        <is>
          <t>61562300</t>
        </is>
      </c>
      <c r="C708" s="227" t="inlineStr">
        <is>
          <t>Contrat sesam</t>
        </is>
      </c>
      <c r="D708" s="233" t="inlineStr">
        <is>
          <t>16</t>
        </is>
      </c>
      <c r="E708" s="233" t="inlineStr">
        <is>
          <t>19</t>
        </is>
      </c>
      <c r="F708" s="227" t="inlineStr">
        <is>
          <t>TH4</t>
        </is>
      </c>
    </row>
    <row r="709">
      <c r="A709" s="227">
        <f>TL[[#This Row],[Société]]&amp;" - "&amp;TL[[#This Row],[Compte]]</f>
        <v/>
      </c>
      <c r="B709" s="233" t="inlineStr">
        <is>
          <t>61562400</t>
        </is>
      </c>
      <c r="C709" s="227" t="inlineStr">
        <is>
          <t>Contrat mach affranchir</t>
        </is>
      </c>
      <c r="D709" s="233" t="inlineStr">
        <is>
          <t>16</t>
        </is>
      </c>
      <c r="E709" s="233" t="inlineStr">
        <is>
          <t>19</t>
        </is>
      </c>
      <c r="F709" s="227" t="inlineStr">
        <is>
          <t>TH4</t>
        </is>
      </c>
    </row>
    <row r="710">
      <c r="A710" s="227">
        <f>TL[[#This Row],[Société]]&amp;" - "&amp;TL[[#This Row],[Compte]]</f>
        <v/>
      </c>
      <c r="B710" s="233" t="inlineStr">
        <is>
          <t>61562500</t>
        </is>
      </c>
      <c r="C710" s="227" t="inlineStr">
        <is>
          <t>Contrat cofely cofatec</t>
        </is>
      </c>
      <c r="F710" s="227" t="inlineStr">
        <is>
          <t>TH4</t>
        </is>
      </c>
    </row>
    <row r="711">
      <c r="A711" s="227">
        <f>TL[[#This Row],[Société]]&amp;" - "&amp;TL[[#This Row],[Compte]]</f>
        <v/>
      </c>
      <c r="B711" s="233" t="inlineStr">
        <is>
          <t>61562600</t>
        </is>
      </c>
      <c r="C711" s="227" t="inlineStr">
        <is>
          <t>Contrat tyco</t>
        </is>
      </c>
      <c r="D711" s="233" t="inlineStr">
        <is>
          <t>16</t>
        </is>
      </c>
      <c r="E711" s="233" t="inlineStr">
        <is>
          <t>19</t>
        </is>
      </c>
      <c r="F711" s="227" t="inlineStr">
        <is>
          <t>TH4</t>
        </is>
      </c>
    </row>
    <row r="712">
      <c r="A712" s="227">
        <f>TL[[#This Row],[Société]]&amp;" - "&amp;TL[[#This Row],[Compte]]</f>
        <v/>
      </c>
      <c r="B712" s="233" t="inlineStr">
        <is>
          <t>61562700</t>
        </is>
      </c>
      <c r="C712" s="227" t="inlineStr">
        <is>
          <t>05.04/cofly/ct chauffage</t>
        </is>
      </c>
      <c r="D712" s="233" t="inlineStr">
        <is>
          <t>16</t>
        </is>
      </c>
      <c r="E712" s="233" t="inlineStr">
        <is>
          <t>19</t>
        </is>
      </c>
      <c r="F712" s="227" t="inlineStr">
        <is>
          <t>TH4</t>
        </is>
      </c>
    </row>
    <row r="713">
      <c r="A713" s="227">
        <f>TL[[#This Row],[Société]]&amp;" - "&amp;TL[[#This Row],[Compte]]</f>
        <v/>
      </c>
      <c r="B713" s="233" t="inlineStr">
        <is>
          <t>61562800</t>
        </is>
      </c>
      <c r="C713" s="227" t="inlineStr">
        <is>
          <t>Contrat mood</t>
        </is>
      </c>
      <c r="D713" s="233" t="inlineStr">
        <is>
          <t>16</t>
        </is>
      </c>
      <c r="E713" s="233" t="inlineStr">
        <is>
          <t>19</t>
        </is>
      </c>
      <c r="F713" s="227" t="inlineStr">
        <is>
          <t>TH4</t>
        </is>
      </c>
    </row>
    <row r="714">
      <c r="A714" s="227">
        <f>TL[[#This Row],[Société]]&amp;" - "&amp;TL[[#This Row],[Compte]]</f>
        <v/>
      </c>
      <c r="B714" s="233" t="inlineStr">
        <is>
          <t>61562900</t>
        </is>
      </c>
      <c r="C714" s="227" t="inlineStr">
        <is>
          <t>Full connection ews comptabilité</t>
        </is>
      </c>
      <c r="D714" s="233" t="inlineStr">
        <is>
          <t>16</t>
        </is>
      </c>
      <c r="E714" s="233" t="inlineStr">
        <is>
          <t>19</t>
        </is>
      </c>
      <c r="F714" s="227" t="inlineStr">
        <is>
          <t>TH4</t>
        </is>
      </c>
    </row>
    <row r="715">
      <c r="A715" s="227">
        <f>TL[[#This Row],[Société]]&amp;" - "&amp;TL[[#This Row],[Compte]]</f>
        <v/>
      </c>
      <c r="B715" s="233" t="inlineStr">
        <is>
          <t>61563000</t>
        </is>
      </c>
      <c r="C715" s="227" t="inlineStr">
        <is>
          <t>Contrat maintenance coca</t>
        </is>
      </c>
      <c r="D715" s="233" t="inlineStr">
        <is>
          <t>16</t>
        </is>
      </c>
      <c r="E715" s="233" t="inlineStr">
        <is>
          <t>19</t>
        </is>
      </c>
      <c r="F715" s="227" t="inlineStr">
        <is>
          <t>TH4</t>
        </is>
      </c>
    </row>
    <row r="716">
      <c r="A716" s="227">
        <f>TL[[#This Row],[Société]]&amp;" - "&amp;TL[[#This Row],[Compte]]</f>
        <v/>
      </c>
      <c r="B716" s="233" t="inlineStr">
        <is>
          <t>61563100</t>
        </is>
      </c>
      <c r="C716" s="227" t="inlineStr">
        <is>
          <t>Contrat maintenance melitta</t>
        </is>
      </c>
      <c r="D716" s="233" t="inlineStr">
        <is>
          <t>16</t>
        </is>
      </c>
      <c r="E716" s="233" t="inlineStr">
        <is>
          <t>19</t>
        </is>
      </c>
      <c r="F716" s="227" t="inlineStr">
        <is>
          <t>TH4</t>
        </is>
      </c>
    </row>
    <row r="717">
      <c r="A717" s="227">
        <f>TL[[#This Row],[Société]]&amp;" - "&amp;TL[[#This Row],[Compte]]</f>
        <v/>
      </c>
      <c r="B717" s="233" t="inlineStr">
        <is>
          <t>61563200</t>
        </is>
      </c>
      <c r="C717" s="227" t="inlineStr">
        <is>
          <t>CONTRAT ACRELEC</t>
        </is>
      </c>
      <c r="D717" s="233" t="inlineStr">
        <is>
          <t>16</t>
        </is>
      </c>
      <c r="E717" s="233" t="inlineStr">
        <is>
          <t>19</t>
        </is>
      </c>
      <c r="F717" s="227" t="inlineStr">
        <is>
          <t>TH4</t>
        </is>
      </c>
    </row>
    <row r="718">
      <c r="A718" s="227">
        <f>TL[[#This Row],[Société]]&amp;" - "&amp;TL[[#This Row],[Compte]]</f>
        <v/>
      </c>
      <c r="B718" s="233" t="inlineStr">
        <is>
          <t>61563300</t>
        </is>
      </c>
      <c r="C718" s="227" t="inlineStr">
        <is>
          <t>Contrat interway</t>
        </is>
      </c>
      <c r="D718" s="233" t="inlineStr">
        <is>
          <t>16</t>
        </is>
      </c>
      <c r="E718" s="233" t="inlineStr">
        <is>
          <t>19</t>
        </is>
      </c>
      <c r="F718" s="227" t="inlineStr">
        <is>
          <t>TH4</t>
        </is>
      </c>
    </row>
    <row r="719">
      <c r="A719" s="227">
        <f>TL[[#This Row],[Société]]&amp;" - "&amp;TL[[#This Row],[Compte]]</f>
        <v/>
      </c>
      <c r="B719" s="233" t="inlineStr">
        <is>
          <t>61563400</t>
        </is>
      </c>
      <c r="C719" s="227" t="inlineStr">
        <is>
          <t>Contrat spie</t>
        </is>
      </c>
      <c r="D719" s="233" t="inlineStr">
        <is>
          <t>16</t>
        </is>
      </c>
      <c r="E719" s="233" t="inlineStr">
        <is>
          <t>19</t>
        </is>
      </c>
      <c r="F719" s="227" t="inlineStr">
        <is>
          <t>TH4</t>
        </is>
      </c>
    </row>
    <row r="720">
      <c r="A720" s="227">
        <f>TL[[#This Row],[Société]]&amp;" - "&amp;TL[[#This Row],[Compte]]</f>
        <v/>
      </c>
      <c r="B720" s="233" t="inlineStr">
        <is>
          <t>61563500</t>
        </is>
      </c>
      <c r="C720" s="227" t="inlineStr">
        <is>
          <t>Contrat nilfisk</t>
        </is>
      </c>
      <c r="D720" s="233" t="inlineStr">
        <is>
          <t>16</t>
        </is>
      </c>
      <c r="E720" s="233" t="inlineStr">
        <is>
          <t>19</t>
        </is>
      </c>
      <c r="F720" s="227" t="inlineStr">
        <is>
          <t>TH4</t>
        </is>
      </c>
    </row>
    <row r="721">
      <c r="A721" s="227">
        <f>TL[[#This Row],[Société]]&amp;" - "&amp;TL[[#This Row],[Compte]]</f>
        <v/>
      </c>
      <c r="B721" s="233" t="inlineStr">
        <is>
          <t>61563600</t>
        </is>
      </c>
      <c r="C721" s="227" t="inlineStr">
        <is>
          <t>Contrat blanchet pompe relevage</t>
        </is>
      </c>
      <c r="D721" s="233" t="inlineStr">
        <is>
          <t>16</t>
        </is>
      </c>
      <c r="E721" s="233" t="inlineStr">
        <is>
          <t>19</t>
        </is>
      </c>
      <c r="F721" s="227" t="inlineStr">
        <is>
          <t>TH4</t>
        </is>
      </c>
    </row>
    <row r="722">
      <c r="A722" s="227">
        <f>TL[[#This Row],[Société]]&amp;" - "&amp;TL[[#This Row],[Compte]]</f>
        <v/>
      </c>
      <c r="B722" s="233" t="inlineStr">
        <is>
          <t>61563700</t>
        </is>
      </c>
      <c r="C722" s="227" t="inlineStr">
        <is>
          <t>Contrat ats</t>
        </is>
      </c>
      <c r="D722" s="233" t="inlineStr">
        <is>
          <t>16</t>
        </is>
      </c>
      <c r="E722" s="233" t="inlineStr">
        <is>
          <t>19</t>
        </is>
      </c>
      <c r="F722" s="227" t="inlineStr">
        <is>
          <t>TH4</t>
        </is>
      </c>
    </row>
    <row r="723">
      <c r="A723" s="227">
        <f>TL[[#This Row],[Société]]&amp;" - "&amp;TL[[#This Row],[Compte]]</f>
        <v/>
      </c>
      <c r="B723" s="233" t="inlineStr">
        <is>
          <t>61563800</t>
        </is>
      </c>
      <c r="C723" s="227" t="inlineStr">
        <is>
          <t>Contrat jri</t>
        </is>
      </c>
      <c r="D723" s="233" t="inlineStr">
        <is>
          <t>16</t>
        </is>
      </c>
      <c r="E723" s="233" t="inlineStr">
        <is>
          <t>19</t>
        </is>
      </c>
      <c r="F723" s="227" t="inlineStr">
        <is>
          <t>TH4</t>
        </is>
      </c>
    </row>
    <row r="724">
      <c r="A724" s="227">
        <f>TL[[#This Row],[Société]]&amp;" - "&amp;TL[[#This Row],[Compte]]</f>
        <v/>
      </c>
      <c r="B724" s="233" t="inlineStr">
        <is>
          <t>61563900</t>
        </is>
      </c>
      <c r="C724" s="227" t="inlineStr">
        <is>
          <t>contrat grenke</t>
        </is>
      </c>
      <c r="D724" s="233" t="inlineStr">
        <is>
          <t>16</t>
        </is>
      </c>
      <c r="E724" s="233" t="inlineStr">
        <is>
          <t>19</t>
        </is>
      </c>
      <c r="F724" s="227" t="inlineStr">
        <is>
          <t>TH4</t>
        </is>
      </c>
    </row>
    <row r="725">
      <c r="A725" s="227">
        <f>TL[[#This Row],[Société]]&amp;" - "&amp;TL[[#This Row],[Compte]]</f>
        <v/>
      </c>
      <c r="B725" s="233" t="inlineStr">
        <is>
          <t>61564000</t>
        </is>
      </c>
      <c r="C725" s="227" t="inlineStr">
        <is>
          <t>contrat socotec</t>
        </is>
      </c>
      <c r="D725" s="233" t="inlineStr">
        <is>
          <t>16</t>
        </is>
      </c>
      <c r="E725" s="233" t="inlineStr">
        <is>
          <t>19</t>
        </is>
      </c>
      <c r="F725" s="227" t="inlineStr">
        <is>
          <t>TH4</t>
        </is>
      </c>
    </row>
    <row r="726">
      <c r="A726" s="227">
        <f>TL[[#This Row],[Société]]&amp;" - "&amp;TL[[#This Row],[Compte]]</f>
        <v/>
      </c>
      <c r="B726" s="233" t="inlineStr">
        <is>
          <t>61564100</t>
        </is>
      </c>
      <c r="C726" s="227" t="inlineStr">
        <is>
          <t>contrat eryma</t>
        </is>
      </c>
      <c r="D726" s="233" t="inlineStr">
        <is>
          <t>16</t>
        </is>
      </c>
      <c r="E726" s="233" t="inlineStr">
        <is>
          <t>16</t>
        </is>
      </c>
      <c r="F726" s="227" t="inlineStr">
        <is>
          <t>TH4</t>
        </is>
      </c>
    </row>
    <row r="727">
      <c r="A727" s="227">
        <f>TL[[#This Row],[Société]]&amp;" - "&amp;TL[[#This Row],[Compte]]</f>
        <v/>
      </c>
      <c r="B727" s="233" t="inlineStr">
        <is>
          <t>61564200</t>
        </is>
      </c>
      <c r="C727" s="227" t="inlineStr">
        <is>
          <t>contrat chubb</t>
        </is>
      </c>
      <c r="D727" s="233" t="inlineStr">
        <is>
          <t>16</t>
        </is>
      </c>
      <c r="E727" s="233" t="inlineStr">
        <is>
          <t>19</t>
        </is>
      </c>
      <c r="F727" s="227" t="inlineStr">
        <is>
          <t>TH4</t>
        </is>
      </c>
    </row>
    <row r="728">
      <c r="A728" s="227">
        <f>TL[[#This Row],[Société]]&amp;" - "&amp;TL[[#This Row],[Compte]]</f>
        <v/>
      </c>
      <c r="B728" s="233" t="inlineStr">
        <is>
          <t>61564300</t>
        </is>
      </c>
      <c r="C728" s="227" t="inlineStr">
        <is>
          <t>contrat steeple</t>
        </is>
      </c>
      <c r="D728" s="233" t="inlineStr">
        <is>
          <t>16</t>
        </is>
      </c>
      <c r="E728" s="233" t="inlineStr">
        <is>
          <t>19</t>
        </is>
      </c>
      <c r="F728" s="227" t="inlineStr">
        <is>
          <t>TH4</t>
        </is>
      </c>
    </row>
    <row r="729">
      <c r="A729" s="227">
        <f>TL[[#This Row],[Société]]&amp;" - "&amp;TL[[#This Row],[Compte]]</f>
        <v/>
      </c>
      <c r="B729" s="233" t="inlineStr">
        <is>
          <t>61564400</t>
        </is>
      </c>
      <c r="C729" s="227" t="inlineStr">
        <is>
          <t>appli suivi perf mgr</t>
        </is>
      </c>
      <c r="D729" s="233" t="inlineStr">
        <is>
          <t>16</t>
        </is>
      </c>
      <c r="E729" s="233" t="inlineStr">
        <is>
          <t>19</t>
        </is>
      </c>
      <c r="F729" s="227" t="inlineStr">
        <is>
          <t>TH4</t>
        </is>
      </c>
    </row>
    <row r="730">
      <c r="A730" s="227">
        <f>TL[[#This Row],[Société]]&amp;" - "&amp;TL[[#This Row],[Compte]]</f>
        <v/>
      </c>
      <c r="B730" s="233" t="inlineStr">
        <is>
          <t>61600100</t>
        </is>
      </c>
      <c r="C730" s="227" t="inlineStr">
        <is>
          <t>Assurance multirisque</t>
        </is>
      </c>
      <c r="D730" s="233" t="inlineStr">
        <is>
          <t>33</t>
        </is>
      </c>
      <c r="E730" s="233" t="inlineStr">
        <is>
          <t>36</t>
        </is>
      </c>
      <c r="F730" s="227" t="inlineStr">
        <is>
          <t>TH4</t>
        </is>
      </c>
    </row>
    <row r="731">
      <c r="A731" s="227">
        <f>TL[[#This Row],[Société]]&amp;" - "&amp;TL[[#This Row],[Compte]]</f>
        <v/>
      </c>
      <c r="B731" s="233" t="inlineStr">
        <is>
          <t>61600200</t>
        </is>
      </c>
      <c r="C731" s="227" t="inlineStr">
        <is>
          <t>Assurance juridiques</t>
        </is>
      </c>
      <c r="D731" s="233" t="inlineStr">
        <is>
          <t>33</t>
        </is>
      </c>
      <c r="E731" s="233" t="inlineStr">
        <is>
          <t>36</t>
        </is>
      </c>
      <c r="F731" s="227" t="inlineStr">
        <is>
          <t>TH4</t>
        </is>
      </c>
    </row>
    <row r="732">
      <c r="A732" s="227">
        <f>TL[[#This Row],[Société]]&amp;" - "&amp;TL[[#This Row],[Compte]]</f>
        <v/>
      </c>
      <c r="B732" s="233" t="inlineStr">
        <is>
          <t>61600300</t>
        </is>
      </c>
      <c r="C732" s="227" t="inlineStr">
        <is>
          <t>Auto mission</t>
        </is>
      </c>
      <c r="D732" s="233" t="inlineStr">
        <is>
          <t>33</t>
        </is>
      </c>
      <c r="E732" s="233" t="inlineStr">
        <is>
          <t>36</t>
        </is>
      </c>
      <c r="F732" s="227" t="inlineStr">
        <is>
          <t>TH4</t>
        </is>
      </c>
    </row>
    <row r="733">
      <c r="A733" s="227">
        <f>TL[[#This Row],[Société]]&amp;" - "&amp;TL[[#This Row],[Compte]]</f>
        <v/>
      </c>
      <c r="B733" s="233" t="inlineStr">
        <is>
          <t>61600400</t>
        </is>
      </c>
      <c r="C733" s="227" t="inlineStr">
        <is>
          <t>Assurances voitures</t>
        </is>
      </c>
      <c r="D733" s="233" t="inlineStr">
        <is>
          <t>39</t>
        </is>
      </c>
      <c r="E733" s="233" t="inlineStr">
        <is>
          <t>40</t>
        </is>
      </c>
      <c r="F733" s="227" t="inlineStr">
        <is>
          <t>TH4</t>
        </is>
      </c>
    </row>
    <row r="734">
      <c r="A734" s="227">
        <f>TL[[#This Row],[Société]]&amp;" - "&amp;TL[[#This Row],[Compte]]</f>
        <v/>
      </c>
      <c r="B734" s="233" t="inlineStr">
        <is>
          <t>61600500</t>
        </is>
      </c>
      <c r="C734" s="227" t="inlineStr">
        <is>
          <t>Assurance full image</t>
        </is>
      </c>
      <c r="D734" s="233" t="inlineStr">
        <is>
          <t>33</t>
        </is>
      </c>
      <c r="E734" s="233" t="inlineStr">
        <is>
          <t>36</t>
        </is>
      </c>
      <c r="F734" s="227" t="inlineStr">
        <is>
          <t>TH4</t>
        </is>
      </c>
    </row>
    <row r="735">
      <c r="A735" s="227">
        <f>TL[[#This Row],[Société]]&amp;" - "&amp;TL[[#This Row],[Compte]]</f>
        <v/>
      </c>
      <c r="B735" s="233" t="inlineStr">
        <is>
          <t>61600600</t>
        </is>
      </c>
      <c r="C735" s="227" t="inlineStr">
        <is>
          <t>Assurance cyber</t>
        </is>
      </c>
      <c r="D735" s="233" t="inlineStr">
        <is>
          <t>33</t>
        </is>
      </c>
      <c r="E735" s="233" t="inlineStr">
        <is>
          <t>36</t>
        </is>
      </c>
      <c r="F735" s="227" t="inlineStr">
        <is>
          <t>TH4</t>
        </is>
      </c>
    </row>
    <row r="736">
      <c r="A736" s="227">
        <f>TL[[#This Row],[Société]]&amp;" - "&amp;TL[[#This Row],[Compte]]</f>
        <v/>
      </c>
      <c r="B736" s="233" t="inlineStr">
        <is>
          <t>61600800</t>
        </is>
      </c>
      <c r="C736" s="227" t="inlineStr">
        <is>
          <t>Assurance prêt Covid</t>
        </is>
      </c>
      <c r="D736" s="233" t="inlineStr">
        <is>
          <t>33</t>
        </is>
      </c>
      <c r="E736" s="233" t="inlineStr">
        <is>
          <t>36</t>
        </is>
      </c>
      <c r="F736" s="227" t="inlineStr">
        <is>
          <t>TH4</t>
        </is>
      </c>
    </row>
    <row r="737">
      <c r="A737" s="227">
        <f>TL[[#This Row],[Société]]&amp;" - "&amp;TL[[#This Row],[Compte]]</f>
        <v/>
      </c>
      <c r="B737" s="233" t="inlineStr">
        <is>
          <t>61810000</t>
        </is>
      </c>
      <c r="C737" s="227" t="inlineStr">
        <is>
          <t>Services ext divers</t>
        </is>
      </c>
      <c r="D737" s="233" t="inlineStr">
        <is>
          <t>16</t>
        </is>
      </c>
      <c r="E737" s="233" t="inlineStr">
        <is>
          <t>19</t>
        </is>
      </c>
      <c r="F737" s="227" t="inlineStr">
        <is>
          <t>TH4</t>
        </is>
      </c>
    </row>
    <row r="738">
      <c r="A738" s="227">
        <f>TL[[#This Row],[Société]]&amp;" - "&amp;TL[[#This Row],[Compte]]</f>
        <v/>
      </c>
      <c r="B738" s="233" t="inlineStr">
        <is>
          <t>62140000</t>
        </is>
      </c>
      <c r="C738" s="227" t="inlineStr">
        <is>
          <t>Personnel prété - npu</t>
        </is>
      </c>
      <c r="D738" s="233" t="inlineStr">
        <is>
          <t>11</t>
        </is>
      </c>
      <c r="E738" s="233" t="inlineStr">
        <is>
          <t>13</t>
        </is>
      </c>
      <c r="F738" s="227" t="inlineStr">
        <is>
          <t>TH4</t>
        </is>
      </c>
    </row>
    <row r="739">
      <c r="A739" s="227">
        <f>TL[[#This Row],[Société]]&amp;" - "&amp;TL[[#This Row],[Compte]]</f>
        <v/>
      </c>
      <c r="B739" s="233" t="inlineStr">
        <is>
          <t>62140100</t>
        </is>
      </c>
      <c r="C739" s="227" t="inlineStr">
        <is>
          <t>Personnel prêt d'équipiers</t>
        </is>
      </c>
      <c r="D739" s="233" t="inlineStr">
        <is>
          <t>10</t>
        </is>
      </c>
      <c r="E739" s="233" t="inlineStr">
        <is>
          <t>08</t>
        </is>
      </c>
      <c r="F739" s="227" t="inlineStr">
        <is>
          <t>TH4</t>
        </is>
      </c>
    </row>
    <row r="740">
      <c r="A740" s="227">
        <f>TL[[#This Row],[Société]]&amp;" - "&amp;TL[[#This Row],[Compte]]</f>
        <v/>
      </c>
      <c r="B740" s="233" t="inlineStr">
        <is>
          <t>62140400</t>
        </is>
      </c>
      <c r="C740" s="227" t="inlineStr">
        <is>
          <t>Personnel prêt managers</t>
        </is>
      </c>
      <c r="D740" s="233" t="inlineStr">
        <is>
          <t>11</t>
        </is>
      </c>
      <c r="E740" s="233" t="inlineStr">
        <is>
          <t>10</t>
        </is>
      </c>
      <c r="F740" s="227" t="inlineStr">
        <is>
          <t>TH4</t>
        </is>
      </c>
    </row>
    <row r="741">
      <c r="A741" s="227">
        <f>TL[[#This Row],[Société]]&amp;" - "&amp;TL[[#This Row],[Compte]]</f>
        <v/>
      </c>
      <c r="B741" s="233" t="inlineStr">
        <is>
          <t>62141100</t>
        </is>
      </c>
      <c r="C741" s="227" t="inlineStr">
        <is>
          <t>Hotesses équip ligne 40</t>
        </is>
      </c>
      <c r="D741" s="233" t="inlineStr">
        <is>
          <t>39</t>
        </is>
      </c>
      <c r="E741" s="233" t="inlineStr">
        <is>
          <t>40</t>
        </is>
      </c>
      <c r="F741" s="227" t="inlineStr">
        <is>
          <t>TH4</t>
        </is>
      </c>
    </row>
    <row r="742">
      <c r="A742" s="227">
        <f>TL[[#This Row],[Société]]&amp;" - "&amp;TL[[#This Row],[Compte]]</f>
        <v/>
      </c>
      <c r="B742" s="233" t="inlineStr">
        <is>
          <t>62141200</t>
        </is>
      </c>
      <c r="C742" s="227" t="inlineStr">
        <is>
          <t>Salaire delacroix lig 39</t>
        </is>
      </c>
      <c r="D742" s="233" t="inlineStr">
        <is>
          <t>39</t>
        </is>
      </c>
      <c r="E742" s="233" t="inlineStr">
        <is>
          <t>13</t>
        </is>
      </c>
      <c r="F742" s="227" t="inlineStr">
        <is>
          <t>TH4</t>
        </is>
      </c>
    </row>
    <row r="743">
      <c r="A743" s="227">
        <f>TL[[#This Row],[Société]]&amp;" - "&amp;TL[[#This Row],[Compte]]</f>
        <v/>
      </c>
      <c r="B743" s="233" t="inlineStr">
        <is>
          <t>62141300</t>
        </is>
      </c>
      <c r="C743" s="227" t="inlineStr">
        <is>
          <t>Personnel prêt maintenance</t>
        </is>
      </c>
      <c r="D743" s="233" t="inlineStr">
        <is>
          <t>39</t>
        </is>
      </c>
      <c r="E743" s="233" t="inlineStr">
        <is>
          <t>13</t>
        </is>
      </c>
      <c r="F743" s="227" t="inlineStr">
        <is>
          <t>TH4</t>
        </is>
      </c>
    </row>
    <row r="744">
      <c r="A744" s="227">
        <f>TL[[#This Row],[Société]]&amp;" - "&amp;TL[[#This Row],[Compte]]</f>
        <v/>
      </c>
      <c r="B744" s="233" t="inlineStr">
        <is>
          <t>62200000</t>
        </is>
      </c>
      <c r="C744" s="227" t="inlineStr">
        <is>
          <t>Honoraires siliker</t>
        </is>
      </c>
      <c r="D744" s="233" t="inlineStr">
        <is>
          <t>16</t>
        </is>
      </c>
      <c r="E744" s="233" t="inlineStr">
        <is>
          <t>19</t>
        </is>
      </c>
      <c r="F744" s="227" t="inlineStr">
        <is>
          <t>TH4</t>
        </is>
      </c>
    </row>
    <row r="745">
      <c r="A745" s="227">
        <f>TL[[#This Row],[Société]]&amp;" - "&amp;TL[[#This Row],[Compte]]</f>
        <v/>
      </c>
      <c r="B745" s="233" t="inlineStr">
        <is>
          <t>62260000</t>
        </is>
      </c>
      <c r="C745" s="227" t="inlineStr">
        <is>
          <t>Honoraires comptables</t>
        </is>
      </c>
      <c r="D745" s="233" t="inlineStr">
        <is>
          <t>32</t>
        </is>
      </c>
      <c r="E745" s="233" t="inlineStr">
        <is>
          <t>35</t>
        </is>
      </c>
      <c r="F745" s="227" t="inlineStr">
        <is>
          <t>TH4</t>
        </is>
      </c>
    </row>
    <row r="746">
      <c r="A746" s="227">
        <f>TL[[#This Row],[Société]]&amp;" - "&amp;TL[[#This Row],[Compte]]</f>
        <v/>
      </c>
      <c r="B746" s="233" t="inlineStr">
        <is>
          <t>62261000</t>
        </is>
      </c>
      <c r="C746" s="227" t="inlineStr">
        <is>
          <t>Honoraires juridiques</t>
        </is>
      </c>
      <c r="D746" s="233" t="inlineStr">
        <is>
          <t>32</t>
        </is>
      </c>
      <c r="E746" s="233" t="inlineStr">
        <is>
          <t>35</t>
        </is>
      </c>
      <c r="F746" s="227" t="inlineStr">
        <is>
          <t>TH4</t>
        </is>
      </c>
    </row>
    <row r="747">
      <c r="A747" s="227">
        <f>TL[[#This Row],[Société]]&amp;" - "&amp;TL[[#This Row],[Compte]]</f>
        <v/>
      </c>
      <c r="B747" s="233" t="inlineStr">
        <is>
          <t>62262000</t>
        </is>
      </c>
      <c r="C747" s="227" t="inlineStr">
        <is>
          <t>honoraires divers</t>
        </is>
      </c>
      <c r="D747" s="233" t="inlineStr">
        <is>
          <t>32</t>
        </is>
      </c>
      <c r="E747" s="233" t="inlineStr">
        <is>
          <t>35</t>
        </is>
      </c>
      <c r="F747" s="227" t="inlineStr">
        <is>
          <t>TH4</t>
        </is>
      </c>
    </row>
    <row r="748">
      <c r="A748" s="227">
        <f>TL[[#This Row],[Société]]&amp;" - "&amp;TL[[#This Row],[Compte]]</f>
        <v/>
      </c>
      <c r="B748" s="233" t="inlineStr">
        <is>
          <t>62263000</t>
        </is>
      </c>
      <c r="C748" s="227" t="inlineStr">
        <is>
          <t>Honoraires commissariat aux comptes</t>
        </is>
      </c>
      <c r="D748" s="233" t="inlineStr">
        <is>
          <t>32</t>
        </is>
      </c>
      <c r="E748" s="233" t="inlineStr">
        <is>
          <t>35</t>
        </is>
      </c>
      <c r="F748" s="227" t="inlineStr">
        <is>
          <t>TH4</t>
        </is>
      </c>
    </row>
    <row r="749">
      <c r="A749" s="227">
        <f>TL[[#This Row],[Société]]&amp;" - "&amp;TL[[#This Row],[Compte]]</f>
        <v/>
      </c>
      <c r="B749" s="233" t="inlineStr">
        <is>
          <t>62264000</t>
        </is>
      </c>
      <c r="C749" s="227" t="inlineStr">
        <is>
          <t>honoraires lyveat</t>
        </is>
      </c>
      <c r="D749" s="233" t="inlineStr">
        <is>
          <t>32</t>
        </is>
      </c>
      <c r="E749" s="233" t="inlineStr">
        <is>
          <t>21</t>
        </is>
      </c>
      <c r="F749" s="227" t="inlineStr">
        <is>
          <t>TH4</t>
        </is>
      </c>
    </row>
    <row r="750">
      <c r="A750" s="227">
        <f>TL[[#This Row],[Société]]&amp;" - "&amp;TL[[#This Row],[Compte]]</f>
        <v/>
      </c>
      <c r="B750" s="233" t="inlineStr">
        <is>
          <t>62270000</t>
        </is>
      </c>
      <c r="C750" s="227" t="inlineStr">
        <is>
          <t>Frais d'actes et contentieux</t>
        </is>
      </c>
      <c r="D750" s="233" t="inlineStr">
        <is>
          <t>32</t>
        </is>
      </c>
      <c r="E750" s="233" t="inlineStr">
        <is>
          <t>35</t>
        </is>
      </c>
      <c r="F750" s="227" t="inlineStr">
        <is>
          <t>TH4</t>
        </is>
      </c>
    </row>
    <row r="751">
      <c r="A751" s="227">
        <f>TL[[#This Row],[Société]]&amp;" - "&amp;TL[[#This Row],[Compte]]</f>
        <v/>
      </c>
      <c r="B751" s="233" t="inlineStr">
        <is>
          <t>62300000</t>
        </is>
      </c>
      <c r="C751" s="227" t="inlineStr">
        <is>
          <t>Publicité (redevance 4%)</t>
        </is>
      </c>
      <c r="D751" s="233" t="inlineStr">
        <is>
          <t>14</t>
        </is>
      </c>
      <c r="E751" s="233" t="inlineStr">
        <is>
          <t>22</t>
        </is>
      </c>
      <c r="F751" s="227" t="inlineStr">
        <is>
          <t>TH4</t>
        </is>
      </c>
    </row>
    <row r="752">
      <c r="A752" s="227">
        <f>TL[[#This Row],[Société]]&amp;" - "&amp;TL[[#This Row],[Compte]]</f>
        <v/>
      </c>
      <c r="B752" s="233" t="inlineStr">
        <is>
          <t>62300200</t>
        </is>
      </c>
      <c r="C752" s="227" t="inlineStr">
        <is>
          <t>Promotion locale</t>
        </is>
      </c>
      <c r="D752" s="233" t="inlineStr">
        <is>
          <t>15</t>
        </is>
      </c>
      <c r="E752" s="233" t="inlineStr">
        <is>
          <t>23</t>
        </is>
      </c>
      <c r="F752" s="227" t="inlineStr">
        <is>
          <t>TH4</t>
        </is>
      </c>
    </row>
    <row r="753">
      <c r="A753" s="227">
        <f>TL[[#This Row],[Société]]&amp;" - "&amp;TL[[#This Row],[Compte]]</f>
        <v/>
      </c>
      <c r="B753" s="233" t="inlineStr">
        <is>
          <t>62300300</t>
        </is>
      </c>
      <c r="C753" s="227" t="inlineStr">
        <is>
          <t>Promo ligne 39</t>
        </is>
      </c>
      <c r="D753" s="233" t="inlineStr">
        <is>
          <t>39</t>
        </is>
      </c>
      <c r="E753" s="233" t="inlineStr">
        <is>
          <t>23</t>
        </is>
      </c>
      <c r="F753" s="227" t="inlineStr">
        <is>
          <t>TH4</t>
        </is>
      </c>
    </row>
    <row r="754">
      <c r="A754" s="227">
        <f>TL[[#This Row],[Société]]&amp;" - "&amp;TL[[#This Row],[Compte]]</f>
        <v/>
      </c>
      <c r="B754" s="233" t="inlineStr">
        <is>
          <t>62310000</t>
        </is>
      </c>
      <c r="C754" s="227" t="inlineStr">
        <is>
          <t>12.05/being/simple translite drive</t>
        </is>
      </c>
      <c r="D754" s="233" t="inlineStr">
        <is>
          <t>99</t>
        </is>
      </c>
      <c r="E754" s="233" t="inlineStr">
        <is>
          <t>23</t>
        </is>
      </c>
      <c r="F754" s="227" t="inlineStr">
        <is>
          <t>TH4</t>
        </is>
      </c>
    </row>
    <row r="755">
      <c r="A755" s="227">
        <f>TL[[#This Row],[Société]]&amp;" - "&amp;TL[[#This Row],[Compte]]</f>
        <v/>
      </c>
      <c r="B755" s="233" t="inlineStr">
        <is>
          <t>62320000</t>
        </is>
      </c>
      <c r="C755" s="227" t="inlineStr">
        <is>
          <t>Annonces, affichages et insertions</t>
        </is>
      </c>
      <c r="D755" s="233" t="inlineStr">
        <is>
          <t>15</t>
        </is>
      </c>
      <c r="E755" s="233" t="inlineStr">
        <is>
          <t>23</t>
        </is>
      </c>
      <c r="F755" s="227" t="inlineStr">
        <is>
          <t>TH4</t>
        </is>
      </c>
    </row>
    <row r="756">
      <c r="A756" s="227">
        <f>TL[[#This Row],[Société]]&amp;" - "&amp;TL[[#This Row],[Compte]]</f>
        <v/>
      </c>
      <c r="B756" s="233" t="inlineStr">
        <is>
          <t>62340000</t>
        </is>
      </c>
      <c r="C756" s="227" t="inlineStr">
        <is>
          <t>Fact valette cadeaux noel</t>
        </is>
      </c>
      <c r="F756" s="227" t="inlineStr">
        <is>
          <t>TH4</t>
        </is>
      </c>
    </row>
    <row r="757">
      <c r="A757" s="227">
        <f>TL[[#This Row],[Société]]&amp;" - "&amp;TL[[#This Row],[Compte]]</f>
        <v/>
      </c>
      <c r="B757" s="233" t="inlineStr">
        <is>
          <t>62340100</t>
        </is>
      </c>
      <c r="C757" s="227" t="inlineStr">
        <is>
          <t>Pub public rel publiques</t>
        </is>
      </c>
      <c r="D757" s="233" t="inlineStr">
        <is>
          <t>15</t>
        </is>
      </c>
      <c r="E757" s="233" t="inlineStr">
        <is>
          <t>23</t>
        </is>
      </c>
      <c r="F757" s="227" t="inlineStr">
        <is>
          <t>TH4</t>
        </is>
      </c>
    </row>
    <row r="758">
      <c r="A758" s="227">
        <f>TL[[#This Row],[Société]]&amp;" - "&amp;TL[[#This Row],[Compte]]</f>
        <v/>
      </c>
      <c r="B758" s="233" t="inlineStr">
        <is>
          <t>62340400</t>
        </is>
      </c>
      <c r="C758" s="227" t="inlineStr">
        <is>
          <t>Cadeaux</t>
        </is>
      </c>
      <c r="D758" s="233" t="inlineStr">
        <is>
          <t>15</t>
        </is>
      </c>
      <c r="E758" s="233" t="inlineStr">
        <is>
          <t>23</t>
        </is>
      </c>
      <c r="F758" s="227" t="inlineStr">
        <is>
          <t>TH4</t>
        </is>
      </c>
    </row>
    <row r="759">
      <c r="A759" s="227">
        <f>TL[[#This Row],[Société]]&amp;" - "&amp;TL[[#This Row],[Compte]]</f>
        <v/>
      </c>
      <c r="B759" s="233" t="inlineStr">
        <is>
          <t>62340500</t>
        </is>
      </c>
      <c r="C759" s="227" t="inlineStr">
        <is>
          <t>Cadeaux lig 39</t>
        </is>
      </c>
      <c r="D759" s="233" t="inlineStr">
        <is>
          <t>39</t>
        </is>
      </c>
      <c r="E759" s="233" t="inlineStr">
        <is>
          <t>23</t>
        </is>
      </c>
      <c r="F759" s="227" t="inlineStr">
        <is>
          <t>TH4</t>
        </is>
      </c>
    </row>
    <row r="760">
      <c r="A760" s="227">
        <f>TL[[#This Row],[Société]]&amp;" - "&amp;TL[[#This Row],[Compte]]</f>
        <v/>
      </c>
      <c r="B760" s="233" t="inlineStr">
        <is>
          <t>62341500</t>
        </is>
      </c>
      <c r="C760" s="227" t="inlineStr">
        <is>
          <t>Premium</t>
        </is>
      </c>
      <c r="D760" s="233" t="inlineStr">
        <is>
          <t>15</t>
        </is>
      </c>
      <c r="E760" s="233" t="inlineStr">
        <is>
          <t>23</t>
        </is>
      </c>
      <c r="F760" s="227" t="inlineStr">
        <is>
          <t>TH4</t>
        </is>
      </c>
    </row>
    <row r="761">
      <c r="A761" s="227">
        <f>TL[[#This Row],[Société]]&amp;" - "&amp;TL[[#This Row],[Compte]]</f>
        <v/>
      </c>
      <c r="B761" s="233" t="inlineStr">
        <is>
          <t>62341600</t>
        </is>
      </c>
      <c r="C761" s="227" t="inlineStr">
        <is>
          <t>Décorations</t>
        </is>
      </c>
      <c r="F761" s="227" t="inlineStr">
        <is>
          <t>TH4</t>
        </is>
      </c>
    </row>
    <row r="762">
      <c r="A762" s="227">
        <f>TL[[#This Row],[Société]]&amp;" - "&amp;TL[[#This Row],[Compte]]</f>
        <v/>
      </c>
      <c r="B762" s="233" t="inlineStr">
        <is>
          <t>62380000</t>
        </is>
      </c>
      <c r="C762" s="227" t="inlineStr">
        <is>
          <t>Divers (pourboires, dons courants)</t>
        </is>
      </c>
      <c r="D762" s="233" t="inlineStr">
        <is>
          <t>15</t>
        </is>
      </c>
      <c r="E762" s="233" t="inlineStr">
        <is>
          <t>23</t>
        </is>
      </c>
      <c r="F762" s="227" t="inlineStr">
        <is>
          <t>TH4</t>
        </is>
      </c>
    </row>
    <row r="763">
      <c r="A763" s="227">
        <f>TL[[#This Row],[Société]]&amp;" - "&amp;TL[[#This Row],[Compte]]</f>
        <v/>
      </c>
      <c r="B763" s="233" t="inlineStr">
        <is>
          <t>62410000</t>
        </is>
      </c>
      <c r="C763" s="227" t="inlineStr">
        <is>
          <t>Frais livraison lrs</t>
        </is>
      </c>
      <c r="D763" s="233" t="inlineStr">
        <is>
          <t>06</t>
        </is>
      </c>
      <c r="E763" s="233" t="inlineStr">
        <is>
          <t>03</t>
        </is>
      </c>
      <c r="F763" s="227" t="inlineStr">
        <is>
          <t>TH4</t>
        </is>
      </c>
    </row>
    <row r="764">
      <c r="A764" s="227">
        <f>TL[[#This Row],[Société]]&amp;" - "&amp;TL[[#This Row],[Compte]]</f>
        <v/>
      </c>
      <c r="B764" s="233" t="inlineStr">
        <is>
          <t>62500000</t>
        </is>
      </c>
      <c r="C764" s="227" t="inlineStr">
        <is>
          <t>SALAIRES 09/2022</t>
        </is>
      </c>
      <c r="F764" s="227" t="inlineStr">
        <is>
          <t>TH4</t>
        </is>
      </c>
    </row>
    <row r="765">
      <c r="A765" s="227">
        <f>TL[[#This Row],[Société]]&amp;" - "&amp;TL[[#This Row],[Compte]]</f>
        <v/>
      </c>
      <c r="B765" s="233" t="inlineStr">
        <is>
          <t>62510300</t>
        </is>
      </c>
      <c r="C765" s="227" t="inlineStr">
        <is>
          <t>Voy et deplct direction</t>
        </is>
      </c>
      <c r="D765" s="233" t="inlineStr">
        <is>
          <t>52</t>
        </is>
      </c>
      <c r="E765" s="233" t="inlineStr">
        <is>
          <t>26</t>
        </is>
      </c>
      <c r="F765" s="227" t="inlineStr">
        <is>
          <t>TH4</t>
        </is>
      </c>
    </row>
    <row r="766">
      <c r="A766" s="227">
        <f>TL[[#This Row],[Société]]&amp;" - "&amp;TL[[#This Row],[Compte]]</f>
        <v/>
      </c>
      <c r="B766" s="233" t="inlineStr">
        <is>
          <t>62510400</t>
        </is>
      </c>
      <c r="C766" s="227" t="inlineStr">
        <is>
          <t>Frais reception mgr</t>
        </is>
      </c>
      <c r="D766" s="233" t="inlineStr">
        <is>
          <t>51</t>
        </is>
      </c>
      <c r="E766" s="233" t="inlineStr">
        <is>
          <t>26</t>
        </is>
      </c>
      <c r="F766" s="227" t="inlineStr">
        <is>
          <t>TH4</t>
        </is>
      </c>
    </row>
    <row r="767">
      <c r="A767" s="227">
        <f>TL[[#This Row],[Société]]&amp;" - "&amp;TL[[#This Row],[Compte]]</f>
        <v/>
      </c>
      <c r="B767" s="233" t="inlineStr">
        <is>
          <t>62520100</t>
        </is>
      </c>
      <c r="C767" s="227" t="inlineStr">
        <is>
          <t>Frais déplacement équipiers</t>
        </is>
      </c>
      <c r="D767" s="233" t="inlineStr">
        <is>
          <t>13</t>
        </is>
      </c>
      <c r="E767" s="233" t="inlineStr">
        <is>
          <t>26</t>
        </is>
      </c>
      <c r="F767" s="227" t="inlineStr">
        <is>
          <t>TH4</t>
        </is>
      </c>
    </row>
    <row r="768">
      <c r="A768" s="227">
        <f>TL[[#This Row],[Société]]&amp;" - "&amp;TL[[#This Row],[Compte]]</f>
        <v/>
      </c>
      <c r="B768" s="233" t="inlineStr">
        <is>
          <t>62520400</t>
        </is>
      </c>
      <c r="C768" s="227" t="inlineStr">
        <is>
          <t>Frais déplacement managers</t>
        </is>
      </c>
      <c r="D768" s="233" t="inlineStr">
        <is>
          <t>13</t>
        </is>
      </c>
      <c r="E768" s="233" t="inlineStr">
        <is>
          <t>26</t>
        </is>
      </c>
      <c r="F768" s="227" t="inlineStr">
        <is>
          <t>TH4</t>
        </is>
      </c>
    </row>
    <row r="769">
      <c r="A769" s="227">
        <f>TL[[#This Row],[Société]]&amp;" - "&amp;TL[[#This Row],[Compte]]</f>
        <v/>
      </c>
      <c r="B769" s="233" t="inlineStr">
        <is>
          <t>62570100</t>
        </is>
      </c>
      <c r="C769" s="227" t="inlineStr">
        <is>
          <t>Frais Mission - reception</t>
        </is>
      </c>
      <c r="D769" s="233" t="inlineStr">
        <is>
          <t>23</t>
        </is>
      </c>
      <c r="E769" s="233" t="inlineStr">
        <is>
          <t>27</t>
        </is>
      </c>
      <c r="F769" s="227" t="inlineStr">
        <is>
          <t>TH4</t>
        </is>
      </c>
    </row>
    <row r="770">
      <c r="A770" s="227">
        <f>TL[[#This Row],[Société]]&amp;" - "&amp;TL[[#This Row],[Compte]]</f>
        <v/>
      </c>
      <c r="B770" s="233" t="inlineStr">
        <is>
          <t>62600100</t>
        </is>
      </c>
      <c r="C770" s="227" t="inlineStr">
        <is>
          <t>Ptt</t>
        </is>
      </c>
      <c r="D770" s="233" t="inlineStr">
        <is>
          <t>20</t>
        </is>
      </c>
      <c r="E770" s="233" t="inlineStr">
        <is>
          <t>24</t>
        </is>
      </c>
      <c r="F770" s="227" t="inlineStr">
        <is>
          <t>TH4</t>
        </is>
      </c>
    </row>
    <row r="771">
      <c r="A771" s="227">
        <f>TL[[#This Row],[Société]]&amp;" - "&amp;TL[[#This Row],[Compte]]</f>
        <v/>
      </c>
      <c r="B771" s="233" t="inlineStr">
        <is>
          <t>62600300</t>
        </is>
      </c>
      <c r="C771" s="227" t="inlineStr">
        <is>
          <t>Telephone</t>
        </is>
      </c>
      <c r="D771" s="233" t="inlineStr">
        <is>
          <t>20</t>
        </is>
      </c>
      <c r="E771" s="233" t="inlineStr">
        <is>
          <t>24</t>
        </is>
      </c>
      <c r="F771" s="227" t="inlineStr">
        <is>
          <t>TH4</t>
        </is>
      </c>
    </row>
    <row r="772">
      <c r="A772" s="227">
        <f>TL[[#This Row],[Société]]&amp;" - "&amp;TL[[#This Row],[Compte]]</f>
        <v/>
      </c>
      <c r="B772" s="233" t="inlineStr">
        <is>
          <t>62610000</t>
        </is>
      </c>
      <c r="C772" s="227" t="inlineStr">
        <is>
          <t>Frais postaux</t>
        </is>
      </c>
      <c r="D772" s="233" t="inlineStr">
        <is>
          <t>20</t>
        </is>
      </c>
      <c r="E772" s="233" t="inlineStr">
        <is>
          <t>24</t>
        </is>
      </c>
      <c r="F772" s="227" t="inlineStr">
        <is>
          <t>TH4</t>
        </is>
      </c>
    </row>
    <row r="773">
      <c r="A773" s="227">
        <f>TL[[#This Row],[Société]]&amp;" - "&amp;TL[[#This Row],[Compte]]</f>
        <v/>
      </c>
      <c r="B773" s="233" t="inlineStr">
        <is>
          <t>62620000</t>
        </is>
      </c>
      <c r="C773" s="227" t="inlineStr">
        <is>
          <t>Frais télécom</t>
        </is>
      </c>
      <c r="D773" s="233" t="inlineStr">
        <is>
          <t>20</t>
        </is>
      </c>
      <c r="E773" s="233" t="inlineStr">
        <is>
          <t>24</t>
        </is>
      </c>
      <c r="F773" s="227" t="inlineStr">
        <is>
          <t>TH4</t>
        </is>
      </c>
    </row>
    <row r="774">
      <c r="A774" s="227">
        <f>TL[[#This Row],[Société]]&amp;" - "&amp;TL[[#This Row],[Compte]]</f>
        <v/>
      </c>
      <c r="B774" s="233" t="inlineStr">
        <is>
          <t>62700100</t>
        </is>
      </c>
      <c r="C774" s="227" t="inlineStr">
        <is>
          <t>Commissions bancaires</t>
        </is>
      </c>
      <c r="D774" s="233" t="inlineStr">
        <is>
          <t>37</t>
        </is>
      </c>
      <c r="E774" s="233" t="inlineStr">
        <is>
          <t>17</t>
        </is>
      </c>
      <c r="F774" s="227" t="inlineStr">
        <is>
          <t>TH4</t>
        </is>
      </c>
    </row>
    <row r="775">
      <c r="A775" s="227">
        <f>TL[[#This Row],[Société]]&amp;" - "&amp;TL[[#This Row],[Compte]]</f>
        <v/>
      </c>
      <c r="B775" s="233" t="inlineStr">
        <is>
          <t>62700200</t>
        </is>
      </c>
      <c r="C775" s="227" t="inlineStr">
        <is>
          <t>Commission cb</t>
        </is>
      </c>
      <c r="D775" s="233" t="inlineStr">
        <is>
          <t>37</t>
        </is>
      </c>
      <c r="E775" s="233" t="inlineStr">
        <is>
          <t>17</t>
        </is>
      </c>
      <c r="F775" s="227" t="inlineStr">
        <is>
          <t>TH4</t>
        </is>
      </c>
    </row>
    <row r="776">
      <c r="A776" s="227">
        <f>TL[[#This Row],[Société]]&amp;" - "&amp;TL[[#This Row],[Compte]]</f>
        <v/>
      </c>
      <c r="B776" s="233" t="inlineStr">
        <is>
          <t>62700300</t>
        </is>
      </c>
      <c r="C776" s="227" t="inlineStr">
        <is>
          <t>Commissions tr</t>
        </is>
      </c>
      <c r="D776" s="233" t="inlineStr">
        <is>
          <t>37</t>
        </is>
      </c>
      <c r="E776" s="233" t="inlineStr">
        <is>
          <t>17</t>
        </is>
      </c>
      <c r="F776" s="227" t="inlineStr">
        <is>
          <t>TH4</t>
        </is>
      </c>
    </row>
    <row r="777">
      <c r="A777" s="227">
        <f>TL[[#This Row],[Société]]&amp;" - "&amp;TL[[#This Row],[Compte]]</f>
        <v/>
      </c>
      <c r="B777" s="233" t="inlineStr">
        <is>
          <t>62700500</t>
        </is>
      </c>
      <c r="C777" s="227" t="inlineStr">
        <is>
          <t>Commissions cv</t>
        </is>
      </c>
      <c r="D777" s="233" t="inlineStr">
        <is>
          <t>37</t>
        </is>
      </c>
      <c r="E777" s="233" t="inlineStr">
        <is>
          <t>17</t>
        </is>
      </c>
      <c r="F777" s="227" t="inlineStr">
        <is>
          <t>TH4</t>
        </is>
      </c>
    </row>
    <row r="778">
      <c r="A778" s="227">
        <f>TL[[#This Row],[Société]]&amp;" - "&amp;TL[[#This Row],[Compte]]</f>
        <v/>
      </c>
      <c r="B778" s="233" t="inlineStr">
        <is>
          <t>62780100</t>
        </is>
      </c>
      <c r="C778" s="227" t="inlineStr">
        <is>
          <t>Commissions bancaires</t>
        </is>
      </c>
      <c r="D778" s="233" t="inlineStr">
        <is>
          <t>37</t>
        </is>
      </c>
      <c r="E778" s="233" t="inlineStr">
        <is>
          <t>17</t>
        </is>
      </c>
      <c r="F778" s="227" t="inlineStr">
        <is>
          <t>TH4</t>
        </is>
      </c>
    </row>
    <row r="779">
      <c r="A779" s="227">
        <f>TL[[#This Row],[Société]]&amp;" - "&amp;TL[[#This Row],[Compte]]</f>
        <v/>
      </c>
      <c r="B779" s="233" t="inlineStr">
        <is>
          <t>62780200</t>
        </is>
      </c>
      <c r="C779" s="227" t="inlineStr">
        <is>
          <t>Commissions cb</t>
        </is>
      </c>
      <c r="D779" s="233" t="inlineStr">
        <is>
          <t>37</t>
        </is>
      </c>
      <c r="E779" s="233" t="inlineStr">
        <is>
          <t>17</t>
        </is>
      </c>
      <c r="F779" s="227" t="inlineStr">
        <is>
          <t>TH4</t>
        </is>
      </c>
    </row>
    <row r="780">
      <c r="A780" s="227">
        <f>TL[[#This Row],[Société]]&amp;" - "&amp;TL[[#This Row],[Compte]]</f>
        <v/>
      </c>
      <c r="B780" s="233" t="inlineStr">
        <is>
          <t>62780300</t>
        </is>
      </c>
      <c r="C780" s="227" t="inlineStr">
        <is>
          <t>Frais tr</t>
        </is>
      </c>
      <c r="D780" s="233" t="inlineStr">
        <is>
          <t>37</t>
        </is>
      </c>
      <c r="E780" s="233" t="inlineStr">
        <is>
          <t>17</t>
        </is>
      </c>
      <c r="F780" s="227" t="inlineStr">
        <is>
          <t>TH4</t>
        </is>
      </c>
    </row>
    <row r="781">
      <c r="A781" s="227">
        <f>TL[[#This Row],[Société]]&amp;" - "&amp;TL[[#This Row],[Compte]]</f>
        <v/>
      </c>
      <c r="B781" s="233" t="inlineStr">
        <is>
          <t>62780500</t>
        </is>
      </c>
      <c r="C781" s="227" t="inlineStr">
        <is>
          <t>Frais cv</t>
        </is>
      </c>
      <c r="D781" s="233" t="inlineStr">
        <is>
          <t>37</t>
        </is>
      </c>
      <c r="E781" s="233" t="inlineStr">
        <is>
          <t>17</t>
        </is>
      </c>
      <c r="F781" s="227" t="inlineStr">
        <is>
          <t>TH4</t>
        </is>
      </c>
    </row>
    <row r="782">
      <c r="A782" s="227">
        <f>TL[[#This Row],[Société]]&amp;" - "&amp;TL[[#This Row],[Compte]]</f>
        <v/>
      </c>
      <c r="B782" s="233" t="inlineStr">
        <is>
          <t>62780600</t>
        </is>
      </c>
      <c r="C782" s="227" t="inlineStr">
        <is>
          <t>Frais paypal</t>
        </is>
      </c>
      <c r="D782" s="233" t="inlineStr">
        <is>
          <t>37</t>
        </is>
      </c>
      <c r="E782" s="233" t="inlineStr">
        <is>
          <t>17</t>
        </is>
      </c>
      <c r="F782" s="227" t="inlineStr">
        <is>
          <t>TH4</t>
        </is>
      </c>
    </row>
    <row r="783">
      <c r="A783" s="227">
        <f>TL[[#This Row],[Société]]&amp;" - "&amp;TL[[#This Row],[Compte]]</f>
        <v/>
      </c>
      <c r="B783" s="233" t="inlineStr">
        <is>
          <t>62802300</t>
        </is>
      </c>
      <c r="C783" s="227" t="inlineStr">
        <is>
          <t>Divers</t>
        </is>
      </c>
      <c r="D783" s="233" t="inlineStr">
        <is>
          <t>23</t>
        </is>
      </c>
      <c r="E783" s="233" t="inlineStr">
        <is>
          <t>27</t>
        </is>
      </c>
      <c r="F783" s="227" t="inlineStr">
        <is>
          <t>TH4</t>
        </is>
      </c>
    </row>
    <row r="784">
      <c r="A784" s="227">
        <f>TL[[#This Row],[Société]]&amp;" - "&amp;TL[[#This Row],[Compte]]</f>
        <v/>
      </c>
      <c r="B784" s="233" t="inlineStr">
        <is>
          <t>62802400</t>
        </is>
      </c>
      <c r="C784" s="227" t="inlineStr">
        <is>
          <t>Achat coupons cinema</t>
        </is>
      </c>
      <c r="D784" s="233" t="inlineStr">
        <is>
          <t>62</t>
        </is>
      </c>
      <c r="E784" s="233" t="inlineStr">
        <is>
          <t>51</t>
        </is>
      </c>
      <c r="F784" s="227" t="inlineStr">
        <is>
          <t>TH4</t>
        </is>
      </c>
    </row>
    <row r="785">
      <c r="A785" s="227">
        <f>TL[[#This Row],[Société]]&amp;" - "&amp;TL[[#This Row],[Compte]]</f>
        <v/>
      </c>
      <c r="B785" s="233" t="inlineStr">
        <is>
          <t>62820000</t>
        </is>
      </c>
      <c r="C785" s="227" t="inlineStr">
        <is>
          <t>Cotisations</t>
        </is>
      </c>
      <c r="D785" s="233" t="inlineStr">
        <is>
          <t>39</t>
        </is>
      </c>
      <c r="E785" s="233" t="inlineStr">
        <is>
          <t>27</t>
        </is>
      </c>
      <c r="F785" s="227" t="inlineStr">
        <is>
          <t>TH4</t>
        </is>
      </c>
    </row>
    <row r="786">
      <c r="A786" s="227">
        <f>TL[[#This Row],[Société]]&amp;" - "&amp;TL[[#This Row],[Compte]]</f>
        <v/>
      </c>
      <c r="B786" s="233" t="inlineStr">
        <is>
          <t>62830000</t>
        </is>
      </c>
      <c r="C786" s="227" t="inlineStr">
        <is>
          <t>Frais fonctionnement gth 14</t>
        </is>
      </c>
      <c r="D786" s="233" t="inlineStr">
        <is>
          <t>51</t>
        </is>
      </c>
      <c r="E786" s="233" t="inlineStr">
        <is>
          <t>46</t>
        </is>
      </c>
      <c r="F786" s="227" t="inlineStr">
        <is>
          <t>TH4</t>
        </is>
      </c>
    </row>
    <row r="787">
      <c r="A787" s="227">
        <f>TL[[#This Row],[Société]]&amp;" - "&amp;TL[[#This Row],[Compte]]</f>
        <v/>
      </c>
      <c r="B787" s="233" t="inlineStr">
        <is>
          <t>62832000</t>
        </is>
      </c>
      <c r="C787" s="227" t="inlineStr">
        <is>
          <t>Redevance MUNGU</t>
        </is>
      </c>
      <c r="D787" s="233" t="inlineStr">
        <is>
          <t>51</t>
        </is>
      </c>
      <c r="E787" s="233" t="inlineStr">
        <is>
          <t>46</t>
        </is>
      </c>
      <c r="F787" s="227" t="inlineStr">
        <is>
          <t>TH4</t>
        </is>
      </c>
    </row>
    <row r="788">
      <c r="A788" s="227">
        <f>TL[[#This Row],[Société]]&amp;" - "&amp;TL[[#This Row],[Compte]]</f>
        <v/>
      </c>
      <c r="B788" s="233" t="inlineStr">
        <is>
          <t>62840000</t>
        </is>
      </c>
      <c r="C788" s="227" t="inlineStr">
        <is>
          <t>Formations extérieures</t>
        </is>
      </c>
      <c r="D788" s="233" t="inlineStr">
        <is>
          <t>13</t>
        </is>
      </c>
      <c r="E788" s="233" t="inlineStr">
        <is>
          <t>19</t>
        </is>
      </c>
      <c r="F788" s="227" t="inlineStr">
        <is>
          <t>TH4</t>
        </is>
      </c>
    </row>
    <row r="789">
      <c r="A789" s="227">
        <f>TL[[#This Row],[Société]]&amp;" - "&amp;TL[[#This Row],[Compte]]</f>
        <v/>
      </c>
      <c r="B789" s="233" t="inlineStr">
        <is>
          <t>63120000</t>
        </is>
      </c>
      <c r="C789" s="227" t="inlineStr">
        <is>
          <t>SALAIRES 09/2022</t>
        </is>
      </c>
      <c r="F789" s="227" t="inlineStr">
        <is>
          <t>TH4</t>
        </is>
      </c>
    </row>
    <row r="790">
      <c r="A790" s="227">
        <f>TL[[#This Row],[Société]]&amp;" - "&amp;TL[[#This Row],[Compte]]</f>
        <v/>
      </c>
      <c r="B790" s="233" t="inlineStr">
        <is>
          <t>63330000</t>
        </is>
      </c>
      <c r="C790" s="227" t="inlineStr">
        <is>
          <t>Formation professionnelle</t>
        </is>
      </c>
      <c r="D790" s="233" t="inlineStr">
        <is>
          <t>34</t>
        </is>
      </c>
      <c r="E790" s="233" t="inlineStr">
        <is>
          <t>37</t>
        </is>
      </c>
      <c r="F790" s="227" t="inlineStr">
        <is>
          <t>TH4</t>
        </is>
      </c>
    </row>
    <row r="791">
      <c r="A791" s="227">
        <f>TL[[#This Row],[Société]]&amp;" - "&amp;TL[[#This Row],[Compte]]</f>
        <v/>
      </c>
      <c r="B791" s="233" t="inlineStr">
        <is>
          <t>63340000</t>
        </is>
      </c>
      <c r="C791" s="227" t="inlineStr">
        <is>
          <t>Effort de construction</t>
        </is>
      </c>
      <c r="D791" s="233" t="inlineStr">
        <is>
          <t>34</t>
        </is>
      </c>
      <c r="E791" s="233" t="inlineStr">
        <is>
          <t>37</t>
        </is>
      </c>
      <c r="F791" s="227" t="inlineStr">
        <is>
          <t>TH4</t>
        </is>
      </c>
    </row>
    <row r="792">
      <c r="A792" s="227">
        <f>TL[[#This Row],[Société]]&amp;" - "&amp;TL[[#This Row],[Compte]]</f>
        <v/>
      </c>
      <c r="B792" s="233" t="inlineStr">
        <is>
          <t>63350000</t>
        </is>
      </c>
      <c r="C792" s="227" t="inlineStr">
        <is>
          <t>Taxe d'apprentissage</t>
        </is>
      </c>
      <c r="D792" s="233" t="inlineStr">
        <is>
          <t>34</t>
        </is>
      </c>
      <c r="E792" s="233" t="inlineStr">
        <is>
          <t>37</t>
        </is>
      </c>
      <c r="F792" s="227" t="inlineStr">
        <is>
          <t>TH4</t>
        </is>
      </c>
    </row>
    <row r="793">
      <c r="A793" s="227">
        <f>TL[[#This Row],[Société]]&amp;" - "&amp;TL[[#This Row],[Compte]]</f>
        <v/>
      </c>
      <c r="B793" s="233" t="inlineStr">
        <is>
          <t>63511000</t>
        </is>
      </c>
      <c r="C793" s="227" t="inlineStr">
        <is>
          <t>Taxe professionnelle</t>
        </is>
      </c>
      <c r="D793" s="233" t="inlineStr">
        <is>
          <t>34</t>
        </is>
      </c>
      <c r="E793" s="233" t="inlineStr">
        <is>
          <t>37</t>
        </is>
      </c>
      <c r="F793" s="227" t="inlineStr">
        <is>
          <t>TH4</t>
        </is>
      </c>
    </row>
    <row r="794">
      <c r="A794" s="227">
        <f>TL[[#This Row],[Société]]&amp;" - "&amp;TL[[#This Row],[Compte]]</f>
        <v/>
      </c>
      <c r="B794" s="233" t="inlineStr">
        <is>
          <t>63511100</t>
        </is>
      </c>
      <c r="C794" s="227" t="inlineStr">
        <is>
          <t>Cfe</t>
        </is>
      </c>
      <c r="D794" s="233" t="inlineStr">
        <is>
          <t>34</t>
        </is>
      </c>
      <c r="E794" s="233" t="inlineStr">
        <is>
          <t>37</t>
        </is>
      </c>
      <c r="F794" s="227" t="inlineStr">
        <is>
          <t>TH4</t>
        </is>
      </c>
    </row>
    <row r="795">
      <c r="A795" s="227">
        <f>TL[[#This Row],[Société]]&amp;" - "&amp;TL[[#This Row],[Compte]]</f>
        <v/>
      </c>
      <c r="B795" s="233" t="inlineStr">
        <is>
          <t>63511200</t>
        </is>
      </c>
      <c r="C795" s="227" t="inlineStr">
        <is>
          <t>Cvae</t>
        </is>
      </c>
      <c r="D795" s="233" t="inlineStr">
        <is>
          <t>34</t>
        </is>
      </c>
      <c r="E795" s="233" t="inlineStr">
        <is>
          <t>37</t>
        </is>
      </c>
      <c r="F795" s="227" t="inlineStr">
        <is>
          <t>TH4</t>
        </is>
      </c>
    </row>
    <row r="796">
      <c r="A796" s="227">
        <f>TL[[#This Row],[Société]]&amp;" - "&amp;TL[[#This Row],[Compte]]</f>
        <v/>
      </c>
      <c r="B796" s="233" t="inlineStr">
        <is>
          <t>63512000</t>
        </is>
      </c>
      <c r="C796" s="227" t="inlineStr">
        <is>
          <t>Taxes fonciÈres</t>
        </is>
      </c>
      <c r="D796" s="233" t="inlineStr">
        <is>
          <t>34</t>
        </is>
      </c>
      <c r="E796" s="233" t="inlineStr">
        <is>
          <t>37</t>
        </is>
      </c>
      <c r="F796" s="227" t="inlineStr">
        <is>
          <t>TH4</t>
        </is>
      </c>
    </row>
    <row r="797">
      <c r="A797" s="227">
        <f>TL[[#This Row],[Société]]&amp;" - "&amp;TL[[#This Row],[Compte]]</f>
        <v/>
      </c>
      <c r="B797" s="233" t="inlineStr">
        <is>
          <t>63513000</t>
        </is>
      </c>
      <c r="C797" s="227" t="inlineStr">
        <is>
          <t>Taxe fonciÈre</t>
        </is>
      </c>
      <c r="D797" s="233" t="inlineStr">
        <is>
          <t>34</t>
        </is>
      </c>
      <c r="E797" s="233" t="inlineStr">
        <is>
          <t>37</t>
        </is>
      </c>
      <c r="F797" s="227" t="inlineStr">
        <is>
          <t>TH4</t>
        </is>
      </c>
    </row>
    <row r="798">
      <c r="A798" s="227">
        <f>TL[[#This Row],[Société]]&amp;" - "&amp;TL[[#This Row],[Compte]]</f>
        <v/>
      </c>
      <c r="B798" s="233" t="inlineStr">
        <is>
          <t>63514000</t>
        </is>
      </c>
      <c r="C798" s="227" t="inlineStr">
        <is>
          <t>Taxes sur les véhicules sociétés</t>
        </is>
      </c>
      <c r="D798" s="233" t="inlineStr">
        <is>
          <t>39</t>
        </is>
      </c>
      <c r="E798" s="233" t="inlineStr">
        <is>
          <t>37</t>
        </is>
      </c>
      <c r="F798" s="227" t="inlineStr">
        <is>
          <t>TH4</t>
        </is>
      </c>
    </row>
    <row r="799">
      <c r="A799" s="227">
        <f>TL[[#This Row],[Société]]&amp;" - "&amp;TL[[#This Row],[Compte]]</f>
        <v/>
      </c>
      <c r="B799" s="233" t="inlineStr">
        <is>
          <t>63550000</t>
        </is>
      </c>
      <c r="C799" s="227" t="inlineStr">
        <is>
          <t>Tvts</t>
        </is>
      </c>
      <c r="D799" s="233" t="inlineStr">
        <is>
          <t>34</t>
        </is>
      </c>
      <c r="E799" s="233" t="inlineStr">
        <is>
          <t>37</t>
        </is>
      </c>
      <c r="F799" s="227" t="inlineStr">
        <is>
          <t>TH4</t>
        </is>
      </c>
    </row>
    <row r="800">
      <c r="A800" s="227">
        <f>TL[[#This Row],[Société]]&amp;" - "&amp;TL[[#This Row],[Compte]]</f>
        <v/>
      </c>
      <c r="B800" s="233" t="inlineStr">
        <is>
          <t>63551000</t>
        </is>
      </c>
      <c r="C800" s="227" t="inlineStr">
        <is>
          <t>Contribution peche</t>
        </is>
      </c>
      <c r="D800" s="233" t="inlineStr">
        <is>
          <t>34</t>
        </is>
      </c>
      <c r="E800" s="233" t="inlineStr">
        <is>
          <t>37</t>
        </is>
      </c>
      <c r="F800" s="227" t="inlineStr">
        <is>
          <t>TH4</t>
        </is>
      </c>
    </row>
    <row r="801">
      <c r="A801" s="227">
        <f>TL[[#This Row],[Société]]&amp;" - "&amp;TL[[#This Row],[Compte]]</f>
        <v/>
      </c>
      <c r="B801" s="233" t="inlineStr">
        <is>
          <t>63552000</t>
        </is>
      </c>
      <c r="C801" s="227" t="inlineStr">
        <is>
          <t>Redevance audio</t>
        </is>
      </c>
      <c r="D801" s="233" t="inlineStr">
        <is>
          <t>34</t>
        </is>
      </c>
      <c r="E801" s="233" t="inlineStr">
        <is>
          <t>37</t>
        </is>
      </c>
      <c r="F801" s="227" t="inlineStr">
        <is>
          <t>TH4</t>
        </is>
      </c>
    </row>
    <row r="802">
      <c r="A802" s="227">
        <f>TL[[#This Row],[Société]]&amp;" - "&amp;TL[[#This Row],[Compte]]</f>
        <v/>
      </c>
      <c r="B802" s="233" t="inlineStr">
        <is>
          <t>63553000</t>
        </is>
      </c>
      <c r="C802" s="227" t="inlineStr">
        <is>
          <t>Taxe publicité</t>
        </is>
      </c>
      <c r="D802" s="233" t="inlineStr">
        <is>
          <t>34</t>
        </is>
      </c>
      <c r="E802" s="233" t="inlineStr">
        <is>
          <t>37</t>
        </is>
      </c>
      <c r="F802" s="227" t="inlineStr">
        <is>
          <t>TH4</t>
        </is>
      </c>
    </row>
    <row r="803">
      <c r="A803" s="227">
        <f>TL[[#This Row],[Société]]&amp;" - "&amp;TL[[#This Row],[Compte]]</f>
        <v/>
      </c>
      <c r="B803" s="233" t="inlineStr">
        <is>
          <t>63554000</t>
        </is>
      </c>
      <c r="C803" s="227" t="inlineStr">
        <is>
          <t>Taxe 0,12% ca</t>
        </is>
      </c>
      <c r="D803" s="233" t="inlineStr">
        <is>
          <t>34</t>
        </is>
      </c>
      <c r="E803" s="233" t="inlineStr">
        <is>
          <t>37</t>
        </is>
      </c>
      <c r="F803" s="227" t="inlineStr">
        <is>
          <t>TH4</t>
        </is>
      </c>
    </row>
    <row r="804">
      <c r="A804" s="227">
        <f>TL[[#This Row],[Société]]&amp;" - "&amp;TL[[#This Row],[Compte]]</f>
        <v/>
      </c>
      <c r="B804" s="233" t="inlineStr">
        <is>
          <t>63555000</t>
        </is>
      </c>
      <c r="C804" s="227" t="inlineStr">
        <is>
          <t>Contribution sur boissons sucrées</t>
        </is>
      </c>
      <c r="D804" s="233" t="inlineStr">
        <is>
          <t>09</t>
        </is>
      </c>
      <c r="E804" s="233" t="inlineStr">
        <is>
          <t>03</t>
        </is>
      </c>
      <c r="F804" s="227" t="inlineStr">
        <is>
          <t>TH4</t>
        </is>
      </c>
    </row>
    <row r="805">
      <c r="A805" s="227">
        <f>TL[[#This Row],[Société]]&amp;" - "&amp;TL[[#This Row],[Compte]]</f>
        <v/>
      </c>
      <c r="B805" s="233" t="inlineStr">
        <is>
          <t>63570000</t>
        </is>
      </c>
      <c r="C805" s="227" t="inlineStr">
        <is>
          <t>Impot forfait.annuel</t>
        </is>
      </c>
      <c r="F805" s="227" t="inlineStr">
        <is>
          <t>TH4</t>
        </is>
      </c>
    </row>
    <row r="806">
      <c r="A806" s="227">
        <f>TL[[#This Row],[Société]]&amp;" - "&amp;TL[[#This Row],[Compte]]</f>
        <v/>
      </c>
      <c r="B806" s="233" t="inlineStr">
        <is>
          <t>63710000</t>
        </is>
      </c>
      <c r="C806" s="227" t="inlineStr">
        <is>
          <t>Contribution sociale de solidarité</t>
        </is>
      </c>
      <c r="D806" s="233" t="inlineStr">
        <is>
          <t>34</t>
        </is>
      </c>
      <c r="E806" s="233" t="inlineStr">
        <is>
          <t>37</t>
        </is>
      </c>
      <c r="F806" s="227" t="inlineStr">
        <is>
          <t>TH4</t>
        </is>
      </c>
    </row>
    <row r="807">
      <c r="A807" s="227">
        <f>TL[[#This Row],[Société]]&amp;" - "&amp;TL[[#This Row],[Compte]]</f>
        <v/>
      </c>
      <c r="B807" s="233" t="inlineStr">
        <is>
          <t>63730000</t>
        </is>
      </c>
      <c r="C807" s="227" t="inlineStr">
        <is>
          <t>Taxe handicapés</t>
        </is>
      </c>
      <c r="D807" s="233" t="inlineStr">
        <is>
          <t>34</t>
        </is>
      </c>
      <c r="E807" s="233" t="inlineStr">
        <is>
          <t>37</t>
        </is>
      </c>
      <c r="F807" s="227" t="inlineStr">
        <is>
          <t>TH4</t>
        </is>
      </c>
    </row>
    <row r="808">
      <c r="A808" s="227">
        <f>TL[[#This Row],[Société]]&amp;" - "&amp;TL[[#This Row],[Compte]]</f>
        <v/>
      </c>
      <c r="B808" s="233" t="inlineStr">
        <is>
          <t>64110100</t>
        </is>
      </c>
      <c r="C808" s="227" t="inlineStr">
        <is>
          <t>Salaires équipiers</t>
        </is>
      </c>
      <c r="D808" s="233" t="inlineStr">
        <is>
          <t>10</t>
        </is>
      </c>
      <c r="E808" s="233" t="inlineStr">
        <is>
          <t>08</t>
        </is>
      </c>
      <c r="F808" s="227" t="inlineStr">
        <is>
          <t>TH4</t>
        </is>
      </c>
    </row>
    <row r="809">
      <c r="A809" s="227">
        <f>TL[[#This Row],[Société]]&amp;" - "&amp;TL[[#This Row],[Compte]]</f>
        <v/>
      </c>
      <c r="B809" s="233" t="inlineStr">
        <is>
          <t>64110300</t>
        </is>
      </c>
      <c r="C809" s="227" t="inlineStr">
        <is>
          <t>Indem ruptureconvent equipiers</t>
        </is>
      </c>
      <c r="D809" s="233" t="inlineStr">
        <is>
          <t>10</t>
        </is>
      </c>
      <c r="E809" s="233" t="inlineStr">
        <is>
          <t>08</t>
        </is>
      </c>
      <c r="F809" s="227" t="inlineStr">
        <is>
          <t>TH4</t>
        </is>
      </c>
    </row>
    <row r="810">
      <c r="A810" s="227">
        <f>TL[[#This Row],[Société]]&amp;" - "&amp;TL[[#This Row],[Compte]]</f>
        <v/>
      </c>
      <c r="B810" s="233" t="inlineStr">
        <is>
          <t>64110400</t>
        </is>
      </c>
      <c r="C810" s="227" t="inlineStr">
        <is>
          <t>Salaires managers</t>
        </is>
      </c>
      <c r="D810" s="233" t="inlineStr">
        <is>
          <t>11</t>
        </is>
      </c>
      <c r="E810" s="233" t="inlineStr">
        <is>
          <t>10</t>
        </is>
      </c>
      <c r="F810" s="227" t="inlineStr">
        <is>
          <t>TH4</t>
        </is>
      </c>
    </row>
    <row r="811">
      <c r="A811" s="227">
        <f>TL[[#This Row],[Société]]&amp;" - "&amp;TL[[#This Row],[Compte]]</f>
        <v/>
      </c>
      <c r="B811" s="233" t="inlineStr">
        <is>
          <t>64110500</t>
        </is>
      </c>
      <c r="C811" s="227" t="inlineStr">
        <is>
          <t>ind rupture convent mgrs</t>
        </is>
      </c>
      <c r="D811" s="233" t="inlineStr">
        <is>
          <t>39</t>
        </is>
      </c>
      <c r="E811" s="233" t="inlineStr">
        <is>
          <t>10</t>
        </is>
      </c>
      <c r="F811" s="227" t="inlineStr">
        <is>
          <t>TH4</t>
        </is>
      </c>
    </row>
    <row r="812">
      <c r="A812" s="227">
        <f>TL[[#This Row],[Société]]&amp;" - "&amp;TL[[#This Row],[Compte]]</f>
        <v/>
      </c>
      <c r="B812" s="233" t="inlineStr">
        <is>
          <t>64111000</t>
        </is>
      </c>
      <c r="C812" s="227" t="inlineStr">
        <is>
          <t>Ind. licenciement équipiers</t>
        </is>
      </c>
      <c r="D812" s="233" t="inlineStr">
        <is>
          <t>10</t>
        </is>
      </c>
      <c r="E812" s="233" t="inlineStr">
        <is>
          <t>08</t>
        </is>
      </c>
      <c r="F812" s="227" t="inlineStr">
        <is>
          <t>TH4</t>
        </is>
      </c>
    </row>
    <row r="813">
      <c r="A813" s="227">
        <f>TL[[#This Row],[Société]]&amp;" - "&amp;TL[[#This Row],[Compte]]</f>
        <v/>
      </c>
      <c r="B813" s="233" t="inlineStr">
        <is>
          <t>64112000</t>
        </is>
      </c>
      <c r="C813" s="227" t="inlineStr">
        <is>
          <t>ind inflation equipiers</t>
        </is>
      </c>
      <c r="D813" s="233" t="inlineStr">
        <is>
          <t>10</t>
        </is>
      </c>
      <c r="E813" s="233" t="inlineStr">
        <is>
          <t>08</t>
        </is>
      </c>
      <c r="F813" s="227" t="inlineStr">
        <is>
          <t>TH4</t>
        </is>
      </c>
    </row>
    <row r="814">
      <c r="A814" s="227">
        <f>TL[[#This Row],[Société]]&amp;" - "&amp;TL[[#This Row],[Compte]]</f>
        <v/>
      </c>
      <c r="B814" s="233" t="inlineStr">
        <is>
          <t>64113000</t>
        </is>
      </c>
      <c r="C814" s="227" t="inlineStr">
        <is>
          <t>ind inflation mgr</t>
        </is>
      </c>
      <c r="D814" s="233" t="inlineStr">
        <is>
          <t>11</t>
        </is>
      </c>
      <c r="E814" s="233" t="inlineStr">
        <is>
          <t>10</t>
        </is>
      </c>
      <c r="F814" s="227" t="inlineStr">
        <is>
          <t>TH4</t>
        </is>
      </c>
    </row>
    <row r="815">
      <c r="A815" s="227">
        <f>TL[[#This Row],[Société]]&amp;" - "&amp;TL[[#This Row],[Compte]]</f>
        <v/>
      </c>
      <c r="B815" s="233" t="inlineStr">
        <is>
          <t>64114000</t>
        </is>
      </c>
      <c r="C815" s="227" t="inlineStr">
        <is>
          <t>Ind. licenciement managers</t>
        </is>
      </c>
      <c r="D815" s="233" t="inlineStr">
        <is>
          <t>39</t>
        </is>
      </c>
      <c r="E815" s="233" t="inlineStr">
        <is>
          <t>10</t>
        </is>
      </c>
      <c r="F815" s="227" t="inlineStr">
        <is>
          <t>TH4</t>
        </is>
      </c>
    </row>
    <row r="816">
      <c r="A816" s="227">
        <f>TL[[#This Row],[Société]]&amp;" - "&amp;TL[[#This Row],[Compte]]</f>
        <v/>
      </c>
      <c r="B816" s="233" t="inlineStr">
        <is>
          <t>64120000</t>
        </is>
      </c>
      <c r="C816" s="227" t="inlineStr">
        <is>
          <t>Prov cp</t>
        </is>
      </c>
      <c r="D816" s="233" t="inlineStr">
        <is>
          <t>10</t>
        </is>
      </c>
      <c r="E816" s="233" t="inlineStr">
        <is>
          <t>08</t>
        </is>
      </c>
      <c r="F816" s="227" t="inlineStr">
        <is>
          <t>TH4</t>
        </is>
      </c>
    </row>
    <row r="817">
      <c r="A817" s="227">
        <f>TL[[#This Row],[Société]]&amp;" - "&amp;TL[[#This Row],[Compte]]</f>
        <v/>
      </c>
      <c r="B817" s="233" t="inlineStr">
        <is>
          <t>64121000</t>
        </is>
      </c>
      <c r="C817" s="227" t="inlineStr">
        <is>
          <t>Extourne Provision CP - août 2022 (</t>
        </is>
      </c>
      <c r="F817" s="227" t="inlineStr">
        <is>
          <t>TH4</t>
        </is>
      </c>
    </row>
    <row r="818">
      <c r="A818" s="227">
        <f>TL[[#This Row],[Société]]&amp;" - "&amp;TL[[#This Row],[Compte]]</f>
        <v/>
      </c>
      <c r="B818" s="233" t="inlineStr">
        <is>
          <t>64122000</t>
        </is>
      </c>
      <c r="C818" s="227" t="inlineStr">
        <is>
          <t>Prov cp managers</t>
        </is>
      </c>
      <c r="D818" s="233" t="inlineStr">
        <is>
          <t>11</t>
        </is>
      </c>
      <c r="E818" s="233" t="inlineStr">
        <is>
          <t>10</t>
        </is>
      </c>
      <c r="F818" s="227" t="inlineStr">
        <is>
          <t>TH4</t>
        </is>
      </c>
    </row>
    <row r="819">
      <c r="A819" s="227">
        <f>TL[[#This Row],[Société]]&amp;" - "&amp;TL[[#This Row],[Compte]]</f>
        <v/>
      </c>
      <c r="B819" s="233" t="inlineStr">
        <is>
          <t>64123000</t>
        </is>
      </c>
      <c r="C819" s="227" t="inlineStr">
        <is>
          <t>Prov cp équipiers</t>
        </is>
      </c>
      <c r="D819" s="233" t="inlineStr">
        <is>
          <t>10</t>
        </is>
      </c>
      <c r="E819" s="233" t="inlineStr">
        <is>
          <t>08</t>
        </is>
      </c>
      <c r="F819" s="227" t="inlineStr">
        <is>
          <t>TH4</t>
        </is>
      </c>
    </row>
    <row r="820">
      <c r="A820" s="227">
        <f>TL[[#This Row],[Société]]&amp;" - "&amp;TL[[#This Row],[Compte]]</f>
        <v/>
      </c>
      <c r="B820" s="233" t="inlineStr">
        <is>
          <t>64130000</t>
        </is>
      </c>
      <c r="C820" s="227" t="inlineStr">
        <is>
          <t>Primes et gratifications</t>
        </is>
      </c>
      <c r="D820" s="233" t="inlineStr">
        <is>
          <t>11</t>
        </is>
      </c>
      <c r="E820" s="233" t="inlineStr">
        <is>
          <t>10</t>
        </is>
      </c>
      <c r="F820" s="227" t="inlineStr">
        <is>
          <t>TH4</t>
        </is>
      </c>
    </row>
    <row r="821">
      <c r="A821" s="227">
        <f>TL[[#This Row],[Société]]&amp;" - "&amp;TL[[#This Row],[Compte]]</f>
        <v/>
      </c>
      <c r="B821" s="233" t="inlineStr">
        <is>
          <t>64133300</t>
        </is>
      </c>
      <c r="C821" s="227" t="inlineStr">
        <is>
          <t>Primes &amp; licenciement p&amp;l</t>
        </is>
      </c>
      <c r="D821" s="233" t="inlineStr">
        <is>
          <t>39</t>
        </is>
      </c>
      <c r="E821" s="233" t="inlineStr">
        <is>
          <t>10</t>
        </is>
      </c>
      <c r="F821" s="227" t="inlineStr">
        <is>
          <t>TH4</t>
        </is>
      </c>
    </row>
    <row r="822">
      <c r="A822" s="227">
        <f>TL[[#This Row],[Société]]&amp;" - "&amp;TL[[#This Row],[Compte]]</f>
        <v/>
      </c>
      <c r="B822" s="233" t="inlineStr">
        <is>
          <t>64140000</t>
        </is>
      </c>
      <c r="C822" s="227" t="inlineStr">
        <is>
          <t>IndemnitÉs et avantages ne pas util</t>
        </is>
      </c>
      <c r="D822" s="233" t="inlineStr">
        <is>
          <t>10</t>
        </is>
      </c>
      <c r="E822" s="233" t="inlineStr">
        <is>
          <t>08</t>
        </is>
      </c>
      <c r="F822" s="227" t="inlineStr">
        <is>
          <t>TH4</t>
        </is>
      </c>
    </row>
    <row r="823">
      <c r="A823" s="227">
        <f>TL[[#This Row],[Société]]&amp;" - "&amp;TL[[#This Row],[Compte]]</f>
        <v/>
      </c>
      <c r="B823" s="233" t="inlineStr">
        <is>
          <t>64140100</t>
        </is>
      </c>
      <c r="C823" s="227" t="inlineStr">
        <is>
          <t>Avantages en nature équipiers</t>
        </is>
      </c>
      <c r="D823" s="233" t="inlineStr">
        <is>
          <t>10</t>
        </is>
      </c>
      <c r="E823" s="233" t="inlineStr">
        <is>
          <t>08</t>
        </is>
      </c>
      <c r="F823" s="227" t="inlineStr">
        <is>
          <t>TH4</t>
        </is>
      </c>
    </row>
    <row r="824">
      <c r="A824" s="227">
        <f>TL[[#This Row],[Société]]&amp;" - "&amp;TL[[#This Row],[Compte]]</f>
        <v/>
      </c>
      <c r="B824" s="233" t="inlineStr">
        <is>
          <t>64140400</t>
        </is>
      </c>
      <c r="C824" s="227" t="inlineStr">
        <is>
          <t>Avantages en nature managers</t>
        </is>
      </c>
      <c r="D824" s="233" t="inlineStr">
        <is>
          <t>11</t>
        </is>
      </c>
      <c r="E824" s="233" t="inlineStr">
        <is>
          <t>10</t>
        </is>
      </c>
      <c r="F824" s="227" t="inlineStr">
        <is>
          <t>TH4</t>
        </is>
      </c>
    </row>
    <row r="825">
      <c r="A825" s="227">
        <f>TL[[#This Row],[Société]]&amp;" - "&amp;TL[[#This Row],[Compte]]</f>
        <v/>
      </c>
      <c r="B825" s="233" t="inlineStr">
        <is>
          <t>64141100</t>
        </is>
      </c>
      <c r="C825" s="227" t="inlineStr">
        <is>
          <t>Ind. blanch équipiers</t>
        </is>
      </c>
      <c r="D825" s="233" t="inlineStr">
        <is>
          <t>10</t>
        </is>
      </c>
      <c r="E825" s="233" t="inlineStr">
        <is>
          <t>08</t>
        </is>
      </c>
      <c r="F825" s="227" t="inlineStr">
        <is>
          <t>TH4</t>
        </is>
      </c>
    </row>
    <row r="826">
      <c r="A826" s="227">
        <f>TL[[#This Row],[Société]]&amp;" - "&amp;TL[[#This Row],[Compte]]</f>
        <v/>
      </c>
      <c r="B826" s="233" t="inlineStr">
        <is>
          <t>64141400</t>
        </is>
      </c>
      <c r="C826" s="227" t="inlineStr">
        <is>
          <t>Ind. blanch. managers</t>
        </is>
      </c>
      <c r="D826" s="233" t="inlineStr">
        <is>
          <t>11</t>
        </is>
      </c>
      <c r="E826" s="233" t="inlineStr">
        <is>
          <t>10</t>
        </is>
      </c>
      <c r="F826" s="227" t="inlineStr">
        <is>
          <t>TH4</t>
        </is>
      </c>
    </row>
    <row r="827">
      <c r="A827" s="227">
        <f>TL[[#This Row],[Société]]&amp;" - "&amp;TL[[#This Row],[Compte]]</f>
        <v/>
      </c>
      <c r="B827" s="233" t="inlineStr">
        <is>
          <t>64504100</t>
        </is>
      </c>
      <c r="C827" s="227" t="inlineStr">
        <is>
          <t>Mutuelle equipiers</t>
        </is>
      </c>
      <c r="D827" s="233" t="inlineStr">
        <is>
          <t>10</t>
        </is>
      </c>
      <c r="E827" s="233" t="inlineStr">
        <is>
          <t>09</t>
        </is>
      </c>
      <c r="F827" s="227" t="inlineStr">
        <is>
          <t>TH4</t>
        </is>
      </c>
    </row>
    <row r="828">
      <c r="A828" s="227">
        <f>TL[[#This Row],[Société]]&amp;" - "&amp;TL[[#This Row],[Compte]]</f>
        <v/>
      </c>
      <c r="B828" s="233" t="inlineStr">
        <is>
          <t>64504400</t>
        </is>
      </c>
      <c r="C828" s="227" t="inlineStr">
        <is>
          <t>Mutuelle managers</t>
        </is>
      </c>
      <c r="D828" s="233" t="inlineStr">
        <is>
          <t>12</t>
        </is>
      </c>
      <c r="E828" s="233" t="inlineStr">
        <is>
          <t>11</t>
        </is>
      </c>
      <c r="F828" s="227" t="inlineStr">
        <is>
          <t>TH4</t>
        </is>
      </c>
    </row>
    <row r="829">
      <c r="A829" s="227">
        <f>TL[[#This Row],[Société]]&amp;" - "&amp;TL[[#This Row],[Compte]]</f>
        <v/>
      </c>
      <c r="B829" s="233" t="inlineStr">
        <is>
          <t>64510100</t>
        </is>
      </c>
      <c r="C829" s="227" t="inlineStr">
        <is>
          <t>Urssaf équipiers</t>
        </is>
      </c>
      <c r="D829" s="233" t="inlineStr">
        <is>
          <t>10</t>
        </is>
      </c>
      <c r="E829" s="233" t="inlineStr">
        <is>
          <t>09</t>
        </is>
      </c>
      <c r="F829" s="227" t="inlineStr">
        <is>
          <t>TH4</t>
        </is>
      </c>
    </row>
    <row r="830">
      <c r="A830" s="227">
        <f>TL[[#This Row],[Société]]&amp;" - "&amp;TL[[#This Row],[Compte]]</f>
        <v/>
      </c>
      <c r="B830" s="233" t="inlineStr">
        <is>
          <t>64510400</t>
        </is>
      </c>
      <c r="C830" s="227" t="inlineStr">
        <is>
          <t>Urssaf managers</t>
        </is>
      </c>
      <c r="D830" s="233" t="inlineStr">
        <is>
          <t>12</t>
        </is>
      </c>
      <c r="E830" s="233" t="inlineStr">
        <is>
          <t>11</t>
        </is>
      </c>
      <c r="F830" s="227" t="inlineStr">
        <is>
          <t>TH4</t>
        </is>
      </c>
    </row>
    <row r="831">
      <c r="A831" s="227">
        <f>TL[[#This Row],[Société]]&amp;" - "&amp;TL[[#This Row],[Compte]]</f>
        <v/>
      </c>
      <c r="B831" s="233" t="inlineStr">
        <is>
          <t>64520100</t>
        </is>
      </c>
      <c r="C831" s="227" t="inlineStr">
        <is>
          <t>Mutuelle équipiers</t>
        </is>
      </c>
      <c r="D831" s="233" t="inlineStr">
        <is>
          <t>10</t>
        </is>
      </c>
      <c r="E831" s="233" t="inlineStr">
        <is>
          <t>09</t>
        </is>
      </c>
      <c r="F831" s="227" t="inlineStr">
        <is>
          <t>TH4</t>
        </is>
      </c>
    </row>
    <row r="832">
      <c r="A832" s="227">
        <f>TL[[#This Row],[Société]]&amp;" - "&amp;TL[[#This Row],[Compte]]</f>
        <v/>
      </c>
      <c r="B832" s="233" t="inlineStr">
        <is>
          <t>64520400</t>
        </is>
      </c>
      <c r="C832" s="227" t="inlineStr">
        <is>
          <t>Mutuelle managers</t>
        </is>
      </c>
      <c r="D832" s="233" t="inlineStr">
        <is>
          <t>12</t>
        </is>
      </c>
      <c r="E832" s="233" t="inlineStr">
        <is>
          <t>11</t>
        </is>
      </c>
      <c r="F832" s="227" t="inlineStr">
        <is>
          <t>TH4</t>
        </is>
      </c>
    </row>
    <row r="833">
      <c r="A833" s="227">
        <f>TL[[#This Row],[Société]]&amp;" - "&amp;TL[[#This Row],[Compte]]</f>
        <v/>
      </c>
      <c r="B833" s="233" t="inlineStr">
        <is>
          <t>64530100</t>
        </is>
      </c>
      <c r="C833" s="227" t="inlineStr">
        <is>
          <t>Retraite et prév équipiers</t>
        </is>
      </c>
      <c r="D833" s="233" t="inlineStr">
        <is>
          <t>10</t>
        </is>
      </c>
      <c r="E833" s="233" t="inlineStr">
        <is>
          <t>09</t>
        </is>
      </c>
      <c r="F833" s="227" t="inlineStr">
        <is>
          <t>TH4</t>
        </is>
      </c>
    </row>
    <row r="834">
      <c r="A834" s="227">
        <f>TL[[#This Row],[Société]]&amp;" - "&amp;TL[[#This Row],[Compte]]</f>
        <v/>
      </c>
      <c r="B834" s="233" t="inlineStr">
        <is>
          <t>64530400</t>
        </is>
      </c>
      <c r="C834" s="227" t="inlineStr">
        <is>
          <t>Retraite et prév managers</t>
        </is>
      </c>
      <c r="D834" s="233" t="inlineStr">
        <is>
          <t>12</t>
        </is>
      </c>
      <c r="E834" s="233" t="inlineStr">
        <is>
          <t>11</t>
        </is>
      </c>
      <c r="F834" s="227" t="inlineStr">
        <is>
          <t>TH4</t>
        </is>
      </c>
    </row>
    <row r="835">
      <c r="A835" s="227">
        <f>TL[[#This Row],[Société]]&amp;" - "&amp;TL[[#This Row],[Compte]]</f>
        <v/>
      </c>
      <c r="B835" s="233" t="inlineStr">
        <is>
          <t>64540100</t>
        </is>
      </c>
      <c r="C835" s="227" t="inlineStr">
        <is>
          <t>Pôle emploi équipiers</t>
        </is>
      </c>
      <c r="D835" s="233" t="inlineStr">
        <is>
          <t>10</t>
        </is>
      </c>
      <c r="E835" s="233" t="inlineStr">
        <is>
          <t>09</t>
        </is>
      </c>
      <c r="F835" s="227" t="inlineStr">
        <is>
          <t>TH4</t>
        </is>
      </c>
    </row>
    <row r="836">
      <c r="A836" s="227">
        <f>TL[[#This Row],[Société]]&amp;" - "&amp;TL[[#This Row],[Compte]]</f>
        <v/>
      </c>
      <c r="B836" s="233" t="inlineStr">
        <is>
          <t>64540400</t>
        </is>
      </c>
      <c r="C836" s="227" t="inlineStr">
        <is>
          <t>Pôle emploi managers</t>
        </is>
      </c>
      <c r="D836" s="233" t="inlineStr">
        <is>
          <t>12</t>
        </is>
      </c>
      <c r="E836" s="233" t="inlineStr">
        <is>
          <t>11</t>
        </is>
      </c>
      <c r="F836" s="227" t="inlineStr">
        <is>
          <t>TH4</t>
        </is>
      </c>
    </row>
    <row r="837">
      <c r="A837" s="227">
        <f>TL[[#This Row],[Société]]&amp;" - "&amp;TL[[#This Row],[Compte]]</f>
        <v/>
      </c>
      <c r="B837" s="233" t="inlineStr">
        <is>
          <t>64550400</t>
        </is>
      </c>
      <c r="C837" s="227" t="inlineStr">
        <is>
          <t>Cotisat° retraite supp prev cadre</t>
        </is>
      </c>
      <c r="D837" s="233" t="inlineStr">
        <is>
          <t>12</t>
        </is>
      </c>
      <c r="E837" s="233" t="inlineStr">
        <is>
          <t>11</t>
        </is>
      </c>
      <c r="F837" s="227" t="inlineStr">
        <is>
          <t>TH4</t>
        </is>
      </c>
    </row>
    <row r="838">
      <c r="A838" s="227">
        <f>TL[[#This Row],[Société]]&amp;" - "&amp;TL[[#This Row],[Compte]]</f>
        <v/>
      </c>
      <c r="B838" s="233" t="inlineStr">
        <is>
          <t>64580000</t>
        </is>
      </c>
      <c r="C838" s="227" t="inlineStr">
        <is>
          <t>Ch sociales s cp équipiers</t>
        </is>
      </c>
      <c r="D838" s="233" t="inlineStr">
        <is>
          <t>10</t>
        </is>
      </c>
      <c r="E838" s="233" t="inlineStr">
        <is>
          <t>09</t>
        </is>
      </c>
      <c r="F838" s="227" t="inlineStr">
        <is>
          <t>TH4</t>
        </is>
      </c>
    </row>
    <row r="839">
      <c r="A839" s="227">
        <f>TL[[#This Row],[Société]]&amp;" - "&amp;TL[[#This Row],[Compte]]</f>
        <v/>
      </c>
      <c r="B839" s="233" t="inlineStr">
        <is>
          <t>64581000</t>
        </is>
      </c>
      <c r="C839" s="227" t="inlineStr">
        <is>
          <t>Charges soc s/primes</t>
        </is>
      </c>
      <c r="D839" s="233" t="inlineStr">
        <is>
          <t>12</t>
        </is>
      </c>
      <c r="E839" s="233" t="inlineStr">
        <is>
          <t>11</t>
        </is>
      </c>
      <c r="F839" s="227" t="inlineStr">
        <is>
          <t>TH4</t>
        </is>
      </c>
    </row>
    <row r="840">
      <c r="A840" s="227">
        <f>TL[[#This Row],[Société]]&amp;" - "&amp;TL[[#This Row],[Compte]]</f>
        <v/>
      </c>
      <c r="B840" s="233" t="inlineStr">
        <is>
          <t>64582000</t>
        </is>
      </c>
      <c r="C840" s="227" t="inlineStr">
        <is>
          <t>Ch sociales s cp managers</t>
        </is>
      </c>
      <c r="D840" s="233" t="inlineStr">
        <is>
          <t>12</t>
        </is>
      </c>
      <c r="E840" s="233" t="inlineStr">
        <is>
          <t>11</t>
        </is>
      </c>
      <c r="F840" s="227" t="inlineStr">
        <is>
          <t>TH4</t>
        </is>
      </c>
    </row>
    <row r="841">
      <c r="A841" s="227">
        <f>TL[[#This Row],[Société]]&amp;" - "&amp;TL[[#This Row],[Compte]]</f>
        <v/>
      </c>
      <c r="B841" s="233" t="inlineStr">
        <is>
          <t>64610000</t>
        </is>
      </c>
      <c r="C841" s="227" t="inlineStr">
        <is>
          <t>Charges sociales régis</t>
        </is>
      </c>
      <c r="F841" s="227" t="inlineStr">
        <is>
          <t>TH4</t>
        </is>
      </c>
    </row>
    <row r="842">
      <c r="A842" s="227">
        <f>TL[[#This Row],[Société]]&amp;" - "&amp;TL[[#This Row],[Compte]]</f>
        <v/>
      </c>
      <c r="B842" s="233" t="inlineStr">
        <is>
          <t>64750000</t>
        </is>
      </c>
      <c r="C842" s="227" t="inlineStr">
        <is>
          <t>Médecine du travail et pharmacie</t>
        </is>
      </c>
      <c r="D842" s="233" t="inlineStr">
        <is>
          <t>16</t>
        </is>
      </c>
      <c r="E842" s="233" t="inlineStr">
        <is>
          <t>27</t>
        </is>
      </c>
      <c r="F842" s="227" t="inlineStr">
        <is>
          <t>TH4</t>
        </is>
      </c>
    </row>
    <row r="843">
      <c r="A843" s="227">
        <f>TL[[#This Row],[Société]]&amp;" - "&amp;TL[[#This Row],[Compte]]</f>
        <v/>
      </c>
      <c r="B843" s="233" t="inlineStr">
        <is>
          <t>64910000</t>
        </is>
      </c>
      <c r="C843" s="227" t="inlineStr">
        <is>
          <t>Crédit d'impôt compétitivté emploi</t>
        </is>
      </c>
      <c r="D843" s="233" t="inlineStr">
        <is>
          <t>56</t>
        </is>
      </c>
      <c r="E843" s="233" t="inlineStr">
        <is>
          <t>48</t>
        </is>
      </c>
      <c r="F843" s="227" t="inlineStr">
        <is>
          <t>TH4</t>
        </is>
      </c>
    </row>
    <row r="844">
      <c r="A844" s="227">
        <f>TL[[#This Row],[Société]]&amp;" - "&amp;TL[[#This Row],[Compte]]</f>
        <v/>
      </c>
      <c r="B844" s="233" t="inlineStr">
        <is>
          <t>65100100</t>
        </is>
      </c>
      <c r="C844" s="227" t="inlineStr">
        <is>
          <t>Redevance service 5 %</t>
        </is>
      </c>
      <c r="D844" s="233" t="inlineStr">
        <is>
          <t>31</t>
        </is>
      </c>
      <c r="E844" s="233" t="inlineStr">
        <is>
          <t>34</t>
        </is>
      </c>
      <c r="F844" s="227" t="inlineStr">
        <is>
          <t>TH4</t>
        </is>
      </c>
    </row>
    <row r="845">
      <c r="A845" s="227">
        <f>TL[[#This Row],[Société]]&amp;" - "&amp;TL[[#This Row],[Compte]]</f>
        <v/>
      </c>
      <c r="B845" s="233" t="inlineStr">
        <is>
          <t>65100300</t>
        </is>
      </c>
      <c r="C845" s="227" t="inlineStr">
        <is>
          <t>Redevance sacem</t>
        </is>
      </c>
      <c r="D845" s="233" t="inlineStr">
        <is>
          <t>16</t>
        </is>
      </c>
      <c r="E845" s="233" t="inlineStr">
        <is>
          <t>27</t>
        </is>
      </c>
      <c r="F845" s="227" t="inlineStr">
        <is>
          <t>TH4</t>
        </is>
      </c>
    </row>
    <row r="846">
      <c r="A846" s="227">
        <f>TL[[#This Row],[Société]]&amp;" - "&amp;TL[[#This Row],[Compte]]</f>
        <v/>
      </c>
      <c r="B846" s="233" t="inlineStr">
        <is>
          <t>65120000</t>
        </is>
      </c>
      <c r="C846" s="227" t="inlineStr">
        <is>
          <t>Avoirs happy meals 14%</t>
        </is>
      </c>
      <c r="D846" s="233" t="inlineStr">
        <is>
          <t>30</t>
        </is>
      </c>
      <c r="E846" s="233" t="inlineStr">
        <is>
          <t>31</t>
        </is>
      </c>
      <c r="F846" s="227" t="inlineStr">
        <is>
          <t>TH4</t>
        </is>
      </c>
    </row>
    <row r="847">
      <c r="A847" s="227">
        <f>TL[[#This Row],[Société]]&amp;" - "&amp;TL[[#This Row],[Compte]]</f>
        <v/>
      </c>
      <c r="B847" s="233" t="inlineStr">
        <is>
          <t>65121000</t>
        </is>
      </c>
      <c r="C847" s="227" t="inlineStr">
        <is>
          <t>Avoirs happy meals 5%</t>
        </is>
      </c>
      <c r="D847" s="233" t="inlineStr">
        <is>
          <t>31</t>
        </is>
      </c>
      <c r="E847" s="233" t="inlineStr">
        <is>
          <t>31</t>
        </is>
      </c>
      <c r="F847" s="227" t="inlineStr">
        <is>
          <t>TH4</t>
        </is>
      </c>
    </row>
    <row r="848">
      <c r="A848" s="227">
        <f>TL[[#This Row],[Société]]&amp;" - "&amp;TL[[#This Row],[Compte]]</f>
        <v/>
      </c>
      <c r="B848" s="233" t="inlineStr">
        <is>
          <t>65130000</t>
        </is>
      </c>
      <c r="C848" s="227" t="inlineStr">
        <is>
          <t>Avoir mccine</t>
        </is>
      </c>
      <c r="D848" s="233" t="inlineStr">
        <is>
          <t>30</t>
        </is>
      </c>
      <c r="E848" s="233" t="inlineStr">
        <is>
          <t>34</t>
        </is>
      </c>
      <c r="F848" s="227" t="inlineStr">
        <is>
          <t>TH4</t>
        </is>
      </c>
    </row>
    <row r="849">
      <c r="A849" s="227">
        <f>TL[[#This Row],[Société]]&amp;" - "&amp;TL[[#This Row],[Compte]]</f>
        <v/>
      </c>
      <c r="B849" s="233" t="inlineStr">
        <is>
          <t>65131000</t>
        </is>
      </c>
      <c r="C849" s="227" t="inlineStr">
        <is>
          <t>Avoir cine 5%</t>
        </is>
      </c>
      <c r="D849" s="233" t="inlineStr">
        <is>
          <t>31</t>
        </is>
      </c>
      <c r="E849" s="233" t="inlineStr">
        <is>
          <t>34</t>
        </is>
      </c>
      <c r="F849" s="227" t="inlineStr">
        <is>
          <t>TH4</t>
        </is>
      </c>
    </row>
    <row r="850">
      <c r="A850" s="227">
        <f>TL[[#This Row],[Société]]&amp;" - "&amp;TL[[#This Row],[Compte]]</f>
        <v/>
      </c>
      <c r="B850" s="233" t="inlineStr">
        <is>
          <t>65410000</t>
        </is>
      </c>
      <c r="C850" s="227" t="inlineStr">
        <is>
          <t>Creances irrecouvrables</t>
        </is>
      </c>
      <c r="F850" s="227" t="inlineStr">
        <is>
          <t>TH4</t>
        </is>
      </c>
    </row>
    <row r="851">
      <c r="A851" s="227">
        <f>TL[[#This Row],[Société]]&amp;" - "&amp;TL[[#This Row],[Compte]]</f>
        <v/>
      </c>
      <c r="B851" s="233" t="inlineStr">
        <is>
          <t>65500000</t>
        </is>
      </c>
      <c r="C851" s="227" t="inlineStr">
        <is>
          <t>Quote part ne pas utiliser</t>
        </is>
      </c>
      <c r="D851" s="233" t="inlineStr">
        <is>
          <t>99</t>
        </is>
      </c>
      <c r="E851" s="233" t="inlineStr">
        <is>
          <t>40</t>
        </is>
      </c>
      <c r="F851" s="227" t="inlineStr">
        <is>
          <t>TH4</t>
        </is>
      </c>
    </row>
    <row r="852">
      <c r="A852" s="227">
        <f>TL[[#This Row],[Société]]&amp;" - "&amp;TL[[#This Row],[Compte]]</f>
        <v/>
      </c>
      <c r="B852" s="233" t="inlineStr">
        <is>
          <t>65800000</t>
        </is>
      </c>
      <c r="C852" s="227" t="inlineStr">
        <is>
          <t>Charges diverses gestion courante</t>
        </is>
      </c>
      <c r="D852" s="233" t="inlineStr">
        <is>
          <t>39</t>
        </is>
      </c>
      <c r="E852" s="233" t="inlineStr">
        <is>
          <t>27</t>
        </is>
      </c>
      <c r="F852" s="227" t="inlineStr">
        <is>
          <t>TH4</t>
        </is>
      </c>
    </row>
    <row r="853">
      <c r="A853" s="227">
        <f>TL[[#This Row],[Société]]&amp;" - "&amp;TL[[#This Row],[Compte]]</f>
        <v/>
      </c>
      <c r="B853" s="233" t="inlineStr">
        <is>
          <t>66110000</t>
        </is>
      </c>
      <c r="C853" s="227" t="inlineStr">
        <is>
          <t>Intéréts des emprunts 200 k€</t>
        </is>
      </c>
      <c r="D853" s="233" t="inlineStr">
        <is>
          <t>37</t>
        </is>
      </c>
      <c r="E853" s="233" t="inlineStr">
        <is>
          <t>42</t>
        </is>
      </c>
      <c r="F853" s="227" t="inlineStr">
        <is>
          <t>TH4</t>
        </is>
      </c>
    </row>
    <row r="854">
      <c r="A854" s="227">
        <f>TL[[#This Row],[Société]]&amp;" - "&amp;TL[[#This Row],[Compte]]</f>
        <v/>
      </c>
      <c r="B854" s="233" t="inlineStr">
        <is>
          <t>66112000</t>
        </is>
      </c>
      <c r="C854" s="227" t="inlineStr">
        <is>
          <t>Intérêts emprunt crca 450k€</t>
        </is>
      </c>
      <c r="D854" s="233" t="inlineStr">
        <is>
          <t>37</t>
        </is>
      </c>
      <c r="E854" s="233" t="inlineStr">
        <is>
          <t>42</t>
        </is>
      </c>
      <c r="F854" s="227" t="inlineStr">
        <is>
          <t>TH4</t>
        </is>
      </c>
    </row>
    <row r="855">
      <c r="A855" s="227">
        <f>TL[[#This Row],[Société]]&amp;" - "&amp;TL[[#This Row],[Compte]]</f>
        <v/>
      </c>
      <c r="B855" s="233" t="inlineStr">
        <is>
          <t>66113000</t>
        </is>
      </c>
      <c r="C855" s="227" t="inlineStr">
        <is>
          <t>Intérêts emprunts crca 150 k€</t>
        </is>
      </c>
      <c r="D855" s="233" t="inlineStr">
        <is>
          <t>37</t>
        </is>
      </c>
      <c r="E855" s="233" t="inlineStr">
        <is>
          <t>42</t>
        </is>
      </c>
      <c r="F855" s="227" t="inlineStr">
        <is>
          <t>TH4</t>
        </is>
      </c>
    </row>
    <row r="856">
      <c r="A856" s="227">
        <f>TL[[#This Row],[Société]]&amp;" - "&amp;TL[[#This Row],[Compte]]</f>
        <v/>
      </c>
      <c r="B856" s="233" t="inlineStr">
        <is>
          <t>66114000</t>
        </is>
      </c>
      <c r="C856" s="227" t="inlineStr">
        <is>
          <t>Intérêts emprunt crca 150k€</t>
        </is>
      </c>
      <c r="D856" s="233" t="inlineStr">
        <is>
          <t>37</t>
        </is>
      </c>
      <c r="E856" s="233" t="inlineStr">
        <is>
          <t>42</t>
        </is>
      </c>
      <c r="F856" s="227" t="inlineStr">
        <is>
          <t>TH4</t>
        </is>
      </c>
    </row>
    <row r="857">
      <c r="A857" s="227">
        <f>TL[[#This Row],[Société]]&amp;" - "&amp;TL[[#This Row],[Compte]]</f>
        <v/>
      </c>
      <c r="B857" s="233" t="inlineStr">
        <is>
          <t>66115000</t>
        </is>
      </c>
      <c r="C857" s="227" t="inlineStr">
        <is>
          <t>Intérets emprunt PGE 150 K€</t>
        </is>
      </c>
      <c r="D857" s="233" t="inlineStr">
        <is>
          <t>37</t>
        </is>
      </c>
      <c r="E857" s="233" t="inlineStr">
        <is>
          <t>42</t>
        </is>
      </c>
      <c r="F857" s="227" t="inlineStr">
        <is>
          <t>TH4</t>
        </is>
      </c>
    </row>
    <row r="858">
      <c r="A858" s="227">
        <f>TL[[#This Row],[Société]]&amp;" - "&amp;TL[[#This Row],[Compte]]</f>
        <v/>
      </c>
      <c r="B858" s="233" t="inlineStr">
        <is>
          <t>66160000</t>
        </is>
      </c>
      <c r="C858" s="227" t="inlineStr">
        <is>
          <t>Charges interets</t>
        </is>
      </c>
      <c r="D858" s="233" t="inlineStr">
        <is>
          <t>37</t>
        </is>
      </c>
      <c r="E858" s="233" t="inlineStr">
        <is>
          <t>42</t>
        </is>
      </c>
      <c r="F858" s="227" t="inlineStr">
        <is>
          <t>TH4</t>
        </is>
      </c>
    </row>
    <row r="859">
      <c r="A859" s="227">
        <f>TL[[#This Row],[Société]]&amp;" - "&amp;TL[[#This Row],[Compte]]</f>
        <v/>
      </c>
      <c r="B859" s="233" t="inlineStr">
        <is>
          <t>66800000</t>
        </is>
      </c>
      <c r="C859" s="227" t="inlineStr">
        <is>
          <t>Autres charges ne pas utiliser</t>
        </is>
      </c>
      <c r="F859" s="227" t="inlineStr">
        <is>
          <t>TH4</t>
        </is>
      </c>
    </row>
    <row r="860">
      <c r="A860" s="227">
        <f>TL[[#This Row],[Société]]&amp;" - "&amp;TL[[#This Row],[Compte]]</f>
        <v/>
      </c>
      <c r="B860" s="233" t="inlineStr">
        <is>
          <t>67110000</t>
        </is>
      </c>
      <c r="C860" s="227" t="inlineStr">
        <is>
          <t>Ecart de caisse</t>
        </is>
      </c>
      <c r="D860" s="233" t="inlineStr">
        <is>
          <t>22</t>
        </is>
      </c>
      <c r="E860" s="233" t="inlineStr">
        <is>
          <t>27</t>
        </is>
      </c>
      <c r="F860" s="227" t="inlineStr">
        <is>
          <t>TH4</t>
        </is>
      </c>
    </row>
    <row r="861">
      <c r="A861" s="227">
        <f>TL[[#This Row],[Société]]&amp;" - "&amp;TL[[#This Row],[Compte]]</f>
        <v/>
      </c>
      <c r="B861" s="233" t="inlineStr">
        <is>
          <t>67120000</t>
        </is>
      </c>
      <c r="C861" s="227" t="inlineStr">
        <is>
          <t>Pénalités et amendes</t>
        </is>
      </c>
      <c r="D861" s="233" t="inlineStr">
        <is>
          <t>39</t>
        </is>
      </c>
      <c r="E861" s="233" t="inlineStr">
        <is>
          <t>45</t>
        </is>
      </c>
      <c r="F861" s="227" t="inlineStr">
        <is>
          <t>TH4</t>
        </is>
      </c>
    </row>
    <row r="862">
      <c r="A862" s="227">
        <f>TL[[#This Row],[Société]]&amp;" - "&amp;TL[[#This Row],[Compte]]</f>
        <v/>
      </c>
      <c r="B862" s="233" t="inlineStr">
        <is>
          <t>67130000</t>
        </is>
      </c>
      <c r="C862" s="227" t="inlineStr">
        <is>
          <t>Dons</t>
        </is>
      </c>
      <c r="D862" s="233" t="inlineStr">
        <is>
          <t>39</t>
        </is>
      </c>
      <c r="E862" s="233" t="inlineStr">
        <is>
          <t>45</t>
        </is>
      </c>
      <c r="F862" s="227" t="inlineStr">
        <is>
          <t>TH4</t>
        </is>
      </c>
    </row>
    <row r="863">
      <c r="A863" s="227">
        <f>TL[[#This Row],[Société]]&amp;" - "&amp;TL[[#This Row],[Compte]]</f>
        <v/>
      </c>
      <c r="B863" s="233" t="inlineStr">
        <is>
          <t>67131000</t>
        </is>
      </c>
      <c r="C863" s="227" t="inlineStr">
        <is>
          <t>Charges excep./op.gestion</t>
        </is>
      </c>
      <c r="D863" s="233" t="inlineStr">
        <is>
          <t>39</t>
        </is>
      </c>
      <c r="E863" s="233" t="inlineStr">
        <is>
          <t>45</t>
        </is>
      </c>
      <c r="F863" s="227" t="inlineStr">
        <is>
          <t>TH4</t>
        </is>
      </c>
    </row>
    <row r="864">
      <c r="A864" s="227">
        <f>TL[[#This Row],[Société]]&amp;" - "&amp;TL[[#This Row],[Compte]]</f>
        <v/>
      </c>
      <c r="B864" s="233" t="inlineStr">
        <is>
          <t>67180000</t>
        </is>
      </c>
      <c r="C864" s="227" t="inlineStr">
        <is>
          <t>Autres charges except. de gestion</t>
        </is>
      </c>
      <c r="F864" s="227" t="inlineStr">
        <is>
          <t>TH4</t>
        </is>
      </c>
    </row>
    <row r="865">
      <c r="A865" s="227">
        <f>TL[[#This Row],[Société]]&amp;" - "&amp;TL[[#This Row],[Compte]]</f>
        <v/>
      </c>
      <c r="B865" s="233" t="inlineStr">
        <is>
          <t>67200000</t>
        </is>
      </c>
      <c r="C865" s="227" t="inlineStr">
        <is>
          <t>Charges sur exercices antérieurs</t>
        </is>
      </c>
      <c r="F865" s="227" t="inlineStr">
        <is>
          <t>TH4</t>
        </is>
      </c>
    </row>
    <row r="866">
      <c r="A866" s="227">
        <f>TL[[#This Row],[Société]]&amp;" - "&amp;TL[[#This Row],[Compte]]</f>
        <v/>
      </c>
      <c r="B866" s="233" t="inlineStr">
        <is>
          <t>67500000</t>
        </is>
      </c>
      <c r="C866" s="227" t="inlineStr">
        <is>
          <t>Valeurs compt. éléments actif cédés</t>
        </is>
      </c>
      <c r="F866" s="227" t="inlineStr">
        <is>
          <t>TH4</t>
        </is>
      </c>
    </row>
    <row r="867">
      <c r="A867" s="227">
        <f>TL[[#This Row],[Société]]&amp;" - "&amp;TL[[#This Row],[Compte]]</f>
        <v/>
      </c>
      <c r="B867" s="233" t="inlineStr">
        <is>
          <t>67510000</t>
        </is>
      </c>
      <c r="C867" s="227" t="inlineStr">
        <is>
          <t>Vnc élé actifs cédés - immo incorpo</t>
        </is>
      </c>
      <c r="D867" s="233" t="inlineStr">
        <is>
          <t>35</t>
        </is>
      </c>
      <c r="E867" s="233" t="inlineStr">
        <is>
          <t>45</t>
        </is>
      </c>
      <c r="F867" s="227" t="inlineStr">
        <is>
          <t>TH4</t>
        </is>
      </c>
    </row>
    <row r="868">
      <c r="A868" s="227">
        <f>TL[[#This Row],[Société]]&amp;" - "&amp;TL[[#This Row],[Compte]]</f>
        <v/>
      </c>
      <c r="B868" s="233" t="inlineStr">
        <is>
          <t>67520000</t>
        </is>
      </c>
      <c r="C868" s="227" t="inlineStr">
        <is>
          <t>Vncélé actif cédés - immo corporel</t>
        </is>
      </c>
      <c r="D868" s="233" t="inlineStr">
        <is>
          <t>35</t>
        </is>
      </c>
      <c r="E868" s="233" t="inlineStr">
        <is>
          <t>45</t>
        </is>
      </c>
      <c r="F868" s="227" t="inlineStr">
        <is>
          <t>TH4</t>
        </is>
      </c>
    </row>
    <row r="869">
      <c r="A869" s="227">
        <f>TL[[#This Row],[Société]]&amp;" - "&amp;TL[[#This Row],[Compte]]</f>
        <v/>
      </c>
      <c r="B869" s="233" t="inlineStr">
        <is>
          <t>68111000</t>
        </is>
      </c>
      <c r="C869" s="227" t="inlineStr">
        <is>
          <t>Dot. amort. s/immobil. incorporel.</t>
        </is>
      </c>
      <c r="D869" s="233" t="inlineStr">
        <is>
          <t>36</t>
        </is>
      </c>
      <c r="E869" s="233" t="inlineStr">
        <is>
          <t>38</t>
        </is>
      </c>
      <c r="F869" s="227" t="inlineStr">
        <is>
          <t>TH4</t>
        </is>
      </c>
    </row>
    <row r="870">
      <c r="A870" s="227">
        <f>TL[[#This Row],[Société]]&amp;" - "&amp;TL[[#This Row],[Compte]]</f>
        <v/>
      </c>
      <c r="B870" s="233" t="inlineStr">
        <is>
          <t>68112000</t>
        </is>
      </c>
      <c r="C870" s="227" t="inlineStr">
        <is>
          <t>Dot. amort. s/immobil. corporel.</t>
        </is>
      </c>
      <c r="D870" s="233" t="inlineStr">
        <is>
          <t>36</t>
        </is>
      </c>
      <c r="E870" s="233" t="inlineStr">
        <is>
          <t>38</t>
        </is>
      </c>
      <c r="F870" s="227" t="inlineStr">
        <is>
          <t>TH4</t>
        </is>
      </c>
    </row>
    <row r="871">
      <c r="A871" s="227">
        <f>TL[[#This Row],[Société]]&amp;" - "&amp;TL[[#This Row],[Compte]]</f>
        <v/>
      </c>
      <c r="B871" s="233" t="inlineStr">
        <is>
          <t>68150000</t>
        </is>
      </c>
      <c r="C871" s="227" t="inlineStr">
        <is>
          <t>Dot. prov. risques &amp; ch. exploit.</t>
        </is>
      </c>
      <c r="D871" s="233" t="inlineStr">
        <is>
          <t>36</t>
        </is>
      </c>
      <c r="E871" s="233" t="inlineStr">
        <is>
          <t>38</t>
        </is>
      </c>
      <c r="F871" s="227" t="inlineStr">
        <is>
          <t>TH4</t>
        </is>
      </c>
    </row>
    <row r="872">
      <c r="A872" s="227">
        <f>TL[[#This Row],[Société]]&amp;" - "&amp;TL[[#This Row],[Compte]]</f>
        <v/>
      </c>
      <c r="B872" s="233" t="inlineStr">
        <is>
          <t>68710000</t>
        </is>
      </c>
      <c r="C872" s="227" t="inlineStr">
        <is>
          <t>Dot.amort.except.immobil.</t>
        </is>
      </c>
      <c r="D872" s="233" t="inlineStr">
        <is>
          <t>36</t>
        </is>
      </c>
      <c r="E872" s="233" t="inlineStr">
        <is>
          <t>38</t>
        </is>
      </c>
      <c r="F872" s="227" t="inlineStr">
        <is>
          <t>TH4</t>
        </is>
      </c>
    </row>
    <row r="873">
      <c r="A873" s="227">
        <f>TL[[#This Row],[Société]]&amp;" - "&amp;TL[[#This Row],[Compte]]</f>
        <v/>
      </c>
      <c r="B873" s="233" t="inlineStr">
        <is>
          <t>68711000</t>
        </is>
      </c>
      <c r="C873" s="227" t="inlineStr">
        <is>
          <t>Dot. amort. exce s/immob incorpore.</t>
        </is>
      </c>
      <c r="D873" s="233" t="inlineStr">
        <is>
          <t>36</t>
        </is>
      </c>
      <c r="E873" s="233" t="inlineStr">
        <is>
          <t>38</t>
        </is>
      </c>
      <c r="F873" s="227" t="inlineStr">
        <is>
          <t>TH4</t>
        </is>
      </c>
    </row>
    <row r="874">
      <c r="A874" s="227">
        <f>TL[[#This Row],[Société]]&amp;" - "&amp;TL[[#This Row],[Compte]]</f>
        <v/>
      </c>
      <c r="B874" s="233" t="inlineStr">
        <is>
          <t>68712000</t>
        </is>
      </c>
      <c r="C874" s="227" t="inlineStr">
        <is>
          <t>Dot. amort. exce s/immob corporel.</t>
        </is>
      </c>
      <c r="D874" s="233" t="inlineStr">
        <is>
          <t>36</t>
        </is>
      </c>
      <c r="E874" s="233" t="inlineStr">
        <is>
          <t>38</t>
        </is>
      </c>
      <c r="F874" s="227" t="inlineStr">
        <is>
          <t>TH4</t>
        </is>
      </c>
    </row>
    <row r="875">
      <c r="A875" s="227">
        <f>TL[[#This Row],[Société]]&amp;" - "&amp;TL[[#This Row],[Compte]]</f>
        <v/>
      </c>
      <c r="B875" s="233" t="inlineStr">
        <is>
          <t>68725000</t>
        </is>
      </c>
      <c r="C875" s="227" t="inlineStr">
        <is>
          <t>Dot. amortissements dÉrogatoires</t>
        </is>
      </c>
      <c r="F875" s="227" t="inlineStr">
        <is>
          <t>TH4</t>
        </is>
      </c>
    </row>
    <row r="876">
      <c r="A876" s="227">
        <f>TL[[#This Row],[Société]]&amp;" - "&amp;TL[[#This Row],[Compte]]</f>
        <v/>
      </c>
      <c r="B876" s="233" t="inlineStr">
        <is>
          <t>69500000</t>
        </is>
      </c>
      <c r="C876" s="227" t="inlineStr">
        <is>
          <t>Impôts is</t>
        </is>
      </c>
      <c r="F876" s="227" t="inlineStr">
        <is>
          <t>TH4</t>
        </is>
      </c>
    </row>
    <row r="877">
      <c r="A877" s="227">
        <f>TL[[#This Row],[Société]]&amp;" - "&amp;TL[[#This Row],[Compte]]</f>
        <v/>
      </c>
      <c r="B877" s="233" t="inlineStr">
        <is>
          <t>69510000</t>
        </is>
      </c>
      <c r="C877" s="227" t="inlineStr">
        <is>
          <t>Impôt sur les sociétés</t>
        </is>
      </c>
      <c r="D877" s="233" t="inlineStr">
        <is>
          <t>99</t>
        </is>
      </c>
      <c r="E877" s="233" t="inlineStr">
        <is>
          <t>48</t>
        </is>
      </c>
      <c r="F877" s="227" t="inlineStr">
        <is>
          <t>TH4</t>
        </is>
      </c>
    </row>
    <row r="878">
      <c r="A878" s="227">
        <f>TL[[#This Row],[Société]]&amp;" - "&amp;TL[[#This Row],[Compte]]</f>
        <v/>
      </c>
      <c r="B878" s="233" t="inlineStr">
        <is>
          <t>69511000</t>
        </is>
      </c>
      <c r="C878" s="227" t="inlineStr">
        <is>
          <t>Crédit mécénat</t>
        </is>
      </c>
      <c r="D878" s="233" t="inlineStr">
        <is>
          <t>99</t>
        </is>
      </c>
      <c r="E878" s="233" t="inlineStr">
        <is>
          <t>48</t>
        </is>
      </c>
      <c r="F878" s="227" t="inlineStr">
        <is>
          <t>TH4</t>
        </is>
      </c>
    </row>
    <row r="879">
      <c r="A879" s="227">
        <f>TL[[#This Row],[Société]]&amp;" - "&amp;TL[[#This Row],[Compte]]</f>
        <v/>
      </c>
      <c r="B879" s="233" t="inlineStr">
        <is>
          <t>69512000</t>
        </is>
      </c>
      <c r="C879" s="227" t="inlineStr">
        <is>
          <t>Impôts sur les sociétés ex antérieu</t>
        </is>
      </c>
      <c r="D879" s="233" t="inlineStr">
        <is>
          <t>99</t>
        </is>
      </c>
      <c r="E879" s="233" t="inlineStr">
        <is>
          <t>48</t>
        </is>
      </c>
      <c r="F879" s="227" t="inlineStr">
        <is>
          <t>TH4</t>
        </is>
      </c>
    </row>
    <row r="880">
      <c r="A880" s="227">
        <f>TL[[#This Row],[Société]]&amp;" - "&amp;TL[[#This Row],[Compte]]</f>
        <v/>
      </c>
      <c r="B880" s="233" t="inlineStr">
        <is>
          <t>69891000</t>
        </is>
      </c>
      <c r="C880" s="227" t="inlineStr">
        <is>
          <t>Crédit d'impôt mécénat gie</t>
        </is>
      </c>
      <c r="D880" s="233" t="inlineStr">
        <is>
          <t>56</t>
        </is>
      </c>
      <c r="E880" s="233" t="inlineStr">
        <is>
          <t>48</t>
        </is>
      </c>
      <c r="F880" s="227" t="inlineStr">
        <is>
          <t>TH4</t>
        </is>
      </c>
    </row>
    <row r="881">
      <c r="A881" s="227">
        <f>TL[[#This Row],[Société]]&amp;" - "&amp;TL[[#This Row],[Compte]]</f>
        <v/>
      </c>
      <c r="B881" s="233" t="inlineStr">
        <is>
          <t>69892000</t>
        </is>
      </c>
      <c r="C881" s="227" t="inlineStr">
        <is>
          <t>Cice gie</t>
        </is>
      </c>
      <c r="D881" s="233" t="inlineStr">
        <is>
          <t>56</t>
        </is>
      </c>
      <c r="E881" s="233" t="inlineStr">
        <is>
          <t>48</t>
        </is>
      </c>
      <c r="F881" s="227" t="inlineStr">
        <is>
          <t>TH4</t>
        </is>
      </c>
    </row>
    <row r="882">
      <c r="A882" s="227">
        <f>TL[[#This Row],[Société]]&amp;" - "&amp;TL[[#This Row],[Compte]]</f>
        <v/>
      </c>
      <c r="B882" s="233" t="inlineStr">
        <is>
          <t>69899900</t>
        </is>
      </c>
      <c r="C882" s="227" t="inlineStr">
        <is>
          <t>Divers attente analytique ne pas ut</t>
        </is>
      </c>
      <c r="F882" s="227" t="inlineStr">
        <is>
          <t>TH4</t>
        </is>
      </c>
    </row>
    <row r="883">
      <c r="A883" s="227">
        <f>TL[[#This Row],[Société]]&amp;" - "&amp;TL[[#This Row],[Compte]]</f>
        <v/>
      </c>
      <c r="B883" s="233" t="inlineStr">
        <is>
          <t>69910000</t>
        </is>
      </c>
      <c r="C883" s="227" t="inlineStr">
        <is>
          <t>Crédits d'impôts</t>
        </is>
      </c>
      <c r="D883" s="233" t="inlineStr">
        <is>
          <t>99</t>
        </is>
      </c>
      <c r="E883" s="233" t="inlineStr">
        <is>
          <t>48</t>
        </is>
      </c>
      <c r="F883" s="227" t="inlineStr">
        <is>
          <t>TH4</t>
        </is>
      </c>
    </row>
    <row r="884">
      <c r="A884" s="227">
        <f>TL[[#This Row],[Société]]&amp;" - "&amp;TL[[#This Row],[Compte]]</f>
        <v/>
      </c>
      <c r="B884" s="233" t="inlineStr">
        <is>
          <t>70100100</t>
        </is>
      </c>
      <c r="C884" s="227" t="inlineStr">
        <is>
          <t>Ventes non alimentaires</t>
        </is>
      </c>
      <c r="D884" s="233" t="inlineStr">
        <is>
          <t>01</t>
        </is>
      </c>
      <c r="E884" s="233" t="inlineStr">
        <is>
          <t>02</t>
        </is>
      </c>
      <c r="F884" s="227" t="inlineStr">
        <is>
          <t>TH4</t>
        </is>
      </c>
    </row>
    <row r="885">
      <c r="A885" s="227">
        <f>TL[[#This Row],[Société]]&amp;" - "&amp;TL[[#This Row],[Compte]]</f>
        <v/>
      </c>
      <c r="B885" s="233" t="inlineStr">
        <is>
          <t>70100200</t>
        </is>
      </c>
      <c r="C885" s="227" t="inlineStr">
        <is>
          <t>Ventes à 5.5 %</t>
        </is>
      </c>
      <c r="D885" s="233" t="inlineStr">
        <is>
          <t>01</t>
        </is>
      </c>
      <c r="E885" s="233" t="inlineStr">
        <is>
          <t>02</t>
        </is>
      </c>
      <c r="F885" s="227" t="inlineStr">
        <is>
          <t>TH4</t>
        </is>
      </c>
    </row>
    <row r="886">
      <c r="A886" s="227">
        <f>TL[[#This Row],[Société]]&amp;" - "&amp;TL[[#This Row],[Compte]]</f>
        <v/>
      </c>
      <c r="B886" s="233" t="inlineStr">
        <is>
          <t>70100300</t>
        </is>
      </c>
      <c r="C886" s="227" t="inlineStr">
        <is>
          <t>Ventes à 7%</t>
        </is>
      </c>
      <c r="D886" s="233" t="inlineStr">
        <is>
          <t>01</t>
        </is>
      </c>
      <c r="E886" s="233" t="inlineStr">
        <is>
          <t>01</t>
        </is>
      </c>
      <c r="F886" s="227" t="inlineStr">
        <is>
          <t>TH4</t>
        </is>
      </c>
    </row>
    <row r="887">
      <c r="A887" s="227">
        <f>TL[[#This Row],[Société]]&amp;" - "&amp;TL[[#This Row],[Compte]]</f>
        <v/>
      </c>
      <c r="B887" s="233" t="inlineStr">
        <is>
          <t>70100400</t>
        </is>
      </c>
      <c r="C887" s="227" t="inlineStr">
        <is>
          <t>Ventes à 19.6 %</t>
        </is>
      </c>
      <c r="D887" s="233" t="inlineStr">
        <is>
          <t>01</t>
        </is>
      </c>
      <c r="E887" s="233" t="inlineStr">
        <is>
          <t>01</t>
        </is>
      </c>
      <c r="F887" s="227" t="inlineStr">
        <is>
          <t>TH4</t>
        </is>
      </c>
    </row>
    <row r="888">
      <c r="A888" s="227">
        <f>TL[[#This Row],[Société]]&amp;" - "&amp;TL[[#This Row],[Compte]]</f>
        <v/>
      </c>
      <c r="B888" s="233" t="inlineStr">
        <is>
          <t>70100500</t>
        </is>
      </c>
      <c r="C888" s="227" t="inlineStr">
        <is>
          <t>Vente 11/07</t>
        </is>
      </c>
      <c r="F888" s="227" t="inlineStr">
        <is>
          <t>TH4</t>
        </is>
      </c>
    </row>
    <row r="889">
      <c r="A889" s="227">
        <f>TL[[#This Row],[Société]]&amp;" - "&amp;TL[[#This Row],[Compte]]</f>
        <v/>
      </c>
      <c r="B889" s="233" t="inlineStr">
        <is>
          <t>70100600</t>
        </is>
      </c>
      <c r="C889" s="227" t="inlineStr">
        <is>
          <t>Vente 11/07</t>
        </is>
      </c>
      <c r="F889" s="227" t="inlineStr">
        <is>
          <t>TH4</t>
        </is>
      </c>
    </row>
    <row r="890">
      <c r="A890" s="227">
        <f>TL[[#This Row],[Société]]&amp;" - "&amp;TL[[#This Row],[Compte]]</f>
        <v/>
      </c>
      <c r="B890" s="233" t="inlineStr">
        <is>
          <t>70101000</t>
        </is>
      </c>
      <c r="C890" s="227" t="inlineStr">
        <is>
          <t>Ventes à 10 %</t>
        </is>
      </c>
      <c r="D890" s="233" t="inlineStr">
        <is>
          <t>01</t>
        </is>
      </c>
      <c r="E890" s="233" t="inlineStr">
        <is>
          <t>02</t>
        </is>
      </c>
      <c r="F890" s="227" t="inlineStr">
        <is>
          <t>TH4</t>
        </is>
      </c>
    </row>
    <row r="891">
      <c r="A891" s="227">
        <f>TL[[#This Row],[Société]]&amp;" - "&amp;TL[[#This Row],[Compte]]</f>
        <v/>
      </c>
      <c r="B891" s="233" t="inlineStr">
        <is>
          <t>70102000</t>
        </is>
      </c>
      <c r="C891" s="227" t="inlineStr">
        <is>
          <t>Ventes à 20 %</t>
        </is>
      </c>
      <c r="D891" s="233" t="inlineStr">
        <is>
          <t>01</t>
        </is>
      </c>
      <c r="E891" s="233" t="inlineStr">
        <is>
          <t>02</t>
        </is>
      </c>
      <c r="F891" s="227" t="inlineStr">
        <is>
          <t>TH4</t>
        </is>
      </c>
    </row>
    <row r="892">
      <c r="A892" s="227">
        <f>TL[[#This Row],[Société]]&amp;" - "&amp;TL[[#This Row],[Compte]]</f>
        <v/>
      </c>
      <c r="B892" s="233" t="inlineStr">
        <is>
          <t>70110300</t>
        </is>
      </c>
      <c r="C892" s="227" t="inlineStr">
        <is>
          <t>Vente 21/07</t>
        </is>
      </c>
      <c r="F892" s="227" t="inlineStr">
        <is>
          <t>TH4</t>
        </is>
      </c>
    </row>
    <row r="893">
      <c r="A893" s="227">
        <f>TL[[#This Row],[Société]]&amp;" - "&amp;TL[[#This Row],[Compte]]</f>
        <v/>
      </c>
      <c r="B893" s="233" t="inlineStr">
        <is>
          <t>70230000</t>
        </is>
      </c>
      <c r="C893" s="227" t="inlineStr">
        <is>
          <t>Vtes produits alimentaire</t>
        </is>
      </c>
      <c r="D893" s="233" t="inlineStr">
        <is>
          <t>60</t>
        </is>
      </c>
      <c r="E893" s="233" t="inlineStr">
        <is>
          <t>50</t>
        </is>
      </c>
      <c r="F893" s="227" t="inlineStr">
        <is>
          <t>TH4</t>
        </is>
      </c>
    </row>
    <row r="894">
      <c r="A894" s="227">
        <f>TL[[#This Row],[Société]]&amp;" - "&amp;TL[[#This Row],[Compte]]</f>
        <v/>
      </c>
      <c r="B894" s="233" t="inlineStr">
        <is>
          <t>70800000</t>
        </is>
      </c>
      <c r="C894" s="227" t="inlineStr">
        <is>
          <t>Remise Martin Brower</t>
        </is>
      </c>
      <c r="D894" s="233" t="inlineStr">
        <is>
          <t>06</t>
        </is>
      </c>
      <c r="E894" s="233" t="inlineStr">
        <is>
          <t>03</t>
        </is>
      </c>
      <c r="F894" s="227" t="inlineStr">
        <is>
          <t>TH4</t>
        </is>
      </c>
    </row>
    <row r="895">
      <c r="A895" s="227">
        <f>TL[[#This Row],[Société]]&amp;" - "&amp;TL[[#This Row],[Compte]]</f>
        <v/>
      </c>
      <c r="B895" s="233" t="inlineStr">
        <is>
          <t>70810000</t>
        </is>
      </c>
      <c r="C895" s="227" t="inlineStr">
        <is>
          <t>Refacturation personnel manag.</t>
        </is>
      </c>
      <c r="D895" s="233" t="inlineStr">
        <is>
          <t>11</t>
        </is>
      </c>
      <c r="E895" s="233" t="inlineStr">
        <is>
          <t>10</t>
        </is>
      </c>
      <c r="F895" s="227" t="inlineStr">
        <is>
          <t>TH4</t>
        </is>
      </c>
    </row>
    <row r="896">
      <c r="A896" s="227">
        <f>TL[[#This Row],[Société]]&amp;" - "&amp;TL[[#This Row],[Compte]]</f>
        <v/>
      </c>
      <c r="B896" s="233" t="inlineStr">
        <is>
          <t>70820000</t>
        </is>
      </c>
      <c r="C896" s="227" t="inlineStr">
        <is>
          <t>Refacturation nourriture</t>
        </is>
      </c>
      <c r="D896" s="233" t="inlineStr">
        <is>
          <t>06</t>
        </is>
      </c>
      <c r="E896" s="233" t="inlineStr">
        <is>
          <t>03</t>
        </is>
      </c>
      <c r="F896" s="227" t="inlineStr">
        <is>
          <t>TH4</t>
        </is>
      </c>
    </row>
    <row r="897">
      <c r="A897" s="227">
        <f>TL[[#This Row],[Société]]&amp;" - "&amp;TL[[#This Row],[Compte]]</f>
        <v/>
      </c>
      <c r="B897" s="233" t="inlineStr">
        <is>
          <t>70830000</t>
        </is>
      </c>
      <c r="C897" s="227" t="inlineStr">
        <is>
          <t>Refacturation papier</t>
        </is>
      </c>
      <c r="D897" s="233" t="inlineStr">
        <is>
          <t>03</t>
        </is>
      </c>
      <c r="E897" s="233" t="inlineStr">
        <is>
          <t>06</t>
        </is>
      </c>
      <c r="F897" s="227" t="inlineStr">
        <is>
          <t>TH4</t>
        </is>
      </c>
    </row>
    <row r="898">
      <c r="A898" s="227">
        <f>TL[[#This Row],[Société]]&amp;" - "&amp;TL[[#This Row],[Compte]]</f>
        <v/>
      </c>
      <c r="B898" s="233" t="inlineStr">
        <is>
          <t>70840000</t>
        </is>
      </c>
      <c r="C898" s="227" t="inlineStr">
        <is>
          <t>Refacturation fournit.exploit.</t>
        </is>
      </c>
      <c r="D898" s="233" t="inlineStr">
        <is>
          <t>18</t>
        </is>
      </c>
      <c r="E898" s="233" t="inlineStr">
        <is>
          <t>25</t>
        </is>
      </c>
      <c r="F898" s="227" t="inlineStr">
        <is>
          <t>TH4</t>
        </is>
      </c>
    </row>
    <row r="899">
      <c r="A899" s="227">
        <f>TL[[#This Row],[Société]]&amp;" - "&amp;TL[[#This Row],[Compte]]</f>
        <v/>
      </c>
      <c r="B899" s="233" t="inlineStr">
        <is>
          <t>70850000</t>
        </is>
      </c>
      <c r="C899" s="227" t="inlineStr">
        <is>
          <t>Refacturation jouet</t>
        </is>
      </c>
      <c r="D899" s="233" t="inlineStr">
        <is>
          <t>62</t>
        </is>
      </c>
      <c r="E899" s="233" t="inlineStr">
        <is>
          <t>51</t>
        </is>
      </c>
      <c r="F899" s="227" t="inlineStr">
        <is>
          <t>TH4</t>
        </is>
      </c>
    </row>
    <row r="900">
      <c r="A900" s="227">
        <f>TL[[#This Row],[Société]]&amp;" - "&amp;TL[[#This Row],[Compte]]</f>
        <v/>
      </c>
      <c r="B900" s="233" t="inlineStr">
        <is>
          <t>70860000</t>
        </is>
      </c>
      <c r="C900" s="227" t="inlineStr">
        <is>
          <t>Refacturation pub gie</t>
        </is>
      </c>
      <c r="D900" s="233" t="inlineStr">
        <is>
          <t>15</t>
        </is>
      </c>
      <c r="E900" s="233" t="inlineStr">
        <is>
          <t>23</t>
        </is>
      </c>
      <c r="F900" s="227" t="inlineStr">
        <is>
          <t>TH4</t>
        </is>
      </c>
    </row>
    <row r="901">
      <c r="A901" s="227">
        <f>TL[[#This Row],[Société]]&amp;" - "&amp;TL[[#This Row],[Compte]]</f>
        <v/>
      </c>
      <c r="B901" s="233" t="inlineStr">
        <is>
          <t>70870000</t>
        </is>
      </c>
      <c r="C901" s="227" t="inlineStr">
        <is>
          <t>Refacturation travaux</t>
        </is>
      </c>
      <c r="D901" s="233" t="inlineStr">
        <is>
          <t>13</t>
        </is>
      </c>
      <c r="E901" s="233" t="inlineStr">
        <is>
          <t>26</t>
        </is>
      </c>
      <c r="F901" s="227" t="inlineStr">
        <is>
          <t>TH4</t>
        </is>
      </c>
    </row>
    <row r="902">
      <c r="A902" s="227">
        <f>TL[[#This Row],[Société]]&amp;" - "&amp;TL[[#This Row],[Compte]]</f>
        <v/>
      </c>
      <c r="B902" s="233" t="inlineStr">
        <is>
          <t>70880000</t>
        </is>
      </c>
      <c r="C902" s="227" t="inlineStr">
        <is>
          <t>Refact huiles usagees</t>
        </is>
      </c>
      <c r="D902" s="233" t="inlineStr">
        <is>
          <t>06</t>
        </is>
      </c>
      <c r="E902" s="233" t="inlineStr">
        <is>
          <t>19</t>
        </is>
      </c>
      <c r="F902" s="227" t="inlineStr">
        <is>
          <t>TH4</t>
        </is>
      </c>
    </row>
    <row r="903">
      <c r="A903" s="227">
        <f>TL[[#This Row],[Société]]&amp;" - "&amp;TL[[#This Row],[Compte]]</f>
        <v/>
      </c>
      <c r="B903" s="233" t="inlineStr">
        <is>
          <t>70881000</t>
        </is>
      </c>
      <c r="C903" s="227" t="inlineStr">
        <is>
          <t>Refact formation managers</t>
        </is>
      </c>
      <c r="D903" s="233" t="inlineStr">
        <is>
          <t>11</t>
        </is>
      </c>
      <c r="E903" s="233" t="inlineStr">
        <is>
          <t>10</t>
        </is>
      </c>
      <c r="F903" s="227" t="inlineStr">
        <is>
          <t>TH4</t>
        </is>
      </c>
    </row>
    <row r="904">
      <c r="A904" s="227">
        <f>TL[[#This Row],[Société]]&amp;" - "&amp;TL[[#This Row],[Compte]]</f>
        <v/>
      </c>
      <c r="B904" s="233" t="inlineStr">
        <is>
          <t>70881100</t>
        </is>
      </c>
      <c r="C904" s="227" t="inlineStr">
        <is>
          <t>Refact formation équipiers</t>
        </is>
      </c>
      <c r="D904" s="233" t="inlineStr">
        <is>
          <t>10</t>
        </is>
      </c>
      <c r="E904" s="233" t="inlineStr">
        <is>
          <t>08</t>
        </is>
      </c>
      <c r="F904" s="227" t="inlineStr">
        <is>
          <t>TH4</t>
        </is>
      </c>
    </row>
    <row r="905">
      <c r="A905" s="227">
        <f>TL[[#This Row],[Société]]&amp;" - "&amp;TL[[#This Row],[Compte]]</f>
        <v/>
      </c>
      <c r="B905" s="233" t="inlineStr">
        <is>
          <t>70881200</t>
        </is>
      </c>
      <c r="C905" s="227" t="inlineStr">
        <is>
          <t>refacturation premiums</t>
        </is>
      </c>
      <c r="D905" s="233" t="inlineStr">
        <is>
          <t>15</t>
        </is>
      </c>
      <c r="E905" s="233" t="inlineStr">
        <is>
          <t>23</t>
        </is>
      </c>
      <c r="F905" s="227" t="inlineStr">
        <is>
          <t>TH4</t>
        </is>
      </c>
    </row>
    <row r="906">
      <c r="A906" s="227">
        <f>TL[[#This Row],[Société]]&amp;" - "&amp;TL[[#This Row],[Compte]]</f>
        <v/>
      </c>
      <c r="B906" s="233" t="inlineStr">
        <is>
          <t>72610000</t>
        </is>
      </c>
      <c r="C906" s="227" t="inlineStr">
        <is>
          <t>Avantages en nature équipiers</t>
        </is>
      </c>
      <c r="D906" s="233" t="inlineStr">
        <is>
          <t>10</t>
        </is>
      </c>
      <c r="E906" s="233" t="inlineStr">
        <is>
          <t>08</t>
        </is>
      </c>
      <c r="F906" s="227" t="inlineStr">
        <is>
          <t>TH4</t>
        </is>
      </c>
    </row>
    <row r="907">
      <c r="A907" s="227">
        <f>TL[[#This Row],[Société]]&amp;" - "&amp;TL[[#This Row],[Compte]]</f>
        <v/>
      </c>
      <c r="B907" s="233" t="inlineStr">
        <is>
          <t>72611000</t>
        </is>
      </c>
      <c r="C907" s="227" t="inlineStr">
        <is>
          <t>Avantages en nature managers</t>
        </is>
      </c>
      <c r="D907" s="233" t="inlineStr">
        <is>
          <t>11</t>
        </is>
      </c>
      <c r="E907" s="233" t="inlineStr">
        <is>
          <t>10</t>
        </is>
      </c>
      <c r="F907" s="227" t="inlineStr">
        <is>
          <t>TH4</t>
        </is>
      </c>
    </row>
    <row r="908">
      <c r="A908" s="227">
        <f>TL[[#This Row],[Société]]&amp;" - "&amp;TL[[#This Row],[Compte]]</f>
        <v/>
      </c>
      <c r="B908" s="233" t="inlineStr">
        <is>
          <t>74010000</t>
        </is>
      </c>
      <c r="C908" s="227" t="inlineStr">
        <is>
          <t>Subventions emploi</t>
        </is>
      </c>
      <c r="D908" s="233" t="inlineStr">
        <is>
          <t>39</t>
        </is>
      </c>
      <c r="E908" s="240" t="inlineStr">
        <is>
          <t>09</t>
        </is>
      </c>
      <c r="F908" s="227" t="inlineStr">
        <is>
          <t>TH4</t>
        </is>
      </c>
    </row>
    <row r="909">
      <c r="A909" s="227">
        <f>TL[[#This Row],[Société]]&amp;" - "&amp;TL[[#This Row],[Compte]]</f>
        <v/>
      </c>
      <c r="B909" s="233" t="inlineStr">
        <is>
          <t>74020000</t>
        </is>
      </c>
      <c r="C909" s="227" t="inlineStr">
        <is>
          <t>Subvention full image</t>
        </is>
      </c>
      <c r="D909" s="236" t="inlineStr">
        <is>
          <t>10</t>
        </is>
      </c>
      <c r="E909" s="233" t="inlineStr">
        <is>
          <t>45</t>
        </is>
      </c>
      <c r="F909" s="227" t="inlineStr">
        <is>
          <t>TH4</t>
        </is>
      </c>
    </row>
    <row r="910">
      <c r="A910" s="227">
        <f>TL[[#This Row],[Société]]&amp;" - "&amp;TL[[#This Row],[Compte]]</f>
        <v/>
      </c>
      <c r="B910" s="233" t="inlineStr">
        <is>
          <t>74030000</t>
        </is>
      </c>
      <c r="C910" s="227" t="inlineStr">
        <is>
          <t>Subv equipement</t>
        </is>
      </c>
      <c r="D910" s="233" t="inlineStr">
        <is>
          <t>39</t>
        </is>
      </c>
      <c r="E910" s="233" t="inlineStr">
        <is>
          <t>45</t>
        </is>
      </c>
      <c r="F910" s="227" t="inlineStr">
        <is>
          <t>TH4</t>
        </is>
      </c>
    </row>
    <row r="911">
      <c r="A911" s="227">
        <f>TL[[#This Row],[Société]]&amp;" - "&amp;TL[[#This Row],[Compte]]</f>
        <v/>
      </c>
      <c r="B911" s="233" t="inlineStr">
        <is>
          <t>74040000</t>
        </is>
      </c>
      <c r="C911" s="227" t="inlineStr">
        <is>
          <t>Subvention activité partielle</t>
        </is>
      </c>
      <c r="F911" s="227" t="inlineStr">
        <is>
          <t>TH4</t>
        </is>
      </c>
    </row>
    <row r="912">
      <c r="A912" s="227">
        <f>TL[[#This Row],[Société]]&amp;" - "&amp;TL[[#This Row],[Compte]]</f>
        <v/>
      </c>
      <c r="B912" s="233" t="inlineStr">
        <is>
          <t>74041000</t>
        </is>
      </c>
      <c r="C912" s="227" t="inlineStr">
        <is>
          <t>Aide fonds solidarité</t>
        </is>
      </c>
      <c r="D912" s="233" t="inlineStr">
        <is>
          <t>39</t>
        </is>
      </c>
      <c r="E912" s="233" t="inlineStr">
        <is>
          <t>45</t>
        </is>
      </c>
      <c r="F912" s="227" t="inlineStr">
        <is>
          <t>TH4</t>
        </is>
      </c>
    </row>
    <row r="913">
      <c r="A913" s="227">
        <f>TL[[#This Row],[Société]]&amp;" - "&amp;TL[[#This Row],[Compte]]</f>
        <v/>
      </c>
      <c r="B913" s="233" t="inlineStr">
        <is>
          <t>75800000</t>
        </is>
      </c>
      <c r="C913" s="227" t="inlineStr">
        <is>
          <t>Produits divers gestion courante</t>
        </is>
      </c>
      <c r="D913" s="233" t="inlineStr">
        <is>
          <t>39</t>
        </is>
      </c>
      <c r="E913" s="233" t="inlineStr">
        <is>
          <t>27</t>
        </is>
      </c>
      <c r="F913" s="227" t="inlineStr">
        <is>
          <t>TH4</t>
        </is>
      </c>
    </row>
    <row r="914">
      <c r="A914" s="227">
        <f>TL[[#This Row],[Société]]&amp;" - "&amp;TL[[#This Row],[Compte]]</f>
        <v/>
      </c>
      <c r="B914" s="233" t="inlineStr">
        <is>
          <t>76400000</t>
        </is>
      </c>
      <c r="C914" s="227" t="inlineStr">
        <is>
          <t>Coupons</t>
        </is>
      </c>
      <c r="D914" s="233" t="inlineStr">
        <is>
          <t>99</t>
        </is>
      </c>
      <c r="E914" s="233" t="inlineStr">
        <is>
          <t>42</t>
        </is>
      </c>
      <c r="F914" s="227" t="inlineStr">
        <is>
          <t>TH4</t>
        </is>
      </c>
    </row>
    <row r="915">
      <c r="A915" s="227">
        <f>TL[[#This Row],[Société]]&amp;" - "&amp;TL[[#This Row],[Compte]]</f>
        <v/>
      </c>
      <c r="B915" s="233" t="inlineStr">
        <is>
          <t>76600000</t>
        </is>
      </c>
      <c r="C915" s="227" t="inlineStr">
        <is>
          <t>Gains de change ne pas utiliser</t>
        </is>
      </c>
      <c r="F915" s="227" t="inlineStr">
        <is>
          <t>TH4</t>
        </is>
      </c>
    </row>
    <row r="916">
      <c r="A916" s="227">
        <f>TL[[#This Row],[Société]]&amp;" - "&amp;TL[[#This Row],[Compte]]</f>
        <v/>
      </c>
      <c r="B916" s="233" t="inlineStr">
        <is>
          <t>76700000</t>
        </is>
      </c>
      <c r="C916" s="227" t="inlineStr">
        <is>
          <t>Produits nets s/cessions vmp</t>
        </is>
      </c>
      <c r="D916" s="233" t="inlineStr">
        <is>
          <t>38</t>
        </is>
      </c>
      <c r="E916" s="233" t="inlineStr">
        <is>
          <t>42</t>
        </is>
      </c>
      <c r="F916" s="227" t="inlineStr">
        <is>
          <t>TH4</t>
        </is>
      </c>
    </row>
    <row r="917">
      <c r="A917" s="227">
        <f>TL[[#This Row],[Société]]&amp;" - "&amp;TL[[#This Row],[Compte]]</f>
        <v/>
      </c>
      <c r="B917" s="233" t="inlineStr">
        <is>
          <t>76710000</t>
        </is>
      </c>
      <c r="C917" s="227" t="inlineStr">
        <is>
          <t>Revenus du dépôt à terme</t>
        </is>
      </c>
      <c r="D917" s="233" t="inlineStr">
        <is>
          <t>38</t>
        </is>
      </c>
      <c r="E917" s="233" t="inlineStr">
        <is>
          <t>42</t>
        </is>
      </c>
      <c r="F917" s="227" t="inlineStr">
        <is>
          <t>TH4</t>
        </is>
      </c>
    </row>
    <row r="918">
      <c r="A918" s="227">
        <f>TL[[#This Row],[Société]]&amp;" - "&amp;TL[[#This Row],[Compte]]</f>
        <v/>
      </c>
      <c r="B918" s="233" t="inlineStr">
        <is>
          <t>76800000</t>
        </is>
      </c>
      <c r="C918" s="227" t="inlineStr">
        <is>
          <t>Ecart conversion ne pas utiliser</t>
        </is>
      </c>
      <c r="D918" s="233" t="inlineStr">
        <is>
          <t>99</t>
        </is>
      </c>
      <c r="F918" s="227" t="inlineStr">
        <is>
          <t>TH4</t>
        </is>
      </c>
    </row>
    <row r="919">
      <c r="A919" s="227">
        <f>TL[[#This Row],[Société]]&amp;" - "&amp;TL[[#This Row],[Compte]]</f>
        <v/>
      </c>
      <c r="B919" s="233" t="inlineStr">
        <is>
          <t>76810000</t>
        </is>
      </c>
      <c r="C919" s="227" t="inlineStr">
        <is>
          <t>Autr. produits financiers</t>
        </is>
      </c>
      <c r="D919" s="233" t="inlineStr">
        <is>
          <t>37</t>
        </is>
      </c>
      <c r="E919" s="233" t="inlineStr">
        <is>
          <t>42</t>
        </is>
      </c>
      <c r="F919" s="227" t="inlineStr">
        <is>
          <t>TH4</t>
        </is>
      </c>
    </row>
    <row r="920">
      <c r="A920" s="227">
        <f>TL[[#This Row],[Société]]&amp;" - "&amp;TL[[#This Row],[Compte]]</f>
        <v/>
      </c>
      <c r="B920" s="233" t="inlineStr">
        <is>
          <t>77110000</t>
        </is>
      </c>
      <c r="C920" s="227" t="inlineStr">
        <is>
          <t>ECARTS DE CAISSE</t>
        </is>
      </c>
      <c r="D920" s="233" t="inlineStr">
        <is>
          <t>22</t>
        </is>
      </c>
      <c r="E920" s="233" t="inlineStr">
        <is>
          <t>27</t>
        </is>
      </c>
      <c r="F920" s="227" t="inlineStr">
        <is>
          <t>TH4</t>
        </is>
      </c>
    </row>
    <row r="921">
      <c r="A921" s="227">
        <f>TL[[#This Row],[Société]]&amp;" - "&amp;TL[[#This Row],[Compte]]</f>
        <v/>
      </c>
      <c r="B921" s="233" t="inlineStr">
        <is>
          <t>77180000</t>
        </is>
      </c>
      <c r="C921" s="227" t="inlineStr">
        <is>
          <t>Autres produits except. de gestion</t>
        </is>
      </c>
      <c r="F921" s="227" t="inlineStr">
        <is>
          <t>TH4</t>
        </is>
      </c>
    </row>
    <row r="922">
      <c r="A922" s="227">
        <f>TL[[#This Row],[Société]]&amp;" - "&amp;TL[[#This Row],[Compte]]</f>
        <v/>
      </c>
      <c r="B922" s="233" t="inlineStr">
        <is>
          <t>77200000</t>
        </is>
      </c>
      <c r="C922" s="227" t="inlineStr">
        <is>
          <t>Produits des exercices antérieurs</t>
        </is>
      </c>
      <c r="D922" s="233" t="inlineStr">
        <is>
          <t>39</t>
        </is>
      </c>
      <c r="E922" s="233" t="inlineStr">
        <is>
          <t>45</t>
        </is>
      </c>
      <c r="F922" s="227" t="inlineStr">
        <is>
          <t>TH4</t>
        </is>
      </c>
    </row>
    <row r="923">
      <c r="A923" s="227">
        <f>TL[[#This Row],[Société]]&amp;" - "&amp;TL[[#This Row],[Compte]]</f>
        <v/>
      </c>
      <c r="B923" s="233" t="inlineStr">
        <is>
          <t>77520000</t>
        </is>
      </c>
      <c r="C923" s="227" t="inlineStr">
        <is>
          <t>Immo corporelles</t>
        </is>
      </c>
      <c r="F923" s="227" t="inlineStr">
        <is>
          <t>TH4</t>
        </is>
      </c>
    </row>
    <row r="924">
      <c r="A924" s="227">
        <f>TL[[#This Row],[Société]]&amp;" - "&amp;TL[[#This Row],[Compte]]</f>
        <v/>
      </c>
      <c r="B924" s="233" t="inlineStr">
        <is>
          <t>78111000</t>
        </is>
      </c>
      <c r="C924" s="227" t="inlineStr">
        <is>
          <t>Repris.s/amort. immob. incorporelle</t>
        </is>
      </c>
      <c r="D924" s="233" t="inlineStr">
        <is>
          <t>36</t>
        </is>
      </c>
      <c r="E924" s="233" t="inlineStr">
        <is>
          <t>38</t>
        </is>
      </c>
      <c r="F924" s="227" t="inlineStr">
        <is>
          <t>TH4</t>
        </is>
      </c>
    </row>
    <row r="925">
      <c r="A925" s="227">
        <f>TL[[#This Row],[Société]]&amp;" - "&amp;TL[[#This Row],[Compte]]</f>
        <v/>
      </c>
      <c r="B925" s="233" t="inlineStr">
        <is>
          <t>78112000</t>
        </is>
      </c>
      <c r="C925" s="227" t="inlineStr">
        <is>
          <t>Repris.s/amort. immob. corporelle</t>
        </is>
      </c>
      <c r="D925" s="233" t="inlineStr">
        <is>
          <t>36</t>
        </is>
      </c>
      <c r="E925" s="233" t="inlineStr">
        <is>
          <t>38</t>
        </is>
      </c>
      <c r="F925" s="227" t="inlineStr">
        <is>
          <t>TH4</t>
        </is>
      </c>
    </row>
    <row r="926">
      <c r="A926" s="227">
        <f>TL[[#This Row],[Société]]&amp;" - "&amp;TL[[#This Row],[Compte]]</f>
        <v/>
      </c>
      <c r="B926" s="233" t="inlineStr">
        <is>
          <t>78150000</t>
        </is>
      </c>
      <c r="C926" s="227" t="inlineStr">
        <is>
          <t>Repris.s/provis.risques &amp; charges</t>
        </is>
      </c>
      <c r="D926" s="233" t="inlineStr">
        <is>
          <t>36</t>
        </is>
      </c>
      <c r="E926" s="233" t="inlineStr">
        <is>
          <t>38</t>
        </is>
      </c>
      <c r="F926" s="227" t="inlineStr">
        <is>
          <t>TH4</t>
        </is>
      </c>
    </row>
    <row r="927">
      <c r="A927" s="227">
        <f>TL[[#This Row],[Société]]&amp;" - "&amp;TL[[#This Row],[Compte]]</f>
        <v/>
      </c>
      <c r="B927" s="233" t="inlineStr">
        <is>
          <t>78711000</t>
        </is>
      </c>
      <c r="C927" s="227" t="inlineStr">
        <is>
          <t>Repris.s/amort.immob.incorpo (exce)</t>
        </is>
      </c>
      <c r="F927" s="227" t="inlineStr">
        <is>
          <t>TH4</t>
        </is>
      </c>
    </row>
    <row r="928">
      <c r="A928" s="227">
        <f>TL[[#This Row],[Société]]&amp;" - "&amp;TL[[#This Row],[Compte]]</f>
        <v/>
      </c>
      <c r="B928" s="233" t="inlineStr">
        <is>
          <t>78712000</t>
        </is>
      </c>
      <c r="C928" s="227" t="inlineStr">
        <is>
          <t>Repris.s/amort.immob.corpor. (exce)</t>
        </is>
      </c>
      <c r="F928" s="227" t="inlineStr">
        <is>
          <t>TH4</t>
        </is>
      </c>
    </row>
    <row r="929">
      <c r="A929" s="227">
        <f>TL[[#This Row],[Société]]&amp;" - "&amp;TL[[#This Row],[Compte]]</f>
        <v/>
      </c>
      <c r="B929" s="233" t="inlineStr">
        <is>
          <t>78725000</t>
        </is>
      </c>
      <c r="C929" s="227" t="inlineStr">
        <is>
          <t>Reprises amortissements dÉrogatoire</t>
        </is>
      </c>
      <c r="D929" s="233" t="inlineStr">
        <is>
          <t>36</t>
        </is>
      </c>
      <c r="E929" s="233" t="inlineStr">
        <is>
          <t>38</t>
        </is>
      </c>
      <c r="F929" s="227" t="inlineStr">
        <is>
          <t>TH4</t>
        </is>
      </c>
    </row>
    <row r="930">
      <c r="A930" s="227">
        <f>TL[[#This Row],[Société]]&amp;" - "&amp;TL[[#This Row],[Compte]]</f>
        <v/>
      </c>
      <c r="B930" s="233" t="inlineStr">
        <is>
          <t>79100000</t>
        </is>
      </c>
      <c r="C930" s="227" t="inlineStr">
        <is>
          <t>Transfert de chrges</t>
        </is>
      </c>
      <c r="D930" s="233" t="inlineStr">
        <is>
          <t>39</t>
        </is>
      </c>
      <c r="E930" s="233" t="inlineStr">
        <is>
          <t>40</t>
        </is>
      </c>
      <c r="F930" s="227" t="inlineStr">
        <is>
          <t>TH4</t>
        </is>
      </c>
    </row>
    <row r="931">
      <c r="A931" s="227">
        <f>TL[[#This Row],[Société]]&amp;" - "&amp;TL[[#This Row],[Compte]]</f>
        <v/>
      </c>
      <c r="B931" s="233" t="inlineStr">
        <is>
          <t>79110000</t>
        </is>
      </c>
      <c r="C931" s="227" t="inlineStr">
        <is>
          <t>Avantage en nature managers</t>
        </is>
      </c>
      <c r="D931" s="233" t="inlineStr">
        <is>
          <t>11</t>
        </is>
      </c>
      <c r="E931" s="233" t="inlineStr">
        <is>
          <t>10</t>
        </is>
      </c>
      <c r="F931" s="227" t="inlineStr">
        <is>
          <t>TH4</t>
        </is>
      </c>
    </row>
    <row r="932">
      <c r="A932" s="227">
        <f>TL[[#This Row],[Société]]&amp;" - "&amp;TL[[#This Row],[Compte]]</f>
        <v/>
      </c>
      <c r="B932" s="233" t="inlineStr">
        <is>
          <t>79110100</t>
        </is>
      </c>
      <c r="C932" s="227" t="inlineStr">
        <is>
          <t>Avantages en nature equipiers</t>
        </is>
      </c>
      <c r="D932" s="233" t="inlineStr">
        <is>
          <t>10</t>
        </is>
      </c>
      <c r="E932" s="233" t="inlineStr">
        <is>
          <t>08</t>
        </is>
      </c>
      <c r="F932" s="227" t="inlineStr">
        <is>
          <t>TH4</t>
        </is>
      </c>
    </row>
    <row r="933">
      <c r="A933" s="227">
        <f>TL[[#This Row],[Société]]&amp;" - "&amp;TL[[#This Row],[Compte]]</f>
        <v/>
      </c>
      <c r="B933" s="233" t="inlineStr">
        <is>
          <t>79110400</t>
        </is>
      </c>
      <c r="C933" s="227" t="inlineStr">
        <is>
          <t>Avantages en nature managers</t>
        </is>
      </c>
      <c r="D933" s="233" t="inlineStr">
        <is>
          <t>11</t>
        </is>
      </c>
      <c r="E933" s="233" t="inlineStr">
        <is>
          <t>10</t>
        </is>
      </c>
      <c r="F933" s="227" t="inlineStr">
        <is>
          <t>TH4</t>
        </is>
      </c>
    </row>
    <row r="934">
      <c r="A934" s="227">
        <f>TL[[#This Row],[Société]]&amp;" - "&amp;TL[[#This Row],[Compte]]</f>
        <v/>
      </c>
      <c r="B934" s="233" t="inlineStr">
        <is>
          <t>79110500</t>
        </is>
      </c>
      <c r="C934" s="227" t="inlineStr">
        <is>
          <t>Avantage en nature voiture</t>
        </is>
      </c>
      <c r="D934" s="233" t="inlineStr">
        <is>
          <t>11</t>
        </is>
      </c>
      <c r="E934" s="233" t="inlineStr">
        <is>
          <t>10</t>
        </is>
      </c>
      <c r="F934" s="227" t="inlineStr">
        <is>
          <t>TH4</t>
        </is>
      </c>
    </row>
    <row r="935">
      <c r="A935" s="227">
        <f>TL[[#This Row],[Société]]&amp;" - "&amp;TL[[#This Row],[Compte]]</f>
        <v/>
      </c>
      <c r="B935" s="233" t="inlineStr">
        <is>
          <t>79111000</t>
        </is>
      </c>
      <c r="C935" s="227" t="inlineStr">
        <is>
          <t>Avantage en nature équipiers</t>
        </is>
      </c>
      <c r="D935" s="233" t="inlineStr">
        <is>
          <t>10</t>
        </is>
      </c>
      <c r="E935" s="233" t="inlineStr">
        <is>
          <t>08</t>
        </is>
      </c>
      <c r="F935" s="227" t="inlineStr">
        <is>
          <t>TH4</t>
        </is>
      </c>
    </row>
    <row r="936">
      <c r="A936" s="227">
        <f>TL[[#This Row],[Société]]&amp;" - "&amp;TL[[#This Row],[Compte]]</f>
        <v/>
      </c>
      <c r="B936" s="233" t="inlineStr">
        <is>
          <t>79120000</t>
        </is>
      </c>
      <c r="C936" s="227" t="inlineStr">
        <is>
          <t>Transferts charges d'expl sans tva</t>
        </is>
      </c>
      <c r="D936" s="233" t="inlineStr">
        <is>
          <t>19</t>
        </is>
      </c>
      <c r="E936" s="233" t="inlineStr">
        <is>
          <t>40</t>
        </is>
      </c>
      <c r="F936" s="227" t="inlineStr">
        <is>
          <t>TH4</t>
        </is>
      </c>
    </row>
    <row r="937">
      <c r="A937" s="227">
        <f>TL[[#This Row],[Société]]&amp;" - "&amp;TL[[#This Row],[Compte]]</f>
        <v/>
      </c>
      <c r="B937" s="233" t="inlineStr">
        <is>
          <t>79121000</t>
        </is>
      </c>
      <c r="C937" s="227" t="inlineStr">
        <is>
          <t>Transferts charges d'expl avec tva</t>
        </is>
      </c>
      <c r="F937" s="227" t="inlineStr">
        <is>
          <t>TH4</t>
        </is>
      </c>
    </row>
    <row r="938">
      <c r="A938" s="227">
        <f>TL[[#This Row],[Société]]&amp;" - "&amp;TL[[#This Row],[Compte]]</f>
        <v/>
      </c>
      <c r="B938" s="233" t="inlineStr">
        <is>
          <t>79130000</t>
        </is>
      </c>
      <c r="C938" s="227" t="inlineStr">
        <is>
          <t>Transfert de charges salaires</t>
        </is>
      </c>
      <c r="D938" s="233" t="inlineStr">
        <is>
          <t>10</t>
        </is>
      </c>
      <c r="E938" s="233" t="inlineStr">
        <is>
          <t>08</t>
        </is>
      </c>
      <c r="F938" s="227" t="inlineStr">
        <is>
          <t>TH4</t>
        </is>
      </c>
    </row>
    <row r="939">
      <c r="A939" s="227">
        <f>TL[[#This Row],[Société]]&amp;" - "&amp;TL[[#This Row],[Compte]]</f>
        <v/>
      </c>
      <c r="B939" s="233" t="inlineStr">
        <is>
          <t>79131000</t>
        </is>
      </c>
      <c r="C939" s="227" t="inlineStr">
        <is>
          <t>Remboursements formations managers</t>
        </is>
      </c>
      <c r="D939" s="233" t="inlineStr">
        <is>
          <t>11</t>
        </is>
      </c>
      <c r="E939" s="233" t="inlineStr">
        <is>
          <t>10</t>
        </is>
      </c>
      <c r="F939" s="227" t="inlineStr">
        <is>
          <t>TH4</t>
        </is>
      </c>
    </row>
    <row r="940">
      <c r="A940" s="227">
        <f>TL[[#This Row],[Société]]&amp;" - "&amp;TL[[#This Row],[Compte]]</f>
        <v/>
      </c>
      <c r="B940" s="233" t="inlineStr">
        <is>
          <t>79131100</t>
        </is>
      </c>
      <c r="C940" s="227" t="inlineStr">
        <is>
          <t>Remboursements formations équipiers</t>
        </is>
      </c>
      <c r="D940" s="233" t="inlineStr">
        <is>
          <t>10</t>
        </is>
      </c>
      <c r="E940" s="233" t="inlineStr">
        <is>
          <t>08</t>
        </is>
      </c>
      <c r="F940" s="227" t="inlineStr">
        <is>
          <t>TH4</t>
        </is>
      </c>
    </row>
    <row r="941">
      <c r="A941" s="227">
        <f>TL[[#This Row],[Société]]&amp;" - "&amp;TL[[#This Row],[Compte]]</f>
        <v/>
      </c>
      <c r="B941" s="233" t="inlineStr">
        <is>
          <t>89000000</t>
        </is>
      </c>
      <c r="C941" s="227" t="inlineStr">
        <is>
          <t>Compte de bilan</t>
        </is>
      </c>
      <c r="F941" s="227" t="inlineStr">
        <is>
          <t>TH4</t>
        </is>
      </c>
    </row>
    <row r="942">
      <c r="A942" s="227">
        <f>TL[[#This Row],[Société]]&amp;" - "&amp;TL[[#This Row],[Compte]]</f>
        <v/>
      </c>
      <c r="B942" s="233" t="inlineStr">
        <is>
          <t>101000</t>
        </is>
      </c>
      <c r="C942" s="227" t="inlineStr">
        <is>
          <t>A-Nouveaux au 01/04/2019</t>
        </is>
      </c>
      <c r="F942" s="227" t="inlineStr">
        <is>
          <t>VICTOIRE</t>
        </is>
      </c>
    </row>
    <row r="943">
      <c r="A943" s="227">
        <f>TL[[#This Row],[Société]]&amp;" - "&amp;TL[[#This Row],[Compte]]</f>
        <v/>
      </c>
      <c r="B943" s="233" t="inlineStr">
        <is>
          <t>101100</t>
        </is>
      </c>
      <c r="C943" s="227" t="inlineStr">
        <is>
          <t>Capital souscrit-non appelé</t>
        </is>
      </c>
      <c r="F943" s="227" t="inlineStr">
        <is>
          <t>VICTOIRE</t>
        </is>
      </c>
    </row>
    <row r="944">
      <c r="A944" s="227">
        <f>TL[[#This Row],[Société]]&amp;" - "&amp;TL[[#This Row],[Compte]]</f>
        <v/>
      </c>
      <c r="B944" s="233" t="inlineStr">
        <is>
          <t>101200</t>
        </is>
      </c>
      <c r="C944" s="227" t="inlineStr">
        <is>
          <t>Capital souscrit-appelé non versé</t>
        </is>
      </c>
      <c r="F944" s="227" t="inlineStr">
        <is>
          <t>VICTOIRE</t>
        </is>
      </c>
    </row>
    <row r="945">
      <c r="A945" s="227">
        <f>TL[[#This Row],[Société]]&amp;" - "&amp;TL[[#This Row],[Compte]]</f>
        <v/>
      </c>
      <c r="B945" s="233" t="inlineStr">
        <is>
          <t>101300</t>
        </is>
      </c>
      <c r="C945" s="227" t="inlineStr">
        <is>
          <t>CAPITAL</t>
        </is>
      </c>
      <c r="F945" s="227" t="inlineStr">
        <is>
          <t>VICTOIRE</t>
        </is>
      </c>
    </row>
    <row r="946">
      <c r="A946" s="227">
        <f>TL[[#This Row],[Société]]&amp;" - "&amp;TL[[#This Row],[Compte]]</f>
        <v/>
      </c>
      <c r="B946" s="233" t="inlineStr">
        <is>
          <t>101800</t>
        </is>
      </c>
      <c r="C946" s="227" t="inlineStr">
        <is>
          <t>Capital soumis à réglementation</t>
        </is>
      </c>
      <c r="F946" s="227" t="inlineStr">
        <is>
          <t>VICTOIRE</t>
        </is>
      </c>
    </row>
    <row r="947">
      <c r="A947" s="227">
        <f>TL[[#This Row],[Société]]&amp;" - "&amp;TL[[#This Row],[Compte]]</f>
        <v/>
      </c>
      <c r="B947" s="233" t="inlineStr">
        <is>
          <t>104100</t>
        </is>
      </c>
      <c r="C947" s="227" t="inlineStr">
        <is>
          <t>Primes d'émission</t>
        </is>
      </c>
      <c r="F947" s="227" t="inlineStr">
        <is>
          <t>VICTOIRE</t>
        </is>
      </c>
    </row>
    <row r="948">
      <c r="A948" s="227">
        <f>TL[[#This Row],[Société]]&amp;" - "&amp;TL[[#This Row],[Compte]]</f>
        <v/>
      </c>
      <c r="B948" s="233" t="inlineStr">
        <is>
          <t>104150</t>
        </is>
      </c>
      <c r="C948" s="227" t="inlineStr">
        <is>
          <t>Primes d'émission titres participat</t>
        </is>
      </c>
      <c r="F948" s="227" t="inlineStr">
        <is>
          <t>VICTOIRE</t>
        </is>
      </c>
    </row>
    <row r="949">
      <c r="A949" s="227">
        <f>TL[[#This Row],[Société]]&amp;" - "&amp;TL[[#This Row],[Compte]]</f>
        <v/>
      </c>
      <c r="B949" s="233" t="inlineStr">
        <is>
          <t>104200</t>
        </is>
      </c>
      <c r="C949" s="227" t="inlineStr">
        <is>
          <t>Primes de fusion</t>
        </is>
      </c>
      <c r="F949" s="227" t="inlineStr">
        <is>
          <t>VICTOIRE</t>
        </is>
      </c>
    </row>
    <row r="950">
      <c r="A950" s="227">
        <f>TL[[#This Row],[Société]]&amp;" - "&amp;TL[[#This Row],[Compte]]</f>
        <v/>
      </c>
      <c r="B950" s="233" t="inlineStr">
        <is>
          <t>104300</t>
        </is>
      </c>
      <c r="C950" s="227" t="inlineStr">
        <is>
          <t>Primes d'apport</t>
        </is>
      </c>
      <c r="F950" s="227" t="inlineStr">
        <is>
          <t>VICTOIRE</t>
        </is>
      </c>
    </row>
    <row r="951">
      <c r="A951" s="227">
        <f>TL[[#This Row],[Société]]&amp;" - "&amp;TL[[#This Row],[Compte]]</f>
        <v/>
      </c>
      <c r="B951" s="233" t="inlineStr">
        <is>
          <t>104400</t>
        </is>
      </c>
      <c r="C951" s="227" t="inlineStr">
        <is>
          <t>Primes de conv. obligat. en actions</t>
        </is>
      </c>
      <c r="F951" s="227" t="inlineStr">
        <is>
          <t>VICTOIRE</t>
        </is>
      </c>
    </row>
    <row r="952">
      <c r="A952" s="227">
        <f>TL[[#This Row],[Société]]&amp;" - "&amp;TL[[#This Row],[Compte]]</f>
        <v/>
      </c>
      <c r="B952" s="233" t="inlineStr">
        <is>
          <t>104500</t>
        </is>
      </c>
      <c r="C952" s="227" t="inlineStr">
        <is>
          <t>Bons de souscription d'actions</t>
        </is>
      </c>
      <c r="F952" s="227" t="inlineStr">
        <is>
          <t>VICTOIRE</t>
        </is>
      </c>
    </row>
    <row r="953">
      <c r="A953" s="227">
        <f>TL[[#This Row],[Société]]&amp;" - "&amp;TL[[#This Row],[Compte]]</f>
        <v/>
      </c>
      <c r="B953" s="233" t="inlineStr">
        <is>
          <t>105100</t>
        </is>
      </c>
      <c r="C953" s="227" t="inlineStr">
        <is>
          <t>Réserve spéciale de réévaluation</t>
        </is>
      </c>
      <c r="F953" s="227" t="inlineStr">
        <is>
          <t>VICTOIRE</t>
        </is>
      </c>
    </row>
    <row r="954">
      <c r="A954" s="227">
        <f>TL[[#This Row],[Société]]&amp;" - "&amp;TL[[#This Row],[Compte]]</f>
        <v/>
      </c>
      <c r="B954" s="233" t="inlineStr">
        <is>
          <t>105200</t>
        </is>
      </c>
      <c r="C954" s="227" t="inlineStr">
        <is>
          <t>Ecart de réévaluation libre</t>
        </is>
      </c>
      <c r="F954" s="227" t="inlineStr">
        <is>
          <t>VICTOIRE</t>
        </is>
      </c>
    </row>
    <row r="955">
      <c r="A955" s="227">
        <f>TL[[#This Row],[Société]]&amp;" - "&amp;TL[[#This Row],[Compte]]</f>
        <v/>
      </c>
      <c r="B955" s="233" t="inlineStr">
        <is>
          <t>105300</t>
        </is>
      </c>
      <c r="C955" s="227" t="inlineStr">
        <is>
          <t>Réserve de réévaluation</t>
        </is>
      </c>
      <c r="F955" s="227" t="inlineStr">
        <is>
          <t>VICTOIRE</t>
        </is>
      </c>
    </row>
    <row r="956">
      <c r="A956" s="227">
        <f>TL[[#This Row],[Société]]&amp;" - "&amp;TL[[#This Row],[Compte]]</f>
        <v/>
      </c>
      <c r="B956" s="233" t="inlineStr">
        <is>
          <t>105500</t>
        </is>
      </c>
      <c r="C956" s="227" t="inlineStr">
        <is>
          <t>Ecarts de réévaluation</t>
        </is>
      </c>
      <c r="F956" s="227" t="inlineStr">
        <is>
          <t>VICTOIRE</t>
        </is>
      </c>
    </row>
    <row r="957">
      <c r="A957" s="227">
        <f>TL[[#This Row],[Société]]&amp;" - "&amp;TL[[#This Row],[Compte]]</f>
        <v/>
      </c>
      <c r="B957" s="233" t="inlineStr">
        <is>
          <t>105700</t>
        </is>
      </c>
      <c r="C957" s="227" t="inlineStr">
        <is>
          <t>Autres écarts de réévaluation (FR)</t>
        </is>
      </c>
      <c r="F957" s="227" t="inlineStr">
        <is>
          <t>VICTOIRE</t>
        </is>
      </c>
    </row>
    <row r="958">
      <c r="A958" s="227">
        <f>TL[[#This Row],[Société]]&amp;" - "&amp;TL[[#This Row],[Compte]]</f>
        <v/>
      </c>
      <c r="B958" s="233" t="inlineStr">
        <is>
          <t>105800</t>
        </is>
      </c>
      <c r="C958" s="227" t="inlineStr">
        <is>
          <t>Autres écarts réévaluation (ETR)</t>
        </is>
      </c>
      <c r="F958" s="227" t="inlineStr">
        <is>
          <t>VICTOIRE</t>
        </is>
      </c>
    </row>
    <row r="959">
      <c r="A959" s="227">
        <f>TL[[#This Row],[Société]]&amp;" - "&amp;TL[[#This Row],[Compte]]</f>
        <v/>
      </c>
      <c r="B959" s="233" t="inlineStr">
        <is>
          <t>106100</t>
        </is>
      </c>
      <c r="C959" s="227" t="inlineStr">
        <is>
          <t>RESERVE LEGALE</t>
        </is>
      </c>
      <c r="F959" s="227" t="inlineStr">
        <is>
          <t>VICTOIRE</t>
        </is>
      </c>
    </row>
    <row r="960">
      <c r="A960" s="227">
        <f>TL[[#This Row],[Société]]&amp;" - "&amp;TL[[#This Row],[Compte]]</f>
        <v/>
      </c>
      <c r="B960" s="233" t="inlineStr">
        <is>
          <t>106110</t>
        </is>
      </c>
      <c r="C960" s="227" t="inlineStr">
        <is>
          <t>Réserve légale proprement dite</t>
        </is>
      </c>
      <c r="F960" s="227" t="inlineStr">
        <is>
          <t>VICTOIRE</t>
        </is>
      </c>
    </row>
    <row r="961">
      <c r="A961" s="227">
        <f>TL[[#This Row],[Société]]&amp;" - "&amp;TL[[#This Row],[Compte]]</f>
        <v/>
      </c>
      <c r="B961" s="233" t="inlineStr">
        <is>
          <t>106120</t>
        </is>
      </c>
      <c r="C961" s="227" t="inlineStr">
        <is>
          <t>Réserve légale (+ value à LT)</t>
        </is>
      </c>
      <c r="F961" s="227" t="inlineStr">
        <is>
          <t>VICTOIRE</t>
        </is>
      </c>
    </row>
    <row r="962">
      <c r="A962" s="227">
        <f>TL[[#This Row],[Société]]&amp;" - "&amp;TL[[#This Row],[Compte]]</f>
        <v/>
      </c>
      <c r="B962" s="233" t="inlineStr">
        <is>
          <t>106200</t>
        </is>
      </c>
      <c r="C962" s="227" t="inlineStr">
        <is>
          <t>Réserves disponibles</t>
        </is>
      </c>
      <c r="F962" s="227" t="inlineStr">
        <is>
          <t>VICTOIRE</t>
        </is>
      </c>
    </row>
    <row r="963">
      <c r="A963" s="227">
        <f>TL[[#This Row],[Société]]&amp;" - "&amp;TL[[#This Row],[Compte]]</f>
        <v/>
      </c>
      <c r="B963" s="233" t="inlineStr">
        <is>
          <t>106300</t>
        </is>
      </c>
      <c r="C963" s="227" t="inlineStr">
        <is>
          <t>Réserves statutaires ou contract.</t>
        </is>
      </c>
      <c r="F963" s="227" t="inlineStr">
        <is>
          <t>VICTOIRE</t>
        </is>
      </c>
    </row>
    <row r="964">
      <c r="A964" s="227">
        <f>TL[[#This Row],[Société]]&amp;" - "&amp;TL[[#This Row],[Compte]]</f>
        <v/>
      </c>
      <c r="B964" s="233" t="inlineStr">
        <is>
          <t>106400</t>
        </is>
      </c>
      <c r="C964" s="227" t="inlineStr">
        <is>
          <t>Réserves réglementées</t>
        </is>
      </c>
      <c r="F964" s="227" t="inlineStr">
        <is>
          <t>VICTOIRE</t>
        </is>
      </c>
    </row>
    <row r="965">
      <c r="A965" s="227">
        <f>TL[[#This Row],[Société]]&amp;" - "&amp;TL[[#This Row],[Compte]]</f>
        <v/>
      </c>
      <c r="B965" s="233" t="inlineStr">
        <is>
          <t>106410</t>
        </is>
      </c>
      <c r="C965" s="227" t="inlineStr">
        <is>
          <t>Réserve pour + Values à LT</t>
        </is>
      </c>
      <c r="F965" s="227" t="inlineStr">
        <is>
          <t>VICTOIRE</t>
        </is>
      </c>
    </row>
    <row r="966">
      <c r="A966" s="227">
        <f>TL[[#This Row],[Société]]&amp;" - "&amp;TL[[#This Row],[Compte]]</f>
        <v/>
      </c>
      <c r="B966" s="233" t="inlineStr">
        <is>
          <t>106480</t>
        </is>
      </c>
      <c r="C966" s="227" t="inlineStr">
        <is>
          <t>Autres réserves réglementées</t>
        </is>
      </c>
      <c r="F966" s="227" t="inlineStr">
        <is>
          <t>VICTOIRE</t>
        </is>
      </c>
    </row>
    <row r="967">
      <c r="A967" s="227">
        <f>TL[[#This Row],[Société]]&amp;" - "&amp;TL[[#This Row],[Compte]]</f>
        <v/>
      </c>
      <c r="B967" s="233" t="inlineStr">
        <is>
          <t>106800</t>
        </is>
      </c>
      <c r="C967" s="227" t="inlineStr">
        <is>
          <t>AUTRES RESERVES</t>
        </is>
      </c>
      <c r="F967" s="227" t="inlineStr">
        <is>
          <t>VICTOIRE</t>
        </is>
      </c>
    </row>
    <row r="968">
      <c r="A968" s="227">
        <f>TL[[#This Row],[Société]]&amp;" - "&amp;TL[[#This Row],[Compte]]</f>
        <v/>
      </c>
      <c r="B968" s="233" t="inlineStr">
        <is>
          <t>106810</t>
        </is>
      </c>
      <c r="C968" s="227" t="inlineStr">
        <is>
          <t>Réserve de propre assureur</t>
        </is>
      </c>
      <c r="F968" s="227" t="inlineStr">
        <is>
          <t>VICTOIRE</t>
        </is>
      </c>
    </row>
    <row r="969">
      <c r="A969" s="227">
        <f>TL[[#This Row],[Société]]&amp;" - "&amp;TL[[#This Row],[Compte]]</f>
        <v/>
      </c>
      <c r="B969" s="233" t="inlineStr">
        <is>
          <t>106880</t>
        </is>
      </c>
      <c r="C969" s="227" t="inlineStr">
        <is>
          <t>Réserves diverses</t>
        </is>
      </c>
      <c r="F969" s="227" t="inlineStr">
        <is>
          <t>VICTOIRE</t>
        </is>
      </c>
    </row>
    <row r="970">
      <c r="A970" s="227">
        <f>TL[[#This Row],[Société]]&amp;" - "&amp;TL[[#This Row],[Compte]]</f>
        <v/>
      </c>
      <c r="B970" s="233" t="inlineStr">
        <is>
          <t>107000</t>
        </is>
      </c>
      <c r="C970" s="227" t="inlineStr">
        <is>
          <t>Ecart d'équivalence</t>
        </is>
      </c>
      <c r="F970" s="227" t="inlineStr">
        <is>
          <t>VICTOIRE</t>
        </is>
      </c>
    </row>
    <row r="971">
      <c r="A971" s="227">
        <f>TL[[#This Row],[Société]]&amp;" - "&amp;TL[[#This Row],[Compte]]</f>
        <v/>
      </c>
      <c r="B971" s="233" t="inlineStr">
        <is>
          <t>108000</t>
        </is>
      </c>
      <c r="C971" s="227" t="inlineStr">
        <is>
          <t>Compte de l'exploitant</t>
        </is>
      </c>
      <c r="F971" s="227" t="inlineStr">
        <is>
          <t>VICTOIRE</t>
        </is>
      </c>
    </row>
    <row r="972">
      <c r="A972" s="227">
        <f>TL[[#This Row],[Société]]&amp;" - "&amp;TL[[#This Row],[Compte]]</f>
        <v/>
      </c>
      <c r="B972" s="233" t="inlineStr">
        <is>
          <t>109000</t>
        </is>
      </c>
      <c r="C972" s="227" t="inlineStr">
        <is>
          <t>Actionnaires : capit.sousc.n/appelé</t>
        </is>
      </c>
      <c r="F972" s="227" t="inlineStr">
        <is>
          <t>VICTOIRE</t>
        </is>
      </c>
    </row>
    <row r="973">
      <c r="A973" s="227">
        <f>TL[[#This Row],[Société]]&amp;" - "&amp;TL[[#This Row],[Compte]]</f>
        <v/>
      </c>
      <c r="B973" s="233" t="inlineStr">
        <is>
          <t>110000</t>
        </is>
      </c>
      <c r="C973" s="227" t="inlineStr">
        <is>
          <t>Report à nouveau (solde créditeur)</t>
        </is>
      </c>
      <c r="F973" s="227" t="inlineStr">
        <is>
          <t>VICTOIRE</t>
        </is>
      </c>
    </row>
    <row r="974">
      <c r="A974" s="227">
        <f>TL[[#This Row],[Société]]&amp;" - "&amp;TL[[#This Row],[Compte]]</f>
        <v/>
      </c>
      <c r="B974" s="233" t="inlineStr">
        <is>
          <t>119000</t>
        </is>
      </c>
      <c r="C974" s="227" t="inlineStr">
        <is>
          <t>Report à nouveau (solde débiteur)</t>
        </is>
      </c>
      <c r="F974" s="227" t="inlineStr">
        <is>
          <t>VICTOIRE</t>
        </is>
      </c>
    </row>
    <row r="975">
      <c r="A975" s="227">
        <f>TL[[#This Row],[Société]]&amp;" - "&amp;TL[[#This Row],[Compte]]</f>
        <v/>
      </c>
      <c r="B975" s="233" t="inlineStr">
        <is>
          <t>120000</t>
        </is>
      </c>
      <c r="C975" s="227" t="inlineStr">
        <is>
          <t>RESULTAT DE L'EXERCICE</t>
        </is>
      </c>
      <c r="F975" s="227" t="inlineStr">
        <is>
          <t>VICTOIRE</t>
        </is>
      </c>
    </row>
    <row r="976">
      <c r="A976" s="227">
        <f>TL[[#This Row],[Société]]&amp;" - "&amp;TL[[#This Row],[Compte]]</f>
        <v/>
      </c>
      <c r="B976" s="233" t="inlineStr">
        <is>
          <t>128000</t>
        </is>
      </c>
      <c r="C976" s="227" t="inlineStr">
        <is>
          <t>Acomptes sur les dividendes</t>
        </is>
      </c>
      <c r="F976" s="227" t="inlineStr">
        <is>
          <t>VICTOIRE</t>
        </is>
      </c>
    </row>
    <row r="977">
      <c r="A977" s="227">
        <f>TL[[#This Row],[Société]]&amp;" - "&amp;TL[[#This Row],[Compte]]</f>
        <v/>
      </c>
      <c r="B977" s="233" t="inlineStr">
        <is>
          <t>129000</t>
        </is>
      </c>
      <c r="C977" s="227" t="inlineStr">
        <is>
          <t>Perte</t>
        </is>
      </c>
      <c r="F977" s="227" t="inlineStr">
        <is>
          <t>VICTOIRE</t>
        </is>
      </c>
    </row>
    <row r="978">
      <c r="A978" s="227">
        <f>TL[[#This Row],[Société]]&amp;" - "&amp;TL[[#This Row],[Compte]]</f>
        <v/>
      </c>
      <c r="B978" s="233" t="inlineStr">
        <is>
          <t>131000</t>
        </is>
      </c>
      <c r="C978" s="227" t="inlineStr">
        <is>
          <t>Subventions d'équipement</t>
        </is>
      </c>
      <c r="F978" s="227" t="inlineStr">
        <is>
          <t>VICTOIRE</t>
        </is>
      </c>
    </row>
    <row r="979">
      <c r="A979" s="227">
        <f>TL[[#This Row],[Société]]&amp;" - "&amp;TL[[#This Row],[Compte]]</f>
        <v/>
      </c>
      <c r="B979" s="233" t="inlineStr">
        <is>
          <t>138000</t>
        </is>
      </c>
      <c r="C979" s="227" t="inlineStr">
        <is>
          <t>Autres subventions d'investissement</t>
        </is>
      </c>
      <c r="F979" s="227" t="inlineStr">
        <is>
          <t>VICTOIRE</t>
        </is>
      </c>
    </row>
    <row r="980">
      <c r="A980" s="227">
        <f>TL[[#This Row],[Société]]&amp;" - "&amp;TL[[#This Row],[Compte]]</f>
        <v/>
      </c>
      <c r="B980" s="233" t="inlineStr">
        <is>
          <t>139000</t>
        </is>
      </c>
      <c r="C980" s="227" t="inlineStr">
        <is>
          <t>Subventions inscrites au C/R</t>
        </is>
      </c>
      <c r="F980" s="227" t="inlineStr">
        <is>
          <t>VICTOIRE</t>
        </is>
      </c>
    </row>
    <row r="981">
      <c r="A981" s="227">
        <f>TL[[#This Row],[Société]]&amp;" - "&amp;TL[[#This Row],[Compte]]</f>
        <v/>
      </c>
      <c r="B981" s="233" t="inlineStr">
        <is>
          <t>139100</t>
        </is>
      </c>
      <c r="C981" s="227" t="inlineStr">
        <is>
          <t>Sub. d'équipement inscrites au C/R</t>
        </is>
      </c>
      <c r="F981" s="227" t="inlineStr">
        <is>
          <t>VICTOIRE</t>
        </is>
      </c>
    </row>
    <row r="982">
      <c r="A982" s="227">
        <f>TL[[#This Row],[Société]]&amp;" - "&amp;TL[[#This Row],[Compte]]</f>
        <v/>
      </c>
      <c r="B982" s="233" t="inlineStr">
        <is>
          <t>139800</t>
        </is>
      </c>
      <c r="C982" s="227" t="inlineStr">
        <is>
          <t>Autres sub d'équip inscrites au C/R</t>
        </is>
      </c>
      <c r="F982" s="227" t="inlineStr">
        <is>
          <t>VICTOIRE</t>
        </is>
      </c>
    </row>
    <row r="983">
      <c r="A983" s="227">
        <f>TL[[#This Row],[Société]]&amp;" - "&amp;TL[[#This Row],[Compte]]</f>
        <v/>
      </c>
      <c r="B983" s="233" t="inlineStr">
        <is>
          <t>142300</t>
        </is>
      </c>
      <c r="C983" s="227" t="inlineStr">
        <is>
          <t>Provisions reconstit.gisemt.miniers</t>
        </is>
      </c>
      <c r="F983" s="227" t="inlineStr">
        <is>
          <t>VICTOIRE</t>
        </is>
      </c>
    </row>
    <row r="984">
      <c r="A984" s="227">
        <f>TL[[#This Row],[Société]]&amp;" - "&amp;TL[[#This Row],[Compte]]</f>
        <v/>
      </c>
      <c r="B984" s="233" t="inlineStr">
        <is>
          <t>142400</t>
        </is>
      </c>
      <c r="C984" s="227" t="inlineStr">
        <is>
          <t>Provisions pour investissement</t>
        </is>
      </c>
      <c r="F984" s="227" t="inlineStr">
        <is>
          <t>VICTOIRE</t>
        </is>
      </c>
    </row>
    <row r="985">
      <c r="A985" s="227">
        <f>TL[[#This Row],[Société]]&amp;" - "&amp;TL[[#This Row],[Compte]]</f>
        <v/>
      </c>
      <c r="B985" s="233" t="inlineStr">
        <is>
          <t>143100</t>
        </is>
      </c>
      <c r="C985" s="227" t="inlineStr">
        <is>
          <t>Provisions pour hausse des prix</t>
        </is>
      </c>
      <c r="F985" s="227" t="inlineStr">
        <is>
          <t>VICTOIRE</t>
        </is>
      </c>
    </row>
    <row r="986">
      <c r="A986" s="227">
        <f>TL[[#This Row],[Société]]&amp;" - "&amp;TL[[#This Row],[Compte]]</f>
        <v/>
      </c>
      <c r="B986" s="233" t="inlineStr">
        <is>
          <t>143200</t>
        </is>
      </c>
      <c r="C986" s="227" t="inlineStr">
        <is>
          <t>Provisions fluctuation des cours</t>
        </is>
      </c>
      <c r="F986" s="227" t="inlineStr">
        <is>
          <t>VICTOIRE</t>
        </is>
      </c>
    </row>
    <row r="987">
      <c r="A987" s="227">
        <f>TL[[#This Row],[Société]]&amp;" - "&amp;TL[[#This Row],[Compte]]</f>
        <v/>
      </c>
      <c r="B987" s="233" t="inlineStr">
        <is>
          <t>144000</t>
        </is>
      </c>
      <c r="C987" s="227" t="inlineStr">
        <is>
          <t>Provis.réglement.relat.aut.élém.act</t>
        </is>
      </c>
      <c r="F987" s="227" t="inlineStr">
        <is>
          <t>VICTOIRE</t>
        </is>
      </c>
    </row>
    <row r="988">
      <c r="A988" s="227">
        <f>TL[[#This Row],[Société]]&amp;" - "&amp;TL[[#This Row],[Compte]]</f>
        <v/>
      </c>
      <c r="B988" s="233" t="inlineStr">
        <is>
          <t>144100</t>
        </is>
      </c>
      <c r="C988" s="227" t="inlineStr">
        <is>
          <t>Provision pour prêts d'installation</t>
        </is>
      </c>
      <c r="F988" s="227" t="inlineStr">
        <is>
          <t>VICTOIRE</t>
        </is>
      </c>
    </row>
    <row r="989">
      <c r="A989" s="227">
        <f>TL[[#This Row],[Société]]&amp;" - "&amp;TL[[#This Row],[Compte]]</f>
        <v/>
      </c>
      <c r="B989" s="233" t="inlineStr">
        <is>
          <t>145000</t>
        </is>
      </c>
      <c r="C989" s="227" t="inlineStr">
        <is>
          <t>Amortissements dérogatoires</t>
        </is>
      </c>
      <c r="F989" s="227" t="inlineStr">
        <is>
          <t>VICTOIRE</t>
        </is>
      </c>
    </row>
    <row r="990">
      <c r="A990" s="227">
        <f>TL[[#This Row],[Société]]&amp;" - "&amp;TL[[#This Row],[Compte]]</f>
        <v/>
      </c>
      <c r="B990" s="233" t="inlineStr">
        <is>
          <t>146000</t>
        </is>
      </c>
      <c r="C990" s="227" t="inlineStr">
        <is>
          <t>Provision spéciale de réévaluation</t>
        </is>
      </c>
      <c r="F990" s="227" t="inlineStr">
        <is>
          <t>VICTOIRE</t>
        </is>
      </c>
    </row>
    <row r="991">
      <c r="A991" s="227">
        <f>TL[[#This Row],[Société]]&amp;" - "&amp;TL[[#This Row],[Compte]]</f>
        <v/>
      </c>
      <c r="B991" s="233" t="inlineStr">
        <is>
          <t>147000</t>
        </is>
      </c>
      <c r="C991" s="227" t="inlineStr">
        <is>
          <t>Plus-values réinvesties</t>
        </is>
      </c>
      <c r="F991" s="227" t="inlineStr">
        <is>
          <t>VICTOIRE</t>
        </is>
      </c>
    </row>
    <row r="992">
      <c r="A992" s="227">
        <f>TL[[#This Row],[Société]]&amp;" - "&amp;TL[[#This Row],[Compte]]</f>
        <v/>
      </c>
      <c r="B992" s="233" t="inlineStr">
        <is>
          <t>148000</t>
        </is>
      </c>
      <c r="C992" s="227" t="inlineStr">
        <is>
          <t>Autres provisions réglementées</t>
        </is>
      </c>
      <c r="F992" s="227" t="inlineStr">
        <is>
          <t>VICTOIRE</t>
        </is>
      </c>
    </row>
    <row r="993">
      <c r="A993" s="227">
        <f>TL[[#This Row],[Société]]&amp;" - "&amp;TL[[#This Row],[Compte]]</f>
        <v/>
      </c>
      <c r="B993" s="233" t="inlineStr">
        <is>
          <t>148600</t>
        </is>
      </c>
      <c r="C993" s="227" t="inlineStr">
        <is>
          <t>Provision implantation à l'étranger</t>
        </is>
      </c>
      <c r="F993" s="227" t="inlineStr">
        <is>
          <t>VICTOIRE</t>
        </is>
      </c>
    </row>
    <row r="994">
      <c r="A994" s="227">
        <f>TL[[#This Row],[Société]]&amp;" - "&amp;TL[[#This Row],[Compte]]</f>
        <v/>
      </c>
      <c r="B994" s="233" t="inlineStr">
        <is>
          <t>148650</t>
        </is>
      </c>
      <c r="C994" s="227" t="inlineStr">
        <is>
          <t>Provisions implantation dans CEE</t>
        </is>
      </c>
      <c r="F994" s="227" t="inlineStr">
        <is>
          <t>VICTOIRE</t>
        </is>
      </c>
    </row>
    <row r="995">
      <c r="A995" s="227">
        <f>TL[[#This Row],[Société]]&amp;" - "&amp;TL[[#This Row],[Compte]]</f>
        <v/>
      </c>
      <c r="B995" s="233" t="inlineStr">
        <is>
          <t>151100</t>
        </is>
      </c>
      <c r="C995" s="227" t="inlineStr">
        <is>
          <t>PROVISION POUR RISQUES</t>
        </is>
      </c>
      <c r="F995" s="227" t="inlineStr">
        <is>
          <t>VICTOIRE</t>
        </is>
      </c>
    </row>
    <row r="996">
      <c r="A996" s="227">
        <f>TL[[#This Row],[Société]]&amp;" - "&amp;TL[[#This Row],[Compte]]</f>
        <v/>
      </c>
      <c r="B996" s="233" t="inlineStr">
        <is>
          <t>151200</t>
        </is>
      </c>
      <c r="C996" s="227" t="inlineStr">
        <is>
          <t>Provisions pour garanties clients</t>
        </is>
      </c>
      <c r="F996" s="227" t="inlineStr">
        <is>
          <t>VICTOIRE</t>
        </is>
      </c>
    </row>
    <row r="997">
      <c r="A997" s="227">
        <f>TL[[#This Row],[Société]]&amp;" - "&amp;TL[[#This Row],[Compte]]</f>
        <v/>
      </c>
      <c r="B997" s="233" t="inlineStr">
        <is>
          <t>151300</t>
        </is>
      </c>
      <c r="C997" s="227" t="inlineStr">
        <is>
          <t>Provisions pertes s/ marché à terme</t>
        </is>
      </c>
      <c r="F997" s="227" t="inlineStr">
        <is>
          <t>VICTOIRE</t>
        </is>
      </c>
    </row>
    <row r="998">
      <c r="A998" s="227">
        <f>TL[[#This Row],[Société]]&amp;" - "&amp;TL[[#This Row],[Compte]]</f>
        <v/>
      </c>
      <c r="B998" s="233" t="inlineStr">
        <is>
          <t>151400</t>
        </is>
      </c>
      <c r="C998" s="227" t="inlineStr">
        <is>
          <t>Provisions amendes et pénalités</t>
        </is>
      </c>
      <c r="F998" s="227" t="inlineStr">
        <is>
          <t>VICTOIRE</t>
        </is>
      </c>
    </row>
    <row r="999">
      <c r="A999" s="227">
        <f>TL[[#This Row],[Société]]&amp;" - "&amp;TL[[#This Row],[Compte]]</f>
        <v/>
      </c>
      <c r="B999" s="233" t="inlineStr">
        <is>
          <t>151500</t>
        </is>
      </c>
      <c r="C999" s="227" t="inlineStr">
        <is>
          <t>Provisions perte de change</t>
        </is>
      </c>
      <c r="F999" s="227" t="inlineStr">
        <is>
          <t>VICTOIRE</t>
        </is>
      </c>
    </row>
    <row r="1000">
      <c r="A1000" s="227">
        <f>TL[[#This Row],[Société]]&amp;" - "&amp;TL[[#This Row],[Compte]]</f>
        <v/>
      </c>
      <c r="B1000" s="233" t="inlineStr">
        <is>
          <t>151600</t>
        </is>
      </c>
      <c r="C1000" s="227" t="inlineStr">
        <is>
          <t>Provisions particip en équivalence</t>
        </is>
      </c>
      <c r="F1000" s="227" t="inlineStr">
        <is>
          <t>VICTOIRE</t>
        </is>
      </c>
    </row>
    <row r="1001">
      <c r="A1001" s="227">
        <f>TL[[#This Row],[Société]]&amp;" - "&amp;TL[[#This Row],[Compte]]</f>
        <v/>
      </c>
      <c r="B1001" s="233" t="inlineStr">
        <is>
          <t>151700</t>
        </is>
      </c>
      <c r="C1001" s="227" t="inlineStr">
        <is>
          <t>Provisions pour restructuration</t>
        </is>
      </c>
      <c r="F1001" s="227" t="inlineStr">
        <is>
          <t>VICTOIRE</t>
        </is>
      </c>
    </row>
    <row r="1002">
      <c r="A1002" s="227">
        <f>TL[[#This Row],[Société]]&amp;" - "&amp;TL[[#This Row],[Compte]]</f>
        <v/>
      </c>
      <c r="B1002" s="233" t="inlineStr">
        <is>
          <t>151800</t>
        </is>
      </c>
      <c r="C1002" s="227" t="inlineStr">
        <is>
          <t>AUTRES PROVISIONS POUR LITIGES</t>
        </is>
      </c>
      <c r="F1002" s="227" t="inlineStr">
        <is>
          <t>VICTOIRE</t>
        </is>
      </c>
    </row>
    <row r="1003">
      <c r="A1003" s="227">
        <f>TL[[#This Row],[Société]]&amp;" - "&amp;TL[[#This Row],[Compte]]</f>
        <v/>
      </c>
      <c r="B1003" s="233" t="inlineStr">
        <is>
          <t>153000</t>
        </is>
      </c>
      <c r="C1003" s="227" t="inlineStr">
        <is>
          <t>Provisions pensions &amp; obligat.simil</t>
        </is>
      </c>
      <c r="F1003" s="227" t="inlineStr">
        <is>
          <t>VICTOIRE</t>
        </is>
      </c>
    </row>
    <row r="1004">
      <c r="A1004" s="227">
        <f>TL[[#This Row],[Société]]&amp;" - "&amp;TL[[#This Row],[Compte]]</f>
        <v/>
      </c>
      <c r="B1004" s="233" t="inlineStr">
        <is>
          <t>154000</t>
        </is>
      </c>
      <c r="C1004" s="227" t="inlineStr">
        <is>
          <t>Provision pour restructuration</t>
        </is>
      </c>
      <c r="F1004" s="227" t="inlineStr">
        <is>
          <t>VICTOIRE</t>
        </is>
      </c>
    </row>
    <row r="1005">
      <c r="A1005" s="227">
        <f>TL[[#This Row],[Société]]&amp;" - "&amp;TL[[#This Row],[Compte]]</f>
        <v/>
      </c>
      <c r="B1005" s="233" t="inlineStr">
        <is>
          <t>155000</t>
        </is>
      </c>
      <c r="C1005" s="227" t="inlineStr">
        <is>
          <t>Provisions pour impots</t>
        </is>
      </c>
      <c r="F1005" s="227" t="inlineStr">
        <is>
          <t>VICTOIRE</t>
        </is>
      </c>
    </row>
    <row r="1006">
      <c r="A1006" s="227">
        <f>TL[[#This Row],[Société]]&amp;" - "&amp;TL[[#This Row],[Compte]]</f>
        <v/>
      </c>
      <c r="B1006" s="233" t="inlineStr">
        <is>
          <t>156000</t>
        </is>
      </c>
      <c r="C1006" s="227" t="inlineStr">
        <is>
          <t>Provision pour renouvel.immobilisat</t>
        </is>
      </c>
      <c r="F1006" s="227" t="inlineStr">
        <is>
          <t>VICTOIRE</t>
        </is>
      </c>
    </row>
    <row r="1007">
      <c r="A1007" s="227">
        <f>TL[[#This Row],[Société]]&amp;" - "&amp;TL[[#This Row],[Compte]]</f>
        <v/>
      </c>
      <c r="B1007" s="233" t="inlineStr">
        <is>
          <t>157200</t>
        </is>
      </c>
      <c r="C1007" s="227" t="inlineStr">
        <is>
          <t>Prov. gros entretien grandes révis°</t>
        </is>
      </c>
      <c r="F1007" s="227" t="inlineStr">
        <is>
          <t>VICTOIRE</t>
        </is>
      </c>
    </row>
    <row r="1008">
      <c r="A1008" s="227">
        <f>TL[[#This Row],[Société]]&amp;" - "&amp;TL[[#This Row],[Compte]]</f>
        <v/>
      </c>
      <c r="B1008" s="233" t="inlineStr">
        <is>
          <t>158000</t>
        </is>
      </c>
      <c r="C1008" s="227" t="inlineStr">
        <is>
          <t>Autres provisions pour charges</t>
        </is>
      </c>
      <c r="F1008" s="227" t="inlineStr">
        <is>
          <t>VICTOIRE</t>
        </is>
      </c>
    </row>
    <row r="1009">
      <c r="A1009" s="227">
        <f>TL[[#This Row],[Société]]&amp;" - "&amp;TL[[#This Row],[Compte]]</f>
        <v/>
      </c>
      <c r="B1009" s="233" t="inlineStr">
        <is>
          <t>158200</t>
        </is>
      </c>
      <c r="C1009" s="227" t="inlineStr">
        <is>
          <t>Provisions pour charges sur congés</t>
        </is>
      </c>
      <c r="F1009" s="227" t="inlineStr">
        <is>
          <t>VICTOIRE</t>
        </is>
      </c>
    </row>
    <row r="1010">
      <c r="A1010" s="227">
        <f>TL[[#This Row],[Société]]&amp;" - "&amp;TL[[#This Row],[Compte]]</f>
        <v/>
      </c>
      <c r="B1010" s="233" t="inlineStr">
        <is>
          <t>158800</t>
        </is>
      </c>
      <c r="C1010" s="227" t="inlineStr">
        <is>
          <t>Provisions pour charges diverses</t>
        </is>
      </c>
      <c r="F1010" s="227" t="inlineStr">
        <is>
          <t>VICTOIRE</t>
        </is>
      </c>
    </row>
    <row r="1011">
      <c r="A1011" s="227">
        <f>TL[[#This Row],[Société]]&amp;" - "&amp;TL[[#This Row],[Compte]]</f>
        <v/>
      </c>
      <c r="B1011" s="233" t="inlineStr">
        <is>
          <t>161000</t>
        </is>
      </c>
      <c r="C1011" s="227" t="inlineStr">
        <is>
          <t>Emprunts obligataires convertibles</t>
        </is>
      </c>
      <c r="F1011" s="227" t="inlineStr">
        <is>
          <t>VICTOIRE</t>
        </is>
      </c>
    </row>
    <row r="1012">
      <c r="A1012" s="227">
        <f>TL[[#This Row],[Société]]&amp;" - "&amp;TL[[#This Row],[Compte]]</f>
        <v/>
      </c>
      <c r="B1012" s="233" t="inlineStr">
        <is>
          <t>163000</t>
        </is>
      </c>
      <c r="C1012" s="227" t="inlineStr">
        <is>
          <t>Autres emprunts obligataires</t>
        </is>
      </c>
      <c r="F1012" s="227" t="inlineStr">
        <is>
          <t>VICTOIRE</t>
        </is>
      </c>
    </row>
    <row r="1013">
      <c r="A1013" s="227">
        <f>TL[[#This Row],[Société]]&amp;" - "&amp;TL[[#This Row],[Compte]]</f>
        <v/>
      </c>
      <c r="B1013" s="233" t="inlineStr">
        <is>
          <t>164000</t>
        </is>
      </c>
      <c r="C1013" s="227" t="inlineStr">
        <is>
          <t>Emprunts auprès établ. de crédit</t>
        </is>
      </c>
      <c r="F1013" s="227" t="inlineStr">
        <is>
          <t>VICTOIRE</t>
        </is>
      </c>
    </row>
    <row r="1014">
      <c r="A1014" s="227">
        <f>TL[[#This Row],[Société]]&amp;" - "&amp;TL[[#This Row],[Compte]]</f>
        <v/>
      </c>
      <c r="B1014" s="233" t="inlineStr">
        <is>
          <t>164100</t>
        </is>
      </c>
      <c r="C1014" s="227" t="inlineStr">
        <is>
          <t>Emprunts ets de crédit à + 5 ans</t>
        </is>
      </c>
      <c r="F1014" s="227" t="inlineStr">
        <is>
          <t>VICTOIRE</t>
        </is>
      </c>
    </row>
    <row r="1015">
      <c r="A1015" s="227">
        <f>TL[[#This Row],[Société]]&amp;" - "&amp;TL[[#This Row],[Compte]]</f>
        <v/>
      </c>
      <c r="B1015" s="233" t="inlineStr">
        <is>
          <t>164110</t>
        </is>
      </c>
      <c r="C1015" s="227" t="inlineStr">
        <is>
          <t>Emprunt n°1 (LT)</t>
        </is>
      </c>
      <c r="F1015" s="227" t="inlineStr">
        <is>
          <t>VICTOIRE</t>
        </is>
      </c>
    </row>
    <row r="1016">
      <c r="A1016" s="227">
        <f>TL[[#This Row],[Société]]&amp;" - "&amp;TL[[#This Row],[Compte]]</f>
        <v/>
      </c>
      <c r="B1016" s="233" t="inlineStr">
        <is>
          <t>164120</t>
        </is>
      </c>
      <c r="C1016" s="227" t="inlineStr">
        <is>
          <t>Emprunt n°2 (LT)</t>
        </is>
      </c>
      <c r="F1016" s="227" t="inlineStr">
        <is>
          <t>VICTOIRE</t>
        </is>
      </c>
    </row>
    <row r="1017">
      <c r="A1017" s="227">
        <f>TL[[#This Row],[Société]]&amp;" - "&amp;TL[[#This Row],[Compte]]</f>
        <v/>
      </c>
      <c r="B1017" s="233" t="inlineStr">
        <is>
          <t>164130</t>
        </is>
      </c>
      <c r="C1017" s="227" t="inlineStr">
        <is>
          <t>Emprunt n°3 (LT)</t>
        </is>
      </c>
      <c r="F1017" s="227" t="inlineStr">
        <is>
          <t>VICTOIRE</t>
        </is>
      </c>
    </row>
    <row r="1018">
      <c r="A1018" s="227">
        <f>TL[[#This Row],[Société]]&amp;" - "&amp;TL[[#This Row],[Compte]]</f>
        <v/>
      </c>
      <c r="B1018" s="233" t="inlineStr">
        <is>
          <t>164140</t>
        </is>
      </c>
      <c r="C1018" s="227" t="inlineStr">
        <is>
          <t>Emprunt n°4 (LT)</t>
        </is>
      </c>
      <c r="F1018" s="227" t="inlineStr">
        <is>
          <t>VICTOIRE</t>
        </is>
      </c>
    </row>
    <row r="1019">
      <c r="A1019" s="227">
        <f>TL[[#This Row],[Société]]&amp;" - "&amp;TL[[#This Row],[Compte]]</f>
        <v/>
      </c>
      <c r="B1019" s="233" t="inlineStr">
        <is>
          <t>164150</t>
        </is>
      </c>
      <c r="C1019" s="227" t="inlineStr">
        <is>
          <t>EMPRUNT CDN 670 K€ -138 06</t>
        </is>
      </c>
      <c r="F1019" s="227" t="inlineStr">
        <is>
          <t>VICTOIRE</t>
        </is>
      </c>
    </row>
    <row r="1020">
      <c r="A1020" s="227">
        <f>TL[[#This Row],[Société]]&amp;" - "&amp;TL[[#This Row],[Compte]]</f>
        <v/>
      </c>
      <c r="B1020" s="233" t="inlineStr">
        <is>
          <t>164151</t>
        </is>
      </c>
      <c r="C1020" s="227" t="inlineStr">
        <is>
          <t>EMPRUNT CDN 47580€ - 138 07</t>
        </is>
      </c>
      <c r="F1020" s="227" t="inlineStr">
        <is>
          <t>VICTOIRE</t>
        </is>
      </c>
    </row>
    <row r="1021">
      <c r="A1021" s="227">
        <f>TL[[#This Row],[Société]]&amp;" - "&amp;TL[[#This Row],[Compte]]</f>
        <v/>
      </c>
      <c r="B1021" s="233" t="inlineStr">
        <is>
          <t>164152</t>
        </is>
      </c>
      <c r="C1021" s="227" t="inlineStr">
        <is>
          <t>EMPRUNT CDN 23283.18€ - 138 02</t>
        </is>
      </c>
      <c r="F1021" s="227" t="inlineStr">
        <is>
          <t>VICTOIRE</t>
        </is>
      </c>
    </row>
    <row r="1022">
      <c r="A1022" s="227">
        <f>TL[[#This Row],[Société]]&amp;" - "&amp;TL[[#This Row],[Compte]]</f>
        <v/>
      </c>
      <c r="B1022" s="233" t="inlineStr">
        <is>
          <t>164153</t>
        </is>
      </c>
      <c r="C1022" s="227" t="inlineStr">
        <is>
          <t>EMPRUNT CDN 10046.50€ - 138 03</t>
        </is>
      </c>
      <c r="F1022" s="227" t="inlineStr">
        <is>
          <t>VICTOIRE</t>
        </is>
      </c>
    </row>
    <row r="1023">
      <c r="A1023" s="227">
        <f>TL[[#This Row],[Société]]&amp;" - "&amp;TL[[#This Row],[Compte]]</f>
        <v/>
      </c>
      <c r="B1023" s="233" t="inlineStr">
        <is>
          <t>164154</t>
        </is>
      </c>
      <c r="C1023" s="227" t="inlineStr">
        <is>
          <t>EMPRUNT CDN 143440€ - 138 08</t>
        </is>
      </c>
      <c r="F1023" s="227" t="inlineStr">
        <is>
          <t>VICTOIRE</t>
        </is>
      </c>
    </row>
    <row r="1024">
      <c r="A1024" s="227">
        <f>TL[[#This Row],[Société]]&amp;" - "&amp;TL[[#This Row],[Compte]]</f>
        <v/>
      </c>
      <c r="B1024" s="233" t="inlineStr">
        <is>
          <t>164700</t>
        </is>
      </c>
      <c r="C1024" s="227" t="inlineStr">
        <is>
          <t>Emprunts ets de crédit à de 1-5 ans</t>
        </is>
      </c>
      <c r="F1024" s="227" t="inlineStr">
        <is>
          <t>VICTOIRE</t>
        </is>
      </c>
    </row>
    <row r="1025">
      <c r="A1025" s="227">
        <f>TL[[#This Row],[Société]]&amp;" - "&amp;TL[[#This Row],[Compte]]</f>
        <v/>
      </c>
      <c r="B1025" s="233" t="inlineStr">
        <is>
          <t>164710</t>
        </is>
      </c>
      <c r="C1025" s="227" t="inlineStr">
        <is>
          <t>Emprunt n°1 (MT)</t>
        </is>
      </c>
      <c r="F1025" s="227" t="inlineStr">
        <is>
          <t>VICTOIRE</t>
        </is>
      </c>
    </row>
    <row r="1026">
      <c r="A1026" s="227">
        <f>TL[[#This Row],[Société]]&amp;" - "&amp;TL[[#This Row],[Compte]]</f>
        <v/>
      </c>
      <c r="B1026" s="233" t="inlineStr">
        <is>
          <t>164720</t>
        </is>
      </c>
      <c r="C1026" s="227" t="inlineStr">
        <is>
          <t>Emprunt n°2 (MT)</t>
        </is>
      </c>
      <c r="F1026" s="227" t="inlineStr">
        <is>
          <t>VICTOIRE</t>
        </is>
      </c>
    </row>
    <row r="1027">
      <c r="A1027" s="227">
        <f>TL[[#This Row],[Société]]&amp;" - "&amp;TL[[#This Row],[Compte]]</f>
        <v/>
      </c>
      <c r="B1027" s="233" t="inlineStr">
        <is>
          <t>164730</t>
        </is>
      </c>
      <c r="C1027" s="227" t="inlineStr">
        <is>
          <t>Emprunt n°3 (MT)</t>
        </is>
      </c>
      <c r="F1027" s="227" t="inlineStr">
        <is>
          <t>VICTOIRE</t>
        </is>
      </c>
    </row>
    <row r="1028">
      <c r="A1028" s="227">
        <f>TL[[#This Row],[Société]]&amp;" - "&amp;TL[[#This Row],[Compte]]</f>
        <v/>
      </c>
      <c r="B1028" s="233" t="inlineStr">
        <is>
          <t>164740</t>
        </is>
      </c>
      <c r="C1028" s="227" t="inlineStr">
        <is>
          <t>Emprunt n°4 (MT)</t>
        </is>
      </c>
      <c r="F1028" s="227" t="inlineStr">
        <is>
          <t>VICTOIRE</t>
        </is>
      </c>
    </row>
    <row r="1029">
      <c r="A1029" s="227">
        <f>TL[[#This Row],[Société]]&amp;" - "&amp;TL[[#This Row],[Compte]]</f>
        <v/>
      </c>
      <c r="B1029" s="233" t="inlineStr">
        <is>
          <t>164750</t>
        </is>
      </c>
      <c r="C1029" s="227" t="inlineStr">
        <is>
          <t>Emprunt n°5 (MT)</t>
        </is>
      </c>
      <c r="F1029" s="227" t="inlineStr">
        <is>
          <t>VICTOIRE</t>
        </is>
      </c>
    </row>
    <row r="1030">
      <c r="A1030" s="227">
        <f>TL[[#This Row],[Société]]&amp;" - "&amp;TL[[#This Row],[Compte]]</f>
        <v/>
      </c>
      <c r="B1030" s="233" t="inlineStr">
        <is>
          <t>164800</t>
        </is>
      </c>
      <c r="C1030" s="227" t="inlineStr">
        <is>
          <t>Emprunts ets de crédit à - 1 an</t>
        </is>
      </c>
      <c r="F1030" s="227" t="inlineStr">
        <is>
          <t>VICTOIRE</t>
        </is>
      </c>
    </row>
    <row r="1031">
      <c r="A1031" s="227">
        <f>TL[[#This Row],[Société]]&amp;" - "&amp;TL[[#This Row],[Compte]]</f>
        <v/>
      </c>
      <c r="B1031" s="233" t="inlineStr">
        <is>
          <t>164810</t>
        </is>
      </c>
      <c r="C1031" s="227" t="inlineStr">
        <is>
          <t>Emprunt n°1 (CT)</t>
        </is>
      </c>
      <c r="F1031" s="227" t="inlineStr">
        <is>
          <t>VICTOIRE</t>
        </is>
      </c>
    </row>
    <row r="1032">
      <c r="A1032" s="227">
        <f>TL[[#This Row],[Société]]&amp;" - "&amp;TL[[#This Row],[Compte]]</f>
        <v/>
      </c>
      <c r="B1032" s="233" t="inlineStr">
        <is>
          <t>164820</t>
        </is>
      </c>
      <c r="C1032" s="227" t="inlineStr">
        <is>
          <t>Emprunt n°2 (CT)</t>
        </is>
      </c>
      <c r="F1032" s="227" t="inlineStr">
        <is>
          <t>VICTOIRE</t>
        </is>
      </c>
    </row>
    <row r="1033">
      <c r="A1033" s="227">
        <f>TL[[#This Row],[Société]]&amp;" - "&amp;TL[[#This Row],[Compte]]</f>
        <v/>
      </c>
      <c r="B1033" s="233" t="inlineStr">
        <is>
          <t>164830</t>
        </is>
      </c>
      <c r="C1033" s="227" t="inlineStr">
        <is>
          <t>Emprunt n°3 (CT)</t>
        </is>
      </c>
      <c r="F1033" s="227" t="inlineStr">
        <is>
          <t>VICTOIRE</t>
        </is>
      </c>
    </row>
    <row r="1034">
      <c r="A1034" s="227">
        <f>TL[[#This Row],[Société]]&amp;" - "&amp;TL[[#This Row],[Compte]]</f>
        <v/>
      </c>
      <c r="B1034" s="233" t="inlineStr">
        <is>
          <t>164840</t>
        </is>
      </c>
      <c r="C1034" s="227" t="inlineStr">
        <is>
          <t>Emprunt n°4 (CT)</t>
        </is>
      </c>
      <c r="F1034" s="227" t="inlineStr">
        <is>
          <t>VICTOIRE</t>
        </is>
      </c>
    </row>
    <row r="1035">
      <c r="A1035" s="227">
        <f>TL[[#This Row],[Société]]&amp;" - "&amp;TL[[#This Row],[Compte]]</f>
        <v/>
      </c>
      <c r="B1035" s="233" t="inlineStr">
        <is>
          <t>164850</t>
        </is>
      </c>
      <c r="C1035" s="227" t="inlineStr">
        <is>
          <t>Emprunt n°5 (CT)</t>
        </is>
      </c>
      <c r="F1035" s="227" t="inlineStr">
        <is>
          <t>VICTOIRE</t>
        </is>
      </c>
    </row>
    <row r="1036">
      <c r="A1036" s="227">
        <f>TL[[#This Row],[Société]]&amp;" - "&amp;TL[[#This Row],[Compte]]</f>
        <v/>
      </c>
      <c r="B1036" s="233" t="inlineStr">
        <is>
          <t>165000</t>
        </is>
      </c>
      <c r="C1036" s="227" t="inlineStr">
        <is>
          <t>Dépôts et cautionnements reçus</t>
        </is>
      </c>
      <c r="F1036" s="227" t="inlineStr">
        <is>
          <t>VICTOIRE</t>
        </is>
      </c>
    </row>
    <row r="1037">
      <c r="A1037" s="227">
        <f>TL[[#This Row],[Société]]&amp;" - "&amp;TL[[#This Row],[Compte]]</f>
        <v/>
      </c>
      <c r="B1037" s="233" t="inlineStr">
        <is>
          <t>165100</t>
        </is>
      </c>
      <c r="C1037" s="227" t="inlineStr">
        <is>
          <t>Dépôts reçus</t>
        </is>
      </c>
      <c r="F1037" s="227" t="inlineStr">
        <is>
          <t>VICTOIRE</t>
        </is>
      </c>
    </row>
    <row r="1038">
      <c r="A1038" s="227">
        <f>TL[[#This Row],[Société]]&amp;" - "&amp;TL[[#This Row],[Compte]]</f>
        <v/>
      </c>
      <c r="B1038" s="233" t="inlineStr">
        <is>
          <t>165500</t>
        </is>
      </c>
      <c r="C1038" s="227" t="inlineStr">
        <is>
          <t>Cautionnements reçus</t>
        </is>
      </c>
      <c r="F1038" s="227" t="inlineStr">
        <is>
          <t>VICTOIRE</t>
        </is>
      </c>
    </row>
    <row r="1039">
      <c r="A1039" s="227">
        <f>TL[[#This Row],[Société]]&amp;" - "&amp;TL[[#This Row],[Compte]]</f>
        <v/>
      </c>
      <c r="B1039" s="233" t="inlineStr">
        <is>
          <t>166000</t>
        </is>
      </c>
      <c r="C1039" s="227" t="inlineStr">
        <is>
          <t>Participation des salariés</t>
        </is>
      </c>
      <c r="F1039" s="227" t="inlineStr">
        <is>
          <t>VICTOIRE</t>
        </is>
      </c>
    </row>
    <row r="1040">
      <c r="A1040" s="227">
        <f>TL[[#This Row],[Société]]&amp;" - "&amp;TL[[#This Row],[Compte]]</f>
        <v/>
      </c>
      <c r="B1040" s="233" t="inlineStr">
        <is>
          <t>166100</t>
        </is>
      </c>
      <c r="C1040" s="227" t="inlineStr">
        <is>
          <t>Participation - Comptes bloqués</t>
        </is>
      </c>
      <c r="F1040" s="227" t="inlineStr">
        <is>
          <t>VICTOIRE</t>
        </is>
      </c>
    </row>
    <row r="1041">
      <c r="A1041" s="227">
        <f>TL[[#This Row],[Société]]&amp;" - "&amp;TL[[#This Row],[Compte]]</f>
        <v/>
      </c>
      <c r="B1041" s="233" t="inlineStr">
        <is>
          <t>166200</t>
        </is>
      </c>
      <c r="C1041" s="227" t="inlineStr">
        <is>
          <t>Fonds de participation</t>
        </is>
      </c>
      <c r="F1041" s="227" t="inlineStr">
        <is>
          <t>VICTOIRE</t>
        </is>
      </c>
    </row>
    <row r="1042">
      <c r="A1042" s="227">
        <f>TL[[#This Row],[Société]]&amp;" - "&amp;TL[[#This Row],[Compte]]</f>
        <v/>
      </c>
      <c r="B1042" s="233" t="inlineStr">
        <is>
          <t>166700</t>
        </is>
      </c>
      <c r="C1042" s="227" t="inlineStr">
        <is>
          <t>Participation des salariés (MT)</t>
        </is>
      </c>
      <c r="F1042" s="227" t="inlineStr">
        <is>
          <t>VICTOIRE</t>
        </is>
      </c>
    </row>
    <row r="1043">
      <c r="A1043" s="227">
        <f>TL[[#This Row],[Société]]&amp;" - "&amp;TL[[#This Row],[Compte]]</f>
        <v/>
      </c>
      <c r="B1043" s="233" t="inlineStr">
        <is>
          <t>166800</t>
        </is>
      </c>
      <c r="C1043" s="227" t="inlineStr">
        <is>
          <t>Participation des salariés (CT)</t>
        </is>
      </c>
      <c r="F1043" s="227" t="inlineStr">
        <is>
          <t>VICTOIRE</t>
        </is>
      </c>
    </row>
    <row r="1044">
      <c r="A1044" s="227">
        <f>TL[[#This Row],[Société]]&amp;" - "&amp;TL[[#This Row],[Compte]]</f>
        <v/>
      </c>
      <c r="B1044" s="233" t="inlineStr">
        <is>
          <t>167100</t>
        </is>
      </c>
      <c r="C1044" s="227" t="inlineStr">
        <is>
          <t>Emissions titres participatifs</t>
        </is>
      </c>
      <c r="F1044" s="227" t="inlineStr">
        <is>
          <t>VICTOIRE</t>
        </is>
      </c>
    </row>
    <row r="1045">
      <c r="A1045" s="227">
        <f>TL[[#This Row],[Société]]&amp;" - "&amp;TL[[#This Row],[Compte]]</f>
        <v/>
      </c>
      <c r="B1045" s="233" t="inlineStr">
        <is>
          <t>167400</t>
        </is>
      </c>
      <c r="C1045" s="227" t="inlineStr">
        <is>
          <t>Avances conditionnées de l'état</t>
        </is>
      </c>
      <c r="F1045" s="227" t="inlineStr">
        <is>
          <t>VICTOIRE</t>
        </is>
      </c>
    </row>
    <row r="1046">
      <c r="A1046" s="227">
        <f>TL[[#This Row],[Société]]&amp;" - "&amp;TL[[#This Row],[Compte]]</f>
        <v/>
      </c>
      <c r="B1046" s="233" t="inlineStr">
        <is>
          <t>167500</t>
        </is>
      </c>
      <c r="C1046" s="227" t="inlineStr">
        <is>
          <t>Emprunts participatifs</t>
        </is>
      </c>
      <c r="F1046" s="227" t="inlineStr">
        <is>
          <t>VICTOIRE</t>
        </is>
      </c>
    </row>
    <row r="1047">
      <c r="A1047" s="227">
        <f>TL[[#This Row],[Société]]&amp;" - "&amp;TL[[#This Row],[Compte]]</f>
        <v/>
      </c>
      <c r="B1047" s="233" t="inlineStr">
        <is>
          <t>167600</t>
        </is>
      </c>
      <c r="C1047" s="227" t="inlineStr">
        <is>
          <t>Emprunts à conditions particulières</t>
        </is>
      </c>
      <c r="F1047" s="227" t="inlineStr">
        <is>
          <t>VICTOIRE</t>
        </is>
      </c>
    </row>
    <row r="1048">
      <c r="A1048" s="227">
        <f>TL[[#This Row],[Société]]&amp;" - "&amp;TL[[#This Row],[Compte]]</f>
        <v/>
      </c>
      <c r="B1048" s="233" t="inlineStr">
        <is>
          <t>168100</t>
        </is>
      </c>
      <c r="C1048" s="227" t="inlineStr">
        <is>
          <t>Autres emprunts</t>
        </is>
      </c>
      <c r="F1048" s="227" t="inlineStr">
        <is>
          <t>VICTOIRE</t>
        </is>
      </c>
    </row>
    <row r="1049">
      <c r="A1049" s="227">
        <f>TL[[#This Row],[Société]]&amp;" - "&amp;TL[[#This Row],[Compte]]</f>
        <v/>
      </c>
      <c r="B1049" s="233" t="inlineStr">
        <is>
          <t>168500</t>
        </is>
      </c>
      <c r="C1049" s="227" t="inlineStr">
        <is>
          <t>Rentes viagères capitalisées</t>
        </is>
      </c>
      <c r="F1049" s="227" t="inlineStr">
        <is>
          <t>VICTOIRE</t>
        </is>
      </c>
    </row>
    <row r="1050">
      <c r="A1050" s="227">
        <f>TL[[#This Row],[Société]]&amp;" - "&amp;TL[[#This Row],[Compte]]</f>
        <v/>
      </c>
      <c r="B1050" s="233" t="inlineStr">
        <is>
          <t>168510</t>
        </is>
      </c>
      <c r="C1050" s="227" t="inlineStr">
        <is>
          <t>Rentes viagères (LT)</t>
        </is>
      </c>
      <c r="F1050" s="227" t="inlineStr">
        <is>
          <t>VICTOIRE</t>
        </is>
      </c>
    </row>
    <row r="1051">
      <c r="A1051" s="227">
        <f>TL[[#This Row],[Société]]&amp;" - "&amp;TL[[#This Row],[Compte]]</f>
        <v/>
      </c>
      <c r="B1051" s="233" t="inlineStr">
        <is>
          <t>168570</t>
        </is>
      </c>
      <c r="C1051" s="227" t="inlineStr">
        <is>
          <t>Rentes viagères (MT)</t>
        </is>
      </c>
      <c r="F1051" s="227" t="inlineStr">
        <is>
          <t>VICTOIRE</t>
        </is>
      </c>
    </row>
    <row r="1052">
      <c r="A1052" s="227">
        <f>TL[[#This Row],[Société]]&amp;" - "&amp;TL[[#This Row],[Compte]]</f>
        <v/>
      </c>
      <c r="B1052" s="233" t="inlineStr">
        <is>
          <t>168580</t>
        </is>
      </c>
      <c r="C1052" s="227" t="inlineStr">
        <is>
          <t>Rentes viagères (CT)</t>
        </is>
      </c>
      <c r="F1052" s="227" t="inlineStr">
        <is>
          <t>VICTOIRE</t>
        </is>
      </c>
    </row>
    <row r="1053">
      <c r="A1053" s="227">
        <f>TL[[#This Row],[Société]]&amp;" - "&amp;TL[[#This Row],[Compte]]</f>
        <v/>
      </c>
      <c r="B1053" s="233" t="inlineStr">
        <is>
          <t>168700</t>
        </is>
      </c>
      <c r="C1053" s="227" t="inlineStr">
        <is>
          <t>Autres dettes</t>
        </is>
      </c>
      <c r="F1053" s="227" t="inlineStr">
        <is>
          <t>VICTOIRE</t>
        </is>
      </c>
    </row>
    <row r="1054">
      <c r="A1054" s="227">
        <f>TL[[#This Row],[Société]]&amp;" - "&amp;TL[[#This Row],[Compte]]</f>
        <v/>
      </c>
      <c r="B1054" s="233" t="inlineStr">
        <is>
          <t>168711</t>
        </is>
      </c>
      <c r="C1054" s="227" t="inlineStr">
        <is>
          <t>Autres dettes 1 (LT)</t>
        </is>
      </c>
      <c r="F1054" s="227" t="inlineStr">
        <is>
          <t>VICTOIRE</t>
        </is>
      </c>
    </row>
    <row r="1055">
      <c r="A1055" s="227">
        <f>TL[[#This Row],[Société]]&amp;" - "&amp;TL[[#This Row],[Compte]]</f>
        <v/>
      </c>
      <c r="B1055" s="233" t="inlineStr">
        <is>
          <t>168712</t>
        </is>
      </c>
      <c r="C1055" s="227" t="inlineStr">
        <is>
          <t>Autres dettes 2 (LT)</t>
        </is>
      </c>
      <c r="F1055" s="227" t="inlineStr">
        <is>
          <t>VICTOIRE</t>
        </is>
      </c>
    </row>
    <row r="1056">
      <c r="A1056" s="227">
        <f>TL[[#This Row],[Société]]&amp;" - "&amp;TL[[#This Row],[Compte]]</f>
        <v/>
      </c>
      <c r="B1056" s="233" t="inlineStr">
        <is>
          <t>168713</t>
        </is>
      </c>
      <c r="C1056" s="227" t="inlineStr">
        <is>
          <t>Autres dettes 3 (LT)</t>
        </is>
      </c>
      <c r="F1056" s="227" t="inlineStr">
        <is>
          <t>VICTOIRE</t>
        </is>
      </c>
    </row>
    <row r="1057">
      <c r="A1057" s="227">
        <f>TL[[#This Row],[Société]]&amp;" - "&amp;TL[[#This Row],[Compte]]</f>
        <v/>
      </c>
      <c r="B1057" s="233" t="inlineStr">
        <is>
          <t>168771</t>
        </is>
      </c>
      <c r="C1057" s="227" t="inlineStr">
        <is>
          <t>Autres dettes 1 (MT)</t>
        </is>
      </c>
      <c r="F1057" s="227" t="inlineStr">
        <is>
          <t>VICTOIRE</t>
        </is>
      </c>
    </row>
    <row r="1058">
      <c r="A1058" s="227">
        <f>TL[[#This Row],[Société]]&amp;" - "&amp;TL[[#This Row],[Compte]]</f>
        <v/>
      </c>
      <c r="B1058" s="233" t="inlineStr">
        <is>
          <t>168772</t>
        </is>
      </c>
      <c r="C1058" s="227" t="inlineStr">
        <is>
          <t>Autres dettes 2 (MT)</t>
        </is>
      </c>
      <c r="F1058" s="227" t="inlineStr">
        <is>
          <t>VICTOIRE</t>
        </is>
      </c>
    </row>
    <row r="1059">
      <c r="A1059" s="227">
        <f>TL[[#This Row],[Société]]&amp;" - "&amp;TL[[#This Row],[Compte]]</f>
        <v/>
      </c>
      <c r="B1059" s="233" t="inlineStr">
        <is>
          <t>168773</t>
        </is>
      </c>
      <c r="C1059" s="227" t="inlineStr">
        <is>
          <t>Autres dettes 3 (MT)</t>
        </is>
      </c>
      <c r="F1059" s="227" t="inlineStr">
        <is>
          <t>VICTOIRE</t>
        </is>
      </c>
    </row>
    <row r="1060">
      <c r="A1060" s="227">
        <f>TL[[#This Row],[Société]]&amp;" - "&amp;TL[[#This Row],[Compte]]</f>
        <v/>
      </c>
      <c r="B1060" s="233" t="inlineStr">
        <is>
          <t>168781</t>
        </is>
      </c>
      <c r="C1060" s="227" t="inlineStr">
        <is>
          <t>Autres dettes 1 (CT)</t>
        </is>
      </c>
      <c r="F1060" s="227" t="inlineStr">
        <is>
          <t>VICTOIRE</t>
        </is>
      </c>
    </row>
    <row r="1061">
      <c r="A1061" s="227">
        <f>TL[[#This Row],[Société]]&amp;" - "&amp;TL[[#This Row],[Compte]]</f>
        <v/>
      </c>
      <c r="B1061" s="233" t="inlineStr">
        <is>
          <t>168782</t>
        </is>
      </c>
      <c r="C1061" s="227" t="inlineStr">
        <is>
          <t>Autres dettes 2 (CT)</t>
        </is>
      </c>
      <c r="F1061" s="227" t="inlineStr">
        <is>
          <t>VICTOIRE</t>
        </is>
      </c>
    </row>
    <row r="1062">
      <c r="A1062" s="227">
        <f>TL[[#This Row],[Société]]&amp;" - "&amp;TL[[#This Row],[Compte]]</f>
        <v/>
      </c>
      <c r="B1062" s="233" t="inlineStr">
        <is>
          <t>168783</t>
        </is>
      </c>
      <c r="C1062" s="227" t="inlineStr">
        <is>
          <t>Autres dettes 3 (CT)</t>
        </is>
      </c>
      <c r="F1062" s="227" t="inlineStr">
        <is>
          <t>VICTOIRE</t>
        </is>
      </c>
    </row>
    <row r="1063">
      <c r="A1063" s="227">
        <f>TL[[#This Row],[Société]]&amp;" - "&amp;TL[[#This Row],[Compte]]</f>
        <v/>
      </c>
      <c r="B1063" s="233" t="inlineStr">
        <is>
          <t>168800</t>
        </is>
      </c>
      <c r="C1063" s="227" t="inlineStr">
        <is>
          <t>Intérêts courus</t>
        </is>
      </c>
      <c r="F1063" s="227" t="inlineStr">
        <is>
          <t>VICTOIRE</t>
        </is>
      </c>
    </row>
    <row r="1064">
      <c r="A1064" s="227">
        <f>TL[[#This Row],[Société]]&amp;" - "&amp;TL[[#This Row],[Compte]]</f>
        <v/>
      </c>
      <c r="B1064" s="233" t="inlineStr">
        <is>
          <t>168810</t>
        </is>
      </c>
      <c r="C1064" s="227" t="inlineStr">
        <is>
          <t>Int.courus s/emp.oblig.convertibles</t>
        </is>
      </c>
      <c r="F1064" s="227" t="inlineStr">
        <is>
          <t>VICTOIRE</t>
        </is>
      </c>
    </row>
    <row r="1065">
      <c r="A1065" s="227">
        <f>TL[[#This Row],[Société]]&amp;" - "&amp;TL[[#This Row],[Compte]]</f>
        <v/>
      </c>
      <c r="B1065" s="233" t="inlineStr">
        <is>
          <t>168820</t>
        </is>
      </c>
      <c r="C1065" s="227" t="inlineStr">
        <is>
          <t>Int.courus s/autres emp.oblig.</t>
        </is>
      </c>
      <c r="F1065" s="227" t="inlineStr">
        <is>
          <t>VICTOIRE</t>
        </is>
      </c>
    </row>
    <row r="1066">
      <c r="A1066" s="227">
        <f>TL[[#This Row],[Société]]&amp;" - "&amp;TL[[#This Row],[Compte]]</f>
        <v/>
      </c>
      <c r="B1066" s="233" t="inlineStr">
        <is>
          <t>168830</t>
        </is>
      </c>
      <c r="C1066" s="227" t="inlineStr">
        <is>
          <t>Int.courus s/aut.emp.obligataires</t>
        </is>
      </c>
      <c r="F1066" s="227" t="inlineStr">
        <is>
          <t>VICTOIRE</t>
        </is>
      </c>
    </row>
    <row r="1067">
      <c r="A1067" s="227">
        <f>TL[[#This Row],[Société]]&amp;" - "&amp;TL[[#This Row],[Compte]]</f>
        <v/>
      </c>
      <c r="B1067" s="233" t="inlineStr">
        <is>
          <t>168840</t>
        </is>
      </c>
      <c r="C1067" s="227" t="inlineStr">
        <is>
          <t>INTERETS COURUS SUR EMPRUNTS</t>
        </is>
      </c>
      <c r="F1067" s="227" t="inlineStr">
        <is>
          <t>VICTOIRE</t>
        </is>
      </c>
    </row>
    <row r="1068">
      <c r="A1068" s="227">
        <f>TL[[#This Row],[Société]]&amp;" - "&amp;TL[[#This Row],[Compte]]</f>
        <v/>
      </c>
      <c r="B1068" s="233" t="inlineStr">
        <is>
          <t>168850</t>
        </is>
      </c>
      <c r="C1068" s="227" t="inlineStr">
        <is>
          <t>Int.courus s/dépôts/caut. reçus</t>
        </is>
      </c>
      <c r="F1068" s="227" t="inlineStr">
        <is>
          <t>VICTOIRE</t>
        </is>
      </c>
    </row>
    <row r="1069">
      <c r="A1069" s="227">
        <f>TL[[#This Row],[Société]]&amp;" - "&amp;TL[[#This Row],[Compte]]</f>
        <v/>
      </c>
      <c r="B1069" s="233" t="inlineStr">
        <is>
          <t>168860</t>
        </is>
      </c>
      <c r="C1069" s="227" t="inlineStr">
        <is>
          <t>Int.courus s/particip.salariés</t>
        </is>
      </c>
      <c r="F1069" s="227" t="inlineStr">
        <is>
          <t>VICTOIRE</t>
        </is>
      </c>
    </row>
    <row r="1070">
      <c r="A1070" s="227">
        <f>TL[[#This Row],[Société]]&amp;" - "&amp;TL[[#This Row],[Compte]]</f>
        <v/>
      </c>
      <c r="B1070" s="233" t="inlineStr">
        <is>
          <t>168870</t>
        </is>
      </c>
      <c r="C1070" s="227" t="inlineStr">
        <is>
          <t>Int.courus s/emp.dettes cond.partic</t>
        </is>
      </c>
      <c r="F1070" s="227" t="inlineStr">
        <is>
          <t>VICTOIRE</t>
        </is>
      </c>
    </row>
    <row r="1071">
      <c r="A1071" s="227">
        <f>TL[[#This Row],[Société]]&amp;" - "&amp;TL[[#This Row],[Compte]]</f>
        <v/>
      </c>
      <c r="B1071" s="233" t="inlineStr">
        <is>
          <t>168875</t>
        </is>
      </c>
      <c r="C1071" s="227" t="inlineStr">
        <is>
          <t>Int.courus s/emprunts participatifs</t>
        </is>
      </c>
      <c r="F1071" s="227" t="inlineStr">
        <is>
          <t>VICTOIRE</t>
        </is>
      </c>
    </row>
    <row r="1072">
      <c r="A1072" s="227">
        <f>TL[[#This Row],[Société]]&amp;" - "&amp;TL[[#This Row],[Compte]]</f>
        <v/>
      </c>
      <c r="B1072" s="233" t="inlineStr">
        <is>
          <t>168880</t>
        </is>
      </c>
      <c r="C1072" s="227" t="inlineStr">
        <is>
          <t>int.courus s/aut.emprunts</t>
        </is>
      </c>
      <c r="F1072" s="227" t="inlineStr">
        <is>
          <t>VICTOIRE</t>
        </is>
      </c>
    </row>
    <row r="1073">
      <c r="A1073" s="227">
        <f>TL[[#This Row],[Société]]&amp;" - "&amp;TL[[#This Row],[Compte]]</f>
        <v/>
      </c>
      <c r="B1073" s="233" t="inlineStr">
        <is>
          <t>169000</t>
        </is>
      </c>
      <c r="C1073" s="227" t="inlineStr">
        <is>
          <t>Primes de rembourst des obligations</t>
        </is>
      </c>
      <c r="F1073" s="227" t="inlineStr">
        <is>
          <t>VICTOIRE</t>
        </is>
      </c>
    </row>
    <row r="1074">
      <c r="A1074" s="227">
        <f>TL[[#This Row],[Société]]&amp;" - "&amp;TL[[#This Row],[Compte]]</f>
        <v/>
      </c>
      <c r="B1074" s="233" t="inlineStr">
        <is>
          <t>171000</t>
        </is>
      </c>
      <c r="C1074" s="227" t="inlineStr">
        <is>
          <t>Dettes rattach. participations (Grp</t>
        </is>
      </c>
      <c r="F1074" s="227" t="inlineStr">
        <is>
          <t>VICTOIRE</t>
        </is>
      </c>
    </row>
    <row r="1075">
      <c r="A1075" s="227">
        <f>TL[[#This Row],[Société]]&amp;" - "&amp;TL[[#This Row],[Compte]]</f>
        <v/>
      </c>
      <c r="B1075" s="233" t="inlineStr">
        <is>
          <t>171110</t>
        </is>
      </c>
      <c r="C1075" s="227" t="inlineStr">
        <is>
          <t>Dette 1 (LT)</t>
        </is>
      </c>
      <c r="F1075" s="227" t="inlineStr">
        <is>
          <t>VICTOIRE</t>
        </is>
      </c>
    </row>
    <row r="1076">
      <c r="A1076" s="227">
        <f>TL[[#This Row],[Société]]&amp;" - "&amp;TL[[#This Row],[Compte]]</f>
        <v/>
      </c>
      <c r="B1076" s="233" t="inlineStr">
        <is>
          <t>171120</t>
        </is>
      </c>
      <c r="C1076" s="227" t="inlineStr">
        <is>
          <t>Dette 2 (LT)</t>
        </is>
      </c>
      <c r="F1076" s="227" t="inlineStr">
        <is>
          <t>VICTOIRE</t>
        </is>
      </c>
    </row>
    <row r="1077">
      <c r="A1077" s="227">
        <f>TL[[#This Row],[Société]]&amp;" - "&amp;TL[[#This Row],[Compte]]</f>
        <v/>
      </c>
      <c r="B1077" s="233" t="inlineStr">
        <is>
          <t>171710</t>
        </is>
      </c>
      <c r="C1077" s="227" t="inlineStr">
        <is>
          <t>Dette 1 (MT)</t>
        </is>
      </c>
      <c r="F1077" s="227" t="inlineStr">
        <is>
          <t>VICTOIRE</t>
        </is>
      </c>
    </row>
    <row r="1078">
      <c r="A1078" s="227">
        <f>TL[[#This Row],[Société]]&amp;" - "&amp;TL[[#This Row],[Compte]]</f>
        <v/>
      </c>
      <c r="B1078" s="233" t="inlineStr">
        <is>
          <t>171720</t>
        </is>
      </c>
      <c r="C1078" s="227" t="inlineStr">
        <is>
          <t>Dette 2 (MT)</t>
        </is>
      </c>
      <c r="F1078" s="227" t="inlineStr">
        <is>
          <t>VICTOIRE</t>
        </is>
      </c>
    </row>
    <row r="1079">
      <c r="A1079" s="227">
        <f>TL[[#This Row],[Société]]&amp;" - "&amp;TL[[#This Row],[Compte]]</f>
        <v/>
      </c>
      <c r="B1079" s="233" t="inlineStr">
        <is>
          <t>171810</t>
        </is>
      </c>
      <c r="C1079" s="227" t="inlineStr">
        <is>
          <t>Dette 1 (CT)</t>
        </is>
      </c>
      <c r="F1079" s="227" t="inlineStr">
        <is>
          <t>VICTOIRE</t>
        </is>
      </c>
    </row>
    <row r="1080">
      <c r="A1080" s="227">
        <f>TL[[#This Row],[Société]]&amp;" - "&amp;TL[[#This Row],[Compte]]</f>
        <v/>
      </c>
      <c r="B1080" s="233" t="inlineStr">
        <is>
          <t>171820</t>
        </is>
      </c>
      <c r="C1080" s="227" t="inlineStr">
        <is>
          <t>Dette 2 (CT)</t>
        </is>
      </c>
      <c r="F1080" s="227" t="inlineStr">
        <is>
          <t>VICTOIRE</t>
        </is>
      </c>
    </row>
    <row r="1081">
      <c r="A1081" s="227">
        <f>TL[[#This Row],[Société]]&amp;" - "&amp;TL[[#This Row],[Compte]]</f>
        <v/>
      </c>
      <c r="B1081" s="233" t="inlineStr">
        <is>
          <t>174000</t>
        </is>
      </c>
      <c r="C1081" s="227" t="inlineStr">
        <is>
          <t>Dettes rattach. participations (HG)</t>
        </is>
      </c>
      <c r="F1081" s="227" t="inlineStr">
        <is>
          <t>VICTOIRE</t>
        </is>
      </c>
    </row>
    <row r="1082">
      <c r="A1082" s="227">
        <f>TL[[#This Row],[Société]]&amp;" - "&amp;TL[[#This Row],[Compte]]</f>
        <v/>
      </c>
      <c r="B1082" s="233" t="inlineStr">
        <is>
          <t>174110</t>
        </is>
      </c>
      <c r="C1082" s="227" t="inlineStr">
        <is>
          <t>Dette 1 (LT)</t>
        </is>
      </c>
      <c r="F1082" s="227" t="inlineStr">
        <is>
          <t>VICTOIRE</t>
        </is>
      </c>
    </row>
    <row r="1083">
      <c r="A1083" s="227">
        <f>TL[[#This Row],[Société]]&amp;" - "&amp;TL[[#This Row],[Compte]]</f>
        <v/>
      </c>
      <c r="B1083" s="233" t="inlineStr">
        <is>
          <t>174710</t>
        </is>
      </c>
      <c r="C1083" s="227" t="inlineStr">
        <is>
          <t>Dette 1 (MT)</t>
        </is>
      </c>
      <c r="F1083" s="227" t="inlineStr">
        <is>
          <t>VICTOIRE</t>
        </is>
      </c>
    </row>
    <row r="1084">
      <c r="A1084" s="227">
        <f>TL[[#This Row],[Société]]&amp;" - "&amp;TL[[#This Row],[Compte]]</f>
        <v/>
      </c>
      <c r="B1084" s="233" t="inlineStr">
        <is>
          <t>174810</t>
        </is>
      </c>
      <c r="C1084" s="227" t="inlineStr">
        <is>
          <t>Dette 1 (CT)</t>
        </is>
      </c>
      <c r="F1084" s="227" t="inlineStr">
        <is>
          <t>VICTOIRE</t>
        </is>
      </c>
    </row>
    <row r="1085">
      <c r="A1085" s="227">
        <f>TL[[#This Row],[Société]]&amp;" - "&amp;TL[[#This Row],[Compte]]</f>
        <v/>
      </c>
      <c r="B1085" s="233" t="inlineStr">
        <is>
          <t>178000</t>
        </is>
      </c>
      <c r="C1085" s="227" t="inlineStr">
        <is>
          <t>Dettes rattachées ste en particip.</t>
        </is>
      </c>
      <c r="F1085" s="227" t="inlineStr">
        <is>
          <t>VICTOIRE</t>
        </is>
      </c>
    </row>
    <row r="1086">
      <c r="A1086" s="227">
        <f>TL[[#This Row],[Société]]&amp;" - "&amp;TL[[#This Row],[Compte]]</f>
        <v/>
      </c>
      <c r="B1086" s="233" t="inlineStr">
        <is>
          <t>178100</t>
        </is>
      </c>
      <c r="C1086" s="227" t="inlineStr">
        <is>
          <t>Principal</t>
        </is>
      </c>
      <c r="F1086" s="227" t="inlineStr">
        <is>
          <t>VICTOIRE</t>
        </is>
      </c>
    </row>
    <row r="1087">
      <c r="A1087" s="227">
        <f>TL[[#This Row],[Société]]&amp;" - "&amp;TL[[#This Row],[Compte]]</f>
        <v/>
      </c>
      <c r="B1087" s="233" t="inlineStr">
        <is>
          <t>178800</t>
        </is>
      </c>
      <c r="C1087" s="227" t="inlineStr">
        <is>
          <t>Intérêts courus</t>
        </is>
      </c>
      <c r="F1087" s="227" t="inlineStr">
        <is>
          <t>VICTOIRE</t>
        </is>
      </c>
    </row>
    <row r="1088">
      <c r="A1088" s="227">
        <f>TL[[#This Row],[Société]]&amp;" - "&amp;TL[[#This Row],[Compte]]</f>
        <v/>
      </c>
      <c r="B1088" s="233" t="inlineStr">
        <is>
          <t>181000</t>
        </is>
      </c>
      <c r="C1088" s="227" t="inlineStr">
        <is>
          <t>Comptes de liaison établissements</t>
        </is>
      </c>
      <c r="F1088" s="227" t="inlineStr">
        <is>
          <t>VICTOIRE</t>
        </is>
      </c>
    </row>
    <row r="1089">
      <c r="A1089" s="227">
        <f>TL[[#This Row],[Société]]&amp;" - "&amp;TL[[#This Row],[Compte]]</f>
        <v/>
      </c>
      <c r="B1089" s="233" t="inlineStr">
        <is>
          <t>186000</t>
        </is>
      </c>
      <c r="C1089" s="227" t="inlineStr">
        <is>
          <t>Biens &amp; services échangés (charges)</t>
        </is>
      </c>
      <c r="F1089" s="227" t="inlineStr">
        <is>
          <t>VICTOIRE</t>
        </is>
      </c>
    </row>
    <row r="1090">
      <c r="A1090" s="227">
        <f>TL[[#This Row],[Société]]&amp;" - "&amp;TL[[#This Row],[Compte]]</f>
        <v/>
      </c>
      <c r="B1090" s="233" t="inlineStr">
        <is>
          <t>187000</t>
        </is>
      </c>
      <c r="C1090" s="227" t="inlineStr">
        <is>
          <t>Biens &amp; services échangés (produit)</t>
        </is>
      </c>
      <c r="F1090" s="227" t="inlineStr">
        <is>
          <t>VICTOIRE</t>
        </is>
      </c>
    </row>
    <row r="1091">
      <c r="A1091" s="227">
        <f>TL[[#This Row],[Société]]&amp;" - "&amp;TL[[#This Row],[Compte]]</f>
        <v/>
      </c>
      <c r="B1091" s="233" t="inlineStr">
        <is>
          <t>188000</t>
        </is>
      </c>
      <c r="C1091" s="227" t="inlineStr">
        <is>
          <t>Comptes de liaison stes</t>
        </is>
      </c>
      <c r="F1091" s="227" t="inlineStr">
        <is>
          <t>VICTOIRE</t>
        </is>
      </c>
    </row>
    <row r="1092">
      <c r="A1092" s="227">
        <f>TL[[#This Row],[Société]]&amp;" - "&amp;TL[[#This Row],[Compte]]</f>
        <v/>
      </c>
      <c r="B1092" s="233" t="inlineStr">
        <is>
          <t>201100</t>
        </is>
      </c>
      <c r="C1092" s="227" t="inlineStr">
        <is>
          <t>Frais de constitution</t>
        </is>
      </c>
      <c r="F1092" s="227" t="inlineStr">
        <is>
          <t>VICTOIRE</t>
        </is>
      </c>
    </row>
    <row r="1093">
      <c r="A1093" s="227">
        <f>TL[[#This Row],[Société]]&amp;" - "&amp;TL[[#This Row],[Compte]]</f>
        <v/>
      </c>
      <c r="B1093" s="233" t="inlineStr">
        <is>
          <t>201200</t>
        </is>
      </c>
      <c r="C1093" s="227" t="inlineStr">
        <is>
          <t>Frais de premier établissement</t>
        </is>
      </c>
      <c r="F1093" s="227" t="inlineStr">
        <is>
          <t>VICTOIRE</t>
        </is>
      </c>
    </row>
    <row r="1094">
      <c r="A1094" s="227">
        <f>TL[[#This Row],[Société]]&amp;" - "&amp;TL[[#This Row],[Compte]]</f>
        <v/>
      </c>
      <c r="B1094" s="233" t="inlineStr">
        <is>
          <t>201300</t>
        </is>
      </c>
      <c r="C1094" s="227" t="inlineStr">
        <is>
          <t>Frais d'augmentation de capital</t>
        </is>
      </c>
      <c r="F1094" s="227" t="inlineStr">
        <is>
          <t>VICTOIRE</t>
        </is>
      </c>
    </row>
    <row r="1095">
      <c r="A1095" s="227">
        <f>TL[[#This Row],[Société]]&amp;" - "&amp;TL[[#This Row],[Compte]]</f>
        <v/>
      </c>
      <c r="B1095" s="233" t="inlineStr">
        <is>
          <t>203000</t>
        </is>
      </c>
      <c r="C1095" s="227" t="inlineStr">
        <is>
          <t>Frais de recherche et développement</t>
        </is>
      </c>
      <c r="F1095" s="227" t="inlineStr">
        <is>
          <t>VICTOIRE</t>
        </is>
      </c>
    </row>
    <row r="1096">
      <c r="A1096" s="227">
        <f>TL[[#This Row],[Société]]&amp;" - "&amp;TL[[#This Row],[Compte]]</f>
        <v/>
      </c>
      <c r="B1096" s="233" t="inlineStr">
        <is>
          <t>205000</t>
        </is>
      </c>
      <c r="C1096" s="227" t="inlineStr">
        <is>
          <t>CONCESSIONS ET BREVETS LICENCE</t>
        </is>
      </c>
      <c r="F1096" s="227" t="inlineStr">
        <is>
          <t>VICTOIRE</t>
        </is>
      </c>
    </row>
    <row r="1097">
      <c r="A1097" s="227">
        <f>TL[[#This Row],[Société]]&amp;" - "&amp;TL[[#This Row],[Compte]]</f>
        <v/>
      </c>
      <c r="B1097" s="233" t="inlineStr">
        <is>
          <t>205100</t>
        </is>
      </c>
      <c r="C1097" s="227" t="inlineStr">
        <is>
          <t>Logiciels</t>
        </is>
      </c>
      <c r="F1097" s="227" t="inlineStr">
        <is>
          <t>VICTOIRE</t>
        </is>
      </c>
    </row>
    <row r="1098">
      <c r="A1098" s="227">
        <f>TL[[#This Row],[Société]]&amp;" - "&amp;TL[[#This Row],[Compte]]</f>
        <v/>
      </c>
      <c r="B1098" s="233" t="inlineStr">
        <is>
          <t>206000</t>
        </is>
      </c>
      <c r="C1098" s="227" t="inlineStr">
        <is>
          <t>Droit au bail</t>
        </is>
      </c>
      <c r="F1098" s="227" t="inlineStr">
        <is>
          <t>VICTOIRE</t>
        </is>
      </c>
    </row>
    <row r="1099">
      <c r="A1099" s="227">
        <f>TL[[#This Row],[Société]]&amp;" - "&amp;TL[[#This Row],[Compte]]</f>
        <v/>
      </c>
      <c r="B1099" s="233" t="inlineStr">
        <is>
          <t>207000</t>
        </is>
      </c>
      <c r="C1099" s="227" t="inlineStr">
        <is>
          <t>Fonds commercial</t>
        </is>
      </c>
      <c r="F1099" s="227" t="inlineStr">
        <is>
          <t>VICTOIRE</t>
        </is>
      </c>
    </row>
    <row r="1100">
      <c r="A1100" s="227">
        <f>TL[[#This Row],[Société]]&amp;" - "&amp;TL[[#This Row],[Compte]]</f>
        <v/>
      </c>
      <c r="B1100" s="233" t="inlineStr">
        <is>
          <t>208000</t>
        </is>
      </c>
      <c r="C1100" s="227" t="inlineStr">
        <is>
          <t>Autres immobilisat. incorporelles</t>
        </is>
      </c>
      <c r="F1100" s="227" t="inlineStr">
        <is>
          <t>VICTOIRE</t>
        </is>
      </c>
    </row>
    <row r="1101">
      <c r="A1101" s="227">
        <f>TL[[#This Row],[Société]]&amp;" - "&amp;TL[[#This Row],[Compte]]</f>
        <v/>
      </c>
      <c r="B1101" s="233" t="inlineStr">
        <is>
          <t>211000</t>
        </is>
      </c>
      <c r="C1101" s="227" t="inlineStr">
        <is>
          <t>Terrains</t>
        </is>
      </c>
      <c r="F1101" s="227" t="inlineStr">
        <is>
          <t>VICTOIRE</t>
        </is>
      </c>
    </row>
    <row r="1102">
      <c r="A1102" s="227">
        <f>TL[[#This Row],[Société]]&amp;" - "&amp;TL[[#This Row],[Compte]]</f>
        <v/>
      </c>
      <c r="B1102" s="233" t="inlineStr">
        <is>
          <t>212000</t>
        </is>
      </c>
      <c r="C1102" s="227" t="inlineStr">
        <is>
          <t>Agenct. &amp; aménagt. terrains</t>
        </is>
      </c>
      <c r="F1102" s="227" t="inlineStr">
        <is>
          <t>VICTOIRE</t>
        </is>
      </c>
    </row>
    <row r="1103">
      <c r="A1103" s="227">
        <f>TL[[#This Row],[Société]]&amp;" - "&amp;TL[[#This Row],[Compte]]</f>
        <v/>
      </c>
      <c r="B1103" s="233" t="inlineStr">
        <is>
          <t>213100</t>
        </is>
      </c>
      <c r="C1103" s="227" t="inlineStr">
        <is>
          <t>Batiments</t>
        </is>
      </c>
      <c r="F1103" s="227" t="inlineStr">
        <is>
          <t>VICTOIRE</t>
        </is>
      </c>
    </row>
    <row r="1104">
      <c r="A1104" s="227">
        <f>TL[[#This Row],[Société]]&amp;" - "&amp;TL[[#This Row],[Compte]]</f>
        <v/>
      </c>
      <c r="B1104" s="233" t="inlineStr">
        <is>
          <t>213500</t>
        </is>
      </c>
      <c r="C1104" s="227" t="inlineStr">
        <is>
          <t>AAI DES CONSTRUCTIONS</t>
        </is>
      </c>
      <c r="F1104" s="227" t="inlineStr">
        <is>
          <t>VICTOIRE</t>
        </is>
      </c>
    </row>
    <row r="1105">
      <c r="A1105" s="227">
        <f>TL[[#This Row],[Société]]&amp;" - "&amp;TL[[#This Row],[Compte]]</f>
        <v/>
      </c>
      <c r="B1105" s="233" t="inlineStr">
        <is>
          <t>213800</t>
        </is>
      </c>
      <c r="C1105" s="227" t="inlineStr">
        <is>
          <t>Ouvrages d'infrastructure</t>
        </is>
      </c>
      <c r="F1105" s="227" t="inlineStr">
        <is>
          <t>VICTOIRE</t>
        </is>
      </c>
    </row>
    <row r="1106">
      <c r="A1106" s="227">
        <f>TL[[#This Row],[Société]]&amp;" - "&amp;TL[[#This Row],[Compte]]</f>
        <v/>
      </c>
      <c r="B1106" s="233" t="inlineStr">
        <is>
          <t>214100</t>
        </is>
      </c>
      <c r="C1106" s="227" t="inlineStr">
        <is>
          <t>Constructions sur sol d'autrui</t>
        </is>
      </c>
      <c r="F1106" s="227" t="inlineStr">
        <is>
          <t>VICTOIRE</t>
        </is>
      </c>
    </row>
    <row r="1107">
      <c r="A1107" s="227">
        <f>TL[[#This Row],[Société]]&amp;" - "&amp;TL[[#This Row],[Compte]]</f>
        <v/>
      </c>
      <c r="B1107" s="233" t="inlineStr">
        <is>
          <t>214500</t>
        </is>
      </c>
      <c r="C1107" s="227" t="inlineStr">
        <is>
          <t>Agencements const s/ sol d'autrui</t>
        </is>
      </c>
      <c r="F1107" s="227" t="inlineStr">
        <is>
          <t>VICTOIRE</t>
        </is>
      </c>
    </row>
    <row r="1108">
      <c r="A1108" s="227">
        <f>TL[[#This Row],[Société]]&amp;" - "&amp;TL[[#This Row],[Compte]]</f>
        <v/>
      </c>
      <c r="B1108" s="233" t="inlineStr">
        <is>
          <t>215100</t>
        </is>
      </c>
      <c r="C1108" s="227" t="inlineStr">
        <is>
          <t>Installations complexes spécialis.</t>
        </is>
      </c>
      <c r="F1108" s="227" t="inlineStr">
        <is>
          <t>VICTOIRE</t>
        </is>
      </c>
    </row>
    <row r="1109">
      <c r="A1109" s="227">
        <f>TL[[#This Row],[Société]]&amp;" - "&amp;TL[[#This Row],[Compte]]</f>
        <v/>
      </c>
      <c r="B1109" s="233" t="inlineStr">
        <is>
          <t>215300</t>
        </is>
      </c>
      <c r="C1109" s="227" t="inlineStr">
        <is>
          <t>Installations à caractère spécifiq.</t>
        </is>
      </c>
      <c r="F1109" s="227" t="inlineStr">
        <is>
          <t>VICTOIRE</t>
        </is>
      </c>
    </row>
    <row r="1110">
      <c r="A1110" s="227">
        <f>TL[[#This Row],[Société]]&amp;" - "&amp;TL[[#This Row],[Compte]]</f>
        <v/>
      </c>
      <c r="B1110" s="233" t="inlineStr">
        <is>
          <t>215400</t>
        </is>
      </c>
      <c r="C1110" s="227" t="inlineStr">
        <is>
          <t>MATERIEL DE CUISINE</t>
        </is>
      </c>
      <c r="F1110" s="227" t="inlineStr">
        <is>
          <t>VICTOIRE</t>
        </is>
      </c>
    </row>
    <row r="1111">
      <c r="A1111" s="227">
        <f>TL[[#This Row],[Société]]&amp;" - "&amp;TL[[#This Row],[Compte]]</f>
        <v/>
      </c>
      <c r="B1111" s="233" t="inlineStr">
        <is>
          <t>215410</t>
        </is>
      </c>
      <c r="C1111" s="227" t="inlineStr">
        <is>
          <t>MATERIEL ET OUTILLAGE DIVERS</t>
        </is>
      </c>
      <c r="F1111" s="227" t="inlineStr">
        <is>
          <t>VICTOIRE</t>
        </is>
      </c>
    </row>
    <row r="1112">
      <c r="A1112" s="227">
        <f>TL[[#This Row],[Société]]&amp;" - "&amp;TL[[#This Row],[Compte]]</f>
        <v/>
      </c>
      <c r="B1112" s="233" t="inlineStr">
        <is>
          <t>215500</t>
        </is>
      </c>
      <c r="C1112" s="227" t="inlineStr">
        <is>
          <t>Outillage industriel</t>
        </is>
      </c>
      <c r="F1112" s="227" t="inlineStr">
        <is>
          <t>VICTOIRE</t>
        </is>
      </c>
    </row>
    <row r="1113">
      <c r="A1113" s="227">
        <f>TL[[#This Row],[Société]]&amp;" - "&amp;TL[[#This Row],[Compte]]</f>
        <v/>
      </c>
      <c r="B1113" s="233" t="inlineStr">
        <is>
          <t>215700</t>
        </is>
      </c>
      <c r="C1113" s="227" t="inlineStr">
        <is>
          <t>Agenct.aménagt.mat. &amp; outil. indust</t>
        </is>
      </c>
      <c r="F1113" s="227" t="inlineStr">
        <is>
          <t>VICTOIRE</t>
        </is>
      </c>
    </row>
    <row r="1114">
      <c r="A1114" s="227">
        <f>TL[[#This Row],[Société]]&amp;" - "&amp;TL[[#This Row],[Compte]]</f>
        <v/>
      </c>
      <c r="B1114" s="233" t="inlineStr">
        <is>
          <t>217000</t>
        </is>
      </c>
      <c r="C1114" s="227" t="inlineStr">
        <is>
          <t>Comptes spécifiques</t>
        </is>
      </c>
      <c r="F1114" s="227" t="inlineStr">
        <is>
          <t>VICTOIRE</t>
        </is>
      </c>
    </row>
    <row r="1115">
      <c r="A1115" s="227">
        <f>TL[[#This Row],[Société]]&amp;" - "&amp;TL[[#This Row],[Compte]]</f>
        <v/>
      </c>
      <c r="B1115" s="233" t="inlineStr">
        <is>
          <t>218100</t>
        </is>
      </c>
      <c r="C1115" s="227" t="inlineStr">
        <is>
          <t>INSTALLATION &amp; AGENCEMENT</t>
        </is>
      </c>
      <c r="F1115" s="227" t="inlineStr">
        <is>
          <t>VICTOIRE</t>
        </is>
      </c>
    </row>
    <row r="1116">
      <c r="A1116" s="227">
        <f>TL[[#This Row],[Société]]&amp;" - "&amp;TL[[#This Row],[Compte]]</f>
        <v/>
      </c>
      <c r="B1116" s="233" t="inlineStr">
        <is>
          <t>218200</t>
        </is>
      </c>
      <c r="C1116" s="227" t="inlineStr">
        <is>
          <t>MATERIEL DE TRANSPORT</t>
        </is>
      </c>
      <c r="F1116" s="227" t="inlineStr">
        <is>
          <t>VICTOIRE</t>
        </is>
      </c>
    </row>
    <row r="1117">
      <c r="A1117" s="227">
        <f>TL[[#This Row],[Société]]&amp;" - "&amp;TL[[#This Row],[Compte]]</f>
        <v/>
      </c>
      <c r="B1117" s="233" t="inlineStr">
        <is>
          <t>218300</t>
        </is>
      </c>
      <c r="C1117" s="227" t="inlineStr">
        <is>
          <t>MATERIEL DE BUREAU ET INFORMAT</t>
        </is>
      </c>
      <c r="F1117" s="227" t="inlineStr">
        <is>
          <t>VICTOIRE</t>
        </is>
      </c>
    </row>
    <row r="1118">
      <c r="A1118" s="227">
        <f>TL[[#This Row],[Société]]&amp;" - "&amp;TL[[#This Row],[Compte]]</f>
        <v/>
      </c>
      <c r="B1118" s="233" t="inlineStr">
        <is>
          <t>218310</t>
        </is>
      </c>
      <c r="C1118" s="227" t="inlineStr">
        <is>
          <t>Matériel informatique</t>
        </is>
      </c>
      <c r="F1118" s="227" t="inlineStr">
        <is>
          <t>VICTOIRE</t>
        </is>
      </c>
    </row>
    <row r="1119">
      <c r="A1119" s="227">
        <f>TL[[#This Row],[Société]]&amp;" - "&amp;TL[[#This Row],[Compte]]</f>
        <v/>
      </c>
      <c r="B1119" s="233" t="inlineStr">
        <is>
          <t>218400</t>
        </is>
      </c>
      <c r="C1119" s="227" t="inlineStr">
        <is>
          <t>MOBILIER RESTAURANT</t>
        </is>
      </c>
      <c r="F1119" s="227" t="inlineStr">
        <is>
          <t>VICTOIRE</t>
        </is>
      </c>
    </row>
    <row r="1120">
      <c r="A1120" s="227">
        <f>TL[[#This Row],[Société]]&amp;" - "&amp;TL[[#This Row],[Compte]]</f>
        <v/>
      </c>
      <c r="B1120" s="233" t="inlineStr">
        <is>
          <t>218500</t>
        </is>
      </c>
      <c r="C1120" s="227" t="inlineStr">
        <is>
          <t>Cheptel</t>
        </is>
      </c>
      <c r="F1120" s="227" t="inlineStr">
        <is>
          <t>VICTOIRE</t>
        </is>
      </c>
    </row>
    <row r="1121">
      <c r="A1121" s="227">
        <f>TL[[#This Row],[Société]]&amp;" - "&amp;TL[[#This Row],[Compte]]</f>
        <v/>
      </c>
      <c r="B1121" s="233" t="inlineStr">
        <is>
          <t>218600</t>
        </is>
      </c>
      <c r="C1121" s="227" t="inlineStr">
        <is>
          <t>Emballages récupérables</t>
        </is>
      </c>
      <c r="F1121" s="227" t="inlineStr">
        <is>
          <t>VICTOIRE</t>
        </is>
      </c>
    </row>
    <row r="1122">
      <c r="A1122" s="227">
        <f>TL[[#This Row],[Société]]&amp;" - "&amp;TL[[#This Row],[Compte]]</f>
        <v/>
      </c>
      <c r="B1122" s="233" t="inlineStr">
        <is>
          <t>218800</t>
        </is>
      </c>
      <c r="C1122" s="227" t="inlineStr">
        <is>
          <t>Autres matériels</t>
        </is>
      </c>
      <c r="F1122" s="227" t="inlineStr">
        <is>
          <t>VICTOIRE</t>
        </is>
      </c>
    </row>
    <row r="1123">
      <c r="A1123" s="227">
        <f>TL[[#This Row],[Société]]&amp;" - "&amp;TL[[#This Row],[Compte]]</f>
        <v/>
      </c>
      <c r="B1123" s="233" t="inlineStr">
        <is>
          <t>220000</t>
        </is>
      </c>
      <c r="C1123" s="227" t="inlineStr">
        <is>
          <t>Immobilisations mises en concession</t>
        </is>
      </c>
      <c r="F1123" s="227" t="inlineStr">
        <is>
          <t>VICTOIRE</t>
        </is>
      </c>
    </row>
    <row r="1124">
      <c r="A1124" s="227">
        <f>TL[[#This Row],[Société]]&amp;" - "&amp;TL[[#This Row],[Compte]]</f>
        <v/>
      </c>
      <c r="B1124" s="233" t="inlineStr">
        <is>
          <t>229000</t>
        </is>
      </c>
      <c r="C1124" s="227" t="inlineStr">
        <is>
          <t>Apport du concédant à titre gratuit</t>
        </is>
      </c>
      <c r="F1124" s="227" t="inlineStr">
        <is>
          <t>VICTOIRE</t>
        </is>
      </c>
    </row>
    <row r="1125">
      <c r="A1125" s="227">
        <f>TL[[#This Row],[Société]]&amp;" - "&amp;TL[[#This Row],[Compte]]</f>
        <v/>
      </c>
      <c r="B1125" s="233" t="inlineStr">
        <is>
          <t>231000</t>
        </is>
      </c>
      <c r="C1125" s="227" t="inlineStr">
        <is>
          <t>Immobilisat. corporelles en cours</t>
        </is>
      </c>
      <c r="F1125" s="227" t="inlineStr">
        <is>
          <t>VICTOIRE</t>
        </is>
      </c>
    </row>
    <row r="1126">
      <c r="A1126" s="227">
        <f>TL[[#This Row],[Société]]&amp;" - "&amp;TL[[#This Row],[Compte]]</f>
        <v/>
      </c>
      <c r="B1126" s="233" t="inlineStr">
        <is>
          <t>231200</t>
        </is>
      </c>
      <c r="C1126" s="227" t="inlineStr">
        <is>
          <t>Terrains en cours</t>
        </is>
      </c>
      <c r="F1126" s="227" t="inlineStr">
        <is>
          <t>VICTOIRE</t>
        </is>
      </c>
    </row>
    <row r="1127">
      <c r="A1127" s="227">
        <f>TL[[#This Row],[Société]]&amp;" - "&amp;TL[[#This Row],[Compte]]</f>
        <v/>
      </c>
      <c r="B1127" s="233" t="inlineStr">
        <is>
          <t>231300</t>
        </is>
      </c>
      <c r="C1127" s="227" t="inlineStr">
        <is>
          <t>Constructions en cours</t>
        </is>
      </c>
      <c r="F1127" s="227" t="inlineStr">
        <is>
          <t>VICTOIRE</t>
        </is>
      </c>
    </row>
    <row r="1128">
      <c r="A1128" s="227">
        <f>TL[[#This Row],[Société]]&amp;" - "&amp;TL[[#This Row],[Compte]]</f>
        <v/>
      </c>
      <c r="B1128" s="233" t="inlineStr">
        <is>
          <t>231500</t>
        </is>
      </c>
      <c r="C1128" s="227" t="inlineStr">
        <is>
          <t>Installations techniques en cours</t>
        </is>
      </c>
      <c r="F1128" s="227" t="inlineStr">
        <is>
          <t>VICTOIRE</t>
        </is>
      </c>
    </row>
    <row r="1129">
      <c r="A1129" s="227">
        <f>TL[[#This Row],[Société]]&amp;" - "&amp;TL[[#This Row],[Compte]]</f>
        <v/>
      </c>
      <c r="B1129" s="233" t="inlineStr">
        <is>
          <t>231800</t>
        </is>
      </c>
      <c r="C1129" s="227" t="inlineStr">
        <is>
          <t>Autres immobilisations en cours</t>
        </is>
      </c>
      <c r="F1129" s="227" t="inlineStr">
        <is>
          <t>VICTOIRE</t>
        </is>
      </c>
    </row>
    <row r="1130">
      <c r="A1130" s="227">
        <f>TL[[#This Row],[Société]]&amp;" - "&amp;TL[[#This Row],[Compte]]</f>
        <v/>
      </c>
      <c r="B1130" s="233" t="inlineStr">
        <is>
          <t>232000</t>
        </is>
      </c>
      <c r="C1130" s="227" t="inlineStr">
        <is>
          <t>Immobilisat. incorporelles en cours</t>
        </is>
      </c>
      <c r="F1130" s="227" t="inlineStr">
        <is>
          <t>VICTOIRE</t>
        </is>
      </c>
    </row>
    <row r="1131">
      <c r="A1131" s="227">
        <f>TL[[#This Row],[Société]]&amp;" - "&amp;TL[[#This Row],[Compte]]</f>
        <v/>
      </c>
      <c r="B1131" s="233" t="inlineStr">
        <is>
          <t>237000</t>
        </is>
      </c>
      <c r="C1131" s="227" t="inlineStr">
        <is>
          <t>Avances sur immobilisat. incorporel</t>
        </is>
      </c>
      <c r="F1131" s="227" t="inlineStr">
        <is>
          <t>VICTOIRE</t>
        </is>
      </c>
    </row>
    <row r="1132">
      <c r="A1132" s="227">
        <f>TL[[#This Row],[Société]]&amp;" - "&amp;TL[[#This Row],[Compte]]</f>
        <v/>
      </c>
      <c r="B1132" s="233" t="inlineStr">
        <is>
          <t>238000</t>
        </is>
      </c>
      <c r="C1132" s="227" t="inlineStr">
        <is>
          <t>Avances sur immobilisat. corporel.</t>
        </is>
      </c>
      <c r="F1132" s="227" t="inlineStr">
        <is>
          <t>VICTOIRE</t>
        </is>
      </c>
    </row>
    <row r="1133">
      <c r="A1133" s="227">
        <f>TL[[#This Row],[Société]]&amp;" - "&amp;TL[[#This Row],[Compte]]</f>
        <v/>
      </c>
      <c r="B1133" s="233" t="inlineStr">
        <is>
          <t>238200</t>
        </is>
      </c>
      <c r="C1133" s="227" t="inlineStr">
        <is>
          <t>Avances sur terrains</t>
        </is>
      </c>
      <c r="F1133" s="227" t="inlineStr">
        <is>
          <t>VICTOIRE</t>
        </is>
      </c>
    </row>
    <row r="1134">
      <c r="A1134" s="227">
        <f>TL[[#This Row],[Société]]&amp;" - "&amp;TL[[#This Row],[Compte]]</f>
        <v/>
      </c>
      <c r="B1134" s="233" t="inlineStr">
        <is>
          <t>238300</t>
        </is>
      </c>
      <c r="C1134" s="227" t="inlineStr">
        <is>
          <t>Avances sur constructions</t>
        </is>
      </c>
      <c r="F1134" s="227" t="inlineStr">
        <is>
          <t>VICTOIRE</t>
        </is>
      </c>
    </row>
    <row r="1135">
      <c r="A1135" s="227">
        <f>TL[[#This Row],[Société]]&amp;" - "&amp;TL[[#This Row],[Compte]]</f>
        <v/>
      </c>
      <c r="B1135" s="233" t="inlineStr">
        <is>
          <t>238500</t>
        </is>
      </c>
      <c r="C1135" s="227" t="inlineStr">
        <is>
          <t>Avances sur installations technique</t>
        </is>
      </c>
      <c r="F1135" s="227" t="inlineStr">
        <is>
          <t>VICTOIRE</t>
        </is>
      </c>
    </row>
    <row r="1136">
      <c r="A1136" s="227">
        <f>TL[[#This Row],[Société]]&amp;" - "&amp;TL[[#This Row],[Compte]]</f>
        <v/>
      </c>
      <c r="B1136" s="233" t="inlineStr">
        <is>
          <t>238800</t>
        </is>
      </c>
      <c r="C1136" s="227" t="inlineStr">
        <is>
          <t>Avances sur autres immobilisations</t>
        </is>
      </c>
      <c r="F1136" s="227" t="inlineStr">
        <is>
          <t>VICTOIRE</t>
        </is>
      </c>
    </row>
    <row r="1137">
      <c r="A1137" s="227">
        <f>TL[[#This Row],[Société]]&amp;" - "&amp;TL[[#This Row],[Compte]]</f>
        <v/>
      </c>
      <c r="B1137" s="233" t="inlineStr">
        <is>
          <t>260000</t>
        </is>
      </c>
      <c r="C1137" s="227" t="inlineStr">
        <is>
          <t>A-Nouveaux au 01/04/2019</t>
        </is>
      </c>
      <c r="F1137" s="227" t="inlineStr">
        <is>
          <t>VICTOIRE</t>
        </is>
      </c>
    </row>
    <row r="1138">
      <c r="A1138" s="227">
        <f>TL[[#This Row],[Société]]&amp;" - "&amp;TL[[#This Row],[Compte]]</f>
        <v/>
      </c>
      <c r="B1138" s="233" t="inlineStr">
        <is>
          <t>261000</t>
        </is>
      </c>
      <c r="C1138" s="227" t="inlineStr">
        <is>
          <t>Titres de participation</t>
        </is>
      </c>
      <c r="F1138" s="227" t="inlineStr">
        <is>
          <t>VICTOIRE</t>
        </is>
      </c>
    </row>
    <row r="1139">
      <c r="A1139" s="227">
        <f>TL[[#This Row],[Société]]&amp;" - "&amp;TL[[#This Row],[Compte]]</f>
        <v/>
      </c>
      <c r="B1139" s="233" t="inlineStr">
        <is>
          <t>261200</t>
        </is>
      </c>
      <c r="C1139" s="227" t="inlineStr">
        <is>
          <t>PARTS SOCIALES CMU</t>
        </is>
      </c>
      <c r="F1139" s="227" t="inlineStr">
        <is>
          <t>VICTOIRE</t>
        </is>
      </c>
    </row>
    <row r="1140">
      <c r="A1140" s="227">
        <f>TL[[#This Row],[Société]]&amp;" - "&amp;TL[[#This Row],[Compte]]</f>
        <v/>
      </c>
      <c r="B1140" s="233" t="inlineStr">
        <is>
          <t>262000</t>
        </is>
      </c>
      <c r="C1140" s="227" t="inlineStr">
        <is>
          <t>Participations évaluées équivalence</t>
        </is>
      </c>
      <c r="F1140" s="227" t="inlineStr">
        <is>
          <t>VICTOIRE</t>
        </is>
      </c>
    </row>
    <row r="1141">
      <c r="A1141" s="227">
        <f>TL[[#This Row],[Société]]&amp;" - "&amp;TL[[#This Row],[Compte]]</f>
        <v/>
      </c>
      <c r="B1141" s="233" t="inlineStr">
        <is>
          <t>266000</t>
        </is>
      </c>
      <c r="C1141" s="227" t="inlineStr">
        <is>
          <t>Autres formes de participation</t>
        </is>
      </c>
      <c r="F1141" s="227" t="inlineStr">
        <is>
          <t>VICTOIRE</t>
        </is>
      </c>
    </row>
    <row r="1142">
      <c r="A1142" s="227">
        <f>TL[[#This Row],[Société]]&amp;" - "&amp;TL[[#This Row],[Compte]]</f>
        <v/>
      </c>
      <c r="B1142" s="233" t="inlineStr">
        <is>
          <t>267000</t>
        </is>
      </c>
      <c r="C1142" s="227" t="inlineStr">
        <is>
          <t>Créances rattach. à des participat.</t>
        </is>
      </c>
      <c r="F1142" s="227" t="inlineStr">
        <is>
          <t>VICTOIRE</t>
        </is>
      </c>
    </row>
    <row r="1143">
      <c r="A1143" s="227">
        <f>TL[[#This Row],[Société]]&amp;" - "&amp;TL[[#This Row],[Compte]]</f>
        <v/>
      </c>
      <c r="B1143" s="233" t="inlineStr">
        <is>
          <t>267100</t>
        </is>
      </c>
      <c r="C1143" s="227" t="inlineStr">
        <is>
          <t>Créances rattach particip. (Grpe)</t>
        </is>
      </c>
      <c r="F1143" s="227" t="inlineStr">
        <is>
          <t>VICTOIRE</t>
        </is>
      </c>
    </row>
    <row r="1144">
      <c r="A1144" s="227">
        <f>TL[[#This Row],[Société]]&amp;" - "&amp;TL[[#This Row],[Compte]]</f>
        <v/>
      </c>
      <c r="B1144" s="233" t="inlineStr">
        <is>
          <t>267170</t>
        </is>
      </c>
      <c r="C1144" s="227" t="inlineStr">
        <is>
          <t>Part du groupe (à plus d'un an)</t>
        </is>
      </c>
      <c r="F1144" s="227" t="inlineStr">
        <is>
          <t>VICTOIRE</t>
        </is>
      </c>
    </row>
    <row r="1145">
      <c r="A1145" s="227">
        <f>TL[[#This Row],[Société]]&amp;" - "&amp;TL[[#This Row],[Compte]]</f>
        <v/>
      </c>
      <c r="B1145" s="233" t="inlineStr">
        <is>
          <t>267180</t>
        </is>
      </c>
      <c r="C1145" s="227" t="inlineStr">
        <is>
          <t>Part du groupe (à moins d'un an)</t>
        </is>
      </c>
      <c r="F1145" s="227" t="inlineStr">
        <is>
          <t>VICTOIRE</t>
        </is>
      </c>
    </row>
    <row r="1146">
      <c r="A1146" s="227">
        <f>TL[[#This Row],[Société]]&amp;" - "&amp;TL[[#This Row],[Compte]]</f>
        <v/>
      </c>
      <c r="B1146" s="233" t="inlineStr">
        <is>
          <t>267400</t>
        </is>
      </c>
      <c r="C1146" s="227" t="inlineStr">
        <is>
          <t>Créances rattach particip. (Hors G)</t>
        </is>
      </c>
      <c r="F1146" s="227" t="inlineStr">
        <is>
          <t>VICTOIRE</t>
        </is>
      </c>
    </row>
    <row r="1147">
      <c r="A1147" s="227">
        <f>TL[[#This Row],[Société]]&amp;" - "&amp;TL[[#This Row],[Compte]]</f>
        <v/>
      </c>
      <c r="B1147" s="233" t="inlineStr">
        <is>
          <t>267470</t>
        </is>
      </c>
      <c r="C1147" s="227" t="inlineStr">
        <is>
          <t>Hors groupe (à plus d'un an)</t>
        </is>
      </c>
      <c r="F1147" s="227" t="inlineStr">
        <is>
          <t>VICTOIRE</t>
        </is>
      </c>
    </row>
    <row r="1148">
      <c r="A1148" s="227">
        <f>TL[[#This Row],[Société]]&amp;" - "&amp;TL[[#This Row],[Compte]]</f>
        <v/>
      </c>
      <c r="B1148" s="233" t="inlineStr">
        <is>
          <t>267480</t>
        </is>
      </c>
      <c r="C1148" s="227" t="inlineStr">
        <is>
          <t>Hors groupe (à moins d'un an)</t>
        </is>
      </c>
      <c r="F1148" s="227" t="inlineStr">
        <is>
          <t>VICTOIRE</t>
        </is>
      </c>
    </row>
    <row r="1149">
      <c r="A1149" s="227">
        <f>TL[[#This Row],[Société]]&amp;" - "&amp;TL[[#This Row],[Compte]]</f>
        <v/>
      </c>
      <c r="B1149" s="233" t="inlineStr">
        <is>
          <t>267500</t>
        </is>
      </c>
      <c r="C1149" s="227" t="inlineStr">
        <is>
          <t>Versts d'apports non capitalisés</t>
        </is>
      </c>
      <c r="F1149" s="227" t="inlineStr">
        <is>
          <t>VICTOIRE</t>
        </is>
      </c>
    </row>
    <row r="1150">
      <c r="A1150" s="227">
        <f>TL[[#This Row],[Société]]&amp;" - "&amp;TL[[#This Row],[Compte]]</f>
        <v/>
      </c>
      <c r="B1150" s="233" t="inlineStr">
        <is>
          <t>267600</t>
        </is>
      </c>
      <c r="C1150" s="227" t="inlineStr">
        <is>
          <t>Avances consolidables</t>
        </is>
      </c>
      <c r="F1150" s="227" t="inlineStr">
        <is>
          <t>VICTOIRE</t>
        </is>
      </c>
    </row>
    <row r="1151">
      <c r="A1151" s="227">
        <f>TL[[#This Row],[Société]]&amp;" - "&amp;TL[[#This Row],[Compte]]</f>
        <v/>
      </c>
      <c r="B1151" s="233" t="inlineStr">
        <is>
          <t>267700</t>
        </is>
      </c>
      <c r="C1151" s="227" t="inlineStr">
        <is>
          <t>Autres créances rattach. participat</t>
        </is>
      </c>
      <c r="F1151" s="227" t="inlineStr">
        <is>
          <t>VICTOIRE</t>
        </is>
      </c>
    </row>
    <row r="1152">
      <c r="A1152" s="227">
        <f>TL[[#This Row],[Société]]&amp;" - "&amp;TL[[#This Row],[Compte]]</f>
        <v/>
      </c>
      <c r="B1152" s="233" t="inlineStr">
        <is>
          <t>267800</t>
        </is>
      </c>
      <c r="C1152" s="227" t="inlineStr">
        <is>
          <t>Intérêts courus s/créances rattaché</t>
        </is>
      </c>
      <c r="F1152" s="227" t="inlineStr">
        <is>
          <t>VICTOIRE</t>
        </is>
      </c>
    </row>
    <row r="1153">
      <c r="A1153" s="227">
        <f>TL[[#This Row],[Société]]&amp;" - "&amp;TL[[#This Row],[Compte]]</f>
        <v/>
      </c>
      <c r="B1153" s="233" t="inlineStr">
        <is>
          <t>268000</t>
        </is>
      </c>
      <c r="C1153" s="227" t="inlineStr">
        <is>
          <t>Créances rattach. stés en particip.</t>
        </is>
      </c>
      <c r="F1153" s="227" t="inlineStr">
        <is>
          <t>VICTOIRE</t>
        </is>
      </c>
    </row>
    <row r="1154">
      <c r="A1154" s="227">
        <f>TL[[#This Row],[Société]]&amp;" - "&amp;TL[[#This Row],[Compte]]</f>
        <v/>
      </c>
      <c r="B1154" s="233" t="inlineStr">
        <is>
          <t>269000</t>
        </is>
      </c>
      <c r="C1154" s="227" t="inlineStr">
        <is>
          <t>Verst.restant à effect.s/tit.n/lib.</t>
        </is>
      </c>
      <c r="F1154" s="227" t="inlineStr">
        <is>
          <t>VICTOIRE</t>
        </is>
      </c>
    </row>
    <row r="1155">
      <c r="A1155" s="227">
        <f>TL[[#This Row],[Société]]&amp;" - "&amp;TL[[#This Row],[Compte]]</f>
        <v/>
      </c>
      <c r="B1155" s="233" t="inlineStr">
        <is>
          <t>269700</t>
        </is>
      </c>
      <c r="C1155" s="227" t="inlineStr">
        <is>
          <t>Versements à  effectuer à + 1 an</t>
        </is>
      </c>
      <c r="F1155" s="227" t="inlineStr">
        <is>
          <t>VICTOIRE</t>
        </is>
      </c>
    </row>
    <row r="1156">
      <c r="A1156" s="227">
        <f>TL[[#This Row],[Société]]&amp;" - "&amp;TL[[#This Row],[Compte]]</f>
        <v/>
      </c>
      <c r="B1156" s="233" t="inlineStr">
        <is>
          <t>269800</t>
        </is>
      </c>
      <c r="C1156" s="227" t="inlineStr">
        <is>
          <t>Versements à  effectuer à - 1 an</t>
        </is>
      </c>
      <c r="F1156" s="227" t="inlineStr">
        <is>
          <t>VICTOIRE</t>
        </is>
      </c>
    </row>
    <row r="1157">
      <c r="A1157" s="227">
        <f>TL[[#This Row],[Société]]&amp;" - "&amp;TL[[#This Row],[Compte]]</f>
        <v/>
      </c>
      <c r="B1157" s="233" t="inlineStr">
        <is>
          <t>271000</t>
        </is>
      </c>
      <c r="C1157" s="227" t="inlineStr">
        <is>
          <t>Titres immobilisés (droit propriét)</t>
        </is>
      </c>
      <c r="F1157" s="227" t="inlineStr">
        <is>
          <t>VICTOIRE</t>
        </is>
      </c>
    </row>
    <row r="1158">
      <c r="A1158" s="227">
        <f>TL[[#This Row],[Société]]&amp;" - "&amp;TL[[#This Row],[Compte]]</f>
        <v/>
      </c>
      <c r="B1158" s="233" t="inlineStr">
        <is>
          <t>271100</t>
        </is>
      </c>
      <c r="C1158" s="227" t="inlineStr">
        <is>
          <t>Actions</t>
        </is>
      </c>
      <c r="F1158" s="227" t="inlineStr">
        <is>
          <t>VICTOIRE</t>
        </is>
      </c>
    </row>
    <row r="1159">
      <c r="A1159" s="227">
        <f>TL[[#This Row],[Société]]&amp;" - "&amp;TL[[#This Row],[Compte]]</f>
        <v/>
      </c>
      <c r="B1159" s="233" t="inlineStr">
        <is>
          <t>271800</t>
        </is>
      </c>
      <c r="C1159" s="227" t="inlineStr">
        <is>
          <t>Autres titres</t>
        </is>
      </c>
      <c r="F1159" s="227" t="inlineStr">
        <is>
          <t>VICTOIRE</t>
        </is>
      </c>
    </row>
    <row r="1160">
      <c r="A1160" s="227">
        <f>TL[[#This Row],[Société]]&amp;" - "&amp;TL[[#This Row],[Compte]]</f>
        <v/>
      </c>
      <c r="B1160" s="233" t="inlineStr">
        <is>
          <t>272000</t>
        </is>
      </c>
      <c r="C1160" s="227" t="inlineStr">
        <is>
          <t>Titres immobilisés (droit créance)</t>
        </is>
      </c>
      <c r="F1160" s="227" t="inlineStr">
        <is>
          <t>VICTOIRE</t>
        </is>
      </c>
    </row>
    <row r="1161">
      <c r="A1161" s="227">
        <f>TL[[#This Row],[Société]]&amp;" - "&amp;TL[[#This Row],[Compte]]</f>
        <v/>
      </c>
      <c r="B1161" s="233" t="inlineStr">
        <is>
          <t>272100</t>
        </is>
      </c>
      <c r="C1161" s="227" t="inlineStr">
        <is>
          <t>Obligations</t>
        </is>
      </c>
      <c r="F1161" s="227" t="inlineStr">
        <is>
          <t>VICTOIRE</t>
        </is>
      </c>
    </row>
    <row r="1162">
      <c r="A1162" s="227">
        <f>TL[[#This Row],[Société]]&amp;" - "&amp;TL[[#This Row],[Compte]]</f>
        <v/>
      </c>
      <c r="B1162" s="233" t="inlineStr">
        <is>
          <t>272200</t>
        </is>
      </c>
      <c r="C1162" s="227" t="inlineStr">
        <is>
          <t>Bons</t>
        </is>
      </c>
      <c r="F1162" s="227" t="inlineStr">
        <is>
          <t>VICTOIRE</t>
        </is>
      </c>
    </row>
    <row r="1163">
      <c r="A1163" s="227">
        <f>TL[[#This Row],[Société]]&amp;" - "&amp;TL[[#This Row],[Compte]]</f>
        <v/>
      </c>
      <c r="B1163" s="233" t="inlineStr">
        <is>
          <t>273000</t>
        </is>
      </c>
      <c r="C1163" s="227" t="inlineStr">
        <is>
          <t>Titres (Activité de portefeuille)</t>
        </is>
      </c>
      <c r="F1163" s="227" t="inlineStr">
        <is>
          <t>VICTOIRE</t>
        </is>
      </c>
    </row>
    <row r="1164">
      <c r="A1164" s="227">
        <f>TL[[#This Row],[Société]]&amp;" - "&amp;TL[[#This Row],[Compte]]</f>
        <v/>
      </c>
      <c r="B1164" s="233" t="inlineStr">
        <is>
          <t>274100</t>
        </is>
      </c>
      <c r="C1164" s="227" t="inlineStr">
        <is>
          <t>Prêts participatifs</t>
        </is>
      </c>
      <c r="F1164" s="227" t="inlineStr">
        <is>
          <t>VICTOIRE</t>
        </is>
      </c>
    </row>
    <row r="1165">
      <c r="A1165" s="227">
        <f>TL[[#This Row],[Société]]&amp;" - "&amp;TL[[#This Row],[Compte]]</f>
        <v/>
      </c>
      <c r="B1165" s="233" t="inlineStr">
        <is>
          <t>274200</t>
        </is>
      </c>
      <c r="C1165" s="227" t="inlineStr">
        <is>
          <t>Prêts aux associés</t>
        </is>
      </c>
      <c r="F1165" s="227" t="inlineStr">
        <is>
          <t>VICTOIRE</t>
        </is>
      </c>
    </row>
    <row r="1166">
      <c r="A1166" s="227">
        <f>TL[[#This Row],[Société]]&amp;" - "&amp;TL[[#This Row],[Compte]]</f>
        <v/>
      </c>
      <c r="B1166" s="233" t="inlineStr">
        <is>
          <t>274300</t>
        </is>
      </c>
      <c r="C1166" s="227" t="inlineStr">
        <is>
          <t>Prêts au personnel</t>
        </is>
      </c>
      <c r="F1166" s="227" t="inlineStr">
        <is>
          <t>VICTOIRE</t>
        </is>
      </c>
    </row>
    <row r="1167">
      <c r="A1167" s="227">
        <f>TL[[#This Row],[Société]]&amp;" - "&amp;TL[[#This Row],[Compte]]</f>
        <v/>
      </c>
      <c r="B1167" s="233" t="inlineStr">
        <is>
          <t>274370</t>
        </is>
      </c>
      <c r="C1167" s="227" t="inlineStr">
        <is>
          <t>Prêts au personnel (+ 1 an)</t>
        </is>
      </c>
      <c r="F1167" s="227" t="inlineStr">
        <is>
          <t>VICTOIRE</t>
        </is>
      </c>
    </row>
    <row r="1168">
      <c r="A1168" s="227">
        <f>TL[[#This Row],[Société]]&amp;" - "&amp;TL[[#This Row],[Compte]]</f>
        <v/>
      </c>
      <c r="B1168" s="233" t="inlineStr">
        <is>
          <t>274380</t>
        </is>
      </c>
      <c r="C1168" s="227" t="inlineStr">
        <is>
          <t>Prêts au personnel (- 1 an)</t>
        </is>
      </c>
      <c r="F1168" s="227" t="inlineStr">
        <is>
          <t>VICTOIRE</t>
        </is>
      </c>
    </row>
    <row r="1169">
      <c r="A1169" s="227">
        <f>TL[[#This Row],[Société]]&amp;" - "&amp;TL[[#This Row],[Compte]]</f>
        <v/>
      </c>
      <c r="B1169" s="233" t="inlineStr">
        <is>
          <t>274800</t>
        </is>
      </c>
      <c r="C1169" s="227" t="inlineStr">
        <is>
          <t>Autres prêts</t>
        </is>
      </c>
      <c r="F1169" s="227" t="inlineStr">
        <is>
          <t>VICTOIRE</t>
        </is>
      </c>
    </row>
    <row r="1170">
      <c r="A1170" s="227">
        <f>TL[[#This Row],[Société]]&amp;" - "&amp;TL[[#This Row],[Compte]]</f>
        <v/>
      </c>
      <c r="B1170" s="233" t="inlineStr">
        <is>
          <t>274870</t>
        </is>
      </c>
      <c r="C1170" s="227" t="inlineStr">
        <is>
          <t>Autres prêts (part à plus d'un an)</t>
        </is>
      </c>
      <c r="F1170" s="227" t="inlineStr">
        <is>
          <t>VICTOIRE</t>
        </is>
      </c>
    </row>
    <row r="1171">
      <c r="A1171" s="227">
        <f>TL[[#This Row],[Société]]&amp;" - "&amp;TL[[#This Row],[Compte]]</f>
        <v/>
      </c>
      <c r="B1171" s="233" t="inlineStr">
        <is>
          <t>274880</t>
        </is>
      </c>
      <c r="C1171" s="227" t="inlineStr">
        <is>
          <t>Autres prêts (part à moins d'un an)</t>
        </is>
      </c>
      <c r="F1171" s="227" t="inlineStr">
        <is>
          <t>VICTOIRE</t>
        </is>
      </c>
    </row>
    <row r="1172">
      <c r="A1172" s="227">
        <f>TL[[#This Row],[Société]]&amp;" - "&amp;TL[[#This Row],[Compte]]</f>
        <v/>
      </c>
      <c r="B1172" s="233" t="inlineStr">
        <is>
          <t>275000</t>
        </is>
      </c>
      <c r="C1172" s="227" t="inlineStr">
        <is>
          <t>Dépôts et cautionnements</t>
        </is>
      </c>
      <c r="F1172" s="227" t="inlineStr">
        <is>
          <t>VICTOIRE</t>
        </is>
      </c>
    </row>
    <row r="1173">
      <c r="A1173" s="227">
        <f>TL[[#This Row],[Société]]&amp;" - "&amp;TL[[#This Row],[Compte]]</f>
        <v/>
      </c>
      <c r="B1173" s="233" t="inlineStr">
        <is>
          <t>275100</t>
        </is>
      </c>
      <c r="C1173" s="227" t="inlineStr">
        <is>
          <t>Dépots</t>
        </is>
      </c>
      <c r="F1173" s="227" t="inlineStr">
        <is>
          <t>VICTOIRE</t>
        </is>
      </c>
    </row>
    <row r="1174">
      <c r="A1174" s="227">
        <f>TL[[#This Row],[Société]]&amp;" - "&amp;TL[[#This Row],[Compte]]</f>
        <v/>
      </c>
      <c r="B1174" s="233" t="inlineStr">
        <is>
          <t>275500</t>
        </is>
      </c>
      <c r="C1174" s="227" t="inlineStr">
        <is>
          <t>Cautionnements</t>
        </is>
      </c>
      <c r="F1174" s="227" t="inlineStr">
        <is>
          <t>VICTOIRE</t>
        </is>
      </c>
    </row>
    <row r="1175">
      <c r="A1175" s="227">
        <f>TL[[#This Row],[Société]]&amp;" - "&amp;TL[[#This Row],[Compte]]</f>
        <v/>
      </c>
      <c r="B1175" s="233" t="inlineStr">
        <is>
          <t>276100</t>
        </is>
      </c>
      <c r="C1175" s="227" t="inlineStr">
        <is>
          <t>Créances diverses</t>
        </is>
      </c>
      <c r="F1175" s="227" t="inlineStr">
        <is>
          <t>VICTOIRE</t>
        </is>
      </c>
    </row>
    <row r="1176">
      <c r="A1176" s="227">
        <f>TL[[#This Row],[Société]]&amp;" - "&amp;TL[[#This Row],[Compte]]</f>
        <v/>
      </c>
      <c r="B1176" s="233" t="inlineStr">
        <is>
          <t>276800</t>
        </is>
      </c>
      <c r="C1176" s="227" t="inlineStr">
        <is>
          <t>Intérêts courus</t>
        </is>
      </c>
      <c r="F1176" s="227" t="inlineStr">
        <is>
          <t>VICTOIRE</t>
        </is>
      </c>
    </row>
    <row r="1177">
      <c r="A1177" s="227">
        <f>TL[[#This Row],[Société]]&amp;" - "&amp;TL[[#This Row],[Compte]]</f>
        <v/>
      </c>
      <c r="B1177" s="233" t="inlineStr">
        <is>
          <t>276820</t>
        </is>
      </c>
      <c r="C1177" s="227" t="inlineStr">
        <is>
          <t>Int.courus s/titres immobilisés</t>
        </is>
      </c>
      <c r="F1177" s="227" t="inlineStr">
        <is>
          <t>VICTOIRE</t>
        </is>
      </c>
    </row>
    <row r="1178">
      <c r="A1178" s="227">
        <f>TL[[#This Row],[Société]]&amp;" - "&amp;TL[[#This Row],[Compte]]</f>
        <v/>
      </c>
      <c r="B1178" s="233" t="inlineStr">
        <is>
          <t>276840</t>
        </is>
      </c>
      <c r="C1178" s="227" t="inlineStr">
        <is>
          <t>Int.courus s/prêts</t>
        </is>
      </c>
      <c r="F1178" s="227" t="inlineStr">
        <is>
          <t>VICTOIRE</t>
        </is>
      </c>
    </row>
    <row r="1179">
      <c r="A1179" s="227">
        <f>TL[[#This Row],[Société]]&amp;" - "&amp;TL[[#This Row],[Compte]]</f>
        <v/>
      </c>
      <c r="B1179" s="233" t="inlineStr">
        <is>
          <t>276850</t>
        </is>
      </c>
      <c r="C1179" s="227" t="inlineStr">
        <is>
          <t>Int.courus s/dépôts et cautionnem.</t>
        </is>
      </c>
      <c r="F1179" s="227" t="inlineStr">
        <is>
          <t>VICTOIRE</t>
        </is>
      </c>
    </row>
    <row r="1180">
      <c r="A1180" s="227">
        <f>TL[[#This Row],[Société]]&amp;" - "&amp;TL[[#This Row],[Compte]]</f>
        <v/>
      </c>
      <c r="B1180" s="233" t="inlineStr">
        <is>
          <t>276880</t>
        </is>
      </c>
      <c r="C1180" s="227" t="inlineStr">
        <is>
          <t>Int.courus s/créances diverses</t>
        </is>
      </c>
      <c r="F1180" s="227" t="inlineStr">
        <is>
          <t>VICTOIRE</t>
        </is>
      </c>
    </row>
    <row r="1181">
      <c r="A1181" s="227">
        <f>TL[[#This Row],[Société]]&amp;" - "&amp;TL[[#This Row],[Compte]]</f>
        <v/>
      </c>
      <c r="B1181" s="233" t="inlineStr">
        <is>
          <t>277000</t>
        </is>
      </c>
      <c r="C1181" s="227" t="inlineStr">
        <is>
          <t>Actions propres ou parts propres</t>
        </is>
      </c>
      <c r="F1181" s="227" t="inlineStr">
        <is>
          <t>VICTOIRE</t>
        </is>
      </c>
    </row>
    <row r="1182">
      <c r="A1182" s="227">
        <f>TL[[#This Row],[Société]]&amp;" - "&amp;TL[[#This Row],[Compte]]</f>
        <v/>
      </c>
      <c r="B1182" s="233" t="inlineStr">
        <is>
          <t>279000</t>
        </is>
      </c>
      <c r="C1182" s="227" t="inlineStr">
        <is>
          <t>Versemt. rest.à effect.s/tit.imm.NL</t>
        </is>
      </c>
      <c r="F1182" s="227" t="inlineStr">
        <is>
          <t>VICTOIRE</t>
        </is>
      </c>
    </row>
    <row r="1183">
      <c r="A1183" s="227">
        <f>TL[[#This Row],[Société]]&amp;" - "&amp;TL[[#This Row],[Compte]]</f>
        <v/>
      </c>
      <c r="B1183" s="233" t="inlineStr">
        <is>
          <t>279700</t>
        </is>
      </c>
      <c r="C1183" s="227" t="inlineStr">
        <is>
          <t>Versements à effectuer (+ 1 an)</t>
        </is>
      </c>
      <c r="F1183" s="227" t="inlineStr">
        <is>
          <t>VICTOIRE</t>
        </is>
      </c>
    </row>
    <row r="1184">
      <c r="A1184" s="227">
        <f>TL[[#This Row],[Société]]&amp;" - "&amp;TL[[#This Row],[Compte]]</f>
        <v/>
      </c>
      <c r="B1184" s="233" t="inlineStr">
        <is>
          <t>279800</t>
        </is>
      </c>
      <c r="C1184" s="227" t="inlineStr">
        <is>
          <t>Versements à effectuer (- 1 an)</t>
        </is>
      </c>
      <c r="F1184" s="227" t="inlineStr">
        <is>
          <t>VICTOIRE</t>
        </is>
      </c>
    </row>
    <row r="1185">
      <c r="A1185" s="227">
        <f>TL[[#This Row],[Société]]&amp;" - "&amp;TL[[#This Row],[Compte]]</f>
        <v/>
      </c>
      <c r="B1185" s="233" t="inlineStr">
        <is>
          <t>280100</t>
        </is>
      </c>
      <c r="C1185" s="227" t="inlineStr">
        <is>
          <t>Amortis. frais d'établissement</t>
        </is>
      </c>
      <c r="F1185" s="227" t="inlineStr">
        <is>
          <t>VICTOIRE</t>
        </is>
      </c>
    </row>
    <row r="1186">
      <c r="A1186" s="227">
        <f>TL[[#This Row],[Société]]&amp;" - "&amp;TL[[#This Row],[Compte]]</f>
        <v/>
      </c>
      <c r="B1186" s="233" t="inlineStr">
        <is>
          <t>280300</t>
        </is>
      </c>
      <c r="C1186" s="227" t="inlineStr">
        <is>
          <t>Amortis. frais recherche &amp; dévelop.</t>
        </is>
      </c>
      <c r="F1186" s="227" t="inlineStr">
        <is>
          <t>VICTOIRE</t>
        </is>
      </c>
    </row>
    <row r="1187">
      <c r="A1187" s="227">
        <f>TL[[#This Row],[Société]]&amp;" - "&amp;TL[[#This Row],[Compte]]</f>
        <v/>
      </c>
      <c r="B1187" s="233" t="inlineStr">
        <is>
          <t>280500</t>
        </is>
      </c>
      <c r="C1187" s="227" t="inlineStr">
        <is>
          <t>AMORT. CONCESSIONS BREVETS</t>
        </is>
      </c>
      <c r="F1187" s="227" t="inlineStr">
        <is>
          <t>VICTOIRE</t>
        </is>
      </c>
    </row>
    <row r="1188">
      <c r="A1188" s="227">
        <f>TL[[#This Row],[Société]]&amp;" - "&amp;TL[[#This Row],[Compte]]</f>
        <v/>
      </c>
      <c r="B1188" s="233" t="inlineStr">
        <is>
          <t>280700</t>
        </is>
      </c>
      <c r="C1188" s="227" t="inlineStr">
        <is>
          <t>Amortis. fonds commercial</t>
        </is>
      </c>
      <c r="F1188" s="227" t="inlineStr">
        <is>
          <t>VICTOIRE</t>
        </is>
      </c>
    </row>
    <row r="1189">
      <c r="A1189" s="227">
        <f>TL[[#This Row],[Société]]&amp;" - "&amp;TL[[#This Row],[Compte]]</f>
        <v/>
      </c>
      <c r="B1189" s="233" t="inlineStr">
        <is>
          <t>280800</t>
        </is>
      </c>
      <c r="C1189" s="227" t="inlineStr">
        <is>
          <t>Amortis. autres immobil. incorpor.</t>
        </is>
      </c>
      <c r="F1189" s="227" t="inlineStr">
        <is>
          <t>VICTOIRE</t>
        </is>
      </c>
    </row>
    <row r="1190">
      <c r="A1190" s="227">
        <f>TL[[#This Row],[Société]]&amp;" - "&amp;TL[[#This Row],[Compte]]</f>
        <v/>
      </c>
      <c r="B1190" s="233" t="inlineStr">
        <is>
          <t>281200</t>
        </is>
      </c>
      <c r="C1190" s="227" t="inlineStr">
        <is>
          <t>Amortis. agenct. aménagt. de terr.</t>
        </is>
      </c>
      <c r="F1190" s="227" t="inlineStr">
        <is>
          <t>VICTOIRE</t>
        </is>
      </c>
    </row>
    <row r="1191">
      <c r="A1191" s="227">
        <f>TL[[#This Row],[Société]]&amp;" - "&amp;TL[[#This Row],[Compte]]</f>
        <v/>
      </c>
      <c r="B1191" s="233" t="inlineStr">
        <is>
          <t>281310</t>
        </is>
      </c>
      <c r="C1191" s="227" t="inlineStr">
        <is>
          <t>Amortis. constructions</t>
        </is>
      </c>
      <c r="F1191" s="227" t="inlineStr">
        <is>
          <t>VICTOIRE</t>
        </is>
      </c>
    </row>
    <row r="1192">
      <c r="A1192" s="227">
        <f>TL[[#This Row],[Société]]&amp;" - "&amp;TL[[#This Row],[Compte]]</f>
        <v/>
      </c>
      <c r="B1192" s="233" t="inlineStr">
        <is>
          <t>281350</t>
        </is>
      </c>
      <c r="C1192" s="227" t="inlineStr">
        <is>
          <t>AMORT. AAI DES CONSTRUCTIONS</t>
        </is>
      </c>
      <c r="F1192" s="227" t="inlineStr">
        <is>
          <t>VICTOIRE</t>
        </is>
      </c>
    </row>
    <row r="1193">
      <c r="A1193" s="227">
        <f>TL[[#This Row],[Société]]&amp;" - "&amp;TL[[#This Row],[Compte]]</f>
        <v/>
      </c>
      <c r="B1193" s="233" t="inlineStr">
        <is>
          <t>281410</t>
        </is>
      </c>
      <c r="C1193" s="227" t="inlineStr">
        <is>
          <t>Amortis. constructions sol d'autrui</t>
        </is>
      </c>
      <c r="F1193" s="227" t="inlineStr">
        <is>
          <t>VICTOIRE</t>
        </is>
      </c>
    </row>
    <row r="1194">
      <c r="A1194" s="227">
        <f>TL[[#This Row],[Société]]&amp;" - "&amp;TL[[#This Row],[Compte]]</f>
        <v/>
      </c>
      <c r="B1194" s="233" t="inlineStr">
        <is>
          <t>281450</t>
        </is>
      </c>
      <c r="C1194" s="227" t="inlineStr">
        <is>
          <t>Amortis. agencements constructions</t>
        </is>
      </c>
      <c r="F1194" s="227" t="inlineStr">
        <is>
          <t>VICTOIRE</t>
        </is>
      </c>
    </row>
    <row r="1195">
      <c r="A1195" s="227">
        <f>TL[[#This Row],[Société]]&amp;" - "&amp;TL[[#This Row],[Compte]]</f>
        <v/>
      </c>
      <c r="B1195" s="233" t="inlineStr">
        <is>
          <t>281500</t>
        </is>
      </c>
      <c r="C1195" s="227" t="inlineStr">
        <is>
          <t>Amortis. matériel et outillage</t>
        </is>
      </c>
      <c r="F1195" s="227" t="inlineStr">
        <is>
          <t>VICTOIRE</t>
        </is>
      </c>
    </row>
    <row r="1196">
      <c r="A1196" s="227">
        <f>TL[[#This Row],[Société]]&amp;" - "&amp;TL[[#This Row],[Compte]]</f>
        <v/>
      </c>
      <c r="B1196" s="233" t="inlineStr">
        <is>
          <t>281540</t>
        </is>
      </c>
      <c r="C1196" s="227" t="inlineStr">
        <is>
          <t>AMORT. MATERIEL DE CUISINE</t>
        </is>
      </c>
      <c r="F1196" s="227" t="inlineStr">
        <is>
          <t>VICTOIRE</t>
        </is>
      </c>
    </row>
    <row r="1197">
      <c r="A1197" s="227">
        <f>TL[[#This Row],[Société]]&amp;" - "&amp;TL[[#This Row],[Compte]]</f>
        <v/>
      </c>
      <c r="B1197" s="233" t="inlineStr">
        <is>
          <t>281541</t>
        </is>
      </c>
      <c r="C1197" s="227" t="inlineStr">
        <is>
          <t>AMORT. MATERIEL ET OUTILLAGE DIVERS</t>
        </is>
      </c>
      <c r="F1197" s="227" t="inlineStr">
        <is>
          <t>VICTOIRE</t>
        </is>
      </c>
    </row>
    <row r="1198">
      <c r="A1198" s="227">
        <f>TL[[#This Row],[Société]]&amp;" - "&amp;TL[[#This Row],[Compte]]</f>
        <v/>
      </c>
      <c r="B1198" s="233" t="inlineStr">
        <is>
          <t>281810</t>
        </is>
      </c>
      <c r="C1198" s="227" t="inlineStr">
        <is>
          <t>AMORT. INSTALLATION &amp; AGENCEMENT</t>
        </is>
      </c>
      <c r="F1198" s="227" t="inlineStr">
        <is>
          <t>VICTOIRE</t>
        </is>
      </c>
    </row>
    <row r="1199">
      <c r="A1199" s="227">
        <f>TL[[#This Row],[Société]]&amp;" - "&amp;TL[[#This Row],[Compte]]</f>
        <v/>
      </c>
      <c r="B1199" s="233" t="inlineStr">
        <is>
          <t>281820</t>
        </is>
      </c>
      <c r="C1199" s="227" t="inlineStr">
        <is>
          <t>AMORT. MAT DE TRANSPORT</t>
        </is>
      </c>
      <c r="F1199" s="227" t="inlineStr">
        <is>
          <t>VICTOIRE</t>
        </is>
      </c>
    </row>
    <row r="1200">
      <c r="A1200" s="227">
        <f>TL[[#This Row],[Société]]&amp;" - "&amp;TL[[#This Row],[Compte]]</f>
        <v/>
      </c>
      <c r="B1200" s="233" t="inlineStr">
        <is>
          <t>281830</t>
        </is>
      </c>
      <c r="C1200" s="227" t="inlineStr">
        <is>
          <t>AMORT. MATERIEL DE BUREAU ET INFORM</t>
        </is>
      </c>
      <c r="F1200" s="227" t="inlineStr">
        <is>
          <t>VICTOIRE</t>
        </is>
      </c>
    </row>
    <row r="1201">
      <c r="A1201" s="227">
        <f>TL[[#This Row],[Société]]&amp;" - "&amp;TL[[#This Row],[Compte]]</f>
        <v/>
      </c>
      <c r="B1201" s="233" t="inlineStr">
        <is>
          <t>281840</t>
        </is>
      </c>
      <c r="C1201" s="227" t="inlineStr">
        <is>
          <t>AMORT. MOBILIER RESTAURANT</t>
        </is>
      </c>
      <c r="F1201" s="227" t="inlineStr">
        <is>
          <t>VICTOIRE</t>
        </is>
      </c>
    </row>
    <row r="1202">
      <c r="A1202" s="227">
        <f>TL[[#This Row],[Société]]&amp;" - "&amp;TL[[#This Row],[Compte]]</f>
        <v/>
      </c>
      <c r="B1202" s="233" t="inlineStr">
        <is>
          <t>281860</t>
        </is>
      </c>
      <c r="C1202" s="227" t="inlineStr">
        <is>
          <t>Amortis. emballages récupérables</t>
        </is>
      </c>
      <c r="F1202" s="227" t="inlineStr">
        <is>
          <t>VICTOIRE</t>
        </is>
      </c>
    </row>
    <row r="1203">
      <c r="A1203" s="227">
        <f>TL[[#This Row],[Société]]&amp;" - "&amp;TL[[#This Row],[Compte]]</f>
        <v/>
      </c>
      <c r="B1203" s="233" t="inlineStr">
        <is>
          <t>282000</t>
        </is>
      </c>
      <c r="C1203" s="227" t="inlineStr">
        <is>
          <t>Amortis immobilis en concession</t>
        </is>
      </c>
      <c r="F1203" s="227" t="inlineStr">
        <is>
          <t>VICTOIRE</t>
        </is>
      </c>
    </row>
    <row r="1204">
      <c r="A1204" s="227">
        <f>TL[[#This Row],[Société]]&amp;" - "&amp;TL[[#This Row],[Compte]]</f>
        <v/>
      </c>
      <c r="B1204" s="233" t="inlineStr">
        <is>
          <t>290500</t>
        </is>
      </c>
      <c r="C1204" s="227" t="inlineStr">
        <is>
          <t>Provis. dépréc. marques, procédés</t>
        </is>
      </c>
      <c r="F1204" s="227" t="inlineStr">
        <is>
          <t>VICTOIRE</t>
        </is>
      </c>
    </row>
    <row r="1205">
      <c r="A1205" s="227">
        <f>TL[[#This Row],[Société]]&amp;" - "&amp;TL[[#This Row],[Compte]]</f>
        <v/>
      </c>
      <c r="B1205" s="233" t="inlineStr">
        <is>
          <t>290600</t>
        </is>
      </c>
      <c r="C1205" s="227" t="inlineStr">
        <is>
          <t>Provis. dépréc. droit au bail</t>
        </is>
      </c>
      <c r="F1205" s="227" t="inlineStr">
        <is>
          <t>VICTOIRE</t>
        </is>
      </c>
    </row>
    <row r="1206">
      <c r="A1206" s="227">
        <f>TL[[#This Row],[Société]]&amp;" - "&amp;TL[[#This Row],[Compte]]</f>
        <v/>
      </c>
      <c r="B1206" s="233" t="inlineStr">
        <is>
          <t>290700</t>
        </is>
      </c>
      <c r="C1206" s="227" t="inlineStr">
        <is>
          <t>Provis. dépréc. fonds commercial</t>
        </is>
      </c>
      <c r="F1206" s="227" t="inlineStr">
        <is>
          <t>VICTOIRE</t>
        </is>
      </c>
    </row>
    <row r="1207">
      <c r="A1207" s="227">
        <f>TL[[#This Row],[Société]]&amp;" - "&amp;TL[[#This Row],[Compte]]</f>
        <v/>
      </c>
      <c r="B1207" s="233" t="inlineStr">
        <is>
          <t>290800</t>
        </is>
      </c>
      <c r="C1207" s="227" t="inlineStr">
        <is>
          <t>Provis. dépréc. aut. immob. incorp.</t>
        </is>
      </c>
      <c r="F1207" s="227" t="inlineStr">
        <is>
          <t>VICTOIRE</t>
        </is>
      </c>
    </row>
    <row r="1208">
      <c r="A1208" s="227">
        <f>TL[[#This Row],[Société]]&amp;" - "&amp;TL[[#This Row],[Compte]]</f>
        <v/>
      </c>
      <c r="B1208" s="233" t="inlineStr">
        <is>
          <t>291100</t>
        </is>
      </c>
      <c r="C1208" s="227" t="inlineStr">
        <is>
          <t>Dépréciations terrains</t>
        </is>
      </c>
      <c r="F1208" s="227" t="inlineStr">
        <is>
          <t>VICTOIRE</t>
        </is>
      </c>
    </row>
    <row r="1209">
      <c r="A1209" s="227">
        <f>TL[[#This Row],[Société]]&amp;" - "&amp;TL[[#This Row],[Compte]]</f>
        <v/>
      </c>
      <c r="B1209" s="233" t="inlineStr">
        <is>
          <t>291300</t>
        </is>
      </c>
      <c r="C1209" s="227" t="inlineStr">
        <is>
          <t>Dépréciations constructions</t>
        </is>
      </c>
      <c r="F1209" s="227" t="inlineStr">
        <is>
          <t>VICTOIRE</t>
        </is>
      </c>
    </row>
    <row r="1210">
      <c r="A1210" s="227">
        <f>TL[[#This Row],[Société]]&amp;" - "&amp;TL[[#This Row],[Compte]]</f>
        <v/>
      </c>
      <c r="B1210" s="233" t="inlineStr">
        <is>
          <t>291500</t>
        </is>
      </c>
      <c r="C1210" s="227" t="inlineStr">
        <is>
          <t>Dépréciations matériel</t>
        </is>
      </c>
      <c r="F1210" s="227" t="inlineStr">
        <is>
          <t>VICTOIRE</t>
        </is>
      </c>
    </row>
    <row r="1211">
      <c r="A1211" s="227">
        <f>TL[[#This Row],[Société]]&amp;" - "&amp;TL[[#This Row],[Compte]]</f>
        <v/>
      </c>
      <c r="B1211" s="233" t="inlineStr">
        <is>
          <t>291800</t>
        </is>
      </c>
      <c r="C1211" s="227" t="inlineStr">
        <is>
          <t>Dépréciations autres immobilis.</t>
        </is>
      </c>
      <c r="F1211" s="227" t="inlineStr">
        <is>
          <t>VICTOIRE</t>
        </is>
      </c>
    </row>
    <row r="1212">
      <c r="A1212" s="227">
        <f>TL[[#This Row],[Société]]&amp;" - "&amp;TL[[#This Row],[Compte]]</f>
        <v/>
      </c>
      <c r="B1212" s="233" t="inlineStr">
        <is>
          <t>292000</t>
        </is>
      </c>
      <c r="C1212" s="227" t="inlineStr">
        <is>
          <t>Dépréciations immob. en concess.</t>
        </is>
      </c>
      <c r="F1212" s="227" t="inlineStr">
        <is>
          <t>VICTOIRE</t>
        </is>
      </c>
    </row>
    <row r="1213">
      <c r="A1213" s="227">
        <f>TL[[#This Row],[Société]]&amp;" - "&amp;TL[[#This Row],[Compte]]</f>
        <v/>
      </c>
      <c r="B1213" s="233" t="inlineStr">
        <is>
          <t>293100</t>
        </is>
      </c>
      <c r="C1213" s="227" t="inlineStr">
        <is>
          <t>Dépréciations immob.corpor. cours</t>
        </is>
      </c>
      <c r="F1213" s="227" t="inlineStr">
        <is>
          <t>VICTOIRE</t>
        </is>
      </c>
    </row>
    <row r="1214">
      <c r="A1214" s="227">
        <f>TL[[#This Row],[Société]]&amp;" - "&amp;TL[[#This Row],[Compte]]</f>
        <v/>
      </c>
      <c r="B1214" s="233" t="inlineStr">
        <is>
          <t>296100</t>
        </is>
      </c>
      <c r="C1214" s="227" t="inlineStr">
        <is>
          <t>Dépréciations titres participat.</t>
        </is>
      </c>
      <c r="F1214" s="227" t="inlineStr">
        <is>
          <t>VICTOIRE</t>
        </is>
      </c>
    </row>
    <row r="1215">
      <c r="A1215" s="227">
        <f>TL[[#This Row],[Société]]&amp;" - "&amp;TL[[#This Row],[Compte]]</f>
        <v/>
      </c>
      <c r="B1215" s="233" t="inlineStr">
        <is>
          <t>296200</t>
        </is>
      </c>
      <c r="C1215" s="227" t="inlineStr">
        <is>
          <t>Dépréciations partic. équivalence</t>
        </is>
      </c>
      <c r="F1215" s="227" t="inlineStr">
        <is>
          <t>VICTOIRE</t>
        </is>
      </c>
    </row>
    <row r="1216">
      <c r="A1216" s="227">
        <f>TL[[#This Row],[Société]]&amp;" - "&amp;TL[[#This Row],[Compte]]</f>
        <v/>
      </c>
      <c r="B1216" s="233" t="inlineStr">
        <is>
          <t>296600</t>
        </is>
      </c>
      <c r="C1216" s="227" t="inlineStr">
        <is>
          <t>Dépréciations aut. formes partic.</t>
        </is>
      </c>
      <c r="F1216" s="227" t="inlineStr">
        <is>
          <t>VICTOIRE</t>
        </is>
      </c>
    </row>
    <row r="1217">
      <c r="A1217" s="227">
        <f>TL[[#This Row],[Société]]&amp;" - "&amp;TL[[#This Row],[Compte]]</f>
        <v/>
      </c>
      <c r="B1217" s="233" t="inlineStr">
        <is>
          <t>296700</t>
        </is>
      </c>
      <c r="C1217" s="227" t="inlineStr">
        <is>
          <t>Dépréciations créances ratt.parti</t>
        </is>
      </c>
      <c r="F1217" s="227" t="inlineStr">
        <is>
          <t>VICTOIRE</t>
        </is>
      </c>
    </row>
    <row r="1218">
      <c r="A1218" s="227">
        <f>TL[[#This Row],[Société]]&amp;" - "&amp;TL[[#This Row],[Compte]]</f>
        <v/>
      </c>
      <c r="B1218" s="233" t="inlineStr">
        <is>
          <t>296800</t>
        </is>
      </c>
      <c r="C1218" s="227" t="inlineStr">
        <is>
          <t>Dépréciations cr.ratt.stés part.</t>
        </is>
      </c>
      <c r="F1218" s="227" t="inlineStr">
        <is>
          <t>VICTOIRE</t>
        </is>
      </c>
    </row>
    <row r="1219">
      <c r="A1219" s="227">
        <f>TL[[#This Row],[Société]]&amp;" - "&amp;TL[[#This Row],[Compte]]</f>
        <v/>
      </c>
      <c r="B1219" s="233" t="inlineStr">
        <is>
          <t>297100</t>
        </is>
      </c>
      <c r="C1219" s="227" t="inlineStr">
        <is>
          <t>Dépréciations titres immobilisés</t>
        </is>
      </c>
      <c r="F1219" s="227" t="inlineStr">
        <is>
          <t>VICTOIRE</t>
        </is>
      </c>
    </row>
    <row r="1220">
      <c r="A1220" s="227">
        <f>TL[[#This Row],[Société]]&amp;" - "&amp;TL[[#This Row],[Compte]]</f>
        <v/>
      </c>
      <c r="B1220" s="233" t="inlineStr">
        <is>
          <t>297200</t>
        </is>
      </c>
      <c r="C1220" s="227" t="inlineStr">
        <is>
          <t>Dépréciations tit. immob. créance</t>
        </is>
      </c>
      <c r="F1220" s="227" t="inlineStr">
        <is>
          <t>VICTOIRE</t>
        </is>
      </c>
    </row>
    <row r="1221">
      <c r="A1221" s="227">
        <f>TL[[#This Row],[Société]]&amp;" - "&amp;TL[[#This Row],[Compte]]</f>
        <v/>
      </c>
      <c r="B1221" s="233" t="inlineStr">
        <is>
          <t>297300</t>
        </is>
      </c>
      <c r="C1221" s="227" t="inlineStr">
        <is>
          <t>Dépréciations titres activ. port.</t>
        </is>
      </c>
      <c r="F1221" s="227" t="inlineStr">
        <is>
          <t>VICTOIRE</t>
        </is>
      </c>
    </row>
    <row r="1222">
      <c r="A1222" s="227">
        <f>TL[[#This Row],[Société]]&amp;" - "&amp;TL[[#This Row],[Compte]]</f>
        <v/>
      </c>
      <c r="B1222" s="233" t="inlineStr">
        <is>
          <t>297400</t>
        </is>
      </c>
      <c r="C1222" s="227" t="inlineStr">
        <is>
          <t>Dépréciations des prêts</t>
        </is>
      </c>
      <c r="F1222" s="227" t="inlineStr">
        <is>
          <t>VICTOIRE</t>
        </is>
      </c>
    </row>
    <row r="1223">
      <c r="A1223" s="227">
        <f>TL[[#This Row],[Société]]&amp;" - "&amp;TL[[#This Row],[Compte]]</f>
        <v/>
      </c>
      <c r="B1223" s="233" t="inlineStr">
        <is>
          <t>297410</t>
        </is>
      </c>
      <c r="C1223" s="227" t="inlineStr">
        <is>
          <t>Dépréciations prêts participatifs</t>
        </is>
      </c>
      <c r="F1223" s="227" t="inlineStr">
        <is>
          <t>VICTOIRE</t>
        </is>
      </c>
    </row>
    <row r="1224">
      <c r="A1224" s="227">
        <f>TL[[#This Row],[Société]]&amp;" - "&amp;TL[[#This Row],[Compte]]</f>
        <v/>
      </c>
      <c r="B1224" s="233" t="inlineStr">
        <is>
          <t>297420</t>
        </is>
      </c>
      <c r="C1224" s="227" t="inlineStr">
        <is>
          <t>Dépréciations prêts aux associés</t>
        </is>
      </c>
      <c r="F1224" s="227" t="inlineStr">
        <is>
          <t>VICTOIRE</t>
        </is>
      </c>
    </row>
    <row r="1225">
      <c r="A1225" s="227">
        <f>TL[[#This Row],[Société]]&amp;" - "&amp;TL[[#This Row],[Compte]]</f>
        <v/>
      </c>
      <c r="B1225" s="233" t="inlineStr">
        <is>
          <t>297430</t>
        </is>
      </c>
      <c r="C1225" s="227" t="inlineStr">
        <is>
          <t>Dépréciations prêts au personnel</t>
        </is>
      </c>
      <c r="F1225" s="227" t="inlineStr">
        <is>
          <t>VICTOIRE</t>
        </is>
      </c>
    </row>
    <row r="1226">
      <c r="A1226" s="227">
        <f>TL[[#This Row],[Société]]&amp;" - "&amp;TL[[#This Row],[Compte]]</f>
        <v/>
      </c>
      <c r="B1226" s="233" t="inlineStr">
        <is>
          <t>297480</t>
        </is>
      </c>
      <c r="C1226" s="227" t="inlineStr">
        <is>
          <t>Dépréciations autres prêts</t>
        </is>
      </c>
      <c r="F1226" s="227" t="inlineStr">
        <is>
          <t>VICTOIRE</t>
        </is>
      </c>
    </row>
    <row r="1227">
      <c r="A1227" s="227">
        <f>TL[[#This Row],[Société]]&amp;" - "&amp;TL[[#This Row],[Compte]]</f>
        <v/>
      </c>
      <c r="B1227" s="233" t="inlineStr">
        <is>
          <t>297500</t>
        </is>
      </c>
      <c r="C1227" s="227" t="inlineStr">
        <is>
          <t>Dépréciations dépots et cautions</t>
        </is>
      </c>
      <c r="F1227" s="227" t="inlineStr">
        <is>
          <t>VICTOIRE</t>
        </is>
      </c>
    </row>
    <row r="1228">
      <c r="A1228" s="227">
        <f>TL[[#This Row],[Société]]&amp;" - "&amp;TL[[#This Row],[Compte]]</f>
        <v/>
      </c>
      <c r="B1228" s="233" t="inlineStr">
        <is>
          <t>297510</t>
        </is>
      </c>
      <c r="C1228" s="227" t="inlineStr">
        <is>
          <t>Dépréciations dépots</t>
        </is>
      </c>
      <c r="F1228" s="227" t="inlineStr">
        <is>
          <t>VICTOIRE</t>
        </is>
      </c>
    </row>
    <row r="1229">
      <c r="A1229" s="227">
        <f>TL[[#This Row],[Société]]&amp;" - "&amp;TL[[#This Row],[Compte]]</f>
        <v/>
      </c>
      <c r="B1229" s="233" t="inlineStr">
        <is>
          <t>297550</t>
        </is>
      </c>
      <c r="C1229" s="227" t="inlineStr">
        <is>
          <t>Dépréciations cautionnements</t>
        </is>
      </c>
      <c r="F1229" s="227" t="inlineStr">
        <is>
          <t>VICTOIRE</t>
        </is>
      </c>
    </row>
    <row r="1230">
      <c r="A1230" s="227">
        <f>TL[[#This Row],[Société]]&amp;" - "&amp;TL[[#This Row],[Compte]]</f>
        <v/>
      </c>
      <c r="B1230" s="233" t="inlineStr">
        <is>
          <t>297600</t>
        </is>
      </c>
      <c r="C1230" s="227" t="inlineStr">
        <is>
          <t>Dépréciations créances diverses</t>
        </is>
      </c>
      <c r="F1230" s="227" t="inlineStr">
        <is>
          <t>VICTOIRE</t>
        </is>
      </c>
    </row>
    <row r="1231">
      <c r="A1231" s="227">
        <f>TL[[#This Row],[Société]]&amp;" - "&amp;TL[[#This Row],[Compte]]</f>
        <v/>
      </c>
      <c r="B1231" s="233" t="inlineStr">
        <is>
          <t>310000</t>
        </is>
      </c>
      <c r="C1231" s="227" t="inlineStr">
        <is>
          <t>Stocks matières premières</t>
        </is>
      </c>
      <c r="F1231" s="227" t="inlineStr">
        <is>
          <t>VICTOIRE</t>
        </is>
      </c>
    </row>
    <row r="1232">
      <c r="A1232" s="227">
        <f>TL[[#This Row],[Société]]&amp;" - "&amp;TL[[#This Row],[Compte]]</f>
        <v/>
      </c>
      <c r="B1232" s="233" t="inlineStr">
        <is>
          <t>311000</t>
        </is>
      </c>
      <c r="C1232" s="227" t="inlineStr">
        <is>
          <t>STOCK MATIERES PREMIERES</t>
        </is>
      </c>
      <c r="F1232" s="227" t="inlineStr">
        <is>
          <t>VICTOIRE</t>
        </is>
      </c>
    </row>
    <row r="1233">
      <c r="A1233" s="227">
        <f>TL[[#This Row],[Société]]&amp;" - "&amp;TL[[#This Row],[Compte]]</f>
        <v/>
      </c>
      <c r="B1233" s="233" t="inlineStr">
        <is>
          <t>312000</t>
        </is>
      </c>
      <c r="C1233" s="227" t="inlineStr">
        <is>
          <t>Matière première (ou groupe) B</t>
        </is>
      </c>
      <c r="F1233" s="227" t="inlineStr">
        <is>
          <t>VICTOIRE</t>
        </is>
      </c>
    </row>
    <row r="1234">
      <c r="A1234" s="227">
        <f>TL[[#This Row],[Société]]&amp;" - "&amp;TL[[#This Row],[Compte]]</f>
        <v/>
      </c>
      <c r="B1234" s="233" t="inlineStr">
        <is>
          <t>317000</t>
        </is>
      </c>
      <c r="C1234" s="227" t="inlineStr">
        <is>
          <t>Fournitures A, B, C...</t>
        </is>
      </c>
      <c r="F1234" s="227" t="inlineStr">
        <is>
          <t>VICTOIRE</t>
        </is>
      </c>
    </row>
    <row r="1235">
      <c r="A1235" s="227">
        <f>TL[[#This Row],[Société]]&amp;" - "&amp;TL[[#This Row],[Compte]]</f>
        <v/>
      </c>
      <c r="B1235" s="233" t="inlineStr">
        <is>
          <t>320000</t>
        </is>
      </c>
      <c r="C1235" s="227" t="inlineStr">
        <is>
          <t>A-Nouveaux au 01/04/2019</t>
        </is>
      </c>
      <c r="F1235" s="227" t="inlineStr">
        <is>
          <t>VICTOIRE</t>
        </is>
      </c>
    </row>
    <row r="1236">
      <c r="A1236" s="227">
        <f>TL[[#This Row],[Société]]&amp;" - "&amp;TL[[#This Row],[Compte]]</f>
        <v/>
      </c>
      <c r="B1236" s="233" t="inlineStr">
        <is>
          <t>321000</t>
        </is>
      </c>
      <c r="C1236" s="227" t="inlineStr">
        <is>
          <t>STOCK PAPER</t>
        </is>
      </c>
      <c r="F1236" s="227" t="inlineStr">
        <is>
          <t>VICTOIRE</t>
        </is>
      </c>
    </row>
    <row r="1237">
      <c r="A1237" s="227">
        <f>TL[[#This Row],[Société]]&amp;" - "&amp;TL[[#This Row],[Compte]]</f>
        <v/>
      </c>
      <c r="B1237" s="233" t="inlineStr">
        <is>
          <t>321100</t>
        </is>
      </c>
      <c r="C1237" s="227" t="inlineStr">
        <is>
          <t>Matière consommable (ou groupe) C</t>
        </is>
      </c>
      <c r="F1237" s="227" t="inlineStr">
        <is>
          <t>VICTOIRE</t>
        </is>
      </c>
    </row>
    <row r="1238">
      <c r="A1238" s="227">
        <f>TL[[#This Row],[Société]]&amp;" - "&amp;TL[[#This Row],[Compte]]</f>
        <v/>
      </c>
      <c r="B1238" s="233" t="inlineStr">
        <is>
          <t>321200</t>
        </is>
      </c>
      <c r="C1238" s="227" t="inlineStr">
        <is>
          <t>Matière consommable (ou groupe) D</t>
        </is>
      </c>
      <c r="F1238" s="227" t="inlineStr">
        <is>
          <t>VICTOIRE</t>
        </is>
      </c>
    </row>
    <row r="1239">
      <c r="A1239" s="227">
        <f>TL[[#This Row],[Société]]&amp;" - "&amp;TL[[#This Row],[Compte]]</f>
        <v/>
      </c>
      <c r="B1239" s="233" t="inlineStr">
        <is>
          <t>322000</t>
        </is>
      </c>
      <c r="C1239" s="227" t="inlineStr">
        <is>
          <t>STOCK HAPPY MEAL</t>
        </is>
      </c>
      <c r="F1239" s="227" t="inlineStr">
        <is>
          <t>VICTOIRE</t>
        </is>
      </c>
    </row>
    <row r="1240">
      <c r="A1240" s="227">
        <f>TL[[#This Row],[Société]]&amp;" - "&amp;TL[[#This Row],[Compte]]</f>
        <v/>
      </c>
      <c r="B1240" s="233" t="inlineStr">
        <is>
          <t>322100</t>
        </is>
      </c>
      <c r="C1240" s="227" t="inlineStr">
        <is>
          <t>Fourn. consomm. combustible</t>
        </is>
      </c>
      <c r="F1240" s="227" t="inlineStr">
        <is>
          <t>VICTOIRE</t>
        </is>
      </c>
    </row>
    <row r="1241">
      <c r="A1241" s="227">
        <f>TL[[#This Row],[Société]]&amp;" - "&amp;TL[[#This Row],[Compte]]</f>
        <v/>
      </c>
      <c r="B1241" s="233" t="inlineStr">
        <is>
          <t>322200</t>
        </is>
      </c>
      <c r="C1241" s="227" t="inlineStr">
        <is>
          <t>Fourn. consomm. produits entretien</t>
        </is>
      </c>
      <c r="F1241" s="227" t="inlineStr">
        <is>
          <t>VICTOIRE</t>
        </is>
      </c>
    </row>
    <row r="1242">
      <c r="A1242" s="227">
        <f>TL[[#This Row],[Société]]&amp;" - "&amp;TL[[#This Row],[Compte]]</f>
        <v/>
      </c>
      <c r="B1242" s="233" t="inlineStr">
        <is>
          <t>322300</t>
        </is>
      </c>
      <c r="C1242" s="227" t="inlineStr">
        <is>
          <t>Fourn. consomm. d'atelier &amp; usine</t>
        </is>
      </c>
      <c r="F1242" s="227" t="inlineStr">
        <is>
          <t>VICTOIRE</t>
        </is>
      </c>
    </row>
    <row r="1243">
      <c r="A1243" s="227">
        <f>TL[[#This Row],[Société]]&amp;" - "&amp;TL[[#This Row],[Compte]]</f>
        <v/>
      </c>
      <c r="B1243" s="233" t="inlineStr">
        <is>
          <t>322400</t>
        </is>
      </c>
      <c r="C1243" s="227" t="inlineStr">
        <is>
          <t>Fourn. consomm. de magasin</t>
        </is>
      </c>
      <c r="F1243" s="227" t="inlineStr">
        <is>
          <t>VICTOIRE</t>
        </is>
      </c>
    </row>
    <row r="1244">
      <c r="A1244" s="227">
        <f>TL[[#This Row],[Société]]&amp;" - "&amp;TL[[#This Row],[Compte]]</f>
        <v/>
      </c>
      <c r="B1244" s="233" t="inlineStr">
        <is>
          <t>322500</t>
        </is>
      </c>
      <c r="C1244" s="227" t="inlineStr">
        <is>
          <t>Fournitures de bureau</t>
        </is>
      </c>
      <c r="F1244" s="227" t="inlineStr">
        <is>
          <t>VICTOIRE</t>
        </is>
      </c>
    </row>
    <row r="1245">
      <c r="A1245" s="227">
        <f>TL[[#This Row],[Société]]&amp;" - "&amp;TL[[#This Row],[Compte]]</f>
        <v/>
      </c>
      <c r="B1245" s="233" t="inlineStr">
        <is>
          <t>326000</t>
        </is>
      </c>
      <c r="C1245" s="227" t="inlineStr">
        <is>
          <t>Stocks d'emballages</t>
        </is>
      </c>
      <c r="F1245" s="227" t="inlineStr">
        <is>
          <t>VICTOIRE</t>
        </is>
      </c>
    </row>
    <row r="1246">
      <c r="A1246" s="227">
        <f>TL[[#This Row],[Société]]&amp;" - "&amp;TL[[#This Row],[Compte]]</f>
        <v/>
      </c>
      <c r="B1246" s="233" t="inlineStr">
        <is>
          <t>331000</t>
        </is>
      </c>
      <c r="C1246" s="227" t="inlineStr">
        <is>
          <t>Production en cours</t>
        </is>
      </c>
      <c r="F1246" s="227" t="inlineStr">
        <is>
          <t>VICTOIRE</t>
        </is>
      </c>
    </row>
    <row r="1247">
      <c r="A1247" s="227">
        <f>TL[[#This Row],[Société]]&amp;" - "&amp;TL[[#This Row],[Compte]]</f>
        <v/>
      </c>
      <c r="B1247" s="233" t="inlineStr">
        <is>
          <t>335000</t>
        </is>
      </c>
      <c r="C1247" s="227" t="inlineStr">
        <is>
          <t>Travaux en cours</t>
        </is>
      </c>
      <c r="F1247" s="227" t="inlineStr">
        <is>
          <t>VICTOIRE</t>
        </is>
      </c>
    </row>
    <row r="1248">
      <c r="A1248" s="227">
        <f>TL[[#This Row],[Société]]&amp;" - "&amp;TL[[#This Row],[Compte]]</f>
        <v/>
      </c>
      <c r="B1248" s="233" t="inlineStr">
        <is>
          <t>341000</t>
        </is>
      </c>
      <c r="C1248" s="227" t="inlineStr">
        <is>
          <t>Etudes en cours</t>
        </is>
      </c>
      <c r="F1248" s="227" t="inlineStr">
        <is>
          <t>VICTOIRE</t>
        </is>
      </c>
    </row>
    <row r="1249">
      <c r="A1249" s="227">
        <f>TL[[#This Row],[Société]]&amp;" - "&amp;TL[[#This Row],[Compte]]</f>
        <v/>
      </c>
      <c r="B1249" s="233" t="inlineStr">
        <is>
          <t>345000</t>
        </is>
      </c>
      <c r="C1249" s="227" t="inlineStr">
        <is>
          <t>Prestations de services en cours</t>
        </is>
      </c>
      <c r="F1249" s="227" t="inlineStr">
        <is>
          <t>VICTOIRE</t>
        </is>
      </c>
    </row>
    <row r="1250">
      <c r="A1250" s="227">
        <f>TL[[#This Row],[Société]]&amp;" - "&amp;TL[[#This Row],[Compte]]</f>
        <v/>
      </c>
      <c r="B1250" s="233" t="inlineStr">
        <is>
          <t>348000</t>
        </is>
      </c>
      <c r="C1250" s="227" t="inlineStr">
        <is>
          <t>Appels d'offres en cours</t>
        </is>
      </c>
      <c r="F1250" s="227" t="inlineStr">
        <is>
          <t>VICTOIRE</t>
        </is>
      </c>
    </row>
    <row r="1251">
      <c r="A1251" s="227">
        <f>TL[[#This Row],[Société]]&amp;" - "&amp;TL[[#This Row],[Compte]]</f>
        <v/>
      </c>
      <c r="B1251" s="233" t="inlineStr">
        <is>
          <t>351000</t>
        </is>
      </c>
      <c r="C1251" s="227" t="inlineStr">
        <is>
          <t>Stocks de produits intermédiaires</t>
        </is>
      </c>
      <c r="F1251" s="227" t="inlineStr">
        <is>
          <t>VICTOIRE</t>
        </is>
      </c>
    </row>
    <row r="1252">
      <c r="A1252" s="227">
        <f>TL[[#This Row],[Société]]&amp;" - "&amp;TL[[#This Row],[Compte]]</f>
        <v/>
      </c>
      <c r="B1252" s="233" t="inlineStr">
        <is>
          <t>351100</t>
        </is>
      </c>
      <c r="C1252" s="227" t="inlineStr">
        <is>
          <t>Produit interm. (ou groupe) A</t>
        </is>
      </c>
      <c r="F1252" s="227" t="inlineStr">
        <is>
          <t>VICTOIRE</t>
        </is>
      </c>
    </row>
    <row r="1253">
      <c r="A1253" s="227">
        <f>TL[[#This Row],[Société]]&amp;" - "&amp;TL[[#This Row],[Compte]]</f>
        <v/>
      </c>
      <c r="B1253" s="233" t="inlineStr">
        <is>
          <t>351200</t>
        </is>
      </c>
      <c r="C1253" s="227" t="inlineStr">
        <is>
          <t>Produit interm. (ou groupe) B</t>
        </is>
      </c>
      <c r="F1253" s="227" t="inlineStr">
        <is>
          <t>VICTOIRE</t>
        </is>
      </c>
    </row>
    <row r="1254">
      <c r="A1254" s="227">
        <f>TL[[#This Row],[Société]]&amp;" - "&amp;TL[[#This Row],[Compte]]</f>
        <v/>
      </c>
      <c r="B1254" s="233" t="inlineStr">
        <is>
          <t>355000</t>
        </is>
      </c>
      <c r="C1254" s="227" t="inlineStr">
        <is>
          <t>Stocks de produits finis</t>
        </is>
      </c>
      <c r="F1254" s="227" t="inlineStr">
        <is>
          <t>VICTOIRE</t>
        </is>
      </c>
    </row>
    <row r="1255">
      <c r="A1255" s="227">
        <f>TL[[#This Row],[Société]]&amp;" - "&amp;TL[[#This Row],[Compte]]</f>
        <v/>
      </c>
      <c r="B1255" s="233" t="inlineStr">
        <is>
          <t>355100</t>
        </is>
      </c>
      <c r="C1255" s="227" t="inlineStr">
        <is>
          <t>Produit finis (ou groupe) A</t>
        </is>
      </c>
      <c r="F1255" s="227" t="inlineStr">
        <is>
          <t>VICTOIRE</t>
        </is>
      </c>
    </row>
    <row r="1256">
      <c r="A1256" s="227">
        <f>TL[[#This Row],[Société]]&amp;" - "&amp;TL[[#This Row],[Compte]]</f>
        <v/>
      </c>
      <c r="B1256" s="233" t="inlineStr">
        <is>
          <t>355200</t>
        </is>
      </c>
      <c r="C1256" s="227" t="inlineStr">
        <is>
          <t>Produit finis (ou groupe) B</t>
        </is>
      </c>
      <c r="F1256" s="227" t="inlineStr">
        <is>
          <t>VICTOIRE</t>
        </is>
      </c>
    </row>
    <row r="1257">
      <c r="A1257" s="227">
        <f>TL[[#This Row],[Société]]&amp;" - "&amp;TL[[#This Row],[Compte]]</f>
        <v/>
      </c>
      <c r="B1257" s="233" t="inlineStr">
        <is>
          <t>358000</t>
        </is>
      </c>
      <c r="C1257" s="227" t="inlineStr">
        <is>
          <t>Stocks de produits résiduels</t>
        </is>
      </c>
      <c r="F1257" s="227" t="inlineStr">
        <is>
          <t>VICTOIRE</t>
        </is>
      </c>
    </row>
    <row r="1258">
      <c r="A1258" s="227">
        <f>TL[[#This Row],[Société]]&amp;" - "&amp;TL[[#This Row],[Compte]]</f>
        <v/>
      </c>
      <c r="B1258" s="233" t="inlineStr">
        <is>
          <t>360000</t>
        </is>
      </c>
      <c r="C1258" s="227" t="inlineStr">
        <is>
          <t>Stocks provenant d'immobilisations</t>
        </is>
      </c>
      <c r="F1258" s="227" t="inlineStr">
        <is>
          <t>VICTOIRE</t>
        </is>
      </c>
    </row>
    <row r="1259">
      <c r="A1259" s="227">
        <f>TL[[#This Row],[Société]]&amp;" - "&amp;TL[[#This Row],[Compte]]</f>
        <v/>
      </c>
      <c r="B1259" s="233" t="inlineStr">
        <is>
          <t>370000</t>
        </is>
      </c>
      <c r="C1259" s="227" t="inlineStr">
        <is>
          <t>Stocks de marchandises</t>
        </is>
      </c>
      <c r="F1259" s="227" t="inlineStr">
        <is>
          <t>VICTOIRE</t>
        </is>
      </c>
    </row>
    <row r="1260">
      <c r="A1260" s="227">
        <f>TL[[#This Row],[Société]]&amp;" - "&amp;TL[[#This Row],[Compte]]</f>
        <v/>
      </c>
      <c r="B1260" s="233" t="inlineStr">
        <is>
          <t>371000</t>
        </is>
      </c>
      <c r="C1260" s="227" t="inlineStr">
        <is>
          <t>Marchandise (ou groupe) A</t>
        </is>
      </c>
      <c r="F1260" s="227" t="inlineStr">
        <is>
          <t>VICTOIRE</t>
        </is>
      </c>
    </row>
    <row r="1261">
      <c r="A1261" s="227">
        <f>TL[[#This Row],[Société]]&amp;" - "&amp;TL[[#This Row],[Compte]]</f>
        <v/>
      </c>
      <c r="B1261" s="233" t="inlineStr">
        <is>
          <t>372000</t>
        </is>
      </c>
      <c r="C1261" s="227" t="inlineStr">
        <is>
          <t>Marchandise (ou groupe) B</t>
        </is>
      </c>
      <c r="F1261" s="227" t="inlineStr">
        <is>
          <t>VICTOIRE</t>
        </is>
      </c>
    </row>
    <row r="1262">
      <c r="A1262" s="227">
        <f>TL[[#This Row],[Société]]&amp;" - "&amp;TL[[#This Row],[Compte]]</f>
        <v/>
      </c>
      <c r="B1262" s="233" t="inlineStr">
        <is>
          <t>391000</t>
        </is>
      </c>
      <c r="C1262" s="227" t="inlineStr">
        <is>
          <t>Dépréciations matières premières</t>
        </is>
      </c>
      <c r="F1262" s="227" t="inlineStr">
        <is>
          <t>VICTOIRE</t>
        </is>
      </c>
    </row>
    <row r="1263">
      <c r="A1263" s="227">
        <f>TL[[#This Row],[Société]]&amp;" - "&amp;TL[[#This Row],[Compte]]</f>
        <v/>
      </c>
      <c r="B1263" s="233" t="inlineStr">
        <is>
          <t>392000</t>
        </is>
      </c>
      <c r="C1263" s="227" t="inlineStr">
        <is>
          <t>Dépréciations autres approvisiont.</t>
        </is>
      </c>
      <c r="F1263" s="227" t="inlineStr">
        <is>
          <t>VICTOIRE</t>
        </is>
      </c>
    </row>
    <row r="1264">
      <c r="A1264" s="227">
        <f>TL[[#This Row],[Société]]&amp;" - "&amp;TL[[#This Row],[Compte]]</f>
        <v/>
      </c>
      <c r="B1264" s="233" t="inlineStr">
        <is>
          <t>393000</t>
        </is>
      </c>
      <c r="C1264" s="227" t="inlineStr">
        <is>
          <t>Dépréciations en-cours production</t>
        </is>
      </c>
      <c r="F1264" s="227" t="inlineStr">
        <is>
          <t>VICTOIRE</t>
        </is>
      </c>
    </row>
    <row r="1265">
      <c r="A1265" s="227">
        <f>TL[[#This Row],[Société]]&amp;" - "&amp;TL[[#This Row],[Compte]]</f>
        <v/>
      </c>
      <c r="B1265" s="233" t="inlineStr">
        <is>
          <t>394000</t>
        </is>
      </c>
      <c r="C1265" s="227" t="inlineStr">
        <is>
          <t>Dépréciations en-cours produc. sces</t>
        </is>
      </c>
      <c r="F1265" s="227" t="inlineStr">
        <is>
          <t>VICTOIRE</t>
        </is>
      </c>
    </row>
    <row r="1266">
      <c r="A1266" s="227">
        <f>TL[[#This Row],[Société]]&amp;" - "&amp;TL[[#This Row],[Compte]]</f>
        <v/>
      </c>
      <c r="B1266" s="233" t="inlineStr">
        <is>
          <t>395000</t>
        </is>
      </c>
      <c r="C1266" s="227" t="inlineStr">
        <is>
          <t>Dépréciations stocks de produits</t>
        </is>
      </c>
      <c r="F1266" s="227" t="inlineStr">
        <is>
          <t>VICTOIRE</t>
        </is>
      </c>
    </row>
    <row r="1267">
      <c r="A1267" s="227">
        <f>TL[[#This Row],[Société]]&amp;" - "&amp;TL[[#This Row],[Compte]]</f>
        <v/>
      </c>
      <c r="B1267" s="233" t="inlineStr">
        <is>
          <t>397000</t>
        </is>
      </c>
      <c r="C1267" s="227" t="inlineStr">
        <is>
          <t>Dépréciations stocks de marchand.</t>
        </is>
      </c>
      <c r="F1267" s="227" t="inlineStr">
        <is>
          <t>VICTOIRE</t>
        </is>
      </c>
    </row>
    <row r="1268">
      <c r="A1268" s="227">
        <f>TL[[#This Row],[Société]]&amp;" - "&amp;TL[[#This Row],[Compte]]</f>
        <v/>
      </c>
      <c r="B1268" s="233" t="inlineStr">
        <is>
          <t>401000</t>
        </is>
      </c>
      <c r="C1268" s="227" t="inlineStr">
        <is>
          <t>Fournisseurs</t>
        </is>
      </c>
      <c r="F1268" s="227" t="inlineStr">
        <is>
          <t>VICTOIRE</t>
        </is>
      </c>
    </row>
    <row r="1269">
      <c r="A1269" s="227">
        <f>TL[[#This Row],[Société]]&amp;" - "&amp;TL[[#This Row],[Compte]]</f>
        <v/>
      </c>
      <c r="B1269" s="233" t="inlineStr">
        <is>
          <t>401100</t>
        </is>
      </c>
      <c r="C1269" s="227" t="inlineStr">
        <is>
          <t>Fournisseurs</t>
        </is>
      </c>
      <c r="F1269" s="227" t="inlineStr">
        <is>
          <t>VICTOIRE</t>
        </is>
      </c>
    </row>
    <row r="1270">
      <c r="A1270" s="227">
        <f>TL[[#This Row],[Société]]&amp;" - "&amp;TL[[#This Row],[Compte]]</f>
        <v/>
      </c>
      <c r="B1270" s="233" t="inlineStr">
        <is>
          <t>401700</t>
        </is>
      </c>
      <c r="C1270" s="227" t="inlineStr">
        <is>
          <t>Fournisseurs - retenue de garantie</t>
        </is>
      </c>
      <c r="F1270" s="227" t="inlineStr">
        <is>
          <t>VICTOIRE</t>
        </is>
      </c>
    </row>
    <row r="1271">
      <c r="A1271" s="227">
        <f>TL[[#This Row],[Société]]&amp;" - "&amp;TL[[#This Row],[Compte]]</f>
        <v/>
      </c>
      <c r="B1271" s="233" t="inlineStr">
        <is>
          <t>403000</t>
        </is>
      </c>
      <c r="C1271" s="227" t="inlineStr">
        <is>
          <t>Fournisseurs - effets à payer</t>
        </is>
      </c>
      <c r="F1271" s="227" t="inlineStr">
        <is>
          <t>VICTOIRE</t>
        </is>
      </c>
    </row>
    <row r="1272">
      <c r="A1272" s="227">
        <f>TL[[#This Row],[Société]]&amp;" - "&amp;TL[[#This Row],[Compte]]</f>
        <v/>
      </c>
      <c r="B1272" s="233" t="inlineStr">
        <is>
          <t>404100</t>
        </is>
      </c>
      <c r="C1272" s="227" t="inlineStr">
        <is>
          <t>Fournisseurs d'immobilisations</t>
        </is>
      </c>
      <c r="F1272" s="227" t="inlineStr">
        <is>
          <t>VICTOIRE</t>
        </is>
      </c>
    </row>
    <row r="1273">
      <c r="A1273" s="227">
        <f>TL[[#This Row],[Société]]&amp;" - "&amp;TL[[#This Row],[Compte]]</f>
        <v/>
      </c>
      <c r="B1273" s="233" t="inlineStr">
        <is>
          <t>404170</t>
        </is>
      </c>
      <c r="C1273" s="227" t="inlineStr">
        <is>
          <t>Fournisseurs d'immobilisations (CT)</t>
        </is>
      </c>
      <c r="F1273" s="227" t="inlineStr">
        <is>
          <t>VICTOIRE</t>
        </is>
      </c>
    </row>
    <row r="1274">
      <c r="A1274" s="227">
        <f>TL[[#This Row],[Société]]&amp;" - "&amp;TL[[#This Row],[Compte]]</f>
        <v/>
      </c>
      <c r="B1274" s="233" t="inlineStr">
        <is>
          <t>404180</t>
        </is>
      </c>
      <c r="C1274" s="227" t="inlineStr">
        <is>
          <t>Fournisseurs d'immobilisations (MT)</t>
        </is>
      </c>
      <c r="F1274" s="227" t="inlineStr">
        <is>
          <t>VICTOIRE</t>
        </is>
      </c>
    </row>
    <row r="1275">
      <c r="A1275" s="227">
        <f>TL[[#This Row],[Société]]&amp;" - "&amp;TL[[#This Row],[Compte]]</f>
        <v/>
      </c>
      <c r="B1275" s="233" t="inlineStr">
        <is>
          <t>404700</t>
        </is>
      </c>
      <c r="C1275" s="227" t="inlineStr">
        <is>
          <t>Fournisseurs immobilis. reten. gara</t>
        </is>
      </c>
      <c r="F1275" s="227" t="inlineStr">
        <is>
          <t>VICTOIRE</t>
        </is>
      </c>
    </row>
    <row r="1276">
      <c r="A1276" s="227">
        <f>TL[[#This Row],[Société]]&amp;" - "&amp;TL[[#This Row],[Compte]]</f>
        <v/>
      </c>
      <c r="B1276" s="233" t="inlineStr">
        <is>
          <t>405000</t>
        </is>
      </c>
      <c r="C1276" s="227" t="inlineStr">
        <is>
          <t>Fournisseurs d'immobilisat. - effet</t>
        </is>
      </c>
      <c r="F1276" s="227" t="inlineStr">
        <is>
          <t>VICTOIRE</t>
        </is>
      </c>
    </row>
    <row r="1277">
      <c r="A1277" s="227">
        <f>TL[[#This Row],[Société]]&amp;" - "&amp;TL[[#This Row],[Compte]]</f>
        <v/>
      </c>
      <c r="B1277" s="233" t="inlineStr">
        <is>
          <t>408100</t>
        </is>
      </c>
      <c r="C1277" s="227" t="inlineStr">
        <is>
          <t>FOURNISSEURS FACT NON PARVENUE</t>
        </is>
      </c>
      <c r="F1277" s="227" t="inlineStr">
        <is>
          <t>VICTOIRE</t>
        </is>
      </c>
    </row>
    <row r="1278">
      <c r="A1278" s="227">
        <f>TL[[#This Row],[Société]]&amp;" - "&amp;TL[[#This Row],[Compte]]</f>
        <v/>
      </c>
      <c r="B1278" s="233" t="inlineStr">
        <is>
          <t>408101</t>
        </is>
      </c>
      <c r="C1278" s="227" t="inlineStr">
        <is>
          <t>Achats matières premières NP</t>
        </is>
      </c>
      <c r="F1278" s="227" t="inlineStr">
        <is>
          <t>VICTOIRE</t>
        </is>
      </c>
    </row>
    <row r="1279">
      <c r="A1279" s="227">
        <f>TL[[#This Row],[Société]]&amp;" - "&amp;TL[[#This Row],[Compte]]</f>
        <v/>
      </c>
      <c r="B1279" s="233" t="inlineStr">
        <is>
          <t>408102</t>
        </is>
      </c>
      <c r="C1279" s="227" t="inlineStr">
        <is>
          <t>Achats consommables NP</t>
        </is>
      </c>
      <c r="F1279" s="227" t="inlineStr">
        <is>
          <t>VICTOIRE</t>
        </is>
      </c>
    </row>
    <row r="1280">
      <c r="A1280" s="227">
        <f>TL[[#This Row],[Société]]&amp;" - "&amp;TL[[#This Row],[Compte]]</f>
        <v/>
      </c>
      <c r="B1280" s="233" t="inlineStr">
        <is>
          <t>408104</t>
        </is>
      </c>
      <c r="C1280" s="227" t="inlineStr">
        <is>
          <t>Achats de sous-traitance NP</t>
        </is>
      </c>
      <c r="F1280" s="227" t="inlineStr">
        <is>
          <t>VICTOIRE</t>
        </is>
      </c>
    </row>
    <row r="1281">
      <c r="A1281" s="227">
        <f>TL[[#This Row],[Société]]&amp;" - "&amp;TL[[#This Row],[Compte]]</f>
        <v/>
      </c>
      <c r="B1281" s="233" t="inlineStr">
        <is>
          <t>408106</t>
        </is>
      </c>
      <c r="C1281" s="227" t="inlineStr">
        <is>
          <t>Electricité NP</t>
        </is>
      </c>
      <c r="F1281" s="227" t="inlineStr">
        <is>
          <t>VICTOIRE</t>
        </is>
      </c>
    </row>
    <row r="1282">
      <c r="A1282" s="227">
        <f>TL[[#This Row],[Société]]&amp;" - "&amp;TL[[#This Row],[Compte]]</f>
        <v/>
      </c>
      <c r="B1282" s="233" t="inlineStr">
        <is>
          <t>408107</t>
        </is>
      </c>
      <c r="C1282" s="227" t="inlineStr">
        <is>
          <t>Achats de marchandises NP</t>
        </is>
      </c>
      <c r="F1282" s="227" t="inlineStr">
        <is>
          <t>VICTOIRE</t>
        </is>
      </c>
    </row>
    <row r="1283">
      <c r="A1283" s="227">
        <f>TL[[#This Row],[Société]]&amp;" - "&amp;TL[[#This Row],[Compte]]</f>
        <v/>
      </c>
      <c r="B1283" s="233" t="inlineStr">
        <is>
          <t>408132</t>
        </is>
      </c>
      <c r="C1283" s="227" t="inlineStr">
        <is>
          <t>Locations immobilières NP</t>
        </is>
      </c>
      <c r="F1283" s="227" t="inlineStr">
        <is>
          <t>VICTOIRE</t>
        </is>
      </c>
    </row>
    <row r="1284">
      <c r="A1284" s="227">
        <f>TL[[#This Row],[Société]]&amp;" - "&amp;TL[[#This Row],[Compte]]</f>
        <v/>
      </c>
      <c r="B1284" s="233" t="inlineStr">
        <is>
          <t>408133</t>
        </is>
      </c>
      <c r="C1284" s="227" t="inlineStr">
        <is>
          <t>Location Gérance NP</t>
        </is>
      </c>
      <c r="F1284" s="227" t="inlineStr">
        <is>
          <t>VICTOIRE</t>
        </is>
      </c>
    </row>
    <row r="1285">
      <c r="A1285" s="227">
        <f>TL[[#This Row],[Société]]&amp;" - "&amp;TL[[#This Row],[Compte]]</f>
        <v/>
      </c>
      <c r="B1285" s="233" t="inlineStr">
        <is>
          <t>408135</t>
        </is>
      </c>
      <c r="C1285" s="227" t="inlineStr">
        <is>
          <t>Locations immobilières NP</t>
        </is>
      </c>
      <c r="F1285" s="227" t="inlineStr">
        <is>
          <t>VICTOIRE</t>
        </is>
      </c>
    </row>
    <row r="1286">
      <c r="A1286" s="227">
        <f>TL[[#This Row],[Société]]&amp;" - "&amp;TL[[#This Row],[Compte]]</f>
        <v/>
      </c>
      <c r="B1286" s="233" t="inlineStr">
        <is>
          <t>408140</t>
        </is>
      </c>
      <c r="C1286" s="227" t="inlineStr">
        <is>
          <t>Charges locatives NP</t>
        </is>
      </c>
      <c r="F1286" s="227" t="inlineStr">
        <is>
          <t>VICTOIRE</t>
        </is>
      </c>
    </row>
    <row r="1287">
      <c r="A1287" s="227">
        <f>TL[[#This Row],[Société]]&amp;" - "&amp;TL[[#This Row],[Compte]]</f>
        <v/>
      </c>
      <c r="B1287" s="233" t="inlineStr">
        <is>
          <t>408152</t>
        </is>
      </c>
      <c r="C1287" s="227" t="inlineStr">
        <is>
          <t>Entretien immobilier NP</t>
        </is>
      </c>
      <c r="F1287" s="227" t="inlineStr">
        <is>
          <t>VICTOIRE</t>
        </is>
      </c>
    </row>
    <row r="1288">
      <c r="A1288" s="227">
        <f>TL[[#This Row],[Société]]&amp;" - "&amp;TL[[#This Row],[Compte]]</f>
        <v/>
      </c>
      <c r="B1288" s="233" t="inlineStr">
        <is>
          <t>408155</t>
        </is>
      </c>
      <c r="C1288" s="227" t="inlineStr">
        <is>
          <t>Entretien mobilier NP</t>
        </is>
      </c>
      <c r="F1288" s="227" t="inlineStr">
        <is>
          <t>VICTOIRE</t>
        </is>
      </c>
    </row>
    <row r="1289">
      <c r="A1289" s="227">
        <f>TL[[#This Row],[Société]]&amp;" - "&amp;TL[[#This Row],[Compte]]</f>
        <v/>
      </c>
      <c r="B1289" s="233" t="inlineStr">
        <is>
          <t>408156</t>
        </is>
      </c>
      <c r="C1289" s="227" t="inlineStr">
        <is>
          <t>Maintenance NP</t>
        </is>
      </c>
      <c r="F1289" s="227" t="inlineStr">
        <is>
          <t>VICTOIRE</t>
        </is>
      </c>
    </row>
    <row r="1290">
      <c r="A1290" s="227">
        <f>TL[[#This Row],[Société]]&amp;" - "&amp;TL[[#This Row],[Compte]]</f>
        <v/>
      </c>
      <c r="B1290" s="233" t="inlineStr">
        <is>
          <t>408160</t>
        </is>
      </c>
      <c r="C1290" s="227" t="inlineStr">
        <is>
          <t>Assurances NP</t>
        </is>
      </c>
      <c r="F1290" s="227" t="inlineStr">
        <is>
          <t>VICTOIRE</t>
        </is>
      </c>
    </row>
    <row r="1291">
      <c r="A1291" s="227">
        <f>TL[[#This Row],[Société]]&amp;" - "&amp;TL[[#This Row],[Compte]]</f>
        <v/>
      </c>
      <c r="B1291" s="233" t="inlineStr">
        <is>
          <t>408200</t>
        </is>
      </c>
      <c r="C1291" s="227" t="inlineStr">
        <is>
          <t>MCDO FRANCE CHARGE A PAYER</t>
        </is>
      </c>
      <c r="F1291" s="227" t="inlineStr">
        <is>
          <t>VICTOIRE</t>
        </is>
      </c>
    </row>
    <row r="1292">
      <c r="A1292" s="227">
        <f>TL[[#This Row],[Société]]&amp;" - "&amp;TL[[#This Row],[Compte]]</f>
        <v/>
      </c>
      <c r="B1292" s="233" t="inlineStr">
        <is>
          <t>408210</t>
        </is>
      </c>
      <c r="C1292" s="227" t="inlineStr">
        <is>
          <t>Personnel extérieur NP</t>
        </is>
      </c>
      <c r="F1292" s="227" t="inlineStr">
        <is>
          <t>VICTOIRE</t>
        </is>
      </c>
    </row>
    <row r="1293">
      <c r="A1293" s="227">
        <f>TL[[#This Row],[Société]]&amp;" - "&amp;TL[[#This Row],[Compte]]</f>
        <v/>
      </c>
      <c r="B1293" s="233" t="inlineStr">
        <is>
          <t>408220</t>
        </is>
      </c>
      <c r="C1293" s="227" t="inlineStr">
        <is>
          <t>Commissions NP</t>
        </is>
      </c>
      <c r="F1293" s="227" t="inlineStr">
        <is>
          <t>VICTOIRE</t>
        </is>
      </c>
    </row>
    <row r="1294">
      <c r="A1294" s="227">
        <f>TL[[#This Row],[Société]]&amp;" - "&amp;TL[[#This Row],[Compte]]</f>
        <v/>
      </c>
      <c r="B1294" s="233" t="inlineStr">
        <is>
          <t>408226</t>
        </is>
      </c>
      <c r="C1294" s="227" t="inlineStr">
        <is>
          <t>Honoraires NP</t>
        </is>
      </c>
      <c r="F1294" s="227" t="inlineStr">
        <is>
          <t>VICTOIRE</t>
        </is>
      </c>
    </row>
    <row r="1295">
      <c r="A1295" s="227">
        <f>TL[[#This Row],[Société]]&amp;" - "&amp;TL[[#This Row],[Compte]]</f>
        <v/>
      </c>
      <c r="B1295" s="233" t="inlineStr">
        <is>
          <t>408260</t>
        </is>
      </c>
      <c r="C1295" s="227" t="inlineStr">
        <is>
          <t>Frais de télécommunications NP</t>
        </is>
      </c>
      <c r="F1295" s="227" t="inlineStr">
        <is>
          <t>VICTOIRE</t>
        </is>
      </c>
    </row>
    <row r="1296">
      <c r="A1296" s="227">
        <f>TL[[#This Row],[Société]]&amp;" - "&amp;TL[[#This Row],[Compte]]</f>
        <v/>
      </c>
      <c r="B1296" s="233" t="inlineStr">
        <is>
          <t>408300</t>
        </is>
      </c>
      <c r="C1296" s="227" t="inlineStr">
        <is>
          <t>CAP PUB LOCALE</t>
        </is>
      </c>
      <c r="F1296" s="227" t="inlineStr">
        <is>
          <t>VICTOIRE</t>
        </is>
      </c>
    </row>
    <row r="1297">
      <c r="A1297" s="227">
        <f>TL[[#This Row],[Société]]&amp;" - "&amp;TL[[#This Row],[Compte]]</f>
        <v/>
      </c>
      <c r="B1297" s="233" t="inlineStr">
        <is>
          <t>408400</t>
        </is>
      </c>
      <c r="C1297" s="227" t="inlineStr">
        <is>
          <t>Frs immobil. - fact. non parvenues</t>
        </is>
      </c>
      <c r="F1297" s="227" t="inlineStr">
        <is>
          <t>VICTOIRE</t>
        </is>
      </c>
    </row>
    <row r="1298">
      <c r="A1298" s="227">
        <f>TL[[#This Row],[Société]]&amp;" - "&amp;TL[[#This Row],[Compte]]</f>
        <v/>
      </c>
      <c r="B1298" s="233" t="inlineStr">
        <is>
          <t>408500</t>
        </is>
      </c>
      <c r="C1298" s="227" t="inlineStr">
        <is>
          <t>PROV IMPACT CICE</t>
        </is>
      </c>
      <c r="F1298" s="227" t="inlineStr">
        <is>
          <t>VICTOIRE</t>
        </is>
      </c>
    </row>
    <row r="1299">
      <c r="A1299" s="227">
        <f>TL[[#This Row],[Société]]&amp;" - "&amp;TL[[#This Row],[Compte]]</f>
        <v/>
      </c>
      <c r="B1299" s="233" t="inlineStr">
        <is>
          <t>408800</t>
        </is>
      </c>
      <c r="C1299" s="227" t="inlineStr">
        <is>
          <t>Fournisseurs - intérêts courus</t>
        </is>
      </c>
      <c r="F1299" s="227" t="inlineStr">
        <is>
          <t>VICTOIRE</t>
        </is>
      </c>
    </row>
    <row r="1300">
      <c r="A1300" s="227">
        <f>TL[[#This Row],[Société]]&amp;" - "&amp;TL[[#This Row],[Compte]]</f>
        <v/>
      </c>
      <c r="B1300" s="233" t="inlineStr">
        <is>
          <t>409100</t>
        </is>
      </c>
      <c r="C1300" s="227" t="inlineStr">
        <is>
          <t>FRS AVANCES/ACPTES S/CDES</t>
        </is>
      </c>
      <c r="F1300" s="227" t="inlineStr">
        <is>
          <t>VICTOIRE</t>
        </is>
      </c>
    </row>
    <row r="1301">
      <c r="A1301" s="227">
        <f>TL[[#This Row],[Société]]&amp;" - "&amp;TL[[#This Row],[Compte]]</f>
        <v/>
      </c>
      <c r="B1301" s="233" t="inlineStr">
        <is>
          <t>409600</t>
        </is>
      </c>
      <c r="C1301" s="227" t="inlineStr">
        <is>
          <t>Fournisseurs - emballages à rendre</t>
        </is>
      </c>
      <c r="F1301" s="227" t="inlineStr">
        <is>
          <t>VICTOIRE</t>
        </is>
      </c>
    </row>
    <row r="1302">
      <c r="A1302" s="227">
        <f>TL[[#This Row],[Société]]&amp;" - "&amp;TL[[#This Row],[Compte]]</f>
        <v/>
      </c>
      <c r="B1302" s="233" t="inlineStr">
        <is>
          <t>409601</t>
        </is>
      </c>
      <c r="C1302" s="227" t="inlineStr">
        <is>
          <t>CONSIGNES DEMI-PALETTES MB</t>
        </is>
      </c>
      <c r="F1302" s="227" t="inlineStr">
        <is>
          <t>VICTOIRE</t>
        </is>
      </c>
    </row>
    <row r="1303">
      <c r="A1303" s="227">
        <f>TL[[#This Row],[Société]]&amp;" - "&amp;TL[[#This Row],[Compte]]</f>
        <v/>
      </c>
      <c r="B1303" s="233" t="inlineStr">
        <is>
          <t>409602</t>
        </is>
      </c>
      <c r="C1303" s="227" t="inlineStr">
        <is>
          <t>CONSIGNES MB-DOLLIES</t>
        </is>
      </c>
      <c r="F1303" s="227" t="inlineStr">
        <is>
          <t>VICTOIRE</t>
        </is>
      </c>
    </row>
    <row r="1304">
      <c r="A1304" s="227">
        <f>TL[[#This Row],[Société]]&amp;" - "&amp;TL[[#This Row],[Compte]]</f>
        <v/>
      </c>
      <c r="B1304" s="233" t="inlineStr">
        <is>
          <t>409610</t>
        </is>
      </c>
      <c r="C1304" s="227" t="inlineStr">
        <is>
          <t>A-Nouveaux au 01/04/2019</t>
        </is>
      </c>
      <c r="F1304" s="227" t="inlineStr">
        <is>
          <t>VICTOIRE</t>
        </is>
      </c>
    </row>
    <row r="1305">
      <c r="A1305" s="227">
        <f>TL[[#This Row],[Société]]&amp;" - "&amp;TL[[#This Row],[Compte]]</f>
        <v/>
      </c>
      <c r="B1305" s="233" t="inlineStr">
        <is>
          <t>409611</t>
        </is>
      </c>
      <c r="C1305" s="227" t="inlineStr">
        <is>
          <t>A-Nouveaux au 01/04/2019</t>
        </is>
      </c>
      <c r="F1305" s="227" t="inlineStr">
        <is>
          <t>VICTOIRE</t>
        </is>
      </c>
    </row>
    <row r="1306">
      <c r="A1306" s="227">
        <f>TL[[#This Row],[Société]]&amp;" - "&amp;TL[[#This Row],[Compte]]</f>
        <v/>
      </c>
      <c r="B1306" s="233" t="inlineStr">
        <is>
          <t>409700</t>
        </is>
      </c>
      <c r="C1306" s="227" t="inlineStr">
        <is>
          <t>Fournisseurs - autres avoirs</t>
        </is>
      </c>
      <c r="F1306" s="227" t="inlineStr">
        <is>
          <t>VICTOIRE</t>
        </is>
      </c>
    </row>
    <row r="1307">
      <c r="A1307" s="227">
        <f>TL[[#This Row],[Société]]&amp;" - "&amp;TL[[#This Row],[Compte]]</f>
        <v/>
      </c>
      <c r="B1307" s="233" t="inlineStr">
        <is>
          <t>409800</t>
        </is>
      </c>
      <c r="C1307" s="227" t="inlineStr">
        <is>
          <t>Fournisseurs - RRR à obtenir</t>
        </is>
      </c>
      <c r="F1307" s="227" t="inlineStr">
        <is>
          <t>VICTOIRE</t>
        </is>
      </c>
    </row>
    <row r="1308">
      <c r="A1308" s="227">
        <f>TL[[#This Row],[Société]]&amp;" - "&amp;TL[[#This Row],[Compte]]</f>
        <v/>
      </c>
      <c r="B1308" s="233" t="inlineStr">
        <is>
          <t>409801</t>
        </is>
      </c>
      <c r="C1308" s="227" t="inlineStr">
        <is>
          <t>FOURN DEBITEUR AVOIR NON RECU</t>
        </is>
      </c>
      <c r="F1308" s="227" t="inlineStr">
        <is>
          <t>VICTOIRE</t>
        </is>
      </c>
    </row>
    <row r="1309">
      <c r="A1309" s="227">
        <f>TL[[#This Row],[Société]]&amp;" - "&amp;TL[[#This Row],[Compte]]</f>
        <v/>
      </c>
      <c r="B1309" s="233" t="inlineStr">
        <is>
          <t>411000</t>
        </is>
      </c>
      <c r="C1309" s="227" t="inlineStr">
        <is>
          <t>Clients</t>
        </is>
      </c>
      <c r="F1309" s="227" t="inlineStr">
        <is>
          <t>VICTOIRE</t>
        </is>
      </c>
    </row>
    <row r="1310">
      <c r="A1310" s="227">
        <f>TL[[#This Row],[Société]]&amp;" - "&amp;TL[[#This Row],[Compte]]</f>
        <v/>
      </c>
      <c r="B1310" s="233" t="inlineStr">
        <is>
          <t>411100</t>
        </is>
      </c>
      <c r="C1310" s="227" t="inlineStr">
        <is>
          <t>Clients</t>
        </is>
      </c>
      <c r="F1310" s="227" t="inlineStr">
        <is>
          <t>VICTOIRE</t>
        </is>
      </c>
    </row>
    <row r="1311">
      <c r="A1311" s="227">
        <f>TL[[#This Row],[Société]]&amp;" - "&amp;TL[[#This Row],[Compte]]</f>
        <v/>
      </c>
      <c r="B1311" s="233" t="inlineStr">
        <is>
          <t>411600</t>
        </is>
      </c>
      <c r="C1311" s="227" t="inlineStr">
        <is>
          <t>Créances professionnelles cédées</t>
        </is>
      </c>
      <c r="F1311" s="227" t="inlineStr">
        <is>
          <t>VICTOIRE</t>
        </is>
      </c>
    </row>
    <row r="1312">
      <c r="A1312" s="227">
        <f>TL[[#This Row],[Société]]&amp;" - "&amp;TL[[#This Row],[Compte]]</f>
        <v/>
      </c>
      <c r="B1312" s="233" t="inlineStr">
        <is>
          <t>411700</t>
        </is>
      </c>
      <c r="C1312" s="227" t="inlineStr">
        <is>
          <t>Clients - retenues de garantie</t>
        </is>
      </c>
      <c r="F1312" s="227" t="inlineStr">
        <is>
          <t>VICTOIRE</t>
        </is>
      </c>
    </row>
    <row r="1313">
      <c r="A1313" s="227">
        <f>TL[[#This Row],[Société]]&amp;" - "&amp;TL[[#This Row],[Compte]]</f>
        <v/>
      </c>
      <c r="B1313" s="233" t="inlineStr">
        <is>
          <t>413000</t>
        </is>
      </c>
      <c r="C1313" s="227" t="inlineStr">
        <is>
          <t>Clients - effets à recevoir</t>
        </is>
      </c>
      <c r="F1313" s="227" t="inlineStr">
        <is>
          <t>VICTOIRE</t>
        </is>
      </c>
    </row>
    <row r="1314">
      <c r="A1314" s="227">
        <f>TL[[#This Row],[Société]]&amp;" - "&amp;TL[[#This Row],[Compte]]</f>
        <v/>
      </c>
      <c r="B1314" s="233" t="inlineStr">
        <is>
          <t>416000</t>
        </is>
      </c>
      <c r="C1314" s="227" t="inlineStr">
        <is>
          <t>Clients douteux ou litigieux</t>
        </is>
      </c>
      <c r="F1314" s="227" t="inlineStr">
        <is>
          <t>VICTOIRE</t>
        </is>
      </c>
    </row>
    <row r="1315">
      <c r="A1315" s="227">
        <f>TL[[#This Row],[Société]]&amp;" - "&amp;TL[[#This Row],[Compte]]</f>
        <v/>
      </c>
      <c r="B1315" s="233" t="inlineStr">
        <is>
          <t>417000</t>
        </is>
      </c>
      <c r="C1315" s="227" t="inlineStr">
        <is>
          <t>Créances s/travaux non facturables</t>
        </is>
      </c>
      <c r="F1315" s="227" t="inlineStr">
        <is>
          <t>VICTOIRE</t>
        </is>
      </c>
    </row>
    <row r="1316">
      <c r="A1316" s="227">
        <f>TL[[#This Row],[Société]]&amp;" - "&amp;TL[[#This Row],[Compte]]</f>
        <v/>
      </c>
      <c r="B1316" s="233" t="inlineStr">
        <is>
          <t>418100</t>
        </is>
      </c>
      <c r="C1316" s="227" t="inlineStr">
        <is>
          <t>Clients - factures à établir</t>
        </is>
      </c>
      <c r="F1316" s="227" t="inlineStr">
        <is>
          <t>VICTOIRE</t>
        </is>
      </c>
    </row>
    <row r="1317">
      <c r="A1317" s="227">
        <f>TL[[#This Row],[Société]]&amp;" - "&amp;TL[[#This Row],[Compte]]</f>
        <v/>
      </c>
      <c r="B1317" s="233" t="inlineStr">
        <is>
          <t>418101</t>
        </is>
      </c>
      <c r="C1317" s="227" t="inlineStr">
        <is>
          <t>Ventes de produits finis FAE</t>
        </is>
      </c>
      <c r="F1317" s="227" t="inlineStr">
        <is>
          <t>VICTOIRE</t>
        </is>
      </c>
    </row>
    <row r="1318">
      <c r="A1318" s="227">
        <f>TL[[#This Row],[Société]]&amp;" - "&amp;TL[[#This Row],[Compte]]</f>
        <v/>
      </c>
      <c r="B1318" s="233" t="inlineStr">
        <is>
          <t>418104</t>
        </is>
      </c>
      <c r="C1318" s="227" t="inlineStr">
        <is>
          <t>Ventes de travaux FAE</t>
        </is>
      </c>
      <c r="F1318" s="227" t="inlineStr">
        <is>
          <t>VICTOIRE</t>
        </is>
      </c>
    </row>
    <row r="1319">
      <c r="A1319" s="227">
        <f>TL[[#This Row],[Société]]&amp;" - "&amp;TL[[#This Row],[Compte]]</f>
        <v/>
      </c>
      <c r="B1319" s="233" t="inlineStr">
        <is>
          <t>418105</t>
        </is>
      </c>
      <c r="C1319" s="227" t="inlineStr">
        <is>
          <t>Ventes d'études FAE</t>
        </is>
      </c>
      <c r="F1319" s="227" t="inlineStr">
        <is>
          <t>VICTOIRE</t>
        </is>
      </c>
    </row>
    <row r="1320">
      <c r="A1320" s="227">
        <f>TL[[#This Row],[Société]]&amp;" - "&amp;TL[[#This Row],[Compte]]</f>
        <v/>
      </c>
      <c r="B1320" s="233" t="inlineStr">
        <is>
          <t>418106</t>
        </is>
      </c>
      <c r="C1320" s="227" t="inlineStr">
        <is>
          <t>Prestations de services FAE</t>
        </is>
      </c>
      <c r="F1320" s="227" t="inlineStr">
        <is>
          <t>VICTOIRE</t>
        </is>
      </c>
    </row>
    <row r="1321">
      <c r="A1321" s="227">
        <f>TL[[#This Row],[Société]]&amp;" - "&amp;TL[[#This Row],[Compte]]</f>
        <v/>
      </c>
      <c r="B1321" s="233" t="inlineStr">
        <is>
          <t>418107</t>
        </is>
      </c>
      <c r="C1321" s="227" t="inlineStr">
        <is>
          <t>Ventes de marchandises FAE</t>
        </is>
      </c>
      <c r="F1321" s="227" t="inlineStr">
        <is>
          <t>VICTOIRE</t>
        </is>
      </c>
    </row>
    <row r="1322">
      <c r="A1322" s="227">
        <f>TL[[#This Row],[Société]]&amp;" - "&amp;TL[[#This Row],[Compte]]</f>
        <v/>
      </c>
      <c r="B1322" s="233" t="inlineStr">
        <is>
          <t>418108</t>
        </is>
      </c>
      <c r="C1322" s="227" t="inlineStr">
        <is>
          <t>Activités annexes FAE</t>
        </is>
      </c>
      <c r="F1322" s="227" t="inlineStr">
        <is>
          <t>VICTOIRE</t>
        </is>
      </c>
    </row>
    <row r="1323">
      <c r="A1323" s="227">
        <f>TL[[#This Row],[Société]]&amp;" - "&amp;TL[[#This Row],[Compte]]</f>
        <v/>
      </c>
      <c r="B1323" s="233" t="inlineStr">
        <is>
          <t>418800</t>
        </is>
      </c>
      <c r="C1323" s="227" t="inlineStr">
        <is>
          <t>FAE MARTIN BROWER</t>
        </is>
      </c>
      <c r="F1323" s="227" t="inlineStr">
        <is>
          <t>VICTOIRE</t>
        </is>
      </c>
    </row>
    <row r="1324">
      <c r="A1324" s="227">
        <f>TL[[#This Row],[Société]]&amp;" - "&amp;TL[[#This Row],[Compte]]</f>
        <v/>
      </c>
      <c r="B1324" s="233" t="inlineStr">
        <is>
          <t>419100</t>
        </is>
      </c>
      <c r="C1324" s="227" t="inlineStr">
        <is>
          <t>Clients - acomptes sur commandes</t>
        </is>
      </c>
      <c r="F1324" s="227" t="inlineStr">
        <is>
          <t>VICTOIRE</t>
        </is>
      </c>
    </row>
    <row r="1325">
      <c r="A1325" s="227">
        <f>TL[[#This Row],[Société]]&amp;" - "&amp;TL[[#This Row],[Compte]]</f>
        <v/>
      </c>
      <c r="B1325" s="233" t="inlineStr">
        <is>
          <t>419600</t>
        </is>
      </c>
      <c r="C1325" s="227" t="inlineStr">
        <is>
          <t>Clients - emballages consignés</t>
        </is>
      </c>
      <c r="F1325" s="227" t="inlineStr">
        <is>
          <t>VICTOIRE</t>
        </is>
      </c>
    </row>
    <row r="1326">
      <c r="A1326" s="227">
        <f>TL[[#This Row],[Société]]&amp;" - "&amp;TL[[#This Row],[Compte]]</f>
        <v/>
      </c>
      <c r="B1326" s="233" t="inlineStr">
        <is>
          <t>419700</t>
        </is>
      </c>
      <c r="C1326" s="227" t="inlineStr">
        <is>
          <t>Clients - autres avoirs</t>
        </is>
      </c>
      <c r="F1326" s="227" t="inlineStr">
        <is>
          <t>VICTOIRE</t>
        </is>
      </c>
    </row>
    <row r="1327">
      <c r="A1327" s="227">
        <f>TL[[#This Row],[Société]]&amp;" - "&amp;TL[[#This Row],[Compte]]</f>
        <v/>
      </c>
      <c r="B1327" s="233" t="inlineStr">
        <is>
          <t>419800</t>
        </is>
      </c>
      <c r="C1327" s="227" t="inlineStr">
        <is>
          <t>RRR A ACCORDER/AVOIRS A ETABL</t>
        </is>
      </c>
      <c r="F1327" s="227" t="inlineStr">
        <is>
          <t>VICTOIRE</t>
        </is>
      </c>
    </row>
    <row r="1328">
      <c r="A1328" s="227">
        <f>TL[[#This Row],[Société]]&amp;" - "&amp;TL[[#This Row],[Compte]]</f>
        <v/>
      </c>
      <c r="B1328" s="233" t="inlineStr">
        <is>
          <t>421000</t>
        </is>
      </c>
      <c r="C1328" s="227" t="inlineStr">
        <is>
          <t>Personnel - rémunérations dues</t>
        </is>
      </c>
      <c r="F1328" s="227" t="inlineStr">
        <is>
          <t>VICTOIRE</t>
        </is>
      </c>
    </row>
    <row r="1329">
      <c r="A1329" s="227">
        <f>TL[[#This Row],[Société]]&amp;" - "&amp;TL[[#This Row],[Compte]]</f>
        <v/>
      </c>
      <c r="B1329" s="233" t="inlineStr">
        <is>
          <t>421100</t>
        </is>
      </c>
      <c r="C1329" s="227" t="inlineStr">
        <is>
          <t>STC NON DÉBITÉS</t>
        </is>
      </c>
      <c r="F1329" s="227" t="inlineStr">
        <is>
          <t>VICTOIRE</t>
        </is>
      </c>
    </row>
    <row r="1330">
      <c r="A1330" s="227">
        <f>TL[[#This Row],[Société]]&amp;" - "&amp;TL[[#This Row],[Compte]]</f>
        <v/>
      </c>
      <c r="B1330" s="233" t="inlineStr">
        <is>
          <t>422000</t>
        </is>
      </c>
      <c r="C1330" s="227" t="inlineStr">
        <is>
          <t>Comité d'entreprise</t>
        </is>
      </c>
      <c r="F1330" s="227" t="inlineStr">
        <is>
          <t>VICTOIRE</t>
        </is>
      </c>
    </row>
    <row r="1331">
      <c r="A1331" s="227">
        <f>TL[[#This Row],[Société]]&amp;" - "&amp;TL[[#This Row],[Compte]]</f>
        <v/>
      </c>
      <c r="B1331" s="233" t="inlineStr">
        <is>
          <t>424600</t>
        </is>
      </c>
      <c r="C1331" s="227" t="inlineStr">
        <is>
          <t>Participation - réserve spéciale</t>
        </is>
      </c>
      <c r="F1331" s="227" t="inlineStr">
        <is>
          <t>VICTOIRE</t>
        </is>
      </c>
    </row>
    <row r="1332">
      <c r="A1332" s="227">
        <f>TL[[#This Row],[Société]]&amp;" - "&amp;TL[[#This Row],[Compte]]</f>
        <v/>
      </c>
      <c r="B1332" s="233" t="inlineStr">
        <is>
          <t>424800</t>
        </is>
      </c>
      <c r="C1332" s="227" t="inlineStr">
        <is>
          <t>Participation - comptes courants</t>
        </is>
      </c>
      <c r="F1332" s="227" t="inlineStr">
        <is>
          <t>VICTOIRE</t>
        </is>
      </c>
    </row>
    <row r="1333">
      <c r="A1333" s="227">
        <f>TL[[#This Row],[Société]]&amp;" - "&amp;TL[[#This Row],[Compte]]</f>
        <v/>
      </c>
      <c r="B1333" s="233" t="inlineStr">
        <is>
          <t>425000</t>
        </is>
      </c>
      <c r="C1333" s="227" t="inlineStr">
        <is>
          <t>ACOMPTE</t>
        </is>
      </c>
      <c r="F1333" s="227" t="inlineStr">
        <is>
          <t>VICTOIRE</t>
        </is>
      </c>
    </row>
    <row r="1334">
      <c r="A1334" s="227">
        <f>TL[[#This Row],[Société]]&amp;" - "&amp;TL[[#This Row],[Compte]]</f>
        <v/>
      </c>
      <c r="B1334" s="233" t="inlineStr">
        <is>
          <t>426000</t>
        </is>
      </c>
      <c r="C1334" s="227" t="inlineStr">
        <is>
          <t>Personnel - dépots</t>
        </is>
      </c>
      <c r="F1334" s="227" t="inlineStr">
        <is>
          <t>VICTOIRE</t>
        </is>
      </c>
    </row>
    <row r="1335">
      <c r="A1335" s="227">
        <f>TL[[#This Row],[Société]]&amp;" - "&amp;TL[[#This Row],[Compte]]</f>
        <v/>
      </c>
      <c r="B1335" s="233" t="inlineStr">
        <is>
          <t>427000</t>
        </is>
      </c>
      <c r="C1335" s="227" t="inlineStr">
        <is>
          <t>Personnel - oppositions</t>
        </is>
      </c>
      <c r="F1335" s="227" t="inlineStr">
        <is>
          <t>VICTOIRE</t>
        </is>
      </c>
    </row>
    <row r="1336">
      <c r="A1336" s="227">
        <f>TL[[#This Row],[Société]]&amp;" - "&amp;TL[[#This Row],[Compte]]</f>
        <v/>
      </c>
      <c r="B1336" s="233" t="inlineStr">
        <is>
          <t>428000</t>
        </is>
      </c>
      <c r="C1336" s="227" t="inlineStr">
        <is>
          <t>EXT PROV PRIMES</t>
        </is>
      </c>
      <c r="F1336" s="227" t="inlineStr">
        <is>
          <t>VICTOIRE</t>
        </is>
      </c>
    </row>
    <row r="1337">
      <c r="A1337" s="227">
        <f>TL[[#This Row],[Société]]&amp;" - "&amp;TL[[#This Row],[Compte]]</f>
        <v/>
      </c>
      <c r="B1337" s="233" t="inlineStr">
        <is>
          <t>428200</t>
        </is>
      </c>
      <c r="C1337" s="227" t="inlineStr">
        <is>
          <t>PROVISION  POUR CONGES PAYES</t>
        </is>
      </c>
      <c r="F1337" s="227" t="inlineStr">
        <is>
          <t>VICTOIRE</t>
        </is>
      </c>
    </row>
    <row r="1338">
      <c r="A1338" s="227">
        <f>TL[[#This Row],[Société]]&amp;" - "&amp;TL[[#This Row],[Compte]]</f>
        <v/>
      </c>
      <c r="B1338" s="233" t="inlineStr">
        <is>
          <t>428201</t>
        </is>
      </c>
      <c r="C1338" s="227" t="inlineStr">
        <is>
          <t>PROVISION POUR PRIMES</t>
        </is>
      </c>
      <c r="F1338" s="227" t="inlineStr">
        <is>
          <t>VICTOIRE</t>
        </is>
      </c>
    </row>
    <row r="1339">
      <c r="A1339" s="227">
        <f>TL[[#This Row],[Société]]&amp;" - "&amp;TL[[#This Row],[Compte]]</f>
        <v/>
      </c>
      <c r="B1339" s="233" t="inlineStr">
        <is>
          <t>428400</t>
        </is>
      </c>
      <c r="C1339" s="227" t="inlineStr">
        <is>
          <t>Dettes provis. pr partic. salariés</t>
        </is>
      </c>
      <c r="F1339" s="227" t="inlineStr">
        <is>
          <t>VICTOIRE</t>
        </is>
      </c>
    </row>
    <row r="1340">
      <c r="A1340" s="227">
        <f>TL[[#This Row],[Société]]&amp;" - "&amp;TL[[#This Row],[Compte]]</f>
        <v/>
      </c>
      <c r="B1340" s="233" t="inlineStr">
        <is>
          <t>428600</t>
        </is>
      </c>
      <c r="C1340" s="227" t="inlineStr">
        <is>
          <t>PERS AUTRES CHARG A PAYER</t>
        </is>
      </c>
      <c r="F1340" s="227" t="inlineStr">
        <is>
          <t>VICTOIRE</t>
        </is>
      </c>
    </row>
    <row r="1341">
      <c r="A1341" s="227">
        <f>TL[[#This Row],[Société]]&amp;" - "&amp;TL[[#This Row],[Compte]]</f>
        <v/>
      </c>
      <c r="B1341" s="233" t="inlineStr">
        <is>
          <t>428610</t>
        </is>
      </c>
      <c r="C1341" s="227" t="inlineStr">
        <is>
          <t>Primes de bilan CAP</t>
        </is>
      </c>
      <c r="F1341" s="227" t="inlineStr">
        <is>
          <t>VICTOIRE</t>
        </is>
      </c>
    </row>
    <row r="1342">
      <c r="A1342" s="227">
        <f>TL[[#This Row],[Société]]&amp;" - "&amp;TL[[#This Row],[Compte]]</f>
        <v/>
      </c>
      <c r="B1342" s="233" t="inlineStr">
        <is>
          <t>428620</t>
        </is>
      </c>
      <c r="C1342" s="227" t="inlineStr">
        <is>
          <t>Rappel de Salaires CAP</t>
        </is>
      </c>
      <c r="F1342" s="227" t="inlineStr">
        <is>
          <t>VICTOIRE</t>
        </is>
      </c>
    </row>
    <row r="1343">
      <c r="A1343" s="227">
        <f>TL[[#This Row],[Société]]&amp;" - "&amp;TL[[#This Row],[Compte]]</f>
        <v/>
      </c>
      <c r="B1343" s="233" t="inlineStr">
        <is>
          <t>428625</t>
        </is>
      </c>
      <c r="C1343" s="227" t="inlineStr">
        <is>
          <t>Frais de déplacement CAP</t>
        </is>
      </c>
      <c r="F1343" s="227" t="inlineStr">
        <is>
          <t>VICTOIRE</t>
        </is>
      </c>
    </row>
    <row r="1344">
      <c r="A1344" s="227">
        <f>TL[[#This Row],[Société]]&amp;" - "&amp;TL[[#This Row],[Compte]]</f>
        <v/>
      </c>
      <c r="B1344" s="233" t="inlineStr">
        <is>
          <t>428700</t>
        </is>
      </c>
      <c r="C1344" s="227" t="inlineStr">
        <is>
          <t>Personnel - produits à recevoir</t>
        </is>
      </c>
      <c r="F1344" s="227" t="inlineStr">
        <is>
          <t>VICTOIRE</t>
        </is>
      </c>
    </row>
    <row r="1345">
      <c r="A1345" s="227">
        <f>TL[[#This Row],[Société]]&amp;" - "&amp;TL[[#This Row],[Compte]]</f>
        <v/>
      </c>
      <c r="B1345" s="233" t="inlineStr">
        <is>
          <t>431000</t>
        </is>
      </c>
      <c r="C1345" s="227" t="inlineStr">
        <is>
          <t>SECURITE SOCIALE</t>
        </is>
      </c>
      <c r="F1345" s="227" t="inlineStr">
        <is>
          <t>VICTOIRE</t>
        </is>
      </c>
    </row>
    <row r="1346">
      <c r="A1346" s="227">
        <f>TL[[#This Row],[Société]]&amp;" - "&amp;TL[[#This Row],[Compte]]</f>
        <v/>
      </c>
      <c r="B1346" s="233" t="inlineStr">
        <is>
          <t>437000</t>
        </is>
      </c>
      <c r="C1346" s="227" t="inlineStr">
        <is>
          <t>Autres organismes sociaux</t>
        </is>
      </c>
      <c r="F1346" s="227" t="inlineStr">
        <is>
          <t>VICTOIRE</t>
        </is>
      </c>
    </row>
    <row r="1347">
      <c r="A1347" s="227">
        <f>TL[[#This Row],[Société]]&amp;" - "&amp;TL[[#This Row],[Compte]]</f>
        <v/>
      </c>
      <c r="B1347" s="233" t="inlineStr">
        <is>
          <t>437020</t>
        </is>
      </c>
      <c r="C1347" s="227" t="inlineStr">
        <is>
          <t>12/2022 - KLESIA (ex Mornay Prévoya</t>
        </is>
      </c>
      <c r="F1347" s="227" t="inlineStr">
        <is>
          <t>VICTOIRE</t>
        </is>
      </c>
    </row>
    <row r="1348">
      <c r="A1348" s="227">
        <f>TL[[#This Row],[Société]]&amp;" - "&amp;TL[[#This Row],[Compte]]</f>
        <v/>
      </c>
      <c r="B1348" s="233" t="inlineStr">
        <is>
          <t>437030</t>
        </is>
      </c>
      <c r="C1348" s="227" t="inlineStr">
        <is>
          <t>SALAIRES 12/2022</t>
        </is>
      </c>
      <c r="F1348" s="227" t="inlineStr">
        <is>
          <t>VICTOIRE</t>
        </is>
      </c>
    </row>
    <row r="1349">
      <c r="A1349" s="227">
        <f>TL[[#This Row],[Société]]&amp;" - "&amp;TL[[#This Row],[Compte]]</f>
        <v/>
      </c>
      <c r="B1349" s="233" t="inlineStr">
        <is>
          <t>437080</t>
        </is>
      </c>
      <c r="C1349" s="227" t="inlineStr">
        <is>
          <t>SALAIRES 12/2022</t>
        </is>
      </c>
      <c r="F1349" s="227" t="inlineStr">
        <is>
          <t>VICTOIRE</t>
        </is>
      </c>
    </row>
    <row r="1350">
      <c r="A1350" s="227">
        <f>TL[[#This Row],[Société]]&amp;" - "&amp;TL[[#This Row],[Compte]]</f>
        <v/>
      </c>
      <c r="B1350" s="233" t="inlineStr">
        <is>
          <t>437100</t>
        </is>
      </c>
      <c r="C1350" s="227" t="inlineStr">
        <is>
          <t>Caisse de retraite cadres</t>
        </is>
      </c>
      <c r="F1350" s="227" t="inlineStr">
        <is>
          <t>VICTOIRE</t>
        </is>
      </c>
    </row>
    <row r="1351">
      <c r="A1351" s="227">
        <f>TL[[#This Row],[Société]]&amp;" - "&amp;TL[[#This Row],[Compte]]</f>
        <v/>
      </c>
      <c r="B1351" s="233" t="inlineStr">
        <is>
          <t>437110</t>
        </is>
      </c>
      <c r="C1351" s="227" t="inlineStr">
        <is>
          <t>RETRAITE KLESIA</t>
        </is>
      </c>
      <c r="F1351" s="227" t="inlineStr">
        <is>
          <t>VICTOIRE</t>
        </is>
      </c>
    </row>
    <row r="1352">
      <c r="A1352" s="227">
        <f>TL[[#This Row],[Société]]&amp;" - "&amp;TL[[#This Row],[Compte]]</f>
        <v/>
      </c>
      <c r="B1352" s="233" t="inlineStr">
        <is>
          <t>437120</t>
        </is>
      </c>
      <c r="C1352" s="227" t="inlineStr">
        <is>
          <t>PREVOYANCE NON CADRE AG2R</t>
        </is>
      </c>
      <c r="F1352" s="227" t="inlineStr">
        <is>
          <t>VICTOIRE</t>
        </is>
      </c>
    </row>
    <row r="1353">
      <c r="A1353" s="227">
        <f>TL[[#This Row],[Société]]&amp;" - "&amp;TL[[#This Row],[Compte]]</f>
        <v/>
      </c>
      <c r="B1353" s="233" t="inlineStr">
        <is>
          <t>437125</t>
        </is>
      </c>
      <c r="C1353" s="227" t="inlineStr">
        <is>
          <t>PREVOYANCE KLESIA</t>
        </is>
      </c>
      <c r="F1353" s="227" t="inlineStr">
        <is>
          <t>VICTOIRE</t>
        </is>
      </c>
    </row>
    <row r="1354">
      <c r="A1354" s="227">
        <f>TL[[#This Row],[Société]]&amp;" - "&amp;TL[[#This Row],[Compte]]</f>
        <v/>
      </c>
      <c r="B1354" s="233" t="inlineStr">
        <is>
          <t>437130</t>
        </is>
      </c>
      <c r="C1354" s="227" t="inlineStr">
        <is>
          <t>PREVOYANCE CADRE AXA</t>
        </is>
      </c>
      <c r="F1354" s="227" t="inlineStr">
        <is>
          <t>VICTOIRE</t>
        </is>
      </c>
    </row>
    <row r="1355">
      <c r="A1355" s="227">
        <f>TL[[#This Row],[Société]]&amp;" - "&amp;TL[[#This Row],[Compte]]</f>
        <v/>
      </c>
      <c r="B1355" s="233" t="inlineStr">
        <is>
          <t>437140</t>
        </is>
      </c>
      <c r="C1355" s="227" t="inlineStr">
        <is>
          <t>MUTUELLE EOVI</t>
        </is>
      </c>
      <c r="F1355" s="227" t="inlineStr">
        <is>
          <t>VICTOIRE</t>
        </is>
      </c>
    </row>
    <row r="1356">
      <c r="A1356" s="227">
        <f>TL[[#This Row],[Société]]&amp;" - "&amp;TL[[#This Row],[Compte]]</f>
        <v/>
      </c>
      <c r="B1356" s="233" t="inlineStr">
        <is>
          <t>437200</t>
        </is>
      </c>
      <c r="C1356" s="227" t="inlineStr">
        <is>
          <t>Caisse de retraite salariés</t>
        </is>
      </c>
      <c r="F1356" s="227" t="inlineStr">
        <is>
          <t>VICTOIRE</t>
        </is>
      </c>
    </row>
    <row r="1357">
      <c r="A1357" s="227">
        <f>TL[[#This Row],[Société]]&amp;" - "&amp;TL[[#This Row],[Compte]]</f>
        <v/>
      </c>
      <c r="B1357" s="233" t="inlineStr">
        <is>
          <t>437300</t>
        </is>
      </c>
      <c r="C1357" s="227" t="inlineStr">
        <is>
          <t>ASSEDIC</t>
        </is>
      </c>
      <c r="F1357" s="227" t="inlineStr">
        <is>
          <t>VICTOIRE</t>
        </is>
      </c>
    </row>
    <row r="1358">
      <c r="A1358" s="227">
        <f>TL[[#This Row],[Société]]&amp;" - "&amp;TL[[#This Row],[Compte]]</f>
        <v/>
      </c>
      <c r="B1358" s="233" t="inlineStr">
        <is>
          <t>437320</t>
        </is>
      </c>
      <c r="C1358" s="227" t="inlineStr">
        <is>
          <t>A-Nouveaux au 01/04/2019</t>
        </is>
      </c>
      <c r="F1358" s="227" t="inlineStr">
        <is>
          <t>VICTOIRE</t>
        </is>
      </c>
    </row>
    <row r="1359">
      <c r="A1359" s="227">
        <f>TL[[#This Row],[Société]]&amp;" - "&amp;TL[[#This Row],[Compte]]</f>
        <v/>
      </c>
      <c r="B1359" s="233" t="inlineStr">
        <is>
          <t>437330</t>
        </is>
      </c>
      <c r="C1359" s="227" t="inlineStr">
        <is>
          <t>A-Nouveaux au 01/04/2019</t>
        </is>
      </c>
      <c r="F1359" s="227" t="inlineStr">
        <is>
          <t>VICTOIRE</t>
        </is>
      </c>
    </row>
    <row r="1360">
      <c r="A1360" s="227">
        <f>TL[[#This Row],[Société]]&amp;" - "&amp;TL[[#This Row],[Compte]]</f>
        <v/>
      </c>
      <c r="B1360" s="233" t="inlineStr">
        <is>
          <t>437340</t>
        </is>
      </c>
      <c r="C1360" s="227" t="inlineStr">
        <is>
          <t>A-Nouveaux au 01/04/2019</t>
        </is>
      </c>
      <c r="F1360" s="227" t="inlineStr">
        <is>
          <t>VICTOIRE</t>
        </is>
      </c>
    </row>
    <row r="1361">
      <c r="A1361" s="227">
        <f>TL[[#This Row],[Société]]&amp;" - "&amp;TL[[#This Row],[Compte]]</f>
        <v/>
      </c>
      <c r="B1361" s="233" t="inlineStr">
        <is>
          <t>437350</t>
        </is>
      </c>
      <c r="C1361" s="227" t="inlineStr">
        <is>
          <t>A-Nouveaux au 01/04/2019</t>
        </is>
      </c>
      <c r="F1361" s="227" t="inlineStr">
        <is>
          <t>VICTOIRE</t>
        </is>
      </c>
    </row>
    <row r="1362">
      <c r="A1362" s="227">
        <f>TL[[#This Row],[Société]]&amp;" - "&amp;TL[[#This Row],[Compte]]</f>
        <v/>
      </c>
      <c r="B1362" s="233" t="inlineStr">
        <is>
          <t>437400</t>
        </is>
      </c>
      <c r="C1362" s="227" t="inlineStr">
        <is>
          <t>Caisse de congés payés</t>
        </is>
      </c>
      <c r="F1362" s="227" t="inlineStr">
        <is>
          <t>VICTOIRE</t>
        </is>
      </c>
    </row>
    <row r="1363">
      <c r="A1363" s="227">
        <f>TL[[#This Row],[Société]]&amp;" - "&amp;TL[[#This Row],[Compte]]</f>
        <v/>
      </c>
      <c r="B1363" s="233" t="inlineStr">
        <is>
          <t>437800</t>
        </is>
      </c>
      <c r="C1363" s="227" t="inlineStr">
        <is>
          <t>Autres caisses</t>
        </is>
      </c>
      <c r="F1363" s="227" t="inlineStr">
        <is>
          <t>VICTOIRE</t>
        </is>
      </c>
    </row>
    <row r="1364">
      <c r="A1364" s="227">
        <f>TL[[#This Row],[Société]]&amp;" - "&amp;TL[[#This Row],[Compte]]</f>
        <v/>
      </c>
      <c r="B1364" s="233" t="inlineStr">
        <is>
          <t>438000</t>
        </is>
      </c>
      <c r="C1364" s="227" t="inlineStr">
        <is>
          <t>SALAIRES 12/2022</t>
        </is>
      </c>
      <c r="F1364" s="227" t="inlineStr">
        <is>
          <t>VICTOIRE</t>
        </is>
      </c>
    </row>
    <row r="1365">
      <c r="A1365" s="227">
        <f>TL[[#This Row],[Société]]&amp;" - "&amp;TL[[#This Row],[Compte]]</f>
        <v/>
      </c>
      <c r="B1365" s="233" t="inlineStr">
        <is>
          <t>438200</t>
        </is>
      </c>
      <c r="C1365" s="227" t="inlineStr">
        <is>
          <t>Charges sociales s/congés à payer</t>
        </is>
      </c>
      <c r="F1365" s="227" t="inlineStr">
        <is>
          <t>VICTOIRE</t>
        </is>
      </c>
    </row>
    <row r="1366">
      <c r="A1366" s="227">
        <f>TL[[#This Row],[Société]]&amp;" - "&amp;TL[[#This Row],[Compte]]</f>
        <v/>
      </c>
      <c r="B1366" s="233" t="inlineStr">
        <is>
          <t>438600</t>
        </is>
      </c>
      <c r="C1366" s="227" t="inlineStr">
        <is>
          <t>ORG.SOC. CHARGES A PAYER</t>
        </is>
      </c>
      <c r="F1366" s="227" t="inlineStr">
        <is>
          <t>VICTOIRE</t>
        </is>
      </c>
    </row>
    <row r="1367">
      <c r="A1367" s="227">
        <f>TL[[#This Row],[Société]]&amp;" - "&amp;TL[[#This Row],[Compte]]</f>
        <v/>
      </c>
      <c r="B1367" s="233" t="inlineStr">
        <is>
          <t>438610</t>
        </is>
      </c>
      <c r="C1367" s="227" t="inlineStr">
        <is>
          <t>CH SOC ET FISC/PROV PRIMES</t>
        </is>
      </c>
      <c r="F1367" s="227" t="inlineStr">
        <is>
          <t>VICTOIRE</t>
        </is>
      </c>
    </row>
    <row r="1368">
      <c r="A1368" s="227">
        <f>TL[[#This Row],[Société]]&amp;" - "&amp;TL[[#This Row],[Compte]]</f>
        <v/>
      </c>
      <c r="B1368" s="233" t="inlineStr">
        <is>
          <t>438611</t>
        </is>
      </c>
      <c r="C1368" s="227" t="inlineStr">
        <is>
          <t>ASSEDIC CAP</t>
        </is>
      </c>
      <c r="F1368" s="227" t="inlineStr">
        <is>
          <t>VICTOIRE</t>
        </is>
      </c>
    </row>
    <row r="1369">
      <c r="A1369" s="227">
        <f>TL[[#This Row],[Société]]&amp;" - "&amp;TL[[#This Row],[Compte]]</f>
        <v/>
      </c>
      <c r="B1369" s="233" t="inlineStr">
        <is>
          <t>438612</t>
        </is>
      </c>
      <c r="C1369" s="227" t="inlineStr">
        <is>
          <t>Retraite complémentaire CAP</t>
        </is>
      </c>
      <c r="F1369" s="227" t="inlineStr">
        <is>
          <t>VICTOIRE</t>
        </is>
      </c>
    </row>
    <row r="1370">
      <c r="A1370" s="227">
        <f>TL[[#This Row],[Société]]&amp;" - "&amp;TL[[#This Row],[Compte]]</f>
        <v/>
      </c>
      <c r="B1370" s="233" t="inlineStr">
        <is>
          <t>438613</t>
        </is>
      </c>
      <c r="C1370" s="227" t="inlineStr">
        <is>
          <t>Retraite cadres CAP</t>
        </is>
      </c>
      <c r="F1370" s="227" t="inlineStr">
        <is>
          <t>VICTOIRE</t>
        </is>
      </c>
    </row>
    <row r="1371">
      <c r="A1371" s="227">
        <f>TL[[#This Row],[Société]]&amp;" - "&amp;TL[[#This Row],[Compte]]</f>
        <v/>
      </c>
      <c r="B1371" s="233" t="inlineStr">
        <is>
          <t>438614</t>
        </is>
      </c>
      <c r="C1371" s="227" t="inlineStr">
        <is>
          <t>Caisse congés payés BTP CAP</t>
        </is>
      </c>
      <c r="F1371" s="227" t="inlineStr">
        <is>
          <t>VICTOIRE</t>
        </is>
      </c>
    </row>
    <row r="1372">
      <c r="A1372" s="227">
        <f>TL[[#This Row],[Société]]&amp;" - "&amp;TL[[#This Row],[Compte]]</f>
        <v/>
      </c>
      <c r="B1372" s="233" t="inlineStr">
        <is>
          <t>438620</t>
        </is>
      </c>
      <c r="C1372" s="227" t="inlineStr">
        <is>
          <t>Charges sociales sur primes prov.</t>
        </is>
      </c>
      <c r="F1372" s="227" t="inlineStr">
        <is>
          <t>VICTOIRE</t>
        </is>
      </c>
    </row>
    <row r="1373">
      <c r="A1373" s="227">
        <f>TL[[#This Row],[Société]]&amp;" - "&amp;TL[[#This Row],[Compte]]</f>
        <v/>
      </c>
      <c r="B1373" s="233" t="inlineStr">
        <is>
          <t>438700</t>
        </is>
      </c>
      <c r="C1373" s="227" t="inlineStr">
        <is>
          <t>ORG.SOC.PROD A PAYER</t>
        </is>
      </c>
      <c r="F1373" s="227" t="inlineStr">
        <is>
          <t>VICTOIRE</t>
        </is>
      </c>
    </row>
    <row r="1374">
      <c r="A1374" s="227">
        <f>TL[[#This Row],[Société]]&amp;" - "&amp;TL[[#This Row],[Compte]]</f>
        <v/>
      </c>
      <c r="B1374" s="233" t="inlineStr">
        <is>
          <t>441000</t>
        </is>
      </c>
      <c r="C1374" s="227" t="inlineStr">
        <is>
          <t>Etat - subvention à recevoir</t>
        </is>
      </c>
      <c r="F1374" s="227" t="inlineStr">
        <is>
          <t>VICTOIRE</t>
        </is>
      </c>
    </row>
    <row r="1375">
      <c r="A1375" s="227">
        <f>TL[[#This Row],[Société]]&amp;" - "&amp;TL[[#This Row],[Compte]]</f>
        <v/>
      </c>
      <c r="B1375" s="233" t="inlineStr">
        <is>
          <t>441100</t>
        </is>
      </c>
      <c r="C1375" s="227" t="inlineStr">
        <is>
          <t>Subventions d'investissement</t>
        </is>
      </c>
      <c r="F1375" s="227" t="inlineStr">
        <is>
          <t>VICTOIRE</t>
        </is>
      </c>
    </row>
    <row r="1376">
      <c r="A1376" s="227">
        <f>TL[[#This Row],[Société]]&amp;" - "&amp;TL[[#This Row],[Compte]]</f>
        <v/>
      </c>
      <c r="B1376" s="233" t="inlineStr">
        <is>
          <t>441700</t>
        </is>
      </c>
      <c r="C1376" s="227" t="inlineStr">
        <is>
          <t>Subventions d'exploitation</t>
        </is>
      </c>
      <c r="F1376" s="227" t="inlineStr">
        <is>
          <t>VICTOIRE</t>
        </is>
      </c>
    </row>
    <row r="1377">
      <c r="A1377" s="227">
        <f>TL[[#This Row],[Société]]&amp;" - "&amp;TL[[#This Row],[Compte]]</f>
        <v/>
      </c>
      <c r="B1377" s="233" t="inlineStr">
        <is>
          <t>441800</t>
        </is>
      </c>
      <c r="C1377" s="227" t="inlineStr">
        <is>
          <t>Subventions d'équilibre</t>
        </is>
      </c>
      <c r="F1377" s="227" t="inlineStr">
        <is>
          <t>VICTOIRE</t>
        </is>
      </c>
    </row>
    <row r="1378">
      <c r="A1378" s="227">
        <f>TL[[#This Row],[Société]]&amp;" - "&amp;TL[[#This Row],[Compte]]</f>
        <v/>
      </c>
      <c r="B1378" s="233" t="inlineStr">
        <is>
          <t>441900</t>
        </is>
      </c>
      <c r="C1378" s="227" t="inlineStr">
        <is>
          <t>Avances sur subventions</t>
        </is>
      </c>
      <c r="F1378" s="227" t="inlineStr">
        <is>
          <t>VICTOIRE</t>
        </is>
      </c>
    </row>
    <row r="1379">
      <c r="A1379" s="227">
        <f>TL[[#This Row],[Société]]&amp;" - "&amp;TL[[#This Row],[Compte]]</f>
        <v/>
      </c>
      <c r="B1379" s="233" t="inlineStr">
        <is>
          <t>442000</t>
        </is>
      </c>
      <c r="C1379" s="227" t="inlineStr">
        <is>
          <t>Eléments recouvrés pour l’Etat</t>
        </is>
      </c>
      <c r="F1379" s="227" t="inlineStr">
        <is>
          <t>VICTOIRE</t>
        </is>
      </c>
    </row>
    <row r="1380">
      <c r="A1380" s="227">
        <f>TL[[#This Row],[Société]]&amp;" - "&amp;TL[[#This Row],[Compte]]</f>
        <v/>
      </c>
      <c r="B1380" s="233" t="inlineStr">
        <is>
          <t>442100</t>
        </is>
      </c>
      <c r="C1380" s="227" t="inlineStr">
        <is>
          <t>PRELEVEMENT A LA SOURCE</t>
        </is>
      </c>
      <c r="F1380" s="227" t="inlineStr">
        <is>
          <t>VICTOIRE</t>
        </is>
      </c>
    </row>
    <row r="1381">
      <c r="A1381" s="227">
        <f>TL[[#This Row],[Société]]&amp;" - "&amp;TL[[#This Row],[Compte]]</f>
        <v/>
      </c>
      <c r="B1381" s="233" t="inlineStr">
        <is>
          <t>442200</t>
        </is>
      </c>
      <c r="C1381" s="227" t="inlineStr">
        <is>
          <t>Prél. forfaitaires non libératoires</t>
        </is>
      </c>
      <c r="F1381" s="227" t="inlineStr">
        <is>
          <t>VICTOIRE</t>
        </is>
      </c>
    </row>
    <row r="1382">
      <c r="A1382" s="227">
        <f>TL[[#This Row],[Société]]&amp;" - "&amp;TL[[#This Row],[Compte]]</f>
        <v/>
      </c>
      <c r="B1382" s="233" t="inlineStr">
        <is>
          <t>442300</t>
        </is>
      </c>
      <c r="C1382" s="227" t="inlineStr">
        <is>
          <t>Retenues et prél. sur distributions</t>
        </is>
      </c>
      <c r="F1382" s="227" t="inlineStr">
        <is>
          <t>VICTOIRE</t>
        </is>
      </c>
    </row>
    <row r="1383">
      <c r="A1383" s="227">
        <f>TL[[#This Row],[Société]]&amp;" - "&amp;TL[[#This Row],[Compte]]</f>
        <v/>
      </c>
      <c r="B1383" s="233" t="inlineStr">
        <is>
          <t>442400</t>
        </is>
      </c>
      <c r="C1383" s="227" t="inlineStr">
        <is>
          <t>Impôts recouvrables s/obligataires</t>
        </is>
      </c>
      <c r="F1383" s="227" t="inlineStr">
        <is>
          <t>VICTOIRE</t>
        </is>
      </c>
    </row>
    <row r="1384">
      <c r="A1384" s="227">
        <f>TL[[#This Row],[Société]]&amp;" - "&amp;TL[[#This Row],[Compte]]</f>
        <v/>
      </c>
      <c r="B1384" s="233" t="inlineStr">
        <is>
          <t>442500</t>
        </is>
      </c>
      <c r="C1384" s="227" t="inlineStr">
        <is>
          <t>Impôts recouvrables s/associés</t>
        </is>
      </c>
      <c r="F1384" s="227" t="inlineStr">
        <is>
          <t>VICTOIRE</t>
        </is>
      </c>
    </row>
    <row r="1385">
      <c r="A1385" s="227">
        <f>TL[[#This Row],[Société]]&amp;" - "&amp;TL[[#This Row],[Compte]]</f>
        <v/>
      </c>
      <c r="B1385" s="233" t="inlineStr">
        <is>
          <t>443000</t>
        </is>
      </c>
      <c r="C1385" s="227" t="inlineStr">
        <is>
          <t>Etat - opérations particulières</t>
        </is>
      </c>
      <c r="F1385" s="227" t="inlineStr">
        <is>
          <t>VICTOIRE</t>
        </is>
      </c>
    </row>
    <row r="1386">
      <c r="A1386" s="227">
        <f>TL[[#This Row],[Société]]&amp;" - "&amp;TL[[#This Row],[Compte]]</f>
        <v/>
      </c>
      <c r="B1386" s="233" t="inlineStr">
        <is>
          <t>443100</t>
        </is>
      </c>
      <c r="C1386" s="227" t="inlineStr">
        <is>
          <t>Créances suppression décalage TVA</t>
        </is>
      </c>
      <c r="F1386" s="227" t="inlineStr">
        <is>
          <t>VICTOIRE</t>
        </is>
      </c>
    </row>
    <row r="1387">
      <c r="A1387" s="227">
        <f>TL[[#This Row],[Société]]&amp;" - "&amp;TL[[#This Row],[Compte]]</f>
        <v/>
      </c>
      <c r="B1387" s="233" t="inlineStr">
        <is>
          <t>443200</t>
        </is>
      </c>
      <c r="C1387" s="227" t="inlineStr">
        <is>
          <t>ETAT - ACTIVITE PARTIELLE</t>
        </is>
      </c>
      <c r="F1387" s="227" t="inlineStr">
        <is>
          <t>VICTOIRE</t>
        </is>
      </c>
    </row>
    <row r="1388">
      <c r="A1388" s="227">
        <f>TL[[#This Row],[Société]]&amp;" - "&amp;TL[[#This Row],[Compte]]</f>
        <v/>
      </c>
      <c r="B1388" s="233" t="inlineStr">
        <is>
          <t>443800</t>
        </is>
      </c>
      <c r="C1388" s="227" t="inlineStr">
        <is>
          <t>Intérêts courus sur créances</t>
        </is>
      </c>
      <c r="F1388" s="227" t="inlineStr">
        <is>
          <t>VICTOIRE</t>
        </is>
      </c>
    </row>
    <row r="1389">
      <c r="A1389" s="227">
        <f>TL[[#This Row],[Société]]&amp;" - "&amp;TL[[#This Row],[Compte]]</f>
        <v/>
      </c>
      <c r="B1389" s="233" t="inlineStr">
        <is>
          <t>444000</t>
        </is>
      </c>
      <c r="C1389" s="227" t="inlineStr">
        <is>
          <t>ETAT IMPOTS SUR LES BENEFICES</t>
        </is>
      </c>
      <c r="F1389" s="227" t="inlineStr">
        <is>
          <t>VICTOIRE</t>
        </is>
      </c>
    </row>
    <row r="1390">
      <c r="A1390" s="227">
        <f>TL[[#This Row],[Société]]&amp;" - "&amp;TL[[#This Row],[Compte]]</f>
        <v/>
      </c>
      <c r="B1390" s="233" t="inlineStr">
        <is>
          <t>444200</t>
        </is>
      </c>
      <c r="C1390" s="227" t="inlineStr">
        <is>
          <t>Créances sur l'Etat - carry back</t>
        </is>
      </c>
      <c r="F1390" s="227" t="inlineStr">
        <is>
          <t>VICTOIRE</t>
        </is>
      </c>
    </row>
    <row r="1391">
      <c r="A1391" s="227">
        <f>TL[[#This Row],[Société]]&amp;" - "&amp;TL[[#This Row],[Compte]]</f>
        <v/>
      </c>
      <c r="B1391" s="233" t="inlineStr">
        <is>
          <t>445200</t>
        </is>
      </c>
      <c r="C1391" s="227" t="inlineStr">
        <is>
          <t>TVA DUE INTRACOM</t>
        </is>
      </c>
      <c r="F1391" s="227" t="inlineStr">
        <is>
          <t>VICTOIRE</t>
        </is>
      </c>
    </row>
    <row r="1392">
      <c r="A1392" s="227">
        <f>TL[[#This Row],[Société]]&amp;" - "&amp;TL[[#This Row],[Compte]]</f>
        <v/>
      </c>
      <c r="B1392" s="233" t="inlineStr">
        <is>
          <t>445500</t>
        </is>
      </c>
      <c r="C1392" s="227" t="inlineStr">
        <is>
          <t>A-Nouveaux au 01/04/2019</t>
        </is>
      </c>
      <c r="F1392" s="227" t="inlineStr">
        <is>
          <t>VICTOIRE</t>
        </is>
      </c>
    </row>
    <row r="1393">
      <c r="A1393" s="227">
        <f>TL[[#This Row],[Société]]&amp;" - "&amp;TL[[#This Row],[Compte]]</f>
        <v/>
      </c>
      <c r="B1393" s="233" t="inlineStr">
        <is>
          <t>445510</t>
        </is>
      </c>
      <c r="C1393" s="227" t="inlineStr">
        <is>
          <t>TVA A DECAISSER</t>
        </is>
      </c>
      <c r="F1393" s="227" t="inlineStr">
        <is>
          <t>VICTOIRE</t>
        </is>
      </c>
    </row>
    <row r="1394">
      <c r="A1394" s="227">
        <f>TL[[#This Row],[Société]]&amp;" - "&amp;TL[[#This Row],[Compte]]</f>
        <v/>
      </c>
      <c r="B1394" s="233" t="inlineStr">
        <is>
          <t>445580</t>
        </is>
      </c>
      <c r="C1394" s="227" t="inlineStr">
        <is>
          <t>Taxes assimilées à TVA à décaisser</t>
        </is>
      </c>
      <c r="F1394" s="227" t="inlineStr">
        <is>
          <t>VICTOIRE</t>
        </is>
      </c>
    </row>
    <row r="1395">
      <c r="A1395" s="227">
        <f>TL[[#This Row],[Société]]&amp;" - "&amp;TL[[#This Row],[Compte]]</f>
        <v/>
      </c>
      <c r="B1395" s="233" t="inlineStr">
        <is>
          <t>445620</t>
        </is>
      </c>
      <c r="C1395" s="227" t="inlineStr">
        <is>
          <t>TVA SUR IMMOBILISATIONS</t>
        </is>
      </c>
      <c r="F1395" s="227" t="inlineStr">
        <is>
          <t>VICTOIRE</t>
        </is>
      </c>
    </row>
    <row r="1396">
      <c r="A1396" s="227">
        <f>TL[[#This Row],[Société]]&amp;" - "&amp;TL[[#This Row],[Compte]]</f>
        <v/>
      </c>
      <c r="B1396" s="233" t="inlineStr">
        <is>
          <t>445630</t>
        </is>
      </c>
      <c r="C1396" s="227" t="inlineStr">
        <is>
          <t>TVA transf. par autres entreprises</t>
        </is>
      </c>
      <c r="F1396" s="227" t="inlineStr">
        <is>
          <t>VICTOIRE</t>
        </is>
      </c>
    </row>
    <row r="1397">
      <c r="A1397" s="227">
        <f>TL[[#This Row],[Société]]&amp;" - "&amp;TL[[#This Row],[Compte]]</f>
        <v/>
      </c>
      <c r="B1397" s="233" t="inlineStr">
        <is>
          <t>445660</t>
        </is>
      </c>
      <c r="C1397" s="227" t="inlineStr">
        <is>
          <t>TVA DEDUCT SUR ACHATS</t>
        </is>
      </c>
      <c r="F1397" s="227" t="inlineStr">
        <is>
          <t>VICTOIRE</t>
        </is>
      </c>
    </row>
    <row r="1398">
      <c r="A1398" s="227">
        <f>TL[[#This Row],[Société]]&amp;" - "&amp;TL[[#This Row],[Compte]]</f>
        <v/>
      </c>
      <c r="B1398" s="233" t="inlineStr">
        <is>
          <t>445661</t>
        </is>
      </c>
      <c r="C1398" s="227" t="inlineStr">
        <is>
          <t>TVA déductible sur achats</t>
        </is>
      </c>
      <c r="F1398" s="227" t="inlineStr">
        <is>
          <t>VICTOIRE</t>
        </is>
      </c>
    </row>
    <row r="1399">
      <c r="A1399" s="227">
        <f>TL[[#This Row],[Société]]&amp;" - "&amp;TL[[#This Row],[Compte]]</f>
        <v/>
      </c>
      <c r="B1399" s="233" t="inlineStr">
        <is>
          <t>445662</t>
        </is>
      </c>
      <c r="C1399" s="227" t="inlineStr">
        <is>
          <t>TVA déductible sur frais généraux</t>
        </is>
      </c>
      <c r="F1399" s="227" t="inlineStr">
        <is>
          <t>VICTOIRE</t>
        </is>
      </c>
    </row>
    <row r="1400">
      <c r="A1400" s="227">
        <f>TL[[#This Row],[Société]]&amp;" - "&amp;TL[[#This Row],[Compte]]</f>
        <v/>
      </c>
      <c r="B1400" s="233" t="inlineStr">
        <is>
          <t>445670</t>
        </is>
      </c>
      <c r="C1400" s="227" t="inlineStr">
        <is>
          <t>CREDIT TVA A REPORTER</t>
        </is>
      </c>
      <c r="F1400" s="227" t="inlineStr">
        <is>
          <t>VICTOIRE</t>
        </is>
      </c>
    </row>
    <row r="1401">
      <c r="A1401" s="227">
        <f>TL[[#This Row],[Société]]&amp;" - "&amp;TL[[#This Row],[Compte]]</f>
        <v/>
      </c>
      <c r="B1401" s="233" t="inlineStr">
        <is>
          <t>445680</t>
        </is>
      </c>
      <c r="C1401" s="227" t="inlineStr">
        <is>
          <t>Taxes déductibles assimilées à TVA</t>
        </is>
      </c>
      <c r="F1401" s="227" t="inlineStr">
        <is>
          <t>VICTOIRE</t>
        </is>
      </c>
    </row>
    <row r="1402">
      <c r="A1402" s="227">
        <f>TL[[#This Row],[Société]]&amp;" - "&amp;TL[[#This Row],[Compte]]</f>
        <v/>
      </c>
      <c r="B1402" s="233" t="inlineStr">
        <is>
          <t>445700</t>
        </is>
      </c>
      <c r="C1402" s="227" t="inlineStr">
        <is>
          <t>SHOESFORCREWS</t>
        </is>
      </c>
      <c r="F1402" s="227" t="inlineStr">
        <is>
          <t>VICTOIRE</t>
        </is>
      </c>
    </row>
    <row r="1403">
      <c r="A1403" s="227">
        <f>TL[[#This Row],[Société]]&amp;" - "&amp;TL[[#This Row],[Compte]]</f>
        <v/>
      </c>
      <c r="B1403" s="233" t="inlineStr">
        <is>
          <t>445710</t>
        </is>
      </c>
      <c r="C1403" s="227" t="inlineStr">
        <is>
          <t>TVA COLL.  20%</t>
        </is>
      </c>
      <c r="F1403" s="227" t="inlineStr">
        <is>
          <t>VICTOIRE</t>
        </is>
      </c>
    </row>
    <row r="1404">
      <c r="A1404" s="227">
        <f>TL[[#This Row],[Société]]&amp;" - "&amp;TL[[#This Row],[Compte]]</f>
        <v/>
      </c>
      <c r="B1404" s="233" t="inlineStr">
        <is>
          <t>445711</t>
        </is>
      </c>
      <c r="C1404" s="227" t="inlineStr">
        <is>
          <t>REGUL TVA SUR BIERE</t>
        </is>
      </c>
      <c r="F1404" s="227" t="inlineStr">
        <is>
          <t>VICTOIRE</t>
        </is>
      </c>
    </row>
    <row r="1405">
      <c r="A1405" s="227">
        <f>TL[[#This Row],[Société]]&amp;" - "&amp;TL[[#This Row],[Compte]]</f>
        <v/>
      </c>
      <c r="B1405" s="233" t="inlineStr">
        <is>
          <t>445713</t>
        </is>
      </c>
      <c r="C1405" s="227" t="inlineStr">
        <is>
          <t>REGUL TVA SUR BIERE</t>
        </is>
      </c>
      <c r="F1405" s="227" t="inlineStr">
        <is>
          <t>VICTOIRE</t>
        </is>
      </c>
    </row>
    <row r="1406">
      <c r="A1406" s="227">
        <f>TL[[#This Row],[Société]]&amp;" - "&amp;TL[[#This Row],[Compte]]</f>
        <v/>
      </c>
      <c r="B1406" s="233" t="inlineStr">
        <is>
          <t>445716</t>
        </is>
      </c>
      <c r="C1406" s="227" t="inlineStr">
        <is>
          <t>Tva 10%</t>
        </is>
      </c>
      <c r="F1406" s="227" t="inlineStr">
        <is>
          <t>VICTOIRE</t>
        </is>
      </c>
    </row>
    <row r="1407">
      <c r="A1407" s="227">
        <f>TL[[#This Row],[Société]]&amp;" - "&amp;TL[[#This Row],[Compte]]</f>
        <v/>
      </c>
      <c r="B1407" s="233" t="inlineStr">
        <is>
          <t>445720</t>
        </is>
      </c>
      <c r="C1407" s="227" t="inlineStr">
        <is>
          <t>Tva 5.5%</t>
        </is>
      </c>
      <c r="F1407" s="227" t="inlineStr">
        <is>
          <t>VICTOIRE</t>
        </is>
      </c>
    </row>
    <row r="1408">
      <c r="A1408" s="227">
        <f>TL[[#This Row],[Société]]&amp;" - "&amp;TL[[#This Row],[Compte]]</f>
        <v/>
      </c>
      <c r="B1408" s="233" t="inlineStr">
        <is>
          <t>445780</t>
        </is>
      </c>
      <c r="C1408" s="227" t="inlineStr">
        <is>
          <t>Taxes collectées assimilées à TVA</t>
        </is>
      </c>
      <c r="F1408" s="227" t="inlineStr">
        <is>
          <t>VICTOIRE</t>
        </is>
      </c>
    </row>
    <row r="1409">
      <c r="A1409" s="227">
        <f>TL[[#This Row],[Société]]&amp;" - "&amp;TL[[#This Row],[Compte]]</f>
        <v/>
      </c>
      <c r="B1409" s="233" t="inlineStr">
        <is>
          <t>445800</t>
        </is>
      </c>
      <c r="C1409" s="227" t="inlineStr">
        <is>
          <t>Régularisation de TVA collectée</t>
        </is>
      </c>
      <c r="F1409" s="227" t="inlineStr">
        <is>
          <t>VICTOIRE</t>
        </is>
      </c>
    </row>
    <row r="1410">
      <c r="A1410" s="227">
        <f>TL[[#This Row],[Société]]&amp;" - "&amp;TL[[#This Row],[Compte]]</f>
        <v/>
      </c>
      <c r="B1410" s="233" t="inlineStr">
        <is>
          <t>445801</t>
        </is>
      </c>
      <c r="C1410" s="227" t="inlineStr">
        <is>
          <t>Régularisation de TVA déductible</t>
        </is>
      </c>
      <c r="F1410" s="227" t="inlineStr">
        <is>
          <t>VICTOIRE</t>
        </is>
      </c>
    </row>
    <row r="1411">
      <c r="A1411" s="227">
        <f>TL[[#This Row],[Société]]&amp;" - "&amp;TL[[#This Row],[Compte]]</f>
        <v/>
      </c>
      <c r="B1411" s="233" t="inlineStr">
        <is>
          <t>445807</t>
        </is>
      </c>
      <c r="C1411" s="227" t="inlineStr">
        <is>
          <t>TVA COLLECTEE A REGULARISER</t>
        </is>
      </c>
      <c r="F1411" s="227" t="inlineStr">
        <is>
          <t>VICTOIRE</t>
        </is>
      </c>
    </row>
    <row r="1412">
      <c r="A1412" s="227">
        <f>TL[[#This Row],[Société]]&amp;" - "&amp;TL[[#This Row],[Compte]]</f>
        <v/>
      </c>
      <c r="B1412" s="233" t="inlineStr">
        <is>
          <t>445810</t>
        </is>
      </c>
      <c r="C1412" s="227" t="inlineStr">
        <is>
          <t>Acomptes TVA réel simplifié</t>
        </is>
      </c>
      <c r="F1412" s="227" t="inlineStr">
        <is>
          <t>VICTOIRE</t>
        </is>
      </c>
    </row>
    <row r="1413">
      <c r="A1413" s="227">
        <f>TL[[#This Row],[Société]]&amp;" - "&amp;TL[[#This Row],[Compte]]</f>
        <v/>
      </c>
      <c r="B1413" s="233" t="inlineStr">
        <is>
          <t>445820</t>
        </is>
      </c>
      <c r="C1413" s="227" t="inlineStr">
        <is>
          <t>Acomptes régime de forfait</t>
        </is>
      </c>
      <c r="F1413" s="227" t="inlineStr">
        <is>
          <t>VICTOIRE</t>
        </is>
      </c>
    </row>
    <row r="1414">
      <c r="A1414" s="227">
        <f>TL[[#This Row],[Société]]&amp;" - "&amp;TL[[#This Row],[Compte]]</f>
        <v/>
      </c>
      <c r="B1414" s="233" t="inlineStr">
        <is>
          <t>445830</t>
        </is>
      </c>
      <c r="C1414" s="227" t="inlineStr">
        <is>
          <t>Remboursement de TVA demandé</t>
        </is>
      </c>
      <c r="F1414" s="227" t="inlineStr">
        <is>
          <t>VICTOIRE</t>
        </is>
      </c>
    </row>
    <row r="1415">
      <c r="A1415" s="227">
        <f>TL[[#This Row],[Société]]&amp;" - "&amp;TL[[#This Row],[Compte]]</f>
        <v/>
      </c>
      <c r="B1415" s="233" t="inlineStr">
        <is>
          <t>445840</t>
        </is>
      </c>
      <c r="C1415" s="227" t="inlineStr">
        <is>
          <t>TVA récupérée d'avance</t>
        </is>
      </c>
      <c r="F1415" s="227" t="inlineStr">
        <is>
          <t>VICTOIRE</t>
        </is>
      </c>
    </row>
    <row r="1416">
      <c r="A1416" s="227">
        <f>TL[[#This Row],[Société]]&amp;" - "&amp;TL[[#This Row],[Compte]]</f>
        <v/>
      </c>
      <c r="B1416" s="233" t="inlineStr">
        <is>
          <t>445860</t>
        </is>
      </c>
      <c r="C1416" s="227" t="inlineStr">
        <is>
          <t>TVA S/FNP+AAR</t>
        </is>
      </c>
      <c r="F1416" s="227" t="inlineStr">
        <is>
          <t>VICTOIRE</t>
        </is>
      </c>
    </row>
    <row r="1417">
      <c r="A1417" s="227">
        <f>TL[[#This Row],[Société]]&amp;" - "&amp;TL[[#This Row],[Compte]]</f>
        <v/>
      </c>
      <c r="B1417" s="233" t="inlineStr">
        <is>
          <t>445870</t>
        </is>
      </c>
      <c r="C1417" s="227" t="inlineStr">
        <is>
          <t>TVA S/ FAE+AAE</t>
        </is>
      </c>
      <c r="F1417" s="227" t="inlineStr">
        <is>
          <t>VICTOIRE</t>
        </is>
      </c>
    </row>
    <row r="1418">
      <c r="A1418" s="227">
        <f>TL[[#This Row],[Société]]&amp;" - "&amp;TL[[#This Row],[Compte]]</f>
        <v/>
      </c>
      <c r="B1418" s="233" t="inlineStr">
        <is>
          <t>446000</t>
        </is>
      </c>
      <c r="C1418" s="227" t="inlineStr">
        <is>
          <t>Obligations cautionnées</t>
        </is>
      </c>
      <c r="F1418" s="227" t="inlineStr">
        <is>
          <t>VICTOIRE</t>
        </is>
      </c>
    </row>
    <row r="1419">
      <c r="A1419" s="227">
        <f>TL[[#This Row],[Société]]&amp;" - "&amp;TL[[#This Row],[Compte]]</f>
        <v/>
      </c>
      <c r="B1419" s="233" t="inlineStr">
        <is>
          <t>446100</t>
        </is>
      </c>
      <c r="C1419" s="227" t="inlineStr">
        <is>
          <t>Obligations cautionnées</t>
        </is>
      </c>
      <c r="F1419" s="227" t="inlineStr">
        <is>
          <t>VICTOIRE</t>
        </is>
      </c>
    </row>
    <row r="1420">
      <c r="A1420" s="227">
        <f>TL[[#This Row],[Société]]&amp;" - "&amp;TL[[#This Row],[Compte]]</f>
        <v/>
      </c>
      <c r="B1420" s="233" t="inlineStr">
        <is>
          <t>447000</t>
        </is>
      </c>
      <c r="C1420" s="227" t="inlineStr">
        <is>
          <t>Autres impôts taxes et verst. assim</t>
        </is>
      </c>
      <c r="F1420" s="227" t="inlineStr">
        <is>
          <t>VICTOIRE</t>
        </is>
      </c>
    </row>
    <row r="1421">
      <c r="A1421" s="227">
        <f>TL[[#This Row],[Société]]&amp;" - "&amp;TL[[#This Row],[Compte]]</f>
        <v/>
      </c>
      <c r="B1421" s="233" t="inlineStr">
        <is>
          <t>448200</t>
        </is>
      </c>
      <c r="C1421" s="227" t="inlineStr">
        <is>
          <t>Charges fiscales s/congés à payer</t>
        </is>
      </c>
      <c r="F1421" s="227" t="inlineStr">
        <is>
          <t>VICTOIRE</t>
        </is>
      </c>
    </row>
    <row r="1422">
      <c r="A1422" s="227">
        <f>TL[[#This Row],[Société]]&amp;" - "&amp;TL[[#This Row],[Compte]]</f>
        <v/>
      </c>
      <c r="B1422" s="233" t="inlineStr">
        <is>
          <t>448600</t>
        </is>
      </c>
      <c r="C1422" s="227" t="inlineStr">
        <is>
          <t>ETAT CHARGES A PAYER</t>
        </is>
      </c>
      <c r="F1422" s="227" t="inlineStr">
        <is>
          <t>VICTOIRE</t>
        </is>
      </c>
    </row>
    <row r="1423">
      <c r="A1423" s="227">
        <f>TL[[#This Row],[Société]]&amp;" - "&amp;TL[[#This Row],[Compte]]</f>
        <v/>
      </c>
      <c r="B1423" s="233" t="inlineStr">
        <is>
          <t>448630</t>
        </is>
      </c>
      <c r="C1423" s="227" t="inlineStr">
        <is>
          <t>SALAIRES 12/2022</t>
        </is>
      </c>
      <c r="F1423" s="227" t="inlineStr">
        <is>
          <t>VICTOIRE</t>
        </is>
      </c>
    </row>
    <row r="1424">
      <c r="A1424" s="227">
        <f>TL[[#This Row],[Société]]&amp;" - "&amp;TL[[#This Row],[Compte]]</f>
        <v/>
      </c>
      <c r="B1424" s="233" t="inlineStr">
        <is>
          <t>448631</t>
        </is>
      </c>
      <c r="C1424" s="227" t="inlineStr">
        <is>
          <t>Taxe sur les salaires CAP</t>
        </is>
      </c>
      <c r="F1424" s="227" t="inlineStr">
        <is>
          <t>VICTOIRE</t>
        </is>
      </c>
    </row>
    <row r="1425">
      <c r="A1425" s="227">
        <f>TL[[#This Row],[Société]]&amp;" - "&amp;TL[[#This Row],[Compte]]</f>
        <v/>
      </c>
      <c r="B1425" s="233" t="inlineStr">
        <is>
          <t>448632</t>
        </is>
      </c>
      <c r="C1425" s="227" t="inlineStr">
        <is>
          <t>Taxe d'apprentissage CAP</t>
        </is>
      </c>
      <c r="F1425" s="227" t="inlineStr">
        <is>
          <t>VICTOIRE</t>
        </is>
      </c>
    </row>
    <row r="1426">
      <c r="A1426" s="227">
        <f>TL[[#This Row],[Société]]&amp;" - "&amp;TL[[#This Row],[Compte]]</f>
        <v/>
      </c>
      <c r="B1426" s="233" t="inlineStr">
        <is>
          <t>448633</t>
        </is>
      </c>
      <c r="C1426" s="227" t="inlineStr">
        <is>
          <t>Formation continue CAP</t>
        </is>
      </c>
      <c r="F1426" s="227" t="inlineStr">
        <is>
          <t>VICTOIRE</t>
        </is>
      </c>
    </row>
    <row r="1427">
      <c r="A1427" s="227">
        <f>TL[[#This Row],[Société]]&amp;" - "&amp;TL[[#This Row],[Compte]]</f>
        <v/>
      </c>
      <c r="B1427" s="233" t="inlineStr">
        <is>
          <t>448634</t>
        </is>
      </c>
      <c r="C1427" s="227" t="inlineStr">
        <is>
          <t>Effort de logement CAP</t>
        </is>
      </c>
      <c r="F1427" s="227" t="inlineStr">
        <is>
          <t>VICTOIRE</t>
        </is>
      </c>
    </row>
    <row r="1428">
      <c r="A1428" s="227">
        <f>TL[[#This Row],[Société]]&amp;" - "&amp;TL[[#This Row],[Compte]]</f>
        <v/>
      </c>
      <c r="B1428" s="233" t="inlineStr">
        <is>
          <t>448635</t>
        </is>
      </c>
      <c r="C1428" s="227" t="inlineStr">
        <is>
          <t>Taxe professionnelle CAP</t>
        </is>
      </c>
      <c r="F1428" s="227" t="inlineStr">
        <is>
          <t>VICTOIRE</t>
        </is>
      </c>
    </row>
    <row r="1429">
      <c r="A1429" s="227">
        <f>TL[[#This Row],[Société]]&amp;" - "&amp;TL[[#This Row],[Compte]]</f>
        <v/>
      </c>
      <c r="B1429" s="233" t="inlineStr">
        <is>
          <t>448636</t>
        </is>
      </c>
      <c r="C1429" s="227" t="inlineStr">
        <is>
          <t>Taxe foncière CAP</t>
        </is>
      </c>
      <c r="F1429" s="227" t="inlineStr">
        <is>
          <t>VICTOIRE</t>
        </is>
      </c>
    </row>
    <row r="1430">
      <c r="A1430" s="227">
        <f>TL[[#This Row],[Société]]&amp;" - "&amp;TL[[#This Row],[Compte]]</f>
        <v/>
      </c>
      <c r="B1430" s="233" t="inlineStr">
        <is>
          <t>448637</t>
        </is>
      </c>
      <c r="C1430" s="227" t="inlineStr">
        <is>
          <t>T.V.T.S CAP</t>
        </is>
      </c>
      <c r="F1430" s="227" t="inlineStr">
        <is>
          <t>VICTOIRE</t>
        </is>
      </c>
    </row>
    <row r="1431">
      <c r="A1431" s="227">
        <f>TL[[#This Row],[Société]]&amp;" - "&amp;TL[[#This Row],[Compte]]</f>
        <v/>
      </c>
      <c r="B1431" s="233" t="inlineStr">
        <is>
          <t>448638</t>
        </is>
      </c>
      <c r="C1431" s="227" t="inlineStr">
        <is>
          <t>Autres droits CAP</t>
        </is>
      </c>
      <c r="F1431" s="227" t="inlineStr">
        <is>
          <t>VICTOIRE</t>
        </is>
      </c>
    </row>
    <row r="1432">
      <c r="A1432" s="227">
        <f>TL[[#This Row],[Société]]&amp;" - "&amp;TL[[#This Row],[Compte]]</f>
        <v/>
      </c>
      <c r="B1432" s="233" t="inlineStr">
        <is>
          <t>448639</t>
        </is>
      </c>
      <c r="C1432" s="227" t="inlineStr">
        <is>
          <t>Versement transport CAP</t>
        </is>
      </c>
      <c r="F1432" s="227" t="inlineStr">
        <is>
          <t>VICTOIRE</t>
        </is>
      </c>
    </row>
    <row r="1433">
      <c r="A1433" s="227">
        <f>TL[[#This Row],[Société]]&amp;" - "&amp;TL[[#This Row],[Compte]]</f>
        <v/>
      </c>
      <c r="B1433" s="233" t="inlineStr">
        <is>
          <t>448640</t>
        </is>
      </c>
      <c r="C1433" s="227" t="inlineStr">
        <is>
          <t>ORGANIC CAP</t>
        </is>
      </c>
      <c r="F1433" s="227" t="inlineStr">
        <is>
          <t>VICTOIRE</t>
        </is>
      </c>
    </row>
    <row r="1434">
      <c r="A1434" s="227">
        <f>TL[[#This Row],[Société]]&amp;" - "&amp;TL[[#This Row],[Compte]]</f>
        <v/>
      </c>
      <c r="B1434" s="233" t="inlineStr">
        <is>
          <t>448700</t>
        </is>
      </c>
      <c r="C1434" s="227" t="inlineStr">
        <is>
          <t>ETAT PRODUITS A RECEVOIR</t>
        </is>
      </c>
      <c r="F1434" s="227" t="inlineStr">
        <is>
          <t>VICTOIRE</t>
        </is>
      </c>
    </row>
    <row r="1435">
      <c r="A1435" s="227">
        <f>TL[[#This Row],[Société]]&amp;" - "&amp;TL[[#This Row],[Compte]]</f>
        <v/>
      </c>
      <c r="B1435" s="233" t="inlineStr">
        <is>
          <t>449000</t>
        </is>
      </c>
      <c r="C1435" s="227" t="inlineStr">
        <is>
          <t>Quotas d'émission à resti.à l'état</t>
        </is>
      </c>
      <c r="F1435" s="227" t="inlineStr">
        <is>
          <t>VICTOIRE</t>
        </is>
      </c>
    </row>
    <row r="1436">
      <c r="A1436" s="227">
        <f>TL[[#This Row],[Société]]&amp;" - "&amp;TL[[#This Row],[Compte]]</f>
        <v/>
      </c>
      <c r="B1436" s="233" t="inlineStr">
        <is>
          <t>451000</t>
        </is>
      </c>
      <c r="C1436" s="227" t="inlineStr">
        <is>
          <t>Groupe</t>
        </is>
      </c>
      <c r="F1436" s="227" t="inlineStr">
        <is>
          <t>VICTOIRE</t>
        </is>
      </c>
    </row>
    <row r="1437">
      <c r="A1437" s="227">
        <f>TL[[#This Row],[Société]]&amp;" - "&amp;TL[[#This Row],[Compte]]</f>
        <v/>
      </c>
      <c r="B1437" s="233" t="inlineStr">
        <is>
          <t>455000</t>
        </is>
      </c>
      <c r="C1437" s="227" t="inlineStr">
        <is>
          <t>Associés</t>
        </is>
      </c>
      <c r="F1437" s="227" t="inlineStr">
        <is>
          <t>VICTOIRE</t>
        </is>
      </c>
    </row>
    <row r="1438">
      <c r="A1438" s="227">
        <f>TL[[#This Row],[Société]]&amp;" - "&amp;TL[[#This Row],[Compte]]</f>
        <v/>
      </c>
      <c r="B1438" s="233" t="inlineStr">
        <is>
          <t>455100</t>
        </is>
      </c>
      <c r="C1438" s="227" t="inlineStr">
        <is>
          <t>C/C PRINCIPAL</t>
        </is>
      </c>
      <c r="F1438" s="227" t="inlineStr">
        <is>
          <t>VICTOIRE</t>
        </is>
      </c>
    </row>
    <row r="1439">
      <c r="A1439" s="227">
        <f>TL[[#This Row],[Société]]&amp;" - "&amp;TL[[#This Row],[Compte]]</f>
        <v/>
      </c>
      <c r="B1439" s="233" t="inlineStr">
        <is>
          <t>455170</t>
        </is>
      </c>
      <c r="C1439" s="227" t="inlineStr">
        <is>
          <t>Associés - comptes courants (MT)</t>
        </is>
      </c>
      <c r="F1439" s="227" t="inlineStr">
        <is>
          <t>VICTOIRE</t>
        </is>
      </c>
    </row>
    <row r="1440">
      <c r="A1440" s="227">
        <f>TL[[#This Row],[Société]]&amp;" - "&amp;TL[[#This Row],[Compte]]</f>
        <v/>
      </c>
      <c r="B1440" s="233" t="inlineStr">
        <is>
          <t>455180</t>
        </is>
      </c>
      <c r="C1440" s="227" t="inlineStr">
        <is>
          <t>Associés - comptes courants (CT)</t>
        </is>
      </c>
      <c r="F1440" s="227" t="inlineStr">
        <is>
          <t>VICTOIRE</t>
        </is>
      </c>
    </row>
    <row r="1441">
      <c r="A1441" s="227">
        <f>TL[[#This Row],[Société]]&amp;" - "&amp;TL[[#This Row],[Compte]]</f>
        <v/>
      </c>
      <c r="B1441" s="233" t="inlineStr">
        <is>
          <t>455300</t>
        </is>
      </c>
      <c r="C1441" s="227" t="inlineStr">
        <is>
          <t>C/C FGS</t>
        </is>
      </c>
      <c r="F1441" s="227" t="inlineStr">
        <is>
          <t>VICTOIRE</t>
        </is>
      </c>
    </row>
    <row r="1442">
      <c r="A1442" s="227">
        <f>TL[[#This Row],[Société]]&amp;" - "&amp;TL[[#This Row],[Compte]]</f>
        <v/>
      </c>
      <c r="B1442" s="233" t="inlineStr">
        <is>
          <t>455800</t>
        </is>
      </c>
      <c r="C1442" s="227" t="inlineStr">
        <is>
          <t>Associés - intérêts courus</t>
        </is>
      </c>
      <c r="F1442" s="227" t="inlineStr">
        <is>
          <t>VICTOIRE</t>
        </is>
      </c>
    </row>
    <row r="1443">
      <c r="A1443" s="227">
        <f>TL[[#This Row],[Société]]&amp;" - "&amp;TL[[#This Row],[Compte]]</f>
        <v/>
      </c>
      <c r="B1443" s="233" t="inlineStr">
        <is>
          <t>456000</t>
        </is>
      </c>
      <c r="C1443" s="227" t="inlineStr">
        <is>
          <t>Associés - opérations s/le capital</t>
        </is>
      </c>
      <c r="F1443" s="227" t="inlineStr">
        <is>
          <t>VICTOIRE</t>
        </is>
      </c>
    </row>
    <row r="1444">
      <c r="A1444" s="227">
        <f>TL[[#This Row],[Société]]&amp;" - "&amp;TL[[#This Row],[Compte]]</f>
        <v/>
      </c>
      <c r="B1444" s="233" t="inlineStr">
        <is>
          <t>456110</t>
        </is>
      </c>
      <c r="C1444" s="227" t="inlineStr">
        <is>
          <t>Associés - apports en nature</t>
        </is>
      </c>
      <c r="F1444" s="227" t="inlineStr">
        <is>
          <t>VICTOIRE</t>
        </is>
      </c>
    </row>
    <row r="1445">
      <c r="A1445" s="227">
        <f>TL[[#This Row],[Société]]&amp;" - "&amp;TL[[#This Row],[Compte]]</f>
        <v/>
      </c>
      <c r="B1445" s="233" t="inlineStr">
        <is>
          <t>456150</t>
        </is>
      </c>
      <c r="C1445" s="227" t="inlineStr">
        <is>
          <t>Associés - apports en numéraire</t>
        </is>
      </c>
      <c r="F1445" s="227" t="inlineStr">
        <is>
          <t>VICTOIRE</t>
        </is>
      </c>
    </row>
    <row r="1446">
      <c r="A1446" s="227">
        <f>TL[[#This Row],[Société]]&amp;" - "&amp;TL[[#This Row],[Compte]]</f>
        <v/>
      </c>
      <c r="B1446" s="233" t="inlineStr">
        <is>
          <t>456210</t>
        </is>
      </c>
      <c r="C1446" s="227" t="inlineStr">
        <is>
          <t>Capital appelé non versé</t>
        </is>
      </c>
      <c r="F1446" s="227" t="inlineStr">
        <is>
          <t>VICTOIRE</t>
        </is>
      </c>
    </row>
    <row r="1447">
      <c r="A1447" s="227">
        <f>TL[[#This Row],[Société]]&amp;" - "&amp;TL[[#This Row],[Compte]]</f>
        <v/>
      </c>
      <c r="B1447" s="233" t="inlineStr">
        <is>
          <t>457000</t>
        </is>
      </c>
      <c r="C1447" s="227" t="inlineStr">
        <is>
          <t>Associés - dividendes à payer</t>
        </is>
      </c>
      <c r="F1447" s="227" t="inlineStr">
        <is>
          <t>VICTOIRE</t>
        </is>
      </c>
    </row>
    <row r="1448">
      <c r="A1448" s="227">
        <f>TL[[#This Row],[Société]]&amp;" - "&amp;TL[[#This Row],[Compte]]</f>
        <v/>
      </c>
      <c r="B1448" s="233" t="inlineStr">
        <is>
          <t>458000</t>
        </is>
      </c>
      <c r="C1448" s="227" t="inlineStr">
        <is>
          <t>Associés - opérations en commun/GIE</t>
        </is>
      </c>
      <c r="F1448" s="227" t="inlineStr">
        <is>
          <t>VICTOIRE</t>
        </is>
      </c>
    </row>
    <row r="1449">
      <c r="A1449" s="227">
        <f>TL[[#This Row],[Société]]&amp;" - "&amp;TL[[#This Row],[Compte]]</f>
        <v/>
      </c>
      <c r="B1449" s="233" t="inlineStr">
        <is>
          <t>458100</t>
        </is>
      </c>
      <c r="C1449" s="227" t="inlineStr">
        <is>
          <t>Associés - opérations courantes co.</t>
        </is>
      </c>
      <c r="F1449" s="227" t="inlineStr">
        <is>
          <t>VICTOIRE</t>
        </is>
      </c>
    </row>
    <row r="1450">
      <c r="A1450" s="227">
        <f>TL[[#This Row],[Société]]&amp;" - "&amp;TL[[#This Row],[Compte]]</f>
        <v/>
      </c>
      <c r="B1450" s="233" t="inlineStr">
        <is>
          <t>458800</t>
        </is>
      </c>
      <c r="C1450" s="227" t="inlineStr">
        <is>
          <t>Associés - intérêts courus</t>
        </is>
      </c>
      <c r="F1450" s="227" t="inlineStr">
        <is>
          <t>VICTOIRE</t>
        </is>
      </c>
    </row>
    <row r="1451">
      <c r="A1451" s="227">
        <f>TL[[#This Row],[Société]]&amp;" - "&amp;TL[[#This Row],[Compte]]</f>
        <v/>
      </c>
      <c r="B1451" s="233" t="inlineStr">
        <is>
          <t>462000</t>
        </is>
      </c>
      <c r="C1451" s="227" t="inlineStr">
        <is>
          <t>Créances s/cessions d'immobilisat.</t>
        </is>
      </c>
      <c r="F1451" s="227" t="inlineStr">
        <is>
          <t>VICTOIRE</t>
        </is>
      </c>
    </row>
    <row r="1452">
      <c r="A1452" s="227">
        <f>TL[[#This Row],[Société]]&amp;" - "&amp;TL[[#This Row],[Compte]]</f>
        <v/>
      </c>
      <c r="B1452" s="233" t="inlineStr">
        <is>
          <t>462700</t>
        </is>
      </c>
      <c r="C1452" s="227" t="inlineStr">
        <is>
          <t>Créances sur cession à moyen terme</t>
        </is>
      </c>
      <c r="F1452" s="227" t="inlineStr">
        <is>
          <t>VICTOIRE</t>
        </is>
      </c>
    </row>
    <row r="1453">
      <c r="A1453" s="227">
        <f>TL[[#This Row],[Société]]&amp;" - "&amp;TL[[#This Row],[Compte]]</f>
        <v/>
      </c>
      <c r="B1453" s="233" t="inlineStr">
        <is>
          <t>462800</t>
        </is>
      </c>
      <c r="C1453" s="227" t="inlineStr">
        <is>
          <t>Créances sur cession à court terme</t>
        </is>
      </c>
      <c r="F1453" s="227" t="inlineStr">
        <is>
          <t>VICTOIRE</t>
        </is>
      </c>
    </row>
    <row r="1454">
      <c r="A1454" s="227">
        <f>TL[[#This Row],[Société]]&amp;" - "&amp;TL[[#This Row],[Compte]]</f>
        <v/>
      </c>
      <c r="B1454" s="233" t="inlineStr">
        <is>
          <t>464000</t>
        </is>
      </c>
      <c r="C1454" s="227" t="inlineStr">
        <is>
          <t>Dettes s/acquisitions VMP</t>
        </is>
      </c>
      <c r="F1454" s="227" t="inlineStr">
        <is>
          <t>VICTOIRE</t>
        </is>
      </c>
    </row>
    <row r="1455">
      <c r="A1455" s="227">
        <f>TL[[#This Row],[Société]]&amp;" - "&amp;TL[[#This Row],[Compte]]</f>
        <v/>
      </c>
      <c r="B1455" s="233" t="inlineStr">
        <is>
          <t>465000</t>
        </is>
      </c>
      <c r="C1455" s="227" t="inlineStr">
        <is>
          <t>Créances s/cessions VMP</t>
        </is>
      </c>
      <c r="F1455" s="227" t="inlineStr">
        <is>
          <t>VICTOIRE</t>
        </is>
      </c>
    </row>
    <row r="1456">
      <c r="A1456" s="227">
        <f>TL[[#This Row],[Société]]&amp;" - "&amp;TL[[#This Row],[Compte]]</f>
        <v/>
      </c>
      <c r="B1456" s="233" t="inlineStr">
        <is>
          <t>467000</t>
        </is>
      </c>
      <c r="C1456" s="227" t="inlineStr">
        <is>
          <t>Autres comptes débiteurs/créditeurs</t>
        </is>
      </c>
      <c r="F1456" s="227" t="inlineStr">
        <is>
          <t>VICTOIRE</t>
        </is>
      </c>
    </row>
    <row r="1457">
      <c r="A1457" s="227">
        <f>TL[[#This Row],[Société]]&amp;" - "&amp;TL[[#This Row],[Compte]]</f>
        <v/>
      </c>
      <c r="B1457" s="233" t="inlineStr">
        <is>
          <t>467100</t>
        </is>
      </c>
      <c r="C1457" s="227" t="inlineStr">
        <is>
          <t>TICKETS RESTAURANTS</t>
        </is>
      </c>
      <c r="F1457" s="227" t="inlineStr">
        <is>
          <t>VICTOIRE</t>
        </is>
      </c>
    </row>
    <row r="1458">
      <c r="A1458" s="227">
        <f>TL[[#This Row],[Société]]&amp;" - "&amp;TL[[#This Row],[Compte]]</f>
        <v/>
      </c>
      <c r="B1458" s="233" t="inlineStr">
        <is>
          <t>467200</t>
        </is>
      </c>
      <c r="C1458" s="227" t="inlineStr">
        <is>
          <t>URNES DIGITALES</t>
        </is>
      </c>
      <c r="F1458" s="227" t="inlineStr">
        <is>
          <t>VICTOIRE</t>
        </is>
      </c>
    </row>
    <row r="1459">
      <c r="A1459" s="227">
        <f>TL[[#This Row],[Société]]&amp;" - "&amp;TL[[#This Row],[Compte]]</f>
        <v/>
      </c>
      <c r="B1459" s="233" t="inlineStr">
        <is>
          <t>467400</t>
        </is>
      </c>
      <c r="C1459" s="227" t="inlineStr">
        <is>
          <t>URNES</t>
        </is>
      </c>
      <c r="F1459" s="227" t="inlineStr">
        <is>
          <t>VICTOIRE</t>
        </is>
      </c>
    </row>
    <row r="1460">
      <c r="A1460" s="227">
        <f>TL[[#This Row],[Société]]&amp;" - "&amp;TL[[#This Row],[Compte]]</f>
        <v/>
      </c>
      <c r="B1460" s="233" t="inlineStr">
        <is>
          <t>467700</t>
        </is>
      </c>
      <c r="C1460" s="227" t="inlineStr">
        <is>
          <t>Opérations d'affacturage</t>
        </is>
      </c>
      <c r="F1460" s="227" t="inlineStr">
        <is>
          <t>VICTOIRE</t>
        </is>
      </c>
    </row>
    <row r="1461">
      <c r="A1461" s="227">
        <f>TL[[#This Row],[Société]]&amp;" - "&amp;TL[[#This Row],[Compte]]</f>
        <v/>
      </c>
      <c r="B1461" s="233" t="inlineStr">
        <is>
          <t>468600</t>
        </is>
      </c>
      <c r="C1461" s="227" t="inlineStr">
        <is>
          <t>Divers - charges à payer</t>
        </is>
      </c>
      <c r="F1461" s="227" t="inlineStr">
        <is>
          <t>VICTOIRE</t>
        </is>
      </c>
    </row>
    <row r="1462">
      <c r="A1462" s="227">
        <f>TL[[#This Row],[Société]]&amp;" - "&amp;TL[[#This Row],[Compte]]</f>
        <v/>
      </c>
      <c r="B1462" s="233" t="inlineStr">
        <is>
          <t>468700</t>
        </is>
      </c>
      <c r="C1462" s="227" t="inlineStr">
        <is>
          <t>Divers - produits à recevoir</t>
        </is>
      </c>
      <c r="F1462" s="227" t="inlineStr">
        <is>
          <t>VICTOIRE</t>
        </is>
      </c>
    </row>
    <row r="1463">
      <c r="A1463" s="227">
        <f>TL[[#This Row],[Société]]&amp;" - "&amp;TL[[#This Row],[Compte]]</f>
        <v/>
      </c>
      <c r="B1463" s="233" t="inlineStr">
        <is>
          <t>471000</t>
        </is>
      </c>
      <c r="C1463" s="227" t="inlineStr">
        <is>
          <t>Compte d'attente</t>
        </is>
      </c>
      <c r="F1463" s="227" t="inlineStr">
        <is>
          <t>VICTOIRE</t>
        </is>
      </c>
    </row>
    <row r="1464">
      <c r="A1464" s="227">
        <f>TL[[#This Row],[Société]]&amp;" - "&amp;TL[[#This Row],[Compte]]</f>
        <v/>
      </c>
      <c r="B1464" s="233" t="inlineStr">
        <is>
          <t>472000</t>
        </is>
      </c>
      <c r="C1464" s="227" t="inlineStr">
        <is>
          <t>Compte d'attente</t>
        </is>
      </c>
      <c r="F1464" s="227" t="inlineStr">
        <is>
          <t>VICTOIRE</t>
        </is>
      </c>
    </row>
    <row r="1465">
      <c r="A1465" s="227">
        <f>TL[[#This Row],[Société]]&amp;" - "&amp;TL[[#This Row],[Compte]]</f>
        <v/>
      </c>
      <c r="B1465" s="233" t="inlineStr">
        <is>
          <t>476100</t>
        </is>
      </c>
      <c r="C1465" s="227" t="inlineStr">
        <is>
          <t>Diff. convers. diminution créances</t>
        </is>
      </c>
      <c r="F1465" s="227" t="inlineStr">
        <is>
          <t>VICTOIRE</t>
        </is>
      </c>
    </row>
    <row r="1466">
      <c r="A1466" s="227">
        <f>TL[[#This Row],[Société]]&amp;" - "&amp;TL[[#This Row],[Compte]]</f>
        <v/>
      </c>
      <c r="B1466" s="233" t="inlineStr">
        <is>
          <t>476200</t>
        </is>
      </c>
      <c r="C1466" s="227" t="inlineStr">
        <is>
          <t>Diff. convers. augmentation dettes</t>
        </is>
      </c>
      <c r="F1466" s="227" t="inlineStr">
        <is>
          <t>VICTOIRE</t>
        </is>
      </c>
    </row>
    <row r="1467">
      <c r="A1467" s="227">
        <f>TL[[#This Row],[Société]]&amp;" - "&amp;TL[[#This Row],[Compte]]</f>
        <v/>
      </c>
      <c r="B1467" s="233" t="inlineStr">
        <is>
          <t>476800</t>
        </is>
      </c>
      <c r="C1467" s="227" t="inlineStr">
        <is>
          <t>Diff. convers. compensées couvertur</t>
        </is>
      </c>
      <c r="F1467" s="227" t="inlineStr">
        <is>
          <t>VICTOIRE</t>
        </is>
      </c>
    </row>
    <row r="1468">
      <c r="A1468" s="227">
        <f>TL[[#This Row],[Société]]&amp;" - "&amp;TL[[#This Row],[Compte]]</f>
        <v/>
      </c>
      <c r="B1468" s="233" t="inlineStr">
        <is>
          <t>477100</t>
        </is>
      </c>
      <c r="C1468" s="227" t="inlineStr">
        <is>
          <t>Diff. convers. augmentation créance</t>
        </is>
      </c>
      <c r="F1468" s="227" t="inlineStr">
        <is>
          <t>VICTOIRE</t>
        </is>
      </c>
    </row>
    <row r="1469">
      <c r="A1469" s="227">
        <f>TL[[#This Row],[Société]]&amp;" - "&amp;TL[[#This Row],[Compte]]</f>
        <v/>
      </c>
      <c r="B1469" s="233" t="inlineStr">
        <is>
          <t>477200</t>
        </is>
      </c>
      <c r="C1469" s="227" t="inlineStr">
        <is>
          <t>Diff. convers. diminution dettes</t>
        </is>
      </c>
      <c r="F1469" s="227" t="inlineStr">
        <is>
          <t>VICTOIRE</t>
        </is>
      </c>
    </row>
    <row r="1470">
      <c r="A1470" s="227">
        <f>TL[[#This Row],[Société]]&amp;" - "&amp;TL[[#This Row],[Compte]]</f>
        <v/>
      </c>
      <c r="B1470" s="233" t="inlineStr">
        <is>
          <t>477800</t>
        </is>
      </c>
      <c r="C1470" s="227" t="inlineStr">
        <is>
          <t>Diff. convers. compensées couvertur</t>
        </is>
      </c>
      <c r="F1470" s="227" t="inlineStr">
        <is>
          <t>VICTOIRE</t>
        </is>
      </c>
    </row>
    <row r="1471">
      <c r="A1471" s="227">
        <f>TL[[#This Row],[Société]]&amp;" - "&amp;TL[[#This Row],[Compte]]</f>
        <v/>
      </c>
      <c r="B1471" s="233" t="inlineStr">
        <is>
          <t>478000</t>
        </is>
      </c>
      <c r="C1471" s="227" t="inlineStr">
        <is>
          <t>Comptes transitoires</t>
        </is>
      </c>
      <c r="F1471" s="227" t="inlineStr">
        <is>
          <t>VICTOIRE</t>
        </is>
      </c>
    </row>
    <row r="1472">
      <c r="A1472" s="227">
        <f>TL[[#This Row],[Société]]&amp;" - "&amp;TL[[#This Row],[Compte]]</f>
        <v/>
      </c>
      <c r="B1472" s="233" t="inlineStr">
        <is>
          <t>478700</t>
        </is>
      </c>
      <c r="C1472" s="227" t="inlineStr">
        <is>
          <t>Indemnités d'assurance à recevoir</t>
        </is>
      </c>
      <c r="F1472" s="227" t="inlineStr">
        <is>
          <t>VICTOIRE</t>
        </is>
      </c>
    </row>
    <row r="1473">
      <c r="A1473" s="227">
        <f>TL[[#This Row],[Société]]&amp;" - "&amp;TL[[#This Row],[Compte]]</f>
        <v/>
      </c>
      <c r="B1473" s="233" t="inlineStr">
        <is>
          <t>481100</t>
        </is>
      </c>
      <c r="C1473" s="227" t="inlineStr">
        <is>
          <t>Charges différées</t>
        </is>
      </c>
      <c r="F1473" s="227" t="inlineStr">
        <is>
          <t>VICTOIRE</t>
        </is>
      </c>
    </row>
    <row r="1474">
      <c r="A1474" s="227">
        <f>TL[[#This Row],[Société]]&amp;" - "&amp;TL[[#This Row],[Compte]]</f>
        <v/>
      </c>
      <c r="B1474" s="233" t="inlineStr">
        <is>
          <t>481200</t>
        </is>
      </c>
      <c r="C1474" s="227" t="inlineStr">
        <is>
          <t>Frais d'acquisition immobilisations</t>
        </is>
      </c>
      <c r="F1474" s="227" t="inlineStr">
        <is>
          <t>VICTOIRE</t>
        </is>
      </c>
    </row>
    <row r="1475">
      <c r="A1475" s="227">
        <f>TL[[#This Row],[Société]]&amp;" - "&amp;TL[[#This Row],[Compte]]</f>
        <v/>
      </c>
      <c r="B1475" s="233" t="inlineStr">
        <is>
          <t>481600</t>
        </is>
      </c>
      <c r="C1475" s="227" t="inlineStr">
        <is>
          <t>Frais d'émission des emprunts</t>
        </is>
      </c>
      <c r="F1475" s="227" t="inlineStr">
        <is>
          <t>VICTOIRE</t>
        </is>
      </c>
    </row>
    <row r="1476">
      <c r="A1476" s="227">
        <f>TL[[#This Row],[Société]]&amp;" - "&amp;TL[[#This Row],[Compte]]</f>
        <v/>
      </c>
      <c r="B1476" s="233" t="inlineStr">
        <is>
          <t>481800</t>
        </is>
      </c>
      <c r="C1476" s="227" t="inlineStr">
        <is>
          <t>Charges à étaler</t>
        </is>
      </c>
      <c r="F1476" s="227" t="inlineStr">
        <is>
          <t>VICTOIRE</t>
        </is>
      </c>
    </row>
    <row r="1477">
      <c r="A1477" s="227">
        <f>TL[[#This Row],[Société]]&amp;" - "&amp;TL[[#This Row],[Compte]]</f>
        <v/>
      </c>
      <c r="B1477" s="233" t="inlineStr">
        <is>
          <t>486000</t>
        </is>
      </c>
      <c r="C1477" s="227" t="inlineStr">
        <is>
          <t>CHARGES CONSTATEES D'AVANCE</t>
        </is>
      </c>
      <c r="F1477" s="227" t="inlineStr">
        <is>
          <t>VICTOIRE</t>
        </is>
      </c>
    </row>
    <row r="1478">
      <c r="A1478" s="227">
        <f>TL[[#This Row],[Société]]&amp;" - "&amp;TL[[#This Row],[Compte]]</f>
        <v/>
      </c>
      <c r="B1478" s="233" t="inlineStr">
        <is>
          <t>486060</t>
        </is>
      </c>
      <c r="C1478" s="227" t="inlineStr">
        <is>
          <t>Stock de fournitures</t>
        </is>
      </c>
      <c r="F1478" s="227" t="inlineStr">
        <is>
          <t>VICTOIRE</t>
        </is>
      </c>
    </row>
    <row r="1479">
      <c r="A1479" s="227">
        <f>TL[[#This Row],[Société]]&amp;" - "&amp;TL[[#This Row],[Compte]]</f>
        <v/>
      </c>
      <c r="B1479" s="233" t="inlineStr">
        <is>
          <t>486120</t>
        </is>
      </c>
      <c r="C1479" s="227" t="inlineStr">
        <is>
          <t>Crédit bail d'avance</t>
        </is>
      </c>
      <c r="F1479" s="227" t="inlineStr">
        <is>
          <t>VICTOIRE</t>
        </is>
      </c>
    </row>
    <row r="1480">
      <c r="A1480" s="227">
        <f>TL[[#This Row],[Société]]&amp;" - "&amp;TL[[#This Row],[Compte]]</f>
        <v/>
      </c>
      <c r="B1480" s="233" t="inlineStr">
        <is>
          <t>486132</t>
        </is>
      </c>
      <c r="C1480" s="227" t="inlineStr">
        <is>
          <t>Locations immobilières d'avance</t>
        </is>
      </c>
      <c r="F1480" s="227" t="inlineStr">
        <is>
          <t>VICTOIRE</t>
        </is>
      </c>
    </row>
    <row r="1481">
      <c r="A1481" s="227">
        <f>TL[[#This Row],[Société]]&amp;" - "&amp;TL[[#This Row],[Compte]]</f>
        <v/>
      </c>
      <c r="B1481" s="233" t="inlineStr">
        <is>
          <t>486133</t>
        </is>
      </c>
      <c r="C1481" s="227" t="inlineStr">
        <is>
          <t>Location gérance d'avance</t>
        </is>
      </c>
      <c r="F1481" s="227" t="inlineStr">
        <is>
          <t>VICTOIRE</t>
        </is>
      </c>
    </row>
    <row r="1482">
      <c r="A1482" s="227">
        <f>TL[[#This Row],[Société]]&amp;" - "&amp;TL[[#This Row],[Compte]]</f>
        <v/>
      </c>
      <c r="B1482" s="233" t="inlineStr">
        <is>
          <t>486135</t>
        </is>
      </c>
      <c r="C1482" s="227" t="inlineStr">
        <is>
          <t>Locations mobilières d'avance</t>
        </is>
      </c>
      <c r="F1482" s="227" t="inlineStr">
        <is>
          <t>VICTOIRE</t>
        </is>
      </c>
    </row>
    <row r="1483">
      <c r="A1483" s="227">
        <f>TL[[#This Row],[Société]]&amp;" - "&amp;TL[[#This Row],[Compte]]</f>
        <v/>
      </c>
      <c r="B1483" s="233" t="inlineStr">
        <is>
          <t>486150</t>
        </is>
      </c>
      <c r="C1483" s="227" t="inlineStr">
        <is>
          <t>Entretiens effectués d'avance</t>
        </is>
      </c>
      <c r="F1483" s="227" t="inlineStr">
        <is>
          <t>VICTOIRE</t>
        </is>
      </c>
    </row>
    <row r="1484">
      <c r="A1484" s="227">
        <f>TL[[#This Row],[Société]]&amp;" - "&amp;TL[[#This Row],[Compte]]</f>
        <v/>
      </c>
      <c r="B1484" s="233" t="inlineStr">
        <is>
          <t>486156</t>
        </is>
      </c>
      <c r="C1484" s="227" t="inlineStr">
        <is>
          <t>Maintenance, période d'avance</t>
        </is>
      </c>
      <c r="F1484" s="227" t="inlineStr">
        <is>
          <t>VICTOIRE</t>
        </is>
      </c>
    </row>
    <row r="1485">
      <c r="A1485" s="227">
        <f>TL[[#This Row],[Société]]&amp;" - "&amp;TL[[#This Row],[Compte]]</f>
        <v/>
      </c>
      <c r="B1485" s="233" t="inlineStr">
        <is>
          <t>486160</t>
        </is>
      </c>
      <c r="C1485" s="227" t="inlineStr">
        <is>
          <t>Assurances, période d'avance</t>
        </is>
      </c>
      <c r="F1485" s="227" t="inlineStr">
        <is>
          <t>VICTOIRE</t>
        </is>
      </c>
    </row>
    <row r="1486">
      <c r="A1486" s="227">
        <f>TL[[#This Row],[Société]]&amp;" - "&amp;TL[[#This Row],[Compte]]</f>
        <v/>
      </c>
      <c r="B1486" s="233" t="inlineStr">
        <is>
          <t>486220</t>
        </is>
      </c>
      <c r="C1486" s="227" t="inlineStr">
        <is>
          <t>Commissions versées en avance</t>
        </is>
      </c>
      <c r="F1486" s="227" t="inlineStr">
        <is>
          <t>VICTOIRE</t>
        </is>
      </c>
    </row>
    <row r="1487">
      <c r="A1487" s="227">
        <f>TL[[#This Row],[Société]]&amp;" - "&amp;TL[[#This Row],[Compte]]</f>
        <v/>
      </c>
      <c r="B1487" s="233" t="inlineStr">
        <is>
          <t>486234</t>
        </is>
      </c>
      <c r="C1487" s="227" t="inlineStr">
        <is>
          <t>Stock Cadeaux d'entreprise</t>
        </is>
      </c>
      <c r="F1487" s="227" t="inlineStr">
        <is>
          <t>VICTOIRE</t>
        </is>
      </c>
    </row>
    <row r="1488">
      <c r="A1488" s="227">
        <f>TL[[#This Row],[Société]]&amp;" - "&amp;TL[[#This Row],[Compte]]</f>
        <v/>
      </c>
      <c r="B1488" s="233" t="inlineStr">
        <is>
          <t>486260</t>
        </is>
      </c>
      <c r="C1488" s="227" t="inlineStr">
        <is>
          <t>Abonnements téléphones d'avance</t>
        </is>
      </c>
      <c r="F1488" s="227" t="inlineStr">
        <is>
          <t>VICTOIRE</t>
        </is>
      </c>
    </row>
    <row r="1489">
      <c r="A1489" s="227">
        <f>TL[[#This Row],[Société]]&amp;" - "&amp;TL[[#This Row],[Compte]]</f>
        <v/>
      </c>
      <c r="B1489" s="233" t="inlineStr">
        <is>
          <t>486270</t>
        </is>
      </c>
      <c r="C1489" s="227" t="inlineStr">
        <is>
          <t>Frais bancaires d'avance</t>
        </is>
      </c>
      <c r="F1489" s="227" t="inlineStr">
        <is>
          <t>VICTOIRE</t>
        </is>
      </c>
    </row>
    <row r="1490">
      <c r="A1490" s="227">
        <f>TL[[#This Row],[Société]]&amp;" - "&amp;TL[[#This Row],[Compte]]</f>
        <v/>
      </c>
      <c r="B1490" s="233" t="inlineStr">
        <is>
          <t>486351</t>
        </is>
      </c>
      <c r="C1490" s="227" t="inlineStr">
        <is>
          <t>Taxe Professionnelle d'avance</t>
        </is>
      </c>
      <c r="F1490" s="227" t="inlineStr">
        <is>
          <t>VICTOIRE</t>
        </is>
      </c>
    </row>
    <row r="1491">
      <c r="A1491" s="227">
        <f>TL[[#This Row],[Société]]&amp;" - "&amp;TL[[#This Row],[Compte]]</f>
        <v/>
      </c>
      <c r="B1491" s="233" t="inlineStr">
        <is>
          <t>486610</t>
        </is>
      </c>
      <c r="C1491" s="227" t="inlineStr">
        <is>
          <t>Frais financiers d'avance</t>
        </is>
      </c>
      <c r="F1491" s="227" t="inlineStr">
        <is>
          <t>VICTOIRE</t>
        </is>
      </c>
    </row>
    <row r="1492">
      <c r="A1492" s="227">
        <f>TL[[#This Row],[Société]]&amp;" - "&amp;TL[[#This Row],[Compte]]</f>
        <v/>
      </c>
      <c r="B1492" s="233" t="inlineStr">
        <is>
          <t>487000</t>
        </is>
      </c>
      <c r="C1492" s="227" t="inlineStr">
        <is>
          <t>PRODUITS CONSTATES D'AVANCE</t>
        </is>
      </c>
      <c r="F1492" s="227" t="inlineStr">
        <is>
          <t>VICTOIRE</t>
        </is>
      </c>
    </row>
    <row r="1493">
      <c r="A1493" s="227">
        <f>TL[[#This Row],[Société]]&amp;" - "&amp;TL[[#This Row],[Compte]]</f>
        <v/>
      </c>
      <c r="B1493" s="233" t="inlineStr">
        <is>
          <t>488600</t>
        </is>
      </c>
      <c r="C1493" s="227" t="inlineStr">
        <is>
          <t>Charges - répartit. périodique</t>
        </is>
      </c>
      <c r="F1493" s="227" t="inlineStr">
        <is>
          <t>VICTOIRE</t>
        </is>
      </c>
    </row>
    <row r="1494">
      <c r="A1494" s="227">
        <f>TL[[#This Row],[Société]]&amp;" - "&amp;TL[[#This Row],[Compte]]</f>
        <v/>
      </c>
      <c r="B1494" s="233" t="inlineStr">
        <is>
          <t>488630</t>
        </is>
      </c>
      <c r="C1494" s="227" t="inlineStr">
        <is>
          <t>CVAE</t>
        </is>
      </c>
      <c r="F1494" s="227" t="inlineStr">
        <is>
          <t>VICTOIRE</t>
        </is>
      </c>
    </row>
    <row r="1495">
      <c r="A1495" s="227">
        <f>TL[[#This Row],[Société]]&amp;" - "&amp;TL[[#This Row],[Compte]]</f>
        <v/>
      </c>
      <c r="B1495" s="233" t="inlineStr">
        <is>
          <t>488631</t>
        </is>
      </c>
      <c r="C1495" s="227" t="inlineStr">
        <is>
          <t>TAXE APPRENTISSAGE</t>
        </is>
      </c>
      <c r="F1495" s="227" t="inlineStr">
        <is>
          <t>VICTOIRE</t>
        </is>
      </c>
    </row>
    <row r="1496">
      <c r="A1496" s="227">
        <f>TL[[#This Row],[Société]]&amp;" - "&amp;TL[[#This Row],[Compte]]</f>
        <v/>
      </c>
      <c r="B1496" s="233" t="inlineStr">
        <is>
          <t>488632</t>
        </is>
      </c>
      <c r="C1496" s="227" t="inlineStr">
        <is>
          <t>ABT FORMATION CONTINUE + TAXE APPRE</t>
        </is>
      </c>
      <c r="F1496" s="227" t="inlineStr">
        <is>
          <t>VICTOIRE</t>
        </is>
      </c>
    </row>
    <row r="1497">
      <c r="A1497" s="227">
        <f>TL[[#This Row],[Société]]&amp;" - "&amp;TL[[#This Row],[Compte]]</f>
        <v/>
      </c>
      <c r="B1497" s="233" t="inlineStr">
        <is>
          <t>488633</t>
        </is>
      </c>
      <c r="C1497" s="227" t="inlineStr">
        <is>
          <t>EFFORT CONSTR</t>
        </is>
      </c>
      <c r="F1497" s="227" t="inlineStr">
        <is>
          <t>VICTOIRE</t>
        </is>
      </c>
    </row>
    <row r="1498">
      <c r="A1498" s="227">
        <f>TL[[#This Row],[Société]]&amp;" - "&amp;TL[[#This Row],[Compte]]</f>
        <v/>
      </c>
      <c r="B1498" s="233" t="inlineStr">
        <is>
          <t>488634</t>
        </is>
      </c>
      <c r="C1498" s="227" t="inlineStr">
        <is>
          <t>ABT CFE + CVAE</t>
        </is>
      </c>
      <c r="F1498" s="227" t="inlineStr">
        <is>
          <t>VICTOIRE</t>
        </is>
      </c>
    </row>
    <row r="1499">
      <c r="A1499" s="227">
        <f>TL[[#This Row],[Société]]&amp;" - "&amp;TL[[#This Row],[Compte]]</f>
        <v/>
      </c>
      <c r="B1499" s="233" t="inlineStr">
        <is>
          <t>488636</t>
        </is>
      </c>
      <c r="C1499" s="227" t="inlineStr">
        <is>
          <t>ABT TAXE FONCIERE</t>
        </is>
      </c>
      <c r="F1499" s="227" t="inlineStr">
        <is>
          <t>VICTOIRE</t>
        </is>
      </c>
    </row>
    <row r="1500">
      <c r="A1500" s="227">
        <f>TL[[#This Row],[Société]]&amp;" - "&amp;TL[[#This Row],[Compte]]</f>
        <v/>
      </c>
      <c r="B1500" s="233" t="inlineStr">
        <is>
          <t>488641</t>
        </is>
      </c>
      <c r="C1500" s="227" t="inlineStr">
        <is>
          <t>ABT CONGES PAYES</t>
        </is>
      </c>
      <c r="F1500" s="227" t="inlineStr">
        <is>
          <t>VICTOIRE</t>
        </is>
      </c>
    </row>
    <row r="1501">
      <c r="A1501" s="227">
        <f>TL[[#This Row],[Société]]&amp;" - "&amp;TL[[#This Row],[Compte]]</f>
        <v/>
      </c>
      <c r="B1501" s="233" t="inlineStr">
        <is>
          <t>488681</t>
        </is>
      </c>
      <c r="C1501" s="227" t="inlineStr">
        <is>
          <t>ABNT AMORTISSEMENTS</t>
        </is>
      </c>
      <c r="F1501" s="227" t="inlineStr">
        <is>
          <t>VICTOIRE</t>
        </is>
      </c>
    </row>
    <row r="1502">
      <c r="A1502" s="227">
        <f>TL[[#This Row],[Société]]&amp;" - "&amp;TL[[#This Row],[Compte]]</f>
        <v/>
      </c>
      <c r="B1502" s="233" t="inlineStr">
        <is>
          <t>488700</t>
        </is>
      </c>
      <c r="C1502" s="227" t="inlineStr">
        <is>
          <t>Produits - répartit. périodique</t>
        </is>
      </c>
      <c r="F1502" s="227" t="inlineStr">
        <is>
          <t>VICTOIRE</t>
        </is>
      </c>
    </row>
    <row r="1503">
      <c r="A1503" s="227">
        <f>TL[[#This Row],[Société]]&amp;" - "&amp;TL[[#This Row],[Compte]]</f>
        <v/>
      </c>
      <c r="B1503" s="233" t="inlineStr">
        <is>
          <t>490910</t>
        </is>
      </c>
      <c r="C1503" s="227" t="inlineStr">
        <is>
          <t>Dépréciations avances versées</t>
        </is>
      </c>
      <c r="F1503" s="227" t="inlineStr">
        <is>
          <t>VICTOIRE</t>
        </is>
      </c>
    </row>
    <row r="1504">
      <c r="A1504" s="227">
        <f>TL[[#This Row],[Société]]&amp;" - "&amp;TL[[#This Row],[Compte]]</f>
        <v/>
      </c>
      <c r="B1504" s="233" t="inlineStr">
        <is>
          <t>491000</t>
        </is>
      </c>
      <c r="C1504" s="227" t="inlineStr">
        <is>
          <t>PROVISION CLIENTS DOUTEUX</t>
        </is>
      </c>
      <c r="F1504" s="227" t="inlineStr">
        <is>
          <t>VICTOIRE</t>
        </is>
      </c>
    </row>
    <row r="1505">
      <c r="A1505" s="227">
        <f>TL[[#This Row],[Société]]&amp;" - "&amp;TL[[#This Row],[Compte]]</f>
        <v/>
      </c>
      <c r="B1505" s="233" t="inlineStr">
        <is>
          <t>495000</t>
        </is>
      </c>
      <c r="C1505" s="227" t="inlineStr">
        <is>
          <t>Dépréciations groupe &amp; associés</t>
        </is>
      </c>
      <c r="F1505" s="227" t="inlineStr">
        <is>
          <t>VICTOIRE</t>
        </is>
      </c>
    </row>
    <row r="1506">
      <c r="A1506" s="227">
        <f>TL[[#This Row],[Société]]&amp;" - "&amp;TL[[#This Row],[Compte]]</f>
        <v/>
      </c>
      <c r="B1506" s="233" t="inlineStr">
        <is>
          <t>496000</t>
        </is>
      </c>
      <c r="C1506" s="227" t="inlineStr">
        <is>
          <t>Dépréciations débiteurs divers</t>
        </is>
      </c>
      <c r="F1506" s="227" t="inlineStr">
        <is>
          <t>VICTOIRE</t>
        </is>
      </c>
    </row>
    <row r="1507">
      <c r="A1507" s="227">
        <f>TL[[#This Row],[Société]]&amp;" - "&amp;TL[[#This Row],[Compte]]</f>
        <v/>
      </c>
      <c r="B1507" s="233" t="inlineStr">
        <is>
          <t>496200</t>
        </is>
      </c>
      <c r="C1507" s="227" t="inlineStr">
        <is>
          <t>Dépréciations créances cess. immo</t>
        </is>
      </c>
      <c r="F1507" s="227" t="inlineStr">
        <is>
          <t>VICTOIRE</t>
        </is>
      </c>
    </row>
    <row r="1508">
      <c r="A1508" s="227">
        <f>TL[[#This Row],[Société]]&amp;" - "&amp;TL[[#This Row],[Compte]]</f>
        <v/>
      </c>
      <c r="B1508" s="233" t="inlineStr">
        <is>
          <t>496500</t>
        </is>
      </c>
      <c r="C1508" s="227" t="inlineStr">
        <is>
          <t>Dépréciations créances cess. VMP</t>
        </is>
      </c>
      <c r="F1508" s="227" t="inlineStr">
        <is>
          <t>VICTOIRE</t>
        </is>
      </c>
    </row>
    <row r="1509">
      <c r="A1509" s="227">
        <f>TL[[#This Row],[Société]]&amp;" - "&amp;TL[[#This Row],[Compte]]</f>
        <v/>
      </c>
      <c r="B1509" s="233" t="inlineStr">
        <is>
          <t>496700</t>
        </is>
      </c>
      <c r="C1509" s="227" t="inlineStr">
        <is>
          <t>Dépréciations autres cptes debit.</t>
        </is>
      </c>
      <c r="F1509" s="227" t="inlineStr">
        <is>
          <t>VICTOIRE</t>
        </is>
      </c>
    </row>
    <row r="1510">
      <c r="A1510" s="227">
        <f>TL[[#This Row],[Société]]&amp;" - "&amp;TL[[#This Row],[Compte]]</f>
        <v/>
      </c>
      <c r="B1510" s="233" t="inlineStr">
        <is>
          <t>496740</t>
        </is>
      </c>
      <c r="C1510" s="227" t="inlineStr">
        <is>
          <t>Dépréciations fournisseurs débit</t>
        </is>
      </c>
      <c r="F1510" s="227" t="inlineStr">
        <is>
          <t>VICTOIRE</t>
        </is>
      </c>
    </row>
    <row r="1511">
      <c r="A1511" s="227">
        <f>TL[[#This Row],[Société]]&amp;" - "&amp;TL[[#This Row],[Compte]]</f>
        <v/>
      </c>
      <c r="B1511" s="233" t="inlineStr">
        <is>
          <t>496742</t>
        </is>
      </c>
      <c r="C1511" s="227" t="inlineStr">
        <is>
          <t>Dépréciations personnel</t>
        </is>
      </c>
      <c r="F1511" s="227" t="inlineStr">
        <is>
          <t>VICTOIRE</t>
        </is>
      </c>
    </row>
    <row r="1512">
      <c r="A1512" s="227">
        <f>TL[[#This Row],[Société]]&amp;" - "&amp;TL[[#This Row],[Compte]]</f>
        <v/>
      </c>
      <c r="B1512" s="233" t="inlineStr">
        <is>
          <t>496744</t>
        </is>
      </c>
      <c r="C1512" s="227" t="inlineStr">
        <is>
          <t>Dépréciations autres créances</t>
        </is>
      </c>
      <c r="F1512" s="227" t="inlineStr">
        <is>
          <t>VICTOIRE</t>
        </is>
      </c>
    </row>
    <row r="1513">
      <c r="A1513" s="227">
        <f>TL[[#This Row],[Société]]&amp;" - "&amp;TL[[#This Row],[Compte]]</f>
        <v/>
      </c>
      <c r="B1513" s="233" t="inlineStr">
        <is>
          <t>501000</t>
        </is>
      </c>
      <c r="C1513" s="227" t="inlineStr">
        <is>
          <t>Parts dans des entreprises liées</t>
        </is>
      </c>
      <c r="F1513" s="227" t="inlineStr">
        <is>
          <t>VICTOIRE</t>
        </is>
      </c>
    </row>
    <row r="1514">
      <c r="A1514" s="227">
        <f>TL[[#This Row],[Société]]&amp;" - "&amp;TL[[#This Row],[Compte]]</f>
        <v/>
      </c>
      <c r="B1514" s="233" t="inlineStr">
        <is>
          <t>502000</t>
        </is>
      </c>
      <c r="C1514" s="227" t="inlineStr">
        <is>
          <t>Actions propres</t>
        </is>
      </c>
      <c r="F1514" s="227" t="inlineStr">
        <is>
          <t>VICTOIRE</t>
        </is>
      </c>
    </row>
    <row r="1515">
      <c r="A1515" s="227">
        <f>TL[[#This Row],[Société]]&amp;" - "&amp;TL[[#This Row],[Compte]]</f>
        <v/>
      </c>
      <c r="B1515" s="233" t="inlineStr">
        <is>
          <t>503000</t>
        </is>
      </c>
      <c r="C1515" s="227" t="inlineStr">
        <is>
          <t>Actions</t>
        </is>
      </c>
      <c r="F1515" s="227" t="inlineStr">
        <is>
          <t>VICTOIRE</t>
        </is>
      </c>
    </row>
    <row r="1516">
      <c r="A1516" s="227">
        <f>TL[[#This Row],[Société]]&amp;" - "&amp;TL[[#This Row],[Compte]]</f>
        <v/>
      </c>
      <c r="B1516" s="233" t="inlineStr">
        <is>
          <t>504000</t>
        </is>
      </c>
      <c r="C1516" s="227" t="inlineStr">
        <is>
          <t>Autres titres conférant droit prop.</t>
        </is>
      </c>
      <c r="F1516" s="227" t="inlineStr">
        <is>
          <t>VICTOIRE</t>
        </is>
      </c>
    </row>
    <row r="1517">
      <c r="A1517" s="227">
        <f>TL[[#This Row],[Société]]&amp;" - "&amp;TL[[#This Row],[Compte]]</f>
        <v/>
      </c>
      <c r="B1517" s="233" t="inlineStr">
        <is>
          <t>505000</t>
        </is>
      </c>
      <c r="C1517" s="227" t="inlineStr">
        <is>
          <t>Obligations rachetées</t>
        </is>
      </c>
      <c r="F1517" s="227" t="inlineStr">
        <is>
          <t>VICTOIRE</t>
        </is>
      </c>
    </row>
    <row r="1518">
      <c r="A1518" s="227">
        <f>TL[[#This Row],[Société]]&amp;" - "&amp;TL[[#This Row],[Compte]]</f>
        <v/>
      </c>
      <c r="B1518" s="233" t="inlineStr">
        <is>
          <t>506000</t>
        </is>
      </c>
      <c r="C1518" s="227" t="inlineStr">
        <is>
          <t>Obligations</t>
        </is>
      </c>
      <c r="F1518" s="227" t="inlineStr">
        <is>
          <t>VICTOIRE</t>
        </is>
      </c>
    </row>
    <row r="1519">
      <c r="A1519" s="227">
        <f>TL[[#This Row],[Société]]&amp;" - "&amp;TL[[#This Row],[Compte]]</f>
        <v/>
      </c>
      <c r="B1519" s="233" t="inlineStr">
        <is>
          <t>507000</t>
        </is>
      </c>
      <c r="C1519" s="227" t="inlineStr">
        <is>
          <t>Bons du trésor &amp; bons de caisse CT</t>
        </is>
      </c>
      <c r="F1519" s="227" t="inlineStr">
        <is>
          <t>VICTOIRE</t>
        </is>
      </c>
    </row>
    <row r="1520">
      <c r="A1520" s="227">
        <f>TL[[#This Row],[Société]]&amp;" - "&amp;TL[[#This Row],[Compte]]</f>
        <v/>
      </c>
      <c r="B1520" s="233" t="inlineStr">
        <is>
          <t>507100</t>
        </is>
      </c>
      <c r="C1520" s="227" t="inlineStr">
        <is>
          <t>Certificats de dépôt</t>
        </is>
      </c>
      <c r="F1520" s="227" t="inlineStr">
        <is>
          <t>VICTOIRE</t>
        </is>
      </c>
    </row>
    <row r="1521">
      <c r="A1521" s="227">
        <f>TL[[#This Row],[Société]]&amp;" - "&amp;TL[[#This Row],[Compte]]</f>
        <v/>
      </c>
      <c r="B1521" s="233" t="inlineStr">
        <is>
          <t>507400</t>
        </is>
      </c>
      <c r="C1521" s="227" t="inlineStr">
        <is>
          <t>Bons du trésor</t>
        </is>
      </c>
      <c r="F1521" s="227" t="inlineStr">
        <is>
          <t>VICTOIRE</t>
        </is>
      </c>
    </row>
    <row r="1522">
      <c r="A1522" s="227">
        <f>TL[[#This Row],[Société]]&amp;" - "&amp;TL[[#This Row],[Compte]]</f>
        <v/>
      </c>
      <c r="B1522" s="233" t="inlineStr">
        <is>
          <t>507500</t>
        </is>
      </c>
      <c r="C1522" s="227" t="inlineStr">
        <is>
          <t>Billets de trésorerie</t>
        </is>
      </c>
      <c r="F1522" s="227" t="inlineStr">
        <is>
          <t>VICTOIRE</t>
        </is>
      </c>
    </row>
    <row r="1523">
      <c r="A1523" s="227">
        <f>TL[[#This Row],[Société]]&amp;" - "&amp;TL[[#This Row],[Compte]]</f>
        <v/>
      </c>
      <c r="B1523" s="233" t="inlineStr">
        <is>
          <t>507700</t>
        </is>
      </c>
      <c r="C1523" s="227" t="inlineStr">
        <is>
          <t>Autres titres de créances négociab.</t>
        </is>
      </c>
      <c r="F1523" s="227" t="inlineStr">
        <is>
          <t>VICTOIRE</t>
        </is>
      </c>
    </row>
    <row r="1524">
      <c r="A1524" s="227">
        <f>TL[[#This Row],[Société]]&amp;" - "&amp;TL[[#This Row],[Compte]]</f>
        <v/>
      </c>
      <c r="B1524" s="233" t="inlineStr">
        <is>
          <t>507800</t>
        </is>
      </c>
      <c r="C1524" s="227" t="inlineStr">
        <is>
          <t>Bons de caisse</t>
        </is>
      </c>
      <c r="F1524" s="227" t="inlineStr">
        <is>
          <t>VICTOIRE</t>
        </is>
      </c>
    </row>
    <row r="1525">
      <c r="A1525" s="227">
        <f>TL[[#This Row],[Société]]&amp;" - "&amp;TL[[#This Row],[Compte]]</f>
        <v/>
      </c>
      <c r="B1525" s="233" t="inlineStr">
        <is>
          <t>508100</t>
        </is>
      </c>
      <c r="C1525" s="227" t="inlineStr">
        <is>
          <t>Autres valeurs mobilières</t>
        </is>
      </c>
      <c r="F1525" s="227" t="inlineStr">
        <is>
          <t>VICTOIRE</t>
        </is>
      </c>
    </row>
    <row r="1526">
      <c r="A1526" s="227">
        <f>TL[[#This Row],[Société]]&amp;" - "&amp;TL[[#This Row],[Compte]]</f>
        <v/>
      </c>
      <c r="B1526" s="233" t="inlineStr">
        <is>
          <t>508800</t>
        </is>
      </c>
      <c r="C1526" s="227" t="inlineStr">
        <is>
          <t>Intérêts courus s/valeurs mobilière</t>
        </is>
      </c>
      <c r="F1526" s="227" t="inlineStr">
        <is>
          <t>VICTOIRE</t>
        </is>
      </c>
    </row>
    <row r="1527">
      <c r="A1527" s="227">
        <f>TL[[#This Row],[Société]]&amp;" - "&amp;TL[[#This Row],[Compte]]</f>
        <v/>
      </c>
      <c r="B1527" s="233" t="inlineStr">
        <is>
          <t>509000</t>
        </is>
      </c>
      <c r="C1527" s="227" t="inlineStr">
        <is>
          <t>Versements rest. à effect.s/VMP NL</t>
        </is>
      </c>
      <c r="F1527" s="227" t="inlineStr">
        <is>
          <t>VICTOIRE</t>
        </is>
      </c>
    </row>
    <row r="1528">
      <c r="A1528" s="227">
        <f>TL[[#This Row],[Société]]&amp;" - "&amp;TL[[#This Row],[Compte]]</f>
        <v/>
      </c>
      <c r="B1528" s="233" t="inlineStr">
        <is>
          <t>511000</t>
        </is>
      </c>
      <c r="C1528" s="227" t="inlineStr">
        <is>
          <t>VALEURS A L'ENCAISSEMENT</t>
        </is>
      </c>
      <c r="F1528" s="227" t="inlineStr">
        <is>
          <t>VICTOIRE</t>
        </is>
      </c>
    </row>
    <row r="1529">
      <c r="A1529" s="227">
        <f>TL[[#This Row],[Société]]&amp;" - "&amp;TL[[#This Row],[Compte]]</f>
        <v/>
      </c>
      <c r="B1529" s="233" t="inlineStr">
        <is>
          <t>511100</t>
        </is>
      </c>
      <c r="C1529" s="227" t="inlineStr">
        <is>
          <t>Coupons échus à l'encaissement</t>
        </is>
      </c>
      <c r="F1529" s="227" t="inlineStr">
        <is>
          <t>VICTOIRE</t>
        </is>
      </c>
    </row>
    <row r="1530">
      <c r="A1530" s="227">
        <f>TL[[#This Row],[Société]]&amp;" - "&amp;TL[[#This Row],[Compte]]</f>
        <v/>
      </c>
      <c r="B1530" s="233" t="inlineStr">
        <is>
          <t>511200</t>
        </is>
      </c>
      <c r="C1530" s="227" t="inlineStr">
        <is>
          <t>CHEQUES A ENCAISSER</t>
        </is>
      </c>
      <c r="F1530" s="227" t="inlineStr">
        <is>
          <t>VICTOIRE</t>
        </is>
      </c>
    </row>
    <row r="1531">
      <c r="A1531" s="227">
        <f>TL[[#This Row],[Société]]&amp;" - "&amp;TL[[#This Row],[Compte]]</f>
        <v/>
      </c>
      <c r="B1531" s="233" t="inlineStr">
        <is>
          <t>511231</t>
        </is>
      </c>
      <c r="C1531" s="227" t="inlineStr">
        <is>
          <t>TICKETS RESTAURANTS</t>
        </is>
      </c>
      <c r="F1531" s="227" t="inlineStr">
        <is>
          <t>VICTOIRE</t>
        </is>
      </c>
    </row>
    <row r="1532">
      <c r="A1532" s="227">
        <f>TL[[#This Row],[Société]]&amp;" - "&amp;TL[[#This Row],[Compte]]</f>
        <v/>
      </c>
      <c r="B1532" s="233" t="inlineStr">
        <is>
          <t>511250</t>
        </is>
      </c>
      <c r="C1532" s="227" t="inlineStr">
        <is>
          <t>CARTE BANCAIRE</t>
        </is>
      </c>
      <c r="F1532" s="227" t="inlineStr">
        <is>
          <t>VICTOIRE</t>
        </is>
      </c>
    </row>
    <row r="1533">
      <c r="A1533" s="227">
        <f>TL[[#This Row],[Société]]&amp;" - "&amp;TL[[#This Row],[Compte]]</f>
        <v/>
      </c>
      <c r="B1533" s="233" t="inlineStr">
        <is>
          <t>511251</t>
        </is>
      </c>
      <c r="C1533" s="227" t="inlineStr">
        <is>
          <t>ANCV</t>
        </is>
      </c>
      <c r="F1533" s="227" t="inlineStr">
        <is>
          <t>VICTOIRE</t>
        </is>
      </c>
    </row>
    <row r="1534">
      <c r="A1534" s="227">
        <f>TL[[#This Row],[Société]]&amp;" - "&amp;TL[[#This Row],[Compte]]</f>
        <v/>
      </c>
      <c r="B1534" s="233" t="inlineStr">
        <is>
          <t>511261</t>
        </is>
      </c>
      <c r="C1534" s="227" t="inlineStr">
        <is>
          <t>Paypal</t>
        </is>
      </c>
      <c r="F1534" s="227" t="inlineStr">
        <is>
          <t>VICTOIRE</t>
        </is>
      </c>
    </row>
    <row r="1535">
      <c r="A1535" s="227">
        <f>TL[[#This Row],[Société]]&amp;" - "&amp;TL[[#This Row],[Compte]]</f>
        <v/>
      </c>
      <c r="B1535" s="233" t="inlineStr">
        <is>
          <t>511300</t>
        </is>
      </c>
      <c r="C1535" s="227" t="inlineStr">
        <is>
          <t>Effets à l'encaissement</t>
        </is>
      </c>
      <c r="F1535" s="227" t="inlineStr">
        <is>
          <t>VICTOIRE</t>
        </is>
      </c>
    </row>
    <row r="1536">
      <c r="A1536" s="227">
        <f>TL[[#This Row],[Société]]&amp;" - "&amp;TL[[#This Row],[Compte]]</f>
        <v/>
      </c>
      <c r="B1536" s="233" t="inlineStr">
        <is>
          <t>511400</t>
        </is>
      </c>
      <c r="C1536" s="227" t="inlineStr">
        <is>
          <t>Effets à l'escompte</t>
        </is>
      </c>
      <c r="F1536" s="227" t="inlineStr">
        <is>
          <t>VICTOIRE</t>
        </is>
      </c>
    </row>
    <row r="1537">
      <c r="A1537" s="227">
        <f>TL[[#This Row],[Société]]&amp;" - "&amp;TL[[#This Row],[Compte]]</f>
        <v/>
      </c>
      <c r="B1537" s="233" t="inlineStr">
        <is>
          <t>511701</t>
        </is>
      </c>
      <c r="C1537" s="227" t="inlineStr">
        <is>
          <t>Crédit du Nord - Chèques émis</t>
        </is>
      </c>
      <c r="F1537" s="227" t="inlineStr">
        <is>
          <t>VICTOIRE</t>
        </is>
      </c>
    </row>
    <row r="1538">
      <c r="A1538" s="227">
        <f>TL[[#This Row],[Société]]&amp;" - "&amp;TL[[#This Row],[Compte]]</f>
        <v/>
      </c>
      <c r="B1538" s="233" t="inlineStr">
        <is>
          <t>511800</t>
        </is>
      </c>
      <c r="C1538" s="227" t="inlineStr">
        <is>
          <t>Cartes de crédit à encaisser</t>
        </is>
      </c>
      <c r="F1538" s="227" t="inlineStr">
        <is>
          <t>VICTOIRE</t>
        </is>
      </c>
    </row>
    <row r="1539">
      <c r="A1539" s="227">
        <f>TL[[#This Row],[Société]]&amp;" - "&amp;TL[[#This Row],[Compte]]</f>
        <v/>
      </c>
      <c r="B1539" s="233" t="inlineStr">
        <is>
          <t>512000</t>
        </is>
      </c>
      <c r="C1539" s="227" t="inlineStr">
        <is>
          <t>Banque</t>
        </is>
      </c>
      <c r="F1539" s="227" t="inlineStr">
        <is>
          <t>VICTOIRE</t>
        </is>
      </c>
    </row>
    <row r="1540">
      <c r="A1540" s="227">
        <f>TL[[#This Row],[Société]]&amp;" - "&amp;TL[[#This Row],[Compte]]</f>
        <v/>
      </c>
      <c r="B1540" s="233" t="inlineStr">
        <is>
          <t>512100</t>
        </is>
      </c>
      <c r="C1540" s="227" t="inlineStr">
        <is>
          <t>Comptes en monnaie nationale</t>
        </is>
      </c>
      <c r="F1540" s="227" t="inlineStr">
        <is>
          <t>VICTOIRE</t>
        </is>
      </c>
    </row>
    <row r="1541">
      <c r="A1541" s="227">
        <f>TL[[#This Row],[Société]]&amp;" - "&amp;TL[[#This Row],[Compte]]</f>
        <v/>
      </c>
      <c r="B1541" s="233" t="inlineStr">
        <is>
          <t>512101</t>
        </is>
      </c>
      <c r="C1541" s="227" t="inlineStr">
        <is>
          <t>BANQUE CDN</t>
        </is>
      </c>
      <c r="F1541" s="227" t="inlineStr">
        <is>
          <t>VICTOIRE</t>
        </is>
      </c>
    </row>
    <row r="1542">
      <c r="A1542" s="227">
        <f>TL[[#This Row],[Société]]&amp;" - "&amp;TL[[#This Row],[Compte]]</f>
        <v/>
      </c>
      <c r="B1542" s="233" t="inlineStr">
        <is>
          <t>512102</t>
        </is>
      </c>
      <c r="C1542" s="227" t="inlineStr">
        <is>
          <t>BANQUE CE</t>
        </is>
      </c>
      <c r="F1542" s="227" t="inlineStr">
        <is>
          <t>VICTOIRE</t>
        </is>
      </c>
    </row>
    <row r="1543">
      <c r="A1543" s="227">
        <f>TL[[#This Row],[Société]]&amp;" - "&amp;TL[[#This Row],[Compte]]</f>
        <v/>
      </c>
      <c r="B1543" s="233" t="inlineStr">
        <is>
          <t>512103</t>
        </is>
      </c>
      <c r="C1543" s="227" t="inlineStr">
        <is>
          <t>BANQUE CMU</t>
        </is>
      </c>
      <c r="F1543" s="227" t="inlineStr">
        <is>
          <t>VICTOIRE</t>
        </is>
      </c>
    </row>
    <row r="1544">
      <c r="A1544" s="227">
        <f>TL[[#This Row],[Société]]&amp;" - "&amp;TL[[#This Row],[Compte]]</f>
        <v/>
      </c>
      <c r="B1544" s="233" t="inlineStr">
        <is>
          <t>512104</t>
        </is>
      </c>
      <c r="C1544" s="227" t="inlineStr">
        <is>
          <t>Crédit Agricole</t>
        </is>
      </c>
      <c r="F1544" s="227" t="inlineStr">
        <is>
          <t>VICTOIRE</t>
        </is>
      </c>
    </row>
    <row r="1545">
      <c r="A1545" s="227">
        <f>TL[[#This Row],[Société]]&amp;" - "&amp;TL[[#This Row],[Compte]]</f>
        <v/>
      </c>
      <c r="B1545" s="233" t="inlineStr">
        <is>
          <t>512110</t>
        </is>
      </c>
      <c r="C1545" s="227" t="inlineStr">
        <is>
          <t>COMPTE EXCEDENT TRESORERIE</t>
        </is>
      </c>
      <c r="F1545" s="227" t="inlineStr">
        <is>
          <t>VICTOIRE</t>
        </is>
      </c>
    </row>
    <row r="1546">
      <c r="A1546" s="227">
        <f>TL[[#This Row],[Société]]&amp;" - "&amp;TL[[#This Row],[Compte]]</f>
        <v/>
      </c>
      <c r="B1546" s="233" t="inlineStr">
        <is>
          <t>512350</t>
        </is>
      </c>
      <c r="C1546" s="227" t="inlineStr">
        <is>
          <t>A-Nouveaux au 01/04/2019</t>
        </is>
      </c>
      <c r="F1546" s="227" t="inlineStr">
        <is>
          <t>VICTOIRE</t>
        </is>
      </c>
    </row>
    <row r="1547">
      <c r="A1547" s="227">
        <f>TL[[#This Row],[Société]]&amp;" - "&amp;TL[[#This Row],[Compte]]</f>
        <v/>
      </c>
      <c r="B1547" s="233" t="inlineStr">
        <is>
          <t>512400</t>
        </is>
      </c>
      <c r="C1547" s="227" t="inlineStr">
        <is>
          <t>Comptes en devises</t>
        </is>
      </c>
      <c r="F1547" s="227" t="inlineStr">
        <is>
          <t>VICTOIRE</t>
        </is>
      </c>
    </row>
    <row r="1548">
      <c r="A1548" s="227">
        <f>TL[[#This Row],[Société]]&amp;" - "&amp;TL[[#This Row],[Compte]]</f>
        <v/>
      </c>
      <c r="B1548" s="233" t="inlineStr">
        <is>
          <t>512450</t>
        </is>
      </c>
      <c r="C1548" s="227" t="inlineStr">
        <is>
          <t>A-Nouveaux au 01/04/2019</t>
        </is>
      </c>
      <c r="F1548" s="227" t="inlineStr">
        <is>
          <t>VICTOIRE</t>
        </is>
      </c>
    </row>
    <row r="1549">
      <c r="A1549" s="227">
        <f>TL[[#This Row],[Société]]&amp;" - "&amp;TL[[#This Row],[Compte]]</f>
        <v/>
      </c>
      <c r="B1549" s="233" t="inlineStr">
        <is>
          <t>512550</t>
        </is>
      </c>
      <c r="C1549" s="227" t="inlineStr">
        <is>
          <t>A-Nouveaux au 01/04/2019</t>
        </is>
      </c>
      <c r="F1549" s="227" t="inlineStr">
        <is>
          <t>VICTOIRE</t>
        </is>
      </c>
    </row>
    <row r="1550">
      <c r="A1550" s="227">
        <f>TL[[#This Row],[Société]]&amp;" - "&amp;TL[[#This Row],[Compte]]</f>
        <v/>
      </c>
      <c r="B1550" s="233" t="inlineStr">
        <is>
          <t>512555</t>
        </is>
      </c>
      <c r="C1550" s="227" t="inlineStr">
        <is>
          <t>A-Nouveaux au 01/04/2019</t>
        </is>
      </c>
      <c r="F1550" s="227" t="inlineStr">
        <is>
          <t>VICTOIRE</t>
        </is>
      </c>
    </row>
    <row r="1551">
      <c r="A1551" s="227">
        <f>TL[[#This Row],[Société]]&amp;" - "&amp;TL[[#This Row],[Compte]]</f>
        <v/>
      </c>
      <c r="B1551" s="233" t="inlineStr">
        <is>
          <t>514000</t>
        </is>
      </c>
      <c r="C1551" s="227" t="inlineStr">
        <is>
          <t>Chèques postaux</t>
        </is>
      </c>
      <c r="F1551" s="227" t="inlineStr">
        <is>
          <t>VICTOIRE</t>
        </is>
      </c>
    </row>
    <row r="1552">
      <c r="A1552" s="227">
        <f>TL[[#This Row],[Société]]&amp;" - "&amp;TL[[#This Row],[Compte]]</f>
        <v/>
      </c>
      <c r="B1552" s="233" t="inlineStr">
        <is>
          <t>516000</t>
        </is>
      </c>
      <c r="C1552" s="227" t="inlineStr">
        <is>
          <t>Sociétés de bourse</t>
        </is>
      </c>
      <c r="F1552" s="227" t="inlineStr">
        <is>
          <t>VICTOIRE</t>
        </is>
      </c>
    </row>
    <row r="1553">
      <c r="A1553" s="227">
        <f>TL[[#This Row],[Société]]&amp;" - "&amp;TL[[#This Row],[Compte]]</f>
        <v/>
      </c>
      <c r="B1553" s="233" t="inlineStr">
        <is>
          <t>517000</t>
        </is>
      </c>
      <c r="C1553" s="227" t="inlineStr">
        <is>
          <t>Autres organismes financiers</t>
        </is>
      </c>
      <c r="F1553" s="227" t="inlineStr">
        <is>
          <t>VICTOIRE</t>
        </is>
      </c>
    </row>
    <row r="1554">
      <c r="A1554" s="227">
        <f>TL[[#This Row],[Société]]&amp;" - "&amp;TL[[#This Row],[Compte]]</f>
        <v/>
      </c>
      <c r="B1554" s="233" t="inlineStr">
        <is>
          <t>518100</t>
        </is>
      </c>
      <c r="C1554" s="227" t="inlineStr">
        <is>
          <t>Banque - Intérets courus à payer</t>
        </is>
      </c>
      <c r="F1554" s="227" t="inlineStr">
        <is>
          <t>VICTOIRE</t>
        </is>
      </c>
    </row>
    <row r="1555">
      <c r="A1555" s="227">
        <f>TL[[#This Row],[Société]]&amp;" - "&amp;TL[[#This Row],[Compte]]</f>
        <v/>
      </c>
      <c r="B1555" s="233" t="inlineStr">
        <is>
          <t>518700</t>
        </is>
      </c>
      <c r="C1555" s="227" t="inlineStr">
        <is>
          <t>FRAIS BANCAIRES A PAYER</t>
        </is>
      </c>
      <c r="F1555" s="227" t="inlineStr">
        <is>
          <t>VICTOIRE</t>
        </is>
      </c>
    </row>
    <row r="1556">
      <c r="A1556" s="227">
        <f>TL[[#This Row],[Société]]&amp;" - "&amp;TL[[#This Row],[Compte]]</f>
        <v/>
      </c>
      <c r="B1556" s="233" t="inlineStr">
        <is>
          <t>518800</t>
        </is>
      </c>
      <c r="C1556" s="227" t="inlineStr">
        <is>
          <t>Banque - Intérêts courus à recevoir</t>
        </is>
      </c>
      <c r="F1556" s="227" t="inlineStr">
        <is>
          <t>VICTOIRE</t>
        </is>
      </c>
    </row>
    <row r="1557">
      <c r="A1557" s="227">
        <f>TL[[#This Row],[Société]]&amp;" - "&amp;TL[[#This Row],[Compte]]</f>
        <v/>
      </c>
      <c r="B1557" s="233" t="inlineStr">
        <is>
          <t>519100</t>
        </is>
      </c>
      <c r="C1557" s="227" t="inlineStr">
        <is>
          <t>Crédit mobilis.créanc.ciales (CMCC)</t>
        </is>
      </c>
      <c r="F1557" s="227" t="inlineStr">
        <is>
          <t>VICTOIRE</t>
        </is>
      </c>
    </row>
    <row r="1558">
      <c r="A1558" s="227">
        <f>TL[[#This Row],[Société]]&amp;" - "&amp;TL[[#This Row],[Compte]]</f>
        <v/>
      </c>
      <c r="B1558" s="233" t="inlineStr">
        <is>
          <t>519200</t>
        </is>
      </c>
      <c r="C1558" s="227" t="inlineStr">
        <is>
          <t>Concours bancaires courants</t>
        </is>
      </c>
      <c r="F1558" s="227" t="inlineStr">
        <is>
          <t>VICTOIRE</t>
        </is>
      </c>
    </row>
    <row r="1559">
      <c r="A1559" s="227">
        <f>TL[[#This Row],[Société]]&amp;" - "&amp;TL[[#This Row],[Compte]]</f>
        <v/>
      </c>
      <c r="B1559" s="233" t="inlineStr">
        <is>
          <t>519300</t>
        </is>
      </c>
      <c r="C1559" s="227" t="inlineStr">
        <is>
          <t>Mobilisations créances étrangères</t>
        </is>
      </c>
      <c r="F1559" s="227" t="inlineStr">
        <is>
          <t>VICTOIRE</t>
        </is>
      </c>
    </row>
    <row r="1560">
      <c r="A1560" s="227">
        <f>TL[[#This Row],[Société]]&amp;" - "&amp;TL[[#This Row],[Compte]]</f>
        <v/>
      </c>
      <c r="B1560" s="233" t="inlineStr">
        <is>
          <t>519400</t>
        </is>
      </c>
      <c r="C1560" s="227" t="inlineStr">
        <is>
          <t>Crédits garanties par créances prof</t>
        </is>
      </c>
      <c r="F1560" s="227" t="inlineStr">
        <is>
          <t>VICTOIRE</t>
        </is>
      </c>
    </row>
    <row r="1561">
      <c r="A1561" s="227">
        <f>TL[[#This Row],[Société]]&amp;" - "&amp;TL[[#This Row],[Compte]]</f>
        <v/>
      </c>
      <c r="B1561" s="233" t="inlineStr">
        <is>
          <t>519700</t>
        </is>
      </c>
      <c r="C1561" s="227" t="inlineStr">
        <is>
          <t>Autres concours bancaires</t>
        </is>
      </c>
      <c r="F1561" s="227" t="inlineStr">
        <is>
          <t>VICTOIRE</t>
        </is>
      </c>
    </row>
    <row r="1562">
      <c r="A1562" s="227">
        <f>TL[[#This Row],[Société]]&amp;" - "&amp;TL[[#This Row],[Compte]]</f>
        <v/>
      </c>
      <c r="B1562" s="233" t="inlineStr">
        <is>
          <t>519800</t>
        </is>
      </c>
      <c r="C1562" s="227" t="inlineStr">
        <is>
          <t>Concours bancaires - intérêts couru</t>
        </is>
      </c>
      <c r="F1562" s="227" t="inlineStr">
        <is>
          <t>VICTOIRE</t>
        </is>
      </c>
    </row>
    <row r="1563">
      <c r="A1563" s="227">
        <f>TL[[#This Row],[Société]]&amp;" - "&amp;TL[[#This Row],[Compte]]</f>
        <v/>
      </c>
      <c r="B1563" s="233" t="inlineStr">
        <is>
          <t>520000</t>
        </is>
      </c>
      <c r="C1563" s="227" t="inlineStr">
        <is>
          <t>Instruments de trésorerie</t>
        </is>
      </c>
      <c r="F1563" s="227" t="inlineStr">
        <is>
          <t>VICTOIRE</t>
        </is>
      </c>
    </row>
    <row r="1564">
      <c r="A1564" s="227">
        <f>TL[[#This Row],[Société]]&amp;" - "&amp;TL[[#This Row],[Compte]]</f>
        <v/>
      </c>
      <c r="B1564" s="233" t="inlineStr">
        <is>
          <t>530000</t>
        </is>
      </c>
      <c r="C1564" s="227" t="inlineStr">
        <is>
          <t>Caisse</t>
        </is>
      </c>
      <c r="F1564" s="227" t="inlineStr">
        <is>
          <t>VICTOIRE</t>
        </is>
      </c>
    </row>
    <row r="1565">
      <c r="A1565" s="227">
        <f>TL[[#This Row],[Société]]&amp;" - "&amp;TL[[#This Row],[Compte]]</f>
        <v/>
      </c>
      <c r="B1565" s="233" t="inlineStr">
        <is>
          <t>530001</t>
        </is>
      </c>
      <c r="C1565" s="227" t="inlineStr">
        <is>
          <t>A-Nouveaux au 01/04/2019</t>
        </is>
      </c>
      <c r="F1565" s="227" t="inlineStr">
        <is>
          <t>VICTOIRE</t>
        </is>
      </c>
    </row>
    <row r="1566">
      <c r="A1566" s="227">
        <f>TL[[#This Row],[Société]]&amp;" - "&amp;TL[[#This Row],[Compte]]</f>
        <v/>
      </c>
      <c r="B1566" s="233" t="inlineStr">
        <is>
          <t>530002</t>
        </is>
      </c>
      <c r="C1566" s="227" t="inlineStr">
        <is>
          <t>A-Nouveaux au 01/04/2019</t>
        </is>
      </c>
      <c r="F1566" s="227" t="inlineStr">
        <is>
          <t>VICTOIRE</t>
        </is>
      </c>
    </row>
    <row r="1567">
      <c r="A1567" s="227">
        <f>TL[[#This Row],[Société]]&amp;" - "&amp;TL[[#This Row],[Compte]]</f>
        <v/>
      </c>
      <c r="B1567" s="233" t="inlineStr">
        <is>
          <t>531100</t>
        </is>
      </c>
      <c r="C1567" s="227" t="inlineStr">
        <is>
          <t>Caisse en monnaie nationale</t>
        </is>
      </c>
      <c r="F1567" s="227" t="inlineStr">
        <is>
          <t>VICTOIRE</t>
        </is>
      </c>
    </row>
    <row r="1568">
      <c r="A1568" s="227">
        <f>TL[[#This Row],[Société]]&amp;" - "&amp;TL[[#This Row],[Compte]]</f>
        <v/>
      </c>
      <c r="B1568" s="233" t="inlineStr">
        <is>
          <t>531101</t>
        </is>
      </c>
      <c r="C1568" s="227" t="inlineStr">
        <is>
          <t>PETITE CAISSE</t>
        </is>
      </c>
      <c r="F1568" s="227" t="inlineStr">
        <is>
          <t>VICTOIRE</t>
        </is>
      </c>
    </row>
    <row r="1569">
      <c r="A1569" s="227">
        <f>TL[[#This Row],[Société]]&amp;" - "&amp;TL[[#This Row],[Compte]]</f>
        <v/>
      </c>
      <c r="B1569" s="233" t="inlineStr">
        <is>
          <t>531102</t>
        </is>
      </c>
      <c r="C1569" s="227" t="inlineStr">
        <is>
          <t>COFFRE</t>
        </is>
      </c>
      <c r="F1569" s="227" t="inlineStr">
        <is>
          <t>VICTOIRE</t>
        </is>
      </c>
    </row>
    <row r="1570">
      <c r="A1570" s="227">
        <f>TL[[#This Row],[Société]]&amp;" - "&amp;TL[[#This Row],[Compte]]</f>
        <v/>
      </c>
      <c r="B1570" s="233" t="inlineStr">
        <is>
          <t>531400</t>
        </is>
      </c>
      <c r="C1570" s="227" t="inlineStr">
        <is>
          <t>Caisse en devises</t>
        </is>
      </c>
      <c r="F1570" s="227" t="inlineStr">
        <is>
          <t>VICTOIRE</t>
        </is>
      </c>
    </row>
    <row r="1571">
      <c r="A1571" s="227">
        <f>TL[[#This Row],[Société]]&amp;" - "&amp;TL[[#This Row],[Compte]]</f>
        <v/>
      </c>
      <c r="B1571" s="233" t="inlineStr">
        <is>
          <t>540000</t>
        </is>
      </c>
      <c r="C1571" s="227" t="inlineStr">
        <is>
          <t>Régie d'avances et accréditifs</t>
        </is>
      </c>
      <c r="F1571" s="227" t="inlineStr">
        <is>
          <t>VICTOIRE</t>
        </is>
      </c>
    </row>
    <row r="1572">
      <c r="A1572" s="227">
        <f>TL[[#This Row],[Société]]&amp;" - "&amp;TL[[#This Row],[Compte]]</f>
        <v/>
      </c>
      <c r="B1572" s="233" t="inlineStr">
        <is>
          <t>580000</t>
        </is>
      </c>
      <c r="C1572" s="227" t="inlineStr">
        <is>
          <t>VIREMENTS INTERNES</t>
        </is>
      </c>
      <c r="F1572" s="227" t="inlineStr">
        <is>
          <t>VICTOIRE</t>
        </is>
      </c>
    </row>
    <row r="1573">
      <c r="A1573" s="227">
        <f>TL[[#This Row],[Société]]&amp;" - "&amp;TL[[#This Row],[Compte]]</f>
        <v/>
      </c>
      <c r="B1573" s="233" t="inlineStr">
        <is>
          <t>580001</t>
        </is>
      </c>
      <c r="C1573" s="227" t="inlineStr">
        <is>
          <t>ECHANGE MONNAIE</t>
        </is>
      </c>
      <c r="F1573" s="227" t="inlineStr">
        <is>
          <t>VICTOIRE</t>
        </is>
      </c>
    </row>
    <row r="1574">
      <c r="A1574" s="227">
        <f>TL[[#This Row],[Société]]&amp;" - "&amp;TL[[#This Row],[Compte]]</f>
        <v/>
      </c>
      <c r="B1574" s="233" t="inlineStr">
        <is>
          <t>580002</t>
        </is>
      </c>
      <c r="C1574" s="227" t="inlineStr">
        <is>
          <t>VIREMENTS PETITE CAISSE</t>
        </is>
      </c>
      <c r="F1574" s="227" t="inlineStr">
        <is>
          <t>VICTOIRE</t>
        </is>
      </c>
    </row>
    <row r="1575">
      <c r="A1575" s="227">
        <f>TL[[#This Row],[Société]]&amp;" - "&amp;TL[[#This Row],[Compte]]</f>
        <v/>
      </c>
      <c r="B1575" s="233" t="inlineStr">
        <is>
          <t>580100</t>
        </is>
      </c>
      <c r="C1575" s="227" t="inlineStr">
        <is>
          <t>VIREMENTS CHEQUES</t>
        </is>
      </c>
      <c r="F1575" s="227" t="inlineStr">
        <is>
          <t>VICTOIRE</t>
        </is>
      </c>
    </row>
    <row r="1576">
      <c r="A1576" s="227">
        <f>TL[[#This Row],[Société]]&amp;" - "&amp;TL[[#This Row],[Compte]]</f>
        <v/>
      </c>
      <c r="B1576" s="233" t="inlineStr">
        <is>
          <t>580200</t>
        </is>
      </c>
      <c r="C1576" s="227" t="inlineStr">
        <is>
          <t>VIR SEPA TRD SODEXO PASS FRANCE</t>
        </is>
      </c>
      <c r="F1576" s="227" t="inlineStr">
        <is>
          <t>VICTOIRE</t>
        </is>
      </c>
    </row>
    <row r="1577">
      <c r="A1577" s="227">
        <f>TL[[#This Row],[Société]]&amp;" - "&amp;TL[[#This Row],[Compte]]</f>
        <v/>
      </c>
      <c r="B1577" s="233" t="inlineStr">
        <is>
          <t>581001</t>
        </is>
      </c>
      <c r="C1577" s="227" t="inlineStr">
        <is>
          <t>ESPECES LOOMIS</t>
        </is>
      </c>
      <c r="F1577" s="227" t="inlineStr">
        <is>
          <t>VICTOIRE</t>
        </is>
      </c>
    </row>
    <row r="1578">
      <c r="A1578" s="227">
        <f>TL[[#This Row],[Société]]&amp;" - "&amp;TL[[#This Row],[Compte]]</f>
        <v/>
      </c>
      <c r="B1578" s="233" t="inlineStr">
        <is>
          <t>582000</t>
        </is>
      </c>
      <c r="C1578" s="227" t="inlineStr">
        <is>
          <t>VIREMENTS ESPECES</t>
        </is>
      </c>
      <c r="F1578" s="227" t="inlineStr">
        <is>
          <t>VICTOIRE</t>
        </is>
      </c>
    </row>
    <row r="1579">
      <c r="A1579" s="227">
        <f>TL[[#This Row],[Société]]&amp;" - "&amp;TL[[#This Row],[Compte]]</f>
        <v/>
      </c>
      <c r="B1579" s="233" t="inlineStr">
        <is>
          <t>583000</t>
        </is>
      </c>
      <c r="C1579" s="227" t="inlineStr">
        <is>
          <t>VIREMENTS CB</t>
        </is>
      </c>
      <c r="F1579" s="227" t="inlineStr">
        <is>
          <t>VICTOIRE</t>
        </is>
      </c>
    </row>
    <row r="1580">
      <c r="A1580" s="227">
        <f>TL[[#This Row],[Société]]&amp;" - "&amp;TL[[#This Row],[Compte]]</f>
        <v/>
      </c>
      <c r="B1580" s="233" t="inlineStr">
        <is>
          <t>585000</t>
        </is>
      </c>
      <c r="C1580" s="227" t="inlineStr">
        <is>
          <t>VIREMENTS MONNAIE COFFRE</t>
        </is>
      </c>
      <c r="F1580" s="227" t="inlineStr">
        <is>
          <t>VICTOIRE</t>
        </is>
      </c>
    </row>
    <row r="1581">
      <c r="A1581" s="227">
        <f>TL[[#This Row],[Société]]&amp;" - "&amp;TL[[#This Row],[Compte]]</f>
        <v/>
      </c>
      <c r="B1581" s="233" t="inlineStr">
        <is>
          <t>587000</t>
        </is>
      </c>
      <c r="C1581" s="227" t="inlineStr">
        <is>
          <t>VIREMENTS PETITE CAISSE</t>
        </is>
      </c>
      <c r="F1581" s="227" t="inlineStr">
        <is>
          <t>VICTOIRE</t>
        </is>
      </c>
    </row>
    <row r="1582">
      <c r="A1582" s="227">
        <f>TL[[#This Row],[Société]]&amp;" - "&amp;TL[[#This Row],[Compte]]</f>
        <v/>
      </c>
      <c r="B1582" s="233" t="inlineStr">
        <is>
          <t>590000</t>
        </is>
      </c>
      <c r="C1582" s="227" t="inlineStr">
        <is>
          <t>Dépréciations valeurs mobilières</t>
        </is>
      </c>
      <c r="F1582" s="227" t="inlineStr">
        <is>
          <t>VICTOIRE</t>
        </is>
      </c>
    </row>
    <row r="1583">
      <c r="A1583" s="227">
        <f>TL[[#This Row],[Société]]&amp;" - "&amp;TL[[#This Row],[Compte]]</f>
        <v/>
      </c>
      <c r="B1583" s="233" t="inlineStr">
        <is>
          <t>590300</t>
        </is>
      </c>
      <c r="C1583" s="227" t="inlineStr">
        <is>
          <t>Dépréciations actions (VMP)</t>
        </is>
      </c>
      <c r="F1583" s="227" t="inlineStr">
        <is>
          <t>VICTOIRE</t>
        </is>
      </c>
    </row>
    <row r="1584">
      <c r="A1584" s="227">
        <f>TL[[#This Row],[Société]]&amp;" - "&amp;TL[[#This Row],[Compte]]</f>
        <v/>
      </c>
      <c r="B1584" s="233" t="inlineStr">
        <is>
          <t>590600</t>
        </is>
      </c>
      <c r="C1584" s="227" t="inlineStr">
        <is>
          <t>Dépréciations obligations (VMP)</t>
        </is>
      </c>
      <c r="F1584" s="227" t="inlineStr">
        <is>
          <t>VICTOIRE</t>
        </is>
      </c>
    </row>
    <row r="1585">
      <c r="A1585" s="227">
        <f>TL[[#This Row],[Société]]&amp;" - "&amp;TL[[#This Row],[Compte]]</f>
        <v/>
      </c>
      <c r="B1585" s="233" t="inlineStr">
        <is>
          <t>601000</t>
        </is>
      </c>
      <c r="C1585" s="227" t="inlineStr">
        <is>
          <t>Achats matières premières</t>
        </is>
      </c>
      <c r="F1585" s="227" t="inlineStr">
        <is>
          <t>VICTOIRE</t>
        </is>
      </c>
    </row>
    <row r="1586">
      <c r="A1586" s="227">
        <f>TL[[#This Row],[Société]]&amp;" - "&amp;TL[[#This Row],[Compte]]</f>
        <v/>
      </c>
      <c r="B1586" s="233" t="inlineStr">
        <is>
          <t>601100</t>
        </is>
      </c>
      <c r="C1586" s="227" t="inlineStr">
        <is>
          <t>ACHATS ALIMENTAIRES</t>
        </is>
      </c>
      <c r="D1586" s="233" t="inlineStr">
        <is>
          <t>06</t>
        </is>
      </c>
      <c r="E1586" s="233" t="inlineStr">
        <is>
          <t>03</t>
        </is>
      </c>
      <c r="F1586" s="227" t="inlineStr">
        <is>
          <t>VICTOIRE</t>
        </is>
      </c>
    </row>
    <row r="1587">
      <c r="A1587" s="227">
        <f>TL[[#This Row],[Société]]&amp;" - "&amp;TL[[#This Row],[Compte]]</f>
        <v/>
      </c>
      <c r="B1587" s="233" t="inlineStr">
        <is>
          <t>601102</t>
        </is>
      </c>
      <c r="C1587" s="227" t="inlineStr">
        <is>
          <t>ESTIMATION REPAS DU PERSONNEL</t>
        </is>
      </c>
      <c r="D1587" s="233" t="inlineStr">
        <is>
          <t>08</t>
        </is>
      </c>
      <c r="E1587" s="233" t="inlineStr">
        <is>
          <t>04</t>
        </is>
      </c>
      <c r="F1587" s="227" t="inlineStr">
        <is>
          <t>VICTOIRE</t>
        </is>
      </c>
    </row>
    <row r="1588">
      <c r="A1588" s="227">
        <f>TL[[#This Row],[Société]]&amp;" - "&amp;TL[[#This Row],[Compte]]</f>
        <v/>
      </c>
      <c r="B1588" s="233" t="inlineStr">
        <is>
          <t>601103</t>
        </is>
      </c>
      <c r="C1588" s="227" t="inlineStr">
        <is>
          <t>DECHETS</t>
        </is>
      </c>
      <c r="D1588" s="233" t="inlineStr">
        <is>
          <t>07</t>
        </is>
      </c>
      <c r="E1588" s="233" t="inlineStr">
        <is>
          <t>05</t>
        </is>
      </c>
      <c r="F1588" s="227" t="inlineStr">
        <is>
          <t>VICTOIRE</t>
        </is>
      </c>
    </row>
    <row r="1589">
      <c r="A1589" s="227">
        <f>TL[[#This Row],[Société]]&amp;" - "&amp;TL[[#This Row],[Compte]]</f>
        <v/>
      </c>
      <c r="B1589" s="233" t="inlineStr">
        <is>
          <t>601104</t>
        </is>
      </c>
      <c r="C1589" s="227" t="inlineStr">
        <is>
          <t>ACHAT GAZ CO2</t>
        </is>
      </c>
      <c r="D1589" s="233" t="inlineStr">
        <is>
          <t>06</t>
        </is>
      </c>
      <c r="E1589" s="233" t="inlineStr">
        <is>
          <t>03</t>
        </is>
      </c>
      <c r="F1589" s="227" t="inlineStr">
        <is>
          <t>VICTOIRE</t>
        </is>
      </c>
    </row>
    <row r="1590">
      <c r="A1590" s="227">
        <f>TL[[#This Row],[Société]]&amp;" - "&amp;TL[[#This Row],[Compte]]</f>
        <v/>
      </c>
      <c r="B1590" s="233" t="inlineStr">
        <is>
          <t>601200</t>
        </is>
      </c>
      <c r="C1590" s="227" t="inlineStr">
        <is>
          <t>Achats matières (ou groupe) B</t>
        </is>
      </c>
      <c r="F1590" s="227" t="inlineStr">
        <is>
          <t>VICTOIRE</t>
        </is>
      </c>
    </row>
    <row r="1591">
      <c r="A1591" s="227">
        <f>TL[[#This Row],[Société]]&amp;" - "&amp;TL[[#This Row],[Compte]]</f>
        <v/>
      </c>
      <c r="B1591" s="233" t="inlineStr">
        <is>
          <t>601700</t>
        </is>
      </c>
      <c r="C1591" s="227" t="inlineStr">
        <is>
          <t>Achats fournitures A, B, C...</t>
        </is>
      </c>
      <c r="F1591" s="227" t="inlineStr">
        <is>
          <t>VICTOIRE</t>
        </is>
      </c>
    </row>
    <row r="1592">
      <c r="A1592" s="227">
        <f>TL[[#This Row],[Société]]&amp;" - "&amp;TL[[#This Row],[Compte]]</f>
        <v/>
      </c>
      <c r="B1592" s="233" t="inlineStr">
        <is>
          <t>601900</t>
        </is>
      </c>
      <c r="C1592" s="227" t="inlineStr">
        <is>
          <t>Prélèvements de matières</t>
        </is>
      </c>
      <c r="F1592" s="227" t="inlineStr">
        <is>
          <t>VICTOIRE</t>
        </is>
      </c>
    </row>
    <row r="1593">
      <c r="A1593" s="227">
        <f>TL[[#This Row],[Société]]&amp;" - "&amp;TL[[#This Row],[Compte]]</f>
        <v/>
      </c>
      <c r="B1593" s="233" t="inlineStr">
        <is>
          <t>601920</t>
        </is>
      </c>
      <c r="C1593" s="227" t="inlineStr">
        <is>
          <t>Matières premières CEE</t>
        </is>
      </c>
      <c r="F1593" s="227" t="inlineStr">
        <is>
          <t>VICTOIRE</t>
        </is>
      </c>
    </row>
    <row r="1594">
      <c r="A1594" s="227">
        <f>TL[[#This Row],[Société]]&amp;" - "&amp;TL[[#This Row],[Compte]]</f>
        <v/>
      </c>
      <c r="B1594" s="233" t="inlineStr">
        <is>
          <t>601940</t>
        </is>
      </c>
      <c r="C1594" s="227" t="inlineStr">
        <is>
          <t>Matières premières hors CEE</t>
        </is>
      </c>
      <c r="F1594" s="227" t="inlineStr">
        <is>
          <t>VICTOIRE</t>
        </is>
      </c>
    </row>
    <row r="1595">
      <c r="A1595" s="227">
        <f>TL[[#This Row],[Société]]&amp;" - "&amp;TL[[#This Row],[Compte]]</f>
        <v/>
      </c>
      <c r="B1595" s="233" t="inlineStr">
        <is>
          <t>602100</t>
        </is>
      </c>
      <c r="C1595" s="227" t="inlineStr">
        <is>
          <t>Achats de matieres consommables</t>
        </is>
      </c>
      <c r="F1595" s="227" t="inlineStr">
        <is>
          <t>VICTOIRE</t>
        </is>
      </c>
    </row>
    <row r="1596">
      <c r="A1596" s="227">
        <f>TL[[#This Row],[Société]]&amp;" - "&amp;TL[[#This Row],[Compte]]</f>
        <v/>
      </c>
      <c r="B1596" s="233" t="inlineStr">
        <is>
          <t>602110</t>
        </is>
      </c>
      <c r="C1596" s="227" t="inlineStr">
        <is>
          <t>Achats matiere consomm.(ou gpe) C</t>
        </is>
      </c>
      <c r="F1596" s="227" t="inlineStr">
        <is>
          <t>VICTOIRE</t>
        </is>
      </c>
    </row>
    <row r="1597">
      <c r="A1597" s="227">
        <f>TL[[#This Row],[Société]]&amp;" - "&amp;TL[[#This Row],[Compte]]</f>
        <v/>
      </c>
      <c r="B1597" s="233" t="inlineStr">
        <is>
          <t>602120</t>
        </is>
      </c>
      <c r="C1597" s="227" t="inlineStr">
        <is>
          <t>Achats matiere consomm.(ou gpe) D</t>
        </is>
      </c>
      <c r="F1597" s="227" t="inlineStr">
        <is>
          <t>VICTOIRE</t>
        </is>
      </c>
    </row>
    <row r="1598">
      <c r="A1598" s="227">
        <f>TL[[#This Row],[Société]]&amp;" - "&amp;TL[[#This Row],[Compte]]</f>
        <v/>
      </c>
      <c r="B1598" s="233" t="inlineStr">
        <is>
          <t>602200</t>
        </is>
      </c>
      <c r="C1598" s="227" t="inlineStr">
        <is>
          <t>ACHAT PAPER</t>
        </is>
      </c>
      <c r="D1598" s="233" t="inlineStr">
        <is>
          <t>03</t>
        </is>
      </c>
      <c r="E1598" s="233" t="inlineStr">
        <is>
          <t>06</t>
        </is>
      </c>
      <c r="F1598" s="227" t="inlineStr">
        <is>
          <t>VICTOIRE</t>
        </is>
      </c>
    </row>
    <row r="1599">
      <c r="A1599" s="227">
        <f>TL[[#This Row],[Société]]&amp;" - "&amp;TL[[#This Row],[Compte]]</f>
        <v/>
      </c>
      <c r="B1599" s="233" t="inlineStr">
        <is>
          <t>602202</t>
        </is>
      </c>
      <c r="C1599" s="227" t="inlineStr">
        <is>
          <t>ACHAT HAPPY MEAL</t>
        </is>
      </c>
      <c r="D1599" s="233" t="inlineStr">
        <is>
          <t>62</t>
        </is>
      </c>
      <c r="E1599" s="233" t="inlineStr">
        <is>
          <t>51</t>
        </is>
      </c>
      <c r="F1599" s="227" t="inlineStr">
        <is>
          <t>VICTOIRE</t>
        </is>
      </c>
    </row>
    <row r="1600">
      <c r="A1600" s="227">
        <f>TL[[#This Row],[Société]]&amp;" - "&amp;TL[[#This Row],[Compte]]</f>
        <v/>
      </c>
      <c r="B1600" s="233" t="inlineStr">
        <is>
          <t>602210</t>
        </is>
      </c>
      <c r="C1600" s="227" t="inlineStr">
        <is>
          <t>Achats fourn. cons. combustibles</t>
        </is>
      </c>
      <c r="F1600" s="227" t="inlineStr">
        <is>
          <t>VICTOIRE</t>
        </is>
      </c>
    </row>
    <row r="1601">
      <c r="A1601" s="227">
        <f>TL[[#This Row],[Société]]&amp;" - "&amp;TL[[#This Row],[Compte]]</f>
        <v/>
      </c>
      <c r="B1601" s="233" t="inlineStr">
        <is>
          <t>602220</t>
        </is>
      </c>
      <c r="C1601" s="227" t="inlineStr">
        <is>
          <t>Achats fourn. cons. produits entret</t>
        </is>
      </c>
      <c r="F1601" s="227" t="inlineStr">
        <is>
          <t>VICTOIRE</t>
        </is>
      </c>
    </row>
    <row r="1602">
      <c r="A1602" s="227">
        <f>TL[[#This Row],[Société]]&amp;" - "&amp;TL[[#This Row],[Compte]]</f>
        <v/>
      </c>
      <c r="B1602" s="233" t="inlineStr">
        <is>
          <t>602240</t>
        </is>
      </c>
      <c r="C1602" s="227" t="inlineStr">
        <is>
          <t>Achats fourn. cons. de magasin</t>
        </is>
      </c>
      <c r="F1602" s="227" t="inlineStr">
        <is>
          <t>VICTOIRE</t>
        </is>
      </c>
    </row>
    <row r="1603">
      <c r="A1603" s="227">
        <f>TL[[#This Row],[Société]]&amp;" - "&amp;TL[[#This Row],[Compte]]</f>
        <v/>
      </c>
      <c r="B1603" s="233" t="inlineStr">
        <is>
          <t>602250</t>
        </is>
      </c>
      <c r="C1603" s="227" t="inlineStr">
        <is>
          <t>Achats fournitures de bureau</t>
        </is>
      </c>
      <c r="F1603" s="227" t="inlineStr">
        <is>
          <t>VICTOIRE</t>
        </is>
      </c>
    </row>
    <row r="1604">
      <c r="A1604" s="227">
        <f>TL[[#This Row],[Société]]&amp;" - "&amp;TL[[#This Row],[Compte]]</f>
        <v/>
      </c>
      <c r="B1604" s="233" t="inlineStr">
        <is>
          <t>602600</t>
        </is>
      </c>
      <c r="C1604" s="227" t="inlineStr">
        <is>
          <t>Achats emballages</t>
        </is>
      </c>
      <c r="F1604" s="227" t="inlineStr">
        <is>
          <t>VICTOIRE</t>
        </is>
      </c>
    </row>
    <row r="1605">
      <c r="A1605" s="227">
        <f>TL[[#This Row],[Société]]&amp;" - "&amp;TL[[#This Row],[Compte]]</f>
        <v/>
      </c>
      <c r="B1605" s="233" t="inlineStr">
        <is>
          <t>602610</t>
        </is>
      </c>
      <c r="C1605" s="227" t="inlineStr">
        <is>
          <t>ACHAT EMBALLAGES PERDUS</t>
        </is>
      </c>
      <c r="D1605" s="233" t="inlineStr">
        <is>
          <t>18</t>
        </is>
      </c>
      <c r="E1605" s="233" t="inlineStr">
        <is>
          <t>06</t>
        </is>
      </c>
      <c r="F1605" s="227" t="inlineStr">
        <is>
          <t>VICTOIRE</t>
        </is>
      </c>
    </row>
    <row r="1606">
      <c r="A1606" s="227">
        <f>TL[[#This Row],[Société]]&amp;" - "&amp;TL[[#This Row],[Compte]]</f>
        <v/>
      </c>
      <c r="B1606" s="233" t="inlineStr">
        <is>
          <t>602900</t>
        </is>
      </c>
      <c r="C1606" s="227" t="inlineStr">
        <is>
          <t>Prélèvements de fournitures</t>
        </is>
      </c>
      <c r="F1606" s="227" t="inlineStr">
        <is>
          <t>VICTOIRE</t>
        </is>
      </c>
    </row>
    <row r="1607">
      <c r="A1607" s="227">
        <f>TL[[#This Row],[Société]]&amp;" - "&amp;TL[[#This Row],[Compte]]</f>
        <v/>
      </c>
      <c r="B1607" s="233" t="inlineStr">
        <is>
          <t>602920</t>
        </is>
      </c>
      <c r="C1607" s="227" t="inlineStr">
        <is>
          <t>Autres appro.CEE</t>
        </is>
      </c>
      <c r="F1607" s="227" t="inlineStr">
        <is>
          <t>VICTOIRE</t>
        </is>
      </c>
    </row>
    <row r="1608">
      <c r="A1608" s="227">
        <f>TL[[#This Row],[Société]]&amp;" - "&amp;TL[[#This Row],[Compte]]</f>
        <v/>
      </c>
      <c r="B1608" s="233" t="inlineStr">
        <is>
          <t>602940</t>
        </is>
      </c>
      <c r="C1608" s="227" t="inlineStr">
        <is>
          <t>Autres appro.hors CEE</t>
        </is>
      </c>
      <c r="F1608" s="227" t="inlineStr">
        <is>
          <t>VICTOIRE</t>
        </is>
      </c>
    </row>
    <row r="1609">
      <c r="A1609" s="227">
        <f>TL[[#This Row],[Société]]&amp;" - "&amp;TL[[#This Row],[Compte]]</f>
        <v/>
      </c>
      <c r="B1609" s="233" t="inlineStr">
        <is>
          <t>603100</t>
        </is>
      </c>
      <c r="C1609" s="227" t="inlineStr">
        <is>
          <t>Variat. stocks Mat. premières/fourn</t>
        </is>
      </c>
      <c r="D1609" s="233" t="inlineStr">
        <is>
          <t>06</t>
        </is>
      </c>
      <c r="E1609" s="233" t="inlineStr">
        <is>
          <t>03</t>
        </is>
      </c>
      <c r="F1609" s="227" t="inlineStr">
        <is>
          <t>VICTOIRE</t>
        </is>
      </c>
    </row>
    <row r="1610">
      <c r="A1610" s="227">
        <f>TL[[#This Row],[Société]]&amp;" - "&amp;TL[[#This Row],[Compte]]</f>
        <v/>
      </c>
      <c r="B1610" s="233" t="inlineStr">
        <is>
          <t>603110</t>
        </is>
      </c>
      <c r="C1610" s="227" t="inlineStr">
        <is>
          <t>VARIAT STOCK ALIMENTAIRE</t>
        </is>
      </c>
      <c r="D1610" s="233" t="inlineStr">
        <is>
          <t>06</t>
        </is>
      </c>
      <c r="E1610" s="233" t="inlineStr">
        <is>
          <t>03</t>
        </is>
      </c>
      <c r="F1610" s="227" t="inlineStr">
        <is>
          <t>VICTOIRE</t>
        </is>
      </c>
    </row>
    <row r="1611">
      <c r="A1611" s="227">
        <f>TL[[#This Row],[Société]]&amp;" - "&amp;TL[[#This Row],[Compte]]</f>
        <v/>
      </c>
      <c r="B1611" s="233" t="inlineStr">
        <is>
          <t>603200</t>
        </is>
      </c>
      <c r="C1611" s="227" t="inlineStr">
        <is>
          <t>Variat. stocks autres approvist.</t>
        </is>
      </c>
      <c r="D1611" s="233" t="inlineStr">
        <is>
          <t>03</t>
        </is>
      </c>
      <c r="E1611" s="233" t="inlineStr">
        <is>
          <t>06</t>
        </is>
      </c>
      <c r="F1611" s="227" t="inlineStr">
        <is>
          <t>VICTOIRE</t>
        </is>
      </c>
    </row>
    <row r="1612">
      <c r="A1612" s="227">
        <f>TL[[#This Row],[Société]]&amp;" - "&amp;TL[[#This Row],[Compte]]</f>
        <v/>
      </c>
      <c r="B1612" s="233" t="inlineStr">
        <is>
          <t>603202</t>
        </is>
      </c>
      <c r="C1612" s="227" t="inlineStr">
        <is>
          <t>STOCK DEBUT</t>
        </is>
      </c>
      <c r="F1612" s="227" t="inlineStr">
        <is>
          <t>VICTOIRE</t>
        </is>
      </c>
    </row>
    <row r="1613">
      <c r="A1613" s="227">
        <f>TL[[#This Row],[Société]]&amp;" - "&amp;TL[[#This Row],[Compte]]</f>
        <v/>
      </c>
      <c r="B1613" s="233" t="inlineStr">
        <is>
          <t>603210</t>
        </is>
      </c>
      <c r="C1613" s="227" t="inlineStr">
        <is>
          <t>VARIAT STOCK PAPIER</t>
        </is>
      </c>
      <c r="D1613" s="233" t="inlineStr">
        <is>
          <t>03</t>
        </is>
      </c>
      <c r="E1613" s="233" t="inlineStr">
        <is>
          <t>06</t>
        </is>
      </c>
      <c r="F1613" s="227" t="inlineStr">
        <is>
          <t>VICTOIRE</t>
        </is>
      </c>
    </row>
    <row r="1614">
      <c r="A1614" s="227">
        <f>TL[[#This Row],[Société]]&amp;" - "&amp;TL[[#This Row],[Compte]]</f>
        <v/>
      </c>
      <c r="B1614" s="233" t="inlineStr">
        <is>
          <t>603220</t>
        </is>
      </c>
      <c r="C1614" s="227" t="inlineStr">
        <is>
          <t>VARIATION ST.HAPPY MEAL</t>
        </is>
      </c>
      <c r="D1614" s="233" t="inlineStr">
        <is>
          <t>62</t>
        </is>
      </c>
      <c r="E1614" s="233" t="inlineStr">
        <is>
          <t>51</t>
        </is>
      </c>
      <c r="F1614" s="227" t="inlineStr">
        <is>
          <t>VICTOIRE</t>
        </is>
      </c>
    </row>
    <row r="1615">
      <c r="A1615" s="227">
        <f>TL[[#This Row],[Société]]&amp;" - "&amp;TL[[#This Row],[Compte]]</f>
        <v/>
      </c>
      <c r="B1615" s="233" t="inlineStr">
        <is>
          <t>603700</t>
        </is>
      </c>
      <c r="C1615" s="227" t="inlineStr">
        <is>
          <t>Variat. stocks marchandises</t>
        </is>
      </c>
      <c r="F1615" s="227" t="inlineStr">
        <is>
          <t>VICTOIRE</t>
        </is>
      </c>
    </row>
    <row r="1616">
      <c r="A1616" s="227">
        <f>TL[[#This Row],[Société]]&amp;" - "&amp;TL[[#This Row],[Compte]]</f>
        <v/>
      </c>
      <c r="B1616" s="233" t="inlineStr">
        <is>
          <t>604000</t>
        </is>
      </c>
      <c r="C1616" s="227" t="inlineStr">
        <is>
          <t>Achats d'études et prestations</t>
        </is>
      </c>
      <c r="F1616" s="227" t="inlineStr">
        <is>
          <t>VICTOIRE</t>
        </is>
      </c>
    </row>
    <row r="1617">
      <c r="A1617" s="227">
        <f>TL[[#This Row],[Société]]&amp;" - "&amp;TL[[#This Row],[Compte]]</f>
        <v/>
      </c>
      <c r="B1617" s="233" t="inlineStr">
        <is>
          <t>604920</t>
        </is>
      </c>
      <c r="C1617" s="227" t="inlineStr">
        <is>
          <t>Etudes et prestations CEE</t>
        </is>
      </c>
      <c r="F1617" s="227" t="inlineStr">
        <is>
          <t>VICTOIRE</t>
        </is>
      </c>
    </row>
    <row r="1618">
      <c r="A1618" s="227">
        <f>TL[[#This Row],[Société]]&amp;" - "&amp;TL[[#This Row],[Compte]]</f>
        <v/>
      </c>
      <c r="B1618" s="233" t="inlineStr">
        <is>
          <t>604940</t>
        </is>
      </c>
      <c r="C1618" s="227" t="inlineStr">
        <is>
          <t>Etudes et prestations hors CEE</t>
        </is>
      </c>
      <c r="F1618" s="227" t="inlineStr">
        <is>
          <t>VICTOIRE</t>
        </is>
      </c>
    </row>
    <row r="1619">
      <c r="A1619" s="227">
        <f>TL[[#This Row],[Société]]&amp;" - "&amp;TL[[#This Row],[Compte]]</f>
        <v/>
      </c>
      <c r="B1619" s="233" t="inlineStr">
        <is>
          <t>605000</t>
        </is>
      </c>
      <c r="C1619" s="227" t="inlineStr">
        <is>
          <t>Achats matériel et travaux</t>
        </is>
      </c>
      <c r="F1619" s="227" t="inlineStr">
        <is>
          <t>VICTOIRE</t>
        </is>
      </c>
    </row>
    <row r="1620">
      <c r="A1620" s="227">
        <f>TL[[#This Row],[Société]]&amp;" - "&amp;TL[[#This Row],[Compte]]</f>
        <v/>
      </c>
      <c r="B1620" s="233" t="inlineStr">
        <is>
          <t>605920</t>
        </is>
      </c>
      <c r="C1620" s="227" t="inlineStr">
        <is>
          <t>Matériel et travaux CEE</t>
        </is>
      </c>
      <c r="F1620" s="227" t="inlineStr">
        <is>
          <t>VICTOIRE</t>
        </is>
      </c>
    </row>
    <row r="1621">
      <c r="A1621" s="227">
        <f>TL[[#This Row],[Société]]&amp;" - "&amp;TL[[#This Row],[Compte]]</f>
        <v/>
      </c>
      <c r="B1621" s="233" t="inlineStr">
        <is>
          <t>605940</t>
        </is>
      </c>
      <c r="C1621" s="227" t="inlineStr">
        <is>
          <t>Matériel et travaux hors CEE</t>
        </is>
      </c>
      <c r="F1621" s="227" t="inlineStr">
        <is>
          <t>VICTOIRE</t>
        </is>
      </c>
    </row>
    <row r="1622">
      <c r="A1622" s="227">
        <f>TL[[#This Row],[Société]]&amp;" - "&amp;TL[[#This Row],[Compte]]</f>
        <v/>
      </c>
      <c r="B1622" s="233" t="inlineStr">
        <is>
          <t>606100</t>
        </is>
      </c>
      <c r="C1622" s="227" t="inlineStr">
        <is>
          <t>Achats fournitures non stockable</t>
        </is>
      </c>
      <c r="F1622" s="227" t="inlineStr">
        <is>
          <t>VICTOIRE</t>
        </is>
      </c>
    </row>
    <row r="1623">
      <c r="A1623" s="227">
        <f>TL[[#This Row],[Société]]&amp;" - "&amp;TL[[#This Row],[Compte]]</f>
        <v/>
      </c>
      <c r="B1623" s="233" t="inlineStr">
        <is>
          <t>606110</t>
        </is>
      </c>
      <c r="C1623" s="227" t="inlineStr">
        <is>
          <t>EAU RESTAURANT</t>
        </is>
      </c>
      <c r="D1623" s="233" t="inlineStr">
        <is>
          <t>20</t>
        </is>
      </c>
      <c r="E1623" s="233" t="inlineStr">
        <is>
          <t>24</t>
        </is>
      </c>
      <c r="F1623" s="227" t="inlineStr">
        <is>
          <t>VICTOIRE</t>
        </is>
      </c>
    </row>
    <row r="1624">
      <c r="A1624" s="227">
        <f>TL[[#This Row],[Société]]&amp;" - "&amp;TL[[#This Row],[Compte]]</f>
        <v/>
      </c>
      <c r="B1624" s="233" t="inlineStr">
        <is>
          <t>606111</t>
        </is>
      </c>
      <c r="C1624" s="227" t="inlineStr">
        <is>
          <t>ELECTRICITE</t>
        </is>
      </c>
      <c r="D1624" s="233" t="inlineStr">
        <is>
          <t>20</t>
        </is>
      </c>
      <c r="E1624" s="233" t="inlineStr">
        <is>
          <t>24</t>
        </is>
      </c>
      <c r="F1624" s="227" t="inlineStr">
        <is>
          <t>VICTOIRE</t>
        </is>
      </c>
    </row>
    <row r="1625">
      <c r="A1625" s="227">
        <f>TL[[#This Row],[Société]]&amp;" - "&amp;TL[[#This Row],[Compte]]</f>
        <v/>
      </c>
      <c r="B1625" s="233" t="inlineStr">
        <is>
          <t>606112</t>
        </is>
      </c>
      <c r="C1625" s="227" t="inlineStr">
        <is>
          <t>GAZ</t>
        </is>
      </c>
      <c r="D1625" s="233" t="inlineStr">
        <is>
          <t>20</t>
        </is>
      </c>
      <c r="E1625" s="233" t="inlineStr">
        <is>
          <t>24</t>
        </is>
      </c>
      <c r="F1625" s="227" t="inlineStr">
        <is>
          <t>VICTOIRE</t>
        </is>
      </c>
    </row>
    <row r="1626">
      <c r="A1626" s="227">
        <f>TL[[#This Row],[Société]]&amp;" - "&amp;TL[[#This Row],[Compte]]</f>
        <v/>
      </c>
      <c r="B1626" s="233" t="inlineStr">
        <is>
          <t>606120</t>
        </is>
      </c>
      <c r="C1626" s="227" t="inlineStr">
        <is>
          <t>FRAIS DE CARBURANT</t>
        </is>
      </c>
      <c r="D1626" s="233" t="inlineStr">
        <is>
          <t>39</t>
        </is>
      </c>
      <c r="E1626" s="233" t="inlineStr">
        <is>
          <t>40</t>
        </is>
      </c>
      <c r="F1626" s="227" t="inlineStr">
        <is>
          <t>VICTOIRE</t>
        </is>
      </c>
    </row>
    <row r="1627">
      <c r="A1627" s="227">
        <f>TL[[#This Row],[Société]]&amp;" - "&amp;TL[[#This Row],[Compte]]</f>
        <v/>
      </c>
      <c r="B1627" s="233" t="inlineStr">
        <is>
          <t>606130</t>
        </is>
      </c>
      <c r="C1627" s="227" t="inlineStr">
        <is>
          <t>Fournitures gaz</t>
        </is>
      </c>
      <c r="F1627" s="227" t="inlineStr">
        <is>
          <t>VICTOIRE</t>
        </is>
      </c>
    </row>
    <row r="1628">
      <c r="A1628" s="227">
        <f>TL[[#This Row],[Société]]&amp;" - "&amp;TL[[#This Row],[Compte]]</f>
        <v/>
      </c>
      <c r="B1628" s="233" t="inlineStr">
        <is>
          <t>606140</t>
        </is>
      </c>
      <c r="C1628" s="227" t="inlineStr">
        <is>
          <t>Fournitures carburant</t>
        </is>
      </c>
      <c r="F1628" s="227" t="inlineStr">
        <is>
          <t>VICTOIRE</t>
        </is>
      </c>
    </row>
    <row r="1629">
      <c r="A1629" s="227">
        <f>TL[[#This Row],[Société]]&amp;" - "&amp;TL[[#This Row],[Compte]]</f>
        <v/>
      </c>
      <c r="B1629" s="233" t="inlineStr">
        <is>
          <t>606149</t>
        </is>
      </c>
      <c r="C1629" s="227" t="inlineStr">
        <is>
          <t>Evaluation forfaitaire carburant</t>
        </is>
      </c>
      <c r="F1629" s="227" t="inlineStr">
        <is>
          <t>VICTOIRE</t>
        </is>
      </c>
    </row>
    <row r="1630">
      <c r="A1630" s="227">
        <f>TL[[#This Row],[Société]]&amp;" - "&amp;TL[[#This Row],[Compte]]</f>
        <v/>
      </c>
      <c r="B1630" s="233" t="inlineStr">
        <is>
          <t>606150</t>
        </is>
      </c>
      <c r="C1630" s="227" t="inlineStr">
        <is>
          <t>Fournitures combustibles</t>
        </is>
      </c>
      <c r="F1630" s="227" t="inlineStr">
        <is>
          <t>VICTOIRE</t>
        </is>
      </c>
    </row>
    <row r="1631">
      <c r="A1631" s="227">
        <f>TL[[#This Row],[Société]]&amp;" - "&amp;TL[[#This Row],[Compte]]</f>
        <v/>
      </c>
      <c r="B1631" s="233" t="inlineStr">
        <is>
          <t>606160</t>
        </is>
      </c>
      <c r="C1631" s="227" t="inlineStr">
        <is>
          <t>NDF BAG 04/19</t>
        </is>
      </c>
      <c r="F1631" s="227" t="inlineStr">
        <is>
          <t>VICTOIRE</t>
        </is>
      </c>
    </row>
    <row r="1632">
      <c r="A1632" s="227">
        <f>TL[[#This Row],[Société]]&amp;" - "&amp;TL[[#This Row],[Compte]]</f>
        <v/>
      </c>
      <c r="B1632" s="233" t="inlineStr">
        <is>
          <t>606260</t>
        </is>
      </c>
      <c r="C1632" s="227" t="inlineStr">
        <is>
          <t>Emballages</t>
        </is>
      </c>
      <c r="F1632" s="227" t="inlineStr">
        <is>
          <t>VICTOIRE</t>
        </is>
      </c>
    </row>
    <row r="1633">
      <c r="A1633" s="227">
        <f>TL[[#This Row],[Société]]&amp;" - "&amp;TL[[#This Row],[Compte]]</f>
        <v/>
      </c>
      <c r="B1633" s="233" t="inlineStr">
        <is>
          <t>606300</t>
        </is>
      </c>
      <c r="C1633" s="227" t="inlineStr">
        <is>
          <t>FOURNITURE D' ENTRETIENS</t>
        </is>
      </c>
      <c r="D1633" s="233" t="inlineStr">
        <is>
          <t>18</t>
        </is>
      </c>
      <c r="E1633" s="233" t="inlineStr">
        <is>
          <t>18</t>
        </is>
      </c>
      <c r="F1633" s="227" t="inlineStr">
        <is>
          <t>VICTOIRE</t>
        </is>
      </c>
    </row>
    <row r="1634">
      <c r="A1634" s="227">
        <f>TL[[#This Row],[Société]]&amp;" - "&amp;TL[[#This Row],[Compte]]</f>
        <v/>
      </c>
      <c r="B1634" s="233" t="inlineStr">
        <is>
          <t>606304</t>
        </is>
      </c>
      <c r="C1634" s="227" t="inlineStr">
        <is>
          <t>PRODUITS D'ENTRETIEN-OPS</t>
        </is>
      </c>
      <c r="D1634" s="233" t="inlineStr">
        <is>
          <t>18</t>
        </is>
      </c>
      <c r="E1634" s="233" t="inlineStr">
        <is>
          <t>25</t>
        </is>
      </c>
      <c r="F1634" s="227" t="inlineStr">
        <is>
          <t>VICTOIRE</t>
        </is>
      </c>
    </row>
    <row r="1635">
      <c r="A1635" s="227">
        <f>TL[[#This Row],[Société]]&amp;" - "&amp;TL[[#This Row],[Compte]]</f>
        <v/>
      </c>
      <c r="B1635" s="233" t="inlineStr">
        <is>
          <t>606305</t>
        </is>
      </c>
      <c r="C1635" s="227" t="inlineStr">
        <is>
          <t>EMBALLAGES PERDUS</t>
        </is>
      </c>
      <c r="D1635" s="233" t="inlineStr">
        <is>
          <t>18</t>
        </is>
      </c>
      <c r="E1635" s="233" t="inlineStr">
        <is>
          <t>25</t>
        </is>
      </c>
      <c r="F1635" s="227" t="inlineStr">
        <is>
          <t>VICTOIRE</t>
        </is>
      </c>
    </row>
    <row r="1636">
      <c r="A1636" s="227">
        <f>TL[[#This Row],[Société]]&amp;" - "&amp;TL[[#This Row],[Compte]]</f>
        <v/>
      </c>
      <c r="B1636" s="233" t="inlineStr">
        <is>
          <t>606320</t>
        </is>
      </c>
      <c r="C1636" s="227" t="inlineStr">
        <is>
          <t>UNIFORMES</t>
        </is>
      </c>
      <c r="D1636" s="233" t="inlineStr">
        <is>
          <t>17</t>
        </is>
      </c>
      <c r="E1636" s="233" t="inlineStr">
        <is>
          <t>27</t>
        </is>
      </c>
      <c r="F1636" s="227" t="inlineStr">
        <is>
          <t>VICTOIRE</t>
        </is>
      </c>
    </row>
    <row r="1637">
      <c r="A1637" s="227">
        <f>TL[[#This Row],[Société]]&amp;" - "&amp;TL[[#This Row],[Compte]]</f>
        <v/>
      </c>
      <c r="B1637" s="233" t="inlineStr">
        <is>
          <t>606400</t>
        </is>
      </c>
      <c r="C1637" s="227" t="inlineStr">
        <is>
          <t>Achats fournitures administratives</t>
        </is>
      </c>
      <c r="D1637" s="233" t="inlineStr">
        <is>
          <t>21</t>
        </is>
      </c>
      <c r="E1637" s="233" t="inlineStr">
        <is>
          <t>25</t>
        </is>
      </c>
      <c r="F1637" s="227" t="inlineStr">
        <is>
          <t>VICTOIRE</t>
        </is>
      </c>
    </row>
    <row r="1638">
      <c r="A1638" s="227">
        <f>TL[[#This Row],[Société]]&amp;" - "&amp;TL[[#This Row],[Compte]]</f>
        <v/>
      </c>
      <c r="B1638" s="233" t="inlineStr">
        <is>
          <t>606410</t>
        </is>
      </c>
      <c r="C1638" s="227" t="inlineStr">
        <is>
          <t>FOURN BUREAU RESTAURANT</t>
        </is>
      </c>
      <c r="D1638" s="233" t="inlineStr">
        <is>
          <t>21</t>
        </is>
      </c>
      <c r="E1638" s="233" t="inlineStr">
        <is>
          <t>25</t>
        </is>
      </c>
      <c r="F1638" s="227" t="inlineStr">
        <is>
          <t>VICTOIRE</t>
        </is>
      </c>
    </row>
    <row r="1639">
      <c r="A1639" s="227">
        <f>TL[[#This Row],[Société]]&amp;" - "&amp;TL[[#This Row],[Compte]]</f>
        <v/>
      </c>
      <c r="B1639" s="233" t="inlineStr">
        <is>
          <t>606900</t>
        </is>
      </c>
      <c r="C1639" s="227" t="inlineStr">
        <is>
          <t>Prélèvements personnels</t>
        </is>
      </c>
      <c r="F1639" s="227" t="inlineStr">
        <is>
          <t>VICTOIRE</t>
        </is>
      </c>
    </row>
    <row r="1640">
      <c r="A1640" s="227">
        <f>TL[[#This Row],[Société]]&amp;" - "&amp;TL[[#This Row],[Compte]]</f>
        <v/>
      </c>
      <c r="B1640" s="233" t="inlineStr">
        <is>
          <t>606920</t>
        </is>
      </c>
      <c r="C1640" s="227" t="inlineStr">
        <is>
          <t>Matières et fournitures CEE</t>
        </is>
      </c>
      <c r="F1640" s="227" t="inlineStr">
        <is>
          <t>VICTOIRE</t>
        </is>
      </c>
    </row>
    <row r="1641">
      <c r="A1641" s="227">
        <f>TL[[#This Row],[Société]]&amp;" - "&amp;TL[[#This Row],[Compte]]</f>
        <v/>
      </c>
      <c r="B1641" s="233" t="inlineStr">
        <is>
          <t>606940</t>
        </is>
      </c>
      <c r="C1641" s="227" t="inlineStr">
        <is>
          <t>Matières et fournitures hors CEE</t>
        </is>
      </c>
      <c r="F1641" s="227" t="inlineStr">
        <is>
          <t>VICTOIRE</t>
        </is>
      </c>
    </row>
    <row r="1642">
      <c r="A1642" s="227">
        <f>TL[[#This Row],[Société]]&amp;" - "&amp;TL[[#This Row],[Compte]]</f>
        <v/>
      </c>
      <c r="B1642" s="233" t="inlineStr">
        <is>
          <t>607000</t>
        </is>
      </c>
      <c r="C1642" s="227" t="inlineStr">
        <is>
          <t>Achats de marchandises</t>
        </is>
      </c>
      <c r="F1642" s="227" t="inlineStr">
        <is>
          <t>VICTOIRE</t>
        </is>
      </c>
    </row>
    <row r="1643">
      <c r="A1643" s="227">
        <f>TL[[#This Row],[Société]]&amp;" - "&amp;TL[[#This Row],[Compte]]</f>
        <v/>
      </c>
      <c r="B1643" s="233" t="inlineStr">
        <is>
          <t>607100</t>
        </is>
      </c>
      <c r="C1643" s="227" t="inlineStr">
        <is>
          <t>Achats marchandise (ou groupe) A</t>
        </is>
      </c>
      <c r="F1643" s="227" t="inlineStr">
        <is>
          <t>VICTOIRE</t>
        </is>
      </c>
    </row>
    <row r="1644">
      <c r="A1644" s="227">
        <f>TL[[#This Row],[Société]]&amp;" - "&amp;TL[[#This Row],[Compte]]</f>
        <v/>
      </c>
      <c r="B1644" s="233" t="inlineStr">
        <is>
          <t>607200</t>
        </is>
      </c>
      <c r="C1644" s="227" t="inlineStr">
        <is>
          <t>Achats marchandise (ou groupe) B</t>
        </is>
      </c>
      <c r="F1644" s="227" t="inlineStr">
        <is>
          <t>VICTOIRE</t>
        </is>
      </c>
    </row>
    <row r="1645">
      <c r="A1645" s="227">
        <f>TL[[#This Row],[Société]]&amp;" - "&amp;TL[[#This Row],[Compte]]</f>
        <v/>
      </c>
      <c r="B1645" s="233" t="inlineStr">
        <is>
          <t>607900</t>
        </is>
      </c>
      <c r="C1645" s="227" t="inlineStr">
        <is>
          <t>Prélèvements de marchandises</t>
        </is>
      </c>
      <c r="F1645" s="227" t="inlineStr">
        <is>
          <t>VICTOIRE</t>
        </is>
      </c>
    </row>
    <row r="1646">
      <c r="A1646" s="227">
        <f>TL[[#This Row],[Société]]&amp;" - "&amp;TL[[#This Row],[Compte]]</f>
        <v/>
      </c>
      <c r="B1646" s="233" t="inlineStr">
        <is>
          <t>607920</t>
        </is>
      </c>
      <c r="C1646" s="227" t="inlineStr">
        <is>
          <t>Marchandises CEE</t>
        </is>
      </c>
      <c r="F1646" s="227" t="inlineStr">
        <is>
          <t>VICTOIRE</t>
        </is>
      </c>
    </row>
    <row r="1647">
      <c r="A1647" s="227">
        <f>TL[[#This Row],[Société]]&amp;" - "&amp;TL[[#This Row],[Compte]]</f>
        <v/>
      </c>
      <c r="B1647" s="233" t="inlineStr">
        <is>
          <t>607940</t>
        </is>
      </c>
      <c r="C1647" s="227" t="inlineStr">
        <is>
          <t>Marchandises hors CEE</t>
        </is>
      </c>
      <c r="F1647" s="227" t="inlineStr">
        <is>
          <t>VICTOIRE</t>
        </is>
      </c>
    </row>
    <row r="1648">
      <c r="A1648" s="227">
        <f>TL[[#This Row],[Société]]&amp;" - "&amp;TL[[#This Row],[Compte]]</f>
        <v/>
      </c>
      <c r="B1648" s="233" t="inlineStr">
        <is>
          <t>608100</t>
        </is>
      </c>
      <c r="C1648" s="227" t="inlineStr">
        <is>
          <t>Frais accessoires s/matières 1ers</t>
        </is>
      </c>
      <c r="F1648" s="227" t="inlineStr">
        <is>
          <t>VICTOIRE</t>
        </is>
      </c>
    </row>
    <row r="1649">
      <c r="A1649" s="227">
        <f>TL[[#This Row],[Société]]&amp;" - "&amp;TL[[#This Row],[Compte]]</f>
        <v/>
      </c>
      <c r="B1649" s="233" t="inlineStr">
        <is>
          <t>608200</t>
        </is>
      </c>
      <c r="C1649" s="227" t="inlineStr">
        <is>
          <t>Frais accessoires s/approvision.</t>
        </is>
      </c>
      <c r="F1649" s="227" t="inlineStr">
        <is>
          <t>VICTOIRE</t>
        </is>
      </c>
    </row>
    <row r="1650">
      <c r="A1650" s="227">
        <f>TL[[#This Row],[Société]]&amp;" - "&amp;TL[[#This Row],[Compte]]</f>
        <v/>
      </c>
      <c r="B1650" s="233" t="inlineStr">
        <is>
          <t>608400</t>
        </is>
      </c>
      <c r="C1650" s="227" t="inlineStr">
        <is>
          <t>Frais accessoires s/études</t>
        </is>
      </c>
      <c r="F1650" s="227" t="inlineStr">
        <is>
          <t>VICTOIRE</t>
        </is>
      </c>
    </row>
    <row r="1651">
      <c r="A1651" s="227">
        <f>TL[[#This Row],[Société]]&amp;" - "&amp;TL[[#This Row],[Compte]]</f>
        <v/>
      </c>
      <c r="B1651" s="233" t="inlineStr">
        <is>
          <t>608500</t>
        </is>
      </c>
      <c r="C1651" s="227" t="inlineStr">
        <is>
          <t>Frais accessoires s/matériel</t>
        </is>
      </c>
      <c r="F1651" s="227" t="inlineStr">
        <is>
          <t>VICTOIRE</t>
        </is>
      </c>
    </row>
    <row r="1652">
      <c r="A1652" s="227">
        <f>TL[[#This Row],[Société]]&amp;" - "&amp;TL[[#This Row],[Compte]]</f>
        <v/>
      </c>
      <c r="B1652" s="233" t="inlineStr">
        <is>
          <t>608600</t>
        </is>
      </c>
      <c r="C1652" s="227" t="inlineStr">
        <is>
          <t>Frais accessoires s/fournitures</t>
        </is>
      </c>
      <c r="F1652" s="227" t="inlineStr">
        <is>
          <t>VICTOIRE</t>
        </is>
      </c>
    </row>
    <row r="1653">
      <c r="A1653" s="227">
        <f>TL[[#This Row],[Société]]&amp;" - "&amp;TL[[#This Row],[Compte]]</f>
        <v/>
      </c>
      <c r="B1653" s="233" t="inlineStr">
        <is>
          <t>608700</t>
        </is>
      </c>
      <c r="C1653" s="227" t="inlineStr">
        <is>
          <t>Frais accessoires s/marchandises</t>
        </is>
      </c>
      <c r="F1653" s="227" t="inlineStr">
        <is>
          <t>VICTOIRE</t>
        </is>
      </c>
    </row>
    <row r="1654">
      <c r="A1654" s="227">
        <f>TL[[#This Row],[Société]]&amp;" - "&amp;TL[[#This Row],[Compte]]</f>
        <v/>
      </c>
      <c r="B1654" s="233" t="inlineStr">
        <is>
          <t>609000</t>
        </is>
      </c>
      <c r="C1654" s="227" t="inlineStr">
        <is>
          <t>Rabais, remises &amp; ristourn. obtenus</t>
        </is>
      </c>
      <c r="D1654" s="247" t="inlineStr">
        <is>
          <t>06</t>
        </is>
      </c>
      <c r="E1654" s="247" t="inlineStr">
        <is>
          <t>03</t>
        </is>
      </c>
      <c r="F1654" s="227" t="inlineStr">
        <is>
          <t>VICTOIRE</t>
        </is>
      </c>
    </row>
    <row r="1655">
      <c r="A1655" s="227">
        <f>TL[[#This Row],[Société]]&amp;" - "&amp;TL[[#This Row],[Compte]]</f>
        <v/>
      </c>
      <c r="B1655" s="233" t="inlineStr">
        <is>
          <t>609100</t>
        </is>
      </c>
      <c r="C1655" s="227" t="inlineStr">
        <is>
          <t>R.R.R.obtenus s/ach.mat.premières</t>
        </is>
      </c>
      <c r="F1655" s="227" t="inlineStr">
        <is>
          <t>VICTOIRE</t>
        </is>
      </c>
    </row>
    <row r="1656">
      <c r="A1656" s="227">
        <f>TL[[#This Row],[Société]]&amp;" - "&amp;TL[[#This Row],[Compte]]</f>
        <v/>
      </c>
      <c r="B1656" s="233" t="inlineStr">
        <is>
          <t>609200</t>
        </is>
      </c>
      <c r="C1656" s="227" t="inlineStr">
        <is>
          <t>R.R.R.obtenus s/ach.aut.approv.stoc</t>
        </is>
      </c>
      <c r="F1656" s="227" t="inlineStr">
        <is>
          <t>VICTOIRE</t>
        </is>
      </c>
    </row>
    <row r="1657">
      <c r="A1657" s="227">
        <f>TL[[#This Row],[Société]]&amp;" - "&amp;TL[[#This Row],[Compte]]</f>
        <v/>
      </c>
      <c r="B1657" s="233" t="inlineStr">
        <is>
          <t>609400</t>
        </is>
      </c>
      <c r="C1657" s="227" t="inlineStr">
        <is>
          <t>R.R.R.obtenus s/ach.étud. &amp; pr.sces</t>
        </is>
      </c>
      <c r="F1657" s="227" t="inlineStr">
        <is>
          <t>VICTOIRE</t>
        </is>
      </c>
    </row>
    <row r="1658">
      <c r="A1658" s="227">
        <f>TL[[#This Row],[Société]]&amp;" - "&amp;TL[[#This Row],[Compte]]</f>
        <v/>
      </c>
      <c r="B1658" s="233" t="inlineStr">
        <is>
          <t>609500</t>
        </is>
      </c>
      <c r="C1658" s="227" t="inlineStr">
        <is>
          <t>R.R.R. obtenus s/ach.mat.équip.tvx</t>
        </is>
      </c>
      <c r="F1658" s="227" t="inlineStr">
        <is>
          <t>VICTOIRE</t>
        </is>
      </c>
    </row>
    <row r="1659">
      <c r="A1659" s="227">
        <f>TL[[#This Row],[Société]]&amp;" - "&amp;TL[[#This Row],[Compte]]</f>
        <v/>
      </c>
      <c r="B1659" s="233" t="inlineStr">
        <is>
          <t>609600</t>
        </is>
      </c>
      <c r="C1659" s="227" t="inlineStr">
        <is>
          <t>R.R.R.obtenus s/ach.approv.n/stocké</t>
        </is>
      </c>
      <c r="F1659" s="227" t="inlineStr">
        <is>
          <t>VICTOIRE</t>
        </is>
      </c>
    </row>
    <row r="1660">
      <c r="A1660" s="227">
        <f>TL[[#This Row],[Société]]&amp;" - "&amp;TL[[#This Row],[Compte]]</f>
        <v/>
      </c>
      <c r="B1660" s="233" t="inlineStr">
        <is>
          <t>609700</t>
        </is>
      </c>
      <c r="C1660" s="227" t="inlineStr">
        <is>
          <t>R.R.R.obtenus s/ach.de marchandises</t>
        </is>
      </c>
      <c r="F1660" s="227" t="inlineStr">
        <is>
          <t>VICTOIRE</t>
        </is>
      </c>
    </row>
    <row r="1661">
      <c r="A1661" s="227">
        <f>TL[[#This Row],[Société]]&amp;" - "&amp;TL[[#This Row],[Compte]]</f>
        <v/>
      </c>
      <c r="B1661" s="233" t="inlineStr">
        <is>
          <t>609800</t>
        </is>
      </c>
      <c r="C1661" s="227" t="inlineStr">
        <is>
          <t>R.R.R.obtenus non affectés</t>
        </is>
      </c>
      <c r="F1661" s="227" t="inlineStr">
        <is>
          <t>VICTOIRE</t>
        </is>
      </c>
    </row>
    <row r="1662">
      <c r="A1662" s="227">
        <f>TL[[#This Row],[Société]]&amp;" - "&amp;TL[[#This Row],[Compte]]</f>
        <v/>
      </c>
      <c r="B1662" s="233" t="inlineStr">
        <is>
          <t>611000</t>
        </is>
      </c>
      <c r="C1662" s="227" t="inlineStr">
        <is>
          <t>Sous-traitance générale</t>
        </is>
      </c>
      <c r="D1662" s="233" t="inlineStr">
        <is>
          <t>16</t>
        </is>
      </c>
      <c r="E1662" s="233" t="inlineStr">
        <is>
          <t>19</t>
        </is>
      </c>
      <c r="F1662" s="227" t="inlineStr">
        <is>
          <t>VICTOIRE</t>
        </is>
      </c>
    </row>
    <row r="1663">
      <c r="A1663" s="227">
        <f>TL[[#This Row],[Société]]&amp;" - "&amp;TL[[#This Row],[Compte]]</f>
        <v/>
      </c>
      <c r="B1663" s="233" t="inlineStr">
        <is>
          <t>611001</t>
        </is>
      </c>
      <c r="C1663" s="227" t="inlineStr">
        <is>
          <t>RAMASSAGE ESPECES</t>
        </is>
      </c>
      <c r="D1663" s="233" t="inlineStr">
        <is>
          <t>16</t>
        </is>
      </c>
      <c r="E1663" s="233" t="inlineStr">
        <is>
          <t>19</t>
        </is>
      </c>
      <c r="F1663" s="227" t="inlineStr">
        <is>
          <t>VICTOIRE</t>
        </is>
      </c>
    </row>
    <row r="1664">
      <c r="A1664" s="227">
        <f>TL[[#This Row],[Société]]&amp;" - "&amp;TL[[#This Row],[Compte]]</f>
        <v/>
      </c>
      <c r="B1664" s="233" t="inlineStr">
        <is>
          <t>611002</t>
        </is>
      </c>
      <c r="C1664" s="227" t="inlineStr">
        <is>
          <t>NETTOYAGE</t>
        </is>
      </c>
      <c r="D1664" s="233" t="inlineStr">
        <is>
          <t>16</t>
        </is>
      </c>
      <c r="E1664" s="233" t="inlineStr">
        <is>
          <t>15</t>
        </is>
      </c>
      <c r="F1664" s="227" t="inlineStr">
        <is>
          <t>VICTOIRE</t>
        </is>
      </c>
    </row>
    <row r="1665">
      <c r="A1665" s="227">
        <f>TL[[#This Row],[Société]]&amp;" - "&amp;TL[[#This Row],[Compte]]</f>
        <v/>
      </c>
      <c r="B1665" s="233" t="inlineStr">
        <is>
          <t>611003</t>
        </is>
      </c>
      <c r="C1665" s="227" t="inlineStr">
        <is>
          <t>SERVICE NETTOYAGE JEUX</t>
        </is>
      </c>
      <c r="D1665" s="233" t="inlineStr">
        <is>
          <t>16</t>
        </is>
      </c>
      <c r="E1665" s="233" t="inlineStr">
        <is>
          <t>19</t>
        </is>
      </c>
      <c r="F1665" s="227" t="inlineStr">
        <is>
          <t>VICTOIRE</t>
        </is>
      </c>
    </row>
    <row r="1666">
      <c r="A1666" s="227">
        <f>TL[[#This Row],[Société]]&amp;" - "&amp;TL[[#This Row],[Compte]]</f>
        <v/>
      </c>
      <c r="B1666" s="233" t="inlineStr">
        <is>
          <t>611004</t>
        </is>
      </c>
      <c r="C1666" s="227" t="inlineStr">
        <is>
          <t>ANALYSE ALIMENTAIRE BACTERIO</t>
        </is>
      </c>
      <c r="D1666" s="233" t="inlineStr">
        <is>
          <t>16</t>
        </is>
      </c>
      <c r="E1666" s="233" t="inlineStr">
        <is>
          <t>19</t>
        </is>
      </c>
      <c r="F1666" s="227" t="inlineStr">
        <is>
          <t>VICTOIRE</t>
        </is>
      </c>
    </row>
    <row r="1667">
      <c r="A1667" s="227">
        <f>TL[[#This Row],[Société]]&amp;" - "&amp;TL[[#This Row],[Compte]]</f>
        <v/>
      </c>
      <c r="B1667" s="233" t="inlineStr">
        <is>
          <t>611005</t>
        </is>
      </c>
      <c r="C1667" s="227" t="inlineStr">
        <is>
          <t>RECUP HUILES USAGE BAC A GRAISSE</t>
        </is>
      </c>
      <c r="D1667" s="233" t="inlineStr">
        <is>
          <t>16</t>
        </is>
      </c>
      <c r="E1667" s="233" t="inlineStr">
        <is>
          <t>19</t>
        </is>
      </c>
      <c r="F1667" s="227" t="inlineStr">
        <is>
          <t>VICTOIRE</t>
        </is>
      </c>
    </row>
    <row r="1668">
      <c r="A1668" s="227">
        <f>TL[[#This Row],[Société]]&amp;" - "&amp;TL[[#This Row],[Compte]]</f>
        <v/>
      </c>
      <c r="B1668" s="233" t="inlineStr">
        <is>
          <t>611006</t>
        </is>
      </c>
      <c r="C1668" s="227" t="inlineStr">
        <is>
          <t>GARDIENNAGE SURVEILLANCE</t>
        </is>
      </c>
      <c r="D1668" s="233" t="inlineStr">
        <is>
          <t>16</t>
        </is>
      </c>
      <c r="E1668" s="233" t="inlineStr">
        <is>
          <t>16</t>
        </is>
      </c>
      <c r="F1668" s="227" t="inlineStr">
        <is>
          <t>VICTOIRE</t>
        </is>
      </c>
    </row>
    <row r="1669">
      <c r="A1669" s="227">
        <f>TL[[#This Row],[Société]]&amp;" - "&amp;TL[[#This Row],[Compte]]</f>
        <v/>
      </c>
      <c r="B1669" s="233" t="inlineStr">
        <is>
          <t>611007</t>
        </is>
      </c>
      <c r="C1669" s="227" t="inlineStr">
        <is>
          <t>RAMASSAGE DECHETS ORDURES BENNES</t>
        </is>
      </c>
      <c r="D1669" s="233" t="inlineStr">
        <is>
          <t>16</t>
        </is>
      </c>
      <c r="E1669" s="233" t="inlineStr">
        <is>
          <t>19</t>
        </is>
      </c>
      <c r="F1669" s="227" t="inlineStr">
        <is>
          <t>VICTOIRE</t>
        </is>
      </c>
    </row>
    <row r="1670">
      <c r="A1670" s="227">
        <f>TL[[#This Row],[Société]]&amp;" - "&amp;TL[[#This Row],[Compte]]</f>
        <v/>
      </c>
      <c r="B1670" s="233" t="inlineStr">
        <is>
          <t>611008</t>
        </is>
      </c>
      <c r="C1670" s="227" t="inlineStr">
        <is>
          <t>REDEVANCES FGS</t>
        </is>
      </c>
      <c r="D1670" s="233" t="inlineStr">
        <is>
          <t>51</t>
        </is>
      </c>
      <c r="E1670" s="233" t="inlineStr">
        <is>
          <t>46</t>
        </is>
      </c>
      <c r="F1670" s="227" t="inlineStr">
        <is>
          <t>VICTOIRE</t>
        </is>
      </c>
    </row>
    <row r="1671">
      <c r="A1671" s="227">
        <f>TL[[#This Row],[Société]]&amp;" - "&amp;TL[[#This Row],[Compte]]</f>
        <v/>
      </c>
      <c r="B1671" s="233" t="inlineStr">
        <is>
          <t>611009</t>
        </is>
      </c>
      <c r="C1671" s="227" t="inlineStr">
        <is>
          <t>MARTIN BROWER</t>
        </is>
      </c>
      <c r="D1671" s="233" t="inlineStr">
        <is>
          <t>16</t>
        </is>
      </c>
      <c r="E1671" s="233" t="inlineStr">
        <is>
          <t>19</t>
        </is>
      </c>
      <c r="F1671" s="227" t="inlineStr">
        <is>
          <t>VICTOIRE</t>
        </is>
      </c>
    </row>
    <row r="1672">
      <c r="A1672" s="227">
        <f>TL[[#This Row],[Société]]&amp;" - "&amp;TL[[#This Row],[Compte]]</f>
        <v/>
      </c>
      <c r="B1672" s="233" t="inlineStr">
        <is>
          <t>611010</t>
        </is>
      </c>
      <c r="C1672" s="227" t="inlineStr">
        <is>
          <t>REDEVANCE MUNGU</t>
        </is>
      </c>
      <c r="D1672" s="233" t="inlineStr">
        <is>
          <t>51</t>
        </is>
      </c>
      <c r="E1672" s="233" t="inlineStr">
        <is>
          <t>46</t>
        </is>
      </c>
      <c r="F1672" s="227" t="inlineStr">
        <is>
          <t>VICTOIRE</t>
        </is>
      </c>
    </row>
    <row r="1673">
      <c r="A1673" s="227">
        <f>TL[[#This Row],[Société]]&amp;" - "&amp;TL[[#This Row],[Compte]]</f>
        <v/>
      </c>
      <c r="B1673" s="233" t="inlineStr">
        <is>
          <t>611011</t>
        </is>
      </c>
      <c r="C1673" s="227" t="inlineStr">
        <is>
          <t>SILLIKER / ERCEM</t>
        </is>
      </c>
      <c r="D1673" s="233" t="inlineStr">
        <is>
          <t>16</t>
        </is>
      </c>
      <c r="E1673" s="233" t="inlineStr">
        <is>
          <t>19</t>
        </is>
      </c>
      <c r="F1673" s="227" t="inlineStr">
        <is>
          <t>VICTOIRE</t>
        </is>
      </c>
    </row>
    <row r="1674">
      <c r="A1674" s="227">
        <f>TL[[#This Row],[Société]]&amp;" - "&amp;TL[[#This Row],[Compte]]</f>
        <v/>
      </c>
      <c r="B1674" s="233" t="inlineStr">
        <is>
          <t>611012</t>
        </is>
      </c>
      <c r="C1674" s="227" t="inlineStr">
        <is>
          <t>Contrat accès logiciels</t>
        </is>
      </c>
      <c r="D1674" s="233" t="inlineStr">
        <is>
          <t>16</t>
        </is>
      </c>
      <c r="E1674" s="233" t="inlineStr">
        <is>
          <t>19</t>
        </is>
      </c>
      <c r="F1674" s="227" t="inlineStr">
        <is>
          <t>VICTOIRE</t>
        </is>
      </c>
    </row>
    <row r="1675">
      <c r="A1675" s="227">
        <f>TL[[#This Row],[Société]]&amp;" - "&amp;TL[[#This Row],[Compte]]</f>
        <v/>
      </c>
      <c r="B1675" s="233" t="inlineStr">
        <is>
          <t>611101</t>
        </is>
      </c>
      <c r="C1675" s="227" t="inlineStr">
        <is>
          <t>JRI</t>
        </is>
      </c>
      <c r="D1675" s="233" t="inlineStr">
        <is>
          <t>16</t>
        </is>
      </c>
      <c r="E1675" s="233" t="inlineStr">
        <is>
          <t>19</t>
        </is>
      </c>
      <c r="F1675" s="227" t="inlineStr">
        <is>
          <t>VICTOIRE</t>
        </is>
      </c>
    </row>
    <row r="1676">
      <c r="A1676" s="227">
        <f>TL[[#This Row],[Société]]&amp;" - "&amp;TL[[#This Row],[Compte]]</f>
        <v/>
      </c>
      <c r="B1676" s="233" t="inlineStr">
        <is>
          <t>611102</t>
        </is>
      </c>
      <c r="C1676" s="227" t="inlineStr">
        <is>
          <t>ENTRETIEN FLEURS - PAYSAGISTE</t>
        </is>
      </c>
      <c r="D1676" s="233" t="inlineStr">
        <is>
          <t>16</t>
        </is>
      </c>
      <c r="E1676" s="233" t="inlineStr">
        <is>
          <t>19</t>
        </is>
      </c>
      <c r="F1676" s="227" t="inlineStr">
        <is>
          <t>VICTOIRE</t>
        </is>
      </c>
    </row>
    <row r="1677">
      <c r="A1677" s="227">
        <f>TL[[#This Row],[Société]]&amp;" - "&amp;TL[[#This Row],[Compte]]</f>
        <v/>
      </c>
      <c r="B1677" s="233" t="inlineStr">
        <is>
          <t>611103</t>
        </is>
      </c>
      <c r="C1677" s="227" t="inlineStr">
        <is>
          <t>NUISIBLE DERATISATION DESINSECTISAT</t>
        </is>
      </c>
      <c r="D1677" s="233" t="inlineStr">
        <is>
          <t>16</t>
        </is>
      </c>
      <c r="E1677" s="233" t="inlineStr">
        <is>
          <t>19</t>
        </is>
      </c>
      <c r="F1677" s="227" t="inlineStr">
        <is>
          <t>VICTOIRE</t>
        </is>
      </c>
    </row>
    <row r="1678">
      <c r="A1678" s="227">
        <f>TL[[#This Row],[Société]]&amp;" - "&amp;TL[[#This Row],[Compte]]</f>
        <v/>
      </c>
      <c r="B1678" s="233" t="inlineStr">
        <is>
          <t>611104</t>
        </is>
      </c>
      <c r="C1678" s="227" t="inlineStr">
        <is>
          <t>SAUVEGARDE DES DONNEES</t>
        </is>
      </c>
      <c r="D1678" s="233" t="inlineStr">
        <is>
          <t>16</t>
        </is>
      </c>
      <c r="E1678" s="233" t="inlineStr">
        <is>
          <t>19</t>
        </is>
      </c>
      <c r="F1678" s="227" t="inlineStr">
        <is>
          <t>VICTOIRE</t>
        </is>
      </c>
    </row>
    <row r="1679">
      <c r="A1679" s="227">
        <f>TL[[#This Row],[Société]]&amp;" - "&amp;TL[[#This Row],[Compte]]</f>
        <v/>
      </c>
      <c r="B1679" s="233" t="inlineStr">
        <is>
          <t>611105</t>
        </is>
      </c>
      <c r="C1679" s="227" t="inlineStr">
        <is>
          <t>INTERWAY  RESEAU G3 - WIFI</t>
        </is>
      </c>
      <c r="D1679" s="233" t="inlineStr">
        <is>
          <t>16</t>
        </is>
      </c>
      <c r="E1679" s="233" t="inlineStr">
        <is>
          <t>19</t>
        </is>
      </c>
      <c r="F1679" s="227" t="inlineStr">
        <is>
          <t>VICTOIRE</t>
        </is>
      </c>
    </row>
    <row r="1680">
      <c r="A1680" s="227">
        <f>TL[[#This Row],[Société]]&amp;" - "&amp;TL[[#This Row],[Compte]]</f>
        <v/>
      </c>
      <c r="B1680" s="233" t="inlineStr">
        <is>
          <t>611107</t>
        </is>
      </c>
      <c r="C1680" s="227" t="inlineStr">
        <is>
          <t>PREVENTION INCENDIE</t>
        </is>
      </c>
      <c r="D1680" s="233" t="inlineStr">
        <is>
          <t>16</t>
        </is>
      </c>
      <c r="E1680" s="233" t="inlineStr">
        <is>
          <t>19</t>
        </is>
      </c>
      <c r="F1680" s="227" t="inlineStr">
        <is>
          <t>VICTOIRE</t>
        </is>
      </c>
    </row>
    <row r="1681">
      <c r="A1681" s="227">
        <f>TL[[#This Row],[Société]]&amp;" - "&amp;TL[[#This Row],[Compte]]</f>
        <v/>
      </c>
      <c r="B1681" s="233" t="inlineStr">
        <is>
          <t>611108</t>
        </is>
      </c>
      <c r="C1681" s="227" t="inlineStr">
        <is>
          <t>WORDLINE PRO FIDELITE</t>
        </is>
      </c>
      <c r="D1681" s="233" t="inlineStr">
        <is>
          <t>16</t>
        </is>
      </c>
      <c r="E1681" s="233" t="inlineStr">
        <is>
          <t>19</t>
        </is>
      </c>
      <c r="F1681" s="227" t="inlineStr">
        <is>
          <t>VICTOIRE</t>
        </is>
      </c>
    </row>
    <row r="1682">
      <c r="A1682" s="227">
        <f>TL[[#This Row],[Société]]&amp;" - "&amp;TL[[#This Row],[Compte]]</f>
        <v/>
      </c>
      <c r="B1682" s="233" t="inlineStr">
        <is>
          <t>611109</t>
        </is>
      </c>
      <c r="C1682" s="227" t="inlineStr">
        <is>
          <t>MOOD MUSIC</t>
        </is>
      </c>
      <c r="D1682" s="233" t="inlineStr">
        <is>
          <t>16</t>
        </is>
      </c>
      <c r="E1682" s="233" t="inlineStr">
        <is>
          <t>19</t>
        </is>
      </c>
      <c r="F1682" s="227" t="inlineStr">
        <is>
          <t>VICTOIRE</t>
        </is>
      </c>
    </row>
    <row r="1683">
      <c r="A1683" s="227">
        <f>TL[[#This Row],[Société]]&amp;" - "&amp;TL[[#This Row],[Compte]]</f>
        <v/>
      </c>
      <c r="B1683" s="233" t="inlineStr">
        <is>
          <t>611110</t>
        </is>
      </c>
      <c r="C1683" s="227" t="inlineStr">
        <is>
          <t>ELIS SANITAIRE SERVICE</t>
        </is>
      </c>
      <c r="D1683" s="233" t="inlineStr">
        <is>
          <t>16</t>
        </is>
      </c>
      <c r="E1683" s="233" t="inlineStr">
        <is>
          <t>19</t>
        </is>
      </c>
      <c r="F1683" s="227" t="inlineStr">
        <is>
          <t>VICTOIRE</t>
        </is>
      </c>
    </row>
    <row r="1684">
      <c r="A1684" s="227">
        <f>TL[[#This Row],[Société]]&amp;" - "&amp;TL[[#This Row],[Compte]]</f>
        <v/>
      </c>
      <c r="B1684" s="233" t="inlineStr">
        <is>
          <t>611940</t>
        </is>
      </c>
      <c r="C1684" s="227" t="inlineStr">
        <is>
          <t>Sous-traitance hors CEE</t>
        </is>
      </c>
      <c r="F1684" s="227" t="inlineStr">
        <is>
          <t>VICTOIRE</t>
        </is>
      </c>
    </row>
    <row r="1685">
      <c r="A1685" s="227">
        <f>TL[[#This Row],[Société]]&amp;" - "&amp;TL[[#This Row],[Compte]]</f>
        <v/>
      </c>
      <c r="B1685" s="233" t="inlineStr">
        <is>
          <t>612200</t>
        </is>
      </c>
      <c r="C1685" s="227" t="inlineStr">
        <is>
          <t>Redevances crédit-bail mobilier</t>
        </is>
      </c>
      <c r="F1685" s="227" t="inlineStr">
        <is>
          <t>VICTOIRE</t>
        </is>
      </c>
    </row>
    <row r="1686">
      <c r="A1686" s="227">
        <f>TL[[#This Row],[Société]]&amp;" - "&amp;TL[[#This Row],[Compte]]</f>
        <v/>
      </c>
      <c r="B1686" s="233" t="inlineStr">
        <is>
          <t>612201</t>
        </is>
      </c>
      <c r="C1686" s="227" t="inlineStr">
        <is>
          <t>CREDIT BAIL</t>
        </is>
      </c>
      <c r="D1686" s="233" t="inlineStr">
        <is>
          <t>36</t>
        </is>
      </c>
      <c r="E1686" s="233" t="inlineStr">
        <is>
          <t>40</t>
        </is>
      </c>
      <c r="F1686" s="227" t="inlineStr">
        <is>
          <t>VICTOIRE</t>
        </is>
      </c>
    </row>
    <row r="1687">
      <c r="A1687" s="227">
        <f>TL[[#This Row],[Société]]&amp;" - "&amp;TL[[#This Row],[Compte]]</f>
        <v/>
      </c>
      <c r="B1687" s="233" t="inlineStr">
        <is>
          <t>612220</t>
        </is>
      </c>
      <c r="C1687" s="227" t="inlineStr">
        <is>
          <t>Redevances crédit-bail mat. transp.</t>
        </is>
      </c>
      <c r="F1687" s="227" t="inlineStr">
        <is>
          <t>VICTOIRE</t>
        </is>
      </c>
    </row>
    <row r="1688">
      <c r="A1688" s="227">
        <f>TL[[#This Row],[Société]]&amp;" - "&amp;TL[[#This Row],[Compte]]</f>
        <v/>
      </c>
      <c r="B1688" s="233" t="inlineStr">
        <is>
          <t>612500</t>
        </is>
      </c>
      <c r="C1688" s="227" t="inlineStr">
        <is>
          <t>Redevances crédit-bail immobilier</t>
        </is>
      </c>
      <c r="F1688" s="227" t="inlineStr">
        <is>
          <t>VICTOIRE</t>
        </is>
      </c>
    </row>
    <row r="1689">
      <c r="A1689" s="227">
        <f>TL[[#This Row],[Société]]&amp;" - "&amp;TL[[#This Row],[Compte]]</f>
        <v/>
      </c>
      <c r="B1689" s="233" t="inlineStr">
        <is>
          <t>613000</t>
        </is>
      </c>
      <c r="C1689" s="227" t="inlineStr">
        <is>
          <t>Locations</t>
        </is>
      </c>
      <c r="D1689" s="242" t="inlineStr">
        <is>
          <t>39</t>
        </is>
      </c>
      <c r="E1689" s="242" t="inlineStr">
        <is>
          <t>40</t>
        </is>
      </c>
      <c r="F1689" s="227" t="inlineStr">
        <is>
          <t>VICTOIRE</t>
        </is>
      </c>
    </row>
    <row r="1690">
      <c r="A1690" s="227">
        <f>TL[[#This Row],[Société]]&amp;" - "&amp;TL[[#This Row],[Compte]]</f>
        <v/>
      </c>
      <c r="B1690" s="233" t="inlineStr">
        <is>
          <t>613200</t>
        </is>
      </c>
      <c r="C1690" s="227" t="inlineStr">
        <is>
          <t>REDEVANCES MCDO</t>
        </is>
      </c>
      <c r="D1690" s="233" t="inlineStr">
        <is>
          <t>30</t>
        </is>
      </c>
      <c r="E1690" s="233" t="inlineStr">
        <is>
          <t>29</t>
        </is>
      </c>
      <c r="F1690" s="227" t="inlineStr">
        <is>
          <t>VICTOIRE</t>
        </is>
      </c>
    </row>
    <row r="1691">
      <c r="A1691" s="227">
        <f>TL[[#This Row],[Société]]&amp;" - "&amp;TL[[#This Row],[Compte]]</f>
        <v/>
      </c>
      <c r="B1691" s="233" t="inlineStr">
        <is>
          <t>613210</t>
        </is>
      </c>
      <c r="C1691" s="227" t="inlineStr">
        <is>
          <t>TAXE FONCIERE MCDO</t>
        </is>
      </c>
      <c r="D1691" s="233" t="inlineStr">
        <is>
          <t>34</t>
        </is>
      </c>
      <c r="E1691" s="233" t="inlineStr">
        <is>
          <t>33</t>
        </is>
      </c>
      <c r="F1691" s="227" t="inlineStr">
        <is>
          <t>VICTOIRE</t>
        </is>
      </c>
    </row>
    <row r="1692">
      <c r="A1692" s="227">
        <f>TL[[#This Row],[Société]]&amp;" - "&amp;TL[[#This Row],[Compte]]</f>
        <v/>
      </c>
      <c r="B1692" s="233" t="inlineStr">
        <is>
          <t>613300</t>
        </is>
      </c>
      <c r="C1692" s="227" t="inlineStr">
        <is>
          <t>Redevances de gérance libre</t>
        </is>
      </c>
      <c r="F1692" s="227" t="inlineStr">
        <is>
          <t>VICTOIRE</t>
        </is>
      </c>
    </row>
    <row r="1693">
      <c r="A1693" s="227">
        <f>TL[[#This Row],[Société]]&amp;" - "&amp;TL[[#This Row],[Compte]]</f>
        <v/>
      </c>
      <c r="B1693" s="233" t="inlineStr">
        <is>
          <t>613500</t>
        </is>
      </c>
      <c r="C1693" s="227" t="inlineStr">
        <is>
          <t>Locations mobilières</t>
        </is>
      </c>
      <c r="F1693" s="227" t="inlineStr">
        <is>
          <t>VICTOIRE</t>
        </is>
      </c>
    </row>
    <row r="1694">
      <c r="A1694" s="227">
        <f>TL[[#This Row],[Société]]&amp;" - "&amp;TL[[#This Row],[Compte]]</f>
        <v/>
      </c>
      <c r="B1694" s="233" t="inlineStr">
        <is>
          <t>613510</t>
        </is>
      </c>
      <c r="C1694" s="227" t="inlineStr">
        <is>
          <t>LOCATION TPE</t>
        </is>
      </c>
      <c r="D1694" s="233" t="inlineStr">
        <is>
          <t>16</t>
        </is>
      </c>
      <c r="E1694" s="233" t="inlineStr">
        <is>
          <t>19</t>
        </is>
      </c>
      <c r="F1694" s="227" t="inlineStr">
        <is>
          <t>VICTOIRE</t>
        </is>
      </c>
    </row>
    <row r="1695">
      <c r="A1695" s="227">
        <f>TL[[#This Row],[Société]]&amp;" - "&amp;TL[[#This Row],[Compte]]</f>
        <v/>
      </c>
      <c r="B1695" s="233" t="inlineStr">
        <is>
          <t>613520</t>
        </is>
      </c>
      <c r="C1695" s="227" t="inlineStr">
        <is>
          <t>Locations de matériel de transport</t>
        </is>
      </c>
      <c r="F1695" s="227" t="inlineStr">
        <is>
          <t>VICTOIRE</t>
        </is>
      </c>
    </row>
    <row r="1696">
      <c r="A1696" s="227">
        <f>TL[[#This Row],[Société]]&amp;" - "&amp;TL[[#This Row],[Compte]]</f>
        <v/>
      </c>
      <c r="B1696" s="233" t="inlineStr">
        <is>
          <t>613530</t>
        </is>
      </c>
      <c r="C1696" s="227" t="inlineStr">
        <is>
          <t>Locations de matériel de bureau</t>
        </is>
      </c>
      <c r="F1696" s="227" t="inlineStr">
        <is>
          <t>VICTOIRE</t>
        </is>
      </c>
    </row>
    <row r="1697">
      <c r="A1697" s="227">
        <f>TL[[#This Row],[Société]]&amp;" - "&amp;TL[[#This Row],[Compte]]</f>
        <v/>
      </c>
      <c r="B1697" s="233" t="inlineStr">
        <is>
          <t>613540</t>
        </is>
      </c>
      <c r="C1697" s="227" t="inlineStr">
        <is>
          <t>Location Défibrillateur</t>
        </is>
      </c>
      <c r="D1697" s="233" t="inlineStr">
        <is>
          <t>16</t>
        </is>
      </c>
      <c r="E1697" s="233" t="inlineStr">
        <is>
          <t>19</t>
        </is>
      </c>
      <c r="F1697" s="227" t="inlineStr">
        <is>
          <t>VICTOIRE</t>
        </is>
      </c>
    </row>
    <row r="1698">
      <c r="A1698" s="227">
        <f>TL[[#This Row],[Société]]&amp;" - "&amp;TL[[#This Row],[Compte]]</f>
        <v/>
      </c>
      <c r="B1698" s="233" t="inlineStr">
        <is>
          <t>613580</t>
        </is>
      </c>
      <c r="C1698" s="227" t="inlineStr">
        <is>
          <t>LOCATION FRIGO</t>
        </is>
      </c>
      <c r="D1698" s="233" t="inlineStr">
        <is>
          <t>16</t>
        </is>
      </c>
      <c r="E1698" s="233" t="inlineStr">
        <is>
          <t>19</t>
        </is>
      </c>
      <c r="F1698" s="227" t="inlineStr">
        <is>
          <t>VICTOIRE</t>
        </is>
      </c>
    </row>
    <row r="1699">
      <c r="A1699" s="227">
        <f>TL[[#This Row],[Société]]&amp;" - "&amp;TL[[#This Row],[Compte]]</f>
        <v/>
      </c>
      <c r="B1699" s="233" t="inlineStr">
        <is>
          <t>614000</t>
        </is>
      </c>
      <c r="C1699" s="227" t="inlineStr">
        <is>
          <t>Charges locatives &amp; copropriété</t>
        </is>
      </c>
      <c r="F1699" s="227" t="inlineStr">
        <is>
          <t>VICTOIRE</t>
        </is>
      </c>
    </row>
    <row r="1700">
      <c r="A1700" s="227">
        <f>TL[[#This Row],[Société]]&amp;" - "&amp;TL[[#This Row],[Compte]]</f>
        <v/>
      </c>
      <c r="B1700" s="233" t="inlineStr">
        <is>
          <t>615000</t>
        </is>
      </c>
      <c r="C1700" s="227" t="inlineStr">
        <is>
          <t>Entretien et réparations</t>
        </is>
      </c>
      <c r="F1700" s="227" t="inlineStr">
        <is>
          <t>VICTOIRE</t>
        </is>
      </c>
    </row>
    <row r="1701">
      <c r="A1701" s="227">
        <f>TL[[#This Row],[Société]]&amp;" - "&amp;TL[[#This Row],[Compte]]</f>
        <v/>
      </c>
      <c r="B1701" s="233" t="inlineStr">
        <is>
          <t>615002</t>
        </is>
      </c>
      <c r="C1701" s="227" t="inlineStr">
        <is>
          <t>ELIWELL</t>
        </is>
      </c>
      <c r="D1701" s="233" t="inlineStr">
        <is>
          <t>19</t>
        </is>
      </c>
      <c r="E1701" s="233" t="inlineStr">
        <is>
          <t>18</t>
        </is>
      </c>
      <c r="F1701" s="227" t="inlineStr">
        <is>
          <t>VICTOIRE</t>
        </is>
      </c>
    </row>
    <row r="1702">
      <c r="A1702" s="227">
        <f>TL[[#This Row],[Société]]&amp;" - "&amp;TL[[#This Row],[Compte]]</f>
        <v/>
      </c>
      <c r="B1702" s="233" t="inlineStr">
        <is>
          <t>615200</t>
        </is>
      </c>
      <c r="C1702" s="227" t="inlineStr">
        <is>
          <t>Entretien immobilier</t>
        </is>
      </c>
      <c r="D1702" s="233" t="inlineStr">
        <is>
          <t>19</t>
        </is>
      </c>
      <c r="E1702" s="233" t="inlineStr">
        <is>
          <t>18</t>
        </is>
      </c>
      <c r="F1702" s="227" t="inlineStr">
        <is>
          <t>VICTOIRE</t>
        </is>
      </c>
    </row>
    <row r="1703">
      <c r="A1703" s="227">
        <f>TL[[#This Row],[Société]]&amp;" - "&amp;TL[[#This Row],[Compte]]</f>
        <v/>
      </c>
      <c r="B1703" s="233" t="inlineStr">
        <is>
          <t>615500</t>
        </is>
      </c>
      <c r="C1703" s="227" t="inlineStr">
        <is>
          <t>ENTRETIEN MAT. TRANSPORT</t>
        </is>
      </c>
      <c r="D1703" s="233" t="inlineStr">
        <is>
          <t>39</t>
        </is>
      </c>
      <c r="E1703" s="233" t="inlineStr">
        <is>
          <t>40</t>
        </is>
      </c>
      <c r="F1703" s="227" t="inlineStr">
        <is>
          <t>VICTOIRE</t>
        </is>
      </c>
    </row>
    <row r="1704">
      <c r="A1704" s="227">
        <f>TL[[#This Row],[Société]]&amp;" - "&amp;TL[[#This Row],[Compte]]</f>
        <v/>
      </c>
      <c r="B1704" s="233" t="inlineStr">
        <is>
          <t>615510</t>
        </is>
      </c>
      <c r="C1704" s="227" t="inlineStr">
        <is>
          <t>ENTRETIEN DIVERS</t>
        </is>
      </c>
      <c r="D1704" s="233" t="inlineStr">
        <is>
          <t>19</t>
        </is>
      </c>
      <c r="E1704" s="233" t="inlineStr">
        <is>
          <t>18</t>
        </is>
      </c>
      <c r="F1704" s="227" t="inlineStr">
        <is>
          <t>VICTOIRE</t>
        </is>
      </c>
    </row>
    <row r="1705">
      <c r="A1705" s="227">
        <f>TL[[#This Row],[Société]]&amp;" - "&amp;TL[[#This Row],[Compte]]</f>
        <v/>
      </c>
      <c r="B1705" s="233" t="inlineStr">
        <is>
          <t>615511</t>
        </is>
      </c>
      <c r="C1705" s="227" t="inlineStr">
        <is>
          <t>ENTRETIEN  PLOMBERIE</t>
        </is>
      </c>
      <c r="D1705" s="233" t="inlineStr">
        <is>
          <t>19</t>
        </is>
      </c>
      <c r="E1705" s="233" t="inlineStr">
        <is>
          <t>18</t>
        </is>
      </c>
      <c r="F1705" s="227" t="inlineStr">
        <is>
          <t>VICTOIRE</t>
        </is>
      </c>
    </row>
    <row r="1706">
      <c r="A1706" s="227">
        <f>TL[[#This Row],[Société]]&amp;" - "&amp;TL[[#This Row],[Compte]]</f>
        <v/>
      </c>
      <c r="B1706" s="233" t="inlineStr">
        <is>
          <t>615512</t>
        </is>
      </c>
      <c r="C1706" s="227" t="inlineStr">
        <is>
          <t>ENTRETIEN CARRELAGE</t>
        </is>
      </c>
      <c r="D1706" s="233" t="inlineStr">
        <is>
          <t>19</t>
        </is>
      </c>
      <c r="E1706" s="233" t="inlineStr">
        <is>
          <t>18</t>
        </is>
      </c>
      <c r="F1706" s="227" t="inlineStr">
        <is>
          <t>VICTOIRE</t>
        </is>
      </c>
    </row>
    <row r="1707">
      <c r="A1707" s="227">
        <f>TL[[#This Row],[Société]]&amp;" - "&amp;TL[[#This Row],[Compte]]</f>
        <v/>
      </c>
      <c r="B1707" s="233" t="inlineStr">
        <is>
          <t>615513</t>
        </is>
      </c>
      <c r="C1707" s="227" t="inlineStr">
        <is>
          <t>ENTRETIEN MOBILIER</t>
        </is>
      </c>
      <c r="D1707" s="233" t="inlineStr">
        <is>
          <t>19</t>
        </is>
      </c>
      <c r="E1707" s="233" t="inlineStr">
        <is>
          <t>18</t>
        </is>
      </c>
      <c r="F1707" s="227" t="inlineStr">
        <is>
          <t>VICTOIRE</t>
        </is>
      </c>
    </row>
    <row r="1708">
      <c r="A1708" s="227">
        <f>TL[[#This Row],[Société]]&amp;" - "&amp;TL[[#This Row],[Compte]]</f>
        <v/>
      </c>
      <c r="B1708" s="233" t="inlineStr">
        <is>
          <t>615514</t>
        </is>
      </c>
      <c r="C1708" s="227" t="inlineStr">
        <is>
          <t>ENTRETIEN PEINTURE</t>
        </is>
      </c>
      <c r="D1708" s="233" t="inlineStr">
        <is>
          <t>19</t>
        </is>
      </c>
      <c r="E1708" s="233" t="inlineStr">
        <is>
          <t>18</t>
        </is>
      </c>
      <c r="F1708" s="227" t="inlineStr">
        <is>
          <t>VICTOIRE</t>
        </is>
      </c>
    </row>
    <row r="1709">
      <c r="A1709" s="227">
        <f>TL[[#This Row],[Société]]&amp;" - "&amp;TL[[#This Row],[Compte]]</f>
        <v/>
      </c>
      <c r="B1709" s="233" t="inlineStr">
        <is>
          <t>615520</t>
        </is>
      </c>
      <c r="C1709" s="227" t="inlineStr">
        <is>
          <t>Entretien du matériel de transport</t>
        </is>
      </c>
      <c r="F1709" s="227" t="inlineStr">
        <is>
          <t>VICTOIRE</t>
        </is>
      </c>
    </row>
    <row r="1710">
      <c r="A1710" s="227">
        <f>TL[[#This Row],[Société]]&amp;" - "&amp;TL[[#This Row],[Compte]]</f>
        <v/>
      </c>
      <c r="B1710" s="233" t="inlineStr">
        <is>
          <t>615530</t>
        </is>
      </c>
      <c r="C1710" s="227" t="inlineStr">
        <is>
          <t>Entretien du matériel de bureau</t>
        </is>
      </c>
      <c r="F1710" s="227" t="inlineStr">
        <is>
          <t>VICTOIRE</t>
        </is>
      </c>
    </row>
    <row r="1711">
      <c r="A1711" s="227">
        <f>TL[[#This Row],[Société]]&amp;" - "&amp;TL[[#This Row],[Compte]]</f>
        <v/>
      </c>
      <c r="B1711" s="233" t="inlineStr">
        <is>
          <t>615600</t>
        </is>
      </c>
      <c r="C1711" s="227" t="inlineStr">
        <is>
          <t>MAINT INFORMATIQUE DES CAISSES</t>
        </is>
      </c>
      <c r="D1711" s="233" t="inlineStr">
        <is>
          <t>19</t>
        </is>
      </c>
      <c r="E1711" s="233" t="inlineStr">
        <is>
          <t>19</t>
        </is>
      </c>
      <c r="F1711" s="227" t="inlineStr">
        <is>
          <t>VICTOIRE</t>
        </is>
      </c>
    </row>
    <row r="1712">
      <c r="A1712" s="227">
        <f>TL[[#This Row],[Société]]&amp;" - "&amp;TL[[#This Row],[Compte]]</f>
        <v/>
      </c>
      <c r="B1712" s="233" t="inlineStr">
        <is>
          <t>615601</t>
        </is>
      </c>
      <c r="C1712" s="227" t="inlineStr">
        <is>
          <t>REPARATION MATERIEL COCA</t>
        </is>
      </c>
      <c r="D1712" s="233" t="inlineStr">
        <is>
          <t>19</t>
        </is>
      </c>
      <c r="E1712" s="233" t="inlineStr">
        <is>
          <t>19</t>
        </is>
      </c>
      <c r="F1712" s="227" t="inlineStr">
        <is>
          <t>VICTOIRE</t>
        </is>
      </c>
    </row>
    <row r="1713">
      <c r="A1713" s="227">
        <f>TL[[#This Row],[Société]]&amp;" - "&amp;TL[[#This Row],[Compte]]</f>
        <v/>
      </c>
      <c r="B1713" s="233" t="inlineStr">
        <is>
          <t>615603</t>
        </is>
      </c>
      <c r="C1713" s="227" t="inlineStr">
        <is>
          <t>MAINT INFORMATIQ MCDO</t>
        </is>
      </c>
      <c r="D1713" s="233" t="inlineStr">
        <is>
          <t>19</t>
        </is>
      </c>
      <c r="E1713" s="233" t="inlineStr">
        <is>
          <t>19</t>
        </is>
      </c>
      <c r="F1713" s="227" t="inlineStr">
        <is>
          <t>VICTOIRE</t>
        </is>
      </c>
    </row>
    <row r="1714">
      <c r="A1714" s="227">
        <f>TL[[#This Row],[Société]]&amp;" - "&amp;TL[[#This Row],[Compte]]</f>
        <v/>
      </c>
      <c r="B1714" s="233" t="inlineStr">
        <is>
          <t>615606</t>
        </is>
      </c>
      <c r="C1714" s="227" t="inlineStr">
        <is>
          <t>MAINT  MAT TELESURVAILLANCE ALARME</t>
        </is>
      </c>
      <c r="D1714" s="233" t="inlineStr">
        <is>
          <t>19</t>
        </is>
      </c>
      <c r="E1714" s="233" t="inlineStr">
        <is>
          <t>16</t>
        </is>
      </c>
      <c r="F1714" s="227" t="inlineStr">
        <is>
          <t>VICTOIRE</t>
        </is>
      </c>
    </row>
    <row r="1715">
      <c r="A1715" s="227">
        <f>TL[[#This Row],[Société]]&amp;" - "&amp;TL[[#This Row],[Compte]]</f>
        <v/>
      </c>
      <c r="B1715" s="233" t="inlineStr">
        <is>
          <t>615608</t>
        </is>
      </c>
      <c r="C1715" s="227" t="inlineStr">
        <is>
          <t>MAINT CONTROLE  MATERIEL SECURITE</t>
        </is>
      </c>
      <c r="D1715" s="233" t="inlineStr">
        <is>
          <t>19</t>
        </is>
      </c>
      <c r="E1715" s="233" t="inlineStr">
        <is>
          <t>16</t>
        </is>
      </c>
      <c r="F1715" s="227" t="inlineStr">
        <is>
          <t>VICTOIRE</t>
        </is>
      </c>
    </row>
    <row r="1716">
      <c r="A1716" s="227">
        <f>TL[[#This Row],[Société]]&amp;" - "&amp;TL[[#This Row],[Compte]]</f>
        <v/>
      </c>
      <c r="B1716" s="233" t="inlineStr">
        <is>
          <t>615609</t>
        </is>
      </c>
      <c r="C1716" s="227" t="inlineStr">
        <is>
          <t>MAINT MACHINE A  CAFE</t>
        </is>
      </c>
      <c r="D1716" s="233" t="inlineStr">
        <is>
          <t>19</t>
        </is>
      </c>
      <c r="E1716" s="233" t="inlineStr">
        <is>
          <t>19</t>
        </is>
      </c>
      <c r="F1716" s="227" t="inlineStr">
        <is>
          <t>VICTOIRE</t>
        </is>
      </c>
    </row>
    <row r="1717">
      <c r="A1717" s="227">
        <f>TL[[#This Row],[Société]]&amp;" - "&amp;TL[[#This Row],[Compte]]</f>
        <v/>
      </c>
      <c r="B1717" s="233" t="inlineStr">
        <is>
          <t>615610</t>
        </is>
      </c>
      <c r="C1717" s="227" t="inlineStr">
        <is>
          <t>MAINT SYSTEME ANSUL</t>
        </is>
      </c>
      <c r="D1717" s="233" t="inlineStr">
        <is>
          <t>19</t>
        </is>
      </c>
      <c r="E1717" s="233" t="inlineStr">
        <is>
          <t>19</t>
        </is>
      </c>
      <c r="F1717" s="227" t="inlineStr">
        <is>
          <t>VICTOIRE</t>
        </is>
      </c>
    </row>
    <row r="1718">
      <c r="A1718" s="227">
        <f>TL[[#This Row],[Société]]&amp;" - "&amp;TL[[#This Row],[Compte]]</f>
        <v/>
      </c>
      <c r="B1718" s="233" t="inlineStr">
        <is>
          <t>615611</t>
        </is>
      </c>
      <c r="C1718" s="227" t="inlineStr">
        <is>
          <t>MAINT NETTOYAGES HOTTE</t>
        </is>
      </c>
      <c r="D1718" s="233" t="inlineStr">
        <is>
          <t>19</t>
        </is>
      </c>
      <c r="E1718" s="233" t="inlineStr">
        <is>
          <t>19</t>
        </is>
      </c>
      <c r="F1718" s="227" t="inlineStr">
        <is>
          <t>VICTOIRE</t>
        </is>
      </c>
    </row>
    <row r="1719">
      <c r="A1719" s="227">
        <f>TL[[#This Row],[Société]]&amp;" - "&amp;TL[[#This Row],[Compte]]</f>
        <v/>
      </c>
      <c r="B1719" s="233" t="inlineStr">
        <is>
          <t>615612</t>
        </is>
      </c>
      <c r="C1719" s="227" t="inlineStr">
        <is>
          <t>ENTRETIEN SPIE</t>
        </is>
      </c>
      <c r="D1719" s="233" t="inlineStr">
        <is>
          <t>19</t>
        </is>
      </c>
      <c r="E1719" s="233" t="inlineStr">
        <is>
          <t>19</t>
        </is>
      </c>
      <c r="F1719" s="227" t="inlineStr">
        <is>
          <t>VICTOIRE</t>
        </is>
      </c>
    </row>
    <row r="1720">
      <c r="A1720" s="227">
        <f>TL[[#This Row],[Société]]&amp;" - "&amp;TL[[#This Row],[Compte]]</f>
        <v/>
      </c>
      <c r="B1720" s="233" t="inlineStr">
        <is>
          <t>615614</t>
        </is>
      </c>
      <c r="C1720" s="227" t="inlineStr">
        <is>
          <t>MAINTENANCE INTERWAY</t>
        </is>
      </c>
      <c r="D1720" s="233" t="inlineStr">
        <is>
          <t>16</t>
        </is>
      </c>
      <c r="E1720" s="233" t="inlineStr">
        <is>
          <t>19</t>
        </is>
      </c>
      <c r="F1720" s="227" t="inlineStr">
        <is>
          <t>VICTOIRE</t>
        </is>
      </c>
    </row>
    <row r="1721">
      <c r="A1721" s="227">
        <f>TL[[#This Row],[Société]]&amp;" - "&amp;TL[[#This Row],[Compte]]</f>
        <v/>
      </c>
      <c r="B1721" s="233" t="inlineStr">
        <is>
          <t>615615</t>
        </is>
      </c>
      <c r="C1721" s="227" t="inlineStr">
        <is>
          <t>CONTRAT CHAMBRES FROIDES</t>
        </is>
      </c>
      <c r="D1721" s="233" t="inlineStr">
        <is>
          <t>19</t>
        </is>
      </c>
      <c r="E1721" s="233" t="inlineStr">
        <is>
          <t>19</t>
        </is>
      </c>
      <c r="F1721" s="227" t="inlineStr">
        <is>
          <t>VICTOIRE</t>
        </is>
      </c>
    </row>
    <row r="1722">
      <c r="A1722" s="227">
        <f>TL[[#This Row],[Société]]&amp;" - "&amp;TL[[#This Row],[Compte]]</f>
        <v/>
      </c>
      <c r="B1722" s="233" t="inlineStr">
        <is>
          <t>615618</t>
        </is>
      </c>
      <c r="C1722" s="227" t="inlineStr">
        <is>
          <t>MAINT ACRELEC</t>
        </is>
      </c>
      <c r="D1722" s="233" t="inlineStr">
        <is>
          <t>19</t>
        </is>
      </c>
      <c r="E1722" s="233" t="inlineStr">
        <is>
          <t>19</t>
        </is>
      </c>
      <c r="F1722" s="227" t="inlineStr">
        <is>
          <t>VICTOIRE</t>
        </is>
      </c>
    </row>
    <row r="1723">
      <c r="A1723" s="227">
        <f>TL[[#This Row],[Société]]&amp;" - "&amp;TL[[#This Row],[Compte]]</f>
        <v/>
      </c>
      <c r="B1723" s="233" t="inlineStr">
        <is>
          <t>615619</t>
        </is>
      </c>
      <c r="C1723" s="227" t="inlineStr">
        <is>
          <t>MAINT CLIMATISATION</t>
        </is>
      </c>
      <c r="D1723" s="233" t="inlineStr">
        <is>
          <t>19</t>
        </is>
      </c>
      <c r="E1723" s="233" t="inlineStr">
        <is>
          <t>19</t>
        </is>
      </c>
      <c r="F1723" s="227" t="inlineStr">
        <is>
          <t>VICTOIRE</t>
        </is>
      </c>
    </row>
    <row r="1724">
      <c r="A1724" s="227">
        <f>TL[[#This Row],[Société]]&amp;" - "&amp;TL[[#This Row],[Compte]]</f>
        <v/>
      </c>
      <c r="B1724" s="233" t="inlineStr">
        <is>
          <t>615620</t>
        </is>
      </c>
      <c r="C1724" s="227" t="inlineStr">
        <is>
          <t>MAINT ELECTRICITE</t>
        </is>
      </c>
      <c r="D1724" s="233" t="inlineStr">
        <is>
          <t>19</t>
        </is>
      </c>
      <c r="E1724" s="233" t="inlineStr">
        <is>
          <t>19</t>
        </is>
      </c>
      <c r="F1724" s="227" t="inlineStr">
        <is>
          <t>VICTOIRE</t>
        </is>
      </c>
    </row>
    <row r="1725">
      <c r="A1725" s="227">
        <f>TL[[#This Row],[Société]]&amp;" - "&amp;TL[[#This Row],[Compte]]</f>
        <v/>
      </c>
      <c r="B1725" s="233" t="inlineStr">
        <is>
          <t>615622</t>
        </is>
      </c>
      <c r="C1725" s="227" t="inlineStr">
        <is>
          <t>CALIBRATION</t>
        </is>
      </c>
      <c r="D1725" s="233" t="inlineStr">
        <is>
          <t>19</t>
        </is>
      </c>
      <c r="E1725" s="233" t="inlineStr">
        <is>
          <t>19</t>
        </is>
      </c>
      <c r="F1725" s="227" t="inlineStr">
        <is>
          <t>VICTOIRE</t>
        </is>
      </c>
    </row>
    <row r="1726">
      <c r="A1726" s="227">
        <f>TL[[#This Row],[Société]]&amp;" - "&amp;TL[[#This Row],[Compte]]</f>
        <v/>
      </c>
      <c r="B1726" s="233" t="inlineStr">
        <is>
          <t>615624</t>
        </is>
      </c>
      <c r="C1726" s="227" t="inlineStr">
        <is>
          <t>REFLEX SERVICES VISITE PERIODIQUE</t>
        </is>
      </c>
      <c r="D1726" s="233" t="inlineStr">
        <is>
          <t>19</t>
        </is>
      </c>
      <c r="E1726" s="233" t="inlineStr">
        <is>
          <t>19</t>
        </is>
      </c>
      <c r="F1726" s="227" t="inlineStr">
        <is>
          <t>VICTOIRE</t>
        </is>
      </c>
    </row>
    <row r="1727">
      <c r="A1727" s="227">
        <f>TL[[#This Row],[Société]]&amp;" - "&amp;TL[[#This Row],[Compte]]</f>
        <v/>
      </c>
      <c r="B1727" s="233" t="inlineStr">
        <is>
          <t>615651</t>
        </is>
      </c>
      <c r="C1727" s="227" t="inlineStr">
        <is>
          <t>Abonnement recrue</t>
        </is>
      </c>
      <c r="D1727" s="233" t="inlineStr">
        <is>
          <t>16</t>
        </is>
      </c>
      <c r="E1727" s="233" t="inlineStr">
        <is>
          <t>19</t>
        </is>
      </c>
      <c r="F1727" s="227" t="inlineStr">
        <is>
          <t>VICTOIRE</t>
        </is>
      </c>
    </row>
    <row r="1728">
      <c r="A1728" s="227">
        <f>TL[[#This Row],[Société]]&amp;" - "&amp;TL[[#This Row],[Compte]]</f>
        <v/>
      </c>
      <c r="B1728" s="233" t="inlineStr">
        <is>
          <t>615662</t>
        </is>
      </c>
      <c r="C1728" s="227" t="inlineStr">
        <is>
          <t>APPLICAT. SUIVI PERFORMANCE</t>
        </is>
      </c>
      <c r="D1728" s="233" t="inlineStr">
        <is>
          <t>16</t>
        </is>
      </c>
      <c r="E1728" s="233" t="inlineStr">
        <is>
          <t>19</t>
        </is>
      </c>
      <c r="F1728" s="227" t="inlineStr">
        <is>
          <t>VICTOIRE</t>
        </is>
      </c>
    </row>
    <row r="1729">
      <c r="A1729" s="227">
        <f>TL[[#This Row],[Société]]&amp;" - "&amp;TL[[#This Row],[Compte]]</f>
        <v/>
      </c>
      <c r="B1729" s="233" t="inlineStr">
        <is>
          <t>616000</t>
        </is>
      </c>
      <c r="C1729" s="227" t="inlineStr">
        <is>
          <t>Primes d'assurance</t>
        </is>
      </c>
      <c r="F1729" s="227" t="inlineStr">
        <is>
          <t>VICTOIRE</t>
        </is>
      </c>
    </row>
    <row r="1730">
      <c r="A1730" s="227">
        <f>TL[[#This Row],[Société]]&amp;" - "&amp;TL[[#This Row],[Compte]]</f>
        <v/>
      </c>
      <c r="B1730" s="233" t="inlineStr">
        <is>
          <t>616010</t>
        </is>
      </c>
      <c r="C1730" s="227" t="inlineStr">
        <is>
          <t>ASSCE AXA / refact FGS  EXT CCA</t>
        </is>
      </c>
      <c r="D1730" s="233" t="inlineStr">
        <is>
          <t>33</t>
        </is>
      </c>
      <c r="E1730" s="233" t="inlineStr">
        <is>
          <t>36</t>
        </is>
      </c>
      <c r="F1730" s="227" t="inlineStr">
        <is>
          <t>VICTOIRE</t>
        </is>
      </c>
    </row>
    <row r="1731">
      <c r="A1731" s="227">
        <f>TL[[#This Row],[Société]]&amp;" - "&amp;TL[[#This Row],[Compte]]</f>
        <v/>
      </c>
      <c r="B1731" s="233" t="inlineStr">
        <is>
          <t>616100</t>
        </is>
      </c>
      <c r="C1731" s="227" t="inlineStr">
        <is>
          <t>ASSURANCE MULTIRIQUE</t>
        </is>
      </c>
      <c r="D1731" s="233" t="inlineStr">
        <is>
          <t>33</t>
        </is>
      </c>
      <c r="E1731" s="233" t="inlineStr">
        <is>
          <t>36</t>
        </is>
      </c>
      <c r="F1731" s="227" t="inlineStr">
        <is>
          <t>VICTOIRE</t>
        </is>
      </c>
    </row>
    <row r="1732">
      <c r="A1732" s="227">
        <f>TL[[#This Row],[Société]]&amp;" - "&amp;TL[[#This Row],[Compte]]</f>
        <v/>
      </c>
      <c r="B1732" s="233" t="inlineStr">
        <is>
          <t>616120</t>
        </is>
      </c>
      <c r="C1732" s="227" t="inlineStr">
        <is>
          <t>ASSURANCE VEHICULE</t>
        </is>
      </c>
      <c r="D1732" s="233" t="inlineStr">
        <is>
          <t>39</t>
        </is>
      </c>
      <c r="E1732" s="233" t="inlineStr">
        <is>
          <t>40</t>
        </is>
      </c>
      <c r="F1732" s="227" t="inlineStr">
        <is>
          <t>VICTOIRE</t>
        </is>
      </c>
    </row>
    <row r="1733">
      <c r="A1733" s="227">
        <f>TL[[#This Row],[Société]]&amp;" - "&amp;TL[[#This Row],[Compte]]</f>
        <v/>
      </c>
      <c r="B1733" s="233" t="inlineStr">
        <is>
          <t>616130</t>
        </is>
      </c>
      <c r="C1733" s="227" t="inlineStr">
        <is>
          <t>ASSURANCE AUTO MISSION</t>
        </is>
      </c>
      <c r="D1733" s="233" t="inlineStr">
        <is>
          <t>33</t>
        </is>
      </c>
      <c r="E1733" s="233" t="inlineStr">
        <is>
          <t>36</t>
        </is>
      </c>
      <c r="F1733" s="227" t="inlineStr">
        <is>
          <t>VICTOIRE</t>
        </is>
      </c>
    </row>
    <row r="1734">
      <c r="A1734" s="227">
        <f>TL[[#This Row],[Société]]&amp;" - "&amp;TL[[#This Row],[Compte]]</f>
        <v/>
      </c>
      <c r="B1734" s="233" t="inlineStr">
        <is>
          <t>616140</t>
        </is>
      </c>
      <c r="C1734" s="227" t="inlineStr">
        <is>
          <t>ASS MANDATAIRES SOCIAUX</t>
        </is>
      </c>
      <c r="D1734" s="233" t="inlineStr">
        <is>
          <t>33</t>
        </is>
      </c>
      <c r="E1734" s="233" t="inlineStr">
        <is>
          <t>36</t>
        </is>
      </c>
      <c r="F1734" s="227" t="inlineStr">
        <is>
          <t>VICTOIRE</t>
        </is>
      </c>
    </row>
    <row r="1735">
      <c r="A1735" s="227">
        <f>TL[[#This Row],[Société]]&amp;" - "&amp;TL[[#This Row],[Compte]]</f>
        <v/>
      </c>
      <c r="B1735" s="233" t="inlineStr">
        <is>
          <t>616150</t>
        </is>
      </c>
      <c r="C1735" s="227" t="inlineStr">
        <is>
          <t>ASSCE FINAXY MANDATAIRES SOCIAUX 01</t>
        </is>
      </c>
      <c r="D1735" s="233" t="inlineStr">
        <is>
          <t>33</t>
        </is>
      </c>
      <c r="E1735" s="233" t="inlineStr">
        <is>
          <t>36</t>
        </is>
      </c>
      <c r="F1735" s="227" t="inlineStr">
        <is>
          <t>VICTOIRE</t>
        </is>
      </c>
    </row>
    <row r="1736">
      <c r="A1736" s="227">
        <f>TL[[#This Row],[Société]]&amp;" - "&amp;TL[[#This Row],[Compte]]</f>
        <v/>
      </c>
      <c r="B1736" s="233" t="inlineStr">
        <is>
          <t>616170</t>
        </is>
      </c>
      <c r="C1736" s="227" t="inlineStr">
        <is>
          <t>ASSURANCE CYBER RISQUES</t>
        </is>
      </c>
      <c r="D1736" s="233" t="inlineStr">
        <is>
          <t>33</t>
        </is>
      </c>
      <c r="E1736" s="233" t="inlineStr">
        <is>
          <t>36</t>
        </is>
      </c>
      <c r="F1736" s="227" t="inlineStr">
        <is>
          <t>VICTOIRE</t>
        </is>
      </c>
    </row>
    <row r="1737">
      <c r="A1737" s="227">
        <f>TL[[#This Row],[Société]]&amp;" - "&amp;TL[[#This Row],[Compte]]</f>
        <v/>
      </c>
      <c r="B1737" s="233" t="inlineStr">
        <is>
          <t>616200</t>
        </is>
      </c>
      <c r="C1737" s="227" t="inlineStr">
        <is>
          <t>Assurances dommage-construction</t>
        </is>
      </c>
      <c r="F1737" s="227" t="inlineStr">
        <is>
          <t>VICTOIRE</t>
        </is>
      </c>
    </row>
    <row r="1738">
      <c r="A1738" s="227">
        <f>TL[[#This Row],[Société]]&amp;" - "&amp;TL[[#This Row],[Compte]]</f>
        <v/>
      </c>
      <c r="B1738" s="233" t="inlineStr">
        <is>
          <t>616300</t>
        </is>
      </c>
      <c r="C1738" s="227" t="inlineStr">
        <is>
          <t>Assurance matériel de transport</t>
        </is>
      </c>
      <c r="F1738" s="227" t="inlineStr">
        <is>
          <t>VICTOIRE</t>
        </is>
      </c>
    </row>
    <row r="1739">
      <c r="A1739" s="227">
        <f>TL[[#This Row],[Société]]&amp;" - "&amp;TL[[#This Row],[Compte]]</f>
        <v/>
      </c>
      <c r="B1739" s="233" t="inlineStr">
        <is>
          <t>616400</t>
        </is>
      </c>
      <c r="C1739" s="227" t="inlineStr">
        <is>
          <t>Risques d'exploitation</t>
        </is>
      </c>
      <c r="F1739" s="227" t="inlineStr">
        <is>
          <t>VICTOIRE</t>
        </is>
      </c>
    </row>
    <row r="1740">
      <c r="A1740" s="227">
        <f>TL[[#This Row],[Société]]&amp;" - "&amp;TL[[#This Row],[Compte]]</f>
        <v/>
      </c>
      <c r="B1740" s="233" t="inlineStr">
        <is>
          <t>616500</t>
        </is>
      </c>
      <c r="C1740" s="227" t="inlineStr">
        <is>
          <t>Insolvabilité clients</t>
        </is>
      </c>
      <c r="F1740" s="227" t="inlineStr">
        <is>
          <t>VICTOIRE</t>
        </is>
      </c>
    </row>
    <row r="1741">
      <c r="A1741" s="227">
        <f>TL[[#This Row],[Société]]&amp;" - "&amp;TL[[#This Row],[Compte]]</f>
        <v/>
      </c>
      <c r="B1741" s="233" t="inlineStr">
        <is>
          <t>616600</t>
        </is>
      </c>
      <c r="C1741" s="227" t="inlineStr">
        <is>
          <t>Assurance COFACE</t>
        </is>
      </c>
      <c r="F1741" s="227" t="inlineStr">
        <is>
          <t>VICTOIRE</t>
        </is>
      </c>
    </row>
    <row r="1742">
      <c r="A1742" s="227">
        <f>TL[[#This Row],[Société]]&amp;" - "&amp;TL[[#This Row],[Compte]]</f>
        <v/>
      </c>
      <c r="B1742" s="233" t="inlineStr">
        <is>
          <t>616700</t>
        </is>
      </c>
      <c r="C1742" s="227" t="inlineStr">
        <is>
          <t>Assurance des risques de pollution</t>
        </is>
      </c>
      <c r="F1742" s="227" t="inlineStr">
        <is>
          <t>VICTOIRE</t>
        </is>
      </c>
    </row>
    <row r="1743">
      <c r="A1743" s="227">
        <f>TL[[#This Row],[Société]]&amp;" - "&amp;TL[[#This Row],[Compte]]</f>
        <v/>
      </c>
      <c r="B1743" s="233" t="inlineStr">
        <is>
          <t>616800</t>
        </is>
      </c>
      <c r="C1743" s="227" t="inlineStr">
        <is>
          <t>Primes d'assurance responsab. civil</t>
        </is>
      </c>
      <c r="F1743" s="227" t="inlineStr">
        <is>
          <t>VICTOIRE</t>
        </is>
      </c>
    </row>
    <row r="1744">
      <c r="A1744" s="227">
        <f>TL[[#This Row],[Société]]&amp;" - "&amp;TL[[#This Row],[Compte]]</f>
        <v/>
      </c>
      <c r="B1744" s="233" t="inlineStr">
        <is>
          <t>617000</t>
        </is>
      </c>
      <c r="C1744" s="227" t="inlineStr">
        <is>
          <t>Etudes et recherches</t>
        </is>
      </c>
      <c r="F1744" s="227" t="inlineStr">
        <is>
          <t>VICTOIRE</t>
        </is>
      </c>
    </row>
    <row r="1745">
      <c r="A1745" s="227">
        <f>TL[[#This Row],[Société]]&amp;" - "&amp;TL[[#This Row],[Compte]]</f>
        <v/>
      </c>
      <c r="B1745" s="233" t="inlineStr">
        <is>
          <t>618100</t>
        </is>
      </c>
      <c r="C1745" s="227" t="inlineStr">
        <is>
          <t>DOCUMENTATION GENERALE</t>
        </is>
      </c>
      <c r="D1745" s="233" t="inlineStr">
        <is>
          <t>16</t>
        </is>
      </c>
      <c r="E1745" s="233" t="inlineStr">
        <is>
          <t>27</t>
        </is>
      </c>
      <c r="F1745" s="227" t="inlineStr">
        <is>
          <t>VICTOIRE</t>
        </is>
      </c>
    </row>
    <row r="1746">
      <c r="A1746" s="227">
        <f>TL[[#This Row],[Société]]&amp;" - "&amp;TL[[#This Row],[Compte]]</f>
        <v/>
      </c>
      <c r="B1746" s="233" t="inlineStr">
        <is>
          <t>618300</t>
        </is>
      </c>
      <c r="C1746" s="227" t="inlineStr">
        <is>
          <t>Documentation technique</t>
        </is>
      </c>
      <c r="F1746" s="227" t="inlineStr">
        <is>
          <t>VICTOIRE</t>
        </is>
      </c>
    </row>
    <row r="1747">
      <c r="A1747" s="227">
        <f>TL[[#This Row],[Société]]&amp;" - "&amp;TL[[#This Row],[Compte]]</f>
        <v/>
      </c>
      <c r="B1747" s="233" t="inlineStr">
        <is>
          <t>618500</t>
        </is>
      </c>
      <c r="C1747" s="227" t="inlineStr">
        <is>
          <t>Frais de colloques, de séminaires</t>
        </is>
      </c>
      <c r="F1747" s="227" t="inlineStr">
        <is>
          <t>VICTOIRE</t>
        </is>
      </c>
    </row>
    <row r="1748">
      <c r="A1748" s="227">
        <f>TL[[#This Row],[Société]]&amp;" - "&amp;TL[[#This Row],[Compte]]</f>
        <v/>
      </c>
      <c r="B1748" s="233" t="inlineStr">
        <is>
          <t>619000</t>
        </is>
      </c>
      <c r="C1748" s="227" t="inlineStr">
        <is>
          <t>R.R.R. obtenus sur services extér.</t>
        </is>
      </c>
      <c r="F1748" s="227" t="inlineStr">
        <is>
          <t>VICTOIRE</t>
        </is>
      </c>
    </row>
    <row r="1749">
      <c r="A1749" s="227">
        <f>TL[[#This Row],[Société]]&amp;" - "&amp;TL[[#This Row],[Compte]]</f>
        <v/>
      </c>
      <c r="B1749" s="233" t="inlineStr">
        <is>
          <t>621010</t>
        </is>
      </c>
      <c r="C1749" s="227" t="inlineStr">
        <is>
          <t>Personnel technique</t>
        </is>
      </c>
      <c r="D1749" s="233" t="inlineStr">
        <is>
          <t>39</t>
        </is>
      </c>
      <c r="E1749" s="233" t="inlineStr">
        <is>
          <t>13</t>
        </is>
      </c>
      <c r="F1749" s="227" t="inlineStr">
        <is>
          <t>VICTOIRE</t>
        </is>
      </c>
    </row>
    <row r="1750">
      <c r="A1750" s="227">
        <f>TL[[#This Row],[Société]]&amp;" - "&amp;TL[[#This Row],[Compte]]</f>
        <v/>
      </c>
      <c r="B1750" s="233" t="inlineStr">
        <is>
          <t>621100</t>
        </is>
      </c>
      <c r="C1750" s="227" t="inlineStr">
        <is>
          <t>Personnel intérimaire</t>
        </is>
      </c>
      <c r="F1750" s="227" t="inlineStr">
        <is>
          <t>VICTOIRE</t>
        </is>
      </c>
    </row>
    <row r="1751">
      <c r="A1751" s="227">
        <f>TL[[#This Row],[Société]]&amp;" - "&amp;TL[[#This Row],[Compte]]</f>
        <v/>
      </c>
      <c r="B1751" s="233" t="inlineStr">
        <is>
          <t>621400</t>
        </is>
      </c>
      <c r="C1751" s="227" t="inlineStr">
        <is>
          <t>Personnel prêté</t>
        </is>
      </c>
      <c r="D1751" s="236" t="inlineStr">
        <is>
          <t>10</t>
        </is>
      </c>
      <c r="E1751" s="236" t="inlineStr">
        <is>
          <t>13</t>
        </is>
      </c>
      <c r="F1751" s="227" t="inlineStr">
        <is>
          <t>VICTOIRE</t>
        </is>
      </c>
    </row>
    <row r="1752">
      <c r="A1752" s="227">
        <f>TL[[#This Row],[Société]]&amp;" - "&amp;TL[[#This Row],[Compte]]</f>
        <v/>
      </c>
      <c r="B1752" s="233" t="inlineStr">
        <is>
          <t>622100</t>
        </is>
      </c>
      <c r="C1752" s="227" t="inlineStr">
        <is>
          <t>Commissions et courtages sur achats</t>
        </is>
      </c>
      <c r="F1752" s="227" t="inlineStr">
        <is>
          <t>VICTOIRE</t>
        </is>
      </c>
    </row>
    <row r="1753">
      <c r="A1753" s="227">
        <f>TL[[#This Row],[Société]]&amp;" - "&amp;TL[[#This Row],[Compte]]</f>
        <v/>
      </c>
      <c r="B1753" s="233" t="inlineStr">
        <is>
          <t>622200</t>
        </is>
      </c>
      <c r="C1753" s="227" t="inlineStr">
        <is>
          <t>Commissions et courtages sur ventes</t>
        </is>
      </c>
      <c r="F1753" s="227" t="inlineStr">
        <is>
          <t>VICTOIRE</t>
        </is>
      </c>
    </row>
    <row r="1754">
      <c r="A1754" s="227">
        <f>TL[[#This Row],[Société]]&amp;" - "&amp;TL[[#This Row],[Compte]]</f>
        <v/>
      </c>
      <c r="B1754" s="233" t="inlineStr">
        <is>
          <t>622280</t>
        </is>
      </c>
      <c r="C1754" s="227" t="inlineStr">
        <is>
          <t>Com. et courtages s/ventes retroc.</t>
        </is>
      </c>
      <c r="F1754" s="227" t="inlineStr">
        <is>
          <t>VICTOIRE</t>
        </is>
      </c>
    </row>
    <row r="1755">
      <c r="A1755" s="227">
        <f>TL[[#This Row],[Société]]&amp;" - "&amp;TL[[#This Row],[Compte]]</f>
        <v/>
      </c>
      <c r="B1755" s="233" t="inlineStr">
        <is>
          <t>622400</t>
        </is>
      </c>
      <c r="C1755" s="227" t="inlineStr">
        <is>
          <t>Rémunérations des transitaires</t>
        </is>
      </c>
      <c r="F1755" s="227" t="inlineStr">
        <is>
          <t>VICTOIRE</t>
        </is>
      </c>
    </row>
    <row r="1756">
      <c r="A1756" s="227">
        <f>TL[[#This Row],[Société]]&amp;" - "&amp;TL[[#This Row],[Compte]]</f>
        <v/>
      </c>
      <c r="B1756" s="233" t="inlineStr">
        <is>
          <t>622500</t>
        </is>
      </c>
      <c r="C1756" s="227" t="inlineStr">
        <is>
          <t>Rémunérations d'affacturage</t>
        </is>
      </c>
      <c r="F1756" s="227" t="inlineStr">
        <is>
          <t>VICTOIRE</t>
        </is>
      </c>
    </row>
    <row r="1757">
      <c r="A1757" s="227">
        <f>TL[[#This Row],[Société]]&amp;" - "&amp;TL[[#This Row],[Compte]]</f>
        <v/>
      </c>
      <c r="B1757" s="233" t="inlineStr">
        <is>
          <t>622600</t>
        </is>
      </c>
      <c r="C1757" s="227" t="inlineStr">
        <is>
          <t>Honoraires</t>
        </is>
      </c>
      <c r="F1757" s="227" t="inlineStr">
        <is>
          <t>VICTOIRE</t>
        </is>
      </c>
    </row>
    <row r="1758">
      <c r="A1758" s="227">
        <f>TL[[#This Row],[Société]]&amp;" - "&amp;TL[[#This Row],[Compte]]</f>
        <v/>
      </c>
      <c r="B1758" s="233" t="inlineStr">
        <is>
          <t>622601</t>
        </is>
      </c>
      <c r="C1758" s="227" t="inlineStr">
        <is>
          <t>HONORAIRE COMPTABLE</t>
        </is>
      </c>
      <c r="D1758" s="233" t="inlineStr">
        <is>
          <t>32</t>
        </is>
      </c>
      <c r="E1758" s="233" t="inlineStr">
        <is>
          <t>35</t>
        </is>
      </c>
      <c r="F1758" s="227" t="inlineStr">
        <is>
          <t>VICTOIRE</t>
        </is>
      </c>
    </row>
    <row r="1759">
      <c r="A1759" s="227">
        <f>TL[[#This Row],[Société]]&amp;" - "&amp;TL[[#This Row],[Compte]]</f>
        <v/>
      </c>
      <c r="B1759" s="233" t="inlineStr">
        <is>
          <t>622602</t>
        </is>
      </c>
      <c r="C1759" s="227" t="inlineStr">
        <is>
          <t>HONORAIRES JURIDIQUES</t>
        </is>
      </c>
      <c r="D1759" s="233" t="inlineStr">
        <is>
          <t>32</t>
        </is>
      </c>
      <c r="E1759" s="233" t="inlineStr">
        <is>
          <t>35</t>
        </is>
      </c>
      <c r="F1759" s="227" t="inlineStr">
        <is>
          <t>VICTOIRE</t>
        </is>
      </c>
    </row>
    <row r="1760">
      <c r="A1760" s="227">
        <f>TL[[#This Row],[Société]]&amp;" - "&amp;TL[[#This Row],[Compte]]</f>
        <v/>
      </c>
      <c r="B1760" s="233" t="inlineStr">
        <is>
          <t>622604</t>
        </is>
      </c>
      <c r="C1760" s="227" t="inlineStr">
        <is>
          <t>HONORAIRES CAC</t>
        </is>
      </c>
      <c r="D1760" s="233" t="inlineStr">
        <is>
          <t>32</t>
        </is>
      </c>
      <c r="E1760" s="233" t="inlineStr">
        <is>
          <t>35</t>
        </is>
      </c>
      <c r="F1760" s="227" t="inlineStr">
        <is>
          <t>VICTOIRE</t>
        </is>
      </c>
    </row>
    <row r="1761">
      <c r="A1761" s="227">
        <f>TL[[#This Row],[Société]]&amp;" - "&amp;TL[[#This Row],[Compte]]</f>
        <v/>
      </c>
      <c r="B1761" s="233" t="inlineStr">
        <is>
          <t>622680</t>
        </is>
      </c>
      <c r="C1761" s="227" t="inlineStr">
        <is>
          <t>Retrocessions d'honoraires</t>
        </is>
      </c>
      <c r="F1761" s="227" t="inlineStr">
        <is>
          <t>VICTOIRE</t>
        </is>
      </c>
    </row>
    <row r="1762">
      <c r="A1762" s="227">
        <f>TL[[#This Row],[Société]]&amp;" - "&amp;TL[[#This Row],[Compte]]</f>
        <v/>
      </c>
      <c r="B1762" s="233" t="inlineStr">
        <is>
          <t>622700</t>
        </is>
      </c>
      <c r="C1762" s="227" t="inlineStr">
        <is>
          <t>Frais d'actes et contentieux</t>
        </is>
      </c>
      <c r="F1762" s="227" t="inlineStr">
        <is>
          <t>VICTOIRE</t>
        </is>
      </c>
    </row>
    <row r="1763">
      <c r="A1763" s="227">
        <f>TL[[#This Row],[Société]]&amp;" - "&amp;TL[[#This Row],[Compte]]</f>
        <v/>
      </c>
      <c r="B1763" s="233" t="inlineStr">
        <is>
          <t>622800</t>
        </is>
      </c>
      <c r="C1763" s="227" t="inlineStr">
        <is>
          <t>Rémun. &amp; Honoraires divers</t>
        </is>
      </c>
      <c r="F1763" s="227" t="inlineStr">
        <is>
          <t>VICTOIRE</t>
        </is>
      </c>
    </row>
    <row r="1764">
      <c r="A1764" s="227">
        <f>TL[[#This Row],[Société]]&amp;" - "&amp;TL[[#This Row],[Compte]]</f>
        <v/>
      </c>
      <c r="B1764" s="233" t="inlineStr">
        <is>
          <t>622890</t>
        </is>
      </c>
      <c r="C1764" s="227" t="inlineStr">
        <is>
          <t>RECLST FORMATIONS</t>
        </is>
      </c>
      <c r="D1764" s="233" t="inlineStr">
        <is>
          <t>16</t>
        </is>
      </c>
      <c r="E1764" s="233" t="inlineStr">
        <is>
          <t>19</t>
        </is>
      </c>
      <c r="F1764" s="227" t="inlineStr">
        <is>
          <t>VICTOIRE</t>
        </is>
      </c>
    </row>
    <row r="1765">
      <c r="A1765" s="227">
        <f>TL[[#This Row],[Société]]&amp;" - "&amp;TL[[#This Row],[Compte]]</f>
        <v/>
      </c>
      <c r="B1765" s="233" t="inlineStr">
        <is>
          <t>623000</t>
        </is>
      </c>
      <c r="C1765" s="227" t="inlineStr">
        <is>
          <t>PUBLICITE GIE</t>
        </is>
      </c>
      <c r="D1765" s="233" t="inlineStr">
        <is>
          <t>14</t>
        </is>
      </c>
      <c r="E1765" s="233" t="inlineStr">
        <is>
          <t>22</t>
        </is>
      </c>
      <c r="F1765" s="227" t="inlineStr">
        <is>
          <t>VICTOIRE</t>
        </is>
      </c>
    </row>
    <row r="1766">
      <c r="A1766" s="227">
        <f>TL[[#This Row],[Société]]&amp;" - "&amp;TL[[#This Row],[Compte]]</f>
        <v/>
      </c>
      <c r="B1766" s="233" t="inlineStr">
        <is>
          <t>623002</t>
        </is>
      </c>
      <c r="C1766" s="227" t="inlineStr">
        <is>
          <t>EPIC brochure groupes 2019  EXT CCA</t>
        </is>
      </c>
      <c r="F1766" s="227" t="inlineStr">
        <is>
          <t>VICTOIRE</t>
        </is>
      </c>
    </row>
    <row r="1767">
      <c r="A1767" s="227">
        <f>TL[[#This Row],[Société]]&amp;" - "&amp;TL[[#This Row],[Compte]]</f>
        <v/>
      </c>
      <c r="B1767" s="233" t="inlineStr">
        <is>
          <t>623012</t>
        </is>
      </c>
      <c r="C1767" s="227" t="inlineStr">
        <is>
          <t>PROV PUB 0,5%</t>
        </is>
      </c>
      <c r="D1767" s="233" t="inlineStr">
        <is>
          <t>15</t>
        </is>
      </c>
      <c r="E1767" s="233" t="inlineStr">
        <is>
          <t>22</t>
        </is>
      </c>
      <c r="F1767" s="227" t="inlineStr">
        <is>
          <t>VICTOIRE</t>
        </is>
      </c>
    </row>
    <row r="1768">
      <c r="A1768" s="227">
        <f>TL[[#This Row],[Société]]&amp;" - "&amp;TL[[#This Row],[Compte]]</f>
        <v/>
      </c>
      <c r="B1768" s="233" t="inlineStr">
        <is>
          <t>623100</t>
        </is>
      </c>
      <c r="C1768" s="227" t="inlineStr">
        <is>
          <t>Annonces et insertions</t>
        </is>
      </c>
      <c r="D1768" s="233" t="inlineStr">
        <is>
          <t>21</t>
        </is>
      </c>
      <c r="F1768" s="227" t="inlineStr">
        <is>
          <t>VICTOIRE</t>
        </is>
      </c>
    </row>
    <row r="1769">
      <c r="A1769" s="227">
        <f>TL[[#This Row],[Société]]&amp;" - "&amp;TL[[#This Row],[Compte]]</f>
        <v/>
      </c>
      <c r="B1769" s="233" t="inlineStr">
        <is>
          <t>623102</t>
        </is>
      </c>
      <c r="C1769" s="227" t="inlineStr">
        <is>
          <t>PROMOTIONS LOCALES</t>
        </is>
      </c>
      <c r="D1769" s="233" t="inlineStr">
        <is>
          <t>15</t>
        </is>
      </c>
      <c r="E1769" s="233" t="inlineStr">
        <is>
          <t>23</t>
        </is>
      </c>
      <c r="F1769" s="227" t="inlineStr">
        <is>
          <t>VICTOIRE</t>
        </is>
      </c>
    </row>
    <row r="1770">
      <c r="A1770" s="227">
        <f>TL[[#This Row],[Société]]&amp;" - "&amp;TL[[#This Row],[Compte]]</f>
        <v/>
      </c>
      <c r="B1770" s="233" t="inlineStr">
        <is>
          <t>623200</t>
        </is>
      </c>
      <c r="C1770" s="227" t="inlineStr">
        <is>
          <t>Echantillons</t>
        </is>
      </c>
      <c r="F1770" s="227" t="inlineStr">
        <is>
          <t>VICTOIRE</t>
        </is>
      </c>
    </row>
    <row r="1771">
      <c r="A1771" s="227">
        <f>TL[[#This Row],[Société]]&amp;" - "&amp;TL[[#This Row],[Compte]]</f>
        <v/>
      </c>
      <c r="B1771" s="233" t="inlineStr">
        <is>
          <t>623300</t>
        </is>
      </c>
      <c r="C1771" s="227" t="inlineStr">
        <is>
          <t>Foires et expositions</t>
        </is>
      </c>
      <c r="F1771" s="227" t="inlineStr">
        <is>
          <t>VICTOIRE</t>
        </is>
      </c>
    </row>
    <row r="1772">
      <c r="A1772" s="227">
        <f>TL[[#This Row],[Société]]&amp;" - "&amp;TL[[#This Row],[Compte]]</f>
        <v/>
      </c>
      <c r="B1772" s="233" t="inlineStr">
        <is>
          <t>623400</t>
        </is>
      </c>
      <c r="C1772" s="227" t="inlineStr">
        <is>
          <t>CADEAUX A LA CLIENTELE</t>
        </is>
      </c>
      <c r="D1772" s="233" t="inlineStr">
        <is>
          <t>15</t>
        </is>
      </c>
      <c r="E1772" s="233" t="inlineStr">
        <is>
          <t>23</t>
        </is>
      </c>
      <c r="F1772" s="227" t="inlineStr">
        <is>
          <t>VICTOIRE</t>
        </is>
      </c>
    </row>
    <row r="1773">
      <c r="A1773" s="227">
        <f>TL[[#This Row],[Société]]&amp;" - "&amp;TL[[#This Row],[Compte]]</f>
        <v/>
      </c>
      <c r="B1773" s="233" t="inlineStr">
        <is>
          <t>623401</t>
        </is>
      </c>
      <c r="C1773" s="227" t="inlineStr">
        <is>
          <t>PROMOTIONS</t>
        </is>
      </c>
      <c r="D1773" s="233" t="inlineStr">
        <is>
          <t>15</t>
        </is>
      </c>
      <c r="E1773" s="233" t="inlineStr">
        <is>
          <t>23</t>
        </is>
      </c>
      <c r="F1773" s="227" t="inlineStr">
        <is>
          <t>VICTOIRE</t>
        </is>
      </c>
    </row>
    <row r="1774">
      <c r="A1774" s="227">
        <f>TL[[#This Row],[Société]]&amp;" - "&amp;TL[[#This Row],[Compte]]</f>
        <v/>
      </c>
      <c r="B1774" s="233" t="inlineStr">
        <is>
          <t>623500</t>
        </is>
      </c>
      <c r="C1774" s="227" t="inlineStr">
        <is>
          <t>Primes</t>
        </is>
      </c>
      <c r="F1774" s="227" t="inlineStr">
        <is>
          <t>VICTOIRE</t>
        </is>
      </c>
    </row>
    <row r="1775">
      <c r="A1775" s="227">
        <f>TL[[#This Row],[Société]]&amp;" - "&amp;TL[[#This Row],[Compte]]</f>
        <v/>
      </c>
      <c r="B1775" s="233" t="inlineStr">
        <is>
          <t>623600</t>
        </is>
      </c>
      <c r="C1775" s="227" t="inlineStr">
        <is>
          <t>Catalogues et imprimés</t>
        </is>
      </c>
      <c r="D1775" s="233" t="inlineStr">
        <is>
          <t>21</t>
        </is>
      </c>
      <c r="F1775" s="227" t="inlineStr">
        <is>
          <t>VICTOIRE</t>
        </is>
      </c>
    </row>
    <row r="1776">
      <c r="A1776" s="227">
        <f>TL[[#This Row],[Société]]&amp;" - "&amp;TL[[#This Row],[Compte]]</f>
        <v/>
      </c>
      <c r="B1776" s="233" t="inlineStr">
        <is>
          <t>623700</t>
        </is>
      </c>
      <c r="C1776" s="227" t="inlineStr">
        <is>
          <t>Pubications</t>
        </is>
      </c>
      <c r="F1776" s="227" t="inlineStr">
        <is>
          <t>VICTOIRE</t>
        </is>
      </c>
    </row>
    <row r="1777">
      <c r="A1777" s="227">
        <f>TL[[#This Row],[Société]]&amp;" - "&amp;TL[[#This Row],[Compte]]</f>
        <v/>
      </c>
      <c r="B1777" s="233" t="inlineStr">
        <is>
          <t>623800</t>
        </is>
      </c>
      <c r="C1777" s="227" t="inlineStr">
        <is>
          <t>POURBOIRES, DONS</t>
        </is>
      </c>
      <c r="D1777" s="233" t="inlineStr">
        <is>
          <t>15</t>
        </is>
      </c>
      <c r="E1777" s="233" t="inlineStr">
        <is>
          <t>23</t>
        </is>
      </c>
      <c r="F1777" s="227" t="inlineStr">
        <is>
          <t>VICTOIRE</t>
        </is>
      </c>
    </row>
    <row r="1778">
      <c r="A1778" s="227">
        <f>TL[[#This Row],[Société]]&amp;" - "&amp;TL[[#This Row],[Compte]]</f>
        <v/>
      </c>
      <c r="B1778" s="233" t="inlineStr">
        <is>
          <t>623900</t>
        </is>
      </c>
      <c r="C1778" s="227" t="inlineStr">
        <is>
          <t>DECORATION</t>
        </is>
      </c>
      <c r="D1778" s="233" t="inlineStr">
        <is>
          <t>15</t>
        </is>
      </c>
      <c r="E1778" s="233" t="inlineStr">
        <is>
          <t>23</t>
        </is>
      </c>
      <c r="F1778" s="227" t="inlineStr">
        <is>
          <t>VICTOIRE</t>
        </is>
      </c>
    </row>
    <row r="1779">
      <c r="A1779" s="227">
        <f>TL[[#This Row],[Société]]&amp;" - "&amp;TL[[#This Row],[Compte]]</f>
        <v/>
      </c>
      <c r="B1779" s="233" t="inlineStr">
        <is>
          <t>624100</t>
        </is>
      </c>
      <c r="C1779" s="227" t="inlineStr">
        <is>
          <t>Transports sur achats</t>
        </is>
      </c>
      <c r="D1779" s="233" t="inlineStr">
        <is>
          <t>16</t>
        </is>
      </c>
      <c r="E1779" s="233" t="inlineStr">
        <is>
          <t>19</t>
        </is>
      </c>
      <c r="F1779" s="227" t="inlineStr">
        <is>
          <t>VICTOIRE</t>
        </is>
      </c>
    </row>
    <row r="1780">
      <c r="A1780" s="227">
        <f>TL[[#This Row],[Société]]&amp;" - "&amp;TL[[#This Row],[Compte]]</f>
        <v/>
      </c>
      <c r="B1780" s="233" t="inlineStr">
        <is>
          <t>624200</t>
        </is>
      </c>
      <c r="C1780" s="227" t="inlineStr">
        <is>
          <t>Transports sur ventes</t>
        </is>
      </c>
      <c r="F1780" s="227" t="inlineStr">
        <is>
          <t>VICTOIRE</t>
        </is>
      </c>
    </row>
    <row r="1781">
      <c r="A1781" s="227">
        <f>TL[[#This Row],[Société]]&amp;" - "&amp;TL[[#This Row],[Compte]]</f>
        <v/>
      </c>
      <c r="B1781" s="233" t="inlineStr">
        <is>
          <t>624700</t>
        </is>
      </c>
      <c r="C1781" s="227" t="inlineStr">
        <is>
          <t>Transports collectifs du personnel</t>
        </is>
      </c>
      <c r="F1781" s="227" t="inlineStr">
        <is>
          <t>VICTOIRE</t>
        </is>
      </c>
    </row>
    <row r="1782">
      <c r="A1782" s="227">
        <f>TL[[#This Row],[Société]]&amp;" - "&amp;TL[[#This Row],[Compte]]</f>
        <v/>
      </c>
      <c r="B1782" s="233" t="inlineStr">
        <is>
          <t>624800</t>
        </is>
      </c>
      <c r="C1782" s="227" t="inlineStr">
        <is>
          <t>Transports divers</t>
        </is>
      </c>
      <c r="F1782" s="227" t="inlineStr">
        <is>
          <t>VICTOIRE</t>
        </is>
      </c>
    </row>
    <row r="1783">
      <c r="A1783" s="227">
        <f>TL[[#This Row],[Société]]&amp;" - "&amp;TL[[#This Row],[Compte]]</f>
        <v/>
      </c>
      <c r="B1783" s="233" t="inlineStr">
        <is>
          <t>625100</t>
        </is>
      </c>
      <c r="C1783" s="227" t="inlineStr">
        <is>
          <t>Voyages et déplacements</t>
        </is>
      </c>
      <c r="F1783" s="227" t="inlineStr">
        <is>
          <t>VICTOIRE</t>
        </is>
      </c>
    </row>
    <row r="1784">
      <c r="A1784" s="227">
        <f>TL[[#This Row],[Société]]&amp;" - "&amp;TL[[#This Row],[Compte]]</f>
        <v/>
      </c>
      <c r="B1784" s="233" t="inlineStr">
        <is>
          <t>625101</t>
        </is>
      </c>
      <c r="C1784" s="227" t="inlineStr">
        <is>
          <t>SALAIRES EQUIPIERS</t>
        </is>
      </c>
      <c r="D1784" s="233" t="inlineStr">
        <is>
          <t>13</t>
        </is>
      </c>
      <c r="E1784" s="233" t="inlineStr">
        <is>
          <t>26</t>
        </is>
      </c>
      <c r="F1784" s="227" t="inlineStr">
        <is>
          <t>VICTOIRE</t>
        </is>
      </c>
    </row>
    <row r="1785">
      <c r="A1785" s="227">
        <f>TL[[#This Row],[Société]]&amp;" - "&amp;TL[[#This Row],[Compte]]</f>
        <v/>
      </c>
      <c r="B1785" s="233" t="inlineStr">
        <is>
          <t>625102</t>
        </is>
      </c>
      <c r="C1785" s="227" t="inlineStr">
        <is>
          <t>NDF BAG 04/19</t>
        </is>
      </c>
      <c r="D1785" s="233" t="inlineStr">
        <is>
          <t>13</t>
        </is>
      </c>
      <c r="E1785" s="233" t="inlineStr">
        <is>
          <t>26</t>
        </is>
      </c>
      <c r="F1785" s="227" t="inlineStr">
        <is>
          <t>VICTOIRE</t>
        </is>
      </c>
    </row>
    <row r="1786">
      <c r="A1786" s="227">
        <f>TL[[#This Row],[Société]]&amp;" - "&amp;TL[[#This Row],[Compte]]</f>
        <v/>
      </c>
      <c r="B1786" s="233" t="inlineStr">
        <is>
          <t>625103</t>
        </is>
      </c>
      <c r="C1786" s="227" t="inlineStr">
        <is>
          <t>SALAIRES EQUIPIERS</t>
        </is>
      </c>
      <c r="D1786" s="233" t="inlineStr">
        <is>
          <t>13</t>
        </is>
      </c>
      <c r="E1786" s="233" t="inlineStr">
        <is>
          <t>26</t>
        </is>
      </c>
      <c r="F1786" s="227" t="inlineStr">
        <is>
          <t>VICTOIRE</t>
        </is>
      </c>
    </row>
    <row r="1787">
      <c r="A1787" s="227">
        <f>TL[[#This Row],[Société]]&amp;" - "&amp;TL[[#This Row],[Compte]]</f>
        <v/>
      </c>
      <c r="B1787" s="233" t="inlineStr">
        <is>
          <t>625104</t>
        </is>
      </c>
      <c r="C1787" s="227" t="inlineStr">
        <is>
          <t>VOY.DEPL. MGRS</t>
        </is>
      </c>
      <c r="D1787" s="233" t="inlineStr">
        <is>
          <t>13</t>
        </is>
      </c>
      <c r="E1787" s="233" t="inlineStr">
        <is>
          <t>26</t>
        </is>
      </c>
      <c r="F1787" s="227" t="inlineStr">
        <is>
          <t>VICTOIRE</t>
        </is>
      </c>
    </row>
    <row r="1788">
      <c r="A1788" s="227">
        <f>TL[[#This Row],[Société]]&amp;" - "&amp;TL[[#This Row],[Compte]]</f>
        <v/>
      </c>
      <c r="B1788" s="233" t="inlineStr">
        <is>
          <t>625105</t>
        </is>
      </c>
      <c r="C1788" s="227" t="inlineStr">
        <is>
          <t>VOY.DEPL. DIRECTEUR</t>
        </is>
      </c>
      <c r="D1788" s="233" t="inlineStr">
        <is>
          <t>13</t>
        </is>
      </c>
      <c r="E1788" s="233" t="inlineStr">
        <is>
          <t>26</t>
        </is>
      </c>
      <c r="F1788" s="227" t="inlineStr">
        <is>
          <t>VICTOIRE</t>
        </is>
      </c>
    </row>
    <row r="1789">
      <c r="A1789" s="227">
        <f>TL[[#This Row],[Société]]&amp;" - "&amp;TL[[#This Row],[Compte]]</f>
        <v/>
      </c>
      <c r="B1789" s="233" t="inlineStr">
        <is>
          <t>625200</t>
        </is>
      </c>
      <c r="C1789" s="227" t="inlineStr">
        <is>
          <t>Frais accessoires des véhicules</t>
        </is>
      </c>
      <c r="F1789" s="227" t="inlineStr">
        <is>
          <t>VICTOIRE</t>
        </is>
      </c>
    </row>
    <row r="1790">
      <c r="A1790" s="227">
        <f>TL[[#This Row],[Société]]&amp;" - "&amp;TL[[#This Row],[Compte]]</f>
        <v/>
      </c>
      <c r="B1790" s="233" t="inlineStr">
        <is>
          <t>625300</t>
        </is>
      </c>
      <c r="C1790" s="227" t="inlineStr">
        <is>
          <t>Forfait kilométriques</t>
        </is>
      </c>
      <c r="F1790" s="227" t="inlineStr">
        <is>
          <t>VICTOIRE</t>
        </is>
      </c>
    </row>
    <row r="1791">
      <c r="A1791" s="227">
        <f>TL[[#This Row],[Société]]&amp;" - "&amp;TL[[#This Row],[Compte]]</f>
        <v/>
      </c>
      <c r="B1791" s="233" t="inlineStr">
        <is>
          <t>625500</t>
        </is>
      </c>
      <c r="C1791" s="227" t="inlineStr">
        <is>
          <t>Frais et déménagement</t>
        </is>
      </c>
      <c r="F1791" s="227" t="inlineStr">
        <is>
          <t>VICTOIRE</t>
        </is>
      </c>
    </row>
    <row r="1792">
      <c r="A1792" s="227">
        <f>TL[[#This Row],[Société]]&amp;" - "&amp;TL[[#This Row],[Compte]]</f>
        <v/>
      </c>
      <c r="B1792" s="233" t="inlineStr">
        <is>
          <t>625600</t>
        </is>
      </c>
      <c r="C1792" s="227" t="inlineStr">
        <is>
          <t>Missions</t>
        </is>
      </c>
      <c r="F1792" s="227" t="inlineStr">
        <is>
          <t>VICTOIRE</t>
        </is>
      </c>
    </row>
    <row r="1793">
      <c r="A1793" s="227">
        <f>TL[[#This Row],[Société]]&amp;" - "&amp;TL[[#This Row],[Compte]]</f>
        <v/>
      </c>
      <c r="B1793" s="233" t="inlineStr">
        <is>
          <t>625700</t>
        </is>
      </c>
      <c r="C1793" s="227" t="inlineStr">
        <is>
          <t>Réceptions</t>
        </is>
      </c>
      <c r="F1793" s="227" t="inlineStr">
        <is>
          <t>VICTOIRE</t>
        </is>
      </c>
    </row>
    <row r="1794">
      <c r="A1794" s="227">
        <f>TL[[#This Row],[Société]]&amp;" - "&amp;TL[[#This Row],[Compte]]</f>
        <v/>
      </c>
      <c r="B1794" s="233" t="inlineStr">
        <is>
          <t>625701</t>
        </is>
      </c>
      <c r="C1794" s="227" t="inlineStr">
        <is>
          <t>RECEPTIONS DIRECTION</t>
        </is>
      </c>
      <c r="D1794" s="233" t="inlineStr">
        <is>
          <t>39</t>
        </is>
      </c>
      <c r="E1794" s="233" t="inlineStr">
        <is>
          <t>27</t>
        </is>
      </c>
      <c r="F1794" s="227" t="inlineStr">
        <is>
          <t>VICTOIRE</t>
        </is>
      </c>
    </row>
    <row r="1795">
      <c r="A1795" s="227">
        <f>TL[[#This Row],[Société]]&amp;" - "&amp;TL[[#This Row],[Compte]]</f>
        <v/>
      </c>
      <c r="B1795" s="233" t="inlineStr">
        <is>
          <t>626000</t>
        </is>
      </c>
      <c r="C1795" s="227" t="inlineStr">
        <is>
          <t>Frais postaux</t>
        </is>
      </c>
      <c r="F1795" s="227" t="inlineStr">
        <is>
          <t>VICTOIRE</t>
        </is>
      </c>
    </row>
    <row r="1796">
      <c r="A1796" s="227">
        <f>TL[[#This Row],[Société]]&amp;" - "&amp;TL[[#This Row],[Compte]]</f>
        <v/>
      </c>
      <c r="B1796" s="233" t="inlineStr">
        <is>
          <t>626001</t>
        </is>
      </c>
      <c r="C1796" s="227" t="inlineStr">
        <is>
          <t>LA POSTE</t>
        </is>
      </c>
      <c r="D1796" s="233" t="inlineStr">
        <is>
          <t>20</t>
        </is>
      </c>
      <c r="E1796" s="233" t="inlineStr">
        <is>
          <t>24</t>
        </is>
      </c>
      <c r="F1796" s="227" t="inlineStr">
        <is>
          <t>VICTOIRE</t>
        </is>
      </c>
    </row>
    <row r="1797">
      <c r="A1797" s="227">
        <f>TL[[#This Row],[Société]]&amp;" - "&amp;TL[[#This Row],[Compte]]</f>
        <v/>
      </c>
      <c r="B1797" s="233" t="inlineStr">
        <is>
          <t>626002</t>
        </is>
      </c>
      <c r="C1797" s="227" t="inlineStr">
        <is>
          <t>LA POSTE</t>
        </is>
      </c>
      <c r="D1797" s="233" t="inlineStr">
        <is>
          <t>20</t>
        </is>
      </c>
      <c r="E1797" s="233" t="inlineStr">
        <is>
          <t>24</t>
        </is>
      </c>
      <c r="F1797" s="227" t="inlineStr">
        <is>
          <t>VICTOIRE</t>
        </is>
      </c>
    </row>
    <row r="1798">
      <c r="A1798" s="227">
        <f>TL[[#This Row],[Société]]&amp;" - "&amp;TL[[#This Row],[Compte]]</f>
        <v/>
      </c>
      <c r="B1798" s="233" t="inlineStr">
        <is>
          <t>626003</t>
        </is>
      </c>
      <c r="C1798" s="227" t="inlineStr">
        <is>
          <t>TELECOM RESTAURANT</t>
        </is>
      </c>
      <c r="D1798" s="233" t="inlineStr">
        <is>
          <t>20</t>
        </is>
      </c>
      <c r="E1798" s="233" t="inlineStr">
        <is>
          <t>24</t>
        </is>
      </c>
      <c r="F1798" s="227" t="inlineStr">
        <is>
          <t>VICTOIRE</t>
        </is>
      </c>
    </row>
    <row r="1799">
      <c r="A1799" s="227">
        <f>TL[[#This Row],[Société]]&amp;" - "&amp;TL[[#This Row],[Compte]]</f>
        <v/>
      </c>
      <c r="B1799" s="233" t="inlineStr">
        <is>
          <t>626008</t>
        </is>
      </c>
      <c r="C1799" s="227" t="inlineStr">
        <is>
          <t>INTERWAY RESEAU G3</t>
        </is>
      </c>
      <c r="D1799" s="233" t="inlineStr">
        <is>
          <t>20</t>
        </is>
      </c>
      <c r="E1799" s="233" t="inlineStr">
        <is>
          <t>24</t>
        </is>
      </c>
      <c r="F1799" s="227" t="inlineStr">
        <is>
          <t>VICTOIRE</t>
        </is>
      </c>
    </row>
    <row r="1800">
      <c r="A1800" s="227">
        <f>TL[[#This Row],[Société]]&amp;" - "&amp;TL[[#This Row],[Compte]]</f>
        <v/>
      </c>
      <c r="B1800" s="233" t="inlineStr">
        <is>
          <t>626100</t>
        </is>
      </c>
      <c r="C1800" s="227" t="inlineStr">
        <is>
          <t>Frais de télécommunication</t>
        </is>
      </c>
      <c r="F1800" s="227" t="inlineStr">
        <is>
          <t>VICTOIRE</t>
        </is>
      </c>
    </row>
    <row r="1801">
      <c r="A1801" s="227">
        <f>TL[[#This Row],[Société]]&amp;" - "&amp;TL[[#This Row],[Compte]]</f>
        <v/>
      </c>
      <c r="B1801" s="233" t="inlineStr">
        <is>
          <t>627000</t>
        </is>
      </c>
      <c r="C1801" s="227" t="inlineStr">
        <is>
          <t>SERVICES BANCAIRES ET ASSIM.</t>
        </is>
      </c>
      <c r="D1801" s="233" t="inlineStr">
        <is>
          <t>37</t>
        </is>
      </c>
      <c r="E1801" s="233" t="inlineStr">
        <is>
          <t>17</t>
        </is>
      </c>
      <c r="F1801" s="227" t="inlineStr">
        <is>
          <t>VICTOIRE</t>
        </is>
      </c>
    </row>
    <row r="1802">
      <c r="A1802" s="227">
        <f>TL[[#This Row],[Société]]&amp;" - "&amp;TL[[#This Row],[Compte]]</f>
        <v/>
      </c>
      <c r="B1802" s="233" t="inlineStr">
        <is>
          <t>627003</t>
        </is>
      </c>
      <c r="C1802" s="227" t="inlineStr">
        <is>
          <t>WORDLINE CEL</t>
        </is>
      </c>
      <c r="D1802" s="233" t="inlineStr">
        <is>
          <t>37</t>
        </is>
      </c>
      <c r="E1802" s="233" t="inlineStr">
        <is>
          <t>17</t>
        </is>
      </c>
      <c r="F1802" s="227" t="inlineStr">
        <is>
          <t>VICTOIRE</t>
        </is>
      </c>
    </row>
    <row r="1803">
      <c r="A1803" s="227">
        <f>TL[[#This Row],[Société]]&amp;" - "&amp;TL[[#This Row],[Compte]]</f>
        <v/>
      </c>
      <c r="B1803" s="233" t="inlineStr">
        <is>
          <t>627005</t>
        </is>
      </c>
      <c r="C1803" s="227" t="inlineStr">
        <is>
          <t>*CB COM MCDONALDS 310319</t>
        </is>
      </c>
      <c r="D1803" s="233" t="inlineStr">
        <is>
          <t>37</t>
        </is>
      </c>
      <c r="E1803" s="233" t="inlineStr">
        <is>
          <t>17</t>
        </is>
      </c>
      <c r="F1803" s="227" t="inlineStr">
        <is>
          <t>VICTOIRE</t>
        </is>
      </c>
    </row>
    <row r="1804">
      <c r="A1804" s="227">
        <f>TL[[#This Row],[Société]]&amp;" - "&amp;TL[[#This Row],[Compte]]</f>
        <v/>
      </c>
      <c r="B1804" s="233" t="inlineStr">
        <is>
          <t>627006</t>
        </is>
      </c>
      <c r="C1804" s="227" t="inlineStr">
        <is>
          <t>COMMISSIONS &amp; FRAIS BQUE CMU</t>
        </is>
      </c>
      <c r="D1804" s="233" t="inlineStr">
        <is>
          <t>37</t>
        </is>
      </c>
      <c r="E1804" s="233" t="inlineStr">
        <is>
          <t>17</t>
        </is>
      </c>
      <c r="F1804" s="227" t="inlineStr">
        <is>
          <t>VICTOIRE</t>
        </is>
      </c>
    </row>
    <row r="1805">
      <c r="A1805" s="227">
        <f>TL[[#This Row],[Société]]&amp;" - "&amp;TL[[#This Row],[Compte]]</f>
        <v/>
      </c>
      <c r="B1805" s="233" t="inlineStr">
        <is>
          <t>627100</t>
        </is>
      </c>
      <c r="C1805" s="227" t="inlineStr">
        <is>
          <t>Frais sur titres</t>
        </is>
      </c>
      <c r="F1805" s="227" t="inlineStr">
        <is>
          <t>VICTOIRE</t>
        </is>
      </c>
    </row>
    <row r="1806">
      <c r="A1806" s="227">
        <f>TL[[#This Row],[Société]]&amp;" - "&amp;TL[[#This Row],[Compte]]</f>
        <v/>
      </c>
      <c r="B1806" s="233" t="inlineStr">
        <is>
          <t>627200</t>
        </is>
      </c>
      <c r="C1806" s="227" t="inlineStr">
        <is>
          <t>Commissions sur emprunts</t>
        </is>
      </c>
      <c r="F1806" s="227" t="inlineStr">
        <is>
          <t>VICTOIRE</t>
        </is>
      </c>
    </row>
    <row r="1807">
      <c r="A1807" s="227">
        <f>TL[[#This Row],[Société]]&amp;" - "&amp;TL[[#This Row],[Compte]]</f>
        <v/>
      </c>
      <c r="B1807" s="233" t="inlineStr">
        <is>
          <t>627500</t>
        </is>
      </c>
      <c r="C1807" s="227" t="inlineStr">
        <is>
          <t>Frais sur effets</t>
        </is>
      </c>
      <c r="F1807" s="227" t="inlineStr">
        <is>
          <t>VICTOIRE</t>
        </is>
      </c>
    </row>
    <row r="1808">
      <c r="A1808" s="227">
        <f>TL[[#This Row],[Société]]&amp;" - "&amp;TL[[#This Row],[Compte]]</f>
        <v/>
      </c>
      <c r="B1808" s="233" t="inlineStr">
        <is>
          <t>627600</t>
        </is>
      </c>
      <c r="C1808" s="227" t="inlineStr">
        <is>
          <t>Locations de coffres</t>
        </is>
      </c>
      <c r="F1808" s="227" t="inlineStr">
        <is>
          <t>VICTOIRE</t>
        </is>
      </c>
    </row>
    <row r="1809">
      <c r="A1809" s="227">
        <f>TL[[#This Row],[Société]]&amp;" - "&amp;TL[[#This Row],[Compte]]</f>
        <v/>
      </c>
      <c r="B1809" s="233" t="inlineStr">
        <is>
          <t>627700</t>
        </is>
      </c>
      <c r="C1809" s="227" t="inlineStr">
        <is>
          <t>Commissions sur lettres de crédit</t>
        </is>
      </c>
      <c r="F1809" s="227" t="inlineStr">
        <is>
          <t>VICTOIRE</t>
        </is>
      </c>
    </row>
    <row r="1810">
      <c r="A1810" s="227">
        <f>TL[[#This Row],[Société]]&amp;" - "&amp;TL[[#This Row],[Compte]]</f>
        <v/>
      </c>
      <c r="B1810" s="233" t="inlineStr">
        <is>
          <t>627800</t>
        </is>
      </c>
      <c r="C1810" s="227" t="inlineStr">
        <is>
          <t>COMMISSIONS TICKETS RESTAURANT</t>
        </is>
      </c>
      <c r="D1810" s="233" t="inlineStr">
        <is>
          <t>37</t>
        </is>
      </c>
      <c r="E1810" s="233" t="inlineStr">
        <is>
          <t>17</t>
        </is>
      </c>
      <c r="F1810" s="227" t="inlineStr">
        <is>
          <t>VICTOIRE</t>
        </is>
      </c>
    </row>
    <row r="1811">
      <c r="A1811" s="227">
        <f>TL[[#This Row],[Société]]&amp;" - "&amp;TL[[#This Row],[Compte]]</f>
        <v/>
      </c>
      <c r="B1811" s="233" t="inlineStr">
        <is>
          <t>627801</t>
        </is>
      </c>
      <c r="C1811" s="227" t="inlineStr">
        <is>
          <t>COMMISSIONS TR DEMATERIALISES</t>
        </is>
      </c>
      <c r="D1811" s="233" t="inlineStr">
        <is>
          <t>37</t>
        </is>
      </c>
      <c r="E1811" s="233" t="inlineStr">
        <is>
          <t>17</t>
        </is>
      </c>
      <c r="F1811" s="227" t="inlineStr">
        <is>
          <t>VICTOIRE</t>
        </is>
      </c>
    </row>
    <row r="1812">
      <c r="A1812" s="227">
        <f>TL[[#This Row],[Société]]&amp;" - "&amp;TL[[#This Row],[Compte]]</f>
        <v/>
      </c>
      <c r="B1812" s="233" t="inlineStr">
        <is>
          <t>627803</t>
        </is>
      </c>
      <c r="C1812" s="227" t="inlineStr">
        <is>
          <t>COMMISSIONS CARTES BLEUES</t>
        </is>
      </c>
      <c r="D1812" s="233" t="inlineStr">
        <is>
          <t>37</t>
        </is>
      </c>
      <c r="E1812" s="233" t="inlineStr">
        <is>
          <t>17</t>
        </is>
      </c>
      <c r="F1812" s="227" t="inlineStr">
        <is>
          <t>VICTOIRE</t>
        </is>
      </c>
    </row>
    <row r="1813">
      <c r="A1813" s="227">
        <f>TL[[#This Row],[Société]]&amp;" - "&amp;TL[[#This Row],[Compte]]</f>
        <v/>
      </c>
      <c r="B1813" s="233" t="inlineStr">
        <is>
          <t>627805</t>
        </is>
      </c>
      <c r="C1813" s="227" t="inlineStr">
        <is>
          <t>COMMISSIONS ANCV</t>
        </is>
      </c>
      <c r="D1813" s="233" t="inlineStr">
        <is>
          <t>37</t>
        </is>
      </c>
      <c r="E1813" s="233" t="inlineStr">
        <is>
          <t>17</t>
        </is>
      </c>
      <c r="F1813" s="227" t="inlineStr">
        <is>
          <t>VICTOIRE</t>
        </is>
      </c>
    </row>
    <row r="1814">
      <c r="A1814" s="227">
        <f>TL[[#This Row],[Société]]&amp;" - "&amp;TL[[#This Row],[Compte]]</f>
        <v/>
      </c>
      <c r="B1814" s="233" t="inlineStr">
        <is>
          <t>628100</t>
        </is>
      </c>
      <c r="C1814" s="227" t="inlineStr">
        <is>
          <t>Cotisation CGA</t>
        </is>
      </c>
      <c r="F1814" s="227" t="inlineStr">
        <is>
          <t>VICTOIRE</t>
        </is>
      </c>
    </row>
    <row r="1815">
      <c r="A1815" s="227">
        <f>TL[[#This Row],[Société]]&amp;" - "&amp;TL[[#This Row],[Compte]]</f>
        <v/>
      </c>
      <c r="B1815" s="233" t="inlineStr">
        <is>
          <t>628101</t>
        </is>
      </c>
      <c r="C1815" s="227" t="inlineStr">
        <is>
          <t>COTISATION SNARR</t>
        </is>
      </c>
      <c r="D1815" s="233" t="inlineStr">
        <is>
          <t>16</t>
        </is>
      </c>
      <c r="E1815" s="233" t="inlineStr">
        <is>
          <t>19</t>
        </is>
      </c>
      <c r="F1815" s="227" t="inlineStr">
        <is>
          <t>VICTOIRE</t>
        </is>
      </c>
    </row>
    <row r="1816">
      <c r="A1816" s="227">
        <f>TL[[#This Row],[Société]]&amp;" - "&amp;TL[[#This Row],[Compte]]</f>
        <v/>
      </c>
      <c r="B1816" s="233" t="inlineStr">
        <is>
          <t>628110</t>
        </is>
      </c>
      <c r="C1816" s="227" t="inlineStr">
        <is>
          <t>Cotisations professionnelles</t>
        </is>
      </c>
      <c r="F1816" s="227" t="inlineStr">
        <is>
          <t>VICTOIRE</t>
        </is>
      </c>
    </row>
    <row r="1817">
      <c r="A1817" s="227">
        <f>TL[[#This Row],[Société]]&amp;" - "&amp;TL[[#This Row],[Compte]]</f>
        <v/>
      </c>
      <c r="B1817" s="233" t="inlineStr">
        <is>
          <t>628200</t>
        </is>
      </c>
      <c r="C1817" s="227" t="inlineStr">
        <is>
          <t>Sous-Traitance comptable</t>
        </is>
      </c>
      <c r="F1817" s="227" t="inlineStr">
        <is>
          <t>VICTOIRE</t>
        </is>
      </c>
    </row>
    <row r="1818">
      <c r="A1818" s="227">
        <f>TL[[#This Row],[Société]]&amp;" - "&amp;TL[[#This Row],[Compte]]</f>
        <v/>
      </c>
      <c r="B1818" s="233" t="inlineStr">
        <is>
          <t>628220</t>
        </is>
      </c>
      <c r="C1818" s="227" t="inlineStr">
        <is>
          <t>REDEVANCE GTH 14</t>
        </is>
      </c>
      <c r="D1818" s="233" t="inlineStr">
        <is>
          <t>51</t>
        </is>
      </c>
      <c r="E1818" s="233" t="inlineStr">
        <is>
          <t>46</t>
        </is>
      </c>
      <c r="F1818" s="227" t="inlineStr">
        <is>
          <t>VICTOIRE</t>
        </is>
      </c>
    </row>
    <row r="1819">
      <c r="A1819" s="227">
        <f>TL[[#This Row],[Société]]&amp;" - "&amp;TL[[#This Row],[Compte]]</f>
        <v/>
      </c>
      <c r="B1819" s="233" t="inlineStr">
        <is>
          <t>628300</t>
        </is>
      </c>
      <c r="C1819" s="227" t="inlineStr">
        <is>
          <t>Travaux de gardiennage</t>
        </is>
      </c>
      <c r="F1819" s="227" t="inlineStr">
        <is>
          <t>VICTOIRE</t>
        </is>
      </c>
    </row>
    <row r="1820">
      <c r="A1820" s="227">
        <f>TL[[#This Row],[Société]]&amp;" - "&amp;TL[[#This Row],[Compte]]</f>
        <v/>
      </c>
      <c r="B1820" s="233" t="inlineStr">
        <is>
          <t>628400</t>
        </is>
      </c>
      <c r="C1820" s="227" t="inlineStr">
        <is>
          <t>FORMATIONS</t>
        </is>
      </c>
      <c r="D1820" s="233" t="inlineStr">
        <is>
          <t>34</t>
        </is>
      </c>
      <c r="E1820" s="233" t="inlineStr">
        <is>
          <t>19</t>
        </is>
      </c>
      <c r="F1820" s="227" t="inlineStr">
        <is>
          <t>VICTOIRE</t>
        </is>
      </c>
    </row>
    <row r="1821">
      <c r="A1821" s="227">
        <f>TL[[#This Row],[Société]]&amp;" - "&amp;TL[[#This Row],[Compte]]</f>
        <v/>
      </c>
      <c r="B1821" s="233" t="inlineStr">
        <is>
          <t>628800</t>
        </is>
      </c>
      <c r="C1821" s="227" t="inlineStr">
        <is>
          <t>EURL  F.G.S.</t>
        </is>
      </c>
      <c r="F1821" s="227" t="inlineStr">
        <is>
          <t>VICTOIRE</t>
        </is>
      </c>
    </row>
    <row r="1822">
      <c r="A1822" s="227">
        <f>TL[[#This Row],[Société]]&amp;" - "&amp;TL[[#This Row],[Compte]]</f>
        <v/>
      </c>
      <c r="B1822" s="233" t="inlineStr">
        <is>
          <t>628820</t>
        </is>
      </c>
      <c r="C1822" s="227" t="inlineStr">
        <is>
          <t>SEPROMA</t>
        </is>
      </c>
      <c r="F1822" s="227" t="inlineStr">
        <is>
          <t>VICTOIRE</t>
        </is>
      </c>
    </row>
    <row r="1823">
      <c r="A1823" s="227">
        <f>TL[[#This Row],[Société]]&amp;" - "&amp;TL[[#This Row],[Compte]]</f>
        <v/>
      </c>
      <c r="B1823" s="233" t="inlineStr">
        <is>
          <t>629000</t>
        </is>
      </c>
      <c r="C1823" s="227" t="inlineStr">
        <is>
          <t>R.R.R. obtenus s/autres sces exter.</t>
        </is>
      </c>
      <c r="F1823" s="227" t="inlineStr">
        <is>
          <t>VICTOIRE</t>
        </is>
      </c>
    </row>
    <row r="1824">
      <c r="A1824" s="227">
        <f>TL[[#This Row],[Société]]&amp;" - "&amp;TL[[#This Row],[Compte]]</f>
        <v/>
      </c>
      <c r="B1824" s="233" t="inlineStr">
        <is>
          <t>631100</t>
        </is>
      </c>
      <c r="C1824" s="227" t="inlineStr">
        <is>
          <t>Taxe sur les salaires</t>
        </is>
      </c>
      <c r="F1824" s="227" t="inlineStr">
        <is>
          <t>VICTOIRE</t>
        </is>
      </c>
    </row>
    <row r="1825">
      <c r="A1825" s="227">
        <f>TL[[#This Row],[Société]]&amp;" - "&amp;TL[[#This Row],[Compte]]</f>
        <v/>
      </c>
      <c r="B1825" s="233" t="inlineStr">
        <is>
          <t>631200</t>
        </is>
      </c>
      <c r="C1825" s="227" t="inlineStr">
        <is>
          <t>TAXE APPRENTISSAGE</t>
        </is>
      </c>
      <c r="D1825" s="233" t="inlineStr">
        <is>
          <t>34</t>
        </is>
      </c>
      <c r="E1825" s="233" t="inlineStr">
        <is>
          <t>37</t>
        </is>
      </c>
      <c r="F1825" s="227" t="inlineStr">
        <is>
          <t>VICTOIRE</t>
        </is>
      </c>
    </row>
    <row r="1826">
      <c r="A1826" s="227">
        <f>TL[[#This Row],[Société]]&amp;" - "&amp;TL[[#This Row],[Compte]]</f>
        <v/>
      </c>
      <c r="B1826" s="233" t="inlineStr">
        <is>
          <t>631300</t>
        </is>
      </c>
      <c r="C1826" s="227" t="inlineStr">
        <is>
          <t>FORMATION PROF CONTINUE</t>
        </is>
      </c>
      <c r="D1826" s="233" t="inlineStr">
        <is>
          <t>20</t>
        </is>
      </c>
      <c r="E1826" s="233" t="inlineStr">
        <is>
          <t>37</t>
        </is>
      </c>
      <c r="F1826" s="227" t="inlineStr">
        <is>
          <t>VICTOIRE</t>
        </is>
      </c>
    </row>
    <row r="1827">
      <c r="A1827" s="227">
        <f>TL[[#This Row],[Société]]&amp;" - "&amp;TL[[#This Row],[Compte]]</f>
        <v/>
      </c>
      <c r="B1827" s="233" t="inlineStr">
        <is>
          <t>631400</t>
        </is>
      </c>
      <c r="C1827" s="227" t="inlineStr">
        <is>
          <t>Défaut d'investissement construct.</t>
        </is>
      </c>
      <c r="F1827" s="227" t="inlineStr">
        <is>
          <t>VICTOIRE</t>
        </is>
      </c>
    </row>
    <row r="1828">
      <c r="A1828" s="227">
        <f>TL[[#This Row],[Société]]&amp;" - "&amp;TL[[#This Row],[Compte]]</f>
        <v/>
      </c>
      <c r="B1828" s="233" t="inlineStr">
        <is>
          <t>631500</t>
        </is>
      </c>
      <c r="C1828" s="227" t="inlineStr">
        <is>
          <t>COTISATION AGEFIPH</t>
        </is>
      </c>
      <c r="D1828" s="233" t="inlineStr">
        <is>
          <t>34</t>
        </is>
      </c>
      <c r="E1828" s="233" t="inlineStr">
        <is>
          <t>37</t>
        </is>
      </c>
      <c r="F1828" s="227" t="inlineStr">
        <is>
          <t>VICTOIRE</t>
        </is>
      </c>
    </row>
    <row r="1829">
      <c r="A1829" s="227">
        <f>TL[[#This Row],[Société]]&amp;" - "&amp;TL[[#This Row],[Compte]]</f>
        <v/>
      </c>
      <c r="B1829" s="233" t="inlineStr">
        <is>
          <t>631800</t>
        </is>
      </c>
      <c r="C1829" s="227" t="inlineStr">
        <is>
          <t>Autres taxes versées aux impôts</t>
        </is>
      </c>
      <c r="F1829" s="227" t="inlineStr">
        <is>
          <t>VICTOIRE</t>
        </is>
      </c>
    </row>
    <row r="1830">
      <c r="A1830" s="227">
        <f>TL[[#This Row],[Société]]&amp;" - "&amp;TL[[#This Row],[Compte]]</f>
        <v/>
      </c>
      <c r="B1830" s="233" t="inlineStr">
        <is>
          <t>633100</t>
        </is>
      </c>
      <c r="C1830" s="227" t="inlineStr">
        <is>
          <t>Versement de transport</t>
        </is>
      </c>
      <c r="F1830" s="227" t="inlineStr">
        <is>
          <t>VICTOIRE</t>
        </is>
      </c>
    </row>
    <row r="1831">
      <c r="A1831" s="227">
        <f>TL[[#This Row],[Société]]&amp;" - "&amp;TL[[#This Row],[Compte]]</f>
        <v/>
      </c>
      <c r="B1831" s="233" t="inlineStr">
        <is>
          <t>633200</t>
        </is>
      </c>
      <c r="C1831" s="227" t="inlineStr">
        <is>
          <t>Allocation logement</t>
        </is>
      </c>
      <c r="F1831" s="227" t="inlineStr">
        <is>
          <t>VICTOIRE</t>
        </is>
      </c>
    </row>
    <row r="1832">
      <c r="A1832" s="227">
        <f>TL[[#This Row],[Société]]&amp;" - "&amp;TL[[#This Row],[Compte]]</f>
        <v/>
      </c>
      <c r="B1832" s="233" t="inlineStr">
        <is>
          <t>633300</t>
        </is>
      </c>
      <c r="C1832" s="227" t="inlineStr">
        <is>
          <t>Formation continue (organisme)</t>
        </is>
      </c>
      <c r="D1832" s="233" t="inlineStr">
        <is>
          <t>34</t>
        </is>
      </c>
      <c r="E1832" s="233" t="inlineStr">
        <is>
          <t>37</t>
        </is>
      </c>
      <c r="F1832" s="227" t="inlineStr">
        <is>
          <t>VICTOIRE</t>
        </is>
      </c>
    </row>
    <row r="1833">
      <c r="A1833" s="227">
        <f>TL[[#This Row],[Société]]&amp;" - "&amp;TL[[#This Row],[Compte]]</f>
        <v/>
      </c>
      <c r="B1833" s="233" t="inlineStr">
        <is>
          <t>633400</t>
        </is>
      </c>
      <c r="C1833" s="227" t="inlineStr">
        <is>
          <t>Effort de construction</t>
        </is>
      </c>
      <c r="F1833" s="227" t="inlineStr">
        <is>
          <t>VICTOIRE</t>
        </is>
      </c>
    </row>
    <row r="1834">
      <c r="A1834" s="227">
        <f>TL[[#This Row],[Société]]&amp;" - "&amp;TL[[#This Row],[Compte]]</f>
        <v/>
      </c>
      <c r="B1834" s="233" t="inlineStr">
        <is>
          <t>633500</t>
        </is>
      </c>
      <c r="C1834" s="227" t="inlineStr">
        <is>
          <t>Taxe d'apprentissage (verst libér.)</t>
        </is>
      </c>
      <c r="F1834" s="227" t="inlineStr">
        <is>
          <t>VICTOIRE</t>
        </is>
      </c>
    </row>
    <row r="1835">
      <c r="A1835" s="227">
        <f>TL[[#This Row],[Société]]&amp;" - "&amp;TL[[#This Row],[Compte]]</f>
        <v/>
      </c>
      <c r="B1835" s="233" t="inlineStr">
        <is>
          <t>633800</t>
        </is>
      </c>
      <c r="C1835" s="227" t="inlineStr">
        <is>
          <t>Autres taxes versées organismes</t>
        </is>
      </c>
      <c r="F1835" s="227" t="inlineStr">
        <is>
          <t>VICTOIRE</t>
        </is>
      </c>
    </row>
    <row r="1836">
      <c r="A1836" s="227">
        <f>TL[[#This Row],[Société]]&amp;" - "&amp;TL[[#This Row],[Compte]]</f>
        <v/>
      </c>
      <c r="B1836" s="233" t="inlineStr">
        <is>
          <t>634600</t>
        </is>
      </c>
      <c r="C1836" s="227" t="inlineStr">
        <is>
          <t>Taxe intérieure s/pdts pétroliers</t>
        </is>
      </c>
      <c r="F1836" s="227" t="inlineStr">
        <is>
          <t>VICTOIRE</t>
        </is>
      </c>
    </row>
    <row r="1837">
      <c r="A1837" s="227">
        <f>TL[[#This Row],[Société]]&amp;" - "&amp;TL[[#This Row],[Compte]]</f>
        <v/>
      </c>
      <c r="B1837" s="233" t="inlineStr">
        <is>
          <t>635110</t>
        </is>
      </c>
      <c r="C1837" s="227" t="inlineStr">
        <is>
          <t>Contribut° économique territoriale</t>
        </is>
      </c>
      <c r="F1837" s="227" t="inlineStr">
        <is>
          <t>VICTOIRE</t>
        </is>
      </c>
    </row>
    <row r="1838">
      <c r="A1838" s="227">
        <f>TL[[#This Row],[Société]]&amp;" - "&amp;TL[[#This Row],[Compte]]</f>
        <v/>
      </c>
      <c r="B1838" s="233" t="inlineStr">
        <is>
          <t>635111</t>
        </is>
      </c>
      <c r="C1838" s="227" t="inlineStr">
        <is>
          <t>CFE</t>
        </is>
      </c>
      <c r="D1838" s="233" t="inlineStr">
        <is>
          <t>34</t>
        </is>
      </c>
      <c r="E1838" s="233" t="inlineStr">
        <is>
          <t>37</t>
        </is>
      </c>
      <c r="F1838" s="227" t="inlineStr">
        <is>
          <t>VICTOIRE</t>
        </is>
      </c>
    </row>
    <row r="1839">
      <c r="A1839" s="227">
        <f>TL[[#This Row],[Société]]&amp;" - "&amp;TL[[#This Row],[Compte]]</f>
        <v/>
      </c>
      <c r="B1839" s="233" t="inlineStr">
        <is>
          <t>635112</t>
        </is>
      </c>
      <c r="C1839" s="227" t="inlineStr">
        <is>
          <t>CVAE</t>
        </is>
      </c>
      <c r="D1839" s="233" t="inlineStr">
        <is>
          <t>34</t>
        </is>
      </c>
      <c r="E1839" s="233" t="inlineStr">
        <is>
          <t>37</t>
        </is>
      </c>
      <c r="F1839" s="227" t="inlineStr">
        <is>
          <t>VICTOIRE</t>
        </is>
      </c>
    </row>
    <row r="1840">
      <c r="A1840" s="227">
        <f>TL[[#This Row],[Société]]&amp;" - "&amp;TL[[#This Row],[Compte]]</f>
        <v/>
      </c>
      <c r="B1840" s="233" t="inlineStr">
        <is>
          <t>635120</t>
        </is>
      </c>
      <c r="C1840" s="227" t="inlineStr">
        <is>
          <t>Taxes foncières</t>
        </is>
      </c>
      <c r="F1840" s="227" t="inlineStr">
        <is>
          <t>VICTOIRE</t>
        </is>
      </c>
    </row>
    <row r="1841">
      <c r="A1841" s="227">
        <f>TL[[#This Row],[Société]]&amp;" - "&amp;TL[[#This Row],[Compte]]</f>
        <v/>
      </c>
      <c r="B1841" s="233" t="inlineStr">
        <is>
          <t>635130</t>
        </is>
      </c>
      <c r="C1841" s="227" t="inlineStr">
        <is>
          <t>Autres impôts locaux</t>
        </is>
      </c>
      <c r="D1841" s="233" t="inlineStr">
        <is>
          <t>34</t>
        </is>
      </c>
      <c r="E1841" s="233" t="inlineStr">
        <is>
          <t>37</t>
        </is>
      </c>
      <c r="F1841" s="227" t="inlineStr">
        <is>
          <t>VICTOIRE</t>
        </is>
      </c>
    </row>
    <row r="1842">
      <c r="A1842" s="227">
        <f>TL[[#This Row],[Société]]&amp;" - "&amp;TL[[#This Row],[Compte]]</f>
        <v/>
      </c>
      <c r="B1842" s="233" t="inlineStr">
        <is>
          <t>635140</t>
        </is>
      </c>
      <c r="C1842" s="227" t="inlineStr">
        <is>
          <t>TVTS</t>
        </is>
      </c>
      <c r="D1842" s="233" t="inlineStr">
        <is>
          <t>34</t>
        </is>
      </c>
      <c r="E1842" s="233" t="inlineStr">
        <is>
          <t>37</t>
        </is>
      </c>
      <c r="F1842" s="227" t="inlineStr">
        <is>
          <t>VICTOIRE</t>
        </is>
      </c>
    </row>
    <row r="1843">
      <c r="A1843" s="227">
        <f>TL[[#This Row],[Société]]&amp;" - "&amp;TL[[#This Row],[Compte]]</f>
        <v/>
      </c>
      <c r="B1843" s="233" t="inlineStr">
        <is>
          <t>635200</t>
        </is>
      </c>
      <c r="C1843" s="227" t="inlineStr">
        <is>
          <t>TVA non récupérables</t>
        </is>
      </c>
      <c r="F1843" s="227" t="inlineStr">
        <is>
          <t>VICTOIRE</t>
        </is>
      </c>
    </row>
    <row r="1844">
      <c r="A1844" s="227">
        <f>TL[[#This Row],[Société]]&amp;" - "&amp;TL[[#This Row],[Compte]]</f>
        <v/>
      </c>
      <c r="B1844" s="233" t="inlineStr">
        <is>
          <t>635300</t>
        </is>
      </c>
      <c r="C1844" s="227" t="inlineStr">
        <is>
          <t>Impôts indirects</t>
        </is>
      </c>
      <c r="F1844" s="227" t="inlineStr">
        <is>
          <t>VICTOIRE</t>
        </is>
      </c>
    </row>
    <row r="1845">
      <c r="A1845" s="227">
        <f>TL[[#This Row],[Société]]&amp;" - "&amp;TL[[#This Row],[Compte]]</f>
        <v/>
      </c>
      <c r="B1845" s="233" t="inlineStr">
        <is>
          <t>635400</t>
        </is>
      </c>
      <c r="C1845" s="227" t="inlineStr">
        <is>
          <t>Vignettes automobiles</t>
        </is>
      </c>
      <c r="F1845" s="227" t="inlineStr">
        <is>
          <t>VICTOIRE</t>
        </is>
      </c>
    </row>
    <row r="1846">
      <c r="A1846" s="227">
        <f>TL[[#This Row],[Société]]&amp;" - "&amp;TL[[#This Row],[Compte]]</f>
        <v/>
      </c>
      <c r="B1846" s="233" t="inlineStr">
        <is>
          <t>635410</t>
        </is>
      </c>
      <c r="C1846" s="227" t="inlineStr">
        <is>
          <t>Droits de mutation</t>
        </is>
      </c>
      <c r="F1846" s="227" t="inlineStr">
        <is>
          <t>VICTOIRE</t>
        </is>
      </c>
    </row>
    <row r="1847">
      <c r="A1847" s="227">
        <f>TL[[#This Row],[Société]]&amp;" - "&amp;TL[[#This Row],[Compte]]</f>
        <v/>
      </c>
      <c r="B1847" s="233" t="inlineStr">
        <is>
          <t>635420</t>
        </is>
      </c>
      <c r="C1847" s="227" t="inlineStr">
        <is>
          <t>Timbres fiscaux</t>
        </is>
      </c>
      <c r="F1847" s="227" t="inlineStr">
        <is>
          <t>VICTOIRE</t>
        </is>
      </c>
    </row>
    <row r="1848">
      <c r="A1848" s="227">
        <f>TL[[#This Row],[Société]]&amp;" - "&amp;TL[[#This Row],[Compte]]</f>
        <v/>
      </c>
      <c r="B1848" s="233" t="inlineStr">
        <is>
          <t>635430</t>
        </is>
      </c>
      <c r="C1848" s="227" t="inlineStr">
        <is>
          <t>Cartes grises</t>
        </is>
      </c>
      <c r="F1848" s="227" t="inlineStr">
        <is>
          <t>VICTOIRE</t>
        </is>
      </c>
    </row>
    <row r="1849">
      <c r="A1849" s="227">
        <f>TL[[#This Row],[Société]]&amp;" - "&amp;TL[[#This Row],[Compte]]</f>
        <v/>
      </c>
      <c r="B1849" s="233" t="inlineStr">
        <is>
          <t>635500</t>
        </is>
      </c>
      <c r="C1849" s="227" t="inlineStr">
        <is>
          <t>TAXE PRODUITS SUCRES</t>
        </is>
      </c>
      <c r="D1849" s="233" t="inlineStr">
        <is>
          <t>09</t>
        </is>
      </c>
      <c r="E1849" s="233" t="inlineStr">
        <is>
          <t>03</t>
        </is>
      </c>
      <c r="F1849" s="227" t="inlineStr">
        <is>
          <t>VICTOIRE</t>
        </is>
      </c>
    </row>
    <row r="1850">
      <c r="A1850" s="227">
        <f>TL[[#This Row],[Société]]&amp;" - "&amp;TL[[#This Row],[Compte]]</f>
        <v/>
      </c>
      <c r="B1850" s="233" t="inlineStr">
        <is>
          <t>635600</t>
        </is>
      </c>
      <c r="C1850" s="227" t="inlineStr">
        <is>
          <t>REDEVANCE TV</t>
        </is>
      </c>
      <c r="D1850" s="233" t="inlineStr">
        <is>
          <t>34</t>
        </is>
      </c>
      <c r="E1850" s="233" t="inlineStr">
        <is>
          <t>37</t>
        </is>
      </c>
      <c r="F1850" s="227" t="inlineStr">
        <is>
          <t>VICTOIRE</t>
        </is>
      </c>
    </row>
    <row r="1851">
      <c r="A1851" s="227">
        <f>TL[[#This Row],[Société]]&amp;" - "&amp;TL[[#This Row],[Compte]]</f>
        <v/>
      </c>
      <c r="B1851" s="233" t="inlineStr">
        <is>
          <t>635800</t>
        </is>
      </c>
      <c r="C1851" s="227" t="inlineStr">
        <is>
          <t>Autres droits</t>
        </is>
      </c>
      <c r="F1851" s="227" t="inlineStr">
        <is>
          <t>VICTOIRE</t>
        </is>
      </c>
    </row>
    <row r="1852">
      <c r="A1852" s="227">
        <f>TL[[#This Row],[Société]]&amp;" - "&amp;TL[[#This Row],[Compte]]</f>
        <v/>
      </c>
      <c r="B1852" s="233" t="inlineStr">
        <is>
          <t>637100</t>
        </is>
      </c>
      <c r="C1852" s="227" t="inlineStr">
        <is>
          <t>Contribution sociale de solidarité</t>
        </is>
      </c>
      <c r="F1852" s="227" t="inlineStr">
        <is>
          <t>VICTOIRE</t>
        </is>
      </c>
    </row>
    <row r="1853">
      <c r="A1853" s="227">
        <f>TL[[#This Row],[Société]]&amp;" - "&amp;TL[[#This Row],[Compte]]</f>
        <v/>
      </c>
      <c r="B1853" s="233" t="inlineStr">
        <is>
          <t>637200</t>
        </is>
      </c>
      <c r="C1853" s="227" t="inlineStr">
        <is>
          <t>Taxes perçues org. publics internat</t>
        </is>
      </c>
      <c r="F1853" s="227" t="inlineStr">
        <is>
          <t>VICTOIRE</t>
        </is>
      </c>
    </row>
    <row r="1854">
      <c r="A1854" s="227">
        <f>TL[[#This Row],[Société]]&amp;" - "&amp;TL[[#This Row],[Compte]]</f>
        <v/>
      </c>
      <c r="B1854" s="233" t="inlineStr">
        <is>
          <t>637300</t>
        </is>
      </c>
      <c r="C1854" s="227" t="inlineStr">
        <is>
          <t>CSG Déductible</t>
        </is>
      </c>
      <c r="F1854" s="227" t="inlineStr">
        <is>
          <t>VICTOIRE</t>
        </is>
      </c>
    </row>
    <row r="1855">
      <c r="A1855" s="227">
        <f>TL[[#This Row],[Société]]&amp;" - "&amp;TL[[#This Row],[Compte]]</f>
        <v/>
      </c>
      <c r="B1855" s="233" t="inlineStr">
        <is>
          <t>637400</t>
        </is>
      </c>
      <c r="C1855" s="227" t="inlineStr">
        <is>
          <t>Impôts taxes exigibles à l'étranger</t>
        </is>
      </c>
      <c r="F1855" s="227" t="inlineStr">
        <is>
          <t>VICTOIRE</t>
        </is>
      </c>
    </row>
    <row r="1856">
      <c r="A1856" s="227">
        <f>TL[[#This Row],[Société]]&amp;" - "&amp;TL[[#This Row],[Compte]]</f>
        <v/>
      </c>
      <c r="B1856" s="233" t="inlineStr">
        <is>
          <t>637800</t>
        </is>
      </c>
      <c r="C1856" s="227" t="inlineStr">
        <is>
          <t>Taxes diverses</t>
        </is>
      </c>
      <c r="F1856" s="227" t="inlineStr">
        <is>
          <t>VICTOIRE</t>
        </is>
      </c>
    </row>
    <row r="1857">
      <c r="A1857" s="227">
        <f>TL[[#This Row],[Société]]&amp;" - "&amp;TL[[#This Row],[Compte]]</f>
        <v/>
      </c>
      <c r="B1857" s="233" t="inlineStr">
        <is>
          <t>641010</t>
        </is>
      </c>
      <c r="C1857" s="227" t="inlineStr">
        <is>
          <t>SALAIRE DIRECTION</t>
        </is>
      </c>
      <c r="D1857" s="233" t="inlineStr">
        <is>
          <t>11</t>
        </is>
      </c>
      <c r="E1857" s="233" t="inlineStr">
        <is>
          <t>10</t>
        </is>
      </c>
      <c r="F1857" s="227" t="inlineStr">
        <is>
          <t>VICTOIRE</t>
        </is>
      </c>
    </row>
    <row r="1858">
      <c r="A1858" s="227">
        <f>TL[[#This Row],[Société]]&amp;" - "&amp;TL[[#This Row],[Compte]]</f>
        <v/>
      </c>
      <c r="B1858" s="233" t="inlineStr">
        <is>
          <t>641020</t>
        </is>
      </c>
      <c r="C1858" s="227" t="inlineStr">
        <is>
          <t>SALAIRES EQUIPIERS</t>
        </is>
      </c>
      <c r="D1858" s="233" t="inlineStr">
        <is>
          <t>10</t>
        </is>
      </c>
      <c r="E1858" s="233" t="inlineStr">
        <is>
          <t>08</t>
        </is>
      </c>
      <c r="F1858" s="227" t="inlineStr">
        <is>
          <t>VICTOIRE</t>
        </is>
      </c>
    </row>
    <row r="1859">
      <c r="A1859" s="227">
        <f>TL[[#This Row],[Société]]&amp;" - "&amp;TL[[#This Row],[Compte]]</f>
        <v/>
      </c>
      <c r="B1859" s="233" t="inlineStr">
        <is>
          <t>641030</t>
        </is>
      </c>
      <c r="C1859" s="227" t="inlineStr">
        <is>
          <t>SALAIRES MANAGERS</t>
        </is>
      </c>
      <c r="D1859" s="233" t="inlineStr">
        <is>
          <t>11</t>
        </is>
      </c>
      <c r="E1859" s="233" t="inlineStr">
        <is>
          <t>10</t>
        </is>
      </c>
      <c r="F1859" s="227" t="inlineStr">
        <is>
          <t>VICTOIRE</t>
        </is>
      </c>
    </row>
    <row r="1860">
      <c r="A1860" s="227">
        <f>TL[[#This Row],[Société]]&amp;" - "&amp;TL[[#This Row],[Compte]]</f>
        <v/>
      </c>
      <c r="B1860" s="233" t="inlineStr">
        <is>
          <t>641050</t>
        </is>
      </c>
      <c r="C1860" s="227" t="inlineStr">
        <is>
          <t>SALAIRE PRESIDENT</t>
        </is>
      </c>
      <c r="D1860" s="233" t="inlineStr">
        <is>
          <t>51</t>
        </is>
      </c>
      <c r="E1860" s="233" t="inlineStr">
        <is>
          <t>46</t>
        </is>
      </c>
      <c r="F1860" s="227" t="inlineStr">
        <is>
          <t>VICTOIRE</t>
        </is>
      </c>
    </row>
    <row r="1861">
      <c r="A1861" s="227">
        <f>TL[[#This Row],[Société]]&amp;" - "&amp;TL[[#This Row],[Compte]]</f>
        <v/>
      </c>
      <c r="B1861" s="233" t="inlineStr">
        <is>
          <t>641100</t>
        </is>
      </c>
      <c r="C1861" s="227" t="inlineStr">
        <is>
          <t>Salaires appointements</t>
        </is>
      </c>
      <c r="F1861" s="227" t="inlineStr">
        <is>
          <t>VICTOIRE</t>
        </is>
      </c>
    </row>
    <row r="1862">
      <c r="A1862" s="227">
        <f>TL[[#This Row],[Société]]&amp;" - "&amp;TL[[#This Row],[Compte]]</f>
        <v/>
      </c>
      <c r="B1862" s="233" t="inlineStr">
        <is>
          <t>641150</t>
        </is>
      </c>
      <c r="C1862" s="227" t="inlineStr">
        <is>
          <t>Salaires administrateurs gérance</t>
        </is>
      </c>
      <c r="F1862" s="227" t="inlineStr">
        <is>
          <t>VICTOIRE</t>
        </is>
      </c>
    </row>
    <row r="1863">
      <c r="A1863" s="227">
        <f>TL[[#This Row],[Société]]&amp;" - "&amp;TL[[#This Row],[Compte]]</f>
        <v/>
      </c>
      <c r="B1863" s="233" t="inlineStr">
        <is>
          <t>641200</t>
        </is>
      </c>
      <c r="C1863" s="227" t="inlineStr">
        <is>
          <t>Congés payés</t>
        </is>
      </c>
      <c r="F1863" s="227" t="inlineStr">
        <is>
          <t>VICTOIRE</t>
        </is>
      </c>
    </row>
    <row r="1864">
      <c r="A1864" s="227">
        <f>TL[[#This Row],[Société]]&amp;" - "&amp;TL[[#This Row],[Compte]]</f>
        <v/>
      </c>
      <c r="B1864" s="233" t="inlineStr">
        <is>
          <t>641202</t>
        </is>
      </c>
      <c r="C1864" s="227" t="inlineStr">
        <is>
          <t>CONGÉS PAYÉS PRIS EQUIPIERS</t>
        </is>
      </c>
      <c r="D1864" s="233" t="inlineStr">
        <is>
          <t>10</t>
        </is>
      </c>
      <c r="E1864" s="233" t="inlineStr">
        <is>
          <t>08</t>
        </is>
      </c>
      <c r="F1864" s="227" t="inlineStr">
        <is>
          <t>VICTOIRE</t>
        </is>
      </c>
    </row>
    <row r="1865">
      <c r="A1865" s="227">
        <f>TL[[#This Row],[Société]]&amp;" - "&amp;TL[[#This Row],[Compte]]</f>
        <v/>
      </c>
      <c r="B1865" s="233" t="inlineStr">
        <is>
          <t>641203</t>
        </is>
      </c>
      <c r="C1865" s="227" t="inlineStr">
        <is>
          <t>CONGÉS PAYÉS PRIS MANAGERS</t>
        </is>
      </c>
      <c r="D1865" s="233" t="inlineStr">
        <is>
          <t>11</t>
        </is>
      </c>
      <c r="E1865" s="233" t="inlineStr">
        <is>
          <t>10</t>
        </is>
      </c>
      <c r="F1865" s="227" t="inlineStr">
        <is>
          <t>VICTOIRE</t>
        </is>
      </c>
    </row>
    <row r="1866">
      <c r="A1866" s="227">
        <f>TL[[#This Row],[Société]]&amp;" - "&amp;TL[[#This Row],[Compte]]</f>
        <v/>
      </c>
      <c r="B1866" s="233" t="inlineStr">
        <is>
          <t>641220</t>
        </is>
      </c>
      <c r="C1866" s="227" t="inlineStr">
        <is>
          <t>CONGES PAYES EQUIPIERS</t>
        </is>
      </c>
      <c r="D1866" s="233" t="inlineStr">
        <is>
          <t>10</t>
        </is>
      </c>
      <c r="E1866" s="233" t="inlineStr">
        <is>
          <t>08</t>
        </is>
      </c>
      <c r="F1866" s="227" t="inlineStr">
        <is>
          <t>VICTOIRE</t>
        </is>
      </c>
    </row>
    <row r="1867">
      <c r="A1867" s="227">
        <f>TL[[#This Row],[Société]]&amp;" - "&amp;TL[[#This Row],[Compte]]</f>
        <v/>
      </c>
      <c r="B1867" s="233" t="inlineStr">
        <is>
          <t>641230</t>
        </is>
      </c>
      <c r="C1867" s="227" t="inlineStr">
        <is>
          <t>CONGES PAYES MANAGERS</t>
        </is>
      </c>
      <c r="D1867" s="233" t="inlineStr">
        <is>
          <t>11</t>
        </is>
      </c>
      <c r="E1867" s="233" t="inlineStr">
        <is>
          <t>10</t>
        </is>
      </c>
      <c r="F1867" s="227" t="inlineStr">
        <is>
          <t>VICTOIRE</t>
        </is>
      </c>
    </row>
    <row r="1868">
      <c r="A1868" s="227">
        <f>TL[[#This Row],[Société]]&amp;" - "&amp;TL[[#This Row],[Compte]]</f>
        <v/>
      </c>
      <c r="B1868" s="233" t="inlineStr">
        <is>
          <t>641300</t>
        </is>
      </c>
      <c r="C1868" s="227" t="inlineStr">
        <is>
          <t>Primes et gratifications</t>
        </is>
      </c>
      <c r="F1868" s="227" t="inlineStr">
        <is>
          <t>VICTOIRE</t>
        </is>
      </c>
    </row>
    <row r="1869">
      <c r="A1869" s="227">
        <f>TL[[#This Row],[Société]]&amp;" - "&amp;TL[[#This Row],[Compte]]</f>
        <v/>
      </c>
      <c r="B1869" s="233" t="inlineStr">
        <is>
          <t>641302</t>
        </is>
      </c>
      <c r="C1869" s="227" t="inlineStr">
        <is>
          <t>PRIME EQUIPIERS</t>
        </is>
      </c>
      <c r="D1869" s="233" t="inlineStr">
        <is>
          <t>10</t>
        </is>
      </c>
      <c r="E1869" s="233" t="inlineStr">
        <is>
          <t>08</t>
        </is>
      </c>
      <c r="F1869" s="227" t="inlineStr">
        <is>
          <t>VICTOIRE</t>
        </is>
      </c>
    </row>
    <row r="1870">
      <c r="A1870" s="227">
        <f>TL[[#This Row],[Société]]&amp;" - "&amp;TL[[#This Row],[Compte]]</f>
        <v/>
      </c>
      <c r="B1870" s="233" t="inlineStr">
        <is>
          <t>641303</t>
        </is>
      </c>
      <c r="C1870" s="227" t="inlineStr">
        <is>
          <t>PRIMES MANAGERS</t>
        </is>
      </c>
      <c r="D1870" s="233" t="inlineStr">
        <is>
          <t>11</t>
        </is>
      </c>
      <c r="E1870" s="233" t="inlineStr">
        <is>
          <t>10</t>
        </is>
      </c>
      <c r="F1870" s="227" t="inlineStr">
        <is>
          <t>VICTOIRE</t>
        </is>
      </c>
    </row>
    <row r="1871">
      <c r="A1871" s="227">
        <f>TL[[#This Row],[Société]]&amp;" - "&amp;TL[[#This Row],[Compte]]</f>
        <v/>
      </c>
      <c r="B1871" s="233" t="inlineStr">
        <is>
          <t>641320</t>
        </is>
      </c>
      <c r="C1871" s="227" t="inlineStr">
        <is>
          <t>EXT PROV PRIMES</t>
        </is>
      </c>
      <c r="F1871" s="227" t="inlineStr">
        <is>
          <t>VICTOIRE</t>
        </is>
      </c>
    </row>
    <row r="1872">
      <c r="A1872" s="227">
        <f>TL[[#This Row],[Société]]&amp;" - "&amp;TL[[#This Row],[Compte]]</f>
        <v/>
      </c>
      <c r="B1872" s="233" t="inlineStr">
        <is>
          <t>641400</t>
        </is>
      </c>
      <c r="C1872" s="227" t="inlineStr">
        <is>
          <t>Indemnités et avantages divers</t>
        </is>
      </c>
      <c r="F1872" s="227" t="inlineStr">
        <is>
          <t>VICTOIRE</t>
        </is>
      </c>
    </row>
    <row r="1873">
      <c r="A1873" s="227">
        <f>TL[[#This Row],[Société]]&amp;" - "&amp;TL[[#This Row],[Compte]]</f>
        <v/>
      </c>
      <c r="B1873" s="233" t="inlineStr">
        <is>
          <t>641402</t>
        </is>
      </c>
      <c r="C1873" s="227" t="inlineStr">
        <is>
          <t>AV NATURE REPAS EQUIPIERS</t>
        </is>
      </c>
      <c r="D1873" s="233" t="inlineStr">
        <is>
          <t>10</t>
        </is>
      </c>
      <c r="E1873" s="233" t="inlineStr">
        <is>
          <t>08</t>
        </is>
      </c>
      <c r="F1873" s="227" t="inlineStr">
        <is>
          <t>VICTOIRE</t>
        </is>
      </c>
    </row>
    <row r="1874">
      <c r="A1874" s="227">
        <f>TL[[#This Row],[Société]]&amp;" - "&amp;TL[[#This Row],[Compte]]</f>
        <v/>
      </c>
      <c r="B1874" s="233" t="inlineStr">
        <is>
          <t>641403</t>
        </is>
      </c>
      <c r="C1874" s="227" t="inlineStr">
        <is>
          <t>AV NATURE REPAS MANAGERS</t>
        </is>
      </c>
      <c r="D1874" s="233" t="inlineStr">
        <is>
          <t>11</t>
        </is>
      </c>
      <c r="E1874" s="233" t="inlineStr">
        <is>
          <t>10</t>
        </is>
      </c>
      <c r="F1874" s="227" t="inlineStr">
        <is>
          <t>VICTOIRE</t>
        </is>
      </c>
    </row>
    <row r="1875">
      <c r="A1875" s="227">
        <f>TL[[#This Row],[Société]]&amp;" - "&amp;TL[[#This Row],[Compte]]</f>
        <v/>
      </c>
      <c r="B1875" s="233" t="inlineStr">
        <is>
          <t>641410</t>
        </is>
      </c>
      <c r="C1875" s="227" t="inlineStr">
        <is>
          <t>INDEMNITES LICENCIEMENT</t>
        </is>
      </c>
      <c r="D1875" s="233" t="inlineStr">
        <is>
          <t>11</t>
        </is>
      </c>
      <c r="E1875" s="233" t="inlineStr">
        <is>
          <t>13</t>
        </is>
      </c>
      <c r="F1875" s="227" t="inlineStr">
        <is>
          <t>VICTOIRE</t>
        </is>
      </c>
    </row>
    <row r="1876">
      <c r="A1876" s="227">
        <f>TL[[#This Row],[Société]]&amp;" - "&amp;TL[[#This Row],[Compte]]</f>
        <v/>
      </c>
      <c r="B1876" s="233" t="inlineStr">
        <is>
          <t>641411</t>
        </is>
      </c>
      <c r="C1876" s="227" t="inlineStr">
        <is>
          <t>INDEMNITÉ ACTIVITÉ PARTIELLE  EQUIP</t>
        </is>
      </c>
      <c r="D1876" s="233" t="inlineStr">
        <is>
          <t>10</t>
        </is>
      </c>
      <c r="E1876" s="233" t="inlineStr">
        <is>
          <t>08</t>
        </is>
      </c>
      <c r="F1876" s="227" t="inlineStr">
        <is>
          <t>VICTOIRE</t>
        </is>
      </c>
    </row>
    <row r="1877">
      <c r="A1877" s="227">
        <f>TL[[#This Row],[Société]]&amp;" - "&amp;TL[[#This Row],[Compte]]</f>
        <v/>
      </c>
      <c r="B1877" s="233" t="inlineStr">
        <is>
          <t>641412</t>
        </is>
      </c>
      <c r="C1877" s="227" t="inlineStr">
        <is>
          <t>INDEMNITÉ ACTIVITÉ PARTIELLE  MGR</t>
        </is>
      </c>
      <c r="D1877" s="233" t="inlineStr">
        <is>
          <t>11</t>
        </is>
      </c>
      <c r="E1877" s="233" t="inlineStr">
        <is>
          <t>10</t>
        </is>
      </c>
      <c r="F1877" s="227" t="inlineStr">
        <is>
          <t>VICTOIRE</t>
        </is>
      </c>
    </row>
    <row r="1878">
      <c r="A1878" s="227">
        <f>TL[[#This Row],[Société]]&amp;" - "&amp;TL[[#This Row],[Compte]]</f>
        <v/>
      </c>
      <c r="B1878" s="233" t="inlineStr">
        <is>
          <t>641413</t>
        </is>
      </c>
      <c r="C1878" s="227" t="inlineStr">
        <is>
          <t>AV NATURE VOITURE MANAGERS</t>
        </is>
      </c>
      <c r="D1878" s="233" t="inlineStr">
        <is>
          <t>11</t>
        </is>
      </c>
      <c r="E1878" s="233" t="inlineStr">
        <is>
          <t>10</t>
        </is>
      </c>
      <c r="F1878" s="227" t="inlineStr">
        <is>
          <t>VICTOIRE</t>
        </is>
      </c>
    </row>
    <row r="1879">
      <c r="A1879" s="227">
        <f>TL[[#This Row],[Société]]&amp;" - "&amp;TL[[#This Row],[Compte]]</f>
        <v/>
      </c>
      <c r="B1879" s="233" t="inlineStr">
        <is>
          <t>641430</t>
        </is>
      </c>
      <c r="C1879" s="227" t="inlineStr">
        <is>
          <t>PRIMES POUVOIR ACHAT MANAGERS</t>
        </is>
      </c>
      <c r="D1879" s="233" t="inlineStr">
        <is>
          <t>11</t>
        </is>
      </c>
      <c r="E1879" s="233" t="inlineStr">
        <is>
          <t>10</t>
        </is>
      </c>
      <c r="F1879" s="227" t="inlineStr">
        <is>
          <t>VICTOIRE</t>
        </is>
      </c>
    </row>
    <row r="1880">
      <c r="A1880" s="227">
        <f>TL[[#This Row],[Société]]&amp;" - "&amp;TL[[#This Row],[Compte]]</f>
        <v/>
      </c>
      <c r="B1880" s="233" t="inlineStr">
        <is>
          <t>641450</t>
        </is>
      </c>
      <c r="C1880" s="227" t="inlineStr">
        <is>
          <t>SALAIRES MANAGER</t>
        </is>
      </c>
      <c r="D1880" s="233" t="inlineStr">
        <is>
          <t>11</t>
        </is>
      </c>
      <c r="E1880" s="233" t="inlineStr">
        <is>
          <t>10</t>
        </is>
      </c>
      <c r="F1880" s="227" t="inlineStr">
        <is>
          <t>VICTOIRE</t>
        </is>
      </c>
    </row>
    <row r="1881">
      <c r="A1881" s="227">
        <f>TL[[#This Row],[Société]]&amp;" - "&amp;TL[[#This Row],[Compte]]</f>
        <v/>
      </c>
      <c r="B1881" s="233" t="inlineStr">
        <is>
          <t>641500</t>
        </is>
      </c>
      <c r="C1881" s="227" t="inlineStr">
        <is>
          <t>Supplément familial</t>
        </is>
      </c>
      <c r="F1881" s="227" t="inlineStr">
        <is>
          <t>VICTOIRE</t>
        </is>
      </c>
    </row>
    <row r="1882">
      <c r="A1882" s="227">
        <f>TL[[#This Row],[Société]]&amp;" - "&amp;TL[[#This Row],[Compte]]</f>
        <v/>
      </c>
      <c r="B1882" s="233" t="inlineStr">
        <is>
          <t>641520</t>
        </is>
      </c>
      <c r="C1882" s="227" t="inlineStr">
        <is>
          <t>SALAIRES MANAGER / INDEMNITE BLANCH</t>
        </is>
      </c>
      <c r="D1882" s="233" t="inlineStr">
        <is>
          <t>11</t>
        </is>
      </c>
      <c r="E1882" s="233" t="inlineStr">
        <is>
          <t>10</t>
        </is>
      </c>
      <c r="F1882" s="227" t="inlineStr">
        <is>
          <t>VICTOIRE</t>
        </is>
      </c>
    </row>
    <row r="1883">
      <c r="A1883" s="227">
        <f>TL[[#This Row],[Société]]&amp;" - "&amp;TL[[#This Row],[Compte]]</f>
        <v/>
      </c>
      <c r="B1883" s="233" t="inlineStr">
        <is>
          <t>641700</t>
        </is>
      </c>
      <c r="C1883" s="227" t="inlineStr">
        <is>
          <t>Avantages en nature</t>
        </is>
      </c>
      <c r="F1883" s="227" t="inlineStr">
        <is>
          <t>VICTOIRE</t>
        </is>
      </c>
    </row>
    <row r="1884">
      <c r="A1884" s="227">
        <f>TL[[#This Row],[Société]]&amp;" - "&amp;TL[[#This Row],[Compte]]</f>
        <v/>
      </c>
      <c r="B1884" s="233" t="inlineStr">
        <is>
          <t>641800</t>
        </is>
      </c>
      <c r="C1884" s="227" t="inlineStr">
        <is>
          <t>Salaires provisionnés</t>
        </is>
      </c>
      <c r="F1884" s="227" t="inlineStr">
        <is>
          <t>VICTOIRE</t>
        </is>
      </c>
    </row>
    <row r="1885">
      <c r="A1885" s="227">
        <f>TL[[#This Row],[Société]]&amp;" - "&amp;TL[[#This Row],[Compte]]</f>
        <v/>
      </c>
      <c r="B1885" s="233" t="inlineStr">
        <is>
          <t>641850</t>
        </is>
      </c>
      <c r="C1885" s="227" t="inlineStr">
        <is>
          <t>PROV IMPACT CICE</t>
        </is>
      </c>
      <c r="D1885" s="240" t="inlineStr">
        <is>
          <t>10</t>
        </is>
      </c>
      <c r="E1885" s="240" t="inlineStr">
        <is>
          <t>09</t>
        </is>
      </c>
      <c r="F1885" s="227" t="inlineStr">
        <is>
          <t>VICTOIRE</t>
        </is>
      </c>
    </row>
    <row r="1886">
      <c r="A1886" s="227">
        <f>TL[[#This Row],[Société]]&amp;" - "&amp;TL[[#This Row],[Compte]]</f>
        <v/>
      </c>
      <c r="B1886" s="233" t="inlineStr">
        <is>
          <t>641912</t>
        </is>
      </c>
      <c r="C1886" s="227" t="inlineStr">
        <is>
          <t>ACTIVITE PARTIELLE PERCUE</t>
        </is>
      </c>
      <c r="D1886" s="233" t="inlineStr">
        <is>
          <t>39</t>
        </is>
      </c>
      <c r="E1886" s="233" t="inlineStr">
        <is>
          <t>12</t>
        </is>
      </c>
      <c r="F1886" s="227" t="inlineStr">
        <is>
          <t>VICTOIRE</t>
        </is>
      </c>
    </row>
    <row r="1887">
      <c r="A1887" s="227">
        <f>TL[[#This Row],[Société]]&amp;" - "&amp;TL[[#This Row],[Compte]]</f>
        <v/>
      </c>
      <c r="B1887" s="233" t="inlineStr">
        <is>
          <t>644000</t>
        </is>
      </c>
      <c r="C1887" s="227" t="inlineStr">
        <is>
          <t>Rémunération de l'exploitant</t>
        </is>
      </c>
      <c r="F1887" s="227" t="inlineStr">
        <is>
          <t>VICTOIRE</t>
        </is>
      </c>
    </row>
    <row r="1888">
      <c r="A1888" s="227">
        <f>TL[[#This Row],[Société]]&amp;" - "&amp;TL[[#This Row],[Compte]]</f>
        <v/>
      </c>
      <c r="B1888" s="233" t="inlineStr">
        <is>
          <t>645100</t>
        </is>
      </c>
      <c r="C1888" s="227" t="inlineStr">
        <is>
          <t>Cotisations à l'URSSAF</t>
        </is>
      </c>
      <c r="F1888" s="227" t="inlineStr">
        <is>
          <t>VICTOIRE</t>
        </is>
      </c>
    </row>
    <row r="1889">
      <c r="A1889" s="227">
        <f>TL[[#This Row],[Société]]&amp;" - "&amp;TL[[#This Row],[Compte]]</f>
        <v/>
      </c>
      <c r="B1889" s="233" t="inlineStr">
        <is>
          <t>645101</t>
        </is>
      </c>
      <c r="C1889" s="227" t="inlineStr">
        <is>
          <t>URSSAF DIRECTION</t>
        </is>
      </c>
      <c r="D1889" s="233" t="inlineStr">
        <is>
          <t>12</t>
        </is>
      </c>
      <c r="E1889" s="233" t="inlineStr">
        <is>
          <t>11</t>
        </is>
      </c>
      <c r="F1889" s="227" t="inlineStr">
        <is>
          <t>VICTOIRE</t>
        </is>
      </c>
    </row>
    <row r="1890">
      <c r="A1890" s="227">
        <f>TL[[#This Row],[Société]]&amp;" - "&amp;TL[[#This Row],[Compte]]</f>
        <v/>
      </c>
      <c r="B1890" s="233" t="inlineStr">
        <is>
          <t>645102</t>
        </is>
      </c>
      <c r="C1890" s="227" t="inlineStr">
        <is>
          <t>URSSAF EQUIPIERS</t>
        </is>
      </c>
      <c r="D1890" s="233" t="inlineStr">
        <is>
          <t>10</t>
        </is>
      </c>
      <c r="E1890" s="233" t="inlineStr">
        <is>
          <t>09</t>
        </is>
      </c>
      <c r="F1890" s="227" t="inlineStr">
        <is>
          <t>VICTOIRE</t>
        </is>
      </c>
    </row>
    <row r="1891">
      <c r="A1891" s="227">
        <f>TL[[#This Row],[Société]]&amp;" - "&amp;TL[[#This Row],[Compte]]</f>
        <v/>
      </c>
      <c r="B1891" s="233" t="inlineStr">
        <is>
          <t>645103</t>
        </is>
      </c>
      <c r="C1891" s="227" t="inlineStr">
        <is>
          <t>URSSAF MANAGERS</t>
        </is>
      </c>
      <c r="D1891" s="233" t="inlineStr">
        <is>
          <t>12</t>
        </is>
      </c>
      <c r="E1891" s="233" t="inlineStr">
        <is>
          <t>11</t>
        </is>
      </c>
      <c r="F1891" s="227" t="inlineStr">
        <is>
          <t>VICTOIRE</t>
        </is>
      </c>
    </row>
    <row r="1892">
      <c r="A1892" s="227">
        <f>TL[[#This Row],[Société]]&amp;" - "&amp;TL[[#This Row],[Compte]]</f>
        <v/>
      </c>
      <c r="B1892" s="233" t="inlineStr">
        <is>
          <t>645200</t>
        </is>
      </c>
      <c r="C1892" s="227" t="inlineStr">
        <is>
          <t>Cotisations aux mutuelles</t>
        </is>
      </c>
      <c r="F1892" s="227" t="inlineStr">
        <is>
          <t>VICTOIRE</t>
        </is>
      </c>
    </row>
    <row r="1893">
      <c r="A1893" s="227">
        <f>TL[[#This Row],[Société]]&amp;" - "&amp;TL[[#This Row],[Compte]]</f>
        <v/>
      </c>
      <c r="B1893" s="233" t="inlineStr">
        <is>
          <t>645202</t>
        </is>
      </c>
      <c r="C1893" s="227" t="inlineStr">
        <is>
          <t>MUTUELLE EQUIPIERS</t>
        </is>
      </c>
      <c r="D1893" s="233" t="inlineStr">
        <is>
          <t>10</t>
        </is>
      </c>
      <c r="E1893" s="233" t="inlineStr">
        <is>
          <t>09</t>
        </is>
      </c>
      <c r="F1893" s="227" t="inlineStr">
        <is>
          <t>VICTOIRE</t>
        </is>
      </c>
    </row>
    <row r="1894">
      <c r="A1894" s="227">
        <f>TL[[#This Row],[Société]]&amp;" - "&amp;TL[[#This Row],[Compte]]</f>
        <v/>
      </c>
      <c r="B1894" s="233" t="inlineStr">
        <is>
          <t>645203</t>
        </is>
      </c>
      <c r="C1894" s="227" t="inlineStr">
        <is>
          <t>MUTUELLE MANAGERS</t>
        </is>
      </c>
      <c r="D1894" s="233" t="inlineStr">
        <is>
          <t>12</t>
        </is>
      </c>
      <c r="E1894" s="233" t="inlineStr">
        <is>
          <t>11</t>
        </is>
      </c>
      <c r="F1894" s="227" t="inlineStr">
        <is>
          <t>VICTOIRE</t>
        </is>
      </c>
    </row>
    <row r="1895">
      <c r="A1895" s="227">
        <f>TL[[#This Row],[Société]]&amp;" - "&amp;TL[[#This Row],[Compte]]</f>
        <v/>
      </c>
      <c r="B1895" s="233" t="inlineStr">
        <is>
          <t>645220</t>
        </is>
      </c>
      <c r="C1895" s="227" t="inlineStr">
        <is>
          <t>SALAIRES MANAGER</t>
        </is>
      </c>
      <c r="D1895" s="233" t="inlineStr">
        <is>
          <t>12</t>
        </is>
      </c>
      <c r="E1895" s="233" t="inlineStr">
        <is>
          <t>11</t>
        </is>
      </c>
      <c r="F1895" s="227" t="inlineStr">
        <is>
          <t>VICTOIRE</t>
        </is>
      </c>
    </row>
    <row r="1896">
      <c r="A1896" s="227">
        <f>TL[[#This Row],[Société]]&amp;" - "&amp;TL[[#This Row],[Compte]]</f>
        <v/>
      </c>
      <c r="B1896" s="233" t="inlineStr">
        <is>
          <t>645300</t>
        </is>
      </c>
      <c r="C1896" s="227" t="inlineStr">
        <is>
          <t>Cotisations aux caisses de retraite</t>
        </is>
      </c>
      <c r="F1896" s="227" t="inlineStr">
        <is>
          <t>VICTOIRE</t>
        </is>
      </c>
    </row>
    <row r="1897">
      <c r="A1897" s="227">
        <f>TL[[#This Row],[Société]]&amp;" - "&amp;TL[[#This Row],[Compte]]</f>
        <v/>
      </c>
      <c r="B1897" s="233" t="inlineStr">
        <is>
          <t>645301</t>
        </is>
      </c>
      <c r="C1897" s="227" t="inlineStr">
        <is>
          <t>PREVOYANCE DIRECTION</t>
        </is>
      </c>
      <c r="D1897" s="233" t="inlineStr">
        <is>
          <t>12</t>
        </is>
      </c>
      <c r="E1897" s="233" t="inlineStr">
        <is>
          <t>11</t>
        </is>
      </c>
      <c r="F1897" s="227" t="inlineStr">
        <is>
          <t>VICTOIRE</t>
        </is>
      </c>
    </row>
    <row r="1898">
      <c r="A1898" s="227">
        <f>TL[[#This Row],[Société]]&amp;" - "&amp;TL[[#This Row],[Compte]]</f>
        <v/>
      </c>
      <c r="B1898" s="233" t="inlineStr">
        <is>
          <t>645302</t>
        </is>
      </c>
      <c r="C1898" s="227" t="inlineStr">
        <is>
          <t>PREVOYANCE EQUIPIER</t>
        </is>
      </c>
      <c r="D1898" s="233" t="inlineStr">
        <is>
          <t>10</t>
        </is>
      </c>
      <c r="E1898" s="233" t="inlineStr">
        <is>
          <t>09</t>
        </is>
      </c>
      <c r="F1898" s="227" t="inlineStr">
        <is>
          <t>VICTOIRE</t>
        </is>
      </c>
    </row>
    <row r="1899">
      <c r="A1899" s="227">
        <f>TL[[#This Row],[Société]]&amp;" - "&amp;TL[[#This Row],[Compte]]</f>
        <v/>
      </c>
      <c r="B1899" s="233" t="inlineStr">
        <is>
          <t>645303</t>
        </is>
      </c>
      <c r="C1899" s="227" t="inlineStr">
        <is>
          <t>PREVOYANCE MANAGERS</t>
        </is>
      </c>
      <c r="D1899" s="233" t="inlineStr">
        <is>
          <t>12</t>
        </is>
      </c>
      <c r="E1899" s="233" t="inlineStr">
        <is>
          <t>11</t>
        </is>
      </c>
      <c r="F1899" s="227" t="inlineStr">
        <is>
          <t>VICTOIRE</t>
        </is>
      </c>
    </row>
    <row r="1900">
      <c r="A1900" s="227">
        <f>TL[[#This Row],[Société]]&amp;" - "&amp;TL[[#This Row],[Compte]]</f>
        <v/>
      </c>
      <c r="B1900" s="233" t="inlineStr">
        <is>
          <t>645310</t>
        </is>
      </c>
      <c r="C1900" s="227" t="inlineStr">
        <is>
          <t>Cotisations retraites (cadres)</t>
        </is>
      </c>
      <c r="F1900" s="227" t="inlineStr">
        <is>
          <t>VICTOIRE</t>
        </is>
      </c>
    </row>
    <row r="1901">
      <c r="A1901" s="227">
        <f>TL[[#This Row],[Société]]&amp;" - "&amp;TL[[#This Row],[Compte]]</f>
        <v/>
      </c>
      <c r="B1901" s="233" t="inlineStr">
        <is>
          <t>645311</t>
        </is>
      </c>
      <c r="C1901" s="227" t="inlineStr">
        <is>
          <t>RETRAITE DIRECTION</t>
        </is>
      </c>
      <c r="D1901" s="233" t="inlineStr">
        <is>
          <t>12</t>
        </is>
      </c>
      <c r="E1901" s="233" t="inlineStr">
        <is>
          <t>11</t>
        </is>
      </c>
      <c r="F1901" s="227" t="inlineStr">
        <is>
          <t>VICTOIRE</t>
        </is>
      </c>
    </row>
    <row r="1902">
      <c r="A1902" s="227">
        <f>TL[[#This Row],[Société]]&amp;" - "&amp;TL[[#This Row],[Compte]]</f>
        <v/>
      </c>
      <c r="B1902" s="233" t="inlineStr">
        <is>
          <t>645312</t>
        </is>
      </c>
      <c r="C1902" s="227" t="inlineStr">
        <is>
          <t>RETRAITE EQUIPIER</t>
        </is>
      </c>
      <c r="D1902" s="233" t="inlineStr">
        <is>
          <t>10</t>
        </is>
      </c>
      <c r="E1902" s="233" t="inlineStr">
        <is>
          <t>09</t>
        </is>
      </c>
      <c r="F1902" s="227" t="inlineStr">
        <is>
          <t>VICTOIRE</t>
        </is>
      </c>
    </row>
    <row r="1903">
      <c r="A1903" s="227">
        <f>TL[[#This Row],[Société]]&amp;" - "&amp;TL[[#This Row],[Compte]]</f>
        <v/>
      </c>
      <c r="B1903" s="233" t="inlineStr">
        <is>
          <t>645313</t>
        </is>
      </c>
      <c r="C1903" s="227" t="inlineStr">
        <is>
          <t>RETRAITE MANAGER</t>
        </is>
      </c>
      <c r="D1903" s="233" t="inlineStr">
        <is>
          <t>12</t>
        </is>
      </c>
      <c r="E1903" s="233" t="inlineStr">
        <is>
          <t>11</t>
        </is>
      </c>
      <c r="F1903" s="227" t="inlineStr">
        <is>
          <t>VICTOIRE</t>
        </is>
      </c>
    </row>
    <row r="1904">
      <c r="A1904" s="227">
        <f>TL[[#This Row],[Société]]&amp;" - "&amp;TL[[#This Row],[Compte]]</f>
        <v/>
      </c>
      <c r="B1904" s="233" t="inlineStr">
        <is>
          <t>645320</t>
        </is>
      </c>
      <c r="C1904" s="227" t="inlineStr">
        <is>
          <t>Cotisations retraites (salariés)</t>
        </is>
      </c>
      <c r="F1904" s="227" t="inlineStr">
        <is>
          <t>VICTOIRE</t>
        </is>
      </c>
    </row>
    <row r="1905">
      <c r="A1905" s="227">
        <f>TL[[#This Row],[Société]]&amp;" - "&amp;TL[[#This Row],[Compte]]</f>
        <v/>
      </c>
      <c r="B1905" s="233" t="inlineStr">
        <is>
          <t>645330</t>
        </is>
      </c>
      <c r="C1905" s="227" t="inlineStr">
        <is>
          <t>Cotisations Prévoyance</t>
        </is>
      </c>
      <c r="F1905" s="227" t="inlineStr">
        <is>
          <t>VICTOIRE</t>
        </is>
      </c>
    </row>
    <row r="1906">
      <c r="A1906" s="227">
        <f>TL[[#This Row],[Société]]&amp;" - "&amp;TL[[#This Row],[Compte]]</f>
        <v/>
      </c>
      <c r="B1906" s="233" t="inlineStr">
        <is>
          <t>645400</t>
        </is>
      </c>
      <c r="C1906" s="227" t="inlineStr">
        <is>
          <t>Cotisations Pôle Emploi</t>
        </is>
      </c>
      <c r="F1906" s="227" t="inlineStr">
        <is>
          <t>VICTOIRE</t>
        </is>
      </c>
    </row>
    <row r="1907">
      <c r="A1907" s="227">
        <f>TL[[#This Row],[Société]]&amp;" - "&amp;TL[[#This Row],[Compte]]</f>
        <v/>
      </c>
      <c r="B1907" s="233" t="inlineStr">
        <is>
          <t>645402</t>
        </is>
      </c>
      <c r="C1907" s="227" t="inlineStr">
        <is>
          <t>ASSEDIC EQUIPIERS</t>
        </is>
      </c>
      <c r="D1907" s="233" t="inlineStr">
        <is>
          <t>10</t>
        </is>
      </c>
      <c r="E1907" s="233" t="inlineStr">
        <is>
          <t>09</t>
        </is>
      </c>
      <c r="F1907" s="227" t="inlineStr">
        <is>
          <t>VICTOIRE</t>
        </is>
      </c>
    </row>
    <row r="1908">
      <c r="A1908" s="227">
        <f>TL[[#This Row],[Société]]&amp;" - "&amp;TL[[#This Row],[Compte]]</f>
        <v/>
      </c>
      <c r="B1908" s="233" t="inlineStr">
        <is>
          <t>645403</t>
        </is>
      </c>
      <c r="C1908" s="227" t="inlineStr">
        <is>
          <t>ASSEDIC MANAGERS</t>
        </is>
      </c>
      <c r="D1908" s="233" t="inlineStr">
        <is>
          <t>12</t>
        </is>
      </c>
      <c r="E1908" s="233" t="inlineStr">
        <is>
          <t>11</t>
        </is>
      </c>
      <c r="F1908" s="227" t="inlineStr">
        <is>
          <t>VICTOIRE</t>
        </is>
      </c>
    </row>
    <row r="1909">
      <c r="A1909" s="227">
        <f>TL[[#This Row],[Société]]&amp;" - "&amp;TL[[#This Row],[Compte]]</f>
        <v/>
      </c>
      <c r="B1909" s="233" t="inlineStr">
        <is>
          <t>645800</t>
        </is>
      </c>
      <c r="C1909" s="227" t="inlineStr">
        <is>
          <t>Cotisations autres organism. socx</t>
        </is>
      </c>
      <c r="F1909" s="227" t="inlineStr">
        <is>
          <t>VICTOIRE</t>
        </is>
      </c>
    </row>
    <row r="1910">
      <c r="A1910" s="227">
        <f>TL[[#This Row],[Société]]&amp;" - "&amp;TL[[#This Row],[Compte]]</f>
        <v/>
      </c>
      <c r="B1910" s="233" t="inlineStr">
        <is>
          <t>645810</t>
        </is>
      </c>
      <c r="C1910" s="227" t="inlineStr">
        <is>
          <t>CHARGES SOC S/CP MANAGERS</t>
        </is>
      </c>
      <c r="D1910" s="233" t="inlineStr">
        <is>
          <t>12</t>
        </is>
      </c>
      <c r="E1910" s="233" t="inlineStr">
        <is>
          <t>11</t>
        </is>
      </c>
      <c r="F1910" s="227" t="inlineStr">
        <is>
          <t>VICTOIRE</t>
        </is>
      </c>
    </row>
    <row r="1911">
      <c r="A1911" s="227">
        <f>TL[[#This Row],[Société]]&amp;" - "&amp;TL[[#This Row],[Compte]]</f>
        <v/>
      </c>
      <c r="B1911" s="233" t="inlineStr">
        <is>
          <t>645820</t>
        </is>
      </c>
      <c r="C1911" s="227" t="inlineStr">
        <is>
          <t>CHARGES SOCIALES CP EQUIPIERS</t>
        </is>
      </c>
      <c r="D1911" s="233" t="inlineStr">
        <is>
          <t>10</t>
        </is>
      </c>
      <c r="E1911" s="233" t="inlineStr">
        <is>
          <t>09</t>
        </is>
      </c>
      <c r="F1911" s="227" t="inlineStr">
        <is>
          <t>VICTOIRE</t>
        </is>
      </c>
    </row>
    <row r="1912">
      <c r="A1912" s="227">
        <f>TL[[#This Row],[Société]]&amp;" - "&amp;TL[[#This Row],[Compte]]</f>
        <v/>
      </c>
      <c r="B1912" s="233" t="inlineStr">
        <is>
          <t>645830</t>
        </is>
      </c>
      <c r="C1912" s="227" t="inlineStr">
        <is>
          <t>CHARGES SOCIALES CP  MANAGERS</t>
        </is>
      </c>
      <c r="D1912" s="233" t="inlineStr">
        <is>
          <t>12</t>
        </is>
      </c>
      <c r="E1912" s="233" t="inlineStr">
        <is>
          <t>11</t>
        </is>
      </c>
      <c r="F1912" s="227" t="inlineStr">
        <is>
          <t>VICTOIRE</t>
        </is>
      </c>
    </row>
    <row r="1913">
      <c r="A1913" s="227">
        <f>TL[[#This Row],[Société]]&amp;" - "&amp;TL[[#This Row],[Compte]]</f>
        <v/>
      </c>
      <c r="B1913" s="233" t="inlineStr">
        <is>
          <t>645840</t>
        </is>
      </c>
      <c r="C1913" s="227" t="inlineStr">
        <is>
          <t>PROV CS/PRIMES</t>
        </is>
      </c>
      <c r="F1913" s="227" t="inlineStr">
        <is>
          <t>VICTOIRE</t>
        </is>
      </c>
    </row>
    <row r="1914">
      <c r="A1914" s="227">
        <f>TL[[#This Row],[Société]]&amp;" - "&amp;TL[[#This Row],[Compte]]</f>
        <v/>
      </c>
      <c r="B1914" s="233" t="inlineStr">
        <is>
          <t>645911</t>
        </is>
      </c>
      <c r="C1914" s="227" t="inlineStr">
        <is>
          <t>COVID EXO URSSAF</t>
        </is>
      </c>
      <c r="D1914" s="233" t="inlineStr">
        <is>
          <t>39</t>
        </is>
      </c>
      <c r="E1914" s="233" t="inlineStr">
        <is>
          <t>12</t>
        </is>
      </c>
      <c r="F1914" s="227" t="inlineStr">
        <is>
          <t>VICTOIRE</t>
        </is>
      </c>
    </row>
    <row r="1915">
      <c r="A1915" s="227">
        <f>TL[[#This Row],[Société]]&amp;" - "&amp;TL[[#This Row],[Compte]]</f>
        <v/>
      </c>
      <c r="B1915" s="233" t="inlineStr">
        <is>
          <t>645912</t>
        </is>
      </c>
      <c r="C1915" s="227" t="inlineStr">
        <is>
          <t>REMBT COTISATION URSSAF</t>
        </is>
      </c>
      <c r="D1915" s="233" t="inlineStr">
        <is>
          <t>39</t>
        </is>
      </c>
      <c r="E1915" s="233" t="inlineStr">
        <is>
          <t>12</t>
        </is>
      </c>
      <c r="F1915" s="227" t="inlineStr">
        <is>
          <t>VICTOIRE</t>
        </is>
      </c>
    </row>
    <row r="1916">
      <c r="A1916" s="227">
        <f>TL[[#This Row],[Société]]&amp;" - "&amp;TL[[#This Row],[Compte]]</f>
        <v/>
      </c>
      <c r="B1916" s="233" t="inlineStr">
        <is>
          <t>646000</t>
        </is>
      </c>
      <c r="C1916" s="227" t="inlineStr">
        <is>
          <t>Cotisations sociales person.exploit</t>
        </is>
      </c>
      <c r="F1916" s="227" t="inlineStr">
        <is>
          <t>VICTOIRE</t>
        </is>
      </c>
    </row>
    <row r="1917">
      <c r="A1917" s="227">
        <f>TL[[#This Row],[Société]]&amp;" - "&amp;TL[[#This Row],[Compte]]</f>
        <v/>
      </c>
      <c r="B1917" s="233" t="inlineStr">
        <is>
          <t>646100</t>
        </is>
      </c>
      <c r="C1917" s="227" t="inlineStr">
        <is>
          <t>Allocations familiales</t>
        </is>
      </c>
      <c r="F1917" s="227" t="inlineStr">
        <is>
          <t>VICTOIRE</t>
        </is>
      </c>
    </row>
    <row r="1918">
      <c r="A1918" s="227">
        <f>TL[[#This Row],[Société]]&amp;" - "&amp;TL[[#This Row],[Compte]]</f>
        <v/>
      </c>
      <c r="B1918" s="233" t="inlineStr">
        <is>
          <t>646200</t>
        </is>
      </c>
      <c r="C1918" s="227" t="inlineStr">
        <is>
          <t>Maladie</t>
        </is>
      </c>
      <c r="F1918" s="227" t="inlineStr">
        <is>
          <t>VICTOIRE</t>
        </is>
      </c>
    </row>
    <row r="1919">
      <c r="A1919" s="227">
        <f>TL[[#This Row],[Société]]&amp;" - "&amp;TL[[#This Row],[Compte]]</f>
        <v/>
      </c>
      <c r="B1919" s="233" t="inlineStr">
        <is>
          <t>646300</t>
        </is>
      </c>
      <c r="C1919" s="227" t="inlineStr">
        <is>
          <t>Vieillesse</t>
        </is>
      </c>
      <c r="F1919" s="227" t="inlineStr">
        <is>
          <t>VICTOIRE</t>
        </is>
      </c>
    </row>
    <row r="1920">
      <c r="A1920" s="227">
        <f>TL[[#This Row],[Société]]&amp;" - "&amp;TL[[#This Row],[Compte]]</f>
        <v/>
      </c>
      <c r="B1920" s="233" t="inlineStr">
        <is>
          <t>646400</t>
        </is>
      </c>
      <c r="C1920" s="227" t="inlineStr">
        <is>
          <t>Retraite complémentaire et facultat</t>
        </is>
      </c>
      <c r="F1920" s="227" t="inlineStr">
        <is>
          <t>VICTOIRE</t>
        </is>
      </c>
    </row>
    <row r="1921">
      <c r="A1921" s="227">
        <f>TL[[#This Row],[Société]]&amp;" - "&amp;TL[[#This Row],[Compte]]</f>
        <v/>
      </c>
      <c r="B1921" s="233" t="inlineStr">
        <is>
          <t>646500</t>
        </is>
      </c>
      <c r="C1921" s="227" t="inlineStr">
        <is>
          <t>Complémentaire maladie</t>
        </is>
      </c>
      <c r="F1921" s="227" t="inlineStr">
        <is>
          <t>VICTOIRE</t>
        </is>
      </c>
    </row>
    <row r="1922">
      <c r="A1922" s="227">
        <f>TL[[#This Row],[Société]]&amp;" - "&amp;TL[[#This Row],[Compte]]</f>
        <v/>
      </c>
      <c r="B1922" s="233" t="inlineStr">
        <is>
          <t>646600</t>
        </is>
      </c>
      <c r="C1922" s="227" t="inlineStr">
        <is>
          <t>Perte d'emploi</t>
        </is>
      </c>
      <c r="F1922" s="227" t="inlineStr">
        <is>
          <t>VICTOIRE</t>
        </is>
      </c>
    </row>
    <row r="1923">
      <c r="A1923" s="227">
        <f>TL[[#This Row],[Société]]&amp;" - "&amp;TL[[#This Row],[Compte]]</f>
        <v/>
      </c>
      <c r="B1923" s="233" t="inlineStr">
        <is>
          <t>647000</t>
        </is>
      </c>
      <c r="C1923" s="227" t="inlineStr">
        <is>
          <t>Autres charges sociales</t>
        </is>
      </c>
      <c r="F1923" s="227" t="inlineStr">
        <is>
          <t>VICTOIRE</t>
        </is>
      </c>
    </row>
    <row r="1924">
      <c r="A1924" s="227">
        <f>TL[[#This Row],[Société]]&amp;" - "&amp;TL[[#This Row],[Compte]]</f>
        <v/>
      </c>
      <c r="B1924" s="233" t="inlineStr">
        <is>
          <t>647100</t>
        </is>
      </c>
      <c r="C1924" s="227" t="inlineStr">
        <is>
          <t>Prestations directes</t>
        </is>
      </c>
      <c r="F1924" s="227" t="inlineStr">
        <is>
          <t>VICTOIRE</t>
        </is>
      </c>
    </row>
    <row r="1925">
      <c r="A1925" s="227">
        <f>TL[[#This Row],[Société]]&amp;" - "&amp;TL[[#This Row],[Compte]]</f>
        <v/>
      </c>
      <c r="B1925" s="233" t="inlineStr">
        <is>
          <t>647200</t>
        </is>
      </c>
      <c r="C1925" s="227" t="inlineStr">
        <is>
          <t>Comité d'entreprise</t>
        </is>
      </c>
      <c r="F1925" s="227" t="inlineStr">
        <is>
          <t>VICTOIRE</t>
        </is>
      </c>
    </row>
    <row r="1926">
      <c r="A1926" s="227">
        <f>TL[[#This Row],[Société]]&amp;" - "&amp;TL[[#This Row],[Compte]]</f>
        <v/>
      </c>
      <c r="B1926" s="233" t="inlineStr">
        <is>
          <t>647300</t>
        </is>
      </c>
      <c r="C1926" s="227" t="inlineStr">
        <is>
          <t>Dotations CHSCT</t>
        </is>
      </c>
      <c r="F1926" s="227" t="inlineStr">
        <is>
          <t>VICTOIRE</t>
        </is>
      </c>
    </row>
    <row r="1927">
      <c r="A1927" s="227">
        <f>TL[[#This Row],[Société]]&amp;" - "&amp;TL[[#This Row],[Compte]]</f>
        <v/>
      </c>
      <c r="B1927" s="233" t="inlineStr">
        <is>
          <t>647400</t>
        </is>
      </c>
      <c r="C1927" s="227" t="inlineStr">
        <is>
          <t>Dotations oeuvres sociales</t>
        </is>
      </c>
      <c r="F1927" s="227" t="inlineStr">
        <is>
          <t>VICTOIRE</t>
        </is>
      </c>
    </row>
    <row r="1928">
      <c r="A1928" s="227">
        <f>TL[[#This Row],[Société]]&amp;" - "&amp;TL[[#This Row],[Compte]]</f>
        <v/>
      </c>
      <c r="B1928" s="233" t="inlineStr">
        <is>
          <t>647500</t>
        </is>
      </c>
      <c r="C1928" s="227" t="inlineStr">
        <is>
          <t>MEDECINE DU TRAVAIL</t>
        </is>
      </c>
      <c r="D1928" s="233" t="inlineStr">
        <is>
          <t>16</t>
        </is>
      </c>
      <c r="E1928" s="233" t="inlineStr">
        <is>
          <t>19</t>
        </is>
      </c>
      <c r="F1928" s="227" t="inlineStr">
        <is>
          <t>VICTOIRE</t>
        </is>
      </c>
    </row>
    <row r="1929">
      <c r="A1929" s="227">
        <f>TL[[#This Row],[Société]]&amp;" - "&amp;TL[[#This Row],[Compte]]</f>
        <v/>
      </c>
      <c r="B1929" s="233" t="inlineStr">
        <is>
          <t>647510</t>
        </is>
      </c>
      <c r="C1929" s="227" t="inlineStr">
        <is>
          <t>PHARMACIE</t>
        </is>
      </c>
      <c r="D1929" s="233" t="inlineStr">
        <is>
          <t>16</t>
        </is>
      </c>
      <c r="E1929" s="233" t="inlineStr">
        <is>
          <t>19</t>
        </is>
      </c>
      <c r="F1929" s="227" t="inlineStr">
        <is>
          <t>VICTOIRE</t>
        </is>
      </c>
    </row>
    <row r="1930">
      <c r="A1930" s="227">
        <f>TL[[#This Row],[Société]]&amp;" - "&amp;TL[[#This Row],[Compte]]</f>
        <v/>
      </c>
      <c r="B1930" s="233" t="inlineStr">
        <is>
          <t>647600</t>
        </is>
      </c>
      <c r="C1930" s="227" t="inlineStr">
        <is>
          <t>Cartes de transport</t>
        </is>
      </c>
      <c r="F1930" s="227" t="inlineStr">
        <is>
          <t>VICTOIRE</t>
        </is>
      </c>
    </row>
    <row r="1931">
      <c r="A1931" s="227">
        <f>TL[[#This Row],[Société]]&amp;" - "&amp;TL[[#This Row],[Compte]]</f>
        <v/>
      </c>
      <c r="B1931" s="233" t="inlineStr">
        <is>
          <t>647700</t>
        </is>
      </c>
      <c r="C1931" s="227" t="inlineStr">
        <is>
          <t>TICKETS RESTAURANTS</t>
        </is>
      </c>
      <c r="F1931" s="227" t="inlineStr">
        <is>
          <t>VICTOIRE</t>
        </is>
      </c>
    </row>
    <row r="1932">
      <c r="A1932" s="227">
        <f>TL[[#This Row],[Société]]&amp;" - "&amp;TL[[#This Row],[Compte]]</f>
        <v/>
      </c>
      <c r="B1932" s="233" t="inlineStr">
        <is>
          <t>647800</t>
        </is>
      </c>
      <c r="C1932" s="227" t="inlineStr">
        <is>
          <t>Stages formation perfectionnement</t>
        </is>
      </c>
      <c r="F1932" s="227" t="inlineStr">
        <is>
          <t>VICTOIRE</t>
        </is>
      </c>
    </row>
    <row r="1933">
      <c r="A1933" s="227">
        <f>TL[[#This Row],[Société]]&amp;" - "&amp;TL[[#This Row],[Compte]]</f>
        <v/>
      </c>
      <c r="B1933" s="233" t="inlineStr">
        <is>
          <t>648000</t>
        </is>
      </c>
      <c r="C1933" s="227" t="inlineStr">
        <is>
          <t>PRIME BLANCHISSAGE MANAGERS</t>
        </is>
      </c>
      <c r="D1933" s="233" t="inlineStr">
        <is>
          <t>11</t>
        </is>
      </c>
      <c r="E1933" s="233" t="inlineStr">
        <is>
          <t>10</t>
        </is>
      </c>
      <c r="F1933" s="227" t="inlineStr">
        <is>
          <t>VICTOIRE</t>
        </is>
      </c>
    </row>
    <row r="1934">
      <c r="A1934" s="227">
        <f>TL[[#This Row],[Société]]&amp;" - "&amp;TL[[#This Row],[Compte]]</f>
        <v/>
      </c>
      <c r="B1934" s="233" t="inlineStr">
        <is>
          <t>648020</t>
        </is>
      </c>
      <c r="C1934" s="227" t="inlineStr">
        <is>
          <t>PRIME BLANCHISSAGE EQUIPIERS</t>
        </is>
      </c>
      <c r="D1934" s="233" t="inlineStr">
        <is>
          <t>10</t>
        </is>
      </c>
      <c r="E1934" s="233" t="inlineStr">
        <is>
          <t>08</t>
        </is>
      </c>
      <c r="F1934" s="227" t="inlineStr">
        <is>
          <t>VICTOIRE</t>
        </is>
      </c>
    </row>
    <row r="1935">
      <c r="A1935" s="227">
        <f>TL[[#This Row],[Société]]&amp;" - "&amp;TL[[#This Row],[Compte]]</f>
        <v/>
      </c>
      <c r="B1935" s="233" t="inlineStr">
        <is>
          <t>649000</t>
        </is>
      </c>
      <c r="C1935" s="227" t="inlineStr">
        <is>
          <t>Crédit d'impôt compétitivité entrep</t>
        </is>
      </c>
      <c r="F1935" s="227" t="inlineStr">
        <is>
          <t>VICTOIRE</t>
        </is>
      </c>
    </row>
    <row r="1936">
      <c r="A1936" s="227">
        <f>TL[[#This Row],[Société]]&amp;" - "&amp;TL[[#This Row],[Compte]]</f>
        <v/>
      </c>
      <c r="B1936" s="233" t="inlineStr">
        <is>
          <t>651000</t>
        </is>
      </c>
      <c r="C1936" s="227" t="inlineStr">
        <is>
          <t>REDEVANCE SERVICE 5% DU CA NET</t>
        </is>
      </c>
      <c r="D1936" s="233" t="inlineStr">
        <is>
          <t>31</t>
        </is>
      </c>
      <c r="E1936" s="233" t="inlineStr">
        <is>
          <t>34</t>
        </is>
      </c>
      <c r="F1936" s="227" t="inlineStr">
        <is>
          <t>VICTOIRE</t>
        </is>
      </c>
    </row>
    <row r="1937">
      <c r="A1937" s="227">
        <f>TL[[#This Row],[Société]]&amp;" - "&amp;TL[[#This Row],[Compte]]</f>
        <v/>
      </c>
      <c r="B1937" s="233" t="inlineStr">
        <is>
          <t>651003</t>
        </is>
      </c>
      <c r="C1937" s="227" t="inlineStr">
        <is>
          <t>SACEM 1/7-30/6/2019  EXT CCA</t>
        </is>
      </c>
      <c r="D1937" s="233" t="inlineStr">
        <is>
          <t>16</t>
        </is>
      </c>
      <c r="E1937" s="233" t="inlineStr">
        <is>
          <t>19</t>
        </is>
      </c>
      <c r="F1937" s="227" t="inlineStr">
        <is>
          <t>VICTOIRE</t>
        </is>
      </c>
    </row>
    <row r="1938">
      <c r="A1938" s="227">
        <f>TL[[#This Row],[Société]]&amp;" - "&amp;TL[[#This Row],[Compte]]</f>
        <v/>
      </c>
      <c r="B1938" s="233" t="inlineStr">
        <is>
          <t>651010</t>
        </is>
      </c>
      <c r="C1938" s="227" t="inlineStr">
        <is>
          <t>Avoir HM (12.50%)</t>
        </is>
      </c>
      <c r="D1938" s="233" t="inlineStr">
        <is>
          <t>30</t>
        </is>
      </c>
      <c r="E1938" s="233" t="inlineStr">
        <is>
          <t>31</t>
        </is>
      </c>
      <c r="F1938" s="227" t="inlineStr">
        <is>
          <t>VICTOIRE</t>
        </is>
      </c>
    </row>
    <row r="1939">
      <c r="A1939" s="227">
        <f>TL[[#This Row],[Société]]&amp;" - "&amp;TL[[#This Row],[Compte]]</f>
        <v/>
      </c>
      <c r="B1939" s="233" t="inlineStr">
        <is>
          <t>651021</t>
        </is>
      </c>
      <c r="C1939" s="227" t="inlineStr">
        <is>
          <t>Avoir HM (5%)</t>
        </is>
      </c>
      <c r="D1939" s="233" t="inlineStr">
        <is>
          <t>31</t>
        </is>
      </c>
      <c r="E1939" s="233" t="inlineStr">
        <is>
          <t>31</t>
        </is>
      </c>
      <c r="F1939" s="227" t="inlineStr">
        <is>
          <t>VICTOIRE</t>
        </is>
      </c>
    </row>
    <row r="1940">
      <c r="A1940" s="227">
        <f>TL[[#This Row],[Société]]&amp;" - "&amp;TL[[#This Row],[Compte]]</f>
        <v/>
      </c>
      <c r="B1940" s="233" t="inlineStr">
        <is>
          <t>651100</t>
        </is>
      </c>
      <c r="C1940" s="227" t="inlineStr">
        <is>
          <t>SACEM-SPRE</t>
        </is>
      </c>
      <c r="D1940" s="233" t="inlineStr">
        <is>
          <t>16</t>
        </is>
      </c>
      <c r="E1940" s="233" t="inlineStr">
        <is>
          <t>19</t>
        </is>
      </c>
      <c r="F1940" s="227" t="inlineStr">
        <is>
          <t>VICTOIRE</t>
        </is>
      </c>
    </row>
    <row r="1941">
      <c r="A1941" s="227">
        <f>TL[[#This Row],[Société]]&amp;" - "&amp;TL[[#This Row],[Compte]]</f>
        <v/>
      </c>
      <c r="B1941" s="233" t="inlineStr">
        <is>
          <t>651200</t>
        </is>
      </c>
      <c r="C1941" s="227" t="inlineStr">
        <is>
          <t>Redevances SACEM</t>
        </is>
      </c>
      <c r="F1941" s="227" t="inlineStr">
        <is>
          <t>VICTOIRE</t>
        </is>
      </c>
    </row>
    <row r="1942">
      <c r="A1942" s="227">
        <f>TL[[#This Row],[Société]]&amp;" - "&amp;TL[[#This Row],[Compte]]</f>
        <v/>
      </c>
      <c r="B1942" s="233" t="inlineStr">
        <is>
          <t>651300</t>
        </is>
      </c>
      <c r="C1942" s="227" t="inlineStr">
        <is>
          <t>Redevances de franchissage</t>
        </is>
      </c>
      <c r="F1942" s="227" t="inlineStr">
        <is>
          <t>VICTOIRE</t>
        </is>
      </c>
    </row>
    <row r="1943">
      <c r="A1943" s="227">
        <f>TL[[#This Row],[Société]]&amp;" - "&amp;TL[[#This Row],[Compte]]</f>
        <v/>
      </c>
      <c r="B1943" s="233" t="inlineStr">
        <is>
          <t>651600</t>
        </is>
      </c>
      <c r="C1943" s="227" t="inlineStr">
        <is>
          <t>Droits d'auteurs</t>
        </is>
      </c>
      <c r="F1943" s="227" t="inlineStr">
        <is>
          <t>VICTOIRE</t>
        </is>
      </c>
    </row>
    <row r="1944">
      <c r="A1944" s="227">
        <f>TL[[#This Row],[Société]]&amp;" - "&amp;TL[[#This Row],[Compte]]</f>
        <v/>
      </c>
      <c r="B1944" s="233" t="inlineStr">
        <is>
          <t>651800</t>
        </is>
      </c>
      <c r="C1944" s="227" t="inlineStr">
        <is>
          <t>Autres droits et valeurs similaires</t>
        </is>
      </c>
      <c r="F1944" s="227" t="inlineStr">
        <is>
          <t>VICTOIRE</t>
        </is>
      </c>
    </row>
    <row r="1945">
      <c r="A1945" s="227">
        <f>TL[[#This Row],[Société]]&amp;" - "&amp;TL[[#This Row],[Compte]]</f>
        <v/>
      </c>
      <c r="B1945" s="233" t="inlineStr">
        <is>
          <t>653000</t>
        </is>
      </c>
      <c r="C1945" s="227" t="inlineStr">
        <is>
          <t>Jetons de présence</t>
        </is>
      </c>
      <c r="F1945" s="227" t="inlineStr">
        <is>
          <t>VICTOIRE</t>
        </is>
      </c>
    </row>
    <row r="1946">
      <c r="A1946" s="227">
        <f>TL[[#This Row],[Société]]&amp;" - "&amp;TL[[#This Row],[Compte]]</f>
        <v/>
      </c>
      <c r="B1946" s="233" t="inlineStr">
        <is>
          <t>654000</t>
        </is>
      </c>
      <c r="C1946" s="227" t="inlineStr">
        <is>
          <t>Pertes s/créances irrécouvrables</t>
        </is>
      </c>
      <c r="F1946" s="227" t="inlineStr">
        <is>
          <t>VICTOIRE</t>
        </is>
      </c>
    </row>
    <row r="1947">
      <c r="A1947" s="227">
        <f>TL[[#This Row],[Société]]&amp;" - "&amp;TL[[#This Row],[Compte]]</f>
        <v/>
      </c>
      <c r="B1947" s="233" t="inlineStr">
        <is>
          <t>654100</t>
        </is>
      </c>
      <c r="C1947" s="227" t="inlineStr">
        <is>
          <t>PERTE CREANCE IRRECOUVRABLE</t>
        </is>
      </c>
      <c r="D1947" s="233" t="inlineStr">
        <is>
          <t>39</t>
        </is>
      </c>
      <c r="E1947" s="233" t="inlineStr">
        <is>
          <t>27</t>
        </is>
      </c>
      <c r="F1947" s="227" t="inlineStr">
        <is>
          <t>VICTOIRE</t>
        </is>
      </c>
    </row>
    <row r="1948">
      <c r="A1948" s="227">
        <f>TL[[#This Row],[Société]]&amp;" - "&amp;TL[[#This Row],[Compte]]</f>
        <v/>
      </c>
      <c r="B1948" s="233" t="inlineStr">
        <is>
          <t>654400</t>
        </is>
      </c>
      <c r="C1948" s="227" t="inlineStr">
        <is>
          <t>Pertes sur créances antérieures</t>
        </is>
      </c>
      <c r="F1948" s="227" t="inlineStr">
        <is>
          <t>VICTOIRE</t>
        </is>
      </c>
    </row>
    <row r="1949">
      <c r="A1949" s="227">
        <f>TL[[#This Row],[Société]]&amp;" - "&amp;TL[[#This Row],[Compte]]</f>
        <v/>
      </c>
      <c r="B1949" s="233" t="inlineStr">
        <is>
          <t>655000</t>
        </is>
      </c>
      <c r="C1949" s="227" t="inlineStr">
        <is>
          <t>Quote part de résultat s/opér.comm.</t>
        </is>
      </c>
      <c r="F1949" s="227" t="inlineStr">
        <is>
          <t>VICTOIRE</t>
        </is>
      </c>
    </row>
    <row r="1950">
      <c r="A1950" s="227">
        <f>TL[[#This Row],[Société]]&amp;" - "&amp;TL[[#This Row],[Compte]]</f>
        <v/>
      </c>
      <c r="B1950" s="233" t="inlineStr">
        <is>
          <t>656000</t>
        </is>
      </c>
      <c r="C1950" s="227" t="inlineStr">
        <is>
          <t>Perte change / Cré. &amp; Det. Ciales</t>
        </is>
      </c>
      <c r="F1950" s="227" t="inlineStr">
        <is>
          <t>VICTOIRE</t>
        </is>
      </c>
    </row>
    <row r="1951">
      <c r="A1951" s="227">
        <f>TL[[#This Row],[Société]]&amp;" - "&amp;TL[[#This Row],[Compte]]</f>
        <v/>
      </c>
      <c r="B1951" s="233" t="inlineStr">
        <is>
          <t>658000</t>
        </is>
      </c>
      <c r="C1951" s="227" t="inlineStr">
        <is>
          <t>CHARGES DIVERSES GESTION COURA</t>
        </is>
      </c>
      <c r="D1951" s="233" t="inlineStr">
        <is>
          <t>39</t>
        </is>
      </c>
      <c r="E1951" s="233" t="inlineStr">
        <is>
          <t>27</t>
        </is>
      </c>
      <c r="F1951" s="227" t="inlineStr">
        <is>
          <t>VICTOIRE</t>
        </is>
      </c>
    </row>
    <row r="1952">
      <c r="A1952" s="227">
        <f>TL[[#This Row],[Société]]&amp;" - "&amp;TL[[#This Row],[Compte]]</f>
        <v/>
      </c>
      <c r="B1952" s="233" t="inlineStr">
        <is>
          <t>658100</t>
        </is>
      </c>
      <c r="C1952" s="227" t="inlineStr">
        <is>
          <t>ECARTS DE CAISSE</t>
        </is>
      </c>
      <c r="D1952" s="233" t="inlineStr">
        <is>
          <t>22</t>
        </is>
      </c>
      <c r="E1952" s="233" t="inlineStr">
        <is>
          <t>27</t>
        </is>
      </c>
      <c r="F1952" s="227" t="inlineStr">
        <is>
          <t>VICTOIRE</t>
        </is>
      </c>
    </row>
    <row r="1953">
      <c r="A1953" s="227">
        <f>TL[[#This Row],[Société]]&amp;" - "&amp;TL[[#This Row],[Compte]]</f>
        <v/>
      </c>
      <c r="B1953" s="233" t="inlineStr">
        <is>
          <t>661100</t>
        </is>
      </c>
      <c r="C1953" s="227" t="inlineStr">
        <is>
          <t>INTERETS EMPRUNT</t>
        </is>
      </c>
      <c r="D1953" s="233" t="inlineStr">
        <is>
          <t>37</t>
        </is>
      </c>
      <c r="E1953" s="233" t="inlineStr">
        <is>
          <t>42</t>
        </is>
      </c>
      <c r="F1953" s="227" t="inlineStr">
        <is>
          <t>VICTOIRE</t>
        </is>
      </c>
    </row>
    <row r="1954">
      <c r="A1954" s="227">
        <f>TL[[#This Row],[Société]]&amp;" - "&amp;TL[[#This Row],[Compte]]</f>
        <v/>
      </c>
      <c r="B1954" s="233" t="inlineStr">
        <is>
          <t>661160</t>
        </is>
      </c>
      <c r="C1954" s="227" t="inlineStr">
        <is>
          <t>Intérêts sur emprunts et dettes</t>
        </is>
      </c>
      <c r="F1954" s="227" t="inlineStr">
        <is>
          <t>VICTOIRE</t>
        </is>
      </c>
    </row>
    <row r="1955">
      <c r="A1955" s="227">
        <f>TL[[#This Row],[Société]]&amp;" - "&amp;TL[[#This Row],[Compte]]</f>
        <v/>
      </c>
      <c r="B1955" s="233" t="inlineStr">
        <is>
          <t>661170</t>
        </is>
      </c>
      <c r="C1955" s="227" t="inlineStr">
        <is>
          <t>Intérêts sur dettes participations</t>
        </is>
      </c>
      <c r="F1955" s="227" t="inlineStr">
        <is>
          <t>VICTOIRE</t>
        </is>
      </c>
    </row>
    <row r="1956">
      <c r="A1956" s="227">
        <f>TL[[#This Row],[Société]]&amp;" - "&amp;TL[[#This Row],[Compte]]</f>
        <v/>
      </c>
      <c r="B1956" s="233" t="inlineStr">
        <is>
          <t>661500</t>
        </is>
      </c>
      <c r="C1956" s="227" t="inlineStr">
        <is>
          <t>Intérêts comptes courants dépôts CR</t>
        </is>
      </c>
      <c r="F1956" s="227" t="inlineStr">
        <is>
          <t>VICTOIRE</t>
        </is>
      </c>
    </row>
    <row r="1957">
      <c r="A1957" s="227">
        <f>TL[[#This Row],[Société]]&amp;" - "&amp;TL[[#This Row],[Compte]]</f>
        <v/>
      </c>
      <c r="B1957" s="233" t="inlineStr">
        <is>
          <t>661600</t>
        </is>
      </c>
      <c r="C1957" s="227" t="inlineStr">
        <is>
          <t>Intérêts bancaires</t>
        </is>
      </c>
      <c r="F1957" s="227" t="inlineStr">
        <is>
          <t>VICTOIRE</t>
        </is>
      </c>
    </row>
    <row r="1958">
      <c r="A1958" s="227">
        <f>TL[[#This Row],[Société]]&amp;" - "&amp;TL[[#This Row],[Compte]]</f>
        <v/>
      </c>
      <c r="B1958" s="233" t="inlineStr">
        <is>
          <t>661610</t>
        </is>
      </c>
      <c r="C1958" s="227" t="inlineStr">
        <is>
          <t>Intérêts d'escompte</t>
        </is>
      </c>
      <c r="F1958" s="227" t="inlineStr">
        <is>
          <t>VICTOIRE</t>
        </is>
      </c>
    </row>
    <row r="1959">
      <c r="A1959" s="227">
        <f>TL[[#This Row],[Société]]&amp;" - "&amp;TL[[#This Row],[Compte]]</f>
        <v/>
      </c>
      <c r="B1959" s="233" t="inlineStr">
        <is>
          <t>661700</t>
        </is>
      </c>
      <c r="C1959" s="227" t="inlineStr">
        <is>
          <t>Intérêts obligations cautionnées</t>
        </is>
      </c>
      <c r="F1959" s="227" t="inlineStr">
        <is>
          <t>VICTOIRE</t>
        </is>
      </c>
    </row>
    <row r="1960">
      <c r="A1960" s="227">
        <f>TL[[#This Row],[Société]]&amp;" - "&amp;TL[[#This Row],[Compte]]</f>
        <v/>
      </c>
      <c r="B1960" s="233" t="inlineStr">
        <is>
          <t>661800</t>
        </is>
      </c>
      <c r="C1960" s="227" t="inlineStr">
        <is>
          <t>Intérêts des autres dettes</t>
        </is>
      </c>
      <c r="F1960" s="227" t="inlineStr">
        <is>
          <t>VICTOIRE</t>
        </is>
      </c>
    </row>
    <row r="1961">
      <c r="A1961" s="227">
        <f>TL[[#This Row],[Société]]&amp;" - "&amp;TL[[#This Row],[Compte]]</f>
        <v/>
      </c>
      <c r="B1961" s="233" t="inlineStr">
        <is>
          <t>661810</t>
        </is>
      </c>
      <c r="C1961" s="227" t="inlineStr">
        <is>
          <t>ntérêts des dettes commerciales</t>
        </is>
      </c>
      <c r="F1961" s="227" t="inlineStr">
        <is>
          <t>VICTOIRE</t>
        </is>
      </c>
    </row>
    <row r="1962">
      <c r="A1962" s="227">
        <f>TL[[#This Row],[Société]]&amp;" - "&amp;TL[[#This Row],[Compte]]</f>
        <v/>
      </c>
      <c r="B1962" s="233" t="inlineStr">
        <is>
          <t>661880</t>
        </is>
      </c>
      <c r="C1962" s="227" t="inlineStr">
        <is>
          <t>Intérêts des dettes diverses</t>
        </is>
      </c>
      <c r="F1962" s="227" t="inlineStr">
        <is>
          <t>VICTOIRE</t>
        </is>
      </c>
    </row>
    <row r="1963">
      <c r="A1963" s="227">
        <f>TL[[#This Row],[Société]]&amp;" - "&amp;TL[[#This Row],[Compte]]</f>
        <v/>
      </c>
      <c r="B1963" s="233" t="inlineStr">
        <is>
          <t>664000</t>
        </is>
      </c>
      <c r="C1963" s="227" t="inlineStr">
        <is>
          <t>Pertes s/créances liées à particip.</t>
        </is>
      </c>
      <c r="F1963" s="227" t="inlineStr">
        <is>
          <t>VICTOIRE</t>
        </is>
      </c>
    </row>
    <row r="1964">
      <c r="A1964" s="227">
        <f>TL[[#This Row],[Société]]&amp;" - "&amp;TL[[#This Row],[Compte]]</f>
        <v/>
      </c>
      <c r="B1964" s="233" t="inlineStr">
        <is>
          <t>665000</t>
        </is>
      </c>
      <c r="C1964" s="227" t="inlineStr">
        <is>
          <t>Escomptes accordés</t>
        </is>
      </c>
      <c r="F1964" s="227" t="inlineStr">
        <is>
          <t>VICTOIRE</t>
        </is>
      </c>
    </row>
    <row r="1965">
      <c r="A1965" s="227">
        <f>TL[[#This Row],[Société]]&amp;" - "&amp;TL[[#This Row],[Compte]]</f>
        <v/>
      </c>
      <c r="B1965" s="233" t="inlineStr">
        <is>
          <t>666000</t>
        </is>
      </c>
      <c r="C1965" s="227" t="inlineStr">
        <is>
          <t>Pertes de change</t>
        </is>
      </c>
      <c r="F1965" s="227" t="inlineStr">
        <is>
          <t>VICTOIRE</t>
        </is>
      </c>
    </row>
    <row r="1966">
      <c r="A1966" s="227">
        <f>TL[[#This Row],[Société]]&amp;" - "&amp;TL[[#This Row],[Compte]]</f>
        <v/>
      </c>
      <c r="B1966" s="233" t="inlineStr">
        <is>
          <t>667000</t>
        </is>
      </c>
      <c r="C1966" s="227" t="inlineStr">
        <is>
          <t>Charges sur cession de V.M.P</t>
        </is>
      </c>
      <c r="F1966" s="227" t="inlineStr">
        <is>
          <t>VICTOIRE</t>
        </is>
      </c>
    </row>
    <row r="1967">
      <c r="A1967" s="227">
        <f>TL[[#This Row],[Société]]&amp;" - "&amp;TL[[#This Row],[Compte]]</f>
        <v/>
      </c>
      <c r="B1967" s="233" t="inlineStr">
        <is>
          <t>668000</t>
        </is>
      </c>
      <c r="C1967" s="227" t="inlineStr">
        <is>
          <t>Autres charges financières</t>
        </is>
      </c>
      <c r="F1967" s="227" t="inlineStr">
        <is>
          <t>VICTOIRE</t>
        </is>
      </c>
    </row>
    <row r="1968">
      <c r="A1968" s="227">
        <f>TL[[#This Row],[Société]]&amp;" - "&amp;TL[[#This Row],[Compte]]</f>
        <v/>
      </c>
      <c r="B1968" s="233" t="inlineStr">
        <is>
          <t>668700</t>
        </is>
      </c>
      <c r="C1968" s="227" t="inlineStr">
        <is>
          <t>Commission financière d'affacturage</t>
        </is>
      </c>
      <c r="F1968" s="227" t="inlineStr">
        <is>
          <t>VICTOIRE</t>
        </is>
      </c>
    </row>
    <row r="1969">
      <c r="A1969" s="227">
        <f>TL[[#This Row],[Société]]&amp;" - "&amp;TL[[#This Row],[Compte]]</f>
        <v/>
      </c>
      <c r="B1969" s="233" t="inlineStr">
        <is>
          <t>668800</t>
        </is>
      </c>
      <c r="C1969" s="227" t="inlineStr">
        <is>
          <t>Ecart de conversion EURO</t>
        </is>
      </c>
      <c r="F1969" s="227" t="inlineStr">
        <is>
          <t>VICTOIRE</t>
        </is>
      </c>
    </row>
    <row r="1970">
      <c r="A1970" s="227">
        <f>TL[[#This Row],[Société]]&amp;" - "&amp;TL[[#This Row],[Compte]]</f>
        <v/>
      </c>
      <c r="B1970" s="233" t="inlineStr">
        <is>
          <t>671000</t>
        </is>
      </c>
      <c r="C1970" s="227" t="inlineStr">
        <is>
          <t>Charges exception. s/opérat.gestion</t>
        </is>
      </c>
      <c r="F1970" s="227" t="inlineStr">
        <is>
          <t>VICTOIRE</t>
        </is>
      </c>
    </row>
    <row r="1971">
      <c r="A1971" s="227">
        <f>TL[[#This Row],[Société]]&amp;" - "&amp;TL[[#This Row],[Compte]]</f>
        <v/>
      </c>
      <c r="B1971" s="233" t="inlineStr">
        <is>
          <t>671100</t>
        </is>
      </c>
      <c r="C1971" s="227" t="inlineStr">
        <is>
          <t>Pénalités sur marché</t>
        </is>
      </c>
      <c r="D1971" s="233" t="inlineStr">
        <is>
          <t>39</t>
        </is>
      </c>
      <c r="E1971" s="233" t="inlineStr">
        <is>
          <t>27</t>
        </is>
      </c>
      <c r="F1971" s="227" t="inlineStr">
        <is>
          <t>VICTOIRE</t>
        </is>
      </c>
    </row>
    <row r="1972">
      <c r="A1972" s="227">
        <f>TL[[#This Row],[Société]]&amp;" - "&amp;TL[[#This Row],[Compte]]</f>
        <v/>
      </c>
      <c r="B1972" s="233" t="inlineStr">
        <is>
          <t>671200</t>
        </is>
      </c>
      <c r="C1972" s="227" t="inlineStr">
        <is>
          <t>Pénalités et amendes</t>
        </is>
      </c>
      <c r="F1972" s="227" t="inlineStr">
        <is>
          <t>VICTOIRE</t>
        </is>
      </c>
    </row>
    <row r="1973">
      <c r="A1973" s="227">
        <f>TL[[#This Row],[Société]]&amp;" - "&amp;TL[[#This Row],[Compte]]</f>
        <v/>
      </c>
      <c r="B1973" s="233" t="inlineStr">
        <is>
          <t>671300</t>
        </is>
      </c>
      <c r="C1973" s="227" t="inlineStr">
        <is>
          <t>Dons et libéralités</t>
        </is>
      </c>
      <c r="D1973" s="233" t="inlineStr">
        <is>
          <t>39</t>
        </is>
      </c>
      <c r="E1973" s="233" t="inlineStr">
        <is>
          <t>45</t>
        </is>
      </c>
      <c r="F1973" s="227" t="inlineStr">
        <is>
          <t>VICTOIRE</t>
        </is>
      </c>
    </row>
    <row r="1974">
      <c r="A1974" s="227">
        <f>TL[[#This Row],[Société]]&amp;" - "&amp;TL[[#This Row],[Compte]]</f>
        <v/>
      </c>
      <c r="B1974" s="233" t="inlineStr">
        <is>
          <t>671400</t>
        </is>
      </c>
      <c r="C1974" s="227" t="inlineStr">
        <is>
          <t>Créances devenues irrécouvrables</t>
        </is>
      </c>
      <c r="F1974" s="227" t="inlineStr">
        <is>
          <t>VICTOIRE</t>
        </is>
      </c>
    </row>
    <row r="1975">
      <c r="A1975" s="227">
        <f>TL[[#This Row],[Société]]&amp;" - "&amp;TL[[#This Row],[Compte]]</f>
        <v/>
      </c>
      <c r="B1975" s="233" t="inlineStr">
        <is>
          <t>671500</t>
        </is>
      </c>
      <c r="C1975" s="227" t="inlineStr">
        <is>
          <t>Subventions accordées</t>
        </is>
      </c>
      <c r="F1975" s="227" t="inlineStr">
        <is>
          <t>VICTOIRE</t>
        </is>
      </c>
    </row>
    <row r="1976">
      <c r="A1976" s="227">
        <f>TL[[#This Row],[Société]]&amp;" - "&amp;TL[[#This Row],[Compte]]</f>
        <v/>
      </c>
      <c r="B1976" s="233" t="inlineStr">
        <is>
          <t>671700</t>
        </is>
      </c>
      <c r="C1976" s="227" t="inlineStr">
        <is>
          <t>Rappel d'impôts hors IS</t>
        </is>
      </c>
      <c r="F1976" s="227" t="inlineStr">
        <is>
          <t>VICTOIRE</t>
        </is>
      </c>
    </row>
    <row r="1977">
      <c r="A1977" s="227">
        <f>TL[[#This Row],[Société]]&amp;" - "&amp;TL[[#This Row],[Compte]]</f>
        <v/>
      </c>
      <c r="B1977" s="233" t="inlineStr">
        <is>
          <t>671800</t>
        </is>
      </c>
      <c r="C1977" s="227" t="inlineStr">
        <is>
          <t>Autres charges except. de gestion</t>
        </is>
      </c>
      <c r="F1977" s="227" t="inlineStr">
        <is>
          <t>VICTOIRE</t>
        </is>
      </c>
    </row>
    <row r="1978">
      <c r="A1978" s="227">
        <f>TL[[#This Row],[Société]]&amp;" - "&amp;TL[[#This Row],[Compte]]</f>
        <v/>
      </c>
      <c r="B1978" s="233" t="inlineStr">
        <is>
          <t>671810</t>
        </is>
      </c>
      <c r="C1978" s="227" t="inlineStr">
        <is>
          <t>Vols</t>
        </is>
      </c>
      <c r="F1978" s="227" t="inlineStr">
        <is>
          <t>VICTOIRE</t>
        </is>
      </c>
    </row>
    <row r="1979">
      <c r="A1979" s="227">
        <f>TL[[#This Row],[Société]]&amp;" - "&amp;TL[[#This Row],[Compte]]</f>
        <v/>
      </c>
      <c r="B1979" s="233" t="inlineStr">
        <is>
          <t>671820</t>
        </is>
      </c>
      <c r="C1979" s="227" t="inlineStr">
        <is>
          <t>Annulation de créances</t>
        </is>
      </c>
      <c r="F1979" s="227" t="inlineStr">
        <is>
          <t>VICTOIRE</t>
        </is>
      </c>
    </row>
    <row r="1980">
      <c r="A1980" s="227">
        <f>TL[[#This Row],[Société]]&amp;" - "&amp;TL[[#This Row],[Compte]]</f>
        <v/>
      </c>
      <c r="B1980" s="233" t="inlineStr">
        <is>
          <t>672000</t>
        </is>
      </c>
      <c r="C1980" s="227" t="inlineStr">
        <is>
          <t>Charges sur exercices antérieurs</t>
        </is>
      </c>
      <c r="F1980" s="227" t="inlineStr">
        <is>
          <t>VICTOIRE</t>
        </is>
      </c>
    </row>
    <row r="1981">
      <c r="A1981" s="227">
        <f>TL[[#This Row],[Société]]&amp;" - "&amp;TL[[#This Row],[Compte]]</f>
        <v/>
      </c>
      <c r="B1981" s="233" t="inlineStr">
        <is>
          <t>674100</t>
        </is>
      </c>
      <c r="C1981" s="227" t="inlineStr">
        <is>
          <t>Op. liées à la constit. fiducie</t>
        </is>
      </c>
      <c r="F1981" s="227" t="inlineStr">
        <is>
          <t>VICTOIRE</t>
        </is>
      </c>
    </row>
    <row r="1982">
      <c r="A1982" s="227">
        <f>TL[[#This Row],[Société]]&amp;" - "&amp;TL[[#This Row],[Compte]]</f>
        <v/>
      </c>
      <c r="B1982" s="233" t="inlineStr">
        <is>
          <t>674200</t>
        </is>
      </c>
      <c r="C1982" s="227" t="inlineStr">
        <is>
          <t>Op. liées à la liquid. fiducie</t>
        </is>
      </c>
      <c r="F1982" s="227" t="inlineStr">
        <is>
          <t>VICTOIRE</t>
        </is>
      </c>
    </row>
    <row r="1983">
      <c r="A1983" s="227">
        <f>TL[[#This Row],[Société]]&amp;" - "&amp;TL[[#This Row],[Compte]]</f>
        <v/>
      </c>
      <c r="B1983" s="233" t="inlineStr">
        <is>
          <t>675000</t>
        </is>
      </c>
      <c r="C1983" s="227" t="inlineStr">
        <is>
          <t>Valeurs compt. éléments actif cédés</t>
        </is>
      </c>
      <c r="F1983" s="227" t="inlineStr">
        <is>
          <t>VICTOIRE</t>
        </is>
      </c>
    </row>
    <row r="1984">
      <c r="A1984" s="227">
        <f>TL[[#This Row],[Société]]&amp;" - "&amp;TL[[#This Row],[Compte]]</f>
        <v/>
      </c>
      <c r="B1984" s="233" t="inlineStr">
        <is>
          <t>675100</t>
        </is>
      </c>
      <c r="C1984" s="227" t="inlineStr">
        <is>
          <t>VNC actifs cédés - Immo incorp.</t>
        </is>
      </c>
      <c r="F1984" s="227" t="inlineStr">
        <is>
          <t>VICTOIRE</t>
        </is>
      </c>
    </row>
    <row r="1985">
      <c r="A1985" s="227">
        <f>TL[[#This Row],[Société]]&amp;" - "&amp;TL[[#This Row],[Compte]]</f>
        <v/>
      </c>
      <c r="B1985" s="233" t="inlineStr">
        <is>
          <t>675200</t>
        </is>
      </c>
      <c r="C1985" s="227" t="inlineStr">
        <is>
          <t>VALEUR COMPTABLE ELT ACTIF CEDE</t>
        </is>
      </c>
      <c r="D1985" s="233" t="inlineStr">
        <is>
          <t>35</t>
        </is>
      </c>
      <c r="E1985" s="233" t="inlineStr">
        <is>
          <t>45</t>
        </is>
      </c>
      <c r="F1985" s="227" t="inlineStr">
        <is>
          <t>VICTOIRE</t>
        </is>
      </c>
    </row>
    <row r="1986">
      <c r="A1986" s="227">
        <f>TL[[#This Row],[Société]]&amp;" - "&amp;TL[[#This Row],[Compte]]</f>
        <v/>
      </c>
      <c r="B1986" s="233" t="inlineStr">
        <is>
          <t>675600</t>
        </is>
      </c>
      <c r="C1986" s="227" t="inlineStr">
        <is>
          <t>VNC actifs cédés - Immo financières</t>
        </is>
      </c>
      <c r="F1986" s="227" t="inlineStr">
        <is>
          <t>VICTOIRE</t>
        </is>
      </c>
    </row>
    <row r="1987">
      <c r="A1987" s="227">
        <f>TL[[#This Row],[Société]]&amp;" - "&amp;TL[[#This Row],[Compte]]</f>
        <v/>
      </c>
      <c r="B1987" s="233" t="inlineStr">
        <is>
          <t>678800</t>
        </is>
      </c>
      <c r="C1987" s="227" t="inlineStr">
        <is>
          <t>Charges exceptionnelles diverses</t>
        </is>
      </c>
      <c r="F1987" s="227" t="inlineStr">
        <is>
          <t>VICTOIRE</t>
        </is>
      </c>
    </row>
    <row r="1988">
      <c r="A1988" s="227">
        <f>TL[[#This Row],[Société]]&amp;" - "&amp;TL[[#This Row],[Compte]]</f>
        <v/>
      </c>
      <c r="B1988" s="233" t="inlineStr">
        <is>
          <t>681100</t>
        </is>
      </c>
      <c r="C1988" s="227" t="inlineStr">
        <is>
          <t>DOTATION AMORT</t>
        </is>
      </c>
      <c r="D1988" s="233" t="inlineStr">
        <is>
          <t>36</t>
        </is>
      </c>
      <c r="E1988" s="233" t="inlineStr">
        <is>
          <t>38</t>
        </is>
      </c>
      <c r="F1988" s="227" t="inlineStr">
        <is>
          <t>VICTOIRE</t>
        </is>
      </c>
    </row>
    <row r="1989">
      <c r="A1989" s="227">
        <f>TL[[#This Row],[Société]]&amp;" - "&amp;TL[[#This Row],[Compte]]</f>
        <v/>
      </c>
      <c r="B1989" s="233" t="inlineStr">
        <is>
          <t>681110</t>
        </is>
      </c>
      <c r="C1989" s="227" t="inlineStr">
        <is>
          <t>DOTATIONS AUX AMORT</t>
        </is>
      </c>
      <c r="D1989" s="233" t="inlineStr">
        <is>
          <t>36</t>
        </is>
      </c>
      <c r="E1989" s="233" t="inlineStr">
        <is>
          <t>38</t>
        </is>
      </c>
      <c r="F1989" s="227" t="inlineStr">
        <is>
          <t>VICTOIRE</t>
        </is>
      </c>
    </row>
    <row r="1990">
      <c r="A1990" s="227">
        <f>TL[[#This Row],[Société]]&amp;" - "&amp;TL[[#This Row],[Compte]]</f>
        <v/>
      </c>
      <c r="B1990" s="233" t="inlineStr">
        <is>
          <t>681120</t>
        </is>
      </c>
      <c r="C1990" s="227" t="inlineStr">
        <is>
          <t>DAP IMMO CORP</t>
        </is>
      </c>
      <c r="D1990" s="233" t="inlineStr">
        <is>
          <t>36</t>
        </is>
      </c>
      <c r="E1990" s="233" t="inlineStr">
        <is>
          <t>38</t>
        </is>
      </c>
      <c r="F1990" s="227" t="inlineStr">
        <is>
          <t>VICTOIRE</t>
        </is>
      </c>
    </row>
    <row r="1991">
      <c r="A1991" s="227">
        <f>TL[[#This Row],[Société]]&amp;" - "&amp;TL[[#This Row],[Compte]]</f>
        <v/>
      </c>
      <c r="B1991" s="233" t="inlineStr">
        <is>
          <t>681200</t>
        </is>
      </c>
      <c r="C1991" s="227" t="inlineStr">
        <is>
          <t>Dot. amort. ch. exploit. à répartir</t>
        </is>
      </c>
      <c r="F1991" s="227" t="inlineStr">
        <is>
          <t>VICTOIRE</t>
        </is>
      </c>
    </row>
    <row r="1992">
      <c r="A1992" s="227">
        <f>TL[[#This Row],[Société]]&amp;" - "&amp;TL[[#This Row],[Compte]]</f>
        <v/>
      </c>
      <c r="B1992" s="233" t="inlineStr">
        <is>
          <t>681500</t>
        </is>
      </c>
      <c r="C1992" s="227" t="inlineStr">
        <is>
          <t>DOT PROV RISQ CHARGES EXPL.</t>
        </is>
      </c>
      <c r="F1992" s="227" t="inlineStr">
        <is>
          <t>VICTOIRE</t>
        </is>
      </c>
    </row>
    <row r="1993">
      <c r="A1993" s="227">
        <f>TL[[#This Row],[Société]]&amp;" - "&amp;TL[[#This Row],[Compte]]</f>
        <v/>
      </c>
      <c r="B1993" s="233" t="inlineStr">
        <is>
          <t>681610</t>
        </is>
      </c>
      <c r="C1993" s="227" t="inlineStr">
        <is>
          <t>Dot. prov. s/immobil. incorporel.</t>
        </is>
      </c>
      <c r="F1993" s="227" t="inlineStr">
        <is>
          <t>VICTOIRE</t>
        </is>
      </c>
    </row>
    <row r="1994">
      <c r="A1994" s="227">
        <f>TL[[#This Row],[Société]]&amp;" - "&amp;TL[[#This Row],[Compte]]</f>
        <v/>
      </c>
      <c r="B1994" s="233" t="inlineStr">
        <is>
          <t>681620</t>
        </is>
      </c>
      <c r="C1994" s="227" t="inlineStr">
        <is>
          <t>Dot. prov. s/immobil. corporel.</t>
        </is>
      </c>
      <c r="F1994" s="227" t="inlineStr">
        <is>
          <t>VICTOIRE</t>
        </is>
      </c>
    </row>
    <row r="1995">
      <c r="A1995" s="227">
        <f>TL[[#This Row],[Société]]&amp;" - "&amp;TL[[#This Row],[Compte]]</f>
        <v/>
      </c>
      <c r="B1995" s="233" t="inlineStr">
        <is>
          <t>681730</t>
        </is>
      </c>
      <c r="C1995" s="227" t="inlineStr">
        <is>
          <t>Dot. prov. dépréc. stocks en-cours</t>
        </is>
      </c>
      <c r="F1995" s="227" t="inlineStr">
        <is>
          <t>VICTOIRE</t>
        </is>
      </c>
    </row>
    <row r="1996">
      <c r="A1996" s="227">
        <f>TL[[#This Row],[Société]]&amp;" - "&amp;TL[[#This Row],[Compte]]</f>
        <v/>
      </c>
      <c r="B1996" s="233" t="inlineStr">
        <is>
          <t>681740</t>
        </is>
      </c>
      <c r="C1996" s="227" t="inlineStr">
        <is>
          <t>Dot. prov. dépréc. créances clients</t>
        </is>
      </c>
      <c r="F1996" s="227" t="inlineStr">
        <is>
          <t>VICTOIRE</t>
        </is>
      </c>
    </row>
    <row r="1997">
      <c r="A1997" s="227">
        <f>TL[[#This Row],[Société]]&amp;" - "&amp;TL[[#This Row],[Compte]]</f>
        <v/>
      </c>
      <c r="B1997" s="233" t="inlineStr">
        <is>
          <t>681745</t>
        </is>
      </c>
      <c r="C1997" s="227" t="inlineStr">
        <is>
          <t>Dot. prov. dépréc. autres créances</t>
        </is>
      </c>
      <c r="F1997" s="227" t="inlineStr">
        <is>
          <t>VICTOIRE</t>
        </is>
      </c>
    </row>
    <row r="1998">
      <c r="A1998" s="227">
        <f>TL[[#This Row],[Société]]&amp;" - "&amp;TL[[#This Row],[Compte]]</f>
        <v/>
      </c>
      <c r="B1998" s="233" t="inlineStr">
        <is>
          <t>686100</t>
        </is>
      </c>
      <c r="C1998" s="227" t="inlineStr">
        <is>
          <t>Dot. prov. amort.prime rembourst</t>
        </is>
      </c>
      <c r="F1998" s="227" t="inlineStr">
        <is>
          <t>VICTOIRE</t>
        </is>
      </c>
    </row>
    <row r="1999">
      <c r="A1999" s="227">
        <f>TL[[#This Row],[Société]]&amp;" - "&amp;TL[[#This Row],[Compte]]</f>
        <v/>
      </c>
      <c r="B1999" s="233" t="inlineStr">
        <is>
          <t>686400</t>
        </is>
      </c>
      <c r="C1999" s="227" t="inlineStr">
        <is>
          <t>Dot. prov. risques part. équivalenc</t>
        </is>
      </c>
      <c r="F1999" s="227" t="inlineStr">
        <is>
          <t>VICTOIRE</t>
        </is>
      </c>
    </row>
    <row r="2000">
      <c r="A2000" s="227">
        <f>TL[[#This Row],[Société]]&amp;" - "&amp;TL[[#This Row],[Compte]]</f>
        <v/>
      </c>
      <c r="B2000" s="233" t="inlineStr">
        <is>
          <t>686500</t>
        </is>
      </c>
      <c r="C2000" s="227" t="inlineStr">
        <is>
          <t>Dot. prov. risques financiers</t>
        </is>
      </c>
      <c r="F2000" s="227" t="inlineStr">
        <is>
          <t>VICTOIRE</t>
        </is>
      </c>
    </row>
    <row r="2001">
      <c r="A2001" s="227">
        <f>TL[[#This Row],[Société]]&amp;" - "&amp;TL[[#This Row],[Compte]]</f>
        <v/>
      </c>
      <c r="B2001" s="233" t="inlineStr">
        <is>
          <t>686620</t>
        </is>
      </c>
      <c r="C2001" s="227" t="inlineStr">
        <is>
          <t>Dot. prov. dépréc. immob. financ.</t>
        </is>
      </c>
      <c r="F2001" s="227" t="inlineStr">
        <is>
          <t>VICTOIRE</t>
        </is>
      </c>
    </row>
    <row r="2002">
      <c r="A2002" s="227">
        <f>TL[[#This Row],[Société]]&amp;" - "&amp;TL[[#This Row],[Compte]]</f>
        <v/>
      </c>
      <c r="B2002" s="233" t="inlineStr">
        <is>
          <t>686640</t>
        </is>
      </c>
      <c r="C2002" s="227" t="inlineStr">
        <is>
          <t>Dot. prov. dépréc. T.I.A.P</t>
        </is>
      </c>
      <c r="F2002" s="227" t="inlineStr">
        <is>
          <t>VICTOIRE</t>
        </is>
      </c>
    </row>
    <row r="2003">
      <c r="A2003" s="227">
        <f>TL[[#This Row],[Société]]&amp;" - "&amp;TL[[#This Row],[Compte]]</f>
        <v/>
      </c>
      <c r="B2003" s="233" t="inlineStr">
        <is>
          <t>686650</t>
        </is>
      </c>
      <c r="C2003" s="227" t="inlineStr">
        <is>
          <t>Dot. prov. dépréc. V.M.P</t>
        </is>
      </c>
      <c r="F2003" s="227" t="inlineStr">
        <is>
          <t>VICTOIRE</t>
        </is>
      </c>
    </row>
    <row r="2004">
      <c r="A2004" s="227">
        <f>TL[[#This Row],[Société]]&amp;" - "&amp;TL[[#This Row],[Compte]]</f>
        <v/>
      </c>
      <c r="B2004" s="233" t="inlineStr">
        <is>
          <t>687110</t>
        </is>
      </c>
      <c r="C2004" s="227" t="inlineStr">
        <is>
          <t>Dot. amort. exce s/immob incorpore.</t>
        </is>
      </c>
      <c r="F2004" s="227" t="inlineStr">
        <is>
          <t>VICTOIRE</t>
        </is>
      </c>
    </row>
    <row r="2005">
      <c r="A2005" s="227">
        <f>TL[[#This Row],[Société]]&amp;" - "&amp;TL[[#This Row],[Compte]]</f>
        <v/>
      </c>
      <c r="B2005" s="233" t="inlineStr">
        <is>
          <t>687120</t>
        </is>
      </c>
      <c r="C2005" s="227" t="inlineStr">
        <is>
          <t>Dot. amort. exce s/immob corporel.</t>
        </is>
      </c>
      <c r="F2005" s="227" t="inlineStr">
        <is>
          <t>VICTOIRE</t>
        </is>
      </c>
    </row>
    <row r="2006">
      <c r="A2006" s="227">
        <f>TL[[#This Row],[Société]]&amp;" - "&amp;TL[[#This Row],[Compte]]</f>
        <v/>
      </c>
      <c r="B2006" s="233" t="inlineStr">
        <is>
          <t>687200</t>
        </is>
      </c>
      <c r="C2006" s="227" t="inlineStr">
        <is>
          <t>Dot. provisions réglementées</t>
        </is>
      </c>
      <c r="F2006" s="227" t="inlineStr">
        <is>
          <t>VICTOIRE</t>
        </is>
      </c>
    </row>
    <row r="2007">
      <c r="A2007" s="227">
        <f>TL[[#This Row],[Société]]&amp;" - "&amp;TL[[#This Row],[Compte]]</f>
        <v/>
      </c>
      <c r="B2007" s="233" t="inlineStr">
        <is>
          <t>687250</t>
        </is>
      </c>
      <c r="C2007" s="227" t="inlineStr">
        <is>
          <t>Dot. amortissements dérogatoires</t>
        </is>
      </c>
      <c r="F2007" s="227" t="inlineStr">
        <is>
          <t>VICTOIRE</t>
        </is>
      </c>
    </row>
    <row r="2008">
      <c r="A2008" s="227">
        <f>TL[[#This Row],[Société]]&amp;" - "&amp;TL[[#This Row],[Compte]]</f>
        <v/>
      </c>
      <c r="B2008" s="233" t="inlineStr">
        <is>
          <t>687300</t>
        </is>
      </c>
      <c r="C2008" s="227" t="inlineStr">
        <is>
          <t>Dot. provisions réglementées</t>
        </is>
      </c>
      <c r="F2008" s="227" t="inlineStr">
        <is>
          <t>VICTOIRE</t>
        </is>
      </c>
    </row>
    <row r="2009">
      <c r="A2009" s="227">
        <f>TL[[#This Row],[Société]]&amp;" - "&amp;TL[[#This Row],[Compte]]</f>
        <v/>
      </c>
      <c r="B2009" s="233" t="inlineStr">
        <is>
          <t>687400</t>
        </is>
      </c>
      <c r="C2009" s="227" t="inlineStr">
        <is>
          <t>Dot. autres provisions réglementées</t>
        </is>
      </c>
      <c r="F2009" s="227" t="inlineStr">
        <is>
          <t>VICTOIRE</t>
        </is>
      </c>
    </row>
    <row r="2010">
      <c r="A2010" s="227">
        <f>TL[[#This Row],[Société]]&amp;" - "&amp;TL[[#This Row],[Compte]]</f>
        <v/>
      </c>
      <c r="B2010" s="233" t="inlineStr">
        <is>
          <t>687500</t>
        </is>
      </c>
      <c r="C2010" s="227" t="inlineStr">
        <is>
          <t>Dot. prov. risques et charges excep</t>
        </is>
      </c>
      <c r="F2010" s="227" t="inlineStr">
        <is>
          <t>VICTOIRE</t>
        </is>
      </c>
    </row>
    <row r="2011">
      <c r="A2011" s="227">
        <f>TL[[#This Row],[Société]]&amp;" - "&amp;TL[[#This Row],[Compte]]</f>
        <v/>
      </c>
      <c r="B2011" s="233" t="inlineStr">
        <is>
          <t>687600</t>
        </is>
      </c>
      <c r="C2011" s="227" t="inlineStr">
        <is>
          <t>Dot. prov. dépréciat. exceptionnel.</t>
        </is>
      </c>
      <c r="F2011" s="227" t="inlineStr">
        <is>
          <t>VICTOIRE</t>
        </is>
      </c>
    </row>
    <row r="2012">
      <c r="A2012" s="227">
        <f>TL[[#This Row],[Société]]&amp;" - "&amp;TL[[#This Row],[Compte]]</f>
        <v/>
      </c>
      <c r="B2012" s="233" t="inlineStr">
        <is>
          <t>689000</t>
        </is>
      </c>
      <c r="C2012" s="227" t="inlineStr">
        <is>
          <t>Dot. provisions pour impôts</t>
        </is>
      </c>
      <c r="F2012" s="227" t="inlineStr">
        <is>
          <t>VICTOIRE</t>
        </is>
      </c>
    </row>
    <row r="2013">
      <c r="A2013" s="227">
        <f>TL[[#This Row],[Société]]&amp;" - "&amp;TL[[#This Row],[Compte]]</f>
        <v/>
      </c>
      <c r="B2013" s="233" t="inlineStr">
        <is>
          <t>691000</t>
        </is>
      </c>
      <c r="C2013" s="227" t="inlineStr">
        <is>
          <t>Participation des salariés</t>
        </is>
      </c>
      <c r="F2013" s="227" t="inlineStr">
        <is>
          <t>VICTOIRE</t>
        </is>
      </c>
    </row>
    <row r="2014">
      <c r="A2014" s="227">
        <f>TL[[#This Row],[Société]]&amp;" - "&amp;TL[[#This Row],[Compte]]</f>
        <v/>
      </c>
      <c r="B2014" s="233" t="inlineStr">
        <is>
          <t>695000</t>
        </is>
      </c>
      <c r="C2014" s="227" t="inlineStr">
        <is>
          <t>Impôts sur les bénéfices</t>
        </is>
      </c>
      <c r="F2014" s="227" t="inlineStr">
        <is>
          <t>VICTOIRE</t>
        </is>
      </c>
    </row>
    <row r="2015">
      <c r="A2015" s="227">
        <f>TL[[#This Row],[Société]]&amp;" - "&amp;TL[[#This Row],[Compte]]</f>
        <v/>
      </c>
      <c r="B2015" s="233" t="inlineStr">
        <is>
          <t>695100</t>
        </is>
      </c>
      <c r="C2015" s="227" t="inlineStr">
        <is>
          <t>IMPOTS SOCIETE</t>
        </is>
      </c>
      <c r="D2015" s="233" t="inlineStr">
        <is>
          <t>99</t>
        </is>
      </c>
      <c r="E2015" s="233" t="inlineStr">
        <is>
          <t>48</t>
        </is>
      </c>
      <c r="F2015" s="227" t="inlineStr">
        <is>
          <t>VICTOIRE</t>
        </is>
      </c>
    </row>
    <row r="2016">
      <c r="A2016" s="227">
        <f>TL[[#This Row],[Société]]&amp;" - "&amp;TL[[#This Row],[Compte]]</f>
        <v/>
      </c>
      <c r="B2016" s="233" t="inlineStr">
        <is>
          <t>696000</t>
        </is>
      </c>
      <c r="C2016" s="227" t="inlineStr">
        <is>
          <t>Contribution supplémentaire de 10 %</t>
        </is>
      </c>
      <c r="F2016" s="227" t="inlineStr">
        <is>
          <t>VICTOIRE</t>
        </is>
      </c>
    </row>
    <row r="2017">
      <c r="A2017" s="227">
        <f>TL[[#This Row],[Société]]&amp;" - "&amp;TL[[#This Row],[Compte]]</f>
        <v/>
      </c>
      <c r="B2017" s="233" t="inlineStr">
        <is>
          <t>697000</t>
        </is>
      </c>
      <c r="C2017" s="227" t="inlineStr">
        <is>
          <t>Impôsition forfaitaire annuelle</t>
        </is>
      </c>
      <c r="F2017" s="227" t="inlineStr">
        <is>
          <t>VICTOIRE</t>
        </is>
      </c>
    </row>
    <row r="2018">
      <c r="A2018" s="227">
        <f>TL[[#This Row],[Société]]&amp;" - "&amp;TL[[#This Row],[Compte]]</f>
        <v/>
      </c>
      <c r="B2018" s="233" t="inlineStr">
        <is>
          <t>698100</t>
        </is>
      </c>
      <c r="C2018" s="227" t="inlineStr">
        <is>
          <t>Intégration fiscale - charges</t>
        </is>
      </c>
      <c r="F2018" s="227" t="inlineStr">
        <is>
          <t>VICTOIRE</t>
        </is>
      </c>
    </row>
    <row r="2019">
      <c r="A2019" s="227">
        <f>TL[[#This Row],[Société]]&amp;" - "&amp;TL[[#This Row],[Compte]]</f>
        <v/>
      </c>
      <c r="B2019" s="233" t="inlineStr">
        <is>
          <t>698900</t>
        </is>
      </c>
      <c r="C2019" s="227" t="inlineStr">
        <is>
          <t>Intégration fiscale - produits</t>
        </is>
      </c>
      <c r="F2019" s="227" t="inlineStr">
        <is>
          <t>VICTOIRE</t>
        </is>
      </c>
    </row>
    <row r="2020">
      <c r="A2020" s="227">
        <f>TL[[#This Row],[Société]]&amp;" - "&amp;TL[[#This Row],[Compte]]</f>
        <v/>
      </c>
      <c r="B2020" s="233" t="inlineStr">
        <is>
          <t>699000</t>
        </is>
      </c>
      <c r="C2020" s="227" t="inlineStr">
        <is>
          <t>CREDIT IMPOT MECENAT</t>
        </is>
      </c>
      <c r="D2020" s="233" t="inlineStr">
        <is>
          <t>99</t>
        </is>
      </c>
      <c r="E2020" s="233" t="inlineStr">
        <is>
          <t>48</t>
        </is>
      </c>
      <c r="F2020" s="227" t="inlineStr">
        <is>
          <t>VICTOIRE</t>
        </is>
      </c>
    </row>
    <row r="2021">
      <c r="A2021" s="227">
        <f>TL[[#This Row],[Société]]&amp;" - "&amp;TL[[#This Row],[Compte]]</f>
        <v/>
      </c>
      <c r="B2021" s="233" t="inlineStr">
        <is>
          <t>699500</t>
        </is>
      </c>
      <c r="C2021" s="227" t="inlineStr">
        <is>
          <t>Crédit d'impôt recherche</t>
        </is>
      </c>
      <c r="F2021" s="227" t="inlineStr">
        <is>
          <t>VICTOIRE</t>
        </is>
      </c>
    </row>
    <row r="2022">
      <c r="A2022" s="227">
        <f>TL[[#This Row],[Société]]&amp;" - "&amp;TL[[#This Row],[Compte]]</f>
        <v/>
      </c>
      <c r="B2022" s="233" t="inlineStr">
        <is>
          <t>699600</t>
        </is>
      </c>
      <c r="C2022" s="227" t="inlineStr">
        <is>
          <t>Crédit d'impôt formation</t>
        </is>
      </c>
      <c r="F2022" s="227" t="inlineStr">
        <is>
          <t>VICTOIRE</t>
        </is>
      </c>
    </row>
    <row r="2023">
      <c r="A2023" s="227">
        <f>TL[[#This Row],[Société]]&amp;" - "&amp;TL[[#This Row],[Compte]]</f>
        <v/>
      </c>
      <c r="B2023" s="233" t="inlineStr">
        <is>
          <t>701000</t>
        </is>
      </c>
      <c r="C2023" s="227" t="inlineStr">
        <is>
          <t>VENTES ALIMENTAIRES   5.5%</t>
        </is>
      </c>
      <c r="D2023" s="233" t="inlineStr">
        <is>
          <t>01</t>
        </is>
      </c>
      <c r="E2023" s="233" t="inlineStr">
        <is>
          <t>02</t>
        </is>
      </c>
      <c r="F2023" s="227" t="inlineStr">
        <is>
          <t>VICTOIRE</t>
        </is>
      </c>
    </row>
    <row r="2024">
      <c r="A2024" s="227">
        <f>TL[[#This Row],[Société]]&amp;" - "&amp;TL[[#This Row],[Compte]]</f>
        <v/>
      </c>
      <c r="B2024" s="233" t="inlineStr">
        <is>
          <t>701020</t>
        </is>
      </c>
      <c r="C2024" s="227" t="inlineStr">
        <is>
          <t>Vtes20 %</t>
        </is>
      </c>
      <c r="F2024" s="227" t="inlineStr">
        <is>
          <t>VICTOIRE</t>
        </is>
      </c>
    </row>
    <row r="2025">
      <c r="A2025" s="227">
        <f>TL[[#This Row],[Société]]&amp;" - "&amp;TL[[#This Row],[Compte]]</f>
        <v/>
      </c>
      <c r="B2025" s="233" t="inlineStr">
        <is>
          <t>701100</t>
        </is>
      </c>
      <c r="C2025" s="227" t="inlineStr">
        <is>
          <t>Ventes produit finis (ou groupe) A</t>
        </is>
      </c>
      <c r="F2025" s="227" t="inlineStr">
        <is>
          <t>VICTOIRE</t>
        </is>
      </c>
    </row>
    <row r="2026">
      <c r="A2026" s="227">
        <f>TL[[#This Row],[Société]]&amp;" - "&amp;TL[[#This Row],[Compte]]</f>
        <v/>
      </c>
      <c r="B2026" s="233" t="inlineStr">
        <is>
          <t>701200</t>
        </is>
      </c>
      <c r="C2026" s="227" t="inlineStr">
        <is>
          <t>VENTES ALIMENTAIRES  20%</t>
        </is>
      </c>
      <c r="D2026" s="233" t="inlineStr">
        <is>
          <t>01</t>
        </is>
      </c>
      <c r="E2026" s="233" t="inlineStr">
        <is>
          <t>02</t>
        </is>
      </c>
      <c r="F2026" s="227" t="inlineStr">
        <is>
          <t>VICTOIRE</t>
        </is>
      </c>
    </row>
    <row r="2027">
      <c r="A2027" s="227">
        <f>TL[[#This Row],[Société]]&amp;" - "&amp;TL[[#This Row],[Compte]]</f>
        <v/>
      </c>
      <c r="B2027" s="233" t="inlineStr">
        <is>
          <t>701300</t>
        </is>
      </c>
      <c r="C2027" s="227" t="inlineStr">
        <is>
          <t>HAPPY MEALS 19,6 %</t>
        </is>
      </c>
      <c r="D2027" s="233" t="inlineStr">
        <is>
          <t>60</t>
        </is>
      </c>
      <c r="E2027" s="233" t="inlineStr">
        <is>
          <t>50</t>
        </is>
      </c>
      <c r="F2027" s="227" t="inlineStr">
        <is>
          <t>VICTOIRE</t>
        </is>
      </c>
    </row>
    <row r="2028">
      <c r="A2028" s="227">
        <f>TL[[#This Row],[Société]]&amp;" - "&amp;TL[[#This Row],[Compte]]</f>
        <v/>
      </c>
      <c r="B2028" s="233" t="inlineStr">
        <is>
          <t>701400</t>
        </is>
      </c>
      <c r="C2028" s="227" t="inlineStr">
        <is>
          <t>VENTES ALIMENTAIRES  10%</t>
        </is>
      </c>
      <c r="D2028" s="233" t="inlineStr">
        <is>
          <t>01</t>
        </is>
      </c>
      <c r="E2028" s="233" t="inlineStr">
        <is>
          <t>02</t>
        </is>
      </c>
      <c r="F2028" s="227" t="inlineStr">
        <is>
          <t>VICTOIRE</t>
        </is>
      </c>
    </row>
    <row r="2029">
      <c r="A2029" s="227">
        <f>TL[[#This Row],[Société]]&amp;" - "&amp;TL[[#This Row],[Compte]]</f>
        <v/>
      </c>
      <c r="B2029" s="233" t="inlineStr">
        <is>
          <t>701900</t>
        </is>
      </c>
      <c r="C2029" s="227" t="inlineStr">
        <is>
          <t>Ventes de produits finis (export)</t>
        </is>
      </c>
      <c r="F2029" s="227" t="inlineStr">
        <is>
          <t>VICTOIRE</t>
        </is>
      </c>
    </row>
    <row r="2030">
      <c r="A2030" s="227">
        <f>TL[[#This Row],[Société]]&amp;" - "&amp;TL[[#This Row],[Compte]]</f>
        <v/>
      </c>
      <c r="B2030" s="233" t="inlineStr">
        <is>
          <t>701920</t>
        </is>
      </c>
      <c r="C2030" s="227" t="inlineStr">
        <is>
          <t>Ventes de produits finis (intracom)</t>
        </is>
      </c>
      <c r="F2030" s="227" t="inlineStr">
        <is>
          <t>VICTOIRE</t>
        </is>
      </c>
    </row>
    <row r="2031">
      <c r="A2031" s="227">
        <f>TL[[#This Row],[Société]]&amp;" - "&amp;TL[[#This Row],[Compte]]</f>
        <v/>
      </c>
      <c r="B2031" s="233" t="inlineStr">
        <is>
          <t>702000</t>
        </is>
      </c>
      <c r="C2031" s="227" t="inlineStr">
        <is>
          <t>VENTES DE PDTS NON ALIM  5.5%</t>
        </is>
      </c>
      <c r="D2031" s="233" t="inlineStr">
        <is>
          <t>60</t>
        </is>
      </c>
      <c r="E2031" s="233" t="inlineStr">
        <is>
          <t>50</t>
        </is>
      </c>
      <c r="F2031" s="227" t="inlineStr">
        <is>
          <t>VICTOIRE</t>
        </is>
      </c>
    </row>
    <row r="2032">
      <c r="A2032" s="227">
        <f>TL[[#This Row],[Société]]&amp;" - "&amp;TL[[#This Row],[Compte]]</f>
        <v/>
      </c>
      <c r="B2032" s="233" t="inlineStr">
        <is>
          <t>702100</t>
        </is>
      </c>
      <c r="C2032" s="227" t="inlineStr">
        <is>
          <t>Places Ciné Clients 5,5 %</t>
        </is>
      </c>
      <c r="F2032" s="227" t="inlineStr">
        <is>
          <t>VICTOIRE</t>
        </is>
      </c>
    </row>
    <row r="2033">
      <c r="A2033" s="227">
        <f>TL[[#This Row],[Société]]&amp;" - "&amp;TL[[#This Row],[Compte]]</f>
        <v/>
      </c>
      <c r="B2033" s="233" t="inlineStr">
        <is>
          <t>702200</t>
        </is>
      </c>
      <c r="C2033" s="227" t="inlineStr">
        <is>
          <t>VENTES DE PDTS NON ALIM 20%</t>
        </is>
      </c>
      <c r="D2033" s="233" t="inlineStr">
        <is>
          <t>60</t>
        </is>
      </c>
      <c r="E2033" s="233" t="inlineStr">
        <is>
          <t>50</t>
        </is>
      </c>
      <c r="F2033" s="227" t="inlineStr">
        <is>
          <t>VICTOIRE</t>
        </is>
      </c>
    </row>
    <row r="2034">
      <c r="A2034" s="227">
        <f>TL[[#This Row],[Société]]&amp;" - "&amp;TL[[#This Row],[Compte]]</f>
        <v/>
      </c>
      <c r="B2034" s="233" t="inlineStr">
        <is>
          <t>702400</t>
        </is>
      </c>
      <c r="C2034" s="227" t="inlineStr">
        <is>
          <t>VENTES DE PDTS NON ALIM 10%</t>
        </is>
      </c>
      <c r="D2034" s="233" t="inlineStr">
        <is>
          <t>60</t>
        </is>
      </c>
      <c r="E2034" s="233" t="inlineStr">
        <is>
          <t>50</t>
        </is>
      </c>
      <c r="F2034" s="227" t="inlineStr">
        <is>
          <t>VICTOIRE</t>
        </is>
      </c>
    </row>
    <row r="2035">
      <c r="A2035" s="227">
        <f>TL[[#This Row],[Société]]&amp;" - "&amp;TL[[#This Row],[Compte]]</f>
        <v/>
      </c>
      <c r="B2035" s="233" t="inlineStr">
        <is>
          <t>702900</t>
        </is>
      </c>
      <c r="C2035" s="227" t="inlineStr">
        <is>
          <t>Ventes pdts intermédiaires (export)</t>
        </is>
      </c>
      <c r="F2035" s="227" t="inlineStr">
        <is>
          <t>VICTOIRE</t>
        </is>
      </c>
    </row>
    <row r="2036">
      <c r="A2036" s="227">
        <f>TL[[#This Row],[Société]]&amp;" - "&amp;TL[[#This Row],[Compte]]</f>
        <v/>
      </c>
      <c r="B2036" s="233" t="inlineStr">
        <is>
          <t>702920</t>
        </is>
      </c>
      <c r="C2036" s="227" t="inlineStr">
        <is>
          <t>Ventes pdts intermédiaires (intrac)</t>
        </is>
      </c>
      <c r="F2036" s="227" t="inlineStr">
        <is>
          <t>VICTOIRE</t>
        </is>
      </c>
    </row>
    <row r="2037">
      <c r="A2037" s="227">
        <f>TL[[#This Row],[Société]]&amp;" - "&amp;TL[[#This Row],[Compte]]</f>
        <v/>
      </c>
      <c r="B2037" s="233" t="inlineStr">
        <is>
          <t>703000</t>
        </is>
      </c>
      <c r="C2037" s="227" t="inlineStr">
        <is>
          <t>Ventes de produits résiduels</t>
        </is>
      </c>
      <c r="F2037" s="227" t="inlineStr">
        <is>
          <t>VICTOIRE</t>
        </is>
      </c>
    </row>
    <row r="2038">
      <c r="A2038" s="227">
        <f>TL[[#This Row],[Société]]&amp;" - "&amp;TL[[#This Row],[Compte]]</f>
        <v/>
      </c>
      <c r="B2038" s="233" t="inlineStr">
        <is>
          <t>703900</t>
        </is>
      </c>
      <c r="C2038" s="227" t="inlineStr">
        <is>
          <t>Ventes produits résiduels (export)</t>
        </is>
      </c>
      <c r="F2038" s="227" t="inlineStr">
        <is>
          <t>VICTOIRE</t>
        </is>
      </c>
    </row>
    <row r="2039">
      <c r="A2039" s="227">
        <f>TL[[#This Row],[Société]]&amp;" - "&amp;TL[[#This Row],[Compte]]</f>
        <v/>
      </c>
      <c r="B2039" s="233" t="inlineStr">
        <is>
          <t>703920</t>
        </is>
      </c>
      <c r="C2039" s="227" t="inlineStr">
        <is>
          <t>Ventes produits résiduels (intrac)</t>
        </is>
      </c>
      <c r="F2039" s="227" t="inlineStr">
        <is>
          <t>VICTOIRE</t>
        </is>
      </c>
    </row>
    <row r="2040">
      <c r="A2040" s="227">
        <f>TL[[#This Row],[Société]]&amp;" - "&amp;TL[[#This Row],[Compte]]</f>
        <v/>
      </c>
      <c r="B2040" s="233" t="inlineStr">
        <is>
          <t>704000</t>
        </is>
      </c>
      <c r="C2040" s="227" t="inlineStr">
        <is>
          <t>Travaux</t>
        </is>
      </c>
      <c r="F2040" s="227" t="inlineStr">
        <is>
          <t>VICTOIRE</t>
        </is>
      </c>
    </row>
    <row r="2041">
      <c r="A2041" s="227">
        <f>TL[[#This Row],[Société]]&amp;" - "&amp;TL[[#This Row],[Compte]]</f>
        <v/>
      </c>
      <c r="B2041" s="233" t="inlineStr">
        <is>
          <t>704900</t>
        </is>
      </c>
      <c r="C2041" s="227" t="inlineStr">
        <is>
          <t>Travaux (Export)</t>
        </is>
      </c>
      <c r="F2041" s="227" t="inlineStr">
        <is>
          <t>VICTOIRE</t>
        </is>
      </c>
    </row>
    <row r="2042">
      <c r="A2042" s="227">
        <f>TL[[#This Row],[Société]]&amp;" - "&amp;TL[[#This Row],[Compte]]</f>
        <v/>
      </c>
      <c r="B2042" s="233" t="inlineStr">
        <is>
          <t>704920</t>
        </is>
      </c>
      <c r="C2042" s="227" t="inlineStr">
        <is>
          <t>Travaux (intracom)</t>
        </is>
      </c>
      <c r="F2042" s="227" t="inlineStr">
        <is>
          <t>VICTOIRE</t>
        </is>
      </c>
    </row>
    <row r="2043">
      <c r="A2043" s="227">
        <f>TL[[#This Row],[Société]]&amp;" - "&amp;TL[[#This Row],[Compte]]</f>
        <v/>
      </c>
      <c r="B2043" s="233" t="inlineStr">
        <is>
          <t>705000</t>
        </is>
      </c>
      <c r="C2043" s="227" t="inlineStr">
        <is>
          <t>Etudes</t>
        </is>
      </c>
      <c r="F2043" s="227" t="inlineStr">
        <is>
          <t>VICTOIRE</t>
        </is>
      </c>
    </row>
    <row r="2044">
      <c r="A2044" s="227">
        <f>TL[[#This Row],[Société]]&amp;" - "&amp;TL[[#This Row],[Compte]]</f>
        <v/>
      </c>
      <c r="B2044" s="233" t="inlineStr">
        <is>
          <t>705900</t>
        </is>
      </c>
      <c r="C2044" s="227" t="inlineStr">
        <is>
          <t>Etudes (export)</t>
        </is>
      </c>
      <c r="F2044" s="227" t="inlineStr">
        <is>
          <t>VICTOIRE</t>
        </is>
      </c>
    </row>
    <row r="2045">
      <c r="A2045" s="227">
        <f>TL[[#This Row],[Société]]&amp;" - "&amp;TL[[#This Row],[Compte]]</f>
        <v/>
      </c>
      <c r="B2045" s="233" t="inlineStr">
        <is>
          <t>705920</t>
        </is>
      </c>
      <c r="C2045" s="227" t="inlineStr">
        <is>
          <t>Etudes (intracom)</t>
        </is>
      </c>
      <c r="F2045" s="227" t="inlineStr">
        <is>
          <t>VICTOIRE</t>
        </is>
      </c>
    </row>
    <row r="2046">
      <c r="A2046" s="227">
        <f>TL[[#This Row],[Société]]&amp;" - "&amp;TL[[#This Row],[Compte]]</f>
        <v/>
      </c>
      <c r="B2046" s="233" t="inlineStr">
        <is>
          <t>706000</t>
        </is>
      </c>
      <c r="C2046" s="227" t="inlineStr">
        <is>
          <t>Prestations de services</t>
        </is>
      </c>
      <c r="F2046" s="227" t="inlineStr">
        <is>
          <t>VICTOIRE</t>
        </is>
      </c>
    </row>
    <row r="2047">
      <c r="A2047" s="227">
        <f>TL[[#This Row],[Société]]&amp;" - "&amp;TL[[#This Row],[Compte]]</f>
        <v/>
      </c>
      <c r="B2047" s="233" t="inlineStr">
        <is>
          <t>706800</t>
        </is>
      </c>
      <c r="C2047" s="227" t="inlineStr">
        <is>
          <t>Service au % revenant au personnel</t>
        </is>
      </c>
      <c r="F2047" s="227" t="inlineStr">
        <is>
          <t>VICTOIRE</t>
        </is>
      </c>
    </row>
    <row r="2048">
      <c r="A2048" s="227">
        <f>TL[[#This Row],[Société]]&amp;" - "&amp;TL[[#This Row],[Compte]]</f>
        <v/>
      </c>
      <c r="B2048" s="233" t="inlineStr">
        <is>
          <t>706900</t>
        </is>
      </c>
      <c r="C2048" s="227" t="inlineStr">
        <is>
          <t>Prestations de services (export)</t>
        </is>
      </c>
      <c r="F2048" s="227" t="inlineStr">
        <is>
          <t>VICTOIRE</t>
        </is>
      </c>
    </row>
    <row r="2049">
      <c r="A2049" s="227">
        <f>TL[[#This Row],[Société]]&amp;" - "&amp;TL[[#This Row],[Compte]]</f>
        <v/>
      </c>
      <c r="B2049" s="233" t="inlineStr">
        <is>
          <t>706920</t>
        </is>
      </c>
      <c r="C2049" s="227" t="inlineStr">
        <is>
          <t>Prestations de services (intracom)</t>
        </is>
      </c>
      <c r="F2049" s="227" t="inlineStr">
        <is>
          <t>VICTOIRE</t>
        </is>
      </c>
    </row>
    <row r="2050">
      <c r="A2050" s="227">
        <f>TL[[#This Row],[Société]]&amp;" - "&amp;TL[[#This Row],[Compte]]</f>
        <v/>
      </c>
      <c r="B2050" s="233" t="inlineStr">
        <is>
          <t>707000</t>
        </is>
      </c>
      <c r="C2050" s="227" t="inlineStr">
        <is>
          <t>Ventes de marchandises</t>
        </is>
      </c>
      <c r="F2050" s="227" t="inlineStr">
        <is>
          <t>VICTOIRE</t>
        </is>
      </c>
    </row>
    <row r="2051">
      <c r="A2051" s="227">
        <f>TL[[#This Row],[Société]]&amp;" - "&amp;TL[[#This Row],[Compte]]</f>
        <v/>
      </c>
      <c r="B2051" s="233" t="inlineStr">
        <is>
          <t>707080</t>
        </is>
      </c>
      <c r="C2051" s="227" t="inlineStr">
        <is>
          <t>Retrocessions à prix coûtant</t>
        </is>
      </c>
      <c r="F2051" s="227" t="inlineStr">
        <is>
          <t>VICTOIRE</t>
        </is>
      </c>
    </row>
    <row r="2052">
      <c r="A2052" s="227">
        <f>TL[[#This Row],[Société]]&amp;" - "&amp;TL[[#This Row],[Compte]]</f>
        <v/>
      </c>
      <c r="B2052" s="233" t="inlineStr">
        <is>
          <t>707100</t>
        </is>
      </c>
      <c r="C2052" s="227" t="inlineStr">
        <is>
          <t>Ventes de marchandise A</t>
        </is>
      </c>
      <c r="F2052" s="227" t="inlineStr">
        <is>
          <t>VICTOIRE</t>
        </is>
      </c>
    </row>
    <row r="2053">
      <c r="A2053" s="227">
        <f>TL[[#This Row],[Société]]&amp;" - "&amp;TL[[#This Row],[Compte]]</f>
        <v/>
      </c>
      <c r="B2053" s="233" t="inlineStr">
        <is>
          <t>707200</t>
        </is>
      </c>
      <c r="C2053" s="227" t="inlineStr">
        <is>
          <t>Ventes de marchandise B</t>
        </is>
      </c>
      <c r="F2053" s="227" t="inlineStr">
        <is>
          <t>VICTOIRE</t>
        </is>
      </c>
    </row>
    <row r="2054">
      <c r="A2054" s="227">
        <f>TL[[#This Row],[Société]]&amp;" - "&amp;TL[[#This Row],[Compte]]</f>
        <v/>
      </c>
      <c r="B2054" s="233" t="inlineStr">
        <is>
          <t>707900</t>
        </is>
      </c>
      <c r="C2054" s="227" t="inlineStr">
        <is>
          <t>Ventes de marchandises (export)</t>
        </is>
      </c>
      <c r="F2054" s="227" t="inlineStr">
        <is>
          <t>VICTOIRE</t>
        </is>
      </c>
    </row>
    <row r="2055">
      <c r="A2055" s="227">
        <f>TL[[#This Row],[Société]]&amp;" - "&amp;TL[[#This Row],[Compte]]</f>
        <v/>
      </c>
      <c r="B2055" s="233" t="inlineStr">
        <is>
          <t>707920</t>
        </is>
      </c>
      <c r="C2055" s="227" t="inlineStr">
        <is>
          <t>Ventes de marchandises (intracom)</t>
        </is>
      </c>
      <c r="F2055" s="227" t="inlineStr">
        <is>
          <t>VICTOIRE</t>
        </is>
      </c>
    </row>
    <row r="2056">
      <c r="A2056" s="227">
        <f>TL[[#This Row],[Société]]&amp;" - "&amp;TL[[#This Row],[Compte]]</f>
        <v/>
      </c>
      <c r="B2056" s="233" t="inlineStr">
        <is>
          <t>708000</t>
        </is>
      </c>
      <c r="C2056" s="227" t="inlineStr">
        <is>
          <t>Produits des activités annexes</t>
        </is>
      </c>
      <c r="F2056" s="227" t="inlineStr">
        <is>
          <t>VICTOIRE</t>
        </is>
      </c>
    </row>
    <row r="2057">
      <c r="A2057" s="227">
        <f>TL[[#This Row],[Société]]&amp;" - "&amp;TL[[#This Row],[Compte]]</f>
        <v/>
      </c>
      <c r="B2057" s="233" t="inlineStr">
        <is>
          <t>708100</t>
        </is>
      </c>
      <c r="C2057" s="227" t="inlineStr">
        <is>
          <t>Fact. FA0435 Tessi Marketing Servic</t>
        </is>
      </c>
      <c r="D2057" s="233" t="inlineStr">
        <is>
          <t>06</t>
        </is>
      </c>
      <c r="E2057" s="233" t="inlineStr">
        <is>
          <t>03</t>
        </is>
      </c>
      <c r="F2057" s="227" t="inlineStr">
        <is>
          <t>VICTOIRE</t>
        </is>
      </c>
    </row>
    <row r="2058">
      <c r="A2058" s="227">
        <f>TL[[#This Row],[Société]]&amp;" - "&amp;TL[[#This Row],[Compte]]</f>
        <v/>
      </c>
      <c r="B2058" s="233" t="inlineStr">
        <is>
          <t>708101</t>
        </is>
      </c>
      <c r="C2058" s="227" t="inlineStr">
        <is>
          <t>FAE MARTIN BROWER</t>
        </is>
      </c>
      <c r="D2058" s="233" t="inlineStr">
        <is>
          <t>06</t>
        </is>
      </c>
      <c r="E2058" s="233" t="inlineStr">
        <is>
          <t>03</t>
        </is>
      </c>
      <c r="F2058" s="227" t="inlineStr">
        <is>
          <t>VICTOIRE</t>
        </is>
      </c>
    </row>
    <row r="2059">
      <c r="A2059" s="227">
        <f>TL[[#This Row],[Société]]&amp;" - "&amp;TL[[#This Row],[Compte]]</f>
        <v/>
      </c>
      <c r="B2059" s="233" t="inlineStr">
        <is>
          <t>708102</t>
        </is>
      </c>
      <c r="C2059" s="227" t="inlineStr">
        <is>
          <t>Fact. FA0420 VIRGILE-S</t>
        </is>
      </c>
      <c r="F2059" s="227" t="inlineStr">
        <is>
          <t>VICTOIRE</t>
        </is>
      </c>
    </row>
    <row r="2060">
      <c r="A2060" s="227">
        <f>TL[[#This Row],[Société]]&amp;" - "&amp;TL[[#This Row],[Compte]]</f>
        <v/>
      </c>
      <c r="B2060" s="233" t="inlineStr">
        <is>
          <t>708104</t>
        </is>
      </c>
      <c r="C2060" s="227" t="inlineStr">
        <is>
          <t>Fact. FA0430 VALENTINE-S</t>
        </is>
      </c>
      <c r="F2060" s="227" t="inlineStr">
        <is>
          <t>VICTOIRE</t>
        </is>
      </c>
    </row>
    <row r="2061">
      <c r="A2061" s="227">
        <f>TL[[#This Row],[Société]]&amp;" - "&amp;TL[[#This Row],[Compte]]</f>
        <v/>
      </c>
      <c r="B2061" s="233" t="inlineStr">
        <is>
          <t>708105</t>
        </is>
      </c>
      <c r="C2061" s="227" t="inlineStr">
        <is>
          <t>Fact. FA0417 VICTOR-S</t>
        </is>
      </c>
      <c r="F2061" s="227" t="inlineStr">
        <is>
          <t>VICTOIRE</t>
        </is>
      </c>
    </row>
    <row r="2062">
      <c r="A2062" s="227">
        <f>TL[[#This Row],[Société]]&amp;" - "&amp;TL[[#This Row],[Compte]]</f>
        <v/>
      </c>
      <c r="B2062" s="233" t="inlineStr">
        <is>
          <t>708200</t>
        </is>
      </c>
      <c r="C2062" s="227" t="inlineStr">
        <is>
          <t>Commissions et courtages</t>
        </is>
      </c>
      <c r="F2062" s="227" t="inlineStr">
        <is>
          <t>VICTOIRE</t>
        </is>
      </c>
    </row>
    <row r="2063">
      <c r="A2063" s="227">
        <f>TL[[#This Row],[Société]]&amp;" - "&amp;TL[[#This Row],[Compte]]</f>
        <v/>
      </c>
      <c r="B2063" s="233" t="inlineStr">
        <is>
          <t>708290</t>
        </is>
      </c>
      <c r="C2063" s="227" t="inlineStr">
        <is>
          <t>Commissions et courtages (export)</t>
        </is>
      </c>
      <c r="F2063" s="227" t="inlineStr">
        <is>
          <t>VICTOIRE</t>
        </is>
      </c>
    </row>
    <row r="2064">
      <c r="A2064" s="227">
        <f>TL[[#This Row],[Société]]&amp;" - "&amp;TL[[#This Row],[Compte]]</f>
        <v/>
      </c>
      <c r="B2064" s="233" t="inlineStr">
        <is>
          <t>708300</t>
        </is>
      </c>
      <c r="C2064" s="227" t="inlineStr">
        <is>
          <t>Locations</t>
        </is>
      </c>
      <c r="F2064" s="227" t="inlineStr">
        <is>
          <t>VICTOIRE</t>
        </is>
      </c>
    </row>
    <row r="2065">
      <c r="A2065" s="227">
        <f>TL[[#This Row],[Société]]&amp;" - "&amp;TL[[#This Row],[Compte]]</f>
        <v/>
      </c>
      <c r="B2065" s="233" t="inlineStr">
        <is>
          <t>708320</t>
        </is>
      </c>
      <c r="C2065" s="227" t="inlineStr">
        <is>
          <t>Produits des locations immobilières</t>
        </is>
      </c>
      <c r="F2065" s="227" t="inlineStr">
        <is>
          <t>VICTOIRE</t>
        </is>
      </c>
    </row>
    <row r="2066">
      <c r="A2066" s="227">
        <f>TL[[#This Row],[Société]]&amp;" - "&amp;TL[[#This Row],[Compte]]</f>
        <v/>
      </c>
      <c r="B2066" s="233" t="inlineStr">
        <is>
          <t>708390</t>
        </is>
      </c>
      <c r="C2066" s="227" t="inlineStr">
        <is>
          <t>Locations diverses (export)</t>
        </is>
      </c>
      <c r="F2066" s="227" t="inlineStr">
        <is>
          <t>VICTOIRE</t>
        </is>
      </c>
    </row>
    <row r="2067">
      <c r="A2067" s="227">
        <f>TL[[#This Row],[Société]]&amp;" - "&amp;TL[[#This Row],[Compte]]</f>
        <v/>
      </c>
      <c r="B2067" s="233" t="inlineStr">
        <is>
          <t>708400</t>
        </is>
      </c>
      <c r="C2067" s="227" t="inlineStr">
        <is>
          <t>Mise à disposition de personnel</t>
        </is>
      </c>
      <c r="F2067" s="227" t="inlineStr">
        <is>
          <t>VICTOIRE</t>
        </is>
      </c>
    </row>
    <row r="2068">
      <c r="A2068" s="227">
        <f>TL[[#This Row],[Société]]&amp;" - "&amp;TL[[#This Row],[Compte]]</f>
        <v/>
      </c>
      <c r="B2068" s="233" t="inlineStr">
        <is>
          <t>708490</t>
        </is>
      </c>
      <c r="C2068" s="227" t="inlineStr">
        <is>
          <t>Mise disposition personnel (export)</t>
        </is>
      </c>
      <c r="F2068" s="227" t="inlineStr">
        <is>
          <t>VICTOIRE</t>
        </is>
      </c>
    </row>
    <row r="2069">
      <c r="A2069" s="227">
        <f>TL[[#This Row],[Société]]&amp;" - "&amp;TL[[#This Row],[Compte]]</f>
        <v/>
      </c>
      <c r="B2069" s="233" t="inlineStr">
        <is>
          <t>708500</t>
        </is>
      </c>
      <c r="C2069" s="227" t="inlineStr">
        <is>
          <t>Ports et frais facturés</t>
        </is>
      </c>
      <c r="F2069" s="227" t="inlineStr">
        <is>
          <t>VICTOIRE</t>
        </is>
      </c>
    </row>
    <row r="2070">
      <c r="A2070" s="227">
        <f>TL[[#This Row],[Société]]&amp;" - "&amp;TL[[#This Row],[Compte]]</f>
        <v/>
      </c>
      <c r="B2070" s="233" t="inlineStr">
        <is>
          <t>708520</t>
        </is>
      </c>
      <c r="C2070" s="227" t="inlineStr">
        <is>
          <t>Fact. FA0434 VALENTINE-S</t>
        </is>
      </c>
      <c r="F2070" s="227" t="inlineStr">
        <is>
          <t>VICTOIRE</t>
        </is>
      </c>
    </row>
    <row r="2071">
      <c r="A2071" s="227">
        <f>TL[[#This Row],[Société]]&amp;" - "&amp;TL[[#This Row],[Compte]]</f>
        <v/>
      </c>
      <c r="B2071" s="233" t="inlineStr">
        <is>
          <t>708590</t>
        </is>
      </c>
      <c r="C2071" s="227" t="inlineStr">
        <is>
          <t>Ports et frais facturés (export)</t>
        </is>
      </c>
      <c r="F2071" s="227" t="inlineStr">
        <is>
          <t>VICTOIRE</t>
        </is>
      </c>
    </row>
    <row r="2072">
      <c r="A2072" s="227">
        <f>TL[[#This Row],[Société]]&amp;" - "&amp;TL[[#This Row],[Compte]]</f>
        <v/>
      </c>
      <c r="B2072" s="233" t="inlineStr">
        <is>
          <t>708800</t>
        </is>
      </c>
      <c r="C2072" s="227" t="inlineStr">
        <is>
          <t>Autres produits activités annexes</t>
        </is>
      </c>
      <c r="F2072" s="227" t="inlineStr">
        <is>
          <t>VICTOIRE</t>
        </is>
      </c>
    </row>
    <row r="2073">
      <c r="A2073" s="227">
        <f>TL[[#This Row],[Société]]&amp;" - "&amp;TL[[#This Row],[Compte]]</f>
        <v/>
      </c>
      <c r="B2073" s="233" t="inlineStr">
        <is>
          <t>708801</t>
        </is>
      </c>
      <c r="C2073" s="227" t="inlineStr">
        <is>
          <t>PRESTATIONS MB 20%</t>
        </is>
      </c>
      <c r="D2073" s="233" t="inlineStr">
        <is>
          <t>06</t>
        </is>
      </c>
      <c r="E2073" s="233" t="inlineStr">
        <is>
          <t>03</t>
        </is>
      </c>
      <c r="F2073" s="227" t="inlineStr">
        <is>
          <t>VICTOIRE</t>
        </is>
      </c>
    </row>
    <row r="2074">
      <c r="A2074" s="227">
        <f>TL[[#This Row],[Société]]&amp;" - "&amp;TL[[#This Row],[Compte]]</f>
        <v/>
      </c>
      <c r="B2074" s="233" t="inlineStr">
        <is>
          <t>708802</t>
        </is>
      </c>
      <c r="C2074" s="227" t="inlineStr">
        <is>
          <t>Fact. FA0467 Tessi Marketing Servic</t>
        </is>
      </c>
      <c r="D2074" s="240" t="inlineStr">
        <is>
          <t>06</t>
        </is>
      </c>
      <c r="E2074" s="233" t="inlineStr">
        <is>
          <t>03</t>
        </is>
      </c>
      <c r="F2074" s="227" t="inlineStr">
        <is>
          <t>VICTOIRE</t>
        </is>
      </c>
    </row>
    <row r="2075">
      <c r="A2075" s="227">
        <f>TL[[#This Row],[Société]]&amp;" - "&amp;TL[[#This Row],[Compte]]</f>
        <v/>
      </c>
      <c r="B2075" s="233" t="inlineStr">
        <is>
          <t>708803</t>
        </is>
      </c>
      <c r="C2075" s="227" t="inlineStr">
        <is>
          <t>RETROCESSION PAPIER</t>
        </is>
      </c>
      <c r="D2075" s="233" t="inlineStr">
        <is>
          <t>03</t>
        </is>
      </c>
      <c r="E2075" s="233" t="inlineStr">
        <is>
          <t>06</t>
        </is>
      </c>
      <c r="F2075" s="227" t="inlineStr">
        <is>
          <t>VICTOIRE</t>
        </is>
      </c>
    </row>
    <row r="2076">
      <c r="A2076" s="227">
        <f>TL[[#This Row],[Société]]&amp;" - "&amp;TL[[#This Row],[Compte]]</f>
        <v/>
      </c>
      <c r="B2076" s="233" t="inlineStr">
        <is>
          <t>708804</t>
        </is>
      </c>
      <c r="C2076" s="227" t="inlineStr">
        <is>
          <t>RETROCESSION HM</t>
        </is>
      </c>
      <c r="D2076" s="233" t="inlineStr">
        <is>
          <t>62</t>
        </is>
      </c>
      <c r="E2076" s="233" t="inlineStr">
        <is>
          <t>50</t>
        </is>
      </c>
      <c r="F2076" s="227" t="inlineStr">
        <is>
          <t>VICTOIRE</t>
        </is>
      </c>
    </row>
    <row r="2077">
      <c r="A2077" s="227">
        <f>TL[[#This Row],[Société]]&amp;" - "&amp;TL[[#This Row],[Compte]]</f>
        <v/>
      </c>
      <c r="B2077" s="233" t="inlineStr">
        <is>
          <t>708805</t>
        </is>
      </c>
      <c r="C2077" s="227" t="inlineStr">
        <is>
          <t>RETROCESSION OPS</t>
        </is>
      </c>
      <c r="D2077" s="233" t="inlineStr">
        <is>
          <t>18</t>
        </is>
      </c>
      <c r="E2077" s="233" t="inlineStr">
        <is>
          <t>25</t>
        </is>
      </c>
      <c r="F2077" s="227" t="inlineStr">
        <is>
          <t>VICTOIRE</t>
        </is>
      </c>
    </row>
    <row r="2078">
      <c r="A2078" s="227">
        <f>TL[[#This Row],[Société]]&amp;" - "&amp;TL[[#This Row],[Compte]]</f>
        <v/>
      </c>
      <c r="B2078" s="233" t="inlineStr">
        <is>
          <t>708806</t>
        </is>
      </c>
      <c r="C2078" s="227" t="inlineStr">
        <is>
          <t>REFACTURATION HUILES</t>
        </is>
      </c>
      <c r="D2078" s="233" t="inlineStr">
        <is>
          <t>06</t>
        </is>
      </c>
      <c r="E2078" s="233" t="inlineStr">
        <is>
          <t>19</t>
        </is>
      </c>
      <c r="F2078" s="227" t="inlineStr">
        <is>
          <t>VICTOIRE</t>
        </is>
      </c>
    </row>
    <row r="2079">
      <c r="A2079" s="227">
        <f>TL[[#This Row],[Société]]&amp;" - "&amp;TL[[#This Row],[Compte]]</f>
        <v/>
      </c>
      <c r="B2079" s="233" t="inlineStr">
        <is>
          <t>708807</t>
        </is>
      </c>
      <c r="C2079" s="227" t="inlineStr">
        <is>
          <t>Refacturation manager SB</t>
        </is>
      </c>
      <c r="D2079" s="233" t="inlineStr">
        <is>
          <t>11</t>
        </is>
      </c>
      <c r="E2079" s="233" t="inlineStr">
        <is>
          <t>10</t>
        </is>
      </c>
      <c r="F2079" s="227" t="inlineStr">
        <is>
          <t>VICTOIRE</t>
        </is>
      </c>
    </row>
    <row r="2080">
      <c r="A2080" s="227">
        <f>TL[[#This Row],[Société]]&amp;" - "&amp;TL[[#This Row],[Compte]]</f>
        <v/>
      </c>
      <c r="B2080" s="233" t="inlineStr">
        <is>
          <t>708808</t>
        </is>
      </c>
      <c r="C2080" s="227" t="inlineStr">
        <is>
          <t>Refacturation manager Charges</t>
        </is>
      </c>
      <c r="D2080" s="233" t="inlineStr">
        <is>
          <t>12</t>
        </is>
      </c>
      <c r="E2080" s="233" t="inlineStr">
        <is>
          <t>11</t>
        </is>
      </c>
      <c r="F2080" s="227" t="inlineStr">
        <is>
          <t>VICTOIRE</t>
        </is>
      </c>
    </row>
    <row r="2081">
      <c r="A2081" s="227">
        <f>TL[[#This Row],[Société]]&amp;" - "&amp;TL[[#This Row],[Compte]]</f>
        <v/>
      </c>
      <c r="B2081" s="233" t="inlineStr">
        <is>
          <t>708809</t>
        </is>
      </c>
      <c r="C2081" s="227" t="inlineStr">
        <is>
          <t>Refacturation équipiers SB</t>
        </is>
      </c>
      <c r="D2081" s="233" t="inlineStr">
        <is>
          <t>10</t>
        </is>
      </c>
      <c r="E2081" s="233" t="inlineStr">
        <is>
          <t>08</t>
        </is>
      </c>
      <c r="F2081" s="227" t="inlineStr">
        <is>
          <t>VICTOIRE</t>
        </is>
      </c>
    </row>
    <row r="2082">
      <c r="A2082" s="227">
        <f>TL[[#This Row],[Société]]&amp;" - "&amp;TL[[#This Row],[Compte]]</f>
        <v/>
      </c>
      <c r="B2082" s="233" t="inlineStr">
        <is>
          <t>708810</t>
        </is>
      </c>
      <c r="C2082" s="227" t="inlineStr">
        <is>
          <t>Refacturation équipiers Charges</t>
        </is>
      </c>
      <c r="D2082" s="233" t="inlineStr">
        <is>
          <t>10</t>
        </is>
      </c>
      <c r="E2082" s="233" t="inlineStr">
        <is>
          <t>09</t>
        </is>
      </c>
      <c r="F2082" s="227" t="inlineStr">
        <is>
          <t>VICTOIRE</t>
        </is>
      </c>
    </row>
    <row r="2083">
      <c r="A2083" s="227">
        <f>TL[[#This Row],[Société]]&amp;" - "&amp;TL[[#This Row],[Compte]]</f>
        <v/>
      </c>
      <c r="B2083" s="233" t="inlineStr">
        <is>
          <t>708811</t>
        </is>
      </c>
      <c r="C2083" s="227" t="inlineStr">
        <is>
          <t>MARTIN BROWER</t>
        </is>
      </c>
      <c r="D2083" s="233" t="inlineStr">
        <is>
          <t>06</t>
        </is>
      </c>
      <c r="E2083" s="233" t="inlineStr">
        <is>
          <t>03</t>
        </is>
      </c>
      <c r="F2083" s="227" t="inlineStr">
        <is>
          <t>VICTOIRE</t>
        </is>
      </c>
    </row>
    <row r="2084">
      <c r="A2084" s="227">
        <f>TL[[#This Row],[Société]]&amp;" - "&amp;TL[[#This Row],[Compte]]</f>
        <v/>
      </c>
      <c r="B2084" s="233" t="inlineStr">
        <is>
          <t>708870</t>
        </is>
      </c>
      <c r="C2084" s="227" t="inlineStr">
        <is>
          <t>Refacturation budget de marché</t>
        </is>
      </c>
      <c r="D2084" s="233" t="inlineStr">
        <is>
          <t>15</t>
        </is>
      </c>
      <c r="E2084" s="233" t="inlineStr">
        <is>
          <t>23</t>
        </is>
      </c>
      <c r="F2084" s="227" t="inlineStr">
        <is>
          <t>VICTOIRE</t>
        </is>
      </c>
    </row>
    <row r="2085">
      <c r="A2085" s="227">
        <f>TL[[#This Row],[Société]]&amp;" - "&amp;TL[[#This Row],[Compte]]</f>
        <v/>
      </c>
      <c r="B2085" s="233" t="inlineStr">
        <is>
          <t>708880</t>
        </is>
      </c>
      <c r="C2085" s="227" t="inlineStr">
        <is>
          <t>REFACTRURATION DIVERSES</t>
        </is>
      </c>
      <c r="D2085" s="240" t="inlineStr">
        <is>
          <t>19</t>
        </is>
      </c>
      <c r="E2085" s="233" t="inlineStr">
        <is>
          <t>18</t>
        </is>
      </c>
      <c r="F2085" s="227" t="inlineStr">
        <is>
          <t>VICTOIRE</t>
        </is>
      </c>
    </row>
    <row r="2086">
      <c r="A2086" s="227">
        <f>TL[[#This Row],[Société]]&amp;" - "&amp;TL[[#This Row],[Compte]]</f>
        <v/>
      </c>
      <c r="B2086" s="233" t="inlineStr">
        <is>
          <t>708890</t>
        </is>
      </c>
      <c r="C2086" s="227" t="inlineStr">
        <is>
          <t>Autres produits annexes (export)</t>
        </is>
      </c>
      <c r="F2086" s="227" t="inlineStr">
        <is>
          <t>VICTOIRE</t>
        </is>
      </c>
    </row>
    <row r="2087">
      <c r="A2087" s="227">
        <f>TL[[#This Row],[Société]]&amp;" - "&amp;TL[[#This Row],[Compte]]</f>
        <v/>
      </c>
      <c r="B2087" s="233" t="inlineStr">
        <is>
          <t>709100</t>
        </is>
      </c>
      <c r="C2087" s="227" t="inlineStr">
        <is>
          <t>R.R.R.accordés s/vtes prod. finis</t>
        </is>
      </c>
      <c r="F2087" s="227" t="inlineStr">
        <is>
          <t>VICTOIRE</t>
        </is>
      </c>
    </row>
    <row r="2088">
      <c r="A2088" s="227">
        <f>TL[[#This Row],[Société]]&amp;" - "&amp;TL[[#This Row],[Compte]]</f>
        <v/>
      </c>
      <c r="B2088" s="233" t="inlineStr">
        <is>
          <t>709190</t>
        </is>
      </c>
      <c r="C2088" s="227" t="inlineStr">
        <is>
          <t>R.R.R.accordés s/vtes prod. (export</t>
        </is>
      </c>
      <c r="F2088" s="227" t="inlineStr">
        <is>
          <t>VICTOIRE</t>
        </is>
      </c>
    </row>
    <row r="2089">
      <c r="A2089" s="227">
        <f>TL[[#This Row],[Société]]&amp;" - "&amp;TL[[#This Row],[Compte]]</f>
        <v/>
      </c>
      <c r="B2089" s="233" t="inlineStr">
        <is>
          <t>709200</t>
        </is>
      </c>
      <c r="C2089" s="227" t="inlineStr">
        <is>
          <t>R.R.R.accordés s/vtes prod. interm.</t>
        </is>
      </c>
      <c r="F2089" s="227" t="inlineStr">
        <is>
          <t>VICTOIRE</t>
        </is>
      </c>
    </row>
    <row r="2090">
      <c r="A2090" s="227">
        <f>TL[[#This Row],[Société]]&amp;" - "&amp;TL[[#This Row],[Compte]]</f>
        <v/>
      </c>
      <c r="B2090" s="233" t="inlineStr">
        <is>
          <t>709290</t>
        </is>
      </c>
      <c r="C2090" s="227" t="inlineStr">
        <is>
          <t>R.R.R.accordés s/vtes interm. (expo</t>
        </is>
      </c>
      <c r="F2090" s="227" t="inlineStr">
        <is>
          <t>VICTOIRE</t>
        </is>
      </c>
    </row>
    <row r="2091">
      <c r="A2091" s="227">
        <f>TL[[#This Row],[Société]]&amp;" - "&amp;TL[[#This Row],[Compte]]</f>
        <v/>
      </c>
      <c r="B2091" s="233" t="inlineStr">
        <is>
          <t>709400</t>
        </is>
      </c>
      <c r="C2091" s="227" t="inlineStr">
        <is>
          <t>R.R.R.accordés s/travaux</t>
        </is>
      </c>
      <c r="F2091" s="227" t="inlineStr">
        <is>
          <t>VICTOIRE</t>
        </is>
      </c>
    </row>
    <row r="2092">
      <c r="A2092" s="227">
        <f>TL[[#This Row],[Société]]&amp;" - "&amp;TL[[#This Row],[Compte]]</f>
        <v/>
      </c>
      <c r="B2092" s="233" t="inlineStr">
        <is>
          <t>709490</t>
        </is>
      </c>
      <c r="C2092" s="227" t="inlineStr">
        <is>
          <t>R.R.R.accordés s/travaux (export)</t>
        </is>
      </c>
      <c r="F2092" s="227" t="inlineStr">
        <is>
          <t>VICTOIRE</t>
        </is>
      </c>
    </row>
    <row r="2093">
      <c r="A2093" s="227">
        <f>TL[[#This Row],[Société]]&amp;" - "&amp;TL[[#This Row],[Compte]]</f>
        <v/>
      </c>
      <c r="B2093" s="233" t="inlineStr">
        <is>
          <t>709500</t>
        </is>
      </c>
      <c r="C2093" s="227" t="inlineStr">
        <is>
          <t>R.R.R.accordés s/études</t>
        </is>
      </c>
      <c r="F2093" s="227" t="inlineStr">
        <is>
          <t>VICTOIRE</t>
        </is>
      </c>
    </row>
    <row r="2094">
      <c r="A2094" s="227">
        <f>TL[[#This Row],[Société]]&amp;" - "&amp;TL[[#This Row],[Compte]]</f>
        <v/>
      </c>
      <c r="B2094" s="233" t="inlineStr">
        <is>
          <t>709590</t>
        </is>
      </c>
      <c r="C2094" s="227" t="inlineStr">
        <is>
          <t>R.R.R.accordés s/études (export)</t>
        </is>
      </c>
      <c r="F2094" s="227" t="inlineStr">
        <is>
          <t>VICTOIRE</t>
        </is>
      </c>
    </row>
    <row r="2095">
      <c r="A2095" s="227">
        <f>TL[[#This Row],[Société]]&amp;" - "&amp;TL[[#This Row],[Compte]]</f>
        <v/>
      </c>
      <c r="B2095" s="233" t="inlineStr">
        <is>
          <t>709600</t>
        </is>
      </c>
      <c r="C2095" s="227" t="inlineStr">
        <is>
          <t>R.R.R.accordés s/prestat. de sces</t>
        </is>
      </c>
      <c r="F2095" s="227" t="inlineStr">
        <is>
          <t>VICTOIRE</t>
        </is>
      </c>
    </row>
    <row r="2096">
      <c r="A2096" s="227">
        <f>TL[[#This Row],[Société]]&amp;" - "&amp;TL[[#This Row],[Compte]]</f>
        <v/>
      </c>
      <c r="B2096" s="233" t="inlineStr">
        <is>
          <t>709690</t>
        </is>
      </c>
      <c r="C2096" s="227" t="inlineStr">
        <is>
          <t>R.R.R.accordés s/prestat. (export)</t>
        </is>
      </c>
      <c r="F2096" s="227" t="inlineStr">
        <is>
          <t>VICTOIRE</t>
        </is>
      </c>
    </row>
    <row r="2097">
      <c r="A2097" s="227">
        <f>TL[[#This Row],[Société]]&amp;" - "&amp;TL[[#This Row],[Compte]]</f>
        <v/>
      </c>
      <c r="B2097" s="233" t="inlineStr">
        <is>
          <t>709700</t>
        </is>
      </c>
      <c r="C2097" s="227" t="inlineStr">
        <is>
          <t>R.R.R.accordés s/vtes de marchand.</t>
        </is>
      </c>
      <c r="F2097" s="227" t="inlineStr">
        <is>
          <t>VICTOIRE</t>
        </is>
      </c>
    </row>
    <row r="2098">
      <c r="A2098" s="227">
        <f>TL[[#This Row],[Société]]&amp;" - "&amp;TL[[#This Row],[Compte]]</f>
        <v/>
      </c>
      <c r="B2098" s="233" t="inlineStr">
        <is>
          <t>709790</t>
        </is>
      </c>
      <c r="C2098" s="227" t="inlineStr">
        <is>
          <t>R.R.R.accordés s/ventes (export)</t>
        </is>
      </c>
      <c r="F2098" s="227" t="inlineStr">
        <is>
          <t>VICTOIRE</t>
        </is>
      </c>
    </row>
    <row r="2099">
      <c r="A2099" s="227">
        <f>TL[[#This Row],[Société]]&amp;" - "&amp;TL[[#This Row],[Compte]]</f>
        <v/>
      </c>
      <c r="B2099" s="233" t="inlineStr">
        <is>
          <t>709800</t>
        </is>
      </c>
      <c r="C2099" s="227" t="inlineStr">
        <is>
          <t>R.R.R.accordés s/prod. activ. ann.</t>
        </is>
      </c>
      <c r="F2099" s="227" t="inlineStr">
        <is>
          <t>VICTOIRE</t>
        </is>
      </c>
    </row>
    <row r="2100">
      <c r="A2100" s="227">
        <f>TL[[#This Row],[Société]]&amp;" - "&amp;TL[[#This Row],[Compte]]</f>
        <v/>
      </c>
      <c r="B2100" s="233" t="inlineStr">
        <is>
          <t>709890</t>
        </is>
      </c>
      <c r="C2100" s="227" t="inlineStr">
        <is>
          <t>R.R.R.accordés s/annexes (export)</t>
        </is>
      </c>
      <c r="F2100" s="227" t="inlineStr">
        <is>
          <t>VICTOIRE</t>
        </is>
      </c>
    </row>
    <row r="2101">
      <c r="A2101" s="227">
        <f>TL[[#This Row],[Société]]&amp;" - "&amp;TL[[#This Row],[Compte]]</f>
        <v/>
      </c>
      <c r="B2101" s="233" t="inlineStr">
        <is>
          <t>713300</t>
        </is>
      </c>
      <c r="C2101" s="227" t="inlineStr">
        <is>
          <t>Variation encours product. biens</t>
        </is>
      </c>
      <c r="F2101" s="227" t="inlineStr">
        <is>
          <t>VICTOIRE</t>
        </is>
      </c>
    </row>
    <row r="2102">
      <c r="A2102" s="227">
        <f>TL[[#This Row],[Société]]&amp;" - "&amp;TL[[#This Row],[Compte]]</f>
        <v/>
      </c>
      <c r="B2102" s="233" t="inlineStr">
        <is>
          <t>713400</t>
        </is>
      </c>
      <c r="C2102" s="227" t="inlineStr">
        <is>
          <t>Variation encours product. services</t>
        </is>
      </c>
      <c r="F2102" s="227" t="inlineStr">
        <is>
          <t>VICTOIRE</t>
        </is>
      </c>
    </row>
    <row r="2103">
      <c r="A2103" s="227">
        <f>TL[[#This Row],[Société]]&amp;" - "&amp;TL[[#This Row],[Compte]]</f>
        <v/>
      </c>
      <c r="B2103" s="233" t="inlineStr">
        <is>
          <t>713500</t>
        </is>
      </c>
      <c r="C2103" s="227" t="inlineStr">
        <is>
          <t>Variation stocks produits</t>
        </is>
      </c>
      <c r="F2103" s="227" t="inlineStr">
        <is>
          <t>VICTOIRE</t>
        </is>
      </c>
    </row>
    <row r="2104">
      <c r="A2104" s="227">
        <f>TL[[#This Row],[Société]]&amp;" - "&amp;TL[[#This Row],[Compte]]</f>
        <v/>
      </c>
      <c r="B2104" s="233" t="inlineStr">
        <is>
          <t>720000</t>
        </is>
      </c>
      <c r="C2104" s="227" t="inlineStr">
        <is>
          <t>Production immobilisée</t>
        </is>
      </c>
      <c r="F2104" s="227" t="inlineStr">
        <is>
          <t>VICTOIRE</t>
        </is>
      </c>
    </row>
    <row r="2105">
      <c r="A2105" s="227">
        <f>TL[[#This Row],[Société]]&amp;" - "&amp;TL[[#This Row],[Compte]]</f>
        <v/>
      </c>
      <c r="B2105" s="233" t="inlineStr">
        <is>
          <t>721000</t>
        </is>
      </c>
      <c r="C2105" s="227" t="inlineStr">
        <is>
          <t>Production immobilisée incorporelle</t>
        </is>
      </c>
      <c r="F2105" s="227" t="inlineStr">
        <is>
          <t>VICTOIRE</t>
        </is>
      </c>
    </row>
    <row r="2106">
      <c r="A2106" s="227">
        <f>TL[[#This Row],[Société]]&amp;" - "&amp;TL[[#This Row],[Compte]]</f>
        <v/>
      </c>
      <c r="B2106" s="233" t="inlineStr">
        <is>
          <t>722000</t>
        </is>
      </c>
      <c r="C2106" s="227" t="inlineStr">
        <is>
          <t>Production immobilisée corporelle</t>
        </is>
      </c>
      <c r="F2106" s="227" t="inlineStr">
        <is>
          <t>VICTOIRE</t>
        </is>
      </c>
    </row>
    <row r="2107">
      <c r="A2107" s="227">
        <f>TL[[#This Row],[Société]]&amp;" - "&amp;TL[[#This Row],[Compte]]</f>
        <v/>
      </c>
      <c r="B2107" s="233" t="inlineStr">
        <is>
          <t>726000</t>
        </is>
      </c>
      <c r="C2107" s="227" t="inlineStr">
        <is>
          <t>AV EN NATURE REPAS EQUIPIERS</t>
        </is>
      </c>
      <c r="D2107" s="233" t="inlineStr">
        <is>
          <t>10</t>
        </is>
      </c>
      <c r="E2107" s="233" t="inlineStr">
        <is>
          <t>08</t>
        </is>
      </c>
      <c r="F2107" s="227" t="inlineStr">
        <is>
          <t>VICTOIRE</t>
        </is>
      </c>
    </row>
    <row r="2108">
      <c r="A2108" s="227">
        <f>TL[[#This Row],[Société]]&amp;" - "&amp;TL[[#This Row],[Compte]]</f>
        <v/>
      </c>
      <c r="B2108" s="233" t="inlineStr">
        <is>
          <t>726100</t>
        </is>
      </c>
      <c r="C2108" s="227" t="inlineStr">
        <is>
          <t>AV EN NATURE REPAS MANAGERS</t>
        </is>
      </c>
      <c r="D2108" s="233" t="inlineStr">
        <is>
          <t>11</t>
        </is>
      </c>
      <c r="E2108" s="233" t="inlineStr">
        <is>
          <t>10</t>
        </is>
      </c>
      <c r="F2108" s="227" t="inlineStr">
        <is>
          <t>VICTOIRE</t>
        </is>
      </c>
    </row>
    <row r="2109">
      <c r="A2109" s="227">
        <f>TL[[#This Row],[Société]]&amp;" - "&amp;TL[[#This Row],[Compte]]</f>
        <v/>
      </c>
      <c r="B2109" s="233" t="inlineStr">
        <is>
          <t>730000</t>
        </is>
      </c>
      <c r="C2109" s="227" t="inlineStr">
        <is>
          <t>Produits nets partiels opér. LT</t>
        </is>
      </c>
      <c r="F2109" s="227" t="inlineStr">
        <is>
          <t>VICTOIRE</t>
        </is>
      </c>
    </row>
    <row r="2110">
      <c r="A2110" s="227">
        <f>TL[[#This Row],[Société]]&amp;" - "&amp;TL[[#This Row],[Compte]]</f>
        <v/>
      </c>
      <c r="B2110" s="233" t="inlineStr">
        <is>
          <t>740000</t>
        </is>
      </c>
      <c r="C2110" s="227" t="inlineStr">
        <is>
          <t>Subventions d'exploitation</t>
        </is>
      </c>
      <c r="F2110" s="227" t="inlineStr">
        <is>
          <t>VICTOIRE</t>
        </is>
      </c>
    </row>
    <row r="2111">
      <c r="A2111" s="227">
        <f>TL[[#This Row],[Société]]&amp;" - "&amp;TL[[#This Row],[Compte]]</f>
        <v/>
      </c>
      <c r="B2111" s="233" t="inlineStr">
        <is>
          <t>740001</t>
        </is>
      </c>
      <c r="C2111" s="227" t="inlineStr">
        <is>
          <t>FONDS DE SOLIDARITE JANVIER  / EXT</t>
        </is>
      </c>
      <c r="D2111" s="233" t="inlineStr">
        <is>
          <t>39</t>
        </is>
      </c>
      <c r="E2111" s="233" t="inlineStr">
        <is>
          <t>40</t>
        </is>
      </c>
      <c r="F2111" s="227" t="inlineStr">
        <is>
          <t>VICTOIRE</t>
        </is>
      </c>
    </row>
    <row r="2112">
      <c r="A2112" s="227">
        <f>TL[[#This Row],[Société]]&amp;" - "&amp;TL[[#This Row],[Compte]]</f>
        <v/>
      </c>
      <c r="B2112" s="233" t="inlineStr">
        <is>
          <t>740010</t>
        </is>
      </c>
      <c r="C2112" s="227" t="inlineStr">
        <is>
          <t>SUBVENTION EXPLOITATION IMPOSABLE</t>
        </is>
      </c>
      <c r="D2112" s="233" t="inlineStr">
        <is>
          <t>39</t>
        </is>
      </c>
      <c r="E2112" s="233" t="inlineStr">
        <is>
          <t>40</t>
        </is>
      </c>
      <c r="F2112" s="227" t="inlineStr">
        <is>
          <t>VICTOIRE</t>
        </is>
      </c>
    </row>
    <row r="2113">
      <c r="A2113" s="227">
        <f>TL[[#This Row],[Société]]&amp;" - "&amp;TL[[#This Row],[Compte]]</f>
        <v/>
      </c>
      <c r="B2113" s="233" t="inlineStr">
        <is>
          <t>740020</t>
        </is>
      </c>
      <c r="C2113" s="227" t="inlineStr">
        <is>
          <t>SUBVENTION EXPLOITATION NON IMPOSAB</t>
        </is>
      </c>
      <c r="D2113" s="233" t="inlineStr">
        <is>
          <t>39</t>
        </is>
      </c>
      <c r="E2113" s="233" t="inlineStr">
        <is>
          <t>40</t>
        </is>
      </c>
      <c r="F2113" s="227" t="inlineStr">
        <is>
          <t>VICTOIRE</t>
        </is>
      </c>
    </row>
    <row r="2114">
      <c r="A2114" s="227">
        <f>TL[[#This Row],[Société]]&amp;" - "&amp;TL[[#This Row],[Compte]]</f>
        <v/>
      </c>
      <c r="B2114" s="233" t="inlineStr">
        <is>
          <t>751000</t>
        </is>
      </c>
      <c r="C2114" s="227" t="inlineStr">
        <is>
          <t>Redevances pour brevets, licences</t>
        </is>
      </c>
      <c r="F2114" s="227" t="inlineStr">
        <is>
          <t>VICTOIRE</t>
        </is>
      </c>
    </row>
    <row r="2115">
      <c r="A2115" s="227">
        <f>TL[[#This Row],[Société]]&amp;" - "&amp;TL[[#This Row],[Compte]]</f>
        <v/>
      </c>
      <c r="B2115" s="233" t="inlineStr">
        <is>
          <t>751100</t>
        </is>
      </c>
      <c r="C2115" s="227" t="inlineStr">
        <is>
          <t>Redevances pour brevets</t>
        </is>
      </c>
      <c r="F2115" s="227" t="inlineStr">
        <is>
          <t>VICTOIRE</t>
        </is>
      </c>
    </row>
    <row r="2116">
      <c r="A2116" s="227">
        <f>TL[[#This Row],[Société]]&amp;" - "&amp;TL[[#This Row],[Compte]]</f>
        <v/>
      </c>
      <c r="B2116" s="233" t="inlineStr">
        <is>
          <t>751600</t>
        </is>
      </c>
      <c r="C2116" s="227" t="inlineStr">
        <is>
          <t>Droits d'auteurs</t>
        </is>
      </c>
      <c r="F2116" s="227" t="inlineStr">
        <is>
          <t>VICTOIRE</t>
        </is>
      </c>
    </row>
    <row r="2117">
      <c r="A2117" s="227">
        <f>TL[[#This Row],[Société]]&amp;" - "&amp;TL[[#This Row],[Compte]]</f>
        <v/>
      </c>
      <c r="B2117" s="233" t="inlineStr">
        <is>
          <t>752000</t>
        </is>
      </c>
      <c r="C2117" s="227" t="inlineStr">
        <is>
          <t>Revenus immeubl. n/affect. act.prof</t>
        </is>
      </c>
      <c r="F2117" s="227" t="inlineStr">
        <is>
          <t>VICTOIRE</t>
        </is>
      </c>
    </row>
    <row r="2118">
      <c r="A2118" s="227">
        <f>TL[[#This Row],[Société]]&amp;" - "&amp;TL[[#This Row],[Compte]]</f>
        <v/>
      </c>
      <c r="B2118" s="233" t="inlineStr">
        <is>
          <t>753000</t>
        </is>
      </c>
      <c r="C2118" s="227" t="inlineStr">
        <is>
          <t>Jetons présence &amp; rémun. administ.</t>
        </is>
      </c>
      <c r="F2118" s="227" t="inlineStr">
        <is>
          <t>VICTOIRE</t>
        </is>
      </c>
    </row>
    <row r="2119">
      <c r="A2119" s="227">
        <f>TL[[#This Row],[Société]]&amp;" - "&amp;TL[[#This Row],[Compte]]</f>
        <v/>
      </c>
      <c r="B2119" s="233" t="inlineStr">
        <is>
          <t>755000</t>
        </is>
      </c>
      <c r="C2119" s="227" t="inlineStr">
        <is>
          <t>Quotes-parts résult. faites commun</t>
        </is>
      </c>
      <c r="F2119" s="227" t="inlineStr">
        <is>
          <t>VICTOIRE</t>
        </is>
      </c>
    </row>
    <row r="2120">
      <c r="A2120" s="227">
        <f>TL[[#This Row],[Société]]&amp;" - "&amp;TL[[#This Row],[Compte]]</f>
        <v/>
      </c>
      <c r="B2120" s="233" t="inlineStr">
        <is>
          <t>756000</t>
        </is>
      </c>
      <c r="C2120" s="227" t="inlineStr">
        <is>
          <t>Gain change / Cré. &amp; Det. Ciales</t>
        </is>
      </c>
      <c r="F2120" s="227" t="inlineStr">
        <is>
          <t>VICTOIRE</t>
        </is>
      </c>
    </row>
    <row r="2121">
      <c r="A2121" s="227">
        <f>TL[[#This Row],[Société]]&amp;" - "&amp;TL[[#This Row],[Compte]]</f>
        <v/>
      </c>
      <c r="B2121" s="233" t="inlineStr">
        <is>
          <t>758000</t>
        </is>
      </c>
      <c r="C2121" s="227" t="inlineStr">
        <is>
          <t>PRODUITS DIVERS GEST° COURANTE</t>
        </is>
      </c>
      <c r="D2121" s="233" t="inlineStr">
        <is>
          <t>39</t>
        </is>
      </c>
      <c r="E2121" s="233" t="inlineStr">
        <is>
          <t>27</t>
        </is>
      </c>
      <c r="F2121" s="227" t="inlineStr">
        <is>
          <t>VICTOIRE</t>
        </is>
      </c>
    </row>
    <row r="2122">
      <c r="A2122" s="227">
        <f>TL[[#This Row],[Société]]&amp;" - "&amp;TL[[#This Row],[Compte]]</f>
        <v/>
      </c>
      <c r="B2122" s="233" t="inlineStr">
        <is>
          <t>758100</t>
        </is>
      </c>
      <c r="C2122" s="227" t="inlineStr">
        <is>
          <t>ECARTS DE CAISSE</t>
        </is>
      </c>
      <c r="D2122" s="233" t="inlineStr">
        <is>
          <t>22</t>
        </is>
      </c>
      <c r="E2122" s="233" t="inlineStr">
        <is>
          <t>27</t>
        </is>
      </c>
      <c r="F2122" s="227" t="inlineStr">
        <is>
          <t>VICTOIRE</t>
        </is>
      </c>
    </row>
    <row r="2123">
      <c r="A2123" s="227">
        <f>TL[[#This Row],[Société]]&amp;" - "&amp;TL[[#This Row],[Compte]]</f>
        <v/>
      </c>
      <c r="B2123" s="233" t="inlineStr">
        <is>
          <t>761000</t>
        </is>
      </c>
      <c r="C2123" s="227" t="inlineStr">
        <is>
          <t>Produits de participations</t>
        </is>
      </c>
      <c r="F2123" s="227" t="inlineStr">
        <is>
          <t>VICTOIRE</t>
        </is>
      </c>
    </row>
    <row r="2124">
      <c r="A2124" s="227">
        <f>TL[[#This Row],[Société]]&amp;" - "&amp;TL[[#This Row],[Compte]]</f>
        <v/>
      </c>
      <c r="B2124" s="233" t="inlineStr">
        <is>
          <t>762000</t>
        </is>
      </c>
      <c r="C2124" s="227" t="inlineStr">
        <is>
          <t>Produits autres immobilis.financ.</t>
        </is>
      </c>
      <c r="F2124" s="227" t="inlineStr">
        <is>
          <t>VICTOIRE</t>
        </is>
      </c>
    </row>
    <row r="2125">
      <c r="A2125" s="227">
        <f>TL[[#This Row],[Société]]&amp;" - "&amp;TL[[#This Row],[Compte]]</f>
        <v/>
      </c>
      <c r="B2125" s="233" t="inlineStr">
        <is>
          <t>762100</t>
        </is>
      </c>
      <c r="C2125" s="227" t="inlineStr">
        <is>
          <t>Revenus des titres immobilisés</t>
        </is>
      </c>
      <c r="F2125" s="227" t="inlineStr">
        <is>
          <t>VICTOIRE</t>
        </is>
      </c>
    </row>
    <row r="2126">
      <c r="A2126" s="227">
        <f>TL[[#This Row],[Société]]&amp;" - "&amp;TL[[#This Row],[Compte]]</f>
        <v/>
      </c>
      <c r="B2126" s="233" t="inlineStr">
        <is>
          <t>762400</t>
        </is>
      </c>
      <c r="C2126" s="227" t="inlineStr">
        <is>
          <t>Revenus des prêts</t>
        </is>
      </c>
      <c r="F2126" s="227" t="inlineStr">
        <is>
          <t>VICTOIRE</t>
        </is>
      </c>
    </row>
    <row r="2127">
      <c r="A2127" s="227">
        <f>TL[[#This Row],[Société]]&amp;" - "&amp;TL[[#This Row],[Compte]]</f>
        <v/>
      </c>
      <c r="B2127" s="233" t="inlineStr">
        <is>
          <t>762700</t>
        </is>
      </c>
      <c r="C2127" s="227" t="inlineStr">
        <is>
          <t>Revenus des créances immobilisées</t>
        </is>
      </c>
      <c r="F2127" s="227" t="inlineStr">
        <is>
          <t>VICTOIRE</t>
        </is>
      </c>
    </row>
    <row r="2128">
      <c r="A2128" s="227">
        <f>TL[[#This Row],[Société]]&amp;" - "&amp;TL[[#This Row],[Compte]]</f>
        <v/>
      </c>
      <c r="B2128" s="233" t="inlineStr">
        <is>
          <t>763000</t>
        </is>
      </c>
      <c r="C2128" s="227" t="inlineStr">
        <is>
          <t>Revenus autres créances</t>
        </is>
      </c>
      <c r="F2128" s="227" t="inlineStr">
        <is>
          <t>VICTOIRE</t>
        </is>
      </c>
    </row>
    <row r="2129">
      <c r="A2129" s="227">
        <f>TL[[#This Row],[Société]]&amp;" - "&amp;TL[[#This Row],[Compte]]</f>
        <v/>
      </c>
      <c r="B2129" s="233" t="inlineStr">
        <is>
          <t>763100</t>
        </is>
      </c>
      <c r="C2129" s="227" t="inlineStr">
        <is>
          <t>Revenus des créances commerciales</t>
        </is>
      </c>
      <c r="F2129" s="227" t="inlineStr">
        <is>
          <t>VICTOIRE</t>
        </is>
      </c>
    </row>
    <row r="2130">
      <c r="A2130" s="227">
        <f>TL[[#This Row],[Société]]&amp;" - "&amp;TL[[#This Row],[Compte]]</f>
        <v/>
      </c>
      <c r="B2130" s="233" t="inlineStr">
        <is>
          <t>763800</t>
        </is>
      </c>
      <c r="C2130" s="227" t="inlineStr">
        <is>
          <t>Revenus des autres créances</t>
        </is>
      </c>
      <c r="F2130" s="227" t="inlineStr">
        <is>
          <t>VICTOIRE</t>
        </is>
      </c>
    </row>
    <row r="2131">
      <c r="A2131" s="227">
        <f>TL[[#This Row],[Société]]&amp;" - "&amp;TL[[#This Row],[Compte]]</f>
        <v/>
      </c>
      <c r="B2131" s="233" t="inlineStr">
        <is>
          <t>764000</t>
        </is>
      </c>
      <c r="C2131" s="227" t="inlineStr">
        <is>
          <t>Revenus des VMP</t>
        </is>
      </c>
      <c r="F2131" s="227" t="inlineStr">
        <is>
          <t>VICTOIRE</t>
        </is>
      </c>
    </row>
    <row r="2132">
      <c r="A2132" s="227">
        <f>TL[[#This Row],[Société]]&amp;" - "&amp;TL[[#This Row],[Compte]]</f>
        <v/>
      </c>
      <c r="B2132" s="233" t="inlineStr">
        <is>
          <t>765000</t>
        </is>
      </c>
      <c r="C2132" s="227" t="inlineStr">
        <is>
          <t>Escomptes obtenus</t>
        </is>
      </c>
      <c r="F2132" s="227" t="inlineStr">
        <is>
          <t>VICTOIRE</t>
        </is>
      </c>
    </row>
    <row r="2133">
      <c r="A2133" s="227">
        <f>TL[[#This Row],[Société]]&amp;" - "&amp;TL[[#This Row],[Compte]]</f>
        <v/>
      </c>
      <c r="B2133" s="233" t="inlineStr">
        <is>
          <t>766000</t>
        </is>
      </c>
      <c r="C2133" s="227" t="inlineStr">
        <is>
          <t>Gains de change</t>
        </is>
      </c>
      <c r="F2133" s="227" t="inlineStr">
        <is>
          <t>VICTOIRE</t>
        </is>
      </c>
    </row>
    <row r="2134">
      <c r="A2134" s="227">
        <f>TL[[#This Row],[Société]]&amp;" - "&amp;TL[[#This Row],[Compte]]</f>
        <v/>
      </c>
      <c r="B2134" s="233" t="inlineStr">
        <is>
          <t>767000</t>
        </is>
      </c>
      <c r="C2134" s="227" t="inlineStr">
        <is>
          <t>Produits nets s/cessions VMP</t>
        </is>
      </c>
      <c r="F2134" s="227" t="inlineStr">
        <is>
          <t>VICTOIRE</t>
        </is>
      </c>
    </row>
    <row r="2135">
      <c r="A2135" s="227">
        <f>TL[[#This Row],[Société]]&amp;" - "&amp;TL[[#This Row],[Compte]]</f>
        <v/>
      </c>
      <c r="B2135" s="233" t="inlineStr">
        <is>
          <t>768000</t>
        </is>
      </c>
      <c r="C2135" s="227" t="inlineStr">
        <is>
          <t>AUTRE PROCUITS FINANCIERS</t>
        </is>
      </c>
      <c r="D2135" s="233" t="inlineStr">
        <is>
          <t>38</t>
        </is>
      </c>
      <c r="E2135" s="233" t="inlineStr">
        <is>
          <t>42</t>
        </is>
      </c>
      <c r="F2135" s="227" t="inlineStr">
        <is>
          <t>VICTOIRE</t>
        </is>
      </c>
    </row>
    <row r="2136">
      <c r="A2136" s="227">
        <f>TL[[#This Row],[Société]]&amp;" - "&amp;TL[[#This Row],[Compte]]</f>
        <v/>
      </c>
      <c r="B2136" s="233" t="inlineStr">
        <is>
          <t>768800</t>
        </is>
      </c>
      <c r="C2136" s="227" t="inlineStr">
        <is>
          <t>Ecart de conversion EURO</t>
        </is>
      </c>
      <c r="F2136" s="227" t="inlineStr">
        <is>
          <t>VICTOIRE</t>
        </is>
      </c>
    </row>
    <row r="2137">
      <c r="A2137" s="227">
        <f>TL[[#This Row],[Société]]&amp;" - "&amp;TL[[#This Row],[Compte]]</f>
        <v/>
      </c>
      <c r="B2137" s="233" t="inlineStr">
        <is>
          <t>771000</t>
        </is>
      </c>
      <c r="C2137" s="227" t="inlineStr">
        <is>
          <t>Produits except. s/opér. gestion</t>
        </is>
      </c>
      <c r="F2137" s="227" t="inlineStr">
        <is>
          <t>VICTOIRE</t>
        </is>
      </c>
    </row>
    <row r="2138">
      <c r="A2138" s="227">
        <f>TL[[#This Row],[Société]]&amp;" - "&amp;TL[[#This Row],[Compte]]</f>
        <v/>
      </c>
      <c r="B2138" s="233" t="inlineStr">
        <is>
          <t>771100</t>
        </is>
      </c>
      <c r="C2138" s="227" t="inlineStr">
        <is>
          <t>ECARTS DE CAISSE</t>
        </is>
      </c>
      <c r="D2138" s="233" t="inlineStr">
        <is>
          <t>22</t>
        </is>
      </c>
      <c r="E2138" s="233" t="inlineStr">
        <is>
          <t>27</t>
        </is>
      </c>
      <c r="F2138" s="227" t="inlineStr">
        <is>
          <t>VICTOIRE</t>
        </is>
      </c>
    </row>
    <row r="2139">
      <c r="A2139" s="227">
        <f>TL[[#This Row],[Société]]&amp;" - "&amp;TL[[#This Row],[Compte]]</f>
        <v/>
      </c>
      <c r="B2139" s="233" t="inlineStr">
        <is>
          <t>771300</t>
        </is>
      </c>
      <c r="C2139" s="227" t="inlineStr">
        <is>
          <t>Libéralités perçues</t>
        </is>
      </c>
      <c r="F2139" s="227" t="inlineStr">
        <is>
          <t>VICTOIRE</t>
        </is>
      </c>
    </row>
    <row r="2140">
      <c r="A2140" s="227">
        <f>TL[[#This Row],[Société]]&amp;" - "&amp;TL[[#This Row],[Compte]]</f>
        <v/>
      </c>
      <c r="B2140" s="233" t="inlineStr">
        <is>
          <t>771400</t>
        </is>
      </c>
      <c r="C2140" s="227" t="inlineStr">
        <is>
          <t>Rentrées sur créances amorties</t>
        </is>
      </c>
      <c r="F2140" s="227" t="inlineStr">
        <is>
          <t>VICTOIRE</t>
        </is>
      </c>
    </row>
    <row r="2141">
      <c r="A2141" s="227">
        <f>TL[[#This Row],[Société]]&amp;" - "&amp;TL[[#This Row],[Compte]]</f>
        <v/>
      </c>
      <c r="B2141" s="233" t="inlineStr">
        <is>
          <t>771500</t>
        </is>
      </c>
      <c r="C2141" s="227" t="inlineStr">
        <is>
          <t>Subventions d'équilibre</t>
        </is>
      </c>
      <c r="F2141" s="227" t="inlineStr">
        <is>
          <t>VICTOIRE</t>
        </is>
      </c>
    </row>
    <row r="2142">
      <c r="A2142" s="227">
        <f>TL[[#This Row],[Société]]&amp;" - "&amp;TL[[#This Row],[Compte]]</f>
        <v/>
      </c>
      <c r="B2142" s="233" t="inlineStr">
        <is>
          <t>771700</t>
        </is>
      </c>
      <c r="C2142" s="227" t="inlineStr">
        <is>
          <t>Dégrèvements d'impôts hors IS</t>
        </is>
      </c>
      <c r="F2142" s="227" t="inlineStr">
        <is>
          <t>VICTOIRE</t>
        </is>
      </c>
    </row>
    <row r="2143">
      <c r="A2143" s="227">
        <f>TL[[#This Row],[Société]]&amp;" - "&amp;TL[[#This Row],[Compte]]</f>
        <v/>
      </c>
      <c r="B2143" s="233" t="inlineStr">
        <is>
          <t>771800</t>
        </is>
      </c>
      <c r="C2143" s="227" t="inlineStr">
        <is>
          <t>AUTRES PRODUITS S/OP DE GESTIO</t>
        </is>
      </c>
      <c r="D2143" s="233" t="inlineStr">
        <is>
          <t>39</t>
        </is>
      </c>
      <c r="E2143" s="233" t="inlineStr">
        <is>
          <t>45</t>
        </is>
      </c>
      <c r="F2143" s="227" t="inlineStr">
        <is>
          <t>VICTOIRE</t>
        </is>
      </c>
    </row>
    <row r="2144">
      <c r="A2144" s="227">
        <f>TL[[#This Row],[Société]]&amp;" - "&amp;TL[[#This Row],[Compte]]</f>
        <v/>
      </c>
      <c r="B2144" s="233" t="inlineStr">
        <is>
          <t>772000</t>
        </is>
      </c>
      <c r="C2144" s="227" t="inlineStr">
        <is>
          <t>Produits des exercices antérieurs</t>
        </is>
      </c>
      <c r="F2144" s="227" t="inlineStr">
        <is>
          <t>VICTOIRE</t>
        </is>
      </c>
    </row>
    <row r="2145">
      <c r="A2145" s="227">
        <f>TL[[#This Row],[Société]]&amp;" - "&amp;TL[[#This Row],[Compte]]</f>
        <v/>
      </c>
      <c r="B2145" s="233" t="inlineStr">
        <is>
          <t>775000</t>
        </is>
      </c>
      <c r="C2145" s="227" t="inlineStr">
        <is>
          <t>Produits cessions éléments d'actif</t>
        </is>
      </c>
      <c r="F2145" s="227" t="inlineStr">
        <is>
          <t>VICTOIRE</t>
        </is>
      </c>
    </row>
    <row r="2146">
      <c r="A2146" s="227">
        <f>TL[[#This Row],[Société]]&amp;" - "&amp;TL[[#This Row],[Compte]]</f>
        <v/>
      </c>
      <c r="B2146" s="233" t="inlineStr">
        <is>
          <t>775100</t>
        </is>
      </c>
      <c r="C2146" s="227" t="inlineStr">
        <is>
          <t>Prod cessions actifs - Immo incorp</t>
        </is>
      </c>
      <c r="F2146" s="227" t="inlineStr">
        <is>
          <t>VICTOIRE</t>
        </is>
      </c>
    </row>
    <row r="2147">
      <c r="A2147" s="227">
        <f>TL[[#This Row],[Société]]&amp;" - "&amp;TL[[#This Row],[Compte]]</f>
        <v/>
      </c>
      <c r="B2147" s="233" t="inlineStr">
        <is>
          <t>775200</t>
        </is>
      </c>
      <c r="C2147" s="227" t="inlineStr">
        <is>
          <t>PDTS CESSIONS IMMO. CORPORELLES</t>
        </is>
      </c>
      <c r="D2147" s="233" t="inlineStr">
        <is>
          <t>35</t>
        </is>
      </c>
      <c r="E2147" s="233" t="inlineStr">
        <is>
          <t>45</t>
        </is>
      </c>
      <c r="F2147" s="227" t="inlineStr">
        <is>
          <t>VICTOIRE</t>
        </is>
      </c>
    </row>
    <row r="2148">
      <c r="A2148" s="227">
        <f>TL[[#This Row],[Société]]&amp;" - "&amp;TL[[#This Row],[Compte]]</f>
        <v/>
      </c>
      <c r="B2148" s="233" t="inlineStr">
        <is>
          <t>775600</t>
        </is>
      </c>
      <c r="C2148" s="227" t="inlineStr">
        <is>
          <t>Prod cessions actifs - Immo Fi.</t>
        </is>
      </c>
      <c r="F2148" s="227" t="inlineStr">
        <is>
          <t>VICTOIRE</t>
        </is>
      </c>
    </row>
    <row r="2149">
      <c r="A2149" s="227">
        <f>TL[[#This Row],[Société]]&amp;" - "&amp;TL[[#This Row],[Compte]]</f>
        <v/>
      </c>
      <c r="B2149" s="233" t="inlineStr">
        <is>
          <t>777000</t>
        </is>
      </c>
      <c r="C2149" s="227" t="inlineStr">
        <is>
          <t>Quote-part des subventions virées</t>
        </is>
      </c>
      <c r="F2149" s="227" t="inlineStr">
        <is>
          <t>VICTOIRE</t>
        </is>
      </c>
    </row>
    <row r="2150">
      <c r="A2150" s="227">
        <f>TL[[#This Row],[Société]]&amp;" - "&amp;TL[[#This Row],[Compte]]</f>
        <v/>
      </c>
      <c r="B2150" s="233" t="inlineStr">
        <is>
          <t>778000</t>
        </is>
      </c>
      <c r="C2150" s="227" t="inlineStr">
        <is>
          <t>Produits exceptionnels divers</t>
        </is>
      </c>
      <c r="F2150" s="227" t="inlineStr">
        <is>
          <t>VICTOIRE</t>
        </is>
      </c>
    </row>
    <row r="2151">
      <c r="A2151" s="227">
        <f>TL[[#This Row],[Société]]&amp;" - "&amp;TL[[#This Row],[Compte]]</f>
        <v/>
      </c>
      <c r="B2151" s="233" t="inlineStr">
        <is>
          <t>778800</t>
        </is>
      </c>
      <c r="C2151" s="227" t="inlineStr">
        <is>
          <t>Produits exceptionnels divers</t>
        </is>
      </c>
      <c r="F2151" s="227" t="inlineStr">
        <is>
          <t>VICTOIRE</t>
        </is>
      </c>
    </row>
    <row r="2152">
      <c r="A2152" s="227">
        <f>TL[[#This Row],[Société]]&amp;" - "&amp;TL[[#This Row],[Compte]]</f>
        <v/>
      </c>
      <c r="B2152" s="233" t="inlineStr">
        <is>
          <t>781110</t>
        </is>
      </c>
      <c r="C2152" s="227" t="inlineStr">
        <is>
          <t>Repris.s/amort. immob. incorporelle</t>
        </is>
      </c>
      <c r="F2152" s="227" t="inlineStr">
        <is>
          <t>VICTOIRE</t>
        </is>
      </c>
    </row>
    <row r="2153">
      <c r="A2153" s="227">
        <f>TL[[#This Row],[Société]]&amp;" - "&amp;TL[[#This Row],[Compte]]</f>
        <v/>
      </c>
      <c r="B2153" s="233" t="inlineStr">
        <is>
          <t>781120</t>
        </is>
      </c>
      <c r="C2153" s="227" t="inlineStr">
        <is>
          <t>Repris.s/amort. immob. corporelle</t>
        </is>
      </c>
      <c r="F2153" s="227" t="inlineStr">
        <is>
          <t>VICTOIRE</t>
        </is>
      </c>
    </row>
    <row r="2154">
      <c r="A2154" s="227">
        <f>TL[[#This Row],[Société]]&amp;" - "&amp;TL[[#This Row],[Compte]]</f>
        <v/>
      </c>
      <c r="B2154" s="233" t="inlineStr">
        <is>
          <t>781500</t>
        </is>
      </c>
      <c r="C2154" s="227" t="inlineStr">
        <is>
          <t>Repris.s/provis.risques &amp; charges</t>
        </is>
      </c>
      <c r="F2154" s="227" t="inlineStr">
        <is>
          <t>VICTOIRE</t>
        </is>
      </c>
    </row>
    <row r="2155">
      <c r="A2155" s="227">
        <f>TL[[#This Row],[Société]]&amp;" - "&amp;TL[[#This Row],[Compte]]</f>
        <v/>
      </c>
      <c r="B2155" s="233" t="inlineStr">
        <is>
          <t>781610</t>
        </is>
      </c>
      <c r="C2155" s="227" t="inlineStr">
        <is>
          <t>Repris.s/prov.dépréc.immob. incorp.</t>
        </is>
      </c>
      <c r="F2155" s="227" t="inlineStr">
        <is>
          <t>VICTOIRE</t>
        </is>
      </c>
    </row>
    <row r="2156">
      <c r="A2156" s="227">
        <f>TL[[#This Row],[Société]]&amp;" - "&amp;TL[[#This Row],[Compte]]</f>
        <v/>
      </c>
      <c r="B2156" s="233" t="inlineStr">
        <is>
          <t>781620</t>
        </is>
      </c>
      <c r="C2156" s="227" t="inlineStr">
        <is>
          <t>Repris.s/prov.dépréc.immob. corp.</t>
        </is>
      </c>
      <c r="F2156" s="227" t="inlineStr">
        <is>
          <t>VICTOIRE</t>
        </is>
      </c>
    </row>
    <row r="2157">
      <c r="A2157" s="227">
        <f>TL[[#This Row],[Société]]&amp;" - "&amp;TL[[#This Row],[Compte]]</f>
        <v/>
      </c>
      <c r="B2157" s="233" t="inlineStr">
        <is>
          <t>781730</t>
        </is>
      </c>
      <c r="C2157" s="227" t="inlineStr">
        <is>
          <t>Repris.s/prov.dépréc. stocks</t>
        </is>
      </c>
      <c r="F2157" s="227" t="inlineStr">
        <is>
          <t>VICTOIRE</t>
        </is>
      </c>
    </row>
    <row r="2158">
      <c r="A2158" s="227">
        <f>TL[[#This Row],[Société]]&amp;" - "&amp;TL[[#This Row],[Compte]]</f>
        <v/>
      </c>
      <c r="B2158" s="233" t="inlineStr">
        <is>
          <t>781740</t>
        </is>
      </c>
      <c r="C2158" s="227" t="inlineStr">
        <is>
          <t>REPRISE SUR PROV CREANCE IRREC</t>
        </is>
      </c>
      <c r="F2158" s="227" t="inlineStr">
        <is>
          <t>VICTOIRE</t>
        </is>
      </c>
    </row>
    <row r="2159">
      <c r="A2159" s="227">
        <f>TL[[#This Row],[Société]]&amp;" - "&amp;TL[[#This Row],[Compte]]</f>
        <v/>
      </c>
      <c r="B2159" s="233" t="inlineStr">
        <is>
          <t>781745</t>
        </is>
      </c>
      <c r="C2159" s="227" t="inlineStr">
        <is>
          <t>Repris.s/prov.dépréc.aut.créances</t>
        </is>
      </c>
      <c r="F2159" s="227" t="inlineStr">
        <is>
          <t>VICTOIRE</t>
        </is>
      </c>
    </row>
    <row r="2160">
      <c r="A2160" s="227">
        <f>TL[[#This Row],[Société]]&amp;" - "&amp;TL[[#This Row],[Compte]]</f>
        <v/>
      </c>
      <c r="B2160" s="233" t="inlineStr">
        <is>
          <t>786400</t>
        </is>
      </c>
      <c r="C2160" s="227" t="inlineStr">
        <is>
          <t>Repris.s/prov.parti. mise en équiv.</t>
        </is>
      </c>
      <c r="F2160" s="227" t="inlineStr">
        <is>
          <t>VICTOIRE</t>
        </is>
      </c>
    </row>
    <row r="2161">
      <c r="A2161" s="227">
        <f>TL[[#This Row],[Société]]&amp;" - "&amp;TL[[#This Row],[Compte]]</f>
        <v/>
      </c>
      <c r="B2161" s="233" t="inlineStr">
        <is>
          <t>786500</t>
        </is>
      </c>
      <c r="C2161" s="227" t="inlineStr">
        <is>
          <t>Repris.s/prov.risques financiers</t>
        </is>
      </c>
      <c r="F2161" s="227" t="inlineStr">
        <is>
          <t>VICTOIRE</t>
        </is>
      </c>
    </row>
    <row r="2162">
      <c r="A2162" s="227">
        <f>TL[[#This Row],[Société]]&amp;" - "&amp;TL[[#This Row],[Compte]]</f>
        <v/>
      </c>
      <c r="B2162" s="233" t="inlineStr">
        <is>
          <t>786620</t>
        </is>
      </c>
      <c r="C2162" s="227" t="inlineStr">
        <is>
          <t>Repris.s/prov.dépréc.immob. financ.</t>
        </is>
      </c>
      <c r="F2162" s="227" t="inlineStr">
        <is>
          <t>VICTOIRE</t>
        </is>
      </c>
    </row>
    <row r="2163">
      <c r="A2163" s="227">
        <f>TL[[#This Row],[Société]]&amp;" - "&amp;TL[[#This Row],[Compte]]</f>
        <v/>
      </c>
      <c r="B2163" s="233" t="inlineStr">
        <is>
          <t>786640</t>
        </is>
      </c>
      <c r="C2163" s="227" t="inlineStr">
        <is>
          <t>Repris.s/prov.dépréc. titres IAP</t>
        </is>
      </c>
      <c r="F2163" s="227" t="inlineStr">
        <is>
          <t>VICTOIRE</t>
        </is>
      </c>
    </row>
    <row r="2164">
      <c r="A2164" s="227">
        <f>TL[[#This Row],[Société]]&amp;" - "&amp;TL[[#This Row],[Compte]]</f>
        <v/>
      </c>
      <c r="B2164" s="233" t="inlineStr">
        <is>
          <t>786650</t>
        </is>
      </c>
      <c r="C2164" s="227" t="inlineStr">
        <is>
          <t>Repris.s/prov.dépréc.valeurs placem</t>
        </is>
      </c>
      <c r="F2164" s="227" t="inlineStr">
        <is>
          <t>VICTOIRE</t>
        </is>
      </c>
    </row>
    <row r="2165">
      <c r="A2165" s="227">
        <f>TL[[#This Row],[Société]]&amp;" - "&amp;TL[[#This Row],[Compte]]</f>
        <v/>
      </c>
      <c r="B2165" s="233" t="inlineStr">
        <is>
          <t>787110</t>
        </is>
      </c>
      <c r="C2165" s="227" t="inlineStr">
        <is>
          <t>Repris.s/amort.immob.incorpo (exce)</t>
        </is>
      </c>
      <c r="F2165" s="227" t="inlineStr">
        <is>
          <t>VICTOIRE</t>
        </is>
      </c>
    </row>
    <row r="2166">
      <c r="A2166" s="227">
        <f>TL[[#This Row],[Société]]&amp;" - "&amp;TL[[#This Row],[Compte]]</f>
        <v/>
      </c>
      <c r="B2166" s="233" t="inlineStr">
        <is>
          <t>787120</t>
        </is>
      </c>
      <c r="C2166" s="227" t="inlineStr">
        <is>
          <t>Repris.s/amort.immob.corpor. (exce)</t>
        </is>
      </c>
      <c r="F2166" s="227" t="inlineStr">
        <is>
          <t>VICTOIRE</t>
        </is>
      </c>
    </row>
    <row r="2167">
      <c r="A2167" s="227">
        <f>TL[[#This Row],[Société]]&amp;" - "&amp;TL[[#This Row],[Compte]]</f>
        <v/>
      </c>
      <c r="B2167" s="233" t="inlineStr">
        <is>
          <t>787200</t>
        </is>
      </c>
      <c r="C2167" s="227" t="inlineStr">
        <is>
          <t>Repris.s/prov.réglementées immob.</t>
        </is>
      </c>
      <c r="F2167" s="227" t="inlineStr">
        <is>
          <t>VICTOIRE</t>
        </is>
      </c>
    </row>
    <row r="2168">
      <c r="A2168" s="227">
        <f>TL[[#This Row],[Société]]&amp;" - "&amp;TL[[#This Row],[Compte]]</f>
        <v/>
      </c>
      <c r="B2168" s="233" t="inlineStr">
        <is>
          <t>787250</t>
        </is>
      </c>
      <c r="C2168" s="227" t="inlineStr">
        <is>
          <t>Reprises amortissements dérogatoire</t>
        </is>
      </c>
      <c r="F2168" s="227" t="inlineStr">
        <is>
          <t>VICTOIRE</t>
        </is>
      </c>
    </row>
    <row r="2169">
      <c r="A2169" s="227">
        <f>TL[[#This Row],[Société]]&amp;" - "&amp;TL[[#This Row],[Compte]]</f>
        <v/>
      </c>
      <c r="B2169" s="233" t="inlineStr">
        <is>
          <t>787260</t>
        </is>
      </c>
      <c r="C2169" s="227" t="inlineStr">
        <is>
          <t>Provision spéciale de réévaluation</t>
        </is>
      </c>
      <c r="F2169" s="227" t="inlineStr">
        <is>
          <t>VICTOIRE</t>
        </is>
      </c>
    </row>
    <row r="2170">
      <c r="A2170" s="227">
        <f>TL[[#This Row],[Société]]&amp;" - "&amp;TL[[#This Row],[Compte]]</f>
        <v/>
      </c>
      <c r="B2170" s="233" t="inlineStr">
        <is>
          <t>787270</t>
        </is>
      </c>
      <c r="C2170" s="227" t="inlineStr">
        <is>
          <t>Plus-values réinvestis</t>
        </is>
      </c>
      <c r="F2170" s="227" t="inlineStr">
        <is>
          <t>VICTOIRE</t>
        </is>
      </c>
    </row>
    <row r="2171">
      <c r="A2171" s="227">
        <f>TL[[#This Row],[Société]]&amp;" - "&amp;TL[[#This Row],[Compte]]</f>
        <v/>
      </c>
      <c r="B2171" s="233" t="inlineStr">
        <is>
          <t>787300</t>
        </is>
      </c>
      <c r="C2171" s="227" t="inlineStr">
        <is>
          <t>Repris.s/prov.réglementées stocks</t>
        </is>
      </c>
      <c r="F2171" s="227" t="inlineStr">
        <is>
          <t>VICTOIRE</t>
        </is>
      </c>
    </row>
    <row r="2172">
      <c r="A2172" s="227">
        <f>TL[[#This Row],[Société]]&amp;" - "&amp;TL[[#This Row],[Compte]]</f>
        <v/>
      </c>
      <c r="B2172" s="233" t="inlineStr">
        <is>
          <t>787400</t>
        </is>
      </c>
      <c r="C2172" s="227" t="inlineStr">
        <is>
          <t>Repris.s/prov.réglementées autres</t>
        </is>
      </c>
      <c r="F2172" s="227" t="inlineStr">
        <is>
          <t>VICTOIRE</t>
        </is>
      </c>
    </row>
    <row r="2173">
      <c r="A2173" s="227">
        <f>TL[[#This Row],[Société]]&amp;" - "&amp;TL[[#This Row],[Compte]]</f>
        <v/>
      </c>
      <c r="B2173" s="233" t="inlineStr">
        <is>
          <t>787500</t>
        </is>
      </c>
      <c r="C2173" s="227" t="inlineStr">
        <is>
          <t>Repris.s/prov.risques charges excep</t>
        </is>
      </c>
      <c r="F2173" s="227" t="inlineStr">
        <is>
          <t>VICTOIRE</t>
        </is>
      </c>
    </row>
    <row r="2174">
      <c r="A2174" s="227">
        <f>TL[[#This Row],[Société]]&amp;" - "&amp;TL[[#This Row],[Compte]]</f>
        <v/>
      </c>
      <c r="B2174" s="233" t="inlineStr">
        <is>
          <t>787600</t>
        </is>
      </c>
      <c r="C2174" s="227" t="inlineStr">
        <is>
          <t>Repris.s/prov.dépréc.exception.</t>
        </is>
      </c>
      <c r="F2174" s="227" t="inlineStr">
        <is>
          <t>VICTOIRE</t>
        </is>
      </c>
    </row>
    <row r="2175">
      <c r="A2175" s="227">
        <f>TL[[#This Row],[Société]]&amp;" - "&amp;TL[[#This Row],[Compte]]</f>
        <v/>
      </c>
      <c r="B2175" s="233" t="inlineStr">
        <is>
          <t>789000</t>
        </is>
      </c>
      <c r="C2175" s="227" t="inlineStr">
        <is>
          <t>Repris.s/provisions pour impôts</t>
        </is>
      </c>
      <c r="F2175" s="227" t="inlineStr">
        <is>
          <t>VICTOIRE</t>
        </is>
      </c>
    </row>
    <row r="2176">
      <c r="A2176" s="227">
        <f>TL[[#This Row],[Société]]&amp;" - "&amp;TL[[#This Row],[Compte]]</f>
        <v/>
      </c>
      <c r="B2176" s="233" t="inlineStr">
        <is>
          <t>791000</t>
        </is>
      </c>
      <c r="C2176" s="227" t="inlineStr">
        <is>
          <t>Transfert de charges d'exploitation</t>
        </is>
      </c>
      <c r="F2176" s="227" t="inlineStr">
        <is>
          <t>VICTOIRE</t>
        </is>
      </c>
    </row>
    <row r="2177">
      <c r="A2177" s="227">
        <f>TL[[#This Row],[Société]]&amp;" - "&amp;TL[[#This Row],[Compte]]</f>
        <v/>
      </c>
      <c r="B2177" s="233" t="inlineStr">
        <is>
          <t>791100</t>
        </is>
      </c>
      <c r="C2177" s="227" t="inlineStr">
        <is>
          <t>Transfert affectant marge comm.</t>
        </is>
      </c>
      <c r="F2177" s="227" t="inlineStr">
        <is>
          <t>VICTOIRE</t>
        </is>
      </c>
    </row>
    <row r="2178">
      <c r="A2178" s="227">
        <f>TL[[#This Row],[Société]]&amp;" - "&amp;TL[[#This Row],[Compte]]</f>
        <v/>
      </c>
      <c r="B2178" s="233" t="inlineStr">
        <is>
          <t>791300</t>
        </is>
      </c>
      <c r="C2178" s="227" t="inlineStr">
        <is>
          <t>Transfert affectant valeur ajoutée</t>
        </is>
      </c>
      <c r="F2178" s="227" t="inlineStr">
        <is>
          <t>VICTOIRE</t>
        </is>
      </c>
    </row>
    <row r="2179">
      <c r="A2179" s="227">
        <f>TL[[#This Row],[Société]]&amp;" - "&amp;TL[[#This Row],[Compte]]</f>
        <v/>
      </c>
      <c r="B2179" s="233" t="inlineStr">
        <is>
          <t>791400</t>
        </is>
      </c>
      <c r="C2179" s="227" t="inlineStr">
        <is>
          <t>Transfert affectant EBE</t>
        </is>
      </c>
      <c r="F2179" s="227" t="inlineStr">
        <is>
          <t>VICTOIRE</t>
        </is>
      </c>
    </row>
    <row r="2180">
      <c r="A2180" s="227">
        <f>TL[[#This Row],[Société]]&amp;" - "&amp;TL[[#This Row],[Compte]]</f>
        <v/>
      </c>
      <c r="B2180" s="233" t="inlineStr">
        <is>
          <t>791500</t>
        </is>
      </c>
      <c r="C2180" s="227" t="inlineStr">
        <is>
          <t>Transferts non affectables</t>
        </is>
      </c>
      <c r="F2180" s="227" t="inlineStr">
        <is>
          <t>VICTOIRE</t>
        </is>
      </c>
    </row>
    <row r="2181">
      <c r="A2181" s="227">
        <f>TL[[#This Row],[Société]]&amp;" - "&amp;TL[[#This Row],[Compte]]</f>
        <v/>
      </c>
      <c r="B2181" s="233" t="inlineStr">
        <is>
          <t>791622</t>
        </is>
      </c>
      <c r="C2181" s="227" t="inlineStr">
        <is>
          <t>TRANSFERT CHARGES FORMATION</t>
        </is>
      </c>
      <c r="D2181" s="233" t="inlineStr">
        <is>
          <t>34</t>
        </is>
      </c>
      <c r="E2181" s="233" t="inlineStr">
        <is>
          <t>19</t>
        </is>
      </c>
      <c r="F2181" s="227" t="inlineStr">
        <is>
          <t>VICTOIRE</t>
        </is>
      </c>
    </row>
    <row r="2182">
      <c r="A2182" s="227">
        <f>TL[[#This Row],[Société]]&amp;" - "&amp;TL[[#This Row],[Compte]]</f>
        <v/>
      </c>
      <c r="B2182" s="233" t="inlineStr">
        <is>
          <t>791640</t>
        </is>
      </c>
      <c r="C2182" s="227" t="inlineStr">
        <is>
          <t>REMBT PREVOYANCE / EXT ATTENTE</t>
        </is>
      </c>
      <c r="F2182" s="227" t="inlineStr">
        <is>
          <t>VICTOIRE</t>
        </is>
      </c>
    </row>
    <row r="2183">
      <c r="A2183" s="227">
        <f>TL[[#This Row],[Société]]&amp;" - "&amp;TL[[#This Row],[Compte]]</f>
        <v/>
      </c>
      <c r="B2183" s="233" t="inlineStr">
        <is>
          <t>791641</t>
        </is>
      </c>
      <c r="C2183" s="227" t="inlineStr">
        <is>
          <t>AN VEHICULE</t>
        </is>
      </c>
      <c r="D2183" s="233" t="inlineStr">
        <is>
          <t>11</t>
        </is>
      </c>
      <c r="E2183" s="233" t="inlineStr">
        <is>
          <t>40</t>
        </is>
      </c>
      <c r="F2183" s="227" t="inlineStr">
        <is>
          <t>VICTOIRE</t>
        </is>
      </c>
    </row>
    <row r="2184">
      <c r="A2184" s="227">
        <f>TL[[#This Row],[Société]]&amp;" - "&amp;TL[[#This Row],[Compte]]</f>
        <v/>
      </c>
      <c r="B2184" s="233" t="inlineStr">
        <is>
          <t>796000</t>
        </is>
      </c>
      <c r="C2184" s="227" t="inlineStr">
        <is>
          <t>Transfert de charges financières</t>
        </is>
      </c>
      <c r="F2184" s="227" t="inlineStr">
        <is>
          <t>VICTOIRE</t>
        </is>
      </c>
    </row>
    <row r="2185">
      <c r="A2185" s="227">
        <f>TL[[#This Row],[Société]]&amp;" - "&amp;TL[[#This Row],[Compte]]</f>
        <v/>
      </c>
      <c r="B2185" s="233" t="inlineStr">
        <is>
          <t>797000</t>
        </is>
      </c>
      <c r="C2185" s="227" t="inlineStr">
        <is>
          <t>Transfert de charges exceptionnell.</t>
        </is>
      </c>
      <c r="F2185" s="227" t="inlineStr">
        <is>
          <t>VICTOIRE</t>
        </is>
      </c>
    </row>
    <row r="2186">
      <c r="A2186" s="227">
        <f>TL[[#This Row],[Société]]&amp;" - "&amp;TL[[#This Row],[Compte]]</f>
        <v/>
      </c>
      <c r="B2186" s="233" t="inlineStr">
        <is>
          <t>797440</t>
        </is>
      </c>
      <c r="C2186" s="227" t="inlineStr">
        <is>
          <t>Réintégration rémun. exploitant</t>
        </is>
      </c>
      <c r="F2186" s="227" t="inlineStr">
        <is>
          <t>VICTOIRE</t>
        </is>
      </c>
    </row>
    <row r="2187">
      <c r="A2187" s="227">
        <f>TL[[#This Row],[Société]]&amp;" - "&amp;TL[[#This Row],[Compte]]</f>
        <v/>
      </c>
      <c r="B2187" s="233" t="inlineStr">
        <is>
          <t>890000</t>
        </is>
      </c>
      <c r="C2187" s="227" t="inlineStr">
        <is>
          <t>Compte de bilan</t>
        </is>
      </c>
      <c r="F2187" s="227" t="inlineStr">
        <is>
          <t>VICTOIRE</t>
        </is>
      </c>
    </row>
    <row r="2188">
      <c r="A2188" s="227">
        <f>TL[[#This Row],[Société]]&amp;" - "&amp;TL[[#This Row],[Compte]]</f>
        <v/>
      </c>
      <c r="B2188" s="233" t="inlineStr">
        <is>
          <t>101300</t>
        </is>
      </c>
      <c r="C2188" s="227" t="inlineStr">
        <is>
          <t>Capital souscrit-appelé, versé</t>
        </is>
      </c>
      <c r="F2188" s="227" t="inlineStr">
        <is>
          <t>TURVILLA</t>
        </is>
      </c>
    </row>
    <row r="2189">
      <c r="A2189" s="227">
        <f>TL[[#This Row],[Société]]&amp;" - "&amp;TL[[#This Row],[Compte]]</f>
        <v/>
      </c>
      <c r="B2189" s="233" t="inlineStr">
        <is>
          <t>106100</t>
        </is>
      </c>
      <c r="C2189" s="227" t="inlineStr">
        <is>
          <t>Reserve legale</t>
        </is>
      </c>
      <c r="F2189" s="227" t="inlineStr">
        <is>
          <t>TURVILLA</t>
        </is>
      </c>
    </row>
    <row r="2190">
      <c r="A2190" s="227">
        <f>TL[[#This Row],[Société]]&amp;" - "&amp;TL[[#This Row],[Compte]]</f>
        <v/>
      </c>
      <c r="B2190" s="233" t="inlineStr">
        <is>
          <t>106110</t>
        </is>
      </c>
      <c r="C2190" s="227" t="inlineStr">
        <is>
          <t>Réserve légale</t>
        </is>
      </c>
      <c r="F2190" s="227" t="inlineStr">
        <is>
          <t>TURVILLA</t>
        </is>
      </c>
    </row>
    <row r="2191">
      <c r="A2191" s="227">
        <f>TL[[#This Row],[Société]]&amp;" - "&amp;TL[[#This Row],[Compte]]</f>
        <v/>
      </c>
      <c r="B2191" s="233" t="inlineStr">
        <is>
          <t>106800</t>
        </is>
      </c>
      <c r="C2191" s="227" t="inlineStr">
        <is>
          <t>Autres reserves</t>
        </is>
      </c>
      <c r="F2191" s="227" t="inlineStr">
        <is>
          <t>TURVILLA</t>
        </is>
      </c>
    </row>
    <row r="2192">
      <c r="A2192" s="227">
        <f>TL[[#This Row],[Société]]&amp;" - "&amp;TL[[#This Row],[Compte]]</f>
        <v/>
      </c>
      <c r="B2192" s="233" t="inlineStr">
        <is>
          <t>120000</t>
        </is>
      </c>
      <c r="C2192" s="227" t="inlineStr">
        <is>
          <t>Bénéfice</t>
        </is>
      </c>
      <c r="F2192" s="227" t="inlineStr">
        <is>
          <t>TURVILLA</t>
        </is>
      </c>
    </row>
    <row r="2193">
      <c r="A2193" s="227">
        <f>TL[[#This Row],[Société]]&amp;" - "&amp;TL[[#This Row],[Compte]]</f>
        <v/>
      </c>
      <c r="B2193" s="233" t="inlineStr">
        <is>
          <t>129000</t>
        </is>
      </c>
      <c r="C2193" s="227" t="inlineStr">
        <is>
          <t>Perte</t>
        </is>
      </c>
      <c r="F2193" s="227" t="inlineStr">
        <is>
          <t>TURVILLA</t>
        </is>
      </c>
    </row>
    <row r="2194">
      <c r="A2194" s="227">
        <f>TL[[#This Row],[Société]]&amp;" - "&amp;TL[[#This Row],[Compte]]</f>
        <v/>
      </c>
      <c r="B2194" s="233" t="inlineStr">
        <is>
          <t>131700</t>
        </is>
      </c>
      <c r="C2194" s="227" t="inlineStr">
        <is>
          <t>Subventions d'investissements</t>
        </is>
      </c>
      <c r="F2194" s="227" t="inlineStr">
        <is>
          <t>TURVILLA</t>
        </is>
      </c>
    </row>
    <row r="2195">
      <c r="A2195" s="227">
        <f>TL[[#This Row],[Société]]&amp;" - "&amp;TL[[#This Row],[Compte]]</f>
        <v/>
      </c>
      <c r="B2195" s="233" t="inlineStr">
        <is>
          <t>139170</t>
        </is>
      </c>
      <c r="C2195" s="227" t="inlineStr">
        <is>
          <t>Subv. inscrites au cpte resultat</t>
        </is>
      </c>
      <c r="F2195" s="227" t="inlineStr">
        <is>
          <t>TURVILLA</t>
        </is>
      </c>
    </row>
    <row r="2196">
      <c r="A2196" s="227">
        <f>TL[[#This Row],[Société]]&amp;" - "&amp;TL[[#This Row],[Compte]]</f>
        <v/>
      </c>
      <c r="B2196" s="233" t="inlineStr">
        <is>
          <t>145000</t>
        </is>
      </c>
      <c r="C2196" s="227" t="inlineStr">
        <is>
          <t>Amortissements dérogatoires</t>
        </is>
      </c>
      <c r="F2196" s="227" t="inlineStr">
        <is>
          <t>TURVILLA</t>
        </is>
      </c>
    </row>
    <row r="2197">
      <c r="A2197" s="227">
        <f>TL[[#This Row],[Société]]&amp;" - "&amp;TL[[#This Row],[Compte]]</f>
        <v/>
      </c>
      <c r="B2197" s="233" t="inlineStr">
        <is>
          <t>151100</t>
        </is>
      </c>
      <c r="C2197" s="227" t="inlineStr">
        <is>
          <t>Prov depart y laemle</t>
        </is>
      </c>
      <c r="F2197" s="227" t="inlineStr">
        <is>
          <t>TURVILLA</t>
        </is>
      </c>
    </row>
    <row r="2198">
      <c r="A2198" s="227">
        <f>TL[[#This Row],[Société]]&amp;" - "&amp;TL[[#This Row],[Compte]]</f>
        <v/>
      </c>
      <c r="B2198" s="233" t="inlineStr">
        <is>
          <t>151200</t>
        </is>
      </c>
      <c r="C2198" s="227" t="inlineStr">
        <is>
          <t>Provisions points fidelite</t>
        </is>
      </c>
      <c r="F2198" s="227" t="inlineStr">
        <is>
          <t>TURVILLA</t>
        </is>
      </c>
    </row>
    <row r="2199">
      <c r="A2199" s="227">
        <f>TL[[#This Row],[Société]]&amp;" - "&amp;TL[[#This Row],[Compte]]</f>
        <v/>
      </c>
      <c r="B2199" s="233" t="inlineStr">
        <is>
          <t>153000</t>
        </is>
      </c>
      <c r="C2199" s="227" t="inlineStr">
        <is>
          <t>Provision ifc salaries</t>
        </is>
      </c>
      <c r="F2199" s="227" t="inlineStr">
        <is>
          <t>TURVILLA</t>
        </is>
      </c>
    </row>
    <row r="2200">
      <c r="A2200" s="227">
        <f>TL[[#This Row],[Société]]&amp;" - "&amp;TL[[#This Row],[Compte]]</f>
        <v/>
      </c>
      <c r="B2200" s="233" t="inlineStr">
        <is>
          <t>158000</t>
        </is>
      </c>
      <c r="C2200" s="227" t="inlineStr">
        <is>
          <t>Autres provisions pour charges</t>
        </is>
      </c>
      <c r="F2200" s="227" t="inlineStr">
        <is>
          <t>TURVILLA</t>
        </is>
      </c>
    </row>
    <row r="2201">
      <c r="A2201" s="227">
        <f>TL[[#This Row],[Société]]&amp;" - "&amp;TL[[#This Row],[Compte]]</f>
        <v/>
      </c>
      <c r="B2201" s="233" t="inlineStr">
        <is>
          <t>164000</t>
        </is>
      </c>
      <c r="C2201" s="227" t="inlineStr">
        <is>
          <t>Emprunt</t>
        </is>
      </c>
      <c r="F2201" s="227" t="inlineStr">
        <is>
          <t>TURVILLA</t>
        </is>
      </c>
    </row>
    <row r="2202">
      <c r="A2202" s="227">
        <f>TL[[#This Row],[Société]]&amp;" - "&amp;TL[[#This Row],[Compte]]</f>
        <v/>
      </c>
      <c r="B2202" s="233" t="inlineStr">
        <is>
          <t>164004</t>
        </is>
      </c>
      <c r="C2202" s="227" t="inlineStr">
        <is>
          <t>Emprunt PGE 300 750 € Ech 04/2026</t>
        </is>
      </c>
      <c r="F2202" s="227" t="inlineStr">
        <is>
          <t>TURVILLA</t>
        </is>
      </c>
    </row>
    <row r="2203">
      <c r="A2203" s="227">
        <f>TL[[#This Row],[Société]]&amp;" - "&amp;TL[[#This Row],[Compte]]</f>
        <v/>
      </c>
      <c r="B2203" s="233" t="inlineStr">
        <is>
          <t>164005</t>
        </is>
      </c>
      <c r="C2203" s="227" t="inlineStr">
        <is>
          <t>Pret credit du nord</t>
        </is>
      </c>
      <c r="F2203" s="227" t="inlineStr">
        <is>
          <t>TURVILLA</t>
        </is>
      </c>
    </row>
    <row r="2204">
      <c r="A2204" s="227">
        <f>TL[[#This Row],[Société]]&amp;" - "&amp;TL[[#This Row],[Compte]]</f>
        <v/>
      </c>
      <c r="B2204" s="233" t="inlineStr">
        <is>
          <t>164008</t>
        </is>
      </c>
      <c r="C2204" s="227" t="inlineStr">
        <is>
          <t>Emprunt cehn 200 000€</t>
        </is>
      </c>
      <c r="F2204" s="227" t="inlineStr">
        <is>
          <t>TURVILLA</t>
        </is>
      </c>
    </row>
    <row r="2205">
      <c r="A2205" s="227">
        <f>TL[[#This Row],[Société]]&amp;" - "&amp;TL[[#This Row],[Compte]]</f>
        <v/>
      </c>
      <c r="B2205" s="233" t="inlineStr">
        <is>
          <t>164010</t>
        </is>
      </c>
      <c r="C2205" s="227" t="inlineStr">
        <is>
          <t>Emprunt crca 1 325 000 €</t>
        </is>
      </c>
      <c r="F2205" s="227" t="inlineStr">
        <is>
          <t>TURVILLA</t>
        </is>
      </c>
    </row>
    <row r="2206">
      <c r="A2206" s="227">
        <f>TL[[#This Row],[Société]]&amp;" - "&amp;TL[[#This Row],[Compte]]</f>
        <v/>
      </c>
      <c r="B2206" s="233" t="inlineStr">
        <is>
          <t>168100</t>
        </is>
      </c>
      <c r="C2206" s="227" t="inlineStr">
        <is>
          <t>Autres emprunts</t>
        </is>
      </c>
      <c r="F2206" s="227" t="inlineStr">
        <is>
          <t>TURVILLA</t>
        </is>
      </c>
    </row>
    <row r="2207">
      <c r="A2207" s="227">
        <f>TL[[#This Row],[Société]]&amp;" - "&amp;TL[[#This Row],[Compte]]</f>
        <v/>
      </c>
      <c r="B2207" s="233" t="inlineStr">
        <is>
          <t>168840</t>
        </is>
      </c>
      <c r="C2207" s="227" t="inlineStr">
        <is>
          <t>Intérets courus sur emprunt</t>
        </is>
      </c>
      <c r="F2207" s="227" t="inlineStr">
        <is>
          <t>TURVILLA</t>
        </is>
      </c>
    </row>
    <row r="2208">
      <c r="A2208" s="227">
        <f>TL[[#This Row],[Société]]&amp;" - "&amp;TL[[#This Row],[Compte]]</f>
        <v/>
      </c>
      <c r="B2208" s="233" t="inlineStr">
        <is>
          <t>205000</t>
        </is>
      </c>
      <c r="C2208" s="227" t="inlineStr">
        <is>
          <t>Concessions brevets licence</t>
        </is>
      </c>
      <c r="F2208" s="227" t="inlineStr">
        <is>
          <t>TURVILLA</t>
        </is>
      </c>
    </row>
    <row r="2209">
      <c r="A2209" s="227">
        <f>TL[[#This Row],[Société]]&amp;" - "&amp;TL[[#This Row],[Compte]]</f>
        <v/>
      </c>
      <c r="B2209" s="233" t="inlineStr">
        <is>
          <t>214100</t>
        </is>
      </c>
      <c r="C2209" s="227" t="inlineStr">
        <is>
          <t>Construction/sol d'autrui</t>
        </is>
      </c>
      <c r="F2209" s="227" t="inlineStr">
        <is>
          <t>TURVILLA</t>
        </is>
      </c>
    </row>
    <row r="2210">
      <c r="A2210" s="227">
        <f>TL[[#This Row],[Société]]&amp;" - "&amp;TL[[#This Row],[Compte]]</f>
        <v/>
      </c>
      <c r="B2210" s="233" t="inlineStr">
        <is>
          <t>214500</t>
        </is>
      </c>
      <c r="C2210" s="227" t="inlineStr">
        <is>
          <t>Instal. gen. agenc.</t>
        </is>
      </c>
      <c r="F2210" s="227" t="inlineStr">
        <is>
          <t>TURVILLA</t>
        </is>
      </c>
    </row>
    <row r="2211">
      <c r="A2211" s="227">
        <f>TL[[#This Row],[Société]]&amp;" - "&amp;TL[[#This Row],[Compte]]</f>
        <v/>
      </c>
      <c r="B2211" s="233" t="inlineStr">
        <is>
          <t>215000</t>
        </is>
      </c>
      <c r="C2211" s="227" t="inlineStr">
        <is>
          <t>Spie rempl du chassis pou</t>
        </is>
      </c>
      <c r="F2211" s="227" t="inlineStr">
        <is>
          <t>TURVILLA</t>
        </is>
      </c>
    </row>
    <row r="2212">
      <c r="A2212" s="227">
        <f>TL[[#This Row],[Société]]&amp;" - "&amp;TL[[#This Row],[Compte]]</f>
        <v/>
      </c>
      <c r="B2212" s="233" t="inlineStr">
        <is>
          <t>215100</t>
        </is>
      </c>
      <c r="C2212" s="227" t="inlineStr">
        <is>
          <t>Materiel de cuisine</t>
        </is>
      </c>
      <c r="F2212" s="227" t="inlineStr">
        <is>
          <t>TURVILLA</t>
        </is>
      </c>
    </row>
    <row r="2213">
      <c r="A2213" s="227">
        <f>TL[[#This Row],[Société]]&amp;" - "&amp;TL[[#This Row],[Compte]]</f>
        <v/>
      </c>
      <c r="B2213" s="233" t="inlineStr">
        <is>
          <t>215400</t>
        </is>
      </c>
      <c r="C2213" s="227" t="inlineStr">
        <is>
          <t>Materiel industriel</t>
        </is>
      </c>
      <c r="F2213" s="227" t="inlineStr">
        <is>
          <t>TURVILLA</t>
        </is>
      </c>
    </row>
    <row r="2214">
      <c r="A2214" s="227">
        <f>TL[[#This Row],[Société]]&amp;" - "&amp;TL[[#This Row],[Compte]]</f>
        <v/>
      </c>
      <c r="B2214" s="233" t="inlineStr">
        <is>
          <t>215410</t>
        </is>
      </c>
      <c r="C2214" s="227" t="inlineStr">
        <is>
          <t>Mat. &amp; outillage divers</t>
        </is>
      </c>
      <c r="F2214" s="227" t="inlineStr">
        <is>
          <t>TURVILLA</t>
        </is>
      </c>
    </row>
    <row r="2215">
      <c r="A2215" s="227">
        <f>TL[[#This Row],[Société]]&amp;" - "&amp;TL[[#This Row],[Compte]]</f>
        <v/>
      </c>
      <c r="B2215" s="233" t="inlineStr">
        <is>
          <t>215450</t>
        </is>
      </c>
      <c r="C2215" s="227" t="inlineStr">
        <is>
          <t>Agenc et materiel mc cafe</t>
        </is>
      </c>
      <c r="F2215" s="227" t="inlineStr">
        <is>
          <t>TURVILLA</t>
        </is>
      </c>
    </row>
    <row r="2216">
      <c r="A2216" s="227">
        <f>TL[[#This Row],[Société]]&amp;" - "&amp;TL[[#This Row],[Compte]]</f>
        <v/>
      </c>
      <c r="B2216" s="233" t="inlineStr">
        <is>
          <t>218100</t>
        </is>
      </c>
      <c r="C2216" s="227" t="inlineStr">
        <is>
          <t>Aai divers</t>
        </is>
      </c>
      <c r="F2216" s="227" t="inlineStr">
        <is>
          <t>TURVILLA</t>
        </is>
      </c>
    </row>
    <row r="2217">
      <c r="A2217" s="227">
        <f>TL[[#This Row],[Société]]&amp;" - "&amp;TL[[#This Row],[Compte]]</f>
        <v/>
      </c>
      <c r="B2217" s="233" t="inlineStr">
        <is>
          <t>218200</t>
        </is>
      </c>
      <c r="C2217" s="227" t="inlineStr">
        <is>
          <t>Matériel de transport</t>
        </is>
      </c>
      <c r="F2217" s="227" t="inlineStr">
        <is>
          <t>TURVILLA</t>
        </is>
      </c>
    </row>
    <row r="2218">
      <c r="A2218" s="227">
        <f>TL[[#This Row],[Société]]&amp;" - "&amp;TL[[#This Row],[Compte]]</f>
        <v/>
      </c>
      <c r="B2218" s="233" t="inlineStr">
        <is>
          <t>218300</t>
        </is>
      </c>
      <c r="C2218" s="227" t="inlineStr">
        <is>
          <t>Mat.de bureau et informatiq</t>
        </is>
      </c>
      <c r="F2218" s="227" t="inlineStr">
        <is>
          <t>TURVILLA</t>
        </is>
      </c>
    </row>
    <row r="2219">
      <c r="A2219" s="227">
        <f>TL[[#This Row],[Société]]&amp;" - "&amp;TL[[#This Row],[Compte]]</f>
        <v/>
      </c>
      <c r="B2219" s="233" t="inlineStr">
        <is>
          <t>218400</t>
        </is>
      </c>
      <c r="C2219" s="227" t="inlineStr">
        <is>
          <t>Mobilier</t>
        </is>
      </c>
      <c r="F2219" s="227" t="inlineStr">
        <is>
          <t>TURVILLA</t>
        </is>
      </c>
    </row>
    <row r="2220">
      <c r="A2220" s="227">
        <f>TL[[#This Row],[Société]]&amp;" - "&amp;TL[[#This Row],[Compte]]</f>
        <v/>
      </c>
      <c r="B2220" s="233" t="inlineStr">
        <is>
          <t>218402</t>
        </is>
      </c>
      <c r="C2220" s="227" t="inlineStr">
        <is>
          <t>Mobil. de rest.</t>
        </is>
      </c>
      <c r="F2220" s="227" t="inlineStr">
        <is>
          <t>TURVILLA</t>
        </is>
      </c>
    </row>
    <row r="2221">
      <c r="A2221" s="227">
        <f>TL[[#This Row],[Société]]&amp;" - "&amp;TL[[#This Row],[Compte]]</f>
        <v/>
      </c>
      <c r="B2221" s="233" t="inlineStr">
        <is>
          <t>231000</t>
        </is>
      </c>
      <c r="C2221" s="227" t="inlineStr">
        <is>
          <t>Immo en cours</t>
        </is>
      </c>
      <c r="F2221" s="227" t="inlineStr">
        <is>
          <t>TURVILLA</t>
        </is>
      </c>
    </row>
    <row r="2222">
      <c r="A2222" s="227">
        <f>TL[[#This Row],[Société]]&amp;" - "&amp;TL[[#This Row],[Compte]]</f>
        <v/>
      </c>
      <c r="B2222" s="233" t="inlineStr">
        <is>
          <t>271800</t>
        </is>
      </c>
      <c r="C2222" s="227" t="inlineStr">
        <is>
          <t>3 f parts sociales</t>
        </is>
      </c>
      <c r="F2222" s="227" t="inlineStr">
        <is>
          <t>TURVILLA</t>
        </is>
      </c>
    </row>
    <row r="2223">
      <c r="A2223" s="227">
        <f>TL[[#This Row],[Société]]&amp;" - "&amp;TL[[#This Row],[Compte]]</f>
        <v/>
      </c>
      <c r="B2223" s="233" t="inlineStr">
        <is>
          <t>271810</t>
        </is>
      </c>
      <c r="C2223" s="227" t="inlineStr">
        <is>
          <t>Parts sociales</t>
        </is>
      </c>
      <c r="F2223" s="227" t="inlineStr">
        <is>
          <t>TURVILLA</t>
        </is>
      </c>
    </row>
    <row r="2224">
      <c r="A2224" s="227">
        <f>TL[[#This Row],[Société]]&amp;" - "&amp;TL[[#This Row],[Compte]]</f>
        <v/>
      </c>
      <c r="B2224" s="233" t="inlineStr">
        <is>
          <t>275000</t>
        </is>
      </c>
      <c r="C2224" s="227" t="inlineStr">
        <is>
          <t>Dépôts et cautionnements</t>
        </is>
      </c>
      <c r="F2224" s="227" t="inlineStr">
        <is>
          <t>TURVILLA</t>
        </is>
      </c>
    </row>
    <row r="2225">
      <c r="A2225" s="227">
        <f>TL[[#This Row],[Société]]&amp;" - "&amp;TL[[#This Row],[Compte]]</f>
        <v/>
      </c>
      <c r="B2225" s="233" t="inlineStr">
        <is>
          <t>280500</t>
        </is>
      </c>
      <c r="C2225" s="227" t="inlineStr">
        <is>
          <t>Amort.concessions, brevets</t>
        </is>
      </c>
      <c r="F2225" s="227" t="inlineStr">
        <is>
          <t>TURVILLA</t>
        </is>
      </c>
    </row>
    <row r="2226">
      <c r="A2226" s="227">
        <f>TL[[#This Row],[Société]]&amp;" - "&amp;TL[[#This Row],[Compte]]</f>
        <v/>
      </c>
      <c r="B2226" s="233" t="inlineStr">
        <is>
          <t>281410</t>
        </is>
      </c>
      <c r="C2226" s="227" t="inlineStr">
        <is>
          <t>Amort constr s/s d'autru</t>
        </is>
      </c>
      <c r="F2226" s="227" t="inlineStr">
        <is>
          <t>TURVILLA</t>
        </is>
      </c>
    </row>
    <row r="2227">
      <c r="A2227" s="227">
        <f>TL[[#This Row],[Société]]&amp;" - "&amp;TL[[#This Row],[Compte]]</f>
        <v/>
      </c>
      <c r="B2227" s="233" t="inlineStr">
        <is>
          <t>281450</t>
        </is>
      </c>
      <c r="C2227" s="227" t="inlineStr">
        <is>
          <t>Amort. agenc. instal.</t>
        </is>
      </c>
      <c r="F2227" s="227" t="inlineStr">
        <is>
          <t>TURVILLA</t>
        </is>
      </c>
    </row>
    <row r="2228">
      <c r="A2228" s="227">
        <f>TL[[#This Row],[Société]]&amp;" - "&amp;TL[[#This Row],[Compte]]</f>
        <v/>
      </c>
      <c r="B2228" s="233" t="inlineStr">
        <is>
          <t>281510</t>
        </is>
      </c>
      <c r="C2228" s="227" t="inlineStr">
        <is>
          <t>Amort.inst.compl.special.</t>
        </is>
      </c>
      <c r="F2228" s="227" t="inlineStr">
        <is>
          <t>TURVILLA</t>
        </is>
      </c>
    </row>
    <row r="2229">
      <c r="A2229" s="227">
        <f>TL[[#This Row],[Société]]&amp;" - "&amp;TL[[#This Row],[Compte]]</f>
        <v/>
      </c>
      <c r="B2229" s="233" t="inlineStr">
        <is>
          <t>281540</t>
        </is>
      </c>
      <c r="C2229" s="227" t="inlineStr">
        <is>
          <t>Amort.materiel industriel</t>
        </is>
      </c>
      <c r="F2229" s="227" t="inlineStr">
        <is>
          <t>TURVILLA</t>
        </is>
      </c>
    </row>
    <row r="2230">
      <c r="A2230" s="227">
        <f>TL[[#This Row],[Société]]&amp;" - "&amp;TL[[#This Row],[Compte]]</f>
        <v/>
      </c>
      <c r="B2230" s="233" t="inlineStr">
        <is>
          <t>281541</t>
        </is>
      </c>
      <c r="C2230" s="227" t="inlineStr">
        <is>
          <t>Amort. mat. outil.divers</t>
        </is>
      </c>
      <c r="F2230" s="227" t="inlineStr">
        <is>
          <t>TURVILLA</t>
        </is>
      </c>
    </row>
    <row r="2231">
      <c r="A2231" s="227">
        <f>TL[[#This Row],[Société]]&amp;" - "&amp;TL[[#This Row],[Compte]]</f>
        <v/>
      </c>
      <c r="B2231" s="233" t="inlineStr">
        <is>
          <t>281545</t>
        </is>
      </c>
      <c r="C2231" s="227" t="inlineStr">
        <is>
          <t>Ammortissement</t>
        </is>
      </c>
      <c r="F2231" s="227" t="inlineStr">
        <is>
          <t>TURVILLA</t>
        </is>
      </c>
    </row>
    <row r="2232">
      <c r="A2232" s="227">
        <f>TL[[#This Row],[Société]]&amp;" - "&amp;TL[[#This Row],[Compte]]</f>
        <v/>
      </c>
      <c r="B2232" s="233" t="inlineStr">
        <is>
          <t>281810</t>
        </is>
      </c>
      <c r="C2232" s="227" t="inlineStr">
        <is>
          <t>Amortis. instal. gales, agenct. div</t>
        </is>
      </c>
      <c r="F2232" s="227" t="inlineStr">
        <is>
          <t>TURVILLA</t>
        </is>
      </c>
    </row>
    <row r="2233">
      <c r="A2233" s="227">
        <f>TL[[#This Row],[Société]]&amp;" - "&amp;TL[[#This Row],[Compte]]</f>
        <v/>
      </c>
      <c r="B2233" s="233" t="inlineStr">
        <is>
          <t>281830</t>
        </is>
      </c>
      <c r="C2233" s="227" t="inlineStr">
        <is>
          <t>Amort.mat.bureau et inform.</t>
        </is>
      </c>
      <c r="F2233" s="227" t="inlineStr">
        <is>
          <t>TURVILLA</t>
        </is>
      </c>
    </row>
    <row r="2234">
      <c r="A2234" s="227">
        <f>TL[[#This Row],[Société]]&amp;" - "&amp;TL[[#This Row],[Compte]]</f>
        <v/>
      </c>
      <c r="B2234" s="233" t="inlineStr">
        <is>
          <t>281840</t>
        </is>
      </c>
      <c r="C2234" s="227" t="inlineStr">
        <is>
          <t>Amortissements mobilier</t>
        </is>
      </c>
      <c r="F2234" s="227" t="inlineStr">
        <is>
          <t>TURVILLA</t>
        </is>
      </c>
    </row>
    <row r="2235">
      <c r="A2235" s="227">
        <f>TL[[#This Row],[Société]]&amp;" - "&amp;TL[[#This Row],[Compte]]</f>
        <v/>
      </c>
      <c r="B2235" s="233" t="inlineStr">
        <is>
          <t>283100</t>
        </is>
      </c>
      <c r="C2235" s="227" t="inlineStr">
        <is>
          <t>CREE PAR CEGID</t>
        </is>
      </c>
      <c r="F2235" s="227" t="inlineStr">
        <is>
          <t>TURVILLA</t>
        </is>
      </c>
    </row>
    <row r="2236">
      <c r="A2236" s="227">
        <f>TL[[#This Row],[Société]]&amp;" - "&amp;TL[[#This Row],[Compte]]</f>
        <v/>
      </c>
      <c r="B2236" s="233" t="inlineStr">
        <is>
          <t>310000</t>
        </is>
      </c>
      <c r="C2236" s="227" t="inlineStr">
        <is>
          <t>Stocks food</t>
        </is>
      </c>
      <c r="F2236" s="227" t="inlineStr">
        <is>
          <t>TURVILLA</t>
        </is>
      </c>
    </row>
    <row r="2237">
      <c r="A2237" s="227">
        <f>TL[[#This Row],[Société]]&amp;" - "&amp;TL[[#This Row],[Compte]]</f>
        <v/>
      </c>
      <c r="B2237" s="233" t="inlineStr">
        <is>
          <t>315000</t>
        </is>
      </c>
      <c r="C2237" s="227" t="inlineStr">
        <is>
          <t>Stock initial paper</t>
        </is>
      </c>
      <c r="F2237" s="227" t="inlineStr">
        <is>
          <t>TURVILLA</t>
        </is>
      </c>
    </row>
    <row r="2238">
      <c r="A2238" s="227">
        <f>TL[[#This Row],[Société]]&amp;" - "&amp;TL[[#This Row],[Compte]]</f>
        <v/>
      </c>
      <c r="B2238" s="233" t="inlineStr">
        <is>
          <t>320000</t>
        </is>
      </c>
      <c r="C2238" s="227" t="inlineStr">
        <is>
          <t>Stocks paper</t>
        </is>
      </c>
      <c r="F2238" s="227" t="inlineStr">
        <is>
          <t>TURVILLA</t>
        </is>
      </c>
    </row>
    <row r="2239">
      <c r="A2239" s="227">
        <f>TL[[#This Row],[Société]]&amp;" - "&amp;TL[[#This Row],[Compte]]</f>
        <v/>
      </c>
      <c r="B2239" s="233" t="inlineStr">
        <is>
          <t>321000</t>
        </is>
      </c>
      <c r="C2239" s="227" t="inlineStr">
        <is>
          <t>Stocks pdt non cost</t>
        </is>
      </c>
      <c r="F2239" s="227" t="inlineStr">
        <is>
          <t>TURVILLA</t>
        </is>
      </c>
    </row>
    <row r="2240">
      <c r="A2240" s="227">
        <f>TL[[#This Row],[Société]]&amp;" - "&amp;TL[[#This Row],[Compte]]</f>
        <v/>
      </c>
      <c r="B2240" s="233" t="inlineStr">
        <is>
          <t>323000</t>
        </is>
      </c>
      <c r="C2240" s="227" t="inlineStr">
        <is>
          <t>Stock fournitures d'exploitation</t>
        </is>
      </c>
      <c r="F2240" s="227" t="inlineStr">
        <is>
          <t>TURVILLA</t>
        </is>
      </c>
    </row>
    <row r="2241">
      <c r="A2241" s="227">
        <f>TL[[#This Row],[Société]]&amp;" - "&amp;TL[[#This Row],[Compte]]</f>
        <v/>
      </c>
      <c r="B2241" s="233" t="inlineStr">
        <is>
          <t>327000</t>
        </is>
      </c>
      <c r="C2241" s="227" t="inlineStr">
        <is>
          <t>Stock promotion</t>
        </is>
      </c>
      <c r="F2241" s="227" t="inlineStr">
        <is>
          <t>TURVILLA</t>
        </is>
      </c>
    </row>
    <row r="2242">
      <c r="A2242" s="227">
        <f>TL[[#This Row],[Société]]&amp;" - "&amp;TL[[#This Row],[Compte]]</f>
        <v/>
      </c>
      <c r="B2242" s="233" t="inlineStr">
        <is>
          <t>401000</t>
        </is>
      </c>
      <c r="C2242" s="227" t="inlineStr">
        <is>
          <t>Fournisseurs</t>
        </is>
      </c>
      <c r="F2242" s="227" t="inlineStr">
        <is>
          <t>TURVILLA</t>
        </is>
      </c>
    </row>
    <row r="2243">
      <c r="A2243" s="227">
        <f>TL[[#This Row],[Société]]&amp;" - "&amp;TL[[#This Row],[Compte]]</f>
        <v/>
      </c>
      <c r="B2243" s="233" t="inlineStr">
        <is>
          <t>401120</t>
        </is>
      </c>
      <c r="C2243" s="227" t="inlineStr">
        <is>
          <t>Fournisseurs prestataires de servic</t>
        </is>
      </c>
      <c r="F2243" s="227" t="inlineStr">
        <is>
          <t>TURVILLA</t>
        </is>
      </c>
    </row>
    <row r="2244">
      <c r="A2244" s="227">
        <f>TL[[#This Row],[Société]]&amp;" - "&amp;TL[[#This Row],[Compte]]</f>
        <v/>
      </c>
      <c r="B2244" s="233" t="inlineStr">
        <is>
          <t>401999</t>
        </is>
      </c>
      <c r="C2244" s="227" t="inlineStr">
        <is>
          <t>Fournisseurs débiteurs</t>
        </is>
      </c>
      <c r="F2244" s="227" t="inlineStr">
        <is>
          <t>TURVILLA</t>
        </is>
      </c>
    </row>
    <row r="2245">
      <c r="A2245" s="227">
        <f>TL[[#This Row],[Société]]&amp;" - "&amp;TL[[#This Row],[Compte]]</f>
        <v/>
      </c>
      <c r="B2245" s="233" t="inlineStr">
        <is>
          <t>404000</t>
        </is>
      </c>
      <c r="C2245" s="227" t="inlineStr">
        <is>
          <t>Fournisseurs d'immo</t>
        </is>
      </c>
      <c r="F2245" s="227" t="inlineStr">
        <is>
          <t>TURVILLA</t>
        </is>
      </c>
    </row>
    <row r="2246">
      <c r="A2246" s="227">
        <f>TL[[#This Row],[Société]]&amp;" - "&amp;TL[[#This Row],[Compte]]</f>
        <v/>
      </c>
      <c r="B2246" s="233" t="inlineStr">
        <is>
          <t>408100</t>
        </is>
      </c>
      <c r="C2246" s="227" t="inlineStr">
        <is>
          <t>Fournisseurs - fact. non parvenues</t>
        </is>
      </c>
      <c r="F2246" s="227" t="inlineStr">
        <is>
          <t>TURVILLA</t>
        </is>
      </c>
    </row>
    <row r="2247">
      <c r="A2247" s="227">
        <f>TL[[#This Row],[Société]]&amp;" - "&amp;TL[[#This Row],[Compte]]</f>
        <v/>
      </c>
      <c r="B2247" s="233" t="inlineStr">
        <is>
          <t>408400</t>
        </is>
      </c>
      <c r="C2247" s="227" t="inlineStr">
        <is>
          <t>Frs immobil. - fact. non parvenues</t>
        </is>
      </c>
      <c r="F2247" s="227" t="inlineStr">
        <is>
          <t>TURVILLA</t>
        </is>
      </c>
    </row>
    <row r="2248">
      <c r="A2248" s="227">
        <f>TL[[#This Row],[Société]]&amp;" - "&amp;TL[[#This Row],[Compte]]</f>
        <v/>
      </c>
      <c r="B2248" s="233" t="inlineStr">
        <is>
          <t>409100</t>
        </is>
      </c>
      <c r="C2248" s="227" t="inlineStr">
        <is>
          <t>Fournisseurs - acomptes / acomptes</t>
        </is>
      </c>
      <c r="F2248" s="227" t="inlineStr">
        <is>
          <t>TURVILLA</t>
        </is>
      </c>
    </row>
    <row r="2249">
      <c r="A2249" s="227">
        <f>TL[[#This Row],[Société]]&amp;" - "&amp;TL[[#This Row],[Compte]]</f>
        <v/>
      </c>
      <c r="B2249" s="233" t="inlineStr">
        <is>
          <t>409600</t>
        </is>
      </c>
      <c r="C2249" s="227" t="inlineStr">
        <is>
          <t>Consignes emballages</t>
        </is>
      </c>
      <c r="F2249" s="227" t="inlineStr">
        <is>
          <t>TURVILLA</t>
        </is>
      </c>
    </row>
    <row r="2250">
      <c r="A2250" s="227">
        <f>TL[[#This Row],[Société]]&amp;" - "&amp;TL[[#This Row],[Compte]]</f>
        <v/>
      </c>
      <c r="B2250" s="233" t="inlineStr">
        <is>
          <t>409610</t>
        </is>
      </c>
      <c r="C2250" s="227" t="inlineStr">
        <is>
          <t>Consignes demi palette</t>
        </is>
      </c>
      <c r="F2250" s="227" t="inlineStr">
        <is>
          <t>TURVILLA</t>
        </is>
      </c>
    </row>
    <row r="2251">
      <c r="A2251" s="227">
        <f>TL[[#This Row],[Société]]&amp;" - "&amp;TL[[#This Row],[Compte]]</f>
        <v/>
      </c>
      <c r="B2251" s="233" t="inlineStr">
        <is>
          <t>409700</t>
        </is>
      </c>
      <c r="C2251" s="227" t="inlineStr">
        <is>
          <t>Fournisseurs avoirs</t>
        </is>
      </c>
      <c r="F2251" s="227" t="inlineStr">
        <is>
          <t>TURVILLA</t>
        </is>
      </c>
    </row>
    <row r="2252">
      <c r="A2252" s="227">
        <f>TL[[#This Row],[Société]]&amp;" - "&amp;TL[[#This Row],[Compte]]</f>
        <v/>
      </c>
      <c r="B2252" s="233" t="inlineStr">
        <is>
          <t>409800</t>
        </is>
      </c>
      <c r="C2252" s="227" t="inlineStr">
        <is>
          <t>Rrr a obtenir  avr a recev.</t>
        </is>
      </c>
      <c r="F2252" s="227" t="inlineStr">
        <is>
          <t>TURVILLA</t>
        </is>
      </c>
    </row>
    <row r="2253">
      <c r="A2253" s="227">
        <f>TL[[#This Row],[Société]]&amp;" - "&amp;TL[[#This Row],[Compte]]</f>
        <v/>
      </c>
      <c r="B2253" s="233" t="inlineStr">
        <is>
          <t>411000</t>
        </is>
      </c>
      <c r="C2253" s="227" t="inlineStr">
        <is>
          <t>Clients</t>
        </is>
      </c>
      <c r="F2253" s="227" t="inlineStr">
        <is>
          <t>TURVILLA</t>
        </is>
      </c>
    </row>
    <row r="2254">
      <c r="A2254" s="227">
        <f>TL[[#This Row],[Société]]&amp;" - "&amp;TL[[#This Row],[Compte]]</f>
        <v/>
      </c>
      <c r="B2254" s="233" t="inlineStr">
        <is>
          <t>411001</t>
        </is>
      </c>
      <c r="C2254" s="227" t="inlineStr">
        <is>
          <t>Gth14</t>
        </is>
      </c>
      <c r="F2254" s="227" t="inlineStr">
        <is>
          <t>TURVILLA</t>
        </is>
      </c>
    </row>
    <row r="2255">
      <c r="A2255" s="227">
        <f>TL[[#This Row],[Société]]&amp;" - "&amp;TL[[#This Row],[Compte]]</f>
        <v/>
      </c>
      <c r="B2255" s="233" t="inlineStr">
        <is>
          <t>411002</t>
        </is>
      </c>
      <c r="C2255" s="227" t="inlineStr">
        <is>
          <t>Client divers</t>
        </is>
      </c>
      <c r="F2255" s="227" t="inlineStr">
        <is>
          <t>TURVILLA</t>
        </is>
      </c>
    </row>
    <row r="2256">
      <c r="A2256" s="227">
        <f>TL[[#This Row],[Société]]&amp;" - "&amp;TL[[#This Row],[Compte]]</f>
        <v/>
      </c>
      <c r="B2256" s="233" t="inlineStr">
        <is>
          <t>411003</t>
        </is>
      </c>
      <c r="C2256" s="227" t="inlineStr">
        <is>
          <t>Client martin brower</t>
        </is>
      </c>
      <c r="F2256" s="227" t="inlineStr">
        <is>
          <t>TURVILLA</t>
        </is>
      </c>
    </row>
    <row r="2257">
      <c r="A2257" s="227">
        <f>TL[[#This Row],[Société]]&amp;" - "&amp;TL[[#This Row],[Compte]]</f>
        <v/>
      </c>
      <c r="B2257" s="233" t="inlineStr">
        <is>
          <t>411004</t>
        </is>
      </c>
      <c r="C2257" s="227" t="inlineStr">
        <is>
          <t>Client hart</t>
        </is>
      </c>
      <c r="F2257" s="227" t="inlineStr">
        <is>
          <t>TURVILLA</t>
        </is>
      </c>
    </row>
    <row r="2258">
      <c r="A2258" s="227">
        <f>TL[[#This Row],[Société]]&amp;" - "&amp;TL[[#This Row],[Compte]]</f>
        <v/>
      </c>
      <c r="B2258" s="233" t="inlineStr">
        <is>
          <t>411005</t>
        </is>
      </c>
      <c r="C2258" s="227" t="inlineStr">
        <is>
          <t>Client vr7</t>
        </is>
      </c>
      <c r="F2258" s="227" t="inlineStr">
        <is>
          <t>TURVILLA</t>
        </is>
      </c>
    </row>
    <row r="2259">
      <c r="A2259" s="227">
        <f>TL[[#This Row],[Société]]&amp;" - "&amp;TL[[#This Row],[Compte]]</f>
        <v/>
      </c>
      <c r="B2259" s="233" t="inlineStr">
        <is>
          <t>411006</t>
        </is>
      </c>
      <c r="C2259" s="227" t="inlineStr">
        <is>
          <t>Client hart</t>
        </is>
      </c>
      <c r="F2259" s="227" t="inlineStr">
        <is>
          <t>TURVILLA</t>
        </is>
      </c>
    </row>
    <row r="2260">
      <c r="A2260" s="227">
        <f>TL[[#This Row],[Société]]&amp;" - "&amp;TL[[#This Row],[Compte]]</f>
        <v/>
      </c>
      <c r="B2260" s="233" t="inlineStr">
        <is>
          <t>411007</t>
        </is>
      </c>
      <c r="C2260" s="227" t="inlineStr">
        <is>
          <t>Client GLR5</t>
        </is>
      </c>
      <c r="F2260" s="227" t="inlineStr">
        <is>
          <t>TURVILLA</t>
        </is>
      </c>
    </row>
    <row r="2261">
      <c r="A2261" s="227">
        <f>TL[[#This Row],[Société]]&amp;" - "&amp;TL[[#This Row],[Compte]]</f>
        <v/>
      </c>
      <c r="B2261" s="233" t="inlineStr">
        <is>
          <t>411008</t>
        </is>
      </c>
      <c r="C2261" s="227" t="inlineStr">
        <is>
          <t>Client salarie</t>
        </is>
      </c>
      <c r="F2261" s="227" t="inlineStr">
        <is>
          <t>TURVILLA</t>
        </is>
      </c>
    </row>
    <row r="2262">
      <c r="A2262" s="227">
        <f>TL[[#This Row],[Société]]&amp;" - "&amp;TL[[#This Row],[Compte]]</f>
        <v/>
      </c>
      <c r="B2262" s="233" t="inlineStr">
        <is>
          <t>411010</t>
        </is>
      </c>
      <c r="C2262" s="227" t="inlineStr">
        <is>
          <t>Client garance</t>
        </is>
      </c>
      <c r="F2262" s="227" t="inlineStr">
        <is>
          <t>TURVILLA</t>
        </is>
      </c>
    </row>
    <row r="2263">
      <c r="A2263" s="227">
        <f>TL[[#This Row],[Société]]&amp;" - "&amp;TL[[#This Row],[Compte]]</f>
        <v/>
      </c>
      <c r="B2263" s="233" t="inlineStr">
        <is>
          <t>411444</t>
        </is>
      </c>
      <c r="C2263" s="227" t="inlineStr">
        <is>
          <t>Clients</t>
        </is>
      </c>
      <c r="F2263" s="227" t="inlineStr">
        <is>
          <t>TURVILLA</t>
        </is>
      </c>
    </row>
    <row r="2264">
      <c r="A2264" s="227">
        <f>TL[[#This Row],[Société]]&amp;" - "&amp;TL[[#This Row],[Compte]]</f>
        <v/>
      </c>
      <c r="B2264" s="233" t="inlineStr">
        <is>
          <t>416100</t>
        </is>
      </c>
      <c r="C2264" s="227" t="inlineStr">
        <is>
          <t>Clients douteux,litigieux</t>
        </is>
      </c>
      <c r="F2264" s="227" t="inlineStr">
        <is>
          <t>TURVILLA</t>
        </is>
      </c>
    </row>
    <row r="2265">
      <c r="A2265" s="227">
        <f>TL[[#This Row],[Société]]&amp;" - "&amp;TL[[#This Row],[Compte]]</f>
        <v/>
      </c>
      <c r="B2265" s="233" t="inlineStr">
        <is>
          <t>418100</t>
        </is>
      </c>
      <c r="C2265" s="227" t="inlineStr">
        <is>
          <t>Clts factures a etablir</t>
        </is>
      </c>
      <c r="F2265" s="227" t="inlineStr">
        <is>
          <t>TURVILLA</t>
        </is>
      </c>
    </row>
    <row r="2266">
      <c r="A2266" s="227">
        <f>TL[[#This Row],[Société]]&amp;" - "&amp;TL[[#This Row],[Compte]]</f>
        <v/>
      </c>
      <c r="B2266" s="233" t="inlineStr">
        <is>
          <t>419100</t>
        </is>
      </c>
      <c r="C2266" s="227" t="inlineStr">
        <is>
          <t>Clients - acomptes sur commandes</t>
        </is>
      </c>
      <c r="F2266" s="227" t="inlineStr">
        <is>
          <t>TURVILLA</t>
        </is>
      </c>
    </row>
    <row r="2267">
      <c r="A2267" s="227">
        <f>TL[[#This Row],[Société]]&amp;" - "&amp;TL[[#This Row],[Compte]]</f>
        <v/>
      </c>
      <c r="B2267" s="233" t="inlineStr">
        <is>
          <t>419800</t>
        </is>
      </c>
      <c r="C2267" s="227" t="inlineStr">
        <is>
          <t>Facture retrocession</t>
        </is>
      </c>
      <c r="F2267" s="227" t="inlineStr">
        <is>
          <t>TURVILLA</t>
        </is>
      </c>
    </row>
    <row r="2268">
      <c r="A2268" s="227">
        <f>TL[[#This Row],[Société]]&amp;" - "&amp;TL[[#This Row],[Compte]]</f>
        <v/>
      </c>
      <c r="B2268" s="233" t="inlineStr">
        <is>
          <t>421000</t>
        </is>
      </c>
      <c r="C2268" s="227" t="inlineStr">
        <is>
          <t>Personnel - rémunérations dues</t>
        </is>
      </c>
      <c r="F2268" s="227" t="inlineStr">
        <is>
          <t>TURVILLA</t>
        </is>
      </c>
    </row>
    <row r="2269">
      <c r="A2269" s="227">
        <f>TL[[#This Row],[Société]]&amp;" - "&amp;TL[[#This Row],[Compte]]</f>
        <v/>
      </c>
      <c r="B2269" s="233" t="inlineStr">
        <is>
          <t>421001</t>
        </is>
      </c>
      <c r="C2269" s="227" t="inlineStr">
        <is>
          <t>Remunerations janvier</t>
        </is>
      </c>
      <c r="F2269" s="227" t="inlineStr">
        <is>
          <t>TURVILLA</t>
        </is>
      </c>
    </row>
    <row r="2270">
      <c r="A2270" s="227">
        <f>TL[[#This Row],[Société]]&amp;" - "&amp;TL[[#This Row],[Compte]]</f>
        <v/>
      </c>
      <c r="B2270" s="233" t="inlineStr">
        <is>
          <t>421002</t>
        </is>
      </c>
      <c r="C2270" s="227" t="inlineStr">
        <is>
          <t>Remunerations fevrier</t>
        </is>
      </c>
      <c r="F2270" s="227" t="inlineStr">
        <is>
          <t>TURVILLA</t>
        </is>
      </c>
    </row>
    <row r="2271">
      <c r="A2271" s="227">
        <f>TL[[#This Row],[Société]]&amp;" - "&amp;TL[[#This Row],[Compte]]</f>
        <v/>
      </c>
      <c r="B2271" s="233" t="inlineStr">
        <is>
          <t>421003</t>
        </is>
      </c>
      <c r="C2271" s="227" t="inlineStr">
        <is>
          <t>Remunerations mars</t>
        </is>
      </c>
      <c r="F2271" s="227" t="inlineStr">
        <is>
          <t>TURVILLA</t>
        </is>
      </c>
    </row>
    <row r="2272">
      <c r="A2272" s="227">
        <f>TL[[#This Row],[Société]]&amp;" - "&amp;TL[[#This Row],[Compte]]</f>
        <v/>
      </c>
      <c r="B2272" s="233" t="inlineStr">
        <is>
          <t>421004</t>
        </is>
      </c>
      <c r="C2272" s="227" t="inlineStr">
        <is>
          <t>Remunerations avril</t>
        </is>
      </c>
      <c r="F2272" s="227" t="inlineStr">
        <is>
          <t>TURVILLA</t>
        </is>
      </c>
    </row>
    <row r="2273">
      <c r="A2273" s="227">
        <f>TL[[#This Row],[Société]]&amp;" - "&amp;TL[[#This Row],[Compte]]</f>
        <v/>
      </c>
      <c r="B2273" s="233" t="inlineStr">
        <is>
          <t>421005</t>
        </is>
      </c>
      <c r="C2273" s="227" t="inlineStr">
        <is>
          <t>Remunerations mai</t>
        </is>
      </c>
      <c r="F2273" s="227" t="inlineStr">
        <is>
          <t>TURVILLA</t>
        </is>
      </c>
    </row>
    <row r="2274">
      <c r="A2274" s="227">
        <f>TL[[#This Row],[Société]]&amp;" - "&amp;TL[[#This Row],[Compte]]</f>
        <v/>
      </c>
      <c r="B2274" s="233" t="inlineStr">
        <is>
          <t>421006</t>
        </is>
      </c>
      <c r="C2274" s="227" t="inlineStr">
        <is>
          <t>Remunerations juin</t>
        </is>
      </c>
      <c r="F2274" s="227" t="inlineStr">
        <is>
          <t>TURVILLA</t>
        </is>
      </c>
    </row>
    <row r="2275">
      <c r="A2275" s="227">
        <f>TL[[#This Row],[Société]]&amp;" - "&amp;TL[[#This Row],[Compte]]</f>
        <v/>
      </c>
      <c r="B2275" s="233" t="inlineStr">
        <is>
          <t>421007</t>
        </is>
      </c>
      <c r="C2275" s="227" t="inlineStr">
        <is>
          <t>Remunerations juillet</t>
        </is>
      </c>
      <c r="F2275" s="227" t="inlineStr">
        <is>
          <t>TURVILLA</t>
        </is>
      </c>
    </row>
    <row r="2276">
      <c r="A2276" s="227">
        <f>TL[[#This Row],[Société]]&amp;" - "&amp;TL[[#This Row],[Compte]]</f>
        <v/>
      </c>
      <c r="B2276" s="233" t="inlineStr">
        <is>
          <t>421008</t>
        </is>
      </c>
      <c r="C2276" s="227" t="inlineStr">
        <is>
          <t>Remunerations aout</t>
        </is>
      </c>
      <c r="F2276" s="227" t="inlineStr">
        <is>
          <t>TURVILLA</t>
        </is>
      </c>
    </row>
    <row r="2277">
      <c r="A2277" s="227">
        <f>TL[[#This Row],[Société]]&amp;" - "&amp;TL[[#This Row],[Compte]]</f>
        <v/>
      </c>
      <c r="B2277" s="233" t="inlineStr">
        <is>
          <t>421009</t>
        </is>
      </c>
      <c r="C2277" s="227" t="inlineStr">
        <is>
          <t>Remunerations septembre</t>
        </is>
      </c>
      <c r="F2277" s="227" t="inlineStr">
        <is>
          <t>TURVILLA</t>
        </is>
      </c>
    </row>
    <row r="2278">
      <c r="A2278" s="227">
        <f>TL[[#This Row],[Société]]&amp;" - "&amp;TL[[#This Row],[Compte]]</f>
        <v/>
      </c>
      <c r="B2278" s="233" t="inlineStr">
        <is>
          <t>421010</t>
        </is>
      </c>
      <c r="C2278" s="227" t="inlineStr">
        <is>
          <t>Remunerations octobre</t>
        </is>
      </c>
      <c r="F2278" s="227" t="inlineStr">
        <is>
          <t>TURVILLA</t>
        </is>
      </c>
    </row>
    <row r="2279">
      <c r="A2279" s="227">
        <f>TL[[#This Row],[Société]]&amp;" - "&amp;TL[[#This Row],[Compte]]</f>
        <v/>
      </c>
      <c r="B2279" s="233" t="inlineStr">
        <is>
          <t>421011</t>
        </is>
      </c>
      <c r="C2279" s="227" t="inlineStr">
        <is>
          <t>Remunerations novembre</t>
        </is>
      </c>
      <c r="F2279" s="227" t="inlineStr">
        <is>
          <t>TURVILLA</t>
        </is>
      </c>
    </row>
    <row r="2280">
      <c r="A2280" s="227">
        <f>TL[[#This Row],[Société]]&amp;" - "&amp;TL[[#This Row],[Compte]]</f>
        <v/>
      </c>
      <c r="B2280" s="233" t="inlineStr">
        <is>
          <t>421012</t>
        </is>
      </c>
      <c r="C2280" s="227" t="inlineStr">
        <is>
          <t>Remunerations decembre</t>
        </is>
      </c>
      <c r="F2280" s="227" t="inlineStr">
        <is>
          <t>TURVILLA</t>
        </is>
      </c>
    </row>
    <row r="2281">
      <c r="A2281" s="227">
        <f>TL[[#This Row],[Société]]&amp;" - "&amp;TL[[#This Row],[Compte]]</f>
        <v/>
      </c>
      <c r="B2281" s="233" t="inlineStr">
        <is>
          <t>421100</t>
        </is>
      </c>
      <c r="C2281" s="227" t="inlineStr">
        <is>
          <t>Personnel - solde de tout compte</t>
        </is>
      </c>
      <c r="F2281" s="227" t="inlineStr">
        <is>
          <t>TURVILLA</t>
        </is>
      </c>
    </row>
    <row r="2282">
      <c r="A2282" s="227">
        <f>TL[[#This Row],[Société]]&amp;" - "&amp;TL[[#This Row],[Compte]]</f>
        <v/>
      </c>
      <c r="B2282" s="233" t="inlineStr">
        <is>
          <t>421120</t>
        </is>
      </c>
      <c r="C2282" s="227" t="inlineStr">
        <is>
          <t>Rémunarations dues - STC</t>
        </is>
      </c>
      <c r="F2282" s="227" t="inlineStr">
        <is>
          <t>TURVILLA</t>
        </is>
      </c>
    </row>
    <row r="2283">
      <c r="A2283" s="227">
        <f>TL[[#This Row],[Société]]&amp;" - "&amp;TL[[#This Row],[Compte]]</f>
        <v/>
      </c>
      <c r="B2283" s="233" t="inlineStr">
        <is>
          <t>424800</t>
        </is>
      </c>
      <c r="C2283" s="227" t="inlineStr">
        <is>
          <t>Participation</t>
        </is>
      </c>
      <c r="F2283" s="227" t="inlineStr">
        <is>
          <t>TURVILLA</t>
        </is>
      </c>
    </row>
    <row r="2284">
      <c r="A2284" s="227">
        <f>TL[[#This Row],[Société]]&amp;" - "&amp;TL[[#This Row],[Compte]]</f>
        <v/>
      </c>
      <c r="B2284" s="233" t="inlineStr">
        <is>
          <t>425000</t>
        </is>
      </c>
      <c r="C2284" s="227" t="inlineStr">
        <is>
          <t>Personnel avanc.et acptes</t>
        </is>
      </c>
      <c r="F2284" s="227" t="inlineStr">
        <is>
          <t>TURVILLA</t>
        </is>
      </c>
    </row>
    <row r="2285">
      <c r="A2285" s="227">
        <f>TL[[#This Row],[Société]]&amp;" - "&amp;TL[[#This Row],[Compte]]</f>
        <v/>
      </c>
      <c r="B2285" s="233" t="inlineStr">
        <is>
          <t>427000</t>
        </is>
      </c>
      <c r="C2285" s="227" t="inlineStr">
        <is>
          <t>Personnel - oppositions</t>
        </is>
      </c>
      <c r="F2285" s="227" t="inlineStr">
        <is>
          <t>TURVILLA</t>
        </is>
      </c>
    </row>
    <row r="2286">
      <c r="A2286" s="227">
        <f>TL[[#This Row],[Société]]&amp;" - "&amp;TL[[#This Row],[Compte]]</f>
        <v/>
      </c>
      <c r="B2286" s="233" t="inlineStr">
        <is>
          <t>428200</t>
        </is>
      </c>
      <c r="C2286" s="227" t="inlineStr">
        <is>
          <t>Dettes provis. pr congés à payer</t>
        </is>
      </c>
      <c r="F2286" s="227" t="inlineStr">
        <is>
          <t>TURVILLA</t>
        </is>
      </c>
    </row>
    <row r="2287">
      <c r="A2287" s="227">
        <f>TL[[#This Row],[Société]]&amp;" - "&amp;TL[[#This Row],[Compte]]</f>
        <v/>
      </c>
      <c r="B2287" s="233" t="inlineStr">
        <is>
          <t>428220</t>
        </is>
      </c>
      <c r="C2287" s="227" t="inlineStr">
        <is>
          <t>Prov c payes assistants</t>
        </is>
      </c>
      <c r="F2287" s="227" t="inlineStr">
        <is>
          <t>TURVILLA</t>
        </is>
      </c>
    </row>
    <row r="2288">
      <c r="A2288" s="227">
        <f>TL[[#This Row],[Société]]&amp;" - "&amp;TL[[#This Row],[Compte]]</f>
        <v/>
      </c>
      <c r="B2288" s="233" t="inlineStr">
        <is>
          <t>428230</t>
        </is>
      </c>
      <c r="C2288" s="227" t="inlineStr">
        <is>
          <t>Prov c payes equipiers</t>
        </is>
      </c>
      <c r="F2288" s="227" t="inlineStr">
        <is>
          <t>TURVILLA</t>
        </is>
      </c>
    </row>
    <row r="2289">
      <c r="A2289" s="227">
        <f>TL[[#This Row],[Société]]&amp;" - "&amp;TL[[#This Row],[Compte]]</f>
        <v/>
      </c>
      <c r="B2289" s="233" t="inlineStr">
        <is>
          <t>428400</t>
        </is>
      </c>
      <c r="C2289" s="227" t="inlineStr">
        <is>
          <t>Participation</t>
        </is>
      </c>
      <c r="F2289" s="227" t="inlineStr">
        <is>
          <t>TURVILLA</t>
        </is>
      </c>
    </row>
    <row r="2290">
      <c r="A2290" s="227">
        <f>TL[[#This Row],[Société]]&amp;" - "&amp;TL[[#This Row],[Compte]]</f>
        <v/>
      </c>
      <c r="B2290" s="233" t="inlineStr">
        <is>
          <t>428600</t>
        </is>
      </c>
      <c r="C2290" s="227" t="inlineStr">
        <is>
          <t>Personnel - autres charges à payer</t>
        </is>
      </c>
      <c r="F2290" s="227" t="inlineStr">
        <is>
          <t>TURVILLA</t>
        </is>
      </c>
    </row>
    <row r="2291">
      <c r="A2291" s="227">
        <f>TL[[#This Row],[Société]]&amp;" - "&amp;TL[[#This Row],[Compte]]</f>
        <v/>
      </c>
      <c r="B2291" s="233" t="inlineStr">
        <is>
          <t>431000</t>
        </is>
      </c>
      <c r="C2291" s="227" t="inlineStr">
        <is>
          <t>Urssaf</t>
        </is>
      </c>
      <c r="F2291" s="227" t="inlineStr">
        <is>
          <t>TURVILLA</t>
        </is>
      </c>
    </row>
    <row r="2292">
      <c r="A2292" s="227">
        <f>TL[[#This Row],[Société]]&amp;" - "&amp;TL[[#This Row],[Compte]]</f>
        <v/>
      </c>
      <c r="B2292" s="233" t="inlineStr">
        <is>
          <t>437000</t>
        </is>
      </c>
      <c r="C2292" s="227" t="inlineStr">
        <is>
          <t>Pôle emploi</t>
        </is>
      </c>
      <c r="F2292" s="227" t="inlineStr">
        <is>
          <t>TURVILLA</t>
        </is>
      </c>
    </row>
    <row r="2293">
      <c r="A2293" s="227">
        <f>TL[[#This Row],[Société]]&amp;" - "&amp;TL[[#This Row],[Compte]]</f>
        <v/>
      </c>
      <c r="B2293" s="233" t="inlineStr">
        <is>
          <t>437010</t>
        </is>
      </c>
      <c r="C2293" s="227" t="inlineStr">
        <is>
          <t>Indemnité activité partielle</t>
        </is>
      </c>
      <c r="F2293" s="227" t="inlineStr">
        <is>
          <t>TURVILLA</t>
        </is>
      </c>
    </row>
    <row r="2294">
      <c r="A2294" s="227">
        <f>TL[[#This Row],[Société]]&amp;" - "&amp;TL[[#This Row],[Compte]]</f>
        <v/>
      </c>
      <c r="B2294" s="233" t="inlineStr">
        <is>
          <t>437020</t>
        </is>
      </c>
      <c r="C2294" s="227" t="inlineStr">
        <is>
          <t>Ag2r</t>
        </is>
      </c>
      <c r="F2294" s="227" t="inlineStr">
        <is>
          <t>TURVILLA</t>
        </is>
      </c>
    </row>
    <row r="2295">
      <c r="A2295" s="227">
        <f>TL[[#This Row],[Société]]&amp;" - "&amp;TL[[#This Row],[Compte]]</f>
        <v/>
      </c>
      <c r="B2295" s="233" t="inlineStr">
        <is>
          <t>437030</t>
        </is>
      </c>
      <c r="C2295" s="227" t="inlineStr">
        <is>
          <t>Klesia</t>
        </is>
      </c>
      <c r="F2295" s="227" t="inlineStr">
        <is>
          <t>TURVILLA</t>
        </is>
      </c>
    </row>
    <row r="2296">
      <c r="A2296" s="227">
        <f>TL[[#This Row],[Société]]&amp;" - "&amp;TL[[#This Row],[Compte]]</f>
        <v/>
      </c>
      <c r="B2296" s="233" t="inlineStr">
        <is>
          <t>437070</t>
        </is>
      </c>
      <c r="C2296" s="227" t="inlineStr">
        <is>
          <t>Agirc</t>
        </is>
      </c>
      <c r="F2296" s="227" t="inlineStr">
        <is>
          <t>TURVILLA</t>
        </is>
      </c>
    </row>
    <row r="2297">
      <c r="A2297" s="227">
        <f>TL[[#This Row],[Société]]&amp;" - "&amp;TL[[#This Row],[Compte]]</f>
        <v/>
      </c>
      <c r="B2297" s="233" t="inlineStr">
        <is>
          <t>437080</t>
        </is>
      </c>
      <c r="C2297" s="227" t="inlineStr">
        <is>
          <t>Mutuelle</t>
        </is>
      </c>
      <c r="F2297" s="227" t="inlineStr">
        <is>
          <t>TURVILLA</t>
        </is>
      </c>
    </row>
    <row r="2298">
      <c r="A2298" s="227">
        <f>TL[[#This Row],[Société]]&amp;" - "&amp;TL[[#This Row],[Compte]]</f>
        <v/>
      </c>
      <c r="B2298" s="233" t="inlineStr">
        <is>
          <t>437090</t>
        </is>
      </c>
      <c r="C2298" s="227" t="inlineStr">
        <is>
          <t>Prevoyance non cadres</t>
        </is>
      </c>
      <c r="F2298" s="227" t="inlineStr">
        <is>
          <t>TURVILLA</t>
        </is>
      </c>
    </row>
    <row r="2299">
      <c r="A2299" s="227">
        <f>TL[[#This Row],[Société]]&amp;" - "&amp;TL[[#This Row],[Compte]]</f>
        <v/>
      </c>
      <c r="B2299" s="233" t="inlineStr">
        <is>
          <t>437091</t>
        </is>
      </c>
      <c r="C2299" s="227" t="inlineStr">
        <is>
          <t>Prlvt source</t>
        </is>
      </c>
      <c r="F2299" s="227" t="inlineStr">
        <is>
          <t>TURVILLA</t>
        </is>
      </c>
    </row>
    <row r="2300">
      <c r="A2300" s="227">
        <f>TL[[#This Row],[Société]]&amp;" - "&amp;TL[[#This Row],[Compte]]</f>
        <v/>
      </c>
      <c r="B2300" s="233" t="inlineStr">
        <is>
          <t>437320</t>
        </is>
      </c>
      <c r="C2300" s="227" t="inlineStr">
        <is>
          <t>Mutuelle gfp NE PAS UTILISER</t>
        </is>
      </c>
      <c r="F2300" s="227" t="inlineStr">
        <is>
          <t>TURVILLA</t>
        </is>
      </c>
    </row>
    <row r="2301">
      <c r="A2301" s="227">
        <f>TL[[#This Row],[Société]]&amp;" - "&amp;TL[[#This Row],[Compte]]</f>
        <v/>
      </c>
      <c r="B2301" s="233" t="inlineStr">
        <is>
          <t>437330</t>
        </is>
      </c>
      <c r="C2301" s="227" t="inlineStr">
        <is>
          <t>Mutuelle mieux et - NE PAS UTILISER</t>
        </is>
      </c>
      <c r="F2301" s="227" t="inlineStr">
        <is>
          <t>TURVILLA</t>
        </is>
      </c>
    </row>
    <row r="2302">
      <c r="A2302" s="227">
        <f>TL[[#This Row],[Société]]&amp;" - "&amp;TL[[#This Row],[Compte]]</f>
        <v/>
      </c>
      <c r="B2302" s="233" t="inlineStr">
        <is>
          <t>437350</t>
        </is>
      </c>
      <c r="C2302" s="227" t="inlineStr">
        <is>
          <t>Retraite klesia NE PAS UTILISER</t>
        </is>
      </c>
      <c r="F2302" s="227" t="inlineStr">
        <is>
          <t>TURVILLA</t>
        </is>
      </c>
    </row>
    <row r="2303">
      <c r="A2303" s="227">
        <f>TL[[#This Row],[Société]]&amp;" - "&amp;TL[[#This Row],[Compte]]</f>
        <v/>
      </c>
      <c r="B2303" s="233" t="inlineStr">
        <is>
          <t>437530</t>
        </is>
      </c>
      <c r="C2303" s="227" t="inlineStr">
        <is>
          <t>Prev ag2r mondiale - NE PAS UTIL</t>
        </is>
      </c>
      <c r="F2303" s="227" t="inlineStr">
        <is>
          <t>TURVILLA</t>
        </is>
      </c>
    </row>
    <row r="2304">
      <c r="A2304" s="227">
        <f>TL[[#This Row],[Société]]&amp;" - "&amp;TL[[#This Row],[Compte]]</f>
        <v/>
      </c>
      <c r="B2304" s="233" t="inlineStr">
        <is>
          <t>437800</t>
        </is>
      </c>
      <c r="C2304" s="227" t="inlineStr">
        <is>
          <t>Rsi</t>
        </is>
      </c>
      <c r="F2304" s="227" t="inlineStr">
        <is>
          <t>TURVILLA</t>
        </is>
      </c>
    </row>
    <row r="2305">
      <c r="A2305" s="227">
        <f>TL[[#This Row],[Société]]&amp;" - "&amp;TL[[#This Row],[Compte]]</f>
        <v/>
      </c>
      <c r="B2305" s="233" t="inlineStr">
        <is>
          <t>438000</t>
        </is>
      </c>
      <c r="C2305" s="227" t="inlineStr">
        <is>
          <t>SALAIRES 03/2022</t>
        </is>
      </c>
      <c r="F2305" s="227" t="inlineStr">
        <is>
          <t>TURVILLA</t>
        </is>
      </c>
    </row>
    <row r="2306">
      <c r="A2306" s="227">
        <f>TL[[#This Row],[Société]]&amp;" - "&amp;TL[[#This Row],[Compte]]</f>
        <v/>
      </c>
      <c r="B2306" s="233" t="inlineStr">
        <is>
          <t>438200</t>
        </is>
      </c>
      <c r="C2306" s="227" t="inlineStr">
        <is>
          <t>Charges sociales s/congés à payer</t>
        </is>
      </c>
      <c r="F2306" s="227" t="inlineStr">
        <is>
          <t>TURVILLA</t>
        </is>
      </c>
    </row>
    <row r="2307">
      <c r="A2307" s="227">
        <f>TL[[#This Row],[Société]]&amp;" - "&amp;TL[[#This Row],[Compte]]</f>
        <v/>
      </c>
      <c r="B2307" s="233" t="inlineStr">
        <is>
          <t>438220</t>
        </is>
      </c>
      <c r="C2307" s="227" t="inlineStr">
        <is>
          <t>Charges sociales sur cp assistants</t>
        </is>
      </c>
      <c r="F2307" s="227" t="inlineStr">
        <is>
          <t>TURVILLA</t>
        </is>
      </c>
    </row>
    <row r="2308">
      <c r="A2308" s="227">
        <f>TL[[#This Row],[Société]]&amp;" - "&amp;TL[[#This Row],[Compte]]</f>
        <v/>
      </c>
      <c r="B2308" s="233" t="inlineStr">
        <is>
          <t>438230</t>
        </is>
      </c>
      <c r="C2308" s="227" t="inlineStr">
        <is>
          <t>Charges sociales sur cp equipiers</t>
        </is>
      </c>
      <c r="F2308" s="227" t="inlineStr">
        <is>
          <t>TURVILLA</t>
        </is>
      </c>
    </row>
    <row r="2309">
      <c r="A2309" s="227">
        <f>TL[[#This Row],[Société]]&amp;" - "&amp;TL[[#This Row],[Compte]]</f>
        <v/>
      </c>
      <c r="B2309" s="233" t="inlineStr">
        <is>
          <t>438600</t>
        </is>
      </c>
      <c r="C2309" s="227" t="inlineStr">
        <is>
          <t>Charges sociales - charges à payer</t>
        </is>
      </c>
      <c r="F2309" s="227" t="inlineStr">
        <is>
          <t>TURVILLA</t>
        </is>
      </c>
    </row>
    <row r="2310">
      <c r="A2310" s="227">
        <f>TL[[#This Row],[Société]]&amp;" - "&amp;TL[[#This Row],[Compte]]</f>
        <v/>
      </c>
      <c r="B2310" s="233" t="inlineStr">
        <is>
          <t>438610</t>
        </is>
      </c>
      <c r="C2310" s="227" t="inlineStr">
        <is>
          <t>Charges soc /primes</t>
        </is>
      </c>
      <c r="F2310" s="227" t="inlineStr">
        <is>
          <t>TURVILLA</t>
        </is>
      </c>
    </row>
    <row r="2311">
      <c r="A2311" s="227">
        <f>TL[[#This Row],[Société]]&amp;" - "&amp;TL[[#This Row],[Compte]]</f>
        <v/>
      </c>
      <c r="B2311" s="233" t="inlineStr">
        <is>
          <t>438611</t>
        </is>
      </c>
      <c r="C2311" s="227" t="inlineStr">
        <is>
          <t>Forfait social participation</t>
        </is>
      </c>
      <c r="F2311" s="227" t="inlineStr">
        <is>
          <t>TURVILLA</t>
        </is>
      </c>
    </row>
    <row r="2312">
      <c r="A2312" s="227">
        <f>TL[[#This Row],[Société]]&amp;" - "&amp;TL[[#This Row],[Compte]]</f>
        <v/>
      </c>
      <c r="B2312" s="233" t="inlineStr">
        <is>
          <t>438700</t>
        </is>
      </c>
      <c r="C2312" s="227" t="inlineStr">
        <is>
          <t>Charges sociales - produits À recev</t>
        </is>
      </c>
      <c r="F2312" s="227" t="inlineStr">
        <is>
          <t>TURVILLA</t>
        </is>
      </c>
    </row>
    <row r="2313">
      <c r="A2313" s="227">
        <f>TL[[#This Row],[Société]]&amp;" - "&amp;TL[[#This Row],[Compte]]</f>
        <v/>
      </c>
      <c r="B2313" s="233" t="inlineStr">
        <is>
          <t>442100</t>
        </is>
      </c>
      <c r="C2313" s="227" t="inlineStr">
        <is>
          <t>Prélèvements à la source (ir)</t>
        </is>
      </c>
      <c r="F2313" s="227" t="inlineStr">
        <is>
          <t>TURVILLA</t>
        </is>
      </c>
    </row>
    <row r="2314">
      <c r="A2314" s="227">
        <f>TL[[#This Row],[Société]]&amp;" - "&amp;TL[[#This Row],[Compte]]</f>
        <v/>
      </c>
      <c r="B2314" s="233" t="inlineStr">
        <is>
          <t>442500</t>
        </is>
      </c>
      <c r="C2314" s="227" t="inlineStr">
        <is>
          <t>Prelevements liberatoires</t>
        </is>
      </c>
      <c r="F2314" s="227" t="inlineStr">
        <is>
          <t>TURVILLA</t>
        </is>
      </c>
    </row>
    <row r="2315">
      <c r="A2315" s="227">
        <f>TL[[#This Row],[Société]]&amp;" - "&amp;TL[[#This Row],[Compte]]</f>
        <v/>
      </c>
      <c r="B2315" s="233" t="inlineStr">
        <is>
          <t>442510</t>
        </is>
      </c>
      <c r="C2315" s="227" t="inlineStr">
        <is>
          <t>Prelevements sociaux</t>
        </is>
      </c>
      <c r="F2315" s="227" t="inlineStr">
        <is>
          <t>TURVILLA</t>
        </is>
      </c>
    </row>
    <row r="2316">
      <c r="A2316" s="227">
        <f>TL[[#This Row],[Société]]&amp;" - "&amp;TL[[#This Row],[Compte]]</f>
        <v/>
      </c>
      <c r="B2316" s="233" t="inlineStr">
        <is>
          <t>442520</t>
        </is>
      </c>
      <c r="C2316" s="227" t="inlineStr">
        <is>
          <t>Prelevement liberatoire</t>
        </is>
      </c>
      <c r="F2316" s="227" t="inlineStr">
        <is>
          <t>TURVILLA</t>
        </is>
      </c>
    </row>
    <row r="2317">
      <c r="A2317" s="227">
        <f>TL[[#This Row],[Société]]&amp;" - "&amp;TL[[#This Row],[Compte]]</f>
        <v/>
      </c>
      <c r="B2317" s="233" t="inlineStr">
        <is>
          <t>444000</t>
        </is>
      </c>
      <c r="C2317" s="227" t="inlineStr">
        <is>
          <t>Impots sur les benefices</t>
        </is>
      </c>
      <c r="F2317" s="227" t="inlineStr">
        <is>
          <t>TURVILLA</t>
        </is>
      </c>
    </row>
    <row r="2318">
      <c r="A2318" s="227">
        <f>TL[[#This Row],[Société]]&amp;" - "&amp;TL[[#This Row],[Compte]]</f>
        <v/>
      </c>
      <c r="B2318" s="233" t="inlineStr">
        <is>
          <t>445200</t>
        </is>
      </c>
      <c r="C2318" s="227" t="inlineStr">
        <is>
          <t>Tva due intracommunautaire</t>
        </is>
      </c>
      <c r="F2318" s="227" t="inlineStr">
        <is>
          <t>TURVILLA</t>
        </is>
      </c>
    </row>
    <row r="2319">
      <c r="A2319" s="227">
        <f>TL[[#This Row],[Société]]&amp;" - "&amp;TL[[#This Row],[Compte]]</f>
        <v/>
      </c>
      <c r="B2319" s="233" t="inlineStr">
        <is>
          <t>445500</t>
        </is>
      </c>
      <c r="C2319" s="227" t="inlineStr">
        <is>
          <t>Tva a decaisser</t>
        </is>
      </c>
      <c r="F2319" s="227" t="inlineStr">
        <is>
          <t>TURVILLA</t>
        </is>
      </c>
    </row>
    <row r="2320">
      <c r="A2320" s="227">
        <f>TL[[#This Row],[Société]]&amp;" - "&amp;TL[[#This Row],[Compte]]</f>
        <v/>
      </c>
      <c r="B2320" s="233" t="inlineStr">
        <is>
          <t>445510</t>
        </is>
      </c>
      <c r="C2320" s="227" t="inlineStr">
        <is>
          <t>Tva á décaisser</t>
        </is>
      </c>
      <c r="F2320" s="227" t="inlineStr">
        <is>
          <t>TURVILLA</t>
        </is>
      </c>
    </row>
    <row r="2321">
      <c r="A2321" s="227">
        <f>TL[[#This Row],[Société]]&amp;" - "&amp;TL[[#This Row],[Compte]]</f>
        <v/>
      </c>
      <c r="B2321" s="233" t="inlineStr">
        <is>
          <t>445620</t>
        </is>
      </c>
      <c r="C2321" s="227" t="inlineStr">
        <is>
          <t>Tva déductible s/immobilisations</t>
        </is>
      </c>
      <c r="F2321" s="227" t="inlineStr">
        <is>
          <t>TURVILLA</t>
        </is>
      </c>
    </row>
    <row r="2322">
      <c r="A2322" s="227">
        <f>TL[[#This Row],[Société]]&amp;" - "&amp;TL[[#This Row],[Compte]]</f>
        <v/>
      </c>
      <c r="B2322" s="233" t="inlineStr">
        <is>
          <t>445621</t>
        </is>
      </c>
      <c r="C2322" s="227" t="inlineStr">
        <is>
          <t>Tva s/ immobilisations encaissement</t>
        </is>
      </c>
      <c r="F2322" s="227" t="inlineStr">
        <is>
          <t>TURVILLA</t>
        </is>
      </c>
    </row>
    <row r="2323">
      <c r="A2323" s="227">
        <f>TL[[#This Row],[Société]]&amp;" - "&amp;TL[[#This Row],[Compte]]</f>
        <v/>
      </c>
      <c r="B2323" s="233" t="inlineStr">
        <is>
          <t>445660</t>
        </is>
      </c>
      <c r="C2323" s="227" t="inlineStr">
        <is>
          <t>Tva déductible s/aut.biens et sces</t>
        </is>
      </c>
      <c r="F2323" s="227" t="inlineStr">
        <is>
          <t>TURVILLA</t>
        </is>
      </c>
    </row>
    <row r="2324">
      <c r="A2324" s="227">
        <f>TL[[#This Row],[Société]]&amp;" - "&amp;TL[[#This Row],[Compte]]</f>
        <v/>
      </c>
      <c r="B2324" s="233" t="inlineStr">
        <is>
          <t>445661</t>
        </is>
      </c>
      <c r="C2324" s="227" t="inlineStr">
        <is>
          <t>Tva s prest de services</t>
        </is>
      </c>
      <c r="F2324" s="227" t="inlineStr">
        <is>
          <t>TURVILLA</t>
        </is>
      </c>
    </row>
    <row r="2325">
      <c r="A2325" s="227">
        <f>TL[[#This Row],[Société]]&amp;" - "&amp;TL[[#This Row],[Compte]]</f>
        <v/>
      </c>
      <c r="B2325" s="233" t="inlineStr">
        <is>
          <t>445662</t>
        </is>
      </c>
      <c r="C2325" s="227" t="inlineStr">
        <is>
          <t>Tva déductible intracommunautaire</t>
        </is>
      </c>
      <c r="F2325" s="227" t="inlineStr">
        <is>
          <t>TURVILLA</t>
        </is>
      </c>
    </row>
    <row r="2326">
      <c r="A2326" s="227">
        <f>TL[[#This Row],[Société]]&amp;" - "&amp;TL[[#This Row],[Compte]]</f>
        <v/>
      </c>
      <c r="B2326" s="233" t="inlineStr">
        <is>
          <t>445670</t>
        </is>
      </c>
      <c r="C2326" s="227" t="inlineStr">
        <is>
          <t>Crédit de tva à reporter</t>
        </is>
      </c>
      <c r="F2326" s="227" t="inlineStr">
        <is>
          <t>TURVILLA</t>
        </is>
      </c>
    </row>
    <row r="2327">
      <c r="A2327" s="227">
        <f>TL[[#This Row],[Société]]&amp;" - "&amp;TL[[#This Row],[Compte]]</f>
        <v/>
      </c>
      <c r="B2327" s="233" t="inlineStr">
        <is>
          <t>445710</t>
        </is>
      </c>
      <c r="C2327" s="227" t="inlineStr">
        <is>
          <t>Tva collectee a 5.5%</t>
        </is>
      </c>
      <c r="F2327" s="227" t="inlineStr">
        <is>
          <t>TURVILLA</t>
        </is>
      </c>
    </row>
    <row r="2328">
      <c r="A2328" s="227">
        <f>TL[[#This Row],[Société]]&amp;" - "&amp;TL[[#This Row],[Compte]]</f>
        <v/>
      </c>
      <c r="B2328" s="233" t="inlineStr">
        <is>
          <t>445712</t>
        </is>
      </c>
      <c r="C2328" s="227" t="inlineStr">
        <is>
          <t>Tva collectee intracommautaire</t>
        </is>
      </c>
      <c r="F2328" s="227" t="inlineStr">
        <is>
          <t>TURVILLA</t>
        </is>
      </c>
    </row>
    <row r="2329">
      <c r="A2329" s="227">
        <f>TL[[#This Row],[Société]]&amp;" - "&amp;TL[[#This Row],[Compte]]</f>
        <v/>
      </c>
      <c r="B2329" s="233" t="inlineStr">
        <is>
          <t>445714</t>
        </is>
      </c>
      <c r="C2329" s="227" t="inlineStr">
        <is>
          <t>Tva collectee a 20%</t>
        </is>
      </c>
      <c r="F2329" s="227" t="inlineStr">
        <is>
          <t>TURVILLA</t>
        </is>
      </c>
    </row>
    <row r="2330">
      <c r="A2330" s="227">
        <f>TL[[#This Row],[Société]]&amp;" - "&amp;TL[[#This Row],[Compte]]</f>
        <v/>
      </c>
      <c r="B2330" s="233" t="inlineStr">
        <is>
          <t>445715</t>
        </is>
      </c>
      <c r="C2330" s="227" t="inlineStr">
        <is>
          <t>Tva collectee a 10%</t>
        </is>
      </c>
      <c r="F2330" s="227" t="inlineStr">
        <is>
          <t>TURVILLA</t>
        </is>
      </c>
    </row>
    <row r="2331">
      <c r="A2331" s="227">
        <f>TL[[#This Row],[Société]]&amp;" - "&amp;TL[[#This Row],[Compte]]</f>
        <v/>
      </c>
      <c r="B2331" s="233" t="inlineStr">
        <is>
          <t>445716</t>
        </is>
      </c>
      <c r="C2331" s="227" t="inlineStr">
        <is>
          <t>Tva à 10%</t>
        </is>
      </c>
      <c r="F2331" s="227" t="inlineStr">
        <is>
          <t>TURVILLA</t>
        </is>
      </c>
    </row>
    <row r="2332">
      <c r="A2332" s="227">
        <f>TL[[#This Row],[Société]]&amp;" - "&amp;TL[[#This Row],[Compte]]</f>
        <v/>
      </c>
      <c r="B2332" s="233" t="inlineStr">
        <is>
          <t>445717</t>
        </is>
      </c>
      <c r="C2332" s="227" t="inlineStr">
        <is>
          <t>Tva lr service 20 %</t>
        </is>
      </c>
      <c r="F2332" s="227" t="inlineStr">
        <is>
          <t>TURVILLA</t>
        </is>
      </c>
    </row>
    <row r="2333">
      <c r="A2333" s="227">
        <f>TL[[#This Row],[Société]]&amp;" - "&amp;TL[[#This Row],[Compte]]</f>
        <v/>
      </c>
      <c r="B2333" s="233" t="inlineStr">
        <is>
          <t>445720</t>
        </is>
      </c>
      <c r="C2333" s="227" t="inlineStr">
        <is>
          <t>Tva à  7%</t>
        </is>
      </c>
      <c r="F2333" s="227" t="inlineStr">
        <is>
          <t>TURVILLA</t>
        </is>
      </c>
    </row>
    <row r="2334">
      <c r="A2334" s="227">
        <f>TL[[#This Row],[Société]]&amp;" - "&amp;TL[[#This Row],[Compte]]</f>
        <v/>
      </c>
      <c r="B2334" s="233" t="inlineStr">
        <is>
          <t>445730</t>
        </is>
      </c>
      <c r="C2334" s="227" t="inlineStr">
        <is>
          <t>Tva collectée à 20%</t>
        </is>
      </c>
      <c r="F2334" s="227" t="inlineStr">
        <is>
          <t>TURVILLA</t>
        </is>
      </c>
    </row>
    <row r="2335">
      <c r="A2335" s="227">
        <f>TL[[#This Row],[Société]]&amp;" - "&amp;TL[[#This Row],[Compte]]</f>
        <v/>
      </c>
      <c r="B2335" s="233" t="inlineStr">
        <is>
          <t>445750</t>
        </is>
      </c>
      <c r="C2335" s="227" t="inlineStr">
        <is>
          <t>Tva collectée 19.6%</t>
        </is>
      </c>
      <c r="F2335" s="227" t="inlineStr">
        <is>
          <t>TURVILLA</t>
        </is>
      </c>
    </row>
    <row r="2336">
      <c r="A2336" s="227">
        <f>TL[[#This Row],[Société]]&amp;" - "&amp;TL[[#This Row],[Compte]]</f>
        <v/>
      </c>
      <c r="B2336" s="233" t="inlineStr">
        <is>
          <t>445760</t>
        </is>
      </c>
      <c r="C2336" s="227" t="inlineStr">
        <is>
          <t>Tva collectée 19,6% lrs</t>
        </is>
      </c>
      <c r="F2336" s="227" t="inlineStr">
        <is>
          <t>TURVILLA</t>
        </is>
      </c>
    </row>
    <row r="2337">
      <c r="A2337" s="227">
        <f>TL[[#This Row],[Société]]&amp;" - "&amp;TL[[#This Row],[Compte]]</f>
        <v/>
      </c>
      <c r="B2337" s="233" t="inlineStr">
        <is>
          <t>445770</t>
        </is>
      </c>
      <c r="C2337" s="227" t="inlineStr">
        <is>
          <t>Tva collectée 19,6% agefos</t>
        </is>
      </c>
      <c r="F2337" s="227" t="inlineStr">
        <is>
          <t>TURVILLA</t>
        </is>
      </c>
    </row>
    <row r="2338">
      <c r="A2338" s="227">
        <f>TL[[#This Row],[Société]]&amp;" - "&amp;TL[[#This Row],[Compte]]</f>
        <v/>
      </c>
      <c r="B2338" s="233" t="inlineStr">
        <is>
          <t>445800</t>
        </is>
      </c>
      <c r="C2338" s="227" t="inlineStr">
        <is>
          <t>R+®gularisation de tva collect+®e</t>
        </is>
      </c>
      <c r="F2338" s="227" t="inlineStr">
        <is>
          <t>TURVILLA</t>
        </is>
      </c>
    </row>
    <row r="2339">
      <c r="A2339" s="227">
        <f>TL[[#This Row],[Société]]&amp;" - "&amp;TL[[#This Row],[Compte]]</f>
        <v/>
      </c>
      <c r="B2339" s="233" t="inlineStr">
        <is>
          <t>445830</t>
        </is>
      </c>
      <c r="C2339" s="227" t="inlineStr">
        <is>
          <t>Remboursement de tva demandé</t>
        </is>
      </c>
      <c r="F2339" s="227" t="inlineStr">
        <is>
          <t>TURVILLA</t>
        </is>
      </c>
    </row>
    <row r="2340">
      <c r="A2340" s="227">
        <f>TL[[#This Row],[Société]]&amp;" - "&amp;TL[[#This Row],[Compte]]</f>
        <v/>
      </c>
      <c r="B2340" s="233" t="inlineStr">
        <is>
          <t>445860</t>
        </is>
      </c>
      <c r="C2340" s="227" t="inlineStr">
        <is>
          <t>Tca s/factures non parvenu.</t>
        </is>
      </c>
      <c r="F2340" s="227" t="inlineStr">
        <is>
          <t>TURVILLA</t>
        </is>
      </c>
    </row>
    <row r="2341">
      <c r="A2341" s="227">
        <f>TL[[#This Row],[Société]]&amp;" - "&amp;TL[[#This Row],[Compte]]</f>
        <v/>
      </c>
      <c r="B2341" s="233" t="inlineStr">
        <is>
          <t>445861</t>
        </is>
      </c>
      <c r="C2341" s="227" t="inlineStr">
        <is>
          <t>Tca s/avoirs a recevoir</t>
        </is>
      </c>
      <c r="F2341" s="227" t="inlineStr">
        <is>
          <t>TURVILLA</t>
        </is>
      </c>
    </row>
    <row r="2342">
      <c r="A2342" s="227">
        <f>TL[[#This Row],[Société]]&amp;" - "&amp;TL[[#This Row],[Compte]]</f>
        <v/>
      </c>
      <c r="B2342" s="233" t="inlineStr">
        <is>
          <t>445862</t>
        </is>
      </c>
      <c r="C2342" s="227" t="inlineStr">
        <is>
          <t>Tva déd. s/ fact immo non parvenues</t>
        </is>
      </c>
      <c r="F2342" s="227" t="inlineStr">
        <is>
          <t>TURVILLA</t>
        </is>
      </c>
    </row>
    <row r="2343">
      <c r="A2343" s="227">
        <f>TL[[#This Row],[Société]]&amp;" - "&amp;TL[[#This Row],[Compte]]</f>
        <v/>
      </c>
      <c r="B2343" s="233" t="inlineStr">
        <is>
          <t>445868</t>
        </is>
      </c>
      <c r="C2343" s="227" t="inlineStr">
        <is>
          <t>Tva /avoir non parvenue</t>
        </is>
      </c>
      <c r="F2343" s="227" t="inlineStr">
        <is>
          <t>TURVILLA</t>
        </is>
      </c>
    </row>
    <row r="2344">
      <c r="A2344" s="227">
        <f>TL[[#This Row],[Société]]&amp;" - "&amp;TL[[#This Row],[Compte]]</f>
        <v/>
      </c>
      <c r="B2344" s="233" t="inlineStr">
        <is>
          <t>445870</t>
        </is>
      </c>
      <c r="C2344" s="227" t="inlineStr">
        <is>
          <t>Tca/factures a etablir</t>
        </is>
      </c>
      <c r="F2344" s="227" t="inlineStr">
        <is>
          <t>TURVILLA</t>
        </is>
      </c>
    </row>
    <row r="2345">
      <c r="A2345" s="227">
        <f>TL[[#This Row],[Société]]&amp;" - "&amp;TL[[#This Row],[Compte]]</f>
        <v/>
      </c>
      <c r="B2345" s="233" t="inlineStr">
        <is>
          <t>448200</t>
        </is>
      </c>
      <c r="C2345" s="227" t="inlineStr">
        <is>
          <t>Prelev a la source</t>
        </is>
      </c>
      <c r="F2345" s="227" t="inlineStr">
        <is>
          <t>TURVILLA</t>
        </is>
      </c>
    </row>
    <row r="2346">
      <c r="A2346" s="227">
        <f>TL[[#This Row],[Société]]&amp;" - "&amp;TL[[#This Row],[Compte]]</f>
        <v/>
      </c>
      <c r="B2346" s="233" t="inlineStr">
        <is>
          <t>448600</t>
        </is>
      </c>
      <c r="C2346" s="227" t="inlineStr">
        <is>
          <t>Etat - autres charges à payer</t>
        </is>
      </c>
      <c r="F2346" s="227" t="inlineStr">
        <is>
          <t>TURVILLA</t>
        </is>
      </c>
    </row>
    <row r="2347">
      <c r="A2347" s="227">
        <f>TL[[#This Row],[Société]]&amp;" - "&amp;TL[[#This Row],[Compte]]</f>
        <v/>
      </c>
      <c r="B2347" s="233" t="inlineStr">
        <is>
          <t>448620</t>
        </is>
      </c>
      <c r="C2347" s="227" t="inlineStr">
        <is>
          <t>01/2022 - URSSAF Normandie (2870000</t>
        </is>
      </c>
      <c r="F2347" s="227" t="inlineStr">
        <is>
          <t>TURVILLA</t>
        </is>
      </c>
    </row>
    <row r="2348">
      <c r="A2348" s="227">
        <f>TL[[#This Row],[Société]]&amp;" - "&amp;TL[[#This Row],[Compte]]</f>
        <v/>
      </c>
      <c r="B2348" s="233" t="inlineStr">
        <is>
          <t>448630</t>
        </is>
      </c>
      <c r="C2348" s="227" t="inlineStr">
        <is>
          <t>SALAIRES 01/2022</t>
        </is>
      </c>
      <c r="F2348" s="227" t="inlineStr">
        <is>
          <t>TURVILLA</t>
        </is>
      </c>
    </row>
    <row r="2349">
      <c r="A2349" s="227">
        <f>TL[[#This Row],[Société]]&amp;" - "&amp;TL[[#This Row],[Compte]]</f>
        <v/>
      </c>
      <c r="B2349" s="233" t="inlineStr">
        <is>
          <t>448640</t>
        </is>
      </c>
      <c r="C2349" s="227" t="inlineStr">
        <is>
          <t>SALAIRES 01/2022</t>
        </is>
      </c>
      <c r="F2349" s="227" t="inlineStr">
        <is>
          <t>TURVILLA</t>
        </is>
      </c>
    </row>
    <row r="2350">
      <c r="A2350" s="227">
        <f>TL[[#This Row],[Société]]&amp;" - "&amp;TL[[#This Row],[Compte]]</f>
        <v/>
      </c>
      <c r="B2350" s="233" t="inlineStr">
        <is>
          <t>448700</t>
        </is>
      </c>
      <c r="C2350" s="227" t="inlineStr">
        <is>
          <t>Etat - produits à recevoir</t>
        </is>
      </c>
      <c r="F2350" s="227" t="inlineStr">
        <is>
          <t>TURVILLA</t>
        </is>
      </c>
    </row>
    <row r="2351">
      <c r="A2351" s="227">
        <f>TL[[#This Row],[Société]]&amp;" - "&amp;TL[[#This Row],[Compte]]</f>
        <v/>
      </c>
      <c r="B2351" s="233" t="inlineStr">
        <is>
          <t>451000</t>
        </is>
      </c>
      <c r="C2351" s="227" t="inlineStr">
        <is>
          <t>Compte groupe</t>
        </is>
      </c>
      <c r="F2351" s="227" t="inlineStr">
        <is>
          <t>TURVILLA</t>
        </is>
      </c>
    </row>
    <row r="2352">
      <c r="A2352" s="227">
        <f>TL[[#This Row],[Société]]&amp;" - "&amp;TL[[#This Row],[Compte]]</f>
        <v/>
      </c>
      <c r="B2352" s="233" t="inlineStr">
        <is>
          <t>451100</t>
        </is>
      </c>
      <c r="C2352" s="227" t="inlineStr">
        <is>
          <t>Compte courant nbr</t>
        </is>
      </c>
      <c r="F2352" s="227" t="inlineStr">
        <is>
          <t>TURVILLA</t>
        </is>
      </c>
    </row>
    <row r="2353">
      <c r="A2353" s="227">
        <f>TL[[#This Row],[Société]]&amp;" - "&amp;TL[[#This Row],[Compte]]</f>
        <v/>
      </c>
      <c r="B2353" s="233" t="inlineStr">
        <is>
          <t>455000</t>
        </is>
      </c>
      <c r="C2353" s="227" t="inlineStr">
        <is>
          <t>Compte courant regis rego de sebes</t>
        </is>
      </c>
      <c r="F2353" s="227" t="inlineStr">
        <is>
          <t>TURVILLA</t>
        </is>
      </c>
    </row>
    <row r="2354">
      <c r="A2354" s="227">
        <f>TL[[#This Row],[Société]]&amp;" - "&amp;TL[[#This Row],[Compte]]</f>
        <v/>
      </c>
      <c r="B2354" s="233" t="inlineStr">
        <is>
          <t>455100</t>
        </is>
      </c>
      <c r="C2354" s="227" t="inlineStr">
        <is>
          <t>Associés - comptes courants RTH76</t>
        </is>
      </c>
      <c r="F2354" s="227" t="inlineStr">
        <is>
          <t>TURVILLA</t>
        </is>
      </c>
    </row>
    <row r="2355">
      <c r="A2355" s="227">
        <f>TL[[#This Row],[Société]]&amp;" - "&amp;TL[[#This Row],[Compte]]</f>
        <v/>
      </c>
      <c r="B2355" s="233" t="inlineStr">
        <is>
          <t>455200</t>
        </is>
      </c>
      <c r="C2355" s="227" t="inlineStr">
        <is>
          <t>Cc berenice</t>
        </is>
      </c>
      <c r="F2355" s="227" t="inlineStr">
        <is>
          <t>TURVILLA</t>
        </is>
      </c>
    </row>
    <row r="2356">
      <c r="A2356" s="227">
        <f>TL[[#This Row],[Société]]&amp;" - "&amp;TL[[#This Row],[Compte]]</f>
        <v/>
      </c>
      <c r="B2356" s="233" t="inlineStr">
        <is>
          <t>455300</t>
        </is>
      </c>
      <c r="C2356" s="227" t="inlineStr">
        <is>
          <t>Compte courant Mungu</t>
        </is>
      </c>
      <c r="F2356" s="227" t="inlineStr">
        <is>
          <t>TURVILLA</t>
        </is>
      </c>
    </row>
    <row r="2357">
      <c r="A2357" s="227">
        <f>TL[[#This Row],[Société]]&amp;" - "&amp;TL[[#This Row],[Compte]]</f>
        <v/>
      </c>
      <c r="B2357" s="233" t="inlineStr">
        <is>
          <t>455800</t>
        </is>
      </c>
      <c r="C2357" s="227" t="inlineStr">
        <is>
          <t>Interets cc RTH76</t>
        </is>
      </c>
      <c r="F2357" s="227" t="inlineStr">
        <is>
          <t>TURVILLA</t>
        </is>
      </c>
    </row>
    <row r="2358">
      <c r="A2358" s="227">
        <f>TL[[#This Row],[Société]]&amp;" - "&amp;TL[[#This Row],[Compte]]</f>
        <v/>
      </c>
      <c r="B2358" s="233" t="inlineStr">
        <is>
          <t>457000</t>
        </is>
      </c>
      <c r="C2358" s="227" t="inlineStr">
        <is>
          <t>Associés - dividendes à payer</t>
        </is>
      </c>
      <c r="F2358" s="227" t="inlineStr">
        <is>
          <t>TURVILLA</t>
        </is>
      </c>
    </row>
    <row r="2359">
      <c r="A2359" s="227">
        <f>TL[[#This Row],[Société]]&amp;" - "&amp;TL[[#This Row],[Compte]]</f>
        <v/>
      </c>
      <c r="B2359" s="233" t="inlineStr">
        <is>
          <t>467000</t>
        </is>
      </c>
      <c r="C2359" s="227" t="inlineStr">
        <is>
          <t>Autres comptes débiteurs/créditeurs</t>
        </is>
      </c>
      <c r="F2359" s="227" t="inlineStr">
        <is>
          <t>TURVILLA</t>
        </is>
      </c>
    </row>
    <row r="2360">
      <c r="A2360" s="227">
        <f>TL[[#This Row],[Société]]&amp;" - "&amp;TL[[#This Row],[Compte]]</f>
        <v/>
      </c>
      <c r="B2360" s="233" t="inlineStr">
        <is>
          <t>467100</t>
        </is>
      </c>
      <c r="C2360" s="227" t="inlineStr">
        <is>
          <t>Remise tr</t>
        </is>
      </c>
      <c r="F2360" s="227" t="inlineStr">
        <is>
          <t>TURVILLA</t>
        </is>
      </c>
    </row>
    <row r="2361">
      <c r="A2361" s="227">
        <f>TL[[#This Row],[Société]]&amp;" - "&amp;TL[[#This Row],[Compte]]</f>
        <v/>
      </c>
      <c r="B2361" s="233" t="inlineStr">
        <is>
          <t>467200</t>
        </is>
      </c>
      <c r="C2361" s="227" t="inlineStr">
        <is>
          <t>Remise ticket restaurant dematerial</t>
        </is>
      </c>
      <c r="F2361" s="227" t="inlineStr">
        <is>
          <t>TURVILLA</t>
        </is>
      </c>
    </row>
    <row r="2362">
      <c r="A2362" s="227">
        <f>TL[[#This Row],[Société]]&amp;" - "&amp;TL[[#This Row],[Compte]]</f>
        <v/>
      </c>
      <c r="B2362" s="233" t="inlineStr">
        <is>
          <t>467220</t>
        </is>
      </c>
      <c r="C2362" s="227" t="inlineStr">
        <is>
          <t>Ecart cb</t>
        </is>
      </c>
      <c r="F2362" s="227" t="inlineStr">
        <is>
          <t>TURVILLA</t>
        </is>
      </c>
    </row>
    <row r="2363">
      <c r="A2363" s="227">
        <f>TL[[#This Row],[Société]]&amp;" - "&amp;TL[[#This Row],[Compte]]</f>
        <v/>
      </c>
      <c r="B2363" s="233" t="inlineStr">
        <is>
          <t>467230</t>
        </is>
      </c>
      <c r="C2363" s="227" t="inlineStr">
        <is>
          <t>Ecart s/ remise tr</t>
        </is>
      </c>
      <c r="F2363" s="227" t="inlineStr">
        <is>
          <t>TURVILLA</t>
        </is>
      </c>
    </row>
    <row r="2364">
      <c r="A2364" s="227">
        <f>TL[[#This Row],[Société]]&amp;" - "&amp;TL[[#This Row],[Compte]]</f>
        <v/>
      </c>
      <c r="B2364" s="233" t="inlineStr">
        <is>
          <t>467240</t>
        </is>
      </c>
      <c r="C2364" s="227" t="inlineStr">
        <is>
          <t>Ecart s/ remises especes</t>
        </is>
      </c>
      <c r="F2364" s="227" t="inlineStr">
        <is>
          <t>TURVILLA</t>
        </is>
      </c>
    </row>
    <row r="2365">
      <c r="A2365" s="227">
        <f>TL[[#This Row],[Société]]&amp;" - "&amp;TL[[#This Row],[Compte]]</f>
        <v/>
      </c>
      <c r="B2365" s="233" t="inlineStr">
        <is>
          <t>467250</t>
        </is>
      </c>
      <c r="C2365" s="227" t="inlineStr">
        <is>
          <t>Ecart s/remise cv</t>
        </is>
      </c>
      <c r="F2365" s="227" t="inlineStr">
        <is>
          <t>TURVILLA</t>
        </is>
      </c>
    </row>
    <row r="2366">
      <c r="A2366" s="227">
        <f>TL[[#This Row],[Société]]&amp;" - "&amp;TL[[#This Row],[Compte]]</f>
        <v/>
      </c>
      <c r="B2366" s="233" t="inlineStr">
        <is>
          <t>467260</t>
        </is>
      </c>
      <c r="C2366" s="227" t="inlineStr">
        <is>
          <t>Ecart remise cheques</t>
        </is>
      </c>
      <c r="F2366" s="227" t="inlineStr">
        <is>
          <t>TURVILLA</t>
        </is>
      </c>
    </row>
    <row r="2367">
      <c r="A2367" s="227">
        <f>TL[[#This Row],[Société]]&amp;" - "&amp;TL[[#This Row],[Compte]]</f>
        <v/>
      </c>
      <c r="B2367" s="233" t="inlineStr">
        <is>
          <t>467270</t>
        </is>
      </c>
      <c r="C2367" s="227" t="inlineStr">
        <is>
          <t>Ecart uber</t>
        </is>
      </c>
      <c r="F2367" s="227" t="inlineStr">
        <is>
          <t>TURVILLA</t>
        </is>
      </c>
    </row>
    <row r="2368">
      <c r="A2368" s="227">
        <f>TL[[#This Row],[Société]]&amp;" - "&amp;TL[[#This Row],[Compte]]</f>
        <v/>
      </c>
      <c r="B2368" s="233" t="inlineStr">
        <is>
          <t>467280</t>
        </is>
      </c>
      <c r="C2368" s="227" t="inlineStr">
        <is>
          <t>Ecart Lyv eat</t>
        </is>
      </c>
      <c r="F2368" s="227" t="inlineStr">
        <is>
          <t>TURVILLA</t>
        </is>
      </c>
    </row>
    <row r="2369">
      <c r="A2369" s="227">
        <f>TL[[#This Row],[Société]]&amp;" - "&amp;TL[[#This Row],[Compte]]</f>
        <v/>
      </c>
      <c r="B2369" s="233" t="inlineStr">
        <is>
          <t>467300</t>
        </is>
      </c>
      <c r="C2369" s="227" t="inlineStr">
        <is>
          <t>Remise chqs ancv</t>
        </is>
      </c>
      <c r="F2369" s="227" t="inlineStr">
        <is>
          <t>TURVILLA</t>
        </is>
      </c>
    </row>
    <row r="2370">
      <c r="A2370" s="227">
        <f>TL[[#This Row],[Société]]&amp;" - "&amp;TL[[#This Row],[Compte]]</f>
        <v/>
      </c>
      <c r="B2370" s="233" t="inlineStr">
        <is>
          <t>467350</t>
        </is>
      </c>
      <c r="C2370" s="227" t="inlineStr">
        <is>
          <t>Hart</t>
        </is>
      </c>
      <c r="F2370" s="227" t="inlineStr">
        <is>
          <t>TURVILLA</t>
        </is>
      </c>
    </row>
    <row r="2371">
      <c r="A2371" s="227">
        <f>TL[[#This Row],[Société]]&amp;" - "&amp;TL[[#This Row],[Compte]]</f>
        <v/>
      </c>
      <c r="B2371" s="233" t="inlineStr">
        <is>
          <t>467360</t>
        </is>
      </c>
      <c r="C2371" s="227" t="inlineStr">
        <is>
          <t>Hart</t>
        </is>
      </c>
      <c r="F2371" s="227" t="inlineStr">
        <is>
          <t>TURVILLA</t>
        </is>
      </c>
    </row>
    <row r="2372">
      <c r="A2372" s="227">
        <f>TL[[#This Row],[Société]]&amp;" - "&amp;TL[[#This Row],[Compte]]</f>
        <v/>
      </c>
      <c r="B2372" s="233" t="inlineStr">
        <is>
          <t>467370</t>
        </is>
      </c>
      <c r="C2372" s="227" t="inlineStr">
        <is>
          <t>Rth76</t>
        </is>
      </c>
      <c r="F2372" s="227" t="inlineStr">
        <is>
          <t>TURVILLA</t>
        </is>
      </c>
    </row>
    <row r="2373">
      <c r="A2373" s="227">
        <f>TL[[#This Row],[Société]]&amp;" - "&amp;TL[[#This Row],[Compte]]</f>
        <v/>
      </c>
      <c r="B2373" s="233" t="inlineStr">
        <is>
          <t>467500</t>
        </is>
      </c>
      <c r="C2373" s="227" t="inlineStr">
        <is>
          <t>Urnes fondat¦ ronald mc  donalds</t>
        </is>
      </c>
      <c r="F2373" s="227" t="inlineStr">
        <is>
          <t>TURVILLA</t>
        </is>
      </c>
    </row>
    <row r="2374">
      <c r="A2374" s="227">
        <f>TL[[#This Row],[Société]]&amp;" - "&amp;TL[[#This Row],[Compte]]</f>
        <v/>
      </c>
      <c r="B2374" s="233" t="inlineStr">
        <is>
          <t>468700</t>
        </is>
      </c>
      <c r="C2374" s="227" t="inlineStr">
        <is>
          <t>Divers prod. a recevoir</t>
        </is>
      </c>
      <c r="F2374" s="227" t="inlineStr">
        <is>
          <t>TURVILLA</t>
        </is>
      </c>
    </row>
    <row r="2375">
      <c r="A2375" s="227">
        <f>TL[[#This Row],[Société]]&amp;" - "&amp;TL[[#This Row],[Compte]]</f>
        <v/>
      </c>
      <c r="B2375" s="233" t="inlineStr">
        <is>
          <t>471000</t>
        </is>
      </c>
      <c r="C2375" s="227" t="inlineStr">
        <is>
          <t>Compte général d'attente</t>
        </is>
      </c>
      <c r="F2375" s="227" t="inlineStr">
        <is>
          <t>TURVILLA</t>
        </is>
      </c>
    </row>
    <row r="2376">
      <c r="A2376" s="227">
        <f>TL[[#This Row],[Société]]&amp;" - "&amp;TL[[#This Row],[Compte]]</f>
        <v/>
      </c>
      <c r="B2376" s="233" t="inlineStr">
        <is>
          <t>486000</t>
        </is>
      </c>
      <c r="C2376" s="227" t="inlineStr">
        <is>
          <t>Charges constatées d'avance</t>
        </is>
      </c>
      <c r="F2376" s="227" t="inlineStr">
        <is>
          <t>TURVILLA</t>
        </is>
      </c>
    </row>
    <row r="2377">
      <c r="A2377" s="227">
        <f>TL[[#This Row],[Société]]&amp;" - "&amp;TL[[#This Row],[Compte]]</f>
        <v/>
      </c>
      <c r="B2377" s="233" t="inlineStr">
        <is>
          <t>486015</t>
        </is>
      </c>
      <c r="C2377" s="227" t="inlineStr">
        <is>
          <t>Cca publicite</t>
        </is>
      </c>
      <c r="F2377" s="227" t="inlineStr">
        <is>
          <t>TURVILLA</t>
        </is>
      </c>
    </row>
    <row r="2378">
      <c r="A2378" s="227">
        <f>TL[[#This Row],[Société]]&amp;" - "&amp;TL[[#This Row],[Compte]]</f>
        <v/>
      </c>
      <c r="B2378" s="233" t="inlineStr">
        <is>
          <t>486016</t>
        </is>
      </c>
      <c r="C2378" s="227" t="inlineStr">
        <is>
          <t>Cca services exterieurs</t>
        </is>
      </c>
      <c r="F2378" s="227" t="inlineStr">
        <is>
          <t>TURVILLA</t>
        </is>
      </c>
    </row>
    <row r="2379">
      <c r="A2379" s="227">
        <f>TL[[#This Row],[Société]]&amp;" - "&amp;TL[[#This Row],[Compte]]</f>
        <v/>
      </c>
      <c r="B2379" s="233" t="inlineStr">
        <is>
          <t>486033</t>
        </is>
      </c>
      <c r="C2379" s="227" t="inlineStr">
        <is>
          <t>Cca assurances</t>
        </is>
      </c>
      <c r="F2379" s="227" t="inlineStr">
        <is>
          <t>TURVILLA</t>
        </is>
      </c>
    </row>
    <row r="2380">
      <c r="A2380" s="227">
        <f>TL[[#This Row],[Société]]&amp;" - "&amp;TL[[#This Row],[Compte]]</f>
        <v/>
      </c>
      <c r="B2380" s="233" t="inlineStr">
        <is>
          <t>487000</t>
        </is>
      </c>
      <c r="C2380" s="227" t="inlineStr">
        <is>
          <t>Produits constatés d'avance</t>
        </is>
      </c>
      <c r="F2380" s="227" t="inlineStr">
        <is>
          <t>TURVILLA</t>
        </is>
      </c>
    </row>
    <row r="2381">
      <c r="A2381" s="227">
        <f>TL[[#This Row],[Société]]&amp;" - "&amp;TL[[#This Row],[Compte]]</f>
        <v/>
      </c>
      <c r="B2381" s="233" t="inlineStr">
        <is>
          <t>488631</t>
        </is>
      </c>
      <c r="C2381" s="227" t="inlineStr">
        <is>
          <t>Abonnement taxe handicapé</t>
        </is>
      </c>
      <c r="F2381" s="227" t="inlineStr">
        <is>
          <t>TURVILLA</t>
        </is>
      </c>
    </row>
    <row r="2382">
      <c r="A2382" s="227">
        <f>TL[[#This Row],[Société]]&amp;" - "&amp;TL[[#This Row],[Compte]]</f>
        <v/>
      </c>
      <c r="B2382" s="233" t="inlineStr">
        <is>
          <t>488635</t>
        </is>
      </c>
      <c r="C2382" s="227" t="inlineStr">
        <is>
          <t>Abonnement CET</t>
        </is>
      </c>
      <c r="F2382" s="227" t="inlineStr">
        <is>
          <t>TURVILLA</t>
        </is>
      </c>
    </row>
    <row r="2383">
      <c r="A2383" s="227">
        <f>TL[[#This Row],[Société]]&amp;" - "&amp;TL[[#This Row],[Compte]]</f>
        <v/>
      </c>
      <c r="B2383" s="233" t="inlineStr">
        <is>
          <t>488647</t>
        </is>
      </c>
      <c r="C2383" s="227" t="inlineStr">
        <is>
          <t>Abonnement CE</t>
        </is>
      </c>
      <c r="F2383" s="227" t="inlineStr">
        <is>
          <t>TURVILLA</t>
        </is>
      </c>
    </row>
    <row r="2384">
      <c r="A2384" s="227">
        <f>TL[[#This Row],[Société]]&amp;" - "&amp;TL[[#This Row],[Compte]]</f>
        <v/>
      </c>
      <c r="B2384" s="233" t="inlineStr">
        <is>
          <t>488681</t>
        </is>
      </c>
      <c r="C2384" s="227" t="inlineStr">
        <is>
          <t>Abonnement dotation</t>
        </is>
      </c>
      <c r="F2384" s="227" t="inlineStr">
        <is>
          <t>TURVILLA</t>
        </is>
      </c>
    </row>
    <row r="2385">
      <c r="A2385" s="227">
        <f>TL[[#This Row],[Société]]&amp;" - "&amp;TL[[#This Row],[Compte]]</f>
        <v/>
      </c>
      <c r="B2385" s="233" t="inlineStr">
        <is>
          <t>508000</t>
        </is>
      </c>
      <c r="C2385" s="227" t="inlineStr">
        <is>
          <t>Aut.val.mob.crean.assimil.</t>
        </is>
      </c>
      <c r="F2385" s="227" t="inlineStr">
        <is>
          <t>TURVILLA</t>
        </is>
      </c>
    </row>
    <row r="2386">
      <c r="A2386" s="227">
        <f>TL[[#This Row],[Société]]&amp;" - "&amp;TL[[#This Row],[Compte]]</f>
        <v/>
      </c>
      <c r="B2386" s="233" t="inlineStr">
        <is>
          <t>508100</t>
        </is>
      </c>
      <c r="C2386" s="227" t="inlineStr">
        <is>
          <t>Titres de placement</t>
        </is>
      </c>
      <c r="F2386" s="227" t="inlineStr">
        <is>
          <t>TURVILLA</t>
        </is>
      </c>
    </row>
    <row r="2387">
      <c r="A2387" s="227">
        <f>TL[[#This Row],[Société]]&amp;" - "&amp;TL[[#This Row],[Compte]]</f>
        <v/>
      </c>
      <c r="B2387" s="233" t="inlineStr">
        <is>
          <t>511200</t>
        </is>
      </c>
      <c r="C2387" s="227" t="inlineStr">
        <is>
          <t>Tickets restaurant</t>
        </is>
      </c>
      <c r="F2387" s="227" t="inlineStr">
        <is>
          <t>TURVILLA</t>
        </is>
      </c>
    </row>
    <row r="2388">
      <c r="A2388" s="227">
        <f>TL[[#This Row],[Société]]&amp;" - "&amp;TL[[#This Row],[Compte]]</f>
        <v/>
      </c>
      <c r="B2388" s="233" t="inlineStr">
        <is>
          <t>511210</t>
        </is>
      </c>
      <c r="C2388" s="227" t="inlineStr">
        <is>
          <t>Trd</t>
        </is>
      </c>
      <c r="F2388" s="227" t="inlineStr">
        <is>
          <t>TURVILLA</t>
        </is>
      </c>
    </row>
    <row r="2389">
      <c r="A2389" s="227">
        <f>TL[[#This Row],[Société]]&amp;" - "&amp;TL[[#This Row],[Compte]]</f>
        <v/>
      </c>
      <c r="B2389" s="233" t="inlineStr">
        <is>
          <t>511230</t>
        </is>
      </c>
      <c r="C2389" s="227" t="inlineStr">
        <is>
          <t>Remises de chèques</t>
        </is>
      </c>
      <c r="F2389" s="227" t="inlineStr">
        <is>
          <t>TURVILLA</t>
        </is>
      </c>
    </row>
    <row r="2390">
      <c r="A2390" s="227">
        <f>TL[[#This Row],[Société]]&amp;" - "&amp;TL[[#This Row],[Compte]]</f>
        <v/>
      </c>
      <c r="B2390" s="233" t="inlineStr">
        <is>
          <t>511250</t>
        </is>
      </c>
      <c r="C2390" s="227" t="inlineStr">
        <is>
          <t>Cartes bleues</t>
        </is>
      </c>
      <c r="F2390" s="227" t="inlineStr">
        <is>
          <t>TURVILLA</t>
        </is>
      </c>
    </row>
    <row r="2391">
      <c r="A2391" s="227">
        <f>TL[[#This Row],[Société]]&amp;" - "&amp;TL[[#This Row],[Compte]]</f>
        <v/>
      </c>
      <c r="B2391" s="233" t="inlineStr">
        <is>
          <t>511251</t>
        </is>
      </c>
      <c r="C2391" s="227" t="inlineStr">
        <is>
          <t>Paypal</t>
        </is>
      </c>
      <c r="F2391" s="227" t="inlineStr">
        <is>
          <t>TURVILLA</t>
        </is>
      </c>
    </row>
    <row r="2392">
      <c r="A2392" s="227">
        <f>TL[[#This Row],[Société]]&amp;" - "&amp;TL[[#This Row],[Compte]]</f>
        <v/>
      </c>
      <c r="B2392" s="233" t="inlineStr">
        <is>
          <t>511252</t>
        </is>
      </c>
      <c r="C2392" s="227" t="inlineStr">
        <is>
          <t>UBER</t>
        </is>
      </c>
      <c r="F2392" s="227" t="inlineStr">
        <is>
          <t>TURVILLA</t>
        </is>
      </c>
    </row>
    <row r="2393">
      <c r="A2393" s="227">
        <f>TL[[#This Row],[Société]]&amp;" - "&amp;TL[[#This Row],[Compte]]</f>
        <v/>
      </c>
      <c r="B2393" s="233" t="inlineStr">
        <is>
          <t>511253</t>
        </is>
      </c>
      <c r="C2393" s="227" t="inlineStr">
        <is>
          <t>Delivroo</t>
        </is>
      </c>
      <c r="F2393" s="227" t="inlineStr">
        <is>
          <t>TURVILLA</t>
        </is>
      </c>
    </row>
    <row r="2394">
      <c r="A2394" s="227">
        <f>TL[[#This Row],[Société]]&amp;" - "&amp;TL[[#This Row],[Compte]]</f>
        <v/>
      </c>
      <c r="B2394" s="233" t="inlineStr">
        <is>
          <t>511254</t>
        </is>
      </c>
      <c r="C2394" s="227" t="inlineStr">
        <is>
          <t>LYVEAT</t>
        </is>
      </c>
      <c r="F2394" s="227" t="inlineStr">
        <is>
          <t>TURVILLA</t>
        </is>
      </c>
    </row>
    <row r="2395">
      <c r="A2395" s="227">
        <f>TL[[#This Row],[Société]]&amp;" - "&amp;TL[[#This Row],[Compte]]</f>
        <v/>
      </c>
      <c r="B2395" s="233" t="inlineStr">
        <is>
          <t>511260</t>
        </is>
      </c>
      <c r="C2395" s="227" t="inlineStr">
        <is>
          <t>Cheques vacances</t>
        </is>
      </c>
      <c r="F2395" s="227" t="inlineStr">
        <is>
          <t>TURVILLA</t>
        </is>
      </c>
    </row>
    <row r="2396">
      <c r="A2396" s="227">
        <f>TL[[#This Row],[Société]]&amp;" - "&amp;TL[[#This Row],[Compte]]</f>
        <v/>
      </c>
      <c r="B2396" s="233" t="inlineStr">
        <is>
          <t>511261</t>
        </is>
      </c>
      <c r="C2396" s="227" t="inlineStr">
        <is>
          <t>ventes 16/02</t>
        </is>
      </c>
      <c r="F2396" s="227" t="inlineStr">
        <is>
          <t>TURVILLA</t>
        </is>
      </c>
    </row>
    <row r="2397">
      <c r="A2397" s="227">
        <f>TL[[#This Row],[Société]]&amp;" - "&amp;TL[[#This Row],[Compte]]</f>
        <v/>
      </c>
      <c r="B2397" s="233" t="inlineStr">
        <is>
          <t>511701</t>
        </is>
      </c>
      <c r="C2397" s="227" t="inlineStr">
        <is>
          <t>Chèques émis Crédit Agricole</t>
        </is>
      </c>
      <c r="F2397" s="227" t="inlineStr">
        <is>
          <t>TURVILLA</t>
        </is>
      </c>
    </row>
    <row r="2398">
      <c r="A2398" s="227">
        <f>TL[[#This Row],[Société]]&amp;" - "&amp;TL[[#This Row],[Compte]]</f>
        <v/>
      </c>
      <c r="B2398" s="233" t="inlineStr">
        <is>
          <t>511702</t>
        </is>
      </c>
      <c r="C2398" s="227" t="inlineStr">
        <is>
          <t>Chèques émis crca</t>
        </is>
      </c>
      <c r="F2398" s="227" t="inlineStr">
        <is>
          <t>TURVILLA</t>
        </is>
      </c>
    </row>
    <row r="2399">
      <c r="A2399" s="227">
        <f>TL[[#This Row],[Société]]&amp;" - "&amp;TL[[#This Row],[Compte]]</f>
        <v/>
      </c>
      <c r="B2399" s="233" t="inlineStr">
        <is>
          <t>512000</t>
        </is>
      </c>
      <c r="C2399" s="227" t="inlineStr">
        <is>
          <t>B.n.p</t>
        </is>
      </c>
      <c r="F2399" s="227" t="inlineStr">
        <is>
          <t>TURVILLA</t>
        </is>
      </c>
    </row>
    <row r="2400">
      <c r="A2400" s="227">
        <f>TL[[#This Row],[Société]]&amp;" - "&amp;TL[[#This Row],[Compte]]</f>
        <v/>
      </c>
      <c r="B2400" s="233" t="inlineStr">
        <is>
          <t>512001</t>
        </is>
      </c>
      <c r="C2400" s="227" t="inlineStr">
        <is>
          <t>Cdn</t>
        </is>
      </c>
      <c r="F2400" s="227" t="inlineStr">
        <is>
          <t>TURVILLA</t>
        </is>
      </c>
    </row>
    <row r="2401">
      <c r="A2401" s="227">
        <f>TL[[#This Row],[Société]]&amp;" - "&amp;TL[[#This Row],[Compte]]</f>
        <v/>
      </c>
      <c r="B2401" s="233" t="inlineStr">
        <is>
          <t>512003</t>
        </is>
      </c>
      <c r="C2401" s="227" t="inlineStr">
        <is>
          <t>Ce-excedent professionnel</t>
        </is>
      </c>
      <c r="F2401" s="227" t="inlineStr">
        <is>
          <t>TURVILLA</t>
        </is>
      </c>
    </row>
    <row r="2402">
      <c r="A2402" s="227">
        <f>TL[[#This Row],[Société]]&amp;" - "&amp;TL[[#This Row],[Compte]]</f>
        <v/>
      </c>
      <c r="B2402" s="233" t="inlineStr">
        <is>
          <t>512004</t>
        </is>
      </c>
      <c r="C2402" s="227" t="inlineStr">
        <is>
          <t>Caisse d'Epargne</t>
        </is>
      </c>
      <c r="F2402" s="227" t="inlineStr">
        <is>
          <t>TURVILLA</t>
        </is>
      </c>
    </row>
    <row r="2403">
      <c r="A2403" s="227">
        <f>TL[[#This Row],[Société]]&amp;" - "&amp;TL[[#This Row],[Compte]]</f>
        <v/>
      </c>
      <c r="B2403" s="233" t="inlineStr">
        <is>
          <t>512040</t>
        </is>
      </c>
      <c r="C2403" s="227" t="inlineStr">
        <is>
          <t>Crédit Agricole</t>
        </is>
      </c>
      <c r="F2403" s="227" t="inlineStr">
        <is>
          <t>TURVILLA</t>
        </is>
      </c>
    </row>
    <row r="2404">
      <c r="A2404" s="227">
        <f>TL[[#This Row],[Société]]&amp;" - "&amp;TL[[#This Row],[Compte]]</f>
        <v/>
      </c>
      <c r="B2404" s="233" t="inlineStr">
        <is>
          <t>512100</t>
        </is>
      </c>
      <c r="C2404" s="227" t="inlineStr">
        <is>
          <t>Crédit Agricole</t>
        </is>
      </c>
      <c r="F2404" s="227" t="inlineStr">
        <is>
          <t>TURVILLA</t>
        </is>
      </c>
    </row>
    <row r="2405">
      <c r="A2405" s="227">
        <f>TL[[#This Row],[Société]]&amp;" - "&amp;TL[[#This Row],[Compte]]</f>
        <v/>
      </c>
      <c r="B2405" s="233" t="inlineStr">
        <is>
          <t>512300</t>
        </is>
      </c>
      <c r="C2405" s="227" t="inlineStr">
        <is>
          <t>Caisse d epargne</t>
        </is>
      </c>
      <c r="F2405" s="227" t="inlineStr">
        <is>
          <t>TURVILLA</t>
        </is>
      </c>
    </row>
    <row r="2406">
      <c r="A2406" s="227">
        <f>TL[[#This Row],[Société]]&amp;" - "&amp;TL[[#This Row],[Compte]]</f>
        <v/>
      </c>
      <c r="B2406" s="233" t="inlineStr">
        <is>
          <t>518600</t>
        </is>
      </c>
      <c r="C2406" s="227" t="inlineStr">
        <is>
          <t>Agios courus a payer</t>
        </is>
      </c>
      <c r="F2406" s="227" t="inlineStr">
        <is>
          <t>TURVILLA</t>
        </is>
      </c>
    </row>
    <row r="2407">
      <c r="A2407" s="227">
        <f>TL[[#This Row],[Société]]&amp;" - "&amp;TL[[#This Row],[Compte]]</f>
        <v/>
      </c>
      <c r="B2407" s="233" t="inlineStr">
        <is>
          <t>518800</t>
        </is>
      </c>
      <c r="C2407" s="227" t="inlineStr">
        <is>
          <t>Banque - intérêts courus à recevoir</t>
        </is>
      </c>
      <c r="F2407" s="227" t="inlineStr">
        <is>
          <t>TURVILLA</t>
        </is>
      </c>
    </row>
    <row r="2408">
      <c r="A2408" s="227">
        <f>TL[[#This Row],[Société]]&amp;" - "&amp;TL[[#This Row],[Compte]]</f>
        <v/>
      </c>
      <c r="B2408" s="233" t="inlineStr">
        <is>
          <t>530000</t>
        </is>
      </c>
      <c r="C2408" s="227" t="inlineStr">
        <is>
          <t>Petite caisse</t>
        </is>
      </c>
      <c r="F2408" s="227" t="inlineStr">
        <is>
          <t>TURVILLA</t>
        </is>
      </c>
    </row>
    <row r="2409">
      <c r="A2409" s="227">
        <f>TL[[#This Row],[Société]]&amp;" - "&amp;TL[[#This Row],[Compte]]</f>
        <v/>
      </c>
      <c r="B2409" s="233" t="inlineStr">
        <is>
          <t>530001</t>
        </is>
      </c>
      <c r="C2409" s="227" t="inlineStr">
        <is>
          <t>Fonds de coffre</t>
        </is>
      </c>
      <c r="F2409" s="227" t="inlineStr">
        <is>
          <t>TURVILLA</t>
        </is>
      </c>
    </row>
    <row r="2410">
      <c r="A2410" s="227">
        <f>TL[[#This Row],[Société]]&amp;" - "&amp;TL[[#This Row],[Compte]]</f>
        <v/>
      </c>
      <c r="B2410" s="233" t="inlineStr">
        <is>
          <t>530200</t>
        </is>
      </c>
      <c r="C2410" s="227" t="inlineStr">
        <is>
          <t>Caisse coffre</t>
        </is>
      </c>
      <c r="F2410" s="227" t="inlineStr">
        <is>
          <t>TURVILLA</t>
        </is>
      </c>
    </row>
    <row r="2411">
      <c r="A2411" s="227">
        <f>TL[[#This Row],[Société]]&amp;" - "&amp;TL[[#This Row],[Compte]]</f>
        <v/>
      </c>
      <c r="B2411" s="233" t="inlineStr">
        <is>
          <t>531000</t>
        </is>
      </c>
      <c r="C2411" s="227" t="inlineStr">
        <is>
          <t>Petite caisse</t>
        </is>
      </c>
      <c r="F2411" s="227" t="inlineStr">
        <is>
          <t>TURVILLA</t>
        </is>
      </c>
    </row>
    <row r="2412">
      <c r="A2412" s="227">
        <f>TL[[#This Row],[Société]]&amp;" - "&amp;TL[[#This Row],[Compte]]</f>
        <v/>
      </c>
      <c r="B2412" s="233" t="inlineStr">
        <is>
          <t>580000</t>
        </is>
      </c>
      <c r="C2412" s="227" t="inlineStr">
        <is>
          <t>Versement especes</t>
        </is>
      </c>
      <c r="F2412" s="227" t="inlineStr">
        <is>
          <t>TURVILLA</t>
        </is>
      </c>
    </row>
    <row r="2413">
      <c r="A2413" s="227">
        <f>TL[[#This Row],[Société]]&amp;" - "&amp;TL[[#This Row],[Compte]]</f>
        <v/>
      </c>
      <c r="B2413" s="233" t="inlineStr">
        <is>
          <t>580001</t>
        </is>
      </c>
      <c r="C2413" s="227" t="inlineStr">
        <is>
          <t>Virement monnaie</t>
        </is>
      </c>
      <c r="F2413" s="227" t="inlineStr">
        <is>
          <t>TURVILLA</t>
        </is>
      </c>
    </row>
    <row r="2414">
      <c r="A2414" s="227">
        <f>TL[[#This Row],[Société]]&amp;" - "&amp;TL[[#This Row],[Compte]]</f>
        <v/>
      </c>
      <c r="B2414" s="233" t="inlineStr">
        <is>
          <t>580003</t>
        </is>
      </c>
      <c r="C2414" s="227" t="inlineStr">
        <is>
          <t>Virement interne</t>
        </is>
      </c>
      <c r="F2414" s="227" t="inlineStr">
        <is>
          <t>TURVILLA</t>
        </is>
      </c>
    </row>
    <row r="2415">
      <c r="A2415" s="227">
        <f>TL[[#This Row],[Société]]&amp;" - "&amp;TL[[#This Row],[Compte]]</f>
        <v/>
      </c>
      <c r="B2415" s="233" t="inlineStr">
        <is>
          <t>580100</t>
        </is>
      </c>
      <c r="C2415" s="227" t="inlineStr">
        <is>
          <t>Remise de cheques</t>
        </is>
      </c>
      <c r="F2415" s="227" t="inlineStr">
        <is>
          <t>TURVILLA</t>
        </is>
      </c>
    </row>
    <row r="2416">
      <c r="A2416" s="227">
        <f>TL[[#This Row],[Société]]&amp;" - "&amp;TL[[#This Row],[Compte]]</f>
        <v/>
      </c>
      <c r="B2416" s="233" t="inlineStr">
        <is>
          <t>580200</t>
        </is>
      </c>
      <c r="C2416" s="227" t="inlineStr">
        <is>
          <t>Remise carte bleue</t>
        </is>
      </c>
      <c r="F2416" s="227" t="inlineStr">
        <is>
          <t>TURVILLA</t>
        </is>
      </c>
    </row>
    <row r="2417">
      <c r="A2417" s="227">
        <f>TL[[#This Row],[Société]]&amp;" - "&amp;TL[[#This Row],[Compte]]</f>
        <v/>
      </c>
      <c r="B2417" s="233" t="inlineStr">
        <is>
          <t>580300</t>
        </is>
      </c>
      <c r="C2417" s="227" t="inlineStr">
        <is>
          <t>Remise paypal</t>
        </is>
      </c>
      <c r="F2417" s="227" t="inlineStr">
        <is>
          <t>TURVILLA</t>
        </is>
      </c>
    </row>
    <row r="2418">
      <c r="A2418" s="227">
        <f>TL[[#This Row],[Société]]&amp;" - "&amp;TL[[#This Row],[Compte]]</f>
        <v/>
      </c>
      <c r="B2418" s="233" t="inlineStr">
        <is>
          <t>581000</t>
        </is>
      </c>
      <c r="C2418" s="227" t="inlineStr">
        <is>
          <t>Versement espèces</t>
        </is>
      </c>
      <c r="F2418" s="227" t="inlineStr">
        <is>
          <t>TURVILLA</t>
        </is>
      </c>
    </row>
    <row r="2419">
      <c r="A2419" s="227">
        <f>TL[[#This Row],[Société]]&amp;" - "&amp;TL[[#This Row],[Compte]]</f>
        <v/>
      </c>
      <c r="B2419" s="233" t="inlineStr">
        <is>
          <t>581100</t>
        </is>
      </c>
      <c r="C2419" s="227" t="inlineStr">
        <is>
          <t>Virements internes</t>
        </is>
      </c>
      <c r="F2419" s="227" t="inlineStr">
        <is>
          <t>TURVILLA</t>
        </is>
      </c>
    </row>
    <row r="2420">
      <c r="A2420" s="227">
        <f>TL[[#This Row],[Société]]&amp;" - "&amp;TL[[#This Row],[Compte]]</f>
        <v/>
      </c>
      <c r="B2420" s="233" t="inlineStr">
        <is>
          <t>583000</t>
        </is>
      </c>
      <c r="C2420" s="227" t="inlineStr">
        <is>
          <t>Monnaie</t>
        </is>
      </c>
      <c r="F2420" s="227" t="inlineStr">
        <is>
          <t>TURVILLA</t>
        </is>
      </c>
    </row>
    <row r="2421">
      <c r="A2421" s="227">
        <f>TL[[#This Row],[Société]]&amp;" - "&amp;TL[[#This Row],[Compte]]</f>
        <v/>
      </c>
      <c r="B2421" s="233" t="inlineStr">
        <is>
          <t>601100</t>
        </is>
      </c>
      <c r="C2421" s="227" t="inlineStr">
        <is>
          <t>Achats alimentaires</t>
        </is>
      </c>
      <c r="D2421" s="233" t="inlineStr">
        <is>
          <t>06</t>
        </is>
      </c>
      <c r="E2421" s="233" t="inlineStr">
        <is>
          <t>03</t>
        </is>
      </c>
      <c r="F2421" s="227" t="inlineStr">
        <is>
          <t>TURVILLA</t>
        </is>
      </c>
    </row>
    <row r="2422">
      <c r="A2422" s="227">
        <f>TL[[#This Row],[Société]]&amp;" - "&amp;TL[[#This Row],[Compte]]</f>
        <v/>
      </c>
      <c r="B2422" s="233" t="inlineStr">
        <is>
          <t>601102</t>
        </is>
      </c>
      <c r="C2422" s="227" t="inlineStr">
        <is>
          <t>Dechets</t>
        </is>
      </c>
      <c r="D2422" s="233" t="inlineStr">
        <is>
          <t>07</t>
        </is>
      </c>
      <c r="E2422" s="233" t="inlineStr">
        <is>
          <t>05</t>
        </is>
      </c>
      <c r="F2422" s="227" t="inlineStr">
        <is>
          <t>TURVILLA</t>
        </is>
      </c>
    </row>
    <row r="2423">
      <c r="A2423" s="227">
        <f>TL[[#This Row],[Société]]&amp;" - "&amp;TL[[#This Row],[Compte]]</f>
        <v/>
      </c>
      <c r="B2423" s="233" t="inlineStr">
        <is>
          <t>601103</t>
        </is>
      </c>
      <c r="C2423" s="227" t="inlineStr">
        <is>
          <t>Repas employes</t>
        </is>
      </c>
      <c r="D2423" s="233" t="inlineStr">
        <is>
          <t>08</t>
        </is>
      </c>
      <c r="E2423" s="233" t="inlineStr">
        <is>
          <t>04</t>
        </is>
      </c>
      <c r="F2423" s="227" t="inlineStr">
        <is>
          <t>TURVILLA</t>
        </is>
      </c>
    </row>
    <row r="2424">
      <c r="A2424" s="227">
        <f>TL[[#This Row],[Société]]&amp;" - "&amp;TL[[#This Row],[Compte]]</f>
        <v/>
      </c>
      <c r="B2424" s="233" t="inlineStr">
        <is>
          <t>602200</t>
        </is>
      </c>
      <c r="C2424" s="227" t="inlineStr">
        <is>
          <t>Achat emballages</t>
        </is>
      </c>
      <c r="D2424" s="233" t="inlineStr">
        <is>
          <t>03</t>
        </is>
      </c>
      <c r="E2424" s="233" t="inlineStr">
        <is>
          <t>06</t>
        </is>
      </c>
      <c r="F2424" s="227" t="inlineStr">
        <is>
          <t>TURVILLA</t>
        </is>
      </c>
    </row>
    <row r="2425">
      <c r="A2425" s="227">
        <f>TL[[#This Row],[Société]]&amp;" - "&amp;TL[[#This Row],[Compte]]</f>
        <v/>
      </c>
      <c r="B2425" s="233" t="inlineStr">
        <is>
          <t>602201</t>
        </is>
      </c>
      <c r="C2425" s="227" t="inlineStr">
        <is>
          <t>Emballages</t>
        </is>
      </c>
      <c r="D2425" s="233" t="inlineStr">
        <is>
          <t>03</t>
        </is>
      </c>
      <c r="E2425" s="233" t="inlineStr">
        <is>
          <t>06</t>
        </is>
      </c>
      <c r="F2425" s="227" t="inlineStr">
        <is>
          <t>TURVILLA</t>
        </is>
      </c>
    </row>
    <row r="2426">
      <c r="A2426" s="227">
        <f>TL[[#This Row],[Société]]&amp;" - "&amp;TL[[#This Row],[Compte]]</f>
        <v/>
      </c>
      <c r="B2426" s="233" t="inlineStr">
        <is>
          <t>602202</t>
        </is>
      </c>
      <c r="C2426" s="227" t="inlineStr">
        <is>
          <t>Jouets</t>
        </is>
      </c>
      <c r="D2426" s="233" t="inlineStr">
        <is>
          <t>62</t>
        </is>
      </c>
      <c r="E2426" s="233" t="inlineStr">
        <is>
          <t>51</t>
        </is>
      </c>
      <c r="F2426" s="227" t="inlineStr">
        <is>
          <t>TURVILLA</t>
        </is>
      </c>
    </row>
    <row r="2427">
      <c r="A2427" s="227">
        <f>TL[[#This Row],[Société]]&amp;" - "&amp;TL[[#This Row],[Compte]]</f>
        <v/>
      </c>
      <c r="B2427" s="233" t="inlineStr">
        <is>
          <t>602600</t>
        </is>
      </c>
      <c r="C2427" s="227" t="inlineStr">
        <is>
          <t>Cartons de collecte</t>
        </is>
      </c>
      <c r="D2427" s="233" t="inlineStr">
        <is>
          <t>18</t>
        </is>
      </c>
      <c r="E2427" s="233" t="inlineStr">
        <is>
          <t>25</t>
        </is>
      </c>
      <c r="F2427" s="227" t="inlineStr">
        <is>
          <t>TURVILLA</t>
        </is>
      </c>
    </row>
    <row r="2428">
      <c r="A2428" s="227">
        <f>TL[[#This Row],[Société]]&amp;" - "&amp;TL[[#This Row],[Compte]]</f>
        <v/>
      </c>
      <c r="B2428" s="233" t="inlineStr">
        <is>
          <t>602610</t>
        </is>
      </c>
      <c r="C2428" s="227" t="inlineStr">
        <is>
          <t>Emballages perdus</t>
        </is>
      </c>
      <c r="D2428" s="233" t="inlineStr">
        <is>
          <t>18</t>
        </is>
      </c>
      <c r="E2428" s="233" t="inlineStr">
        <is>
          <t>25</t>
        </is>
      </c>
      <c r="F2428" s="227" t="inlineStr">
        <is>
          <t>TURVILLA</t>
        </is>
      </c>
    </row>
    <row r="2429">
      <c r="A2429" s="227">
        <f>TL[[#This Row],[Société]]&amp;" - "&amp;TL[[#This Row],[Compte]]</f>
        <v/>
      </c>
      <c r="B2429" s="233" t="inlineStr">
        <is>
          <t>602630</t>
        </is>
      </c>
      <c r="C2429" s="227" t="inlineStr">
        <is>
          <t>Emballages</t>
        </is>
      </c>
      <c r="D2429" s="233" t="inlineStr">
        <is>
          <t>03</t>
        </is>
      </c>
      <c r="E2429" s="233" t="inlineStr">
        <is>
          <t>06</t>
        </is>
      </c>
      <c r="F2429" s="227" t="inlineStr">
        <is>
          <t>TURVILLA</t>
        </is>
      </c>
    </row>
    <row r="2430">
      <c r="A2430" s="227">
        <f>TL[[#This Row],[Société]]&amp;" - "&amp;TL[[#This Row],[Compte]]</f>
        <v/>
      </c>
      <c r="B2430" s="233" t="inlineStr">
        <is>
          <t>603100</t>
        </is>
      </c>
      <c r="C2430" s="227" t="inlineStr">
        <is>
          <t>Variat. stocks mat. premières/fourn</t>
        </is>
      </c>
      <c r="D2430" s="233" t="inlineStr">
        <is>
          <t>06</t>
        </is>
      </c>
      <c r="E2430" s="233" t="inlineStr">
        <is>
          <t>03</t>
        </is>
      </c>
      <c r="F2430" s="227" t="inlineStr">
        <is>
          <t>TURVILLA</t>
        </is>
      </c>
    </row>
    <row r="2431">
      <c r="A2431" s="227">
        <f>TL[[#This Row],[Société]]&amp;" - "&amp;TL[[#This Row],[Compte]]</f>
        <v/>
      </c>
      <c r="B2431" s="233" t="inlineStr">
        <is>
          <t>603200</t>
        </is>
      </c>
      <c r="C2431" s="227" t="inlineStr">
        <is>
          <t>Variat. stocks autres approvist.</t>
        </is>
      </c>
      <c r="D2431" s="233" t="inlineStr">
        <is>
          <t>03</t>
        </is>
      </c>
      <c r="E2431" s="233" t="inlineStr">
        <is>
          <t>06</t>
        </is>
      </c>
      <c r="F2431" s="227" t="inlineStr">
        <is>
          <t>TURVILLA</t>
        </is>
      </c>
    </row>
    <row r="2432">
      <c r="A2432" s="227">
        <f>TL[[#This Row],[Société]]&amp;" - "&amp;TL[[#This Row],[Compte]]</f>
        <v/>
      </c>
      <c r="B2432" s="233" t="inlineStr">
        <is>
          <t>603202</t>
        </is>
      </c>
      <c r="C2432" s="227" t="inlineStr">
        <is>
          <t>Variat. stock happy meal</t>
        </is>
      </c>
      <c r="D2432" s="233" t="inlineStr">
        <is>
          <t>62</t>
        </is>
      </c>
      <c r="E2432" s="233" t="inlineStr">
        <is>
          <t>51</t>
        </is>
      </c>
      <c r="F2432" s="227" t="inlineStr">
        <is>
          <t>TURVILLA</t>
        </is>
      </c>
    </row>
    <row r="2433">
      <c r="A2433" s="227">
        <f>TL[[#This Row],[Société]]&amp;" - "&amp;TL[[#This Row],[Compte]]</f>
        <v/>
      </c>
      <c r="B2433" s="233" t="inlineStr">
        <is>
          <t>603203</t>
        </is>
      </c>
      <c r="C2433" s="227" t="inlineStr">
        <is>
          <t>Variation stock p.entret</t>
        </is>
      </c>
      <c r="D2433" s="233" t="inlineStr">
        <is>
          <t>18</t>
        </is>
      </c>
      <c r="E2433" s="233" t="inlineStr">
        <is>
          <t>25</t>
        </is>
      </c>
      <c r="F2433" s="227" t="inlineStr">
        <is>
          <t>TURVILLA</t>
        </is>
      </c>
    </row>
    <row r="2434">
      <c r="A2434" s="227">
        <f>TL[[#This Row],[Société]]&amp;" - "&amp;TL[[#This Row],[Compte]]</f>
        <v/>
      </c>
      <c r="B2434" s="233" t="inlineStr">
        <is>
          <t>603210</t>
        </is>
      </c>
      <c r="C2434" s="227" t="inlineStr">
        <is>
          <t>Variation stock pdt non cos</t>
        </is>
      </c>
      <c r="D2434" s="233" t="inlineStr">
        <is>
          <t>62</t>
        </is>
      </c>
      <c r="E2434" s="233" t="inlineStr">
        <is>
          <t>51</t>
        </is>
      </c>
      <c r="F2434" s="227" t="inlineStr">
        <is>
          <t>TURVILLA</t>
        </is>
      </c>
    </row>
    <row r="2435">
      <c r="A2435" s="227">
        <f>TL[[#This Row],[Société]]&amp;" - "&amp;TL[[#This Row],[Compte]]</f>
        <v/>
      </c>
      <c r="B2435" s="233" t="inlineStr">
        <is>
          <t>603227</t>
        </is>
      </c>
      <c r="C2435" s="227" t="inlineStr">
        <is>
          <t>Stock promotion</t>
        </is>
      </c>
      <c r="D2435" s="233" t="inlineStr">
        <is>
          <t>15</t>
        </is>
      </c>
      <c r="E2435" s="233" t="inlineStr">
        <is>
          <t>23</t>
        </is>
      </c>
      <c r="F2435" s="227" t="inlineStr">
        <is>
          <t>TURVILLA</t>
        </is>
      </c>
    </row>
    <row r="2436">
      <c r="A2436" s="227">
        <f>TL[[#This Row],[Société]]&amp;" - "&amp;TL[[#This Row],[Compte]]</f>
        <v/>
      </c>
      <c r="B2436" s="233" t="inlineStr">
        <is>
          <t>606110</t>
        </is>
      </c>
      <c r="C2436" s="227" t="inlineStr">
        <is>
          <t>Eau</t>
        </is>
      </c>
      <c r="D2436" s="233" t="inlineStr">
        <is>
          <t>20</t>
        </is>
      </c>
      <c r="E2436" s="233" t="inlineStr">
        <is>
          <t>24</t>
        </is>
      </c>
      <c r="F2436" s="227" t="inlineStr">
        <is>
          <t>TURVILLA</t>
        </is>
      </c>
    </row>
    <row r="2437">
      <c r="A2437" s="227">
        <f>TL[[#This Row],[Société]]&amp;" - "&amp;TL[[#This Row],[Compte]]</f>
        <v/>
      </c>
      <c r="B2437" s="233" t="inlineStr">
        <is>
          <t>606120</t>
        </is>
      </c>
      <c r="C2437" s="227" t="inlineStr">
        <is>
          <t>Electricité</t>
        </is>
      </c>
      <c r="D2437" s="233" t="inlineStr">
        <is>
          <t>20</t>
        </is>
      </c>
      <c r="E2437" s="233" t="inlineStr">
        <is>
          <t>24</t>
        </is>
      </c>
      <c r="F2437" s="227" t="inlineStr">
        <is>
          <t>TURVILLA</t>
        </is>
      </c>
    </row>
    <row r="2438">
      <c r="A2438" s="227">
        <f>TL[[#This Row],[Société]]&amp;" - "&amp;TL[[#This Row],[Compte]]</f>
        <v/>
      </c>
      <c r="B2438" s="233" t="inlineStr">
        <is>
          <t>606130</t>
        </is>
      </c>
      <c r="C2438" s="227" t="inlineStr">
        <is>
          <t>Gaz</t>
        </is>
      </c>
      <c r="D2438" s="233" t="inlineStr">
        <is>
          <t>20</t>
        </is>
      </c>
      <c r="E2438" s="233" t="inlineStr">
        <is>
          <t>24</t>
        </is>
      </c>
      <c r="F2438" s="227" t="inlineStr">
        <is>
          <t>TURVILLA</t>
        </is>
      </c>
    </row>
    <row r="2439">
      <c r="A2439" s="227">
        <f>TL[[#This Row],[Société]]&amp;" - "&amp;TL[[#This Row],[Compte]]</f>
        <v/>
      </c>
      <c r="B2439" s="233" t="inlineStr">
        <is>
          <t>606140</t>
        </is>
      </c>
      <c r="C2439" s="227" t="inlineStr">
        <is>
          <t>Eau</t>
        </is>
      </c>
      <c r="D2439" s="233" t="inlineStr">
        <is>
          <t>20</t>
        </is>
      </c>
      <c r="E2439" s="233" t="inlineStr">
        <is>
          <t>24</t>
        </is>
      </c>
      <c r="F2439" s="227" t="inlineStr">
        <is>
          <t>TURVILLA</t>
        </is>
      </c>
    </row>
    <row r="2440">
      <c r="A2440" s="227">
        <f>TL[[#This Row],[Société]]&amp;" - "&amp;TL[[#This Row],[Compte]]</f>
        <v/>
      </c>
      <c r="B2440" s="233" t="inlineStr">
        <is>
          <t>606150</t>
        </is>
      </c>
      <c r="C2440" s="227" t="inlineStr">
        <is>
          <t>Fournitures combustibles</t>
        </is>
      </c>
      <c r="D2440" s="233" t="inlineStr">
        <is>
          <t>06</t>
        </is>
      </c>
      <c r="E2440" s="233" t="inlineStr">
        <is>
          <t>03</t>
        </is>
      </c>
      <c r="F2440" s="227" t="inlineStr">
        <is>
          <t>TURVILLA</t>
        </is>
      </c>
    </row>
    <row r="2441">
      <c r="A2441" s="227">
        <f>TL[[#This Row],[Société]]&amp;" - "&amp;TL[[#This Row],[Compte]]</f>
        <v/>
      </c>
      <c r="B2441" s="233" t="inlineStr">
        <is>
          <t>606300</t>
        </is>
      </c>
      <c r="C2441" s="227" t="inlineStr">
        <is>
          <t>Npu</t>
        </is>
      </c>
      <c r="D2441" s="233" t="inlineStr">
        <is>
          <t>19</t>
        </is>
      </c>
      <c r="E2441" s="233" t="inlineStr">
        <is>
          <t>18</t>
        </is>
      </c>
      <c r="F2441" s="227" t="inlineStr">
        <is>
          <t>TURVILLA</t>
        </is>
      </c>
    </row>
    <row r="2442">
      <c r="A2442" s="227">
        <f>TL[[#This Row],[Société]]&amp;" - "&amp;TL[[#This Row],[Compte]]</f>
        <v/>
      </c>
      <c r="B2442" s="233" t="inlineStr">
        <is>
          <t>606301</t>
        </is>
      </c>
      <c r="C2442" s="227" t="inlineStr">
        <is>
          <t>Pte fourn diverses</t>
        </is>
      </c>
      <c r="D2442" s="233" t="inlineStr">
        <is>
          <t>19</t>
        </is>
      </c>
      <c r="E2442" s="233" t="inlineStr">
        <is>
          <t>18</t>
        </is>
      </c>
      <c r="F2442" s="227" t="inlineStr">
        <is>
          <t>TURVILLA</t>
        </is>
      </c>
    </row>
    <row r="2443">
      <c r="A2443" s="227">
        <f>TL[[#This Row],[Société]]&amp;" - "&amp;TL[[#This Row],[Compte]]</f>
        <v/>
      </c>
      <c r="B2443" s="233" t="inlineStr">
        <is>
          <t>606302</t>
        </is>
      </c>
      <c r="C2443" s="227" t="inlineStr">
        <is>
          <t>Fourniture op mb</t>
        </is>
      </c>
      <c r="D2443" s="233" t="inlineStr">
        <is>
          <t>18</t>
        </is>
      </c>
      <c r="E2443" s="233" t="inlineStr">
        <is>
          <t>25</t>
        </is>
      </c>
      <c r="F2443" s="227" t="inlineStr">
        <is>
          <t>TURVILLA</t>
        </is>
      </c>
    </row>
    <row r="2444">
      <c r="A2444" s="227">
        <f>TL[[#This Row],[Société]]&amp;" - "&amp;TL[[#This Row],[Compte]]</f>
        <v/>
      </c>
      <c r="B2444" s="233" t="inlineStr">
        <is>
          <t>606303</t>
        </is>
      </c>
      <c r="C2444" s="227" t="inlineStr">
        <is>
          <t>Npu</t>
        </is>
      </c>
      <c r="D2444" s="233" t="inlineStr">
        <is>
          <t>17</t>
        </is>
      </c>
      <c r="E2444" s="233" t="inlineStr">
        <is>
          <t>27</t>
        </is>
      </c>
      <c r="F2444" s="227" t="inlineStr">
        <is>
          <t>TURVILLA</t>
        </is>
      </c>
    </row>
    <row r="2445">
      <c r="A2445" s="227">
        <f>TL[[#This Row],[Société]]&amp;" - "&amp;TL[[#This Row],[Compte]]</f>
        <v/>
      </c>
      <c r="B2445" s="233" t="inlineStr">
        <is>
          <t>606320</t>
        </is>
      </c>
      <c r="C2445" s="227" t="inlineStr">
        <is>
          <t>Uniformes</t>
        </is>
      </c>
      <c r="D2445" s="233" t="inlineStr">
        <is>
          <t>17</t>
        </is>
      </c>
      <c r="E2445" s="233" t="inlineStr">
        <is>
          <t>27</t>
        </is>
      </c>
      <c r="F2445" s="227" t="inlineStr">
        <is>
          <t>TURVILLA</t>
        </is>
      </c>
    </row>
    <row r="2446">
      <c r="A2446" s="227">
        <f>TL[[#This Row],[Société]]&amp;" - "&amp;TL[[#This Row],[Compte]]</f>
        <v/>
      </c>
      <c r="B2446" s="233" t="inlineStr">
        <is>
          <t>606400</t>
        </is>
      </c>
      <c r="C2446" s="227" t="inlineStr">
        <is>
          <t>Fournitures de bureau NPU</t>
        </is>
      </c>
      <c r="D2446" s="233" t="inlineStr">
        <is>
          <t>21</t>
        </is>
      </c>
      <c r="E2446" s="233" t="inlineStr">
        <is>
          <t>25</t>
        </is>
      </c>
      <c r="F2446" s="227" t="inlineStr">
        <is>
          <t>TURVILLA</t>
        </is>
      </c>
    </row>
    <row r="2447">
      <c r="A2447" s="227">
        <f>TL[[#This Row],[Société]]&amp;" - "&amp;TL[[#This Row],[Compte]]</f>
        <v/>
      </c>
      <c r="B2447" s="233" t="inlineStr">
        <is>
          <t>606401</t>
        </is>
      </c>
      <c r="C2447" s="227" t="inlineStr">
        <is>
          <t>Fournitures de bureau</t>
        </is>
      </c>
      <c r="D2447" s="233" t="inlineStr">
        <is>
          <t>21</t>
        </is>
      </c>
      <c r="E2447" s="233" t="inlineStr">
        <is>
          <t>25</t>
        </is>
      </c>
      <c r="F2447" s="227" t="inlineStr">
        <is>
          <t>TURVILLA</t>
        </is>
      </c>
    </row>
    <row r="2448">
      <c r="A2448" s="227">
        <f>TL[[#This Row],[Société]]&amp;" - "&amp;TL[[#This Row],[Compte]]</f>
        <v/>
      </c>
      <c r="B2448" s="233" t="inlineStr">
        <is>
          <t>606600</t>
        </is>
      </c>
      <c r="C2448" s="227" t="inlineStr">
        <is>
          <t>Carburant</t>
        </is>
      </c>
      <c r="D2448" s="233" t="inlineStr">
        <is>
          <t>18</t>
        </is>
      </c>
      <c r="E2448" s="233" t="inlineStr">
        <is>
          <t>25</t>
        </is>
      </c>
      <c r="F2448" s="227" t="inlineStr">
        <is>
          <t>TURVILLA</t>
        </is>
      </c>
    </row>
    <row r="2449">
      <c r="A2449" s="227">
        <f>TL[[#This Row],[Société]]&amp;" - "&amp;TL[[#This Row],[Compte]]</f>
        <v/>
      </c>
      <c r="B2449" s="233" t="inlineStr">
        <is>
          <t>606613</t>
        </is>
      </c>
      <c r="C2449" s="227" t="inlineStr">
        <is>
          <t>Carburants</t>
        </is>
      </c>
      <c r="D2449" s="233" t="inlineStr">
        <is>
          <t>13</t>
        </is>
      </c>
      <c r="E2449" s="233" t="inlineStr">
        <is>
          <t>40</t>
        </is>
      </c>
      <c r="F2449" s="227" t="inlineStr">
        <is>
          <t>TURVILLA</t>
        </is>
      </c>
    </row>
    <row r="2450">
      <c r="A2450" s="227">
        <f>TL[[#This Row],[Société]]&amp;" - "&amp;TL[[#This Row],[Compte]]</f>
        <v/>
      </c>
      <c r="B2450" s="233" t="inlineStr">
        <is>
          <t>606614</t>
        </is>
      </c>
      <c r="C2450" s="227" t="inlineStr">
        <is>
          <t>Facture total</t>
        </is>
      </c>
      <c r="D2450" s="233" t="inlineStr">
        <is>
          <t>39</t>
        </is>
      </c>
      <c r="E2450" s="233" t="inlineStr">
        <is>
          <t>24</t>
        </is>
      </c>
      <c r="F2450" s="227" t="inlineStr">
        <is>
          <t>TURVILLA</t>
        </is>
      </c>
    </row>
    <row r="2451">
      <c r="A2451" s="227">
        <f>TL[[#This Row],[Société]]&amp;" - "&amp;TL[[#This Row],[Compte]]</f>
        <v/>
      </c>
      <c r="B2451" s="233" t="inlineStr">
        <is>
          <t>609000</t>
        </is>
      </c>
      <c r="C2451" s="227" t="inlineStr">
        <is>
          <t>Rabais, remises &amp; ristourn. obtenus</t>
        </is>
      </c>
      <c r="F2451" s="227" t="inlineStr">
        <is>
          <t>TURVILLA</t>
        </is>
      </c>
    </row>
    <row r="2452">
      <c r="A2452" s="227">
        <f>TL[[#This Row],[Société]]&amp;" - "&amp;TL[[#This Row],[Compte]]</f>
        <v/>
      </c>
      <c r="B2452" s="233" t="inlineStr">
        <is>
          <t>609100</t>
        </is>
      </c>
      <c r="C2452" s="227" t="inlineStr">
        <is>
          <t>R.r.r.obtenus s/ach.mat.premières</t>
        </is>
      </c>
      <c r="D2452" s="233" t="inlineStr">
        <is>
          <t>06</t>
        </is>
      </c>
      <c r="E2452" s="233" t="inlineStr">
        <is>
          <t>03</t>
        </is>
      </c>
      <c r="F2452" s="227" t="inlineStr">
        <is>
          <t>TURVILLA</t>
        </is>
      </c>
    </row>
    <row r="2453">
      <c r="A2453" s="227">
        <f>TL[[#This Row],[Société]]&amp;" - "&amp;TL[[#This Row],[Compte]]</f>
        <v/>
      </c>
      <c r="B2453" s="233" t="inlineStr">
        <is>
          <t>611001</t>
        </is>
      </c>
      <c r="C2453" s="227" t="inlineStr">
        <is>
          <t>Ramassage brink's</t>
        </is>
      </c>
      <c r="F2453" s="227" t="inlineStr">
        <is>
          <t>TURVILLA</t>
        </is>
      </c>
    </row>
    <row r="2454">
      <c r="A2454" s="227">
        <f>TL[[#This Row],[Société]]&amp;" - "&amp;TL[[#This Row],[Compte]]</f>
        <v/>
      </c>
      <c r="B2454" s="233" t="inlineStr">
        <is>
          <t>611002</t>
        </is>
      </c>
      <c r="C2454" s="227" t="inlineStr">
        <is>
          <t>Autres contrat maintenan</t>
        </is>
      </c>
      <c r="D2454" s="233" t="inlineStr">
        <is>
          <t>16</t>
        </is>
      </c>
      <c r="E2454" s="233" t="inlineStr">
        <is>
          <t>18</t>
        </is>
      </c>
      <c r="F2454" s="227" t="inlineStr">
        <is>
          <t>TURVILLA</t>
        </is>
      </c>
    </row>
    <row r="2455">
      <c r="A2455" s="227">
        <f>TL[[#This Row],[Société]]&amp;" - "&amp;TL[[#This Row],[Compte]]</f>
        <v/>
      </c>
      <c r="B2455" s="233" t="inlineStr">
        <is>
          <t>611003</t>
        </is>
      </c>
      <c r="C2455" s="227" t="inlineStr">
        <is>
          <t>Ct entretien securite</t>
        </is>
      </c>
      <c r="D2455" s="233" t="inlineStr">
        <is>
          <t>16</t>
        </is>
      </c>
      <c r="E2455" s="233" t="inlineStr">
        <is>
          <t>16</t>
        </is>
      </c>
      <c r="F2455" s="227" t="inlineStr">
        <is>
          <t>TURVILLA</t>
        </is>
      </c>
    </row>
    <row r="2456">
      <c r="A2456" s="227">
        <f>TL[[#This Row],[Société]]&amp;" - "&amp;TL[[#This Row],[Compte]]</f>
        <v/>
      </c>
      <c r="B2456" s="233" t="inlineStr">
        <is>
          <t>611004</t>
        </is>
      </c>
      <c r="C2456" s="227" t="inlineStr">
        <is>
          <t>Cotisation d'abonnement</t>
        </is>
      </c>
      <c r="D2456" s="233" t="inlineStr">
        <is>
          <t>16</t>
        </is>
      </c>
      <c r="E2456" s="233" t="inlineStr">
        <is>
          <t>19</t>
        </is>
      </c>
      <c r="F2456" s="227" t="inlineStr">
        <is>
          <t>TURVILLA</t>
        </is>
      </c>
    </row>
    <row r="2457">
      <c r="A2457" s="227">
        <f>TL[[#This Row],[Société]]&amp;" - "&amp;TL[[#This Row],[Compte]]</f>
        <v/>
      </c>
      <c r="B2457" s="233" t="inlineStr">
        <is>
          <t>611005</t>
        </is>
      </c>
      <c r="C2457" s="227" t="inlineStr">
        <is>
          <t>Entretien fleurs</t>
        </is>
      </c>
      <c r="D2457" s="233" t="inlineStr">
        <is>
          <t>16</t>
        </is>
      </c>
      <c r="E2457" s="233" t="inlineStr">
        <is>
          <t>19</t>
        </is>
      </c>
      <c r="F2457" s="227" t="inlineStr">
        <is>
          <t>TURVILLA</t>
        </is>
      </c>
    </row>
    <row r="2458">
      <c r="A2458" s="227">
        <f>TL[[#This Row],[Société]]&amp;" - "&amp;TL[[#This Row],[Compte]]</f>
        <v/>
      </c>
      <c r="B2458" s="233" t="inlineStr">
        <is>
          <t>611006</t>
        </is>
      </c>
      <c r="C2458" s="227" t="inlineStr">
        <is>
          <t>Nettoyage du restaurant</t>
        </is>
      </c>
      <c r="D2458" s="233" t="inlineStr">
        <is>
          <t>19</t>
        </is>
      </c>
      <c r="E2458" s="233" t="inlineStr">
        <is>
          <t>15</t>
        </is>
      </c>
      <c r="F2458" s="227" t="inlineStr">
        <is>
          <t>TURVILLA</t>
        </is>
      </c>
    </row>
    <row r="2459">
      <c r="A2459" s="227">
        <f>TL[[#This Row],[Société]]&amp;" - "&amp;TL[[#This Row],[Compte]]</f>
        <v/>
      </c>
      <c r="B2459" s="233" t="inlineStr">
        <is>
          <t>611007</t>
        </is>
      </c>
      <c r="C2459" s="227" t="inlineStr">
        <is>
          <t>Ct informatique / medias</t>
        </is>
      </c>
      <c r="D2459" s="233" t="inlineStr">
        <is>
          <t>16</t>
        </is>
      </c>
      <c r="E2459" s="233" t="inlineStr">
        <is>
          <t>19</t>
        </is>
      </c>
      <c r="F2459" s="227" t="inlineStr">
        <is>
          <t>TURVILLA</t>
        </is>
      </c>
    </row>
    <row r="2460">
      <c r="A2460" s="227">
        <f>TL[[#This Row],[Société]]&amp;" - "&amp;TL[[#This Row],[Compte]]</f>
        <v/>
      </c>
      <c r="B2460" s="233" t="inlineStr">
        <is>
          <t>611008</t>
        </is>
      </c>
      <c r="C2460" s="227" t="inlineStr">
        <is>
          <t>Silliker</t>
        </is>
      </c>
      <c r="F2460" s="227" t="inlineStr">
        <is>
          <t>TURVILLA</t>
        </is>
      </c>
    </row>
    <row r="2461">
      <c r="A2461" s="227">
        <f>TL[[#This Row],[Société]]&amp;" - "&amp;TL[[#This Row],[Compte]]</f>
        <v/>
      </c>
      <c r="B2461" s="233" t="inlineStr">
        <is>
          <t>611009</t>
        </is>
      </c>
      <c r="C2461" s="227" t="inlineStr">
        <is>
          <t>Securite/ gardiennage</t>
        </is>
      </c>
      <c r="D2461" s="233" t="inlineStr">
        <is>
          <t>16</t>
        </is>
      </c>
      <c r="E2461" s="233" t="inlineStr">
        <is>
          <t>16</t>
        </is>
      </c>
      <c r="F2461" s="227" t="inlineStr">
        <is>
          <t>TURVILLA</t>
        </is>
      </c>
    </row>
    <row r="2462">
      <c r="A2462" s="227">
        <f>TL[[#This Row],[Société]]&amp;" - "&amp;TL[[#This Row],[Compte]]</f>
        <v/>
      </c>
      <c r="B2462" s="233" t="inlineStr">
        <is>
          <t>611010</t>
        </is>
      </c>
      <c r="C2462" s="227" t="inlineStr">
        <is>
          <t>Sita enlev.containers</t>
        </is>
      </c>
      <c r="F2462" s="227" t="inlineStr">
        <is>
          <t>TURVILLA</t>
        </is>
      </c>
    </row>
    <row r="2463">
      <c r="A2463" s="227">
        <f>TL[[#This Row],[Société]]&amp;" - "&amp;TL[[#This Row],[Compte]]</f>
        <v/>
      </c>
      <c r="B2463" s="233" t="inlineStr">
        <is>
          <t>611011</t>
        </is>
      </c>
      <c r="C2463" s="227" t="inlineStr">
        <is>
          <t>Ct abonnement</t>
        </is>
      </c>
      <c r="D2463" s="233" t="inlineStr">
        <is>
          <t>16</t>
        </is>
      </c>
      <c r="E2463" s="233" t="inlineStr">
        <is>
          <t>19</t>
        </is>
      </c>
      <c r="F2463" s="227" t="inlineStr">
        <is>
          <t>TURVILLA</t>
        </is>
      </c>
    </row>
    <row r="2464">
      <c r="A2464" s="227">
        <f>TL[[#This Row],[Société]]&amp;" - "&amp;TL[[#This Row],[Compte]]</f>
        <v/>
      </c>
      <c r="B2464" s="233" t="inlineStr">
        <is>
          <t>611012</t>
        </is>
      </c>
      <c r="C2464" s="227" t="inlineStr">
        <is>
          <t>Contrat accès sylae</t>
        </is>
      </c>
      <c r="D2464" s="233" t="inlineStr">
        <is>
          <t>32</t>
        </is>
      </c>
      <c r="E2464" s="233" t="inlineStr">
        <is>
          <t>19</t>
        </is>
      </c>
      <c r="F2464" s="227" t="inlineStr">
        <is>
          <t>TURVILLA</t>
        </is>
      </c>
    </row>
    <row r="2465">
      <c r="A2465" s="227">
        <f>TL[[#This Row],[Société]]&amp;" - "&amp;TL[[#This Row],[Compte]]</f>
        <v/>
      </c>
      <c r="B2465" s="233" t="inlineStr">
        <is>
          <t>611013</t>
        </is>
      </c>
      <c r="C2465" s="227" t="inlineStr">
        <is>
          <t>Entretien nettoy.divers</t>
        </is>
      </c>
      <c r="D2465" s="233" t="inlineStr">
        <is>
          <t>16</t>
        </is>
      </c>
      <c r="E2465" s="233" t="inlineStr">
        <is>
          <t>19</t>
        </is>
      </c>
      <c r="F2465" s="227" t="inlineStr">
        <is>
          <t>TURVILLA</t>
        </is>
      </c>
    </row>
    <row r="2466">
      <c r="A2466" s="227">
        <f>TL[[#This Row],[Société]]&amp;" - "&amp;TL[[#This Row],[Compte]]</f>
        <v/>
      </c>
      <c r="B2466" s="233" t="inlineStr">
        <is>
          <t>611023</t>
        </is>
      </c>
      <c r="C2466" s="227" t="inlineStr">
        <is>
          <t>Enlevement huile friture</t>
        </is>
      </c>
      <c r="F2466" s="227" t="inlineStr">
        <is>
          <t>TURVILLA</t>
        </is>
      </c>
    </row>
    <row r="2467">
      <c r="A2467" s="227">
        <f>TL[[#This Row],[Société]]&amp;" - "&amp;TL[[#This Row],[Compte]]</f>
        <v/>
      </c>
      <c r="B2467" s="233" t="inlineStr">
        <is>
          <t>611024</t>
        </is>
      </c>
      <c r="C2467" s="227" t="inlineStr">
        <is>
          <t>Contrat Analyse relat° clients</t>
        </is>
      </c>
      <c r="D2467" s="233" t="inlineStr">
        <is>
          <t>16</t>
        </is>
      </c>
      <c r="E2467" s="233" t="inlineStr">
        <is>
          <t>19</t>
        </is>
      </c>
      <c r="F2467" s="227" t="inlineStr">
        <is>
          <t>TURVILLA</t>
        </is>
      </c>
    </row>
    <row r="2468">
      <c r="A2468" s="227">
        <f>TL[[#This Row],[Société]]&amp;" - "&amp;TL[[#This Row],[Compte]]</f>
        <v/>
      </c>
      <c r="B2468" s="233" t="inlineStr">
        <is>
          <t>613000</t>
        </is>
      </c>
      <c r="C2468" s="227" t="inlineStr">
        <is>
          <t>Locations</t>
        </is>
      </c>
      <c r="D2468" s="233" t="inlineStr">
        <is>
          <t>30</t>
        </is>
      </c>
      <c r="E2468" s="233" t="inlineStr">
        <is>
          <t>33</t>
        </is>
      </c>
      <c r="F2468" s="227" t="inlineStr">
        <is>
          <t>TURVILLA</t>
        </is>
      </c>
    </row>
    <row r="2469">
      <c r="A2469" s="227">
        <f>TL[[#This Row],[Société]]&amp;" - "&amp;TL[[#This Row],[Compte]]</f>
        <v/>
      </c>
      <c r="B2469" s="233" t="inlineStr">
        <is>
          <t>613200</t>
        </is>
      </c>
      <c r="C2469" s="227" t="inlineStr">
        <is>
          <t>Loyer mcdonald's</t>
        </is>
      </c>
      <c r="D2469" s="233" t="inlineStr">
        <is>
          <t>30</t>
        </is>
      </c>
      <c r="E2469" s="233" t="inlineStr">
        <is>
          <t>29</t>
        </is>
      </c>
      <c r="F2469" s="227" t="inlineStr">
        <is>
          <t>TURVILLA</t>
        </is>
      </c>
    </row>
    <row r="2470">
      <c r="A2470" s="227">
        <f>TL[[#This Row],[Société]]&amp;" - "&amp;TL[[#This Row],[Compte]]</f>
        <v/>
      </c>
      <c r="B2470" s="233" t="inlineStr">
        <is>
          <t>613201</t>
        </is>
      </c>
      <c r="C2470" s="227" t="inlineStr">
        <is>
          <t>Indexat¦ loyer</t>
        </is>
      </c>
      <c r="D2470" s="233" t="inlineStr">
        <is>
          <t>30</t>
        </is>
      </c>
      <c r="E2470" s="233" t="inlineStr">
        <is>
          <t>30</t>
        </is>
      </c>
      <c r="F2470" s="227" t="inlineStr">
        <is>
          <t>TURVILLA</t>
        </is>
      </c>
    </row>
    <row r="2471">
      <c r="A2471" s="227">
        <f>TL[[#This Row],[Société]]&amp;" - "&amp;TL[[#This Row],[Compte]]</f>
        <v/>
      </c>
      <c r="B2471" s="233" t="inlineStr">
        <is>
          <t>613202</t>
        </is>
      </c>
      <c r="C2471" s="227" t="inlineStr">
        <is>
          <t>Incentives Mc do</t>
        </is>
      </c>
      <c r="D2471" s="233" t="inlineStr">
        <is>
          <t>30</t>
        </is>
      </c>
      <c r="E2471" s="233" t="inlineStr">
        <is>
          <t>31</t>
        </is>
      </c>
      <c r="F2471" s="227" t="inlineStr">
        <is>
          <t>TURVILLA</t>
        </is>
      </c>
    </row>
    <row r="2472">
      <c r="A2472" s="227">
        <f>TL[[#This Row],[Société]]&amp;" - "&amp;TL[[#This Row],[Compte]]</f>
        <v/>
      </c>
      <c r="B2472" s="233" t="inlineStr">
        <is>
          <t>613250</t>
        </is>
      </c>
      <c r="C2472" s="227" t="inlineStr">
        <is>
          <t>Location locaux</t>
        </is>
      </c>
      <c r="F2472" s="227" t="inlineStr">
        <is>
          <t>TURVILLA</t>
        </is>
      </c>
    </row>
    <row r="2473">
      <c r="A2473" s="227">
        <f>TL[[#This Row],[Société]]&amp;" - "&amp;TL[[#This Row],[Compte]]</f>
        <v/>
      </c>
      <c r="B2473" s="233" t="inlineStr">
        <is>
          <t>613260</t>
        </is>
      </c>
      <c r="C2473" s="227" t="inlineStr">
        <is>
          <t>Loyer vehicule brahim</t>
        </is>
      </c>
      <c r="D2473" s="233" t="inlineStr">
        <is>
          <t>39</t>
        </is>
      </c>
      <c r="E2473" s="233" t="inlineStr">
        <is>
          <t>40</t>
        </is>
      </c>
      <c r="F2473" s="227" t="inlineStr">
        <is>
          <t>TURVILLA</t>
        </is>
      </c>
    </row>
    <row r="2474">
      <c r="A2474" s="227">
        <f>TL[[#This Row],[Société]]&amp;" - "&amp;TL[[#This Row],[Compte]]</f>
        <v/>
      </c>
      <c r="B2474" s="233" t="inlineStr">
        <is>
          <t>613261</t>
        </is>
      </c>
      <c r="C2474" s="227" t="inlineStr">
        <is>
          <t>Loyer vehicule thomas</t>
        </is>
      </c>
      <c r="D2474" s="233" t="inlineStr">
        <is>
          <t>39</t>
        </is>
      </c>
      <c r="E2474" s="233" t="inlineStr">
        <is>
          <t>40</t>
        </is>
      </c>
      <c r="F2474" s="227" t="inlineStr">
        <is>
          <t>TURVILLA</t>
        </is>
      </c>
    </row>
    <row r="2475">
      <c r="A2475" s="227">
        <f>TL[[#This Row],[Société]]&amp;" - "&amp;TL[[#This Row],[Compte]]</f>
        <v/>
      </c>
      <c r="B2475" s="233" t="inlineStr">
        <is>
          <t>613262</t>
        </is>
      </c>
      <c r="C2475" s="227" t="inlineStr">
        <is>
          <t>Loyer vehicule bun rath</t>
        </is>
      </c>
      <c r="D2475" s="233" t="inlineStr">
        <is>
          <t>39</t>
        </is>
      </c>
      <c r="E2475" s="233" t="inlineStr">
        <is>
          <t>40</t>
        </is>
      </c>
      <c r="F2475" s="227" t="inlineStr">
        <is>
          <t>TURVILLA</t>
        </is>
      </c>
    </row>
    <row r="2476">
      <c r="A2476" s="227">
        <f>TL[[#This Row],[Société]]&amp;" - "&amp;TL[[#This Row],[Compte]]</f>
        <v/>
      </c>
      <c r="B2476" s="233" t="inlineStr">
        <is>
          <t>613263</t>
        </is>
      </c>
      <c r="C2476" s="227" t="inlineStr">
        <is>
          <t>Loyer vehicule sandrine</t>
        </is>
      </c>
      <c r="D2476" s="233" t="inlineStr">
        <is>
          <t>39</t>
        </is>
      </c>
      <c r="E2476" s="233" t="inlineStr">
        <is>
          <t>40</t>
        </is>
      </c>
      <c r="F2476" s="227" t="inlineStr">
        <is>
          <t>TURVILLA</t>
        </is>
      </c>
    </row>
    <row r="2477">
      <c r="A2477" s="227">
        <f>TL[[#This Row],[Société]]&amp;" - "&amp;TL[[#This Row],[Compte]]</f>
        <v/>
      </c>
      <c r="B2477" s="233" t="inlineStr">
        <is>
          <t>613264</t>
        </is>
      </c>
      <c r="C2477" s="227" t="inlineStr">
        <is>
          <t>Loyer vehicule max</t>
        </is>
      </c>
      <c r="D2477" s="233" t="inlineStr">
        <is>
          <t>39</t>
        </is>
      </c>
      <c r="E2477" s="233" t="inlineStr">
        <is>
          <t>40</t>
        </is>
      </c>
      <c r="F2477" s="227" t="inlineStr">
        <is>
          <t>TURVILLA</t>
        </is>
      </c>
    </row>
    <row r="2478">
      <c r="A2478" s="227">
        <f>TL[[#This Row],[Société]]&amp;" - "&amp;TL[[#This Row],[Compte]]</f>
        <v/>
      </c>
      <c r="B2478" s="233" t="inlineStr">
        <is>
          <t>613265</t>
        </is>
      </c>
      <c r="C2478" s="227" t="inlineStr">
        <is>
          <t>Loyer veh sabrina</t>
        </is>
      </c>
      <c r="D2478" s="233" t="inlineStr">
        <is>
          <t>39</t>
        </is>
      </c>
      <c r="E2478" s="233" t="inlineStr">
        <is>
          <t>40</t>
        </is>
      </c>
      <c r="F2478" s="227" t="inlineStr">
        <is>
          <t>TURVILLA</t>
        </is>
      </c>
    </row>
    <row r="2479">
      <c r="A2479" s="227">
        <f>TL[[#This Row],[Société]]&amp;" - "&amp;TL[[#This Row],[Compte]]</f>
        <v/>
      </c>
      <c r="B2479" s="233" t="inlineStr">
        <is>
          <t>613266</t>
        </is>
      </c>
      <c r="C2479" s="227" t="inlineStr">
        <is>
          <t>Loyer véhicule Marine</t>
        </is>
      </c>
      <c r="D2479" s="233" t="inlineStr">
        <is>
          <t>39</t>
        </is>
      </c>
      <c r="E2479" s="233" t="inlineStr">
        <is>
          <t>40</t>
        </is>
      </c>
      <c r="F2479" s="227" t="inlineStr">
        <is>
          <t>TURVILLA</t>
        </is>
      </c>
    </row>
    <row r="2480">
      <c r="A2480" s="227">
        <f>TL[[#This Row],[Société]]&amp;" - "&amp;TL[[#This Row],[Compte]]</f>
        <v/>
      </c>
      <c r="B2480" s="233" t="inlineStr">
        <is>
          <t>613330</t>
        </is>
      </c>
      <c r="C2480" s="227" t="inlineStr">
        <is>
          <t>Location interway</t>
        </is>
      </c>
      <c r="D2480" s="233" t="inlineStr">
        <is>
          <t>16</t>
        </is>
      </c>
      <c r="E2480" s="233" t="inlineStr">
        <is>
          <t>19</t>
        </is>
      </c>
      <c r="F2480" s="227" t="inlineStr">
        <is>
          <t>TURVILLA</t>
        </is>
      </c>
    </row>
    <row r="2481">
      <c r="A2481" s="227">
        <f>TL[[#This Row],[Société]]&amp;" - "&amp;TL[[#This Row],[Compte]]</f>
        <v/>
      </c>
      <c r="B2481" s="233" t="inlineStr">
        <is>
          <t>613340</t>
        </is>
      </c>
      <c r="C2481" s="227" t="inlineStr">
        <is>
          <t>Location caisse palette biodechets</t>
        </is>
      </c>
      <c r="D2481" s="233" t="inlineStr">
        <is>
          <t>16</t>
        </is>
      </c>
      <c r="E2481" s="233" t="inlineStr">
        <is>
          <t>19</t>
        </is>
      </c>
      <c r="F2481" s="227" t="inlineStr">
        <is>
          <t>TURVILLA</t>
        </is>
      </c>
    </row>
    <row r="2482">
      <c r="A2482" s="227">
        <f>TL[[#This Row],[Société]]&amp;" - "&amp;TL[[#This Row],[Compte]]</f>
        <v/>
      </c>
      <c r="B2482" s="233" t="inlineStr">
        <is>
          <t>613350</t>
        </is>
      </c>
      <c r="C2482" s="227" t="inlineStr">
        <is>
          <t>Location paritel</t>
        </is>
      </c>
      <c r="D2482" s="233" t="inlineStr">
        <is>
          <t>16</t>
        </is>
      </c>
      <c r="E2482" s="233" t="inlineStr">
        <is>
          <t>19</t>
        </is>
      </c>
      <c r="F2482" s="227" t="inlineStr">
        <is>
          <t>TURVILLA</t>
        </is>
      </c>
    </row>
    <row r="2483">
      <c r="A2483" s="227">
        <f>TL[[#This Row],[Société]]&amp;" - "&amp;TL[[#This Row],[Compte]]</f>
        <v/>
      </c>
      <c r="B2483" s="233" t="inlineStr">
        <is>
          <t>613360</t>
        </is>
      </c>
      <c r="C2483" s="227" t="inlineStr">
        <is>
          <t>Location defibrillateur</t>
        </is>
      </c>
      <c r="D2483" s="233" t="inlineStr">
        <is>
          <t>16</t>
        </is>
      </c>
      <c r="E2483" s="233" t="inlineStr">
        <is>
          <t>19</t>
        </is>
      </c>
      <c r="F2483" s="227" t="inlineStr">
        <is>
          <t>TURVILLA</t>
        </is>
      </c>
    </row>
    <row r="2484">
      <c r="A2484" s="227">
        <f>TL[[#This Row],[Société]]&amp;" - "&amp;TL[[#This Row],[Compte]]</f>
        <v/>
      </c>
      <c r="B2484" s="233" t="inlineStr">
        <is>
          <t>613361</t>
        </is>
      </c>
      <c r="C2484" s="227" t="inlineStr">
        <is>
          <t>Location Grenke</t>
        </is>
      </c>
      <c r="D2484" s="233" t="inlineStr">
        <is>
          <t>16</t>
        </is>
      </c>
      <c r="E2484" s="233" t="inlineStr">
        <is>
          <t>19</t>
        </is>
      </c>
      <c r="F2484" s="227" t="inlineStr">
        <is>
          <t>TURVILLA</t>
        </is>
      </c>
    </row>
    <row r="2485">
      <c r="A2485" s="227">
        <f>TL[[#This Row],[Société]]&amp;" - "&amp;TL[[#This Row],[Compte]]</f>
        <v/>
      </c>
      <c r="B2485" s="233" t="inlineStr">
        <is>
          <t>613370</t>
        </is>
      </c>
      <c r="C2485" s="227" t="inlineStr">
        <is>
          <t>Location box</t>
        </is>
      </c>
      <c r="D2485" s="233" t="inlineStr">
        <is>
          <t>16</t>
        </is>
      </c>
      <c r="E2485" s="233" t="inlineStr">
        <is>
          <t>19</t>
        </is>
      </c>
      <c r="F2485" s="227" t="inlineStr">
        <is>
          <t>TURVILLA</t>
        </is>
      </c>
    </row>
    <row r="2486">
      <c r="A2486" s="227">
        <f>TL[[#This Row],[Société]]&amp;" - "&amp;TL[[#This Row],[Compte]]</f>
        <v/>
      </c>
      <c r="B2486" s="233" t="inlineStr">
        <is>
          <t>613500</t>
        </is>
      </c>
      <c r="C2486" s="227" t="inlineStr">
        <is>
          <t>Locations diverses</t>
        </is>
      </c>
      <c r="D2486" s="233" t="inlineStr">
        <is>
          <t>39</t>
        </is>
      </c>
      <c r="E2486" s="233" t="inlineStr">
        <is>
          <t>40</t>
        </is>
      </c>
      <c r="F2486" s="227" t="inlineStr">
        <is>
          <t>TURVILLA</t>
        </is>
      </c>
    </row>
    <row r="2487">
      <c r="A2487" s="227">
        <f>TL[[#This Row],[Société]]&amp;" - "&amp;TL[[#This Row],[Compte]]</f>
        <v/>
      </c>
      <c r="B2487" s="233" t="inlineStr">
        <is>
          <t>614100</t>
        </is>
      </c>
      <c r="C2487" s="227" t="inlineStr">
        <is>
          <t>Taxe foncières</t>
        </is>
      </c>
      <c r="D2487" s="233" t="inlineStr">
        <is>
          <t>34</t>
        </is>
      </c>
      <c r="E2487" s="233" t="inlineStr">
        <is>
          <t>33</t>
        </is>
      </c>
      <c r="F2487" s="227" t="inlineStr">
        <is>
          <t>TURVILLA</t>
        </is>
      </c>
    </row>
    <row r="2488">
      <c r="A2488" s="227">
        <f>TL[[#This Row],[Société]]&amp;" - "&amp;TL[[#This Row],[Compte]]</f>
        <v/>
      </c>
      <c r="B2488" s="233" t="inlineStr">
        <is>
          <t>615001</t>
        </is>
      </c>
      <c r="C2488" s="227" t="inlineStr">
        <is>
          <t>Ent. repar. equipement</t>
        </is>
      </c>
      <c r="D2488" s="233" t="inlineStr">
        <is>
          <t>19</t>
        </is>
      </c>
      <c r="E2488" s="233" t="inlineStr">
        <is>
          <t>18</t>
        </is>
      </c>
      <c r="F2488" s="227" t="inlineStr">
        <is>
          <t>TURVILLA</t>
        </is>
      </c>
    </row>
    <row r="2489">
      <c r="A2489" s="227">
        <f>TL[[#This Row],[Société]]&amp;" - "&amp;TL[[#This Row],[Compte]]</f>
        <v/>
      </c>
      <c r="B2489" s="233" t="inlineStr">
        <is>
          <t>615003</t>
        </is>
      </c>
      <c r="C2489" s="227" t="inlineStr">
        <is>
          <t>Contrat maint.equipement</t>
        </is>
      </c>
      <c r="D2489" s="233" t="inlineStr">
        <is>
          <t>16</t>
        </is>
      </c>
      <c r="E2489" s="233" t="inlineStr">
        <is>
          <t>19</t>
        </is>
      </c>
      <c r="F2489" s="227" t="inlineStr">
        <is>
          <t>TURVILLA</t>
        </is>
      </c>
    </row>
    <row r="2490">
      <c r="A2490" s="227">
        <f>TL[[#This Row],[Société]]&amp;" - "&amp;TL[[#This Row],[Compte]]</f>
        <v/>
      </c>
      <c r="B2490" s="233" t="inlineStr">
        <is>
          <t>615200</t>
        </is>
      </c>
      <c r="C2490" s="227" t="inlineStr">
        <is>
          <t>Entretien immobilier</t>
        </is>
      </c>
      <c r="F2490" s="227" t="inlineStr">
        <is>
          <t>TURVILLA</t>
        </is>
      </c>
    </row>
    <row r="2491">
      <c r="A2491" s="227">
        <f>TL[[#This Row],[Société]]&amp;" - "&amp;TL[[#This Row],[Compte]]</f>
        <v/>
      </c>
      <c r="B2491" s="233" t="inlineStr">
        <is>
          <t>615500</t>
        </is>
      </c>
      <c r="C2491" s="227" t="inlineStr">
        <is>
          <t>Entretien et réparation divers</t>
        </is>
      </c>
      <c r="D2491" s="233" t="inlineStr">
        <is>
          <t>19</t>
        </is>
      </c>
      <c r="E2491" s="233" t="inlineStr">
        <is>
          <t>18</t>
        </is>
      </c>
      <c r="F2491" s="227" t="inlineStr">
        <is>
          <t>TURVILLA</t>
        </is>
      </c>
    </row>
    <row r="2492">
      <c r="A2492" s="227">
        <f>TL[[#This Row],[Société]]&amp;" - "&amp;TL[[#This Row],[Compte]]</f>
        <v/>
      </c>
      <c r="B2492" s="233" t="inlineStr">
        <is>
          <t>615520</t>
        </is>
      </c>
      <c r="C2492" s="227" t="inlineStr">
        <is>
          <t>Entretien matériel de transport</t>
        </is>
      </c>
      <c r="D2492" s="233" t="inlineStr">
        <is>
          <t>39</t>
        </is>
      </c>
      <c r="E2492" s="233" t="inlineStr">
        <is>
          <t>18</t>
        </is>
      </c>
      <c r="F2492" s="227" t="inlineStr">
        <is>
          <t>TURVILLA</t>
        </is>
      </c>
    </row>
    <row r="2493">
      <c r="A2493" s="227">
        <f>TL[[#This Row],[Société]]&amp;" - "&amp;TL[[#This Row],[Compte]]</f>
        <v/>
      </c>
      <c r="B2493" s="233" t="inlineStr">
        <is>
          <t>615600</t>
        </is>
      </c>
      <c r="C2493" s="227" t="inlineStr">
        <is>
          <t>Maintenance</t>
        </is>
      </c>
      <c r="D2493" s="233" t="inlineStr">
        <is>
          <t>16</t>
        </is>
      </c>
      <c r="E2493" s="233" t="inlineStr">
        <is>
          <t>19</t>
        </is>
      </c>
      <c r="F2493" s="227" t="inlineStr">
        <is>
          <t>TURVILLA</t>
        </is>
      </c>
    </row>
    <row r="2494">
      <c r="A2494" s="227">
        <f>TL[[#This Row],[Société]]&amp;" - "&amp;TL[[#This Row],[Compte]]</f>
        <v/>
      </c>
      <c r="B2494" s="233" t="inlineStr">
        <is>
          <t>615601</t>
        </is>
      </c>
      <c r="C2494" s="227" t="inlineStr">
        <is>
          <t>maintenance STEEPLE</t>
        </is>
      </c>
      <c r="D2494" s="233" t="inlineStr">
        <is>
          <t>16</t>
        </is>
      </c>
      <c r="E2494" s="233" t="inlineStr">
        <is>
          <t>19</t>
        </is>
      </c>
      <c r="F2494" s="227" t="inlineStr">
        <is>
          <t>TURVILLA</t>
        </is>
      </c>
    </row>
    <row r="2495">
      <c r="A2495" s="227">
        <f>TL[[#This Row],[Société]]&amp;" - "&amp;TL[[#This Row],[Compte]]</f>
        <v/>
      </c>
      <c r="B2495" s="233" t="inlineStr">
        <is>
          <t>615602</t>
        </is>
      </c>
      <c r="C2495" s="227" t="inlineStr">
        <is>
          <t>Maintenance caisses</t>
        </is>
      </c>
      <c r="D2495" s="233" t="inlineStr">
        <is>
          <t>16</t>
        </is>
      </c>
      <c r="E2495" s="233" t="inlineStr">
        <is>
          <t>19</t>
        </is>
      </c>
      <c r="F2495" s="227" t="inlineStr">
        <is>
          <t>TURVILLA</t>
        </is>
      </c>
    </row>
    <row r="2496">
      <c r="A2496" s="227">
        <f>TL[[#This Row],[Société]]&amp;" - "&amp;TL[[#This Row],[Compte]]</f>
        <v/>
      </c>
      <c r="B2496" s="233" t="inlineStr">
        <is>
          <t>615609</t>
        </is>
      </c>
      <c r="C2496" s="227" t="inlineStr">
        <is>
          <t>Honoraires silliker</t>
        </is>
      </c>
      <c r="D2496" s="233" t="inlineStr">
        <is>
          <t>16</t>
        </is>
      </c>
      <c r="E2496" s="233" t="inlineStr">
        <is>
          <t>19</t>
        </is>
      </c>
      <c r="F2496" s="227" t="inlineStr">
        <is>
          <t>TURVILLA</t>
        </is>
      </c>
    </row>
    <row r="2497">
      <c r="A2497" s="227">
        <f>TL[[#This Row],[Société]]&amp;" - "&amp;TL[[#This Row],[Compte]]</f>
        <v/>
      </c>
      <c r="B2497" s="233" t="inlineStr">
        <is>
          <t>615610</t>
        </is>
      </c>
      <c r="C2497" s="227" t="inlineStr">
        <is>
          <t>Contrat iron mountain</t>
        </is>
      </c>
      <c r="D2497" s="233" t="inlineStr">
        <is>
          <t>16</t>
        </is>
      </c>
      <c r="E2497" s="233" t="inlineStr">
        <is>
          <t>19</t>
        </is>
      </c>
      <c r="F2497" s="227" t="inlineStr">
        <is>
          <t>TURVILLA</t>
        </is>
      </c>
    </row>
    <row r="2498">
      <c r="A2498" s="227">
        <f>TL[[#This Row],[Société]]&amp;" - "&amp;TL[[#This Row],[Compte]]</f>
        <v/>
      </c>
      <c r="B2498" s="233" t="inlineStr">
        <is>
          <t>615611</t>
        </is>
      </c>
      <c r="C2498" s="227" t="inlineStr">
        <is>
          <t>Cont oleo</t>
        </is>
      </c>
      <c r="D2498" s="233" t="inlineStr">
        <is>
          <t>16</t>
        </is>
      </c>
      <c r="E2498" s="233" t="inlineStr">
        <is>
          <t>19</t>
        </is>
      </c>
      <c r="F2498" s="227" t="inlineStr">
        <is>
          <t>TURVILLA</t>
        </is>
      </c>
    </row>
    <row r="2499">
      <c r="A2499" s="227">
        <f>TL[[#This Row],[Société]]&amp;" - "&amp;TL[[#This Row],[Compte]]</f>
        <v/>
      </c>
      <c r="B2499" s="233" t="inlineStr">
        <is>
          <t>615614</t>
        </is>
      </c>
      <c r="C2499" s="227" t="inlineStr">
        <is>
          <t>Contrat servipro</t>
        </is>
      </c>
      <c r="D2499" s="233" t="inlineStr">
        <is>
          <t>16</t>
        </is>
      </c>
      <c r="E2499" s="233" t="inlineStr">
        <is>
          <t>19</t>
        </is>
      </c>
      <c r="F2499" s="227" t="inlineStr">
        <is>
          <t>TURVILLA</t>
        </is>
      </c>
    </row>
    <row r="2500">
      <c r="A2500" s="227">
        <f>TL[[#This Row],[Société]]&amp;" - "&amp;TL[[#This Row],[Compte]]</f>
        <v/>
      </c>
      <c r="B2500" s="233" t="inlineStr">
        <is>
          <t>615615</t>
        </is>
      </c>
      <c r="C2500" s="227" t="inlineStr">
        <is>
          <t>Contrat entretien linge</t>
        </is>
      </c>
      <c r="D2500" s="233" t="inlineStr">
        <is>
          <t>16</t>
        </is>
      </c>
      <c r="E2500" s="233" t="inlineStr">
        <is>
          <t>19</t>
        </is>
      </c>
      <c r="F2500" s="227" t="inlineStr">
        <is>
          <t>TURVILLA</t>
        </is>
      </c>
    </row>
    <row r="2501">
      <c r="A2501" s="227">
        <f>TL[[#This Row],[Société]]&amp;" - "&amp;TL[[#This Row],[Compte]]</f>
        <v/>
      </c>
      <c r="B2501" s="233" t="inlineStr">
        <is>
          <t>615616</t>
        </is>
      </c>
      <c r="C2501" s="227" t="inlineStr">
        <is>
          <t>Contrat acrelec</t>
        </is>
      </c>
      <c r="D2501" s="233" t="inlineStr">
        <is>
          <t>16</t>
        </is>
      </c>
      <c r="E2501" s="233" t="inlineStr">
        <is>
          <t>19</t>
        </is>
      </c>
      <c r="F2501" s="227" t="inlineStr">
        <is>
          <t>TURVILLA</t>
        </is>
      </c>
    </row>
    <row r="2502">
      <c r="A2502" s="227">
        <f>TL[[#This Row],[Société]]&amp;" - "&amp;TL[[#This Row],[Compte]]</f>
        <v/>
      </c>
      <c r="B2502" s="233" t="inlineStr">
        <is>
          <t>615617</t>
        </is>
      </c>
      <c r="C2502" s="227" t="inlineStr">
        <is>
          <t>Contrat calypsound</t>
        </is>
      </c>
      <c r="D2502" s="233" t="inlineStr">
        <is>
          <t>16</t>
        </is>
      </c>
      <c r="E2502" s="233" t="inlineStr">
        <is>
          <t>19</t>
        </is>
      </c>
      <c r="F2502" s="227" t="inlineStr">
        <is>
          <t>TURVILLA</t>
        </is>
      </c>
    </row>
    <row r="2503">
      <c r="A2503" s="227">
        <f>TL[[#This Row],[Société]]&amp;" - "&amp;TL[[#This Row],[Compte]]</f>
        <v/>
      </c>
      <c r="B2503" s="233" t="inlineStr">
        <is>
          <t>615618</t>
        </is>
      </c>
      <c r="C2503" s="227" t="inlineStr">
        <is>
          <t>Contrat initial</t>
        </is>
      </c>
      <c r="D2503" s="233" t="inlineStr">
        <is>
          <t>16</t>
        </is>
      </c>
      <c r="E2503" s="233" t="inlineStr">
        <is>
          <t>19</t>
        </is>
      </c>
      <c r="F2503" s="227" t="inlineStr">
        <is>
          <t>TURVILLA</t>
        </is>
      </c>
    </row>
    <row r="2504">
      <c r="A2504" s="227">
        <f>TL[[#This Row],[Société]]&amp;" - "&amp;TL[[#This Row],[Compte]]</f>
        <v/>
      </c>
      <c r="B2504" s="233" t="inlineStr">
        <is>
          <t>615619</t>
        </is>
      </c>
      <c r="C2504" s="227" t="inlineStr">
        <is>
          <t>Contrat vitres (graux ets gabriel)</t>
        </is>
      </c>
      <c r="D2504" s="233" t="inlineStr">
        <is>
          <t>16</t>
        </is>
      </c>
      <c r="E2504" s="233" t="inlineStr">
        <is>
          <t>15</t>
        </is>
      </c>
      <c r="F2504" s="227" t="inlineStr">
        <is>
          <t>TURVILLA</t>
        </is>
      </c>
    </row>
    <row r="2505">
      <c r="A2505" s="227">
        <f>TL[[#This Row],[Société]]&amp;" - "&amp;TL[[#This Row],[Compte]]</f>
        <v/>
      </c>
      <c r="B2505" s="233" t="inlineStr">
        <is>
          <t>615620</t>
        </is>
      </c>
      <c r="C2505" s="227" t="inlineStr">
        <is>
          <t>Contrat vitres sols services</t>
        </is>
      </c>
      <c r="D2505" s="233" t="inlineStr">
        <is>
          <t>16</t>
        </is>
      </c>
      <c r="E2505" s="233" t="inlineStr">
        <is>
          <t>15</t>
        </is>
      </c>
      <c r="F2505" s="227" t="inlineStr">
        <is>
          <t>TURVILLA</t>
        </is>
      </c>
    </row>
    <row r="2506">
      <c r="A2506" s="227">
        <f>TL[[#This Row],[Société]]&amp;" - "&amp;TL[[#This Row],[Compte]]</f>
        <v/>
      </c>
      <c r="B2506" s="233" t="inlineStr">
        <is>
          <t>615621</t>
        </is>
      </c>
      <c r="C2506" s="227" t="inlineStr">
        <is>
          <t>Contrat ramassage espèces</t>
        </is>
      </c>
      <c r="D2506" s="233" t="inlineStr">
        <is>
          <t>16</t>
        </is>
      </c>
      <c r="E2506" s="233" t="inlineStr">
        <is>
          <t>19</t>
        </is>
      </c>
      <c r="F2506" s="227" t="inlineStr">
        <is>
          <t>TURVILLA</t>
        </is>
      </c>
    </row>
    <row r="2507">
      <c r="A2507" s="227">
        <f>TL[[#This Row],[Société]]&amp;" - "&amp;TL[[#This Row],[Compte]]</f>
        <v/>
      </c>
      <c r="B2507" s="233" t="inlineStr">
        <is>
          <t>615624</t>
        </is>
      </c>
      <c r="C2507" s="227" t="inlineStr">
        <is>
          <t>Contrat sacem</t>
        </is>
      </c>
      <c r="D2507" s="233" t="inlineStr">
        <is>
          <t>16</t>
        </is>
      </c>
      <c r="E2507" s="233" t="inlineStr">
        <is>
          <t>19</t>
        </is>
      </c>
      <c r="F2507" s="227" t="inlineStr">
        <is>
          <t>TURVILLA</t>
        </is>
      </c>
    </row>
    <row r="2508">
      <c r="A2508" s="227">
        <f>TL[[#This Row],[Société]]&amp;" - "&amp;TL[[#This Row],[Compte]]</f>
        <v/>
      </c>
      <c r="B2508" s="233" t="inlineStr">
        <is>
          <t>615625</t>
        </is>
      </c>
      <c r="C2508" s="227" t="inlineStr">
        <is>
          <t>Contrat Tyco</t>
        </is>
      </c>
      <c r="D2508" s="233" t="inlineStr">
        <is>
          <t>16</t>
        </is>
      </c>
      <c r="E2508" s="233" t="inlineStr">
        <is>
          <t>19</t>
        </is>
      </c>
      <c r="F2508" s="227" t="inlineStr">
        <is>
          <t>TURVILLA</t>
        </is>
      </c>
    </row>
    <row r="2509">
      <c r="A2509" s="227">
        <f>TL[[#This Row],[Société]]&amp;" - "&amp;TL[[#This Row],[Compte]]</f>
        <v/>
      </c>
      <c r="B2509" s="233" t="inlineStr">
        <is>
          <t>615626</t>
        </is>
      </c>
      <c r="C2509" s="227" t="inlineStr">
        <is>
          <t>Contrat collecte huiles usagées</t>
        </is>
      </c>
      <c r="D2509" s="233" t="inlineStr">
        <is>
          <t>16</t>
        </is>
      </c>
      <c r="E2509" s="233" t="inlineStr">
        <is>
          <t>19</t>
        </is>
      </c>
      <c r="F2509" s="227" t="inlineStr">
        <is>
          <t>TURVILLA</t>
        </is>
      </c>
    </row>
    <row r="2510">
      <c r="A2510" s="227">
        <f>TL[[#This Row],[Société]]&amp;" - "&amp;TL[[#This Row],[Compte]]</f>
        <v/>
      </c>
      <c r="B2510" s="233" t="inlineStr">
        <is>
          <t>615627</t>
        </is>
      </c>
      <c r="C2510" s="227" t="inlineStr">
        <is>
          <t>Contrat spie</t>
        </is>
      </c>
      <c r="D2510" s="233" t="inlineStr">
        <is>
          <t>16</t>
        </is>
      </c>
      <c r="E2510" s="233" t="inlineStr">
        <is>
          <t>19</t>
        </is>
      </c>
      <c r="F2510" s="227" t="inlineStr">
        <is>
          <t>TURVILLA</t>
        </is>
      </c>
    </row>
    <row r="2511">
      <c r="A2511" s="227">
        <f>TL[[#This Row],[Société]]&amp;" - "&amp;TL[[#This Row],[Compte]]</f>
        <v/>
      </c>
      <c r="B2511" s="233" t="inlineStr">
        <is>
          <t>615628</t>
        </is>
      </c>
      <c r="C2511" s="227" t="inlineStr">
        <is>
          <t>Contrat tsn</t>
        </is>
      </c>
      <c r="D2511" s="233" t="inlineStr">
        <is>
          <t>16</t>
        </is>
      </c>
      <c r="E2511" s="233" t="inlineStr">
        <is>
          <t>19</t>
        </is>
      </c>
      <c r="F2511" s="227" t="inlineStr">
        <is>
          <t>TURVILLA</t>
        </is>
      </c>
    </row>
    <row r="2512">
      <c r="A2512" s="227">
        <f>TL[[#This Row],[Société]]&amp;" - "&amp;TL[[#This Row],[Compte]]</f>
        <v/>
      </c>
      <c r="B2512" s="233" t="inlineStr">
        <is>
          <t>615629</t>
        </is>
      </c>
      <c r="C2512" s="227" t="inlineStr">
        <is>
          <t>Contrat ndie alarme ac2f</t>
        </is>
      </c>
      <c r="D2512" s="233" t="inlineStr">
        <is>
          <t>16</t>
        </is>
      </c>
      <c r="E2512" s="233" t="inlineStr">
        <is>
          <t>19</t>
        </is>
      </c>
      <c r="F2512" s="227" t="inlineStr">
        <is>
          <t>TURVILLA</t>
        </is>
      </c>
    </row>
    <row r="2513">
      <c r="A2513" s="227">
        <f>TL[[#This Row],[Société]]&amp;" - "&amp;TL[[#This Row],[Compte]]</f>
        <v/>
      </c>
      <c r="B2513" s="233" t="inlineStr">
        <is>
          <t>615630</t>
        </is>
      </c>
      <c r="C2513" s="227" t="inlineStr">
        <is>
          <t>Contrat meteor</t>
        </is>
      </c>
      <c r="D2513" s="233" t="inlineStr">
        <is>
          <t>16</t>
        </is>
      </c>
      <c r="E2513" s="233" t="inlineStr">
        <is>
          <t>19</t>
        </is>
      </c>
      <c r="F2513" s="227" t="inlineStr">
        <is>
          <t>TURVILLA</t>
        </is>
      </c>
    </row>
    <row r="2514">
      <c r="A2514" s="227">
        <f>TL[[#This Row],[Société]]&amp;" - "&amp;TL[[#This Row],[Compte]]</f>
        <v/>
      </c>
      <c r="B2514" s="233" t="inlineStr">
        <is>
          <t>615631</t>
        </is>
      </c>
      <c r="C2514" s="227" t="inlineStr">
        <is>
          <t>Contrat Melitta</t>
        </is>
      </c>
      <c r="D2514" s="233" t="inlineStr">
        <is>
          <t>16</t>
        </is>
      </c>
      <c r="E2514" s="233" t="inlineStr">
        <is>
          <t>19</t>
        </is>
      </c>
      <c r="F2514" s="227" t="inlineStr">
        <is>
          <t>TURVILLA</t>
        </is>
      </c>
    </row>
    <row r="2515">
      <c r="A2515" s="227">
        <f>TL[[#This Row],[Société]]&amp;" - "&amp;TL[[#This Row],[Compte]]</f>
        <v/>
      </c>
      <c r="B2515" s="233" t="inlineStr">
        <is>
          <t>615632</t>
        </is>
      </c>
      <c r="C2515" s="227" t="inlineStr">
        <is>
          <t>Contrat ecolab amboile</t>
        </is>
      </c>
      <c r="D2515" s="233" t="inlineStr">
        <is>
          <t>16</t>
        </is>
      </c>
      <c r="E2515" s="233" t="inlineStr">
        <is>
          <t>19</t>
        </is>
      </c>
      <c r="F2515" s="227" t="inlineStr">
        <is>
          <t>TURVILLA</t>
        </is>
      </c>
    </row>
    <row r="2516">
      <c r="A2516" s="227">
        <f>TL[[#This Row],[Société]]&amp;" - "&amp;TL[[#This Row],[Compte]]</f>
        <v/>
      </c>
      <c r="B2516" s="233" t="inlineStr">
        <is>
          <t>615633</t>
        </is>
      </c>
      <c r="C2516" s="227" t="inlineStr">
        <is>
          <t>Contrat télésurveillance</t>
        </is>
      </c>
      <c r="D2516" s="233" t="inlineStr">
        <is>
          <t>16</t>
        </is>
      </c>
      <c r="E2516" s="233" t="inlineStr">
        <is>
          <t>16</t>
        </is>
      </c>
      <c r="F2516" s="227" t="inlineStr">
        <is>
          <t>TURVILLA</t>
        </is>
      </c>
    </row>
    <row r="2517">
      <c r="A2517" s="227">
        <f>TL[[#This Row],[Société]]&amp;" - "&amp;TL[[#This Row],[Compte]]</f>
        <v/>
      </c>
      <c r="B2517" s="233" t="inlineStr">
        <is>
          <t>615634</t>
        </is>
      </c>
      <c r="C2517" s="227" t="inlineStr">
        <is>
          <t>Contrat wifi</t>
        </is>
      </c>
      <c r="D2517" s="233" t="inlineStr">
        <is>
          <t>16</t>
        </is>
      </c>
      <c r="E2517" s="233" t="inlineStr">
        <is>
          <t>19</t>
        </is>
      </c>
      <c r="F2517" s="227" t="inlineStr">
        <is>
          <t>TURVILLA</t>
        </is>
      </c>
    </row>
    <row r="2518">
      <c r="A2518" s="227">
        <f>TL[[#This Row],[Société]]&amp;" - "&amp;TL[[#This Row],[Compte]]</f>
        <v/>
      </c>
      <c r="B2518" s="233" t="inlineStr">
        <is>
          <t>615636</t>
        </is>
      </c>
      <c r="C2518" s="227" t="inlineStr">
        <is>
          <t>Contrat elis</t>
        </is>
      </c>
      <c r="D2518" s="233" t="inlineStr">
        <is>
          <t>16</t>
        </is>
      </c>
      <c r="E2518" s="233" t="inlineStr">
        <is>
          <t>15</t>
        </is>
      </c>
      <c r="F2518" s="227" t="inlineStr">
        <is>
          <t>TURVILLA</t>
        </is>
      </c>
    </row>
    <row r="2519">
      <c r="A2519" s="227">
        <f>TL[[#This Row],[Société]]&amp;" - "&amp;TL[[#This Row],[Compte]]</f>
        <v/>
      </c>
      <c r="B2519" s="233" t="inlineStr">
        <is>
          <t>615637</t>
        </is>
      </c>
      <c r="C2519" s="227" t="inlineStr">
        <is>
          <t>Contrat cis - interway</t>
        </is>
      </c>
      <c r="D2519" s="233" t="inlineStr">
        <is>
          <t>16</t>
        </is>
      </c>
      <c r="E2519" s="233" t="inlineStr">
        <is>
          <t>19</t>
        </is>
      </c>
      <c r="F2519" s="227" t="inlineStr">
        <is>
          <t>TURVILLA</t>
        </is>
      </c>
    </row>
    <row r="2520">
      <c r="A2520" s="227">
        <f>TL[[#This Row],[Société]]&amp;" - "&amp;TL[[#This Row],[Compte]]</f>
        <v/>
      </c>
      <c r="B2520" s="233" t="inlineStr">
        <is>
          <t>615638</t>
        </is>
      </c>
      <c r="C2520" s="227" t="inlineStr">
        <is>
          <t>Contrat cimbali</t>
        </is>
      </c>
      <c r="D2520" s="233" t="inlineStr">
        <is>
          <t>16</t>
        </is>
      </c>
      <c r="E2520" s="233" t="inlineStr">
        <is>
          <t>19</t>
        </is>
      </c>
      <c r="F2520" s="227" t="inlineStr">
        <is>
          <t>TURVILLA</t>
        </is>
      </c>
    </row>
    <row r="2521">
      <c r="A2521" s="227">
        <f>TL[[#This Row],[Société]]&amp;" - "&amp;TL[[#This Row],[Compte]]</f>
        <v/>
      </c>
      <c r="B2521" s="233" t="inlineStr">
        <is>
          <t>615641</t>
        </is>
      </c>
      <c r="C2521" s="227" t="inlineStr">
        <is>
          <t>Contrat servipro</t>
        </is>
      </c>
      <c r="D2521" s="233" t="inlineStr">
        <is>
          <t>16</t>
        </is>
      </c>
      <c r="E2521" s="233" t="inlineStr">
        <is>
          <t>19</t>
        </is>
      </c>
      <c r="F2521" s="227" t="inlineStr">
        <is>
          <t>TURVILLA</t>
        </is>
      </c>
    </row>
    <row r="2522">
      <c r="A2522" s="227">
        <f>TL[[#This Row],[Société]]&amp;" - "&amp;TL[[#This Row],[Compte]]</f>
        <v/>
      </c>
      <c r="B2522" s="233" t="inlineStr">
        <is>
          <t>615642</t>
        </is>
      </c>
      <c r="C2522" s="227" t="inlineStr">
        <is>
          <t>Contrat technivap</t>
        </is>
      </c>
      <c r="D2522" s="233" t="inlineStr">
        <is>
          <t>16</t>
        </is>
      </c>
      <c r="E2522" s="233" t="inlineStr">
        <is>
          <t>19</t>
        </is>
      </c>
      <c r="F2522" s="227" t="inlineStr">
        <is>
          <t>TURVILLA</t>
        </is>
      </c>
    </row>
    <row r="2523">
      <c r="A2523" s="227">
        <f>TL[[#This Row],[Société]]&amp;" - "&amp;TL[[#This Row],[Compte]]</f>
        <v/>
      </c>
      <c r="B2523" s="233" t="inlineStr">
        <is>
          <t>615645</t>
        </is>
      </c>
      <c r="C2523" s="227" t="inlineStr">
        <is>
          <t>Enlevt dechets</t>
        </is>
      </c>
      <c r="D2523" s="233" t="inlineStr">
        <is>
          <t>16</t>
        </is>
      </c>
      <c r="E2523" s="233" t="inlineStr">
        <is>
          <t>19</t>
        </is>
      </c>
      <c r="F2523" s="227" t="inlineStr">
        <is>
          <t>TURVILLA</t>
        </is>
      </c>
    </row>
    <row r="2524">
      <c r="A2524" s="227">
        <f>TL[[#This Row],[Société]]&amp;" - "&amp;TL[[#This Row],[Compte]]</f>
        <v/>
      </c>
      <c r="B2524" s="233" t="inlineStr">
        <is>
          <t>615647</t>
        </is>
      </c>
      <c r="C2524" s="227" t="inlineStr">
        <is>
          <t>Contrat coca maintenance</t>
        </is>
      </c>
      <c r="D2524" s="233" t="inlineStr">
        <is>
          <t>16</t>
        </is>
      </c>
      <c r="E2524" s="233" t="inlineStr">
        <is>
          <t>19</t>
        </is>
      </c>
      <c r="F2524" s="227" t="inlineStr">
        <is>
          <t>TURVILLA</t>
        </is>
      </c>
    </row>
    <row r="2525">
      <c r="A2525" s="227">
        <f>TL[[#This Row],[Société]]&amp;" - "&amp;TL[[#This Row],[Compte]]</f>
        <v/>
      </c>
      <c r="B2525" s="233" t="inlineStr">
        <is>
          <t>615650</t>
        </is>
      </c>
      <c r="C2525" s="227" t="inlineStr">
        <is>
          <t>Contrat osiatis</t>
        </is>
      </c>
      <c r="D2525" s="233" t="inlineStr">
        <is>
          <t>16</t>
        </is>
      </c>
      <c r="E2525" s="233" t="inlineStr">
        <is>
          <t>19</t>
        </is>
      </c>
      <c r="F2525" s="227" t="inlineStr">
        <is>
          <t>TURVILLA</t>
        </is>
      </c>
    </row>
    <row r="2526">
      <c r="A2526" s="227">
        <f>TL[[#This Row],[Société]]&amp;" - "&amp;TL[[#This Row],[Compte]]</f>
        <v/>
      </c>
      <c r="B2526" s="233" t="inlineStr">
        <is>
          <t>615651</t>
        </is>
      </c>
      <c r="C2526" s="227" t="inlineStr">
        <is>
          <t>Abonnement recru net</t>
        </is>
      </c>
      <c r="D2526" s="233" t="inlineStr">
        <is>
          <t>16</t>
        </is>
      </c>
      <c r="E2526" s="233" t="inlineStr">
        <is>
          <t>19</t>
        </is>
      </c>
      <c r="F2526" s="227" t="inlineStr">
        <is>
          <t>TURVILLA</t>
        </is>
      </c>
    </row>
    <row r="2527">
      <c r="A2527" s="227">
        <f>TL[[#This Row],[Société]]&amp;" - "&amp;TL[[#This Row],[Compte]]</f>
        <v/>
      </c>
      <c r="B2527" s="233" t="inlineStr">
        <is>
          <t>615652</t>
        </is>
      </c>
      <c r="C2527" s="227" t="inlineStr">
        <is>
          <t>Contrat guildagil</t>
        </is>
      </c>
      <c r="D2527" s="233" t="inlineStr">
        <is>
          <t>16</t>
        </is>
      </c>
      <c r="E2527" s="233" t="inlineStr">
        <is>
          <t>19</t>
        </is>
      </c>
      <c r="F2527" s="227" t="inlineStr">
        <is>
          <t>TURVILLA</t>
        </is>
      </c>
    </row>
    <row r="2528">
      <c r="A2528" s="227">
        <f>TL[[#This Row],[Société]]&amp;" - "&amp;TL[[#This Row],[Compte]]</f>
        <v/>
      </c>
      <c r="B2528" s="233" t="inlineStr">
        <is>
          <t>615653</t>
        </is>
      </c>
      <c r="C2528" s="227" t="inlineStr">
        <is>
          <t>Contrat réflex services</t>
        </is>
      </c>
      <c r="D2528" s="233" t="inlineStr">
        <is>
          <t>16</t>
        </is>
      </c>
      <c r="E2528" s="233" t="inlineStr">
        <is>
          <t>19</t>
        </is>
      </c>
      <c r="F2528" s="227" t="inlineStr">
        <is>
          <t>TURVILLA</t>
        </is>
      </c>
    </row>
    <row r="2529">
      <c r="A2529" s="227">
        <f>TL[[#This Row],[Société]]&amp;" - "&amp;TL[[#This Row],[Compte]]</f>
        <v/>
      </c>
      <c r="B2529" s="233" t="inlineStr">
        <is>
          <t>615654</t>
        </is>
      </c>
      <c r="C2529" s="227" t="inlineStr">
        <is>
          <t>Contrat jri</t>
        </is>
      </c>
      <c r="D2529" s="233" t="inlineStr">
        <is>
          <t>16</t>
        </is>
      </c>
      <c r="E2529" s="233" t="inlineStr">
        <is>
          <t>19</t>
        </is>
      </c>
      <c r="F2529" s="227" t="inlineStr">
        <is>
          <t>TURVILLA</t>
        </is>
      </c>
    </row>
    <row r="2530">
      <c r="A2530" s="227">
        <f>TL[[#This Row],[Société]]&amp;" - "&amp;TL[[#This Row],[Compte]]</f>
        <v/>
      </c>
      <c r="B2530" s="233" t="inlineStr">
        <is>
          <t>615655</t>
        </is>
      </c>
      <c r="C2530" s="227" t="inlineStr">
        <is>
          <t>Contrat socotec</t>
        </is>
      </c>
      <c r="D2530" s="233" t="inlineStr">
        <is>
          <t>16</t>
        </is>
      </c>
      <c r="E2530" s="233" t="inlineStr">
        <is>
          <t>19</t>
        </is>
      </c>
      <c r="F2530" s="227" t="inlineStr">
        <is>
          <t>TURVILLA</t>
        </is>
      </c>
    </row>
    <row r="2531">
      <c r="A2531" s="227">
        <f>TL[[#This Row],[Société]]&amp;" - "&amp;TL[[#This Row],[Compte]]</f>
        <v/>
      </c>
      <c r="B2531" s="233" t="inlineStr">
        <is>
          <t>615656</t>
        </is>
      </c>
      <c r="C2531" s="227" t="inlineStr">
        <is>
          <t>Contrat majie</t>
        </is>
      </c>
      <c r="D2531" s="233" t="inlineStr">
        <is>
          <t>16</t>
        </is>
      </c>
      <c r="E2531" s="233" t="inlineStr">
        <is>
          <t>19</t>
        </is>
      </c>
      <c r="F2531" s="227" t="inlineStr">
        <is>
          <t>TURVILLA</t>
        </is>
      </c>
    </row>
    <row r="2532">
      <c r="A2532" s="227">
        <f>TL[[#This Row],[Société]]&amp;" - "&amp;TL[[#This Row],[Compte]]</f>
        <v/>
      </c>
      <c r="B2532" s="233" t="inlineStr">
        <is>
          <t>615657</t>
        </is>
      </c>
      <c r="C2532" s="227" t="inlineStr">
        <is>
          <t>Contrat iss</t>
        </is>
      </c>
      <c r="D2532" s="233" t="inlineStr">
        <is>
          <t>16</t>
        </is>
      </c>
      <c r="E2532" s="233" t="inlineStr">
        <is>
          <t>19</t>
        </is>
      </c>
      <c r="F2532" s="227" t="inlineStr">
        <is>
          <t>TURVILLA</t>
        </is>
      </c>
    </row>
    <row r="2533">
      <c r="A2533" s="227">
        <f>TL[[#This Row],[Société]]&amp;" - "&amp;TL[[#This Row],[Compte]]</f>
        <v/>
      </c>
      <c r="B2533" s="233" t="inlineStr">
        <is>
          <t>615658</t>
        </is>
      </c>
      <c r="C2533" s="227" t="inlineStr">
        <is>
          <t>Contrat mood</t>
        </is>
      </c>
      <c r="D2533" s="233" t="inlineStr">
        <is>
          <t>16</t>
        </is>
      </c>
      <c r="E2533" s="233" t="inlineStr">
        <is>
          <t>19</t>
        </is>
      </c>
      <c r="F2533" s="227" t="inlineStr">
        <is>
          <t>TURVILLA</t>
        </is>
      </c>
    </row>
    <row r="2534">
      <c r="A2534" s="227">
        <f>TL[[#This Row],[Société]]&amp;" - "&amp;TL[[#This Row],[Compte]]</f>
        <v/>
      </c>
      <c r="B2534" s="233" t="inlineStr">
        <is>
          <t>615659</t>
        </is>
      </c>
      <c r="C2534" s="227" t="inlineStr">
        <is>
          <t>Contrat grenke refresh</t>
        </is>
      </c>
      <c r="D2534" s="233" t="inlineStr">
        <is>
          <t>16</t>
        </is>
      </c>
      <c r="E2534" s="233" t="inlineStr">
        <is>
          <t>19</t>
        </is>
      </c>
      <c r="F2534" s="227" t="inlineStr">
        <is>
          <t>TURVILLA</t>
        </is>
      </c>
    </row>
    <row r="2535">
      <c r="A2535" s="227">
        <f>TL[[#This Row],[Société]]&amp;" - "&amp;TL[[#This Row],[Compte]]</f>
        <v/>
      </c>
      <c r="B2535" s="233" t="inlineStr">
        <is>
          <t>615660</t>
        </is>
      </c>
      <c r="C2535" s="227" t="inlineStr">
        <is>
          <t>Contrat indelec borne</t>
        </is>
      </c>
      <c r="F2535" s="227" t="inlineStr">
        <is>
          <t>TURVILLA</t>
        </is>
      </c>
    </row>
    <row r="2536">
      <c r="A2536" s="227">
        <f>TL[[#This Row],[Société]]&amp;" - "&amp;TL[[#This Row],[Compte]]</f>
        <v/>
      </c>
      <c r="B2536" s="233" t="inlineStr">
        <is>
          <t>615661</t>
        </is>
      </c>
      <c r="C2536" s="227" t="inlineStr">
        <is>
          <t>Contrat bonnefond</t>
        </is>
      </c>
      <c r="D2536" s="233" t="inlineStr">
        <is>
          <t>16</t>
        </is>
      </c>
      <c r="E2536" s="233" t="inlineStr">
        <is>
          <t>19</t>
        </is>
      </c>
      <c r="F2536" s="227" t="inlineStr">
        <is>
          <t>TURVILLA</t>
        </is>
      </c>
    </row>
    <row r="2537">
      <c r="A2537" s="227">
        <f>TL[[#This Row],[Société]]&amp;" - "&amp;TL[[#This Row],[Compte]]</f>
        <v/>
      </c>
      <c r="B2537" s="233" t="inlineStr">
        <is>
          <t>615662</t>
        </is>
      </c>
      <c r="C2537" s="227" t="inlineStr">
        <is>
          <t>Ct so-pro-net</t>
        </is>
      </c>
      <c r="D2537" s="233" t="inlineStr">
        <is>
          <t>16</t>
        </is>
      </c>
      <c r="E2537" s="233" t="inlineStr">
        <is>
          <t>19</t>
        </is>
      </c>
      <c r="F2537" s="227" t="inlineStr">
        <is>
          <t>TURVILLA</t>
        </is>
      </c>
    </row>
    <row r="2538">
      <c r="A2538" s="227">
        <f>TL[[#This Row],[Société]]&amp;" - "&amp;TL[[#This Row],[Compte]]</f>
        <v/>
      </c>
      <c r="B2538" s="233" t="inlineStr">
        <is>
          <t>615663</t>
        </is>
      </c>
      <c r="C2538" s="227" t="inlineStr">
        <is>
          <t>Contrat femel sav alarme et incendi</t>
        </is>
      </c>
      <c r="D2538" s="233" t="inlineStr">
        <is>
          <t>16</t>
        </is>
      </c>
      <c r="E2538" s="233" t="inlineStr">
        <is>
          <t>19</t>
        </is>
      </c>
      <c r="F2538" s="227" t="inlineStr">
        <is>
          <t>TURVILLA</t>
        </is>
      </c>
    </row>
    <row r="2539">
      <c r="A2539" s="227">
        <f>TL[[#This Row],[Société]]&amp;" - "&amp;TL[[#This Row],[Compte]]</f>
        <v/>
      </c>
      <c r="B2539" s="233" t="inlineStr">
        <is>
          <t>615664</t>
        </is>
      </c>
      <c r="C2539" s="227" t="inlineStr">
        <is>
          <t>Contrat maint. Gruppo</t>
        </is>
      </c>
      <c r="F2539" s="227" t="inlineStr">
        <is>
          <t>TURVILLA</t>
        </is>
      </c>
    </row>
    <row r="2540">
      <c r="A2540" s="227">
        <f>TL[[#This Row],[Société]]&amp;" - "&amp;TL[[#This Row],[Compte]]</f>
        <v/>
      </c>
      <c r="B2540" s="233" t="inlineStr">
        <is>
          <t>616000</t>
        </is>
      </c>
      <c r="C2540" s="227" t="inlineStr">
        <is>
          <t>Primes d'assurance</t>
        </is>
      </c>
      <c r="D2540" s="233" t="inlineStr">
        <is>
          <t>33</t>
        </is>
      </c>
      <c r="E2540" s="233" t="inlineStr">
        <is>
          <t>36</t>
        </is>
      </c>
      <c r="F2540" s="227" t="inlineStr">
        <is>
          <t>TURVILLA</t>
        </is>
      </c>
    </row>
    <row r="2541">
      <c r="A2541" s="227">
        <f>TL[[#This Row],[Société]]&amp;" - "&amp;TL[[#This Row],[Compte]]</f>
        <v/>
      </c>
      <c r="B2541" s="233" t="inlineStr">
        <is>
          <t>616001</t>
        </is>
      </c>
      <c r="C2541" s="227" t="inlineStr">
        <is>
          <t>Assurance multi. risques</t>
        </is>
      </c>
      <c r="D2541" s="233" t="inlineStr">
        <is>
          <t>33</t>
        </is>
      </c>
      <c r="E2541" s="233" t="inlineStr">
        <is>
          <t>36</t>
        </is>
      </c>
      <c r="F2541" s="227" t="inlineStr">
        <is>
          <t>TURVILLA</t>
        </is>
      </c>
    </row>
    <row r="2542">
      <c r="A2542" s="227">
        <f>TL[[#This Row],[Société]]&amp;" - "&amp;TL[[#This Row],[Compte]]</f>
        <v/>
      </c>
      <c r="B2542" s="233" t="inlineStr">
        <is>
          <t>616002</t>
        </is>
      </c>
      <c r="C2542" s="227" t="inlineStr">
        <is>
          <t>Assurances diverses</t>
        </is>
      </c>
      <c r="D2542" s="233" t="inlineStr">
        <is>
          <t>33</t>
        </is>
      </c>
      <c r="E2542" s="233" t="inlineStr">
        <is>
          <t>36</t>
        </is>
      </c>
      <c r="F2542" s="227" t="inlineStr">
        <is>
          <t>TURVILLA</t>
        </is>
      </c>
    </row>
    <row r="2543">
      <c r="A2543" s="227">
        <f>TL[[#This Row],[Société]]&amp;" - "&amp;TL[[#This Row],[Compte]]</f>
        <v/>
      </c>
      <c r="B2543" s="233" t="inlineStr">
        <is>
          <t>616003</t>
        </is>
      </c>
      <c r="C2543" s="227" t="inlineStr">
        <is>
          <t>Assurance auto-mission</t>
        </is>
      </c>
      <c r="D2543" s="233" t="inlineStr">
        <is>
          <t>33</t>
        </is>
      </c>
      <c r="E2543" s="233" t="inlineStr">
        <is>
          <t>36</t>
        </is>
      </c>
      <c r="F2543" s="227" t="inlineStr">
        <is>
          <t>TURVILLA</t>
        </is>
      </c>
    </row>
    <row r="2544">
      <c r="A2544" s="227">
        <f>TL[[#This Row],[Société]]&amp;" - "&amp;TL[[#This Row],[Compte]]</f>
        <v/>
      </c>
      <c r="B2544" s="233" t="inlineStr">
        <is>
          <t>616004</t>
        </is>
      </c>
      <c r="C2544" s="227" t="inlineStr">
        <is>
          <t>Assurances véhicules</t>
        </is>
      </c>
      <c r="D2544" s="233" t="inlineStr">
        <is>
          <t>39</t>
        </is>
      </c>
      <c r="E2544" s="233" t="inlineStr">
        <is>
          <t>36</t>
        </is>
      </c>
      <c r="F2544" s="227" t="inlineStr">
        <is>
          <t>TURVILLA</t>
        </is>
      </c>
    </row>
    <row r="2545">
      <c r="A2545" s="227">
        <f>TL[[#This Row],[Société]]&amp;" - "&amp;TL[[#This Row],[Compte]]</f>
        <v/>
      </c>
      <c r="B2545" s="233" t="inlineStr">
        <is>
          <t>616006</t>
        </is>
      </c>
      <c r="C2545" s="227" t="inlineStr">
        <is>
          <t>Assurance décénale</t>
        </is>
      </c>
      <c r="D2545" s="233" t="inlineStr">
        <is>
          <t>33</t>
        </is>
      </c>
      <c r="E2545" s="233" t="inlineStr">
        <is>
          <t>36</t>
        </is>
      </c>
      <c r="F2545" s="227" t="inlineStr">
        <is>
          <t>TURVILLA</t>
        </is>
      </c>
    </row>
    <row r="2546">
      <c r="A2546" s="227">
        <f>TL[[#This Row],[Société]]&amp;" - "&amp;TL[[#This Row],[Compte]]</f>
        <v/>
      </c>
      <c r="B2546" s="233" t="inlineStr">
        <is>
          <t>616100</t>
        </is>
      </c>
      <c r="C2546" s="227" t="inlineStr">
        <is>
          <t>Assur. multirisque resto</t>
        </is>
      </c>
      <c r="D2546" s="233" t="inlineStr">
        <is>
          <t>33</t>
        </is>
      </c>
      <c r="E2546" s="233" t="inlineStr">
        <is>
          <t>36</t>
        </is>
      </c>
      <c r="F2546" s="227" t="inlineStr">
        <is>
          <t>TURVILLA</t>
        </is>
      </c>
    </row>
    <row r="2547">
      <c r="A2547" s="227">
        <f>TL[[#This Row],[Société]]&amp;" - "&amp;TL[[#This Row],[Compte]]</f>
        <v/>
      </c>
      <c r="B2547" s="233" t="inlineStr">
        <is>
          <t>616300</t>
        </is>
      </c>
      <c r="C2547" s="227" t="inlineStr">
        <is>
          <t>Ass. marsh</t>
        </is>
      </c>
      <c r="D2547" s="233" t="inlineStr">
        <is>
          <t>33</t>
        </is>
      </c>
      <c r="E2547" s="233" t="inlineStr">
        <is>
          <t>36</t>
        </is>
      </c>
      <c r="F2547" s="227" t="inlineStr">
        <is>
          <t>TURVILLA</t>
        </is>
      </c>
    </row>
    <row r="2548">
      <c r="A2548" s="227">
        <f>TL[[#This Row],[Société]]&amp;" - "&amp;TL[[#This Row],[Compte]]</f>
        <v/>
      </c>
      <c r="B2548" s="233" t="inlineStr">
        <is>
          <t>616310</t>
        </is>
      </c>
      <c r="C2548" s="227" t="inlineStr">
        <is>
          <t>Ass financiere auto</t>
        </is>
      </c>
      <c r="F2548" s="227" t="inlineStr">
        <is>
          <t>TURVILLA</t>
        </is>
      </c>
    </row>
    <row r="2549">
      <c r="A2549" s="227">
        <f>TL[[#This Row],[Société]]&amp;" - "&amp;TL[[#This Row],[Compte]]</f>
        <v/>
      </c>
      <c r="B2549" s="233" t="inlineStr">
        <is>
          <t>616500</t>
        </is>
      </c>
      <c r="C2549" s="227" t="inlineStr">
        <is>
          <t>Ass recreative</t>
        </is>
      </c>
      <c r="F2549" s="227" t="inlineStr">
        <is>
          <t>TURVILLA</t>
        </is>
      </c>
    </row>
    <row r="2550">
      <c r="A2550" s="227">
        <f>TL[[#This Row],[Société]]&amp;" - "&amp;TL[[#This Row],[Compte]]</f>
        <v/>
      </c>
      <c r="B2550" s="233" t="inlineStr">
        <is>
          <t>618100</t>
        </is>
      </c>
      <c r="C2550" s="227" t="inlineStr">
        <is>
          <t>Documentation generale</t>
        </is>
      </c>
      <c r="D2550" s="233" t="inlineStr">
        <is>
          <t>16</t>
        </is>
      </c>
      <c r="E2550" s="233" t="inlineStr">
        <is>
          <t>19</t>
        </is>
      </c>
      <c r="F2550" s="227" t="inlineStr">
        <is>
          <t>TURVILLA</t>
        </is>
      </c>
    </row>
    <row r="2551">
      <c r="A2551" s="227">
        <f>TL[[#This Row],[Société]]&amp;" - "&amp;TL[[#This Row],[Compte]]</f>
        <v/>
      </c>
      <c r="B2551" s="233" t="inlineStr">
        <is>
          <t>618110</t>
        </is>
      </c>
      <c r="C2551" s="227" t="inlineStr">
        <is>
          <t>Journal ouest france</t>
        </is>
      </c>
      <c r="D2551" s="233" t="inlineStr">
        <is>
          <t>23</t>
        </is>
      </c>
      <c r="E2551" s="233" t="inlineStr">
        <is>
          <t>27</t>
        </is>
      </c>
      <c r="F2551" s="227" t="inlineStr">
        <is>
          <t>TURVILLA</t>
        </is>
      </c>
    </row>
    <row r="2552">
      <c r="A2552" s="227">
        <f>TL[[#This Row],[Société]]&amp;" - "&amp;TL[[#This Row],[Compte]]</f>
        <v/>
      </c>
      <c r="B2552" s="233" t="inlineStr">
        <is>
          <t>618503</t>
        </is>
      </c>
      <c r="C2552" s="227" t="inlineStr">
        <is>
          <t>Formation du personnel</t>
        </is>
      </c>
      <c r="D2552" s="233" t="inlineStr">
        <is>
          <t>16</t>
        </is>
      </c>
      <c r="E2552" s="233" t="inlineStr">
        <is>
          <t>19</t>
        </is>
      </c>
      <c r="F2552" s="227" t="inlineStr">
        <is>
          <t>TURVILLA</t>
        </is>
      </c>
    </row>
    <row r="2553">
      <c r="A2553" s="227">
        <f>TL[[#This Row],[Société]]&amp;" - "&amp;TL[[#This Row],[Compte]]</f>
        <v/>
      </c>
      <c r="B2553" s="233" t="inlineStr">
        <is>
          <t>621010</t>
        </is>
      </c>
      <c r="C2553" s="227" t="inlineStr">
        <is>
          <t>Personnel technique prété</t>
        </is>
      </c>
      <c r="D2553" s="233" t="inlineStr">
        <is>
          <t>39</t>
        </is>
      </c>
      <c r="E2553" s="233" t="inlineStr">
        <is>
          <t>13</t>
        </is>
      </c>
      <c r="F2553" s="227" t="inlineStr">
        <is>
          <t>TURVILLA</t>
        </is>
      </c>
    </row>
    <row r="2554">
      <c r="A2554" s="227">
        <f>TL[[#This Row],[Société]]&amp;" - "&amp;TL[[#This Row],[Compte]]</f>
        <v/>
      </c>
      <c r="B2554" s="233" t="inlineStr">
        <is>
          <t>621012</t>
        </is>
      </c>
      <c r="C2554" s="227" t="inlineStr">
        <is>
          <t>Mise à disposition directeur</t>
        </is>
      </c>
      <c r="D2554" s="233" t="inlineStr">
        <is>
          <t>39</t>
        </is>
      </c>
      <c r="E2554" s="233" t="inlineStr">
        <is>
          <t>13</t>
        </is>
      </c>
      <c r="F2554" s="227" t="inlineStr">
        <is>
          <t>TURVILLA</t>
        </is>
      </c>
    </row>
    <row r="2555">
      <c r="A2555" s="227">
        <f>TL[[#This Row],[Société]]&amp;" - "&amp;TL[[#This Row],[Compte]]</f>
        <v/>
      </c>
      <c r="B2555" s="233" t="inlineStr">
        <is>
          <t>621013</t>
        </is>
      </c>
      <c r="C2555" s="227" t="inlineStr">
        <is>
          <t>Mise à dispo responsable formation</t>
        </is>
      </c>
      <c r="D2555" s="233" t="inlineStr">
        <is>
          <t>39</t>
        </is>
      </c>
      <c r="E2555" s="233" t="inlineStr">
        <is>
          <t>13</t>
        </is>
      </c>
      <c r="F2555" s="227" t="inlineStr">
        <is>
          <t>TURVILLA</t>
        </is>
      </c>
    </row>
    <row r="2556">
      <c r="A2556" s="227">
        <f>TL[[#This Row],[Société]]&amp;" - "&amp;TL[[#This Row],[Compte]]</f>
        <v/>
      </c>
      <c r="B2556" s="233" t="inlineStr">
        <is>
          <t>621402</t>
        </is>
      </c>
      <c r="C2556" s="227" t="inlineStr">
        <is>
          <t>Prêt personnel managers l39</t>
        </is>
      </c>
      <c r="D2556" s="233" t="inlineStr">
        <is>
          <t>39</t>
        </is>
      </c>
      <c r="E2556" s="233" t="inlineStr">
        <is>
          <t>13</t>
        </is>
      </c>
      <c r="F2556" s="227" t="inlineStr">
        <is>
          <t>TURVILLA</t>
        </is>
      </c>
    </row>
    <row r="2557">
      <c r="A2557" s="227">
        <f>TL[[#This Row],[Société]]&amp;" - "&amp;TL[[#This Row],[Compte]]</f>
        <v/>
      </c>
      <c r="B2557" s="233" t="inlineStr">
        <is>
          <t>621403</t>
        </is>
      </c>
      <c r="C2557" s="227" t="inlineStr">
        <is>
          <t>Pret personnel equipiers</t>
        </is>
      </c>
      <c r="D2557" s="233" t="inlineStr">
        <is>
          <t>10</t>
        </is>
      </c>
      <c r="E2557" s="233" t="inlineStr">
        <is>
          <t>13</t>
        </is>
      </c>
      <c r="F2557" s="227" t="inlineStr">
        <is>
          <t>TURVILLA</t>
        </is>
      </c>
    </row>
    <row r="2558">
      <c r="A2558" s="227">
        <f>TL[[#This Row],[Société]]&amp;" - "&amp;TL[[#This Row],[Compte]]</f>
        <v/>
      </c>
      <c r="B2558" s="233" t="inlineStr">
        <is>
          <t>621404</t>
        </is>
      </c>
      <c r="C2558" s="227" t="inlineStr">
        <is>
          <t>Salaire pers superviseur</t>
        </is>
      </c>
      <c r="D2558" s="233" t="inlineStr">
        <is>
          <t>39</t>
        </is>
      </c>
      <c r="E2558" s="233" t="inlineStr">
        <is>
          <t>13</t>
        </is>
      </c>
      <c r="F2558" s="227" t="inlineStr">
        <is>
          <t>TURVILLA</t>
        </is>
      </c>
    </row>
    <row r="2559">
      <c r="A2559" s="227">
        <f>TL[[#This Row],[Société]]&amp;" - "&amp;TL[[#This Row],[Compte]]</f>
        <v/>
      </c>
      <c r="B2559" s="233" t="inlineStr">
        <is>
          <t>621405</t>
        </is>
      </c>
      <c r="C2559" s="227" t="inlineStr">
        <is>
          <t>Salaire personnel marketing</t>
        </is>
      </c>
      <c r="D2559" s="233" t="inlineStr">
        <is>
          <t>39</t>
        </is>
      </c>
      <c r="E2559" s="233" t="inlineStr">
        <is>
          <t>13</t>
        </is>
      </c>
      <c r="F2559" s="227" t="inlineStr">
        <is>
          <t>TURVILLA</t>
        </is>
      </c>
    </row>
    <row r="2560">
      <c r="A2560" s="227">
        <f>TL[[#This Row],[Société]]&amp;" - "&amp;TL[[#This Row],[Compte]]</f>
        <v/>
      </c>
      <c r="B2560" s="233" t="inlineStr">
        <is>
          <t>622600</t>
        </is>
      </c>
      <c r="C2560" s="227" t="inlineStr">
        <is>
          <t>Honoraires</t>
        </is>
      </c>
      <c r="D2560" s="233" t="inlineStr">
        <is>
          <t>32</t>
        </is>
      </c>
      <c r="E2560" s="233" t="inlineStr">
        <is>
          <t>35</t>
        </is>
      </c>
      <c r="F2560" s="227" t="inlineStr">
        <is>
          <t>TURVILLA</t>
        </is>
      </c>
    </row>
    <row r="2561">
      <c r="A2561" s="227">
        <f>TL[[#This Row],[Société]]&amp;" - "&amp;TL[[#This Row],[Compte]]</f>
        <v/>
      </c>
      <c r="B2561" s="233" t="inlineStr">
        <is>
          <t>622620</t>
        </is>
      </c>
      <c r="C2561" s="227" t="inlineStr">
        <is>
          <t>Honoraires divers</t>
        </is>
      </c>
      <c r="D2561" s="233" t="inlineStr">
        <is>
          <t>32</t>
        </is>
      </c>
      <c r="E2561" s="233" t="inlineStr">
        <is>
          <t>35</t>
        </is>
      </c>
      <c r="F2561" s="227" t="inlineStr">
        <is>
          <t>TURVILLA</t>
        </is>
      </c>
    </row>
    <row r="2562">
      <c r="A2562" s="227">
        <f>TL[[#This Row],[Société]]&amp;" - "&amp;TL[[#This Row],[Compte]]</f>
        <v/>
      </c>
      <c r="B2562" s="233" t="inlineStr">
        <is>
          <t>622660</t>
        </is>
      </c>
      <c r="C2562" s="227" t="inlineStr">
        <is>
          <t>Honoraires juridiques</t>
        </is>
      </c>
      <c r="D2562" s="233" t="inlineStr">
        <is>
          <t>32</t>
        </is>
      </c>
      <c r="E2562" s="233" t="inlineStr">
        <is>
          <t>35</t>
        </is>
      </c>
      <c r="F2562" s="227" t="inlineStr">
        <is>
          <t>TURVILLA</t>
        </is>
      </c>
    </row>
    <row r="2563">
      <c r="A2563" s="227">
        <f>TL[[#This Row],[Société]]&amp;" - "&amp;TL[[#This Row],[Compte]]</f>
        <v/>
      </c>
      <c r="B2563" s="233" t="inlineStr">
        <is>
          <t>622661</t>
        </is>
      </c>
      <c r="C2563" s="227" t="inlineStr">
        <is>
          <t>Honoraires cac</t>
        </is>
      </c>
      <c r="D2563" s="233" t="inlineStr">
        <is>
          <t>32</t>
        </is>
      </c>
      <c r="E2563" s="233" t="inlineStr">
        <is>
          <t>35</t>
        </is>
      </c>
      <c r="F2563" s="227" t="inlineStr">
        <is>
          <t>TURVILLA</t>
        </is>
      </c>
    </row>
    <row r="2564">
      <c r="A2564" s="227">
        <f>TL[[#This Row],[Société]]&amp;" - "&amp;TL[[#This Row],[Compte]]</f>
        <v/>
      </c>
      <c r="B2564" s="233" t="inlineStr">
        <is>
          <t>622700</t>
        </is>
      </c>
      <c r="C2564" s="227" t="inlineStr">
        <is>
          <t>Frais d'actes/contentieux</t>
        </is>
      </c>
      <c r="D2564" s="233" t="inlineStr">
        <is>
          <t>32</t>
        </is>
      </c>
      <c r="E2564" s="233" t="inlineStr">
        <is>
          <t>35</t>
        </is>
      </c>
      <c r="F2564" s="227" t="inlineStr">
        <is>
          <t>TURVILLA</t>
        </is>
      </c>
    </row>
    <row r="2565">
      <c r="A2565" s="227">
        <f>TL[[#This Row],[Société]]&amp;" - "&amp;TL[[#This Row],[Compte]]</f>
        <v/>
      </c>
      <c r="B2565" s="233" t="inlineStr">
        <is>
          <t>622800</t>
        </is>
      </c>
      <c r="C2565" s="227" t="inlineStr">
        <is>
          <t>Frais uber</t>
        </is>
      </c>
      <c r="D2565" s="233" t="inlineStr">
        <is>
          <t>32</t>
        </is>
      </c>
      <c r="E2565" s="233" t="inlineStr">
        <is>
          <t>21</t>
        </is>
      </c>
      <c r="F2565" s="227" t="inlineStr">
        <is>
          <t>TURVILLA</t>
        </is>
      </c>
    </row>
    <row r="2566">
      <c r="A2566" s="227">
        <f>TL[[#This Row],[Société]]&amp;" - "&amp;TL[[#This Row],[Compte]]</f>
        <v/>
      </c>
      <c r="B2566" s="233" t="inlineStr">
        <is>
          <t>622810</t>
        </is>
      </c>
      <c r="C2566" s="227" t="inlineStr">
        <is>
          <t>Commissions delivroo</t>
        </is>
      </c>
      <c r="D2566" s="233" t="inlineStr">
        <is>
          <t>32</t>
        </is>
      </c>
      <c r="E2566" s="233" t="inlineStr">
        <is>
          <t>21</t>
        </is>
      </c>
      <c r="F2566" s="227" t="inlineStr">
        <is>
          <t>TURVILLA</t>
        </is>
      </c>
    </row>
    <row r="2567">
      <c r="A2567" s="227">
        <f>TL[[#This Row],[Société]]&amp;" - "&amp;TL[[#This Row],[Compte]]</f>
        <v/>
      </c>
      <c r="B2567" s="233" t="inlineStr">
        <is>
          <t>622820</t>
        </is>
      </c>
      <c r="C2567" s="227" t="inlineStr">
        <is>
          <t>commission lyveat</t>
        </is>
      </c>
      <c r="D2567" s="233" t="inlineStr">
        <is>
          <t>32</t>
        </is>
      </c>
      <c r="E2567" s="233" t="inlineStr">
        <is>
          <t>21</t>
        </is>
      </c>
      <c r="F2567" s="227" t="inlineStr">
        <is>
          <t>TURVILLA</t>
        </is>
      </c>
    </row>
    <row r="2568">
      <c r="A2568" s="227">
        <f>TL[[#This Row],[Société]]&amp;" - "&amp;TL[[#This Row],[Compte]]</f>
        <v/>
      </c>
      <c r="B2568" s="233" t="inlineStr">
        <is>
          <t>622850</t>
        </is>
      </c>
      <c r="C2568" s="227" t="inlineStr">
        <is>
          <t>Honoraires gecec</t>
        </is>
      </c>
      <c r="F2568" s="227" t="inlineStr">
        <is>
          <t>TURVILLA</t>
        </is>
      </c>
    </row>
    <row r="2569">
      <c r="A2569" s="227">
        <f>TL[[#This Row],[Société]]&amp;" - "&amp;TL[[#This Row],[Compte]]</f>
        <v/>
      </c>
      <c r="B2569" s="233" t="inlineStr">
        <is>
          <t>622900</t>
        </is>
      </c>
      <c r="C2569" s="227" t="inlineStr">
        <is>
          <t>Retrocession transport - uber</t>
        </is>
      </c>
      <c r="D2569" s="233" t="inlineStr">
        <is>
          <t>39</t>
        </is>
      </c>
      <c r="E2569" s="233" t="inlineStr">
        <is>
          <t>40</t>
        </is>
      </c>
      <c r="F2569" s="227" t="inlineStr">
        <is>
          <t>TURVILLA</t>
        </is>
      </c>
    </row>
    <row r="2570">
      <c r="A2570" s="227">
        <f>TL[[#This Row],[Société]]&amp;" - "&amp;TL[[#This Row],[Compte]]</f>
        <v/>
      </c>
      <c r="B2570" s="233" t="inlineStr">
        <is>
          <t>623000</t>
        </is>
      </c>
      <c r="C2570" s="227" t="inlineStr">
        <is>
          <t>Publicité</t>
        </is>
      </c>
      <c r="D2570" s="233" t="inlineStr">
        <is>
          <t>14</t>
        </is>
      </c>
      <c r="E2570" s="233" t="inlineStr">
        <is>
          <t>22</t>
        </is>
      </c>
      <c r="F2570" s="227" t="inlineStr">
        <is>
          <t>TURVILLA</t>
        </is>
      </c>
    </row>
    <row r="2571">
      <c r="A2571" s="227">
        <f>TL[[#This Row],[Société]]&amp;" - "&amp;TL[[#This Row],[Compte]]</f>
        <v/>
      </c>
      <c r="B2571" s="233" t="inlineStr">
        <is>
          <t>623001</t>
        </is>
      </c>
      <c r="C2571" s="227" t="inlineStr">
        <is>
          <t>Pub contrat longue duree</t>
        </is>
      </c>
      <c r="D2571" s="233" t="inlineStr">
        <is>
          <t>15</t>
        </is>
      </c>
      <c r="E2571" s="233" t="inlineStr">
        <is>
          <t>23</t>
        </is>
      </c>
      <c r="F2571" s="227" t="inlineStr">
        <is>
          <t>TURVILLA</t>
        </is>
      </c>
    </row>
    <row r="2572">
      <c r="A2572" s="227">
        <f>TL[[#This Row],[Société]]&amp;" - "&amp;TL[[#This Row],[Compte]]</f>
        <v/>
      </c>
      <c r="B2572" s="233" t="inlineStr">
        <is>
          <t>623002</t>
        </is>
      </c>
      <c r="C2572" s="227" t="inlineStr">
        <is>
          <t>Promotion locale</t>
        </is>
      </c>
      <c r="D2572" s="233" t="inlineStr">
        <is>
          <t>15</t>
        </is>
      </c>
      <c r="E2572" s="233" t="inlineStr">
        <is>
          <t>23</t>
        </is>
      </c>
      <c r="F2572" s="227" t="inlineStr">
        <is>
          <t>TURVILLA</t>
        </is>
      </c>
    </row>
    <row r="2573">
      <c r="A2573" s="227">
        <f>TL[[#This Row],[Société]]&amp;" - "&amp;TL[[#This Row],[Compte]]</f>
        <v/>
      </c>
      <c r="B2573" s="233" t="inlineStr">
        <is>
          <t>623004</t>
        </is>
      </c>
      <c r="C2573" s="227" t="inlineStr">
        <is>
          <t>Sponsoring</t>
        </is>
      </c>
      <c r="F2573" s="227" t="inlineStr">
        <is>
          <t>TURVILLA</t>
        </is>
      </c>
    </row>
    <row r="2574">
      <c r="A2574" s="227">
        <f>TL[[#This Row],[Société]]&amp;" - "&amp;TL[[#This Row],[Compte]]</f>
        <v/>
      </c>
      <c r="B2574" s="233" t="inlineStr">
        <is>
          <t>623050</t>
        </is>
      </c>
      <c r="C2574" s="227" t="inlineStr">
        <is>
          <t>Publicite promotion</t>
        </is>
      </c>
      <c r="D2574" s="233" t="inlineStr">
        <is>
          <t>15</t>
        </is>
      </c>
      <c r="E2574" s="233" t="inlineStr">
        <is>
          <t>23</t>
        </is>
      </c>
      <c r="F2574" s="227" t="inlineStr">
        <is>
          <t>TURVILLA</t>
        </is>
      </c>
    </row>
    <row r="2575">
      <c r="A2575" s="227">
        <f>TL[[#This Row],[Société]]&amp;" - "&amp;TL[[#This Row],[Compte]]</f>
        <v/>
      </c>
      <c r="B2575" s="233" t="inlineStr">
        <is>
          <t>623110</t>
        </is>
      </c>
      <c r="C2575" s="227" t="inlineStr">
        <is>
          <t>Annonces insertion</t>
        </is>
      </c>
      <c r="D2575" s="233" t="inlineStr">
        <is>
          <t>21</t>
        </is>
      </c>
      <c r="E2575" s="233" t="inlineStr">
        <is>
          <t>25</t>
        </is>
      </c>
      <c r="F2575" s="227" t="inlineStr">
        <is>
          <t>TURVILLA</t>
        </is>
      </c>
    </row>
    <row r="2576">
      <c r="A2576" s="227">
        <f>TL[[#This Row],[Société]]&amp;" - "&amp;TL[[#This Row],[Compte]]</f>
        <v/>
      </c>
      <c r="B2576" s="233" t="inlineStr">
        <is>
          <t>623200</t>
        </is>
      </c>
      <c r="C2576" s="227" t="inlineStr">
        <is>
          <t>Maison ronald</t>
        </is>
      </c>
      <c r="F2576" s="227" t="inlineStr">
        <is>
          <t>TURVILLA</t>
        </is>
      </c>
    </row>
    <row r="2577">
      <c r="A2577" s="227">
        <f>TL[[#This Row],[Société]]&amp;" - "&amp;TL[[#This Row],[Compte]]</f>
        <v/>
      </c>
      <c r="B2577" s="233" t="inlineStr">
        <is>
          <t>623300</t>
        </is>
      </c>
      <c r="C2577" s="227" t="inlineStr">
        <is>
          <t>Décorations</t>
        </is>
      </c>
      <c r="F2577" s="227" t="inlineStr">
        <is>
          <t>TURVILLA</t>
        </is>
      </c>
    </row>
    <row r="2578">
      <c r="A2578" s="227">
        <f>TL[[#This Row],[Société]]&amp;" - "&amp;TL[[#This Row],[Compte]]</f>
        <v/>
      </c>
      <c r="B2578" s="233" t="inlineStr">
        <is>
          <t>623400</t>
        </is>
      </c>
      <c r="C2578" s="227" t="inlineStr">
        <is>
          <t>Cadeaux à la clientèle</t>
        </is>
      </c>
      <c r="D2578" s="233" t="inlineStr">
        <is>
          <t>15</t>
        </is>
      </c>
      <c r="E2578" s="233" t="inlineStr">
        <is>
          <t>23</t>
        </is>
      </c>
      <c r="F2578" s="227" t="inlineStr">
        <is>
          <t>TURVILLA</t>
        </is>
      </c>
    </row>
    <row r="2579">
      <c r="A2579" s="227">
        <f>TL[[#This Row],[Société]]&amp;" - "&amp;TL[[#This Row],[Compte]]</f>
        <v/>
      </c>
      <c r="B2579" s="233" t="inlineStr">
        <is>
          <t>623401</t>
        </is>
      </c>
      <c r="C2579" s="227" t="inlineStr">
        <is>
          <t>Promotions</t>
        </is>
      </c>
      <c r="D2579" s="233" t="inlineStr">
        <is>
          <t>15</t>
        </is>
      </c>
      <c r="E2579" s="233" t="inlineStr">
        <is>
          <t>23</t>
        </is>
      </c>
      <c r="F2579" s="227" t="inlineStr">
        <is>
          <t>TURVILLA</t>
        </is>
      </c>
    </row>
    <row r="2580">
      <c r="A2580" s="227">
        <f>TL[[#This Row],[Société]]&amp;" - "&amp;TL[[#This Row],[Compte]]</f>
        <v/>
      </c>
      <c r="B2580" s="233" t="inlineStr">
        <is>
          <t>623415</t>
        </is>
      </c>
      <c r="C2580" s="227" t="inlineStr">
        <is>
          <t>Premiums</t>
        </is>
      </c>
      <c r="D2580" s="233" t="inlineStr">
        <is>
          <t>15</t>
        </is>
      </c>
      <c r="E2580" s="233" t="inlineStr">
        <is>
          <t>23</t>
        </is>
      </c>
      <c r="F2580" s="227" t="inlineStr">
        <is>
          <t>TURVILLA</t>
        </is>
      </c>
    </row>
    <row r="2581">
      <c r="A2581" s="227">
        <f>TL[[#This Row],[Société]]&amp;" - "&amp;TL[[#This Row],[Compte]]</f>
        <v/>
      </c>
      <c r="B2581" s="233" t="inlineStr">
        <is>
          <t>623800</t>
        </is>
      </c>
      <c r="C2581" s="227" t="inlineStr">
        <is>
          <t>Pourboires</t>
        </is>
      </c>
      <c r="D2581" s="233" t="inlineStr">
        <is>
          <t>15</t>
        </is>
      </c>
      <c r="E2581" s="233" t="inlineStr">
        <is>
          <t>23</t>
        </is>
      </c>
      <c r="F2581" s="227" t="inlineStr">
        <is>
          <t>TURVILLA</t>
        </is>
      </c>
    </row>
    <row r="2582">
      <c r="A2582" s="227">
        <f>TL[[#This Row],[Société]]&amp;" - "&amp;TL[[#This Row],[Compte]]</f>
        <v/>
      </c>
      <c r="B2582" s="233" t="inlineStr">
        <is>
          <t>624100</t>
        </is>
      </c>
      <c r="C2582" s="227" t="inlineStr">
        <is>
          <t>Transp.biens et personnes</t>
        </is>
      </c>
      <c r="D2582" s="233" t="inlineStr">
        <is>
          <t>39</t>
        </is>
      </c>
      <c r="E2582" s="233" t="inlineStr">
        <is>
          <t>40</t>
        </is>
      </c>
      <c r="F2582" s="227" t="inlineStr">
        <is>
          <t>TURVILLA</t>
        </is>
      </c>
    </row>
    <row r="2583">
      <c r="A2583" s="227">
        <f>TL[[#This Row],[Société]]&amp;" - "&amp;TL[[#This Row],[Compte]]</f>
        <v/>
      </c>
      <c r="B2583" s="233" t="inlineStr">
        <is>
          <t>625101</t>
        </is>
      </c>
      <c r="C2583" s="227" t="inlineStr">
        <is>
          <t>Voyages &amp; dpt equipiers</t>
        </is>
      </c>
      <c r="F2583" s="227" t="inlineStr">
        <is>
          <t>TURVILLA</t>
        </is>
      </c>
    </row>
    <row r="2584">
      <c r="A2584" s="227">
        <f>TL[[#This Row],[Société]]&amp;" - "&amp;TL[[#This Row],[Compte]]</f>
        <v/>
      </c>
      <c r="B2584" s="233" t="inlineStr">
        <is>
          <t>625102</t>
        </is>
      </c>
      <c r="C2584" s="227" t="inlineStr">
        <is>
          <t>Voyages &amp; dpt manager</t>
        </is>
      </c>
      <c r="D2584" s="233" t="inlineStr">
        <is>
          <t>51</t>
        </is>
      </c>
      <c r="E2584" s="233" t="inlineStr">
        <is>
          <t>27</t>
        </is>
      </c>
      <c r="F2584" s="227" t="inlineStr">
        <is>
          <t>TURVILLA</t>
        </is>
      </c>
    </row>
    <row r="2585">
      <c r="A2585" s="227">
        <f>TL[[#This Row],[Société]]&amp;" - "&amp;TL[[#This Row],[Compte]]</f>
        <v/>
      </c>
      <c r="B2585" s="233" t="inlineStr">
        <is>
          <t>625103</t>
        </is>
      </c>
      <c r="C2585" s="227" t="inlineStr">
        <is>
          <t>Voyages &amp; dpt direction</t>
        </is>
      </c>
      <c r="D2585" s="233" t="inlineStr">
        <is>
          <t>51</t>
        </is>
      </c>
      <c r="E2585" s="233" t="inlineStr">
        <is>
          <t>26</t>
        </is>
      </c>
      <c r="F2585" s="227" t="inlineStr">
        <is>
          <t>TURVILLA</t>
        </is>
      </c>
    </row>
    <row r="2586">
      <c r="A2586" s="227">
        <f>TL[[#This Row],[Société]]&amp;" - "&amp;TL[[#This Row],[Compte]]</f>
        <v/>
      </c>
      <c r="B2586" s="233" t="inlineStr">
        <is>
          <t>625200</t>
        </is>
      </c>
      <c r="C2586" s="227" t="inlineStr">
        <is>
          <t>Frais accessoires des véhicules</t>
        </is>
      </c>
      <c r="F2586" s="227" t="inlineStr">
        <is>
          <t>TURVILLA</t>
        </is>
      </c>
    </row>
    <row r="2587">
      <c r="A2587" s="227">
        <f>TL[[#This Row],[Société]]&amp;" - "&amp;TL[[#This Row],[Compte]]</f>
        <v/>
      </c>
      <c r="B2587" s="233" t="inlineStr">
        <is>
          <t>625210</t>
        </is>
      </c>
      <c r="C2587" s="227" t="inlineStr">
        <is>
          <t>Voy deplacement perso technique</t>
        </is>
      </c>
      <c r="D2587" s="233" t="inlineStr">
        <is>
          <t>39</t>
        </is>
      </c>
      <c r="E2587" s="233" t="inlineStr">
        <is>
          <t>26</t>
        </is>
      </c>
      <c r="F2587" s="227" t="inlineStr">
        <is>
          <t>TURVILLA</t>
        </is>
      </c>
    </row>
    <row r="2588">
      <c r="A2588" s="227">
        <f>TL[[#This Row],[Société]]&amp;" - "&amp;TL[[#This Row],[Compte]]</f>
        <v/>
      </c>
      <c r="B2588" s="233" t="inlineStr">
        <is>
          <t>625220</t>
        </is>
      </c>
      <c r="C2588" s="227" t="inlineStr">
        <is>
          <t>Carburant bun rath</t>
        </is>
      </c>
      <c r="D2588" s="233" t="inlineStr">
        <is>
          <t>39</t>
        </is>
      </c>
      <c r="E2588" s="233" t="inlineStr">
        <is>
          <t>40</t>
        </is>
      </c>
      <c r="F2588" s="227" t="inlineStr">
        <is>
          <t>TURVILLA</t>
        </is>
      </c>
    </row>
    <row r="2589">
      <c r="A2589" s="227">
        <f>TL[[#This Row],[Société]]&amp;" - "&amp;TL[[#This Row],[Compte]]</f>
        <v/>
      </c>
      <c r="B2589" s="233" t="inlineStr">
        <is>
          <t>625701</t>
        </is>
      </c>
      <c r="C2589" s="227" t="inlineStr">
        <is>
          <t>Recep.equipier &amp; manager</t>
        </is>
      </c>
      <c r="D2589" s="233" t="inlineStr">
        <is>
          <t>13</t>
        </is>
      </c>
      <c r="E2589" s="233" t="inlineStr">
        <is>
          <t>26</t>
        </is>
      </c>
      <c r="F2589" s="227" t="inlineStr">
        <is>
          <t>TURVILLA</t>
        </is>
      </c>
    </row>
    <row r="2590">
      <c r="A2590" s="227">
        <f>TL[[#This Row],[Société]]&amp;" - "&amp;TL[[#This Row],[Compte]]</f>
        <v/>
      </c>
      <c r="B2590" s="233" t="inlineStr">
        <is>
          <t>625800</t>
        </is>
      </c>
      <c r="C2590" s="227" t="inlineStr">
        <is>
          <t>Aide financière</t>
        </is>
      </c>
      <c r="F2590" s="227" t="inlineStr">
        <is>
          <t>TURVILLA</t>
        </is>
      </c>
    </row>
    <row r="2591">
      <c r="A2591" s="227">
        <f>TL[[#This Row],[Société]]&amp;" - "&amp;TL[[#This Row],[Compte]]</f>
        <v/>
      </c>
      <c r="B2591" s="233" t="inlineStr">
        <is>
          <t>626000</t>
        </is>
      </c>
      <c r="C2591" s="227" t="inlineStr">
        <is>
          <t>Frais postaux et telecom</t>
        </is>
      </c>
      <c r="D2591" s="233" t="inlineStr">
        <is>
          <t>20</t>
        </is>
      </c>
      <c r="E2591" s="233" t="inlineStr">
        <is>
          <t>24</t>
        </is>
      </c>
      <c r="F2591" s="227" t="inlineStr">
        <is>
          <t>TURVILLA</t>
        </is>
      </c>
    </row>
    <row r="2592">
      <c r="A2592" s="227">
        <f>TL[[#This Row],[Société]]&amp;" - "&amp;TL[[#This Row],[Compte]]</f>
        <v/>
      </c>
      <c r="B2592" s="233" t="inlineStr">
        <is>
          <t>626001</t>
        </is>
      </c>
      <c r="C2592" s="227" t="inlineStr">
        <is>
          <t>P.t.t. restaurant</t>
        </is>
      </c>
      <c r="D2592" s="233" t="inlineStr">
        <is>
          <t>21</t>
        </is>
      </c>
      <c r="E2592" s="233" t="inlineStr">
        <is>
          <t>25</t>
        </is>
      </c>
      <c r="F2592" s="227" t="inlineStr">
        <is>
          <t>TURVILLA</t>
        </is>
      </c>
    </row>
    <row r="2593">
      <c r="A2593" s="227">
        <f>TL[[#This Row],[Société]]&amp;" - "&amp;TL[[#This Row],[Compte]]</f>
        <v/>
      </c>
      <c r="B2593" s="233" t="inlineStr">
        <is>
          <t>626003</t>
        </is>
      </c>
      <c r="C2593" s="227" t="inlineStr">
        <is>
          <t>Telephone restaurant</t>
        </is>
      </c>
      <c r="D2593" s="233" t="inlineStr">
        <is>
          <t>20</t>
        </is>
      </c>
      <c r="E2593" s="233" t="inlineStr">
        <is>
          <t>24</t>
        </is>
      </c>
      <c r="F2593" s="227" t="inlineStr">
        <is>
          <t>TURVILLA</t>
        </is>
      </c>
    </row>
    <row r="2594">
      <c r="A2594" s="227">
        <f>TL[[#This Row],[Société]]&amp;" - "&amp;TL[[#This Row],[Compte]]</f>
        <v/>
      </c>
      <c r="B2594" s="233" t="inlineStr">
        <is>
          <t>626006</t>
        </is>
      </c>
      <c r="C2594" s="227" t="inlineStr">
        <is>
          <t>Abonn e-payment</t>
        </is>
      </c>
      <c r="F2594" s="227" t="inlineStr">
        <is>
          <t>TURVILLA</t>
        </is>
      </c>
    </row>
    <row r="2595">
      <c r="A2595" s="227">
        <f>TL[[#This Row],[Société]]&amp;" - "&amp;TL[[#This Row],[Compte]]</f>
        <v/>
      </c>
      <c r="B2595" s="233" t="inlineStr">
        <is>
          <t>626007</t>
        </is>
      </c>
      <c r="C2595" s="227" t="inlineStr">
        <is>
          <t>Abonnement internet+forfait</t>
        </is>
      </c>
      <c r="F2595" s="227" t="inlineStr">
        <is>
          <t>TURVILLA</t>
        </is>
      </c>
    </row>
    <row r="2596">
      <c r="A2596" s="227">
        <f>TL[[#This Row],[Société]]&amp;" - "&amp;TL[[#This Row],[Compte]]</f>
        <v/>
      </c>
      <c r="B2596" s="233" t="inlineStr">
        <is>
          <t>626200</t>
        </is>
      </c>
      <c r="C2596" s="227" t="inlineStr">
        <is>
          <t>Téléphone</t>
        </is>
      </c>
      <c r="D2596" s="233" t="inlineStr">
        <is>
          <t>20</t>
        </is>
      </c>
      <c r="E2596" s="233" t="inlineStr">
        <is>
          <t>24</t>
        </is>
      </c>
      <c r="F2596" s="227" t="inlineStr">
        <is>
          <t>TURVILLA</t>
        </is>
      </c>
    </row>
    <row r="2597">
      <c r="A2597" s="227">
        <f>TL[[#This Row],[Société]]&amp;" - "&amp;TL[[#This Row],[Compte]]</f>
        <v/>
      </c>
      <c r="B2597" s="233" t="inlineStr">
        <is>
          <t>627000</t>
        </is>
      </c>
      <c r="C2597" s="227" t="inlineStr">
        <is>
          <t>Services bancaires et ass pas utili</t>
        </is>
      </c>
      <c r="D2597" s="233" t="inlineStr">
        <is>
          <t>37</t>
        </is>
      </c>
      <c r="E2597" s="233" t="inlineStr">
        <is>
          <t>17</t>
        </is>
      </c>
      <c r="F2597" s="227" t="inlineStr">
        <is>
          <t>TURVILLA</t>
        </is>
      </c>
    </row>
    <row r="2598">
      <c r="A2598" s="227">
        <f>TL[[#This Row],[Société]]&amp;" - "&amp;TL[[#This Row],[Compte]]</f>
        <v/>
      </c>
      <c r="B2598" s="233" t="inlineStr">
        <is>
          <t>627100</t>
        </is>
      </c>
      <c r="C2598" s="227" t="inlineStr">
        <is>
          <t>Commissions bancaires</t>
        </is>
      </c>
      <c r="D2598" s="233" t="inlineStr">
        <is>
          <t>37</t>
        </is>
      </c>
      <c r="E2598" s="233" t="inlineStr">
        <is>
          <t>17</t>
        </is>
      </c>
      <c r="F2598" s="227" t="inlineStr">
        <is>
          <t>TURVILLA</t>
        </is>
      </c>
    </row>
    <row r="2599">
      <c r="A2599" s="227">
        <f>TL[[#This Row],[Société]]&amp;" - "&amp;TL[[#This Row],[Compte]]</f>
        <v/>
      </c>
      <c r="B2599" s="233" t="inlineStr">
        <is>
          <t>627200</t>
        </is>
      </c>
      <c r="C2599" s="227" t="inlineStr">
        <is>
          <t>Commissions carte bleue</t>
        </is>
      </c>
      <c r="D2599" s="233" t="inlineStr">
        <is>
          <t>37</t>
        </is>
      </c>
      <c r="E2599" s="233" t="inlineStr">
        <is>
          <t>17</t>
        </is>
      </c>
      <c r="F2599" s="227" t="inlineStr">
        <is>
          <t>TURVILLA</t>
        </is>
      </c>
    </row>
    <row r="2600">
      <c r="A2600" s="227">
        <f>TL[[#This Row],[Société]]&amp;" - "&amp;TL[[#This Row],[Compte]]</f>
        <v/>
      </c>
      <c r="B2600" s="233" t="inlineStr">
        <is>
          <t>627201</t>
        </is>
      </c>
      <c r="C2600" s="227" t="inlineStr">
        <is>
          <t>Commission sur emprunt</t>
        </is>
      </c>
      <c r="D2600" s="233" t="inlineStr">
        <is>
          <t>37</t>
        </is>
      </c>
      <c r="E2600" s="233" t="inlineStr">
        <is>
          <t>17</t>
        </is>
      </c>
      <c r="F2600" s="227" t="inlineStr">
        <is>
          <t>TURVILLA</t>
        </is>
      </c>
    </row>
    <row r="2601">
      <c r="A2601" s="227">
        <f>TL[[#This Row],[Société]]&amp;" - "&amp;TL[[#This Row],[Compte]]</f>
        <v/>
      </c>
      <c r="B2601" s="233" t="inlineStr">
        <is>
          <t>627300</t>
        </is>
      </c>
      <c r="C2601" s="227" t="inlineStr">
        <is>
          <t>Commissions ticket resto</t>
        </is>
      </c>
      <c r="D2601" s="233" t="inlineStr">
        <is>
          <t>37</t>
        </is>
      </c>
      <c r="E2601" s="233" t="inlineStr">
        <is>
          <t>17</t>
        </is>
      </c>
      <c r="F2601" s="227" t="inlineStr">
        <is>
          <t>TURVILLA</t>
        </is>
      </c>
    </row>
    <row r="2602">
      <c r="A2602" s="227">
        <f>TL[[#This Row],[Société]]&amp;" - "&amp;TL[[#This Row],[Compte]]</f>
        <v/>
      </c>
      <c r="B2602" s="233" t="inlineStr">
        <is>
          <t>627500</t>
        </is>
      </c>
      <c r="C2602" s="227" t="inlineStr">
        <is>
          <t>Commissions ancv</t>
        </is>
      </c>
      <c r="D2602" s="233" t="inlineStr">
        <is>
          <t>37</t>
        </is>
      </c>
      <c r="E2602" s="233" t="inlineStr">
        <is>
          <t>17</t>
        </is>
      </c>
      <c r="F2602" s="227" t="inlineStr">
        <is>
          <t>TURVILLA</t>
        </is>
      </c>
    </row>
    <row r="2603">
      <c r="A2603" s="227">
        <f>TL[[#This Row],[Société]]&amp;" - "&amp;TL[[#This Row],[Compte]]</f>
        <v/>
      </c>
      <c r="B2603" s="233" t="inlineStr">
        <is>
          <t>627801</t>
        </is>
      </c>
      <c r="C2603" s="227" t="inlineStr">
        <is>
          <t>Services bancaries et ass</t>
        </is>
      </c>
      <c r="D2603" s="233" t="inlineStr">
        <is>
          <t>37</t>
        </is>
      </c>
      <c r="E2603" s="233" t="inlineStr">
        <is>
          <t>17</t>
        </is>
      </c>
      <c r="F2603" s="227" t="inlineStr">
        <is>
          <t>TURVILLA</t>
        </is>
      </c>
    </row>
    <row r="2604">
      <c r="A2604" s="227">
        <f>TL[[#This Row],[Société]]&amp;" - "&amp;TL[[#This Row],[Compte]]</f>
        <v/>
      </c>
      <c r="B2604" s="233" t="inlineStr">
        <is>
          <t>627802</t>
        </is>
      </c>
      <c r="C2604" s="227" t="inlineStr">
        <is>
          <t>Commissions cb</t>
        </is>
      </c>
      <c r="D2604" s="233" t="inlineStr">
        <is>
          <t>37</t>
        </is>
      </c>
      <c r="E2604" s="233" t="inlineStr">
        <is>
          <t>17</t>
        </is>
      </c>
      <c r="F2604" s="227" t="inlineStr">
        <is>
          <t>TURVILLA</t>
        </is>
      </c>
    </row>
    <row r="2605">
      <c r="A2605" s="227">
        <f>TL[[#This Row],[Société]]&amp;" - "&amp;TL[[#This Row],[Compte]]</f>
        <v/>
      </c>
      <c r="B2605" s="233" t="inlineStr">
        <is>
          <t>627803</t>
        </is>
      </c>
      <c r="C2605" s="227" t="inlineStr">
        <is>
          <t>Commissions tr</t>
        </is>
      </c>
      <c r="D2605" s="233" t="inlineStr">
        <is>
          <t>37</t>
        </is>
      </c>
      <c r="E2605" s="233" t="inlineStr">
        <is>
          <t>17</t>
        </is>
      </c>
      <c r="F2605" s="227" t="inlineStr">
        <is>
          <t>TURVILLA</t>
        </is>
      </c>
    </row>
    <row r="2606">
      <c r="A2606" s="227">
        <f>TL[[#This Row],[Société]]&amp;" - "&amp;TL[[#This Row],[Compte]]</f>
        <v/>
      </c>
      <c r="B2606" s="233" t="inlineStr">
        <is>
          <t>627804</t>
        </is>
      </c>
      <c r="C2606" s="227" t="inlineStr">
        <is>
          <t>Commissions swile</t>
        </is>
      </c>
      <c r="D2606" s="233" t="inlineStr">
        <is>
          <t>37</t>
        </is>
      </c>
      <c r="E2606" s="233" t="inlineStr">
        <is>
          <t>17</t>
        </is>
      </c>
      <c r="F2606" s="227" t="inlineStr">
        <is>
          <t>TURVILLA</t>
        </is>
      </c>
    </row>
    <row r="2607">
      <c r="A2607" s="227">
        <f>TL[[#This Row],[Société]]&amp;" - "&amp;TL[[#This Row],[Compte]]</f>
        <v/>
      </c>
      <c r="B2607" s="233" t="inlineStr">
        <is>
          <t>627805</t>
        </is>
      </c>
      <c r="C2607" s="227" t="inlineStr">
        <is>
          <t>Commissions cv</t>
        </is>
      </c>
      <c r="D2607" s="233" t="inlineStr">
        <is>
          <t>37</t>
        </is>
      </c>
      <c r="E2607" s="233" t="inlineStr">
        <is>
          <t>17</t>
        </is>
      </c>
      <c r="F2607" s="227" t="inlineStr">
        <is>
          <t>TURVILLA</t>
        </is>
      </c>
    </row>
    <row r="2608">
      <c r="A2608" s="227">
        <f>TL[[#This Row],[Société]]&amp;" - "&amp;TL[[#This Row],[Compte]]</f>
        <v/>
      </c>
      <c r="B2608" s="233" t="inlineStr">
        <is>
          <t>627806</t>
        </is>
      </c>
      <c r="C2608" s="227" t="inlineStr">
        <is>
          <t>Commissions paypal</t>
        </is>
      </c>
      <c r="D2608" s="233" t="inlineStr">
        <is>
          <t>37</t>
        </is>
      </c>
      <c r="E2608" s="233" t="inlineStr">
        <is>
          <t>17</t>
        </is>
      </c>
      <c r="F2608" s="227" t="inlineStr">
        <is>
          <t>TURVILLA</t>
        </is>
      </c>
    </row>
    <row r="2609">
      <c r="A2609" s="227">
        <f>TL[[#This Row],[Société]]&amp;" - "&amp;TL[[#This Row],[Compte]]</f>
        <v/>
      </c>
      <c r="B2609" s="233" t="inlineStr">
        <is>
          <t>628023</t>
        </is>
      </c>
      <c r="C2609" s="227" t="inlineStr">
        <is>
          <t>Frais divers</t>
        </is>
      </c>
      <c r="D2609" s="233" t="inlineStr">
        <is>
          <t>23</t>
        </is>
      </c>
      <c r="E2609" s="233" t="inlineStr">
        <is>
          <t>27</t>
        </is>
      </c>
      <c r="F2609" s="227" t="inlineStr">
        <is>
          <t>TURVILLA</t>
        </is>
      </c>
    </row>
    <row r="2610">
      <c r="A2610" s="227">
        <f>TL[[#This Row],[Société]]&amp;" - "&amp;TL[[#This Row],[Compte]]</f>
        <v/>
      </c>
      <c r="B2610" s="233" t="inlineStr">
        <is>
          <t>628024</t>
        </is>
      </c>
      <c r="C2610" s="227" t="inlineStr">
        <is>
          <t>Places cinema</t>
        </is>
      </c>
      <c r="D2610" s="233" t="inlineStr">
        <is>
          <t>62</t>
        </is>
      </c>
      <c r="E2610" s="233" t="inlineStr">
        <is>
          <t>40</t>
        </is>
      </c>
      <c r="F2610" s="227" t="inlineStr">
        <is>
          <t>TURVILLA</t>
        </is>
      </c>
    </row>
    <row r="2611">
      <c r="A2611" s="227">
        <f>TL[[#This Row],[Société]]&amp;" - "&amp;TL[[#This Row],[Compte]]</f>
        <v/>
      </c>
      <c r="B2611" s="233" t="inlineStr">
        <is>
          <t>628200</t>
        </is>
      </c>
      <c r="C2611" s="227" t="inlineStr">
        <is>
          <t>Redevance</t>
        </is>
      </c>
      <c r="D2611" s="233" t="inlineStr">
        <is>
          <t>30</t>
        </is>
      </c>
      <c r="E2611" s="233" t="inlineStr">
        <is>
          <t>29</t>
        </is>
      </c>
      <c r="F2611" s="227" t="inlineStr">
        <is>
          <t>TURVILLA</t>
        </is>
      </c>
    </row>
    <row r="2612">
      <c r="A2612" s="227">
        <f>TL[[#This Row],[Société]]&amp;" - "&amp;TL[[#This Row],[Compte]]</f>
        <v/>
      </c>
      <c r="B2612" s="233" t="inlineStr">
        <is>
          <t>628210</t>
        </is>
      </c>
      <c r="C2612" s="227" t="inlineStr">
        <is>
          <t>Redevance RTH 76</t>
        </is>
      </c>
      <c r="D2612" s="233" t="inlineStr">
        <is>
          <t>51</t>
        </is>
      </c>
      <c r="E2612" s="233" t="inlineStr">
        <is>
          <t>46</t>
        </is>
      </c>
      <c r="F2612" s="227" t="inlineStr">
        <is>
          <t>TURVILLA</t>
        </is>
      </c>
    </row>
    <row r="2613">
      <c r="A2613" s="227">
        <f>TL[[#This Row],[Société]]&amp;" - "&amp;TL[[#This Row],[Compte]]</f>
        <v/>
      </c>
      <c r="B2613" s="233" t="inlineStr">
        <is>
          <t>628220</t>
        </is>
      </c>
      <c r="C2613" s="227" t="inlineStr">
        <is>
          <t>Redevance gth</t>
        </is>
      </c>
      <c r="D2613" s="233" t="inlineStr">
        <is>
          <t>51</t>
        </is>
      </c>
      <c r="E2613" s="233" t="inlineStr">
        <is>
          <t>46</t>
        </is>
      </c>
      <c r="F2613" s="227" t="inlineStr">
        <is>
          <t>TURVILLA</t>
        </is>
      </c>
    </row>
    <row r="2614">
      <c r="A2614" s="227">
        <f>TL[[#This Row],[Société]]&amp;" - "&amp;TL[[#This Row],[Compte]]</f>
        <v/>
      </c>
      <c r="B2614" s="233" t="inlineStr">
        <is>
          <t>628300</t>
        </is>
      </c>
      <c r="C2614" s="227" t="inlineStr">
        <is>
          <t>Divers</t>
        </is>
      </c>
      <c r="D2614" s="233" t="inlineStr">
        <is>
          <t>23</t>
        </is>
      </c>
      <c r="E2614" s="233" t="inlineStr">
        <is>
          <t>27</t>
        </is>
      </c>
      <c r="F2614" s="227" t="inlineStr">
        <is>
          <t>TURVILLA</t>
        </is>
      </c>
    </row>
    <row r="2615">
      <c r="A2615" s="227">
        <f>TL[[#This Row],[Société]]&amp;" - "&amp;TL[[#This Row],[Compte]]</f>
        <v/>
      </c>
      <c r="B2615" s="233" t="inlineStr">
        <is>
          <t>628400</t>
        </is>
      </c>
      <c r="C2615" s="227" t="inlineStr">
        <is>
          <t>Formations</t>
        </is>
      </c>
      <c r="D2615" s="233" t="inlineStr">
        <is>
          <t>34</t>
        </is>
      </c>
      <c r="E2615" s="233" t="inlineStr">
        <is>
          <t>19</t>
        </is>
      </c>
      <c r="F2615" s="227" t="inlineStr">
        <is>
          <t>TURVILLA</t>
        </is>
      </c>
    </row>
    <row r="2616">
      <c r="A2616" s="227">
        <f>TL[[#This Row],[Société]]&amp;" - "&amp;TL[[#This Row],[Compte]]</f>
        <v/>
      </c>
      <c r="B2616" s="233" t="inlineStr">
        <is>
          <t>628500</t>
        </is>
      </c>
      <c r="C2616" s="227" t="inlineStr">
        <is>
          <t>Redevance Mungu</t>
        </is>
      </c>
      <c r="D2616" s="233" t="inlineStr">
        <is>
          <t>51</t>
        </is>
      </c>
      <c r="E2616" s="233" t="inlineStr">
        <is>
          <t>46</t>
        </is>
      </c>
      <c r="F2616" s="227" t="inlineStr">
        <is>
          <t>TURVILLA</t>
        </is>
      </c>
    </row>
    <row r="2617">
      <c r="A2617" s="227">
        <f>TL[[#This Row],[Société]]&amp;" - "&amp;TL[[#This Row],[Compte]]</f>
        <v/>
      </c>
      <c r="B2617" s="233" t="inlineStr">
        <is>
          <t>631200</t>
        </is>
      </c>
      <c r="C2617" s="227" t="inlineStr">
        <is>
          <t>Taxe d'apprentissage</t>
        </is>
      </c>
      <c r="D2617" s="233" t="inlineStr">
        <is>
          <t>34</t>
        </is>
      </c>
      <c r="E2617" s="233" t="inlineStr">
        <is>
          <t>37</t>
        </is>
      </c>
      <c r="F2617" s="227" t="inlineStr">
        <is>
          <t>TURVILLA</t>
        </is>
      </c>
    </row>
    <row r="2618">
      <c r="A2618" s="227">
        <f>TL[[#This Row],[Société]]&amp;" - "&amp;TL[[#This Row],[Compte]]</f>
        <v/>
      </c>
      <c r="B2618" s="233" t="inlineStr">
        <is>
          <t>631300</t>
        </is>
      </c>
      <c r="C2618" s="227" t="inlineStr">
        <is>
          <t>Particip.emp. f.continue</t>
        </is>
      </c>
      <c r="F2618" s="227" t="inlineStr">
        <is>
          <t>TURVILLA</t>
        </is>
      </c>
    </row>
    <row r="2619">
      <c r="A2619" s="227">
        <f>TL[[#This Row],[Société]]&amp;" - "&amp;TL[[#This Row],[Compte]]</f>
        <v/>
      </c>
      <c r="B2619" s="233" t="inlineStr">
        <is>
          <t>631310</t>
        </is>
      </c>
      <c r="C2619" s="227" t="inlineStr">
        <is>
          <t>Agefiph</t>
        </is>
      </c>
      <c r="D2619" s="233" t="inlineStr">
        <is>
          <t>34</t>
        </is>
      </c>
      <c r="E2619" s="233" t="inlineStr">
        <is>
          <t>37</t>
        </is>
      </c>
      <c r="F2619" s="227" t="inlineStr">
        <is>
          <t>TURVILLA</t>
        </is>
      </c>
    </row>
    <row r="2620">
      <c r="A2620" s="227">
        <f>TL[[#This Row],[Société]]&amp;" - "&amp;TL[[#This Row],[Compte]]</f>
        <v/>
      </c>
      <c r="B2620" s="233" t="inlineStr">
        <is>
          <t>631500</t>
        </is>
      </c>
      <c r="C2620" s="227" t="inlineStr">
        <is>
          <t>Cot.agefiph handicape</t>
        </is>
      </c>
      <c r="F2620" s="227" t="inlineStr">
        <is>
          <t>TURVILLA</t>
        </is>
      </c>
    </row>
    <row r="2621">
      <c r="A2621" s="227">
        <f>TL[[#This Row],[Société]]&amp;" - "&amp;TL[[#This Row],[Compte]]</f>
        <v/>
      </c>
      <c r="B2621" s="233" t="inlineStr">
        <is>
          <t>633300</t>
        </is>
      </c>
      <c r="C2621" s="227" t="inlineStr">
        <is>
          <t>Formation continue (organisme)</t>
        </is>
      </c>
      <c r="D2621" s="233" t="inlineStr">
        <is>
          <t>34</t>
        </is>
      </c>
      <c r="E2621" s="233" t="inlineStr">
        <is>
          <t>37</t>
        </is>
      </c>
      <c r="F2621" s="227" t="inlineStr">
        <is>
          <t>TURVILLA</t>
        </is>
      </c>
    </row>
    <row r="2622">
      <c r="A2622" s="227">
        <f>TL[[#This Row],[Société]]&amp;" - "&amp;TL[[#This Row],[Compte]]</f>
        <v/>
      </c>
      <c r="B2622" s="233" t="inlineStr">
        <is>
          <t>633400</t>
        </is>
      </c>
      <c r="C2622" s="227" t="inlineStr">
        <is>
          <t>Effort construction</t>
        </is>
      </c>
      <c r="D2622" s="233" t="inlineStr">
        <is>
          <t>34</t>
        </is>
      </c>
      <c r="E2622" s="233" t="inlineStr">
        <is>
          <t>37</t>
        </is>
      </c>
      <c r="F2622" s="227" t="inlineStr">
        <is>
          <t>TURVILLA</t>
        </is>
      </c>
    </row>
    <row r="2623">
      <c r="A2623" s="227">
        <f>TL[[#This Row],[Société]]&amp;" - "&amp;TL[[#This Row],[Compte]]</f>
        <v/>
      </c>
      <c r="B2623" s="233" t="inlineStr">
        <is>
          <t>633500</t>
        </is>
      </c>
      <c r="C2623" s="227" t="inlineStr">
        <is>
          <t>Taxe d'apprentissage (verst libér.)</t>
        </is>
      </c>
      <c r="D2623" s="233" t="inlineStr">
        <is>
          <t>34</t>
        </is>
      </c>
      <c r="E2623" s="233" t="inlineStr">
        <is>
          <t>37</t>
        </is>
      </c>
      <c r="F2623" s="227" t="inlineStr">
        <is>
          <t>TURVILLA</t>
        </is>
      </c>
    </row>
    <row r="2624">
      <c r="A2624" s="227">
        <f>TL[[#This Row],[Société]]&amp;" - "&amp;TL[[#This Row],[Compte]]</f>
        <v/>
      </c>
      <c r="B2624" s="233" t="inlineStr">
        <is>
          <t>635111</t>
        </is>
      </c>
      <c r="C2624" s="227" t="inlineStr">
        <is>
          <t>Cfe</t>
        </is>
      </c>
      <c r="D2624" s="233" t="inlineStr">
        <is>
          <t>34</t>
        </is>
      </c>
      <c r="E2624" s="233" t="inlineStr">
        <is>
          <t>37</t>
        </is>
      </c>
      <c r="F2624" s="227" t="inlineStr">
        <is>
          <t>TURVILLA</t>
        </is>
      </c>
    </row>
    <row r="2625">
      <c r="A2625" s="227">
        <f>TL[[#This Row],[Société]]&amp;" - "&amp;TL[[#This Row],[Compte]]</f>
        <v/>
      </c>
      <c r="B2625" s="233" t="inlineStr">
        <is>
          <t>635112</t>
        </is>
      </c>
      <c r="C2625" s="227" t="inlineStr">
        <is>
          <t>Cvae</t>
        </is>
      </c>
      <c r="D2625" s="233" t="inlineStr">
        <is>
          <t>34</t>
        </is>
      </c>
      <c r="E2625" s="233" t="inlineStr">
        <is>
          <t>37</t>
        </is>
      </c>
      <c r="F2625" s="227" t="inlineStr">
        <is>
          <t>TURVILLA</t>
        </is>
      </c>
    </row>
    <row r="2626">
      <c r="A2626" s="227">
        <f>TL[[#This Row],[Société]]&amp;" - "&amp;TL[[#This Row],[Compte]]</f>
        <v/>
      </c>
      <c r="B2626" s="233" t="inlineStr">
        <is>
          <t>635120</t>
        </is>
      </c>
      <c r="C2626" s="227" t="inlineStr">
        <is>
          <t>Taxe fonciere</t>
        </is>
      </c>
      <c r="D2626" s="233" t="inlineStr">
        <is>
          <t>34</t>
        </is>
      </c>
      <c r="E2626" s="233" t="inlineStr">
        <is>
          <t>37</t>
        </is>
      </c>
      <c r="F2626" s="227" t="inlineStr">
        <is>
          <t>TURVILLA</t>
        </is>
      </c>
    </row>
    <row r="2627">
      <c r="A2627" s="227">
        <f>TL[[#This Row],[Société]]&amp;" - "&amp;TL[[#This Row],[Compte]]</f>
        <v/>
      </c>
      <c r="B2627" s="233" t="inlineStr">
        <is>
          <t>635130</t>
        </is>
      </c>
      <c r="C2627" s="227" t="inlineStr">
        <is>
          <t>Autres impôts locaux</t>
        </is>
      </c>
      <c r="F2627" s="227" t="inlineStr">
        <is>
          <t>TURVILLA</t>
        </is>
      </c>
    </row>
    <row r="2628">
      <c r="A2628" s="227">
        <f>TL[[#This Row],[Société]]&amp;" - "&amp;TL[[#This Row],[Compte]]</f>
        <v/>
      </c>
      <c r="B2628" s="233" t="inlineStr">
        <is>
          <t>635140</t>
        </is>
      </c>
      <c r="C2628" s="227" t="inlineStr">
        <is>
          <t>Taxes sur les véhicules sociétés</t>
        </is>
      </c>
      <c r="D2628" s="233" t="inlineStr">
        <is>
          <t>34</t>
        </is>
      </c>
      <c r="E2628" s="233" t="inlineStr">
        <is>
          <t>37</t>
        </is>
      </c>
      <c r="F2628" s="227" t="inlineStr">
        <is>
          <t>TURVILLA</t>
        </is>
      </c>
    </row>
    <row r="2629">
      <c r="A2629" s="227">
        <f>TL[[#This Row],[Société]]&amp;" - "&amp;TL[[#This Row],[Compte]]</f>
        <v/>
      </c>
      <c r="B2629" s="233" t="inlineStr">
        <is>
          <t>635200</t>
        </is>
      </c>
      <c r="C2629" s="227" t="inlineStr">
        <is>
          <t>Taxe sur publicite</t>
        </is>
      </c>
      <c r="D2629" s="233" t="inlineStr">
        <is>
          <t>34</t>
        </is>
      </c>
      <c r="E2629" s="233" t="inlineStr">
        <is>
          <t>37</t>
        </is>
      </c>
      <c r="F2629" s="227" t="inlineStr">
        <is>
          <t>TURVILLA</t>
        </is>
      </c>
    </row>
    <row r="2630">
      <c r="A2630" s="227">
        <f>TL[[#This Row],[Société]]&amp;" - "&amp;TL[[#This Row],[Compte]]</f>
        <v/>
      </c>
      <c r="B2630" s="233" t="inlineStr">
        <is>
          <t>635210</t>
        </is>
      </c>
      <c r="C2630" s="227" t="inlineStr">
        <is>
          <t>Taxe sur les boissons sucrees</t>
        </is>
      </c>
      <c r="D2630" s="233" t="inlineStr">
        <is>
          <t>09</t>
        </is>
      </c>
      <c r="E2630" s="233" t="inlineStr">
        <is>
          <t>03</t>
        </is>
      </c>
      <c r="F2630" s="227" t="inlineStr">
        <is>
          <t>TURVILLA</t>
        </is>
      </c>
    </row>
    <row r="2631">
      <c r="A2631" s="227">
        <f>TL[[#This Row],[Société]]&amp;" - "&amp;TL[[#This Row],[Compte]]</f>
        <v/>
      </c>
      <c r="B2631" s="233" t="inlineStr">
        <is>
          <t>635500</t>
        </is>
      </c>
      <c r="C2631" s="227" t="inlineStr">
        <is>
          <t>Autr.imp.taxes (impots)</t>
        </is>
      </c>
      <c r="D2631" s="233" t="inlineStr">
        <is>
          <t>34</t>
        </is>
      </c>
      <c r="E2631" s="233" t="inlineStr">
        <is>
          <t>37</t>
        </is>
      </c>
      <c r="F2631" s="227" t="inlineStr">
        <is>
          <t>TURVILLA</t>
        </is>
      </c>
    </row>
    <row r="2632">
      <c r="A2632" s="227">
        <f>TL[[#This Row],[Société]]&amp;" - "&amp;TL[[#This Row],[Compte]]</f>
        <v/>
      </c>
      <c r="B2632" s="233" t="inlineStr">
        <is>
          <t>635520</t>
        </is>
      </c>
      <c r="C2632" s="227" t="inlineStr">
        <is>
          <t>Redevance audiovisuelle</t>
        </is>
      </c>
      <c r="D2632" s="233" t="inlineStr">
        <is>
          <t>34</t>
        </is>
      </c>
      <c r="E2632" s="233" t="inlineStr">
        <is>
          <t>37</t>
        </is>
      </c>
      <c r="F2632" s="227" t="inlineStr">
        <is>
          <t>TURVILLA</t>
        </is>
      </c>
    </row>
    <row r="2633">
      <c r="A2633" s="227">
        <f>TL[[#This Row],[Société]]&amp;" - "&amp;TL[[#This Row],[Compte]]</f>
        <v/>
      </c>
      <c r="B2633" s="233" t="inlineStr">
        <is>
          <t>635800</t>
        </is>
      </c>
      <c r="C2633" s="227" t="inlineStr">
        <is>
          <t>Autres droits</t>
        </is>
      </c>
      <c r="D2633" s="233" t="inlineStr">
        <is>
          <t>34</t>
        </is>
      </c>
      <c r="E2633" s="233" t="inlineStr">
        <is>
          <t>37</t>
        </is>
      </c>
      <c r="F2633" s="227" t="inlineStr">
        <is>
          <t>TURVILLA</t>
        </is>
      </c>
    </row>
    <row r="2634">
      <c r="A2634" s="227">
        <f>TL[[#This Row],[Société]]&amp;" - "&amp;TL[[#This Row],[Compte]]</f>
        <v/>
      </c>
      <c r="B2634" s="233" t="inlineStr">
        <is>
          <t>637300</t>
        </is>
      </c>
      <c r="C2634" s="227" t="inlineStr">
        <is>
          <t>Csg déductible</t>
        </is>
      </c>
      <c r="F2634" s="227" t="inlineStr">
        <is>
          <t>TURVILLA</t>
        </is>
      </c>
    </row>
    <row r="2635">
      <c r="A2635" s="227">
        <f>TL[[#This Row],[Société]]&amp;" - "&amp;TL[[#This Row],[Compte]]</f>
        <v/>
      </c>
      <c r="B2635" s="233" t="inlineStr">
        <is>
          <t>637400</t>
        </is>
      </c>
      <c r="C2635" s="227" t="inlineStr">
        <is>
          <t>Taxe boissons sucrées</t>
        </is>
      </c>
      <c r="D2635" s="233" t="inlineStr">
        <is>
          <t>09</t>
        </is>
      </c>
      <c r="E2635" s="233" t="inlineStr">
        <is>
          <t>03</t>
        </is>
      </c>
      <c r="F2635" s="227" t="inlineStr">
        <is>
          <t>TURVILLA</t>
        </is>
      </c>
    </row>
    <row r="2636">
      <c r="A2636" s="227">
        <f>TL[[#This Row],[Société]]&amp;" - "&amp;TL[[#This Row],[Compte]]</f>
        <v/>
      </c>
      <c r="B2636" s="233" t="inlineStr">
        <is>
          <t>641020</t>
        </is>
      </c>
      <c r="C2636" s="227" t="inlineStr">
        <is>
          <t>Remunerations managers</t>
        </is>
      </c>
      <c r="D2636" s="233" t="inlineStr">
        <is>
          <t>11</t>
        </is>
      </c>
      <c r="E2636" s="233" t="inlineStr">
        <is>
          <t>10</t>
        </is>
      </c>
      <c r="F2636" s="227" t="inlineStr">
        <is>
          <t>TURVILLA</t>
        </is>
      </c>
    </row>
    <row r="2637">
      <c r="A2637" s="227">
        <f>TL[[#This Row],[Société]]&amp;" - "&amp;TL[[#This Row],[Compte]]</f>
        <v/>
      </c>
      <c r="B2637" s="233" t="inlineStr">
        <is>
          <t>641030</t>
        </is>
      </c>
      <c r="C2637" s="227" t="inlineStr">
        <is>
          <t>Remunerations equipiers</t>
        </is>
      </c>
      <c r="D2637" s="233" t="inlineStr">
        <is>
          <t>10</t>
        </is>
      </c>
      <c r="E2637" s="233" t="inlineStr">
        <is>
          <t>08</t>
        </is>
      </c>
      <c r="F2637" s="227" t="inlineStr">
        <is>
          <t>TURVILLA</t>
        </is>
      </c>
    </row>
    <row r="2638">
      <c r="A2638" s="227">
        <f>TL[[#This Row],[Société]]&amp;" - "&amp;TL[[#This Row],[Compte]]</f>
        <v/>
      </c>
      <c r="B2638" s="233" t="inlineStr">
        <is>
          <t>641040</t>
        </is>
      </c>
      <c r="C2638" s="227" t="inlineStr">
        <is>
          <t>Salaire administratif</t>
        </is>
      </c>
      <c r="F2638" s="227" t="inlineStr">
        <is>
          <t>TURVILLA</t>
        </is>
      </c>
    </row>
    <row r="2639">
      <c r="A2639" s="227">
        <f>TL[[#This Row],[Société]]&amp;" - "&amp;TL[[#This Row],[Compte]]</f>
        <v/>
      </c>
      <c r="B2639" s="233" t="inlineStr">
        <is>
          <t>641063</t>
        </is>
      </c>
      <c r="C2639" s="227" t="inlineStr">
        <is>
          <t>Avantage nature equipiers</t>
        </is>
      </c>
      <c r="D2639" s="233" t="inlineStr">
        <is>
          <t>10</t>
        </is>
      </c>
      <c r="E2639" s="233" t="inlineStr">
        <is>
          <t>08</t>
        </is>
      </c>
      <c r="F2639" s="227" t="inlineStr">
        <is>
          <t>TURVILLA</t>
        </is>
      </c>
    </row>
    <row r="2640">
      <c r="A2640" s="227">
        <f>TL[[#This Row],[Société]]&amp;" - "&amp;TL[[#This Row],[Compte]]</f>
        <v/>
      </c>
      <c r="B2640" s="233" t="inlineStr">
        <is>
          <t>641064</t>
        </is>
      </c>
      <c r="C2640" s="227" t="inlineStr">
        <is>
          <t>Avantage nature managers</t>
        </is>
      </c>
      <c r="D2640" s="233" t="inlineStr">
        <is>
          <t>11</t>
        </is>
      </c>
      <c r="E2640" s="233" t="inlineStr">
        <is>
          <t>10</t>
        </is>
      </c>
      <c r="F2640" s="227" t="inlineStr">
        <is>
          <t>TURVILLA</t>
        </is>
      </c>
    </row>
    <row r="2641">
      <c r="A2641" s="227">
        <f>TL[[#This Row],[Société]]&amp;" - "&amp;TL[[#This Row],[Compte]]</f>
        <v/>
      </c>
      <c r="B2641" s="233" t="inlineStr">
        <is>
          <t>641100</t>
        </is>
      </c>
      <c r="C2641" s="227" t="inlineStr">
        <is>
          <t>SALAIRES 01/2022</t>
        </is>
      </c>
      <c r="F2641" s="227" t="inlineStr">
        <is>
          <t>TURVILLA</t>
        </is>
      </c>
    </row>
    <row r="2642">
      <c r="A2642" s="227">
        <f>TL[[#This Row],[Société]]&amp;" - "&amp;TL[[#This Row],[Compte]]</f>
        <v/>
      </c>
      <c r="B2642" s="233" t="inlineStr">
        <is>
          <t>641200</t>
        </is>
      </c>
      <c r="C2642" s="227" t="inlineStr">
        <is>
          <t>Provision CP - janvier 2022 (?)</t>
        </is>
      </c>
      <c r="F2642" s="227" t="inlineStr">
        <is>
          <t>TURVILLA</t>
        </is>
      </c>
    </row>
    <row r="2643">
      <c r="A2643" s="227">
        <f>TL[[#This Row],[Société]]&amp;" - "&amp;TL[[#This Row],[Compte]]</f>
        <v/>
      </c>
      <c r="B2643" s="233" t="inlineStr">
        <is>
          <t>641204</t>
        </is>
      </c>
      <c r="C2643" s="227" t="inlineStr">
        <is>
          <t>Avantage en nature voiture</t>
        </is>
      </c>
      <c r="D2643" s="233" t="inlineStr">
        <is>
          <t>11</t>
        </is>
      </c>
      <c r="E2643" s="233" t="inlineStr">
        <is>
          <t>10</t>
        </is>
      </c>
      <c r="F2643" s="227" t="inlineStr">
        <is>
          <t>TURVILLA</t>
        </is>
      </c>
    </row>
    <row r="2644">
      <c r="A2644" s="227">
        <f>TL[[#This Row],[Société]]&amp;" - "&amp;TL[[#This Row],[Compte]]</f>
        <v/>
      </c>
      <c r="B2644" s="233" t="inlineStr">
        <is>
          <t>641220</t>
        </is>
      </c>
      <c r="C2644" s="227" t="inlineStr">
        <is>
          <t>Prov° c payes managers</t>
        </is>
      </c>
      <c r="D2644" s="233" t="inlineStr">
        <is>
          <t>11</t>
        </is>
      </c>
      <c r="E2644" s="233" t="inlineStr">
        <is>
          <t>10</t>
        </is>
      </c>
      <c r="F2644" s="227" t="inlineStr">
        <is>
          <t>TURVILLA</t>
        </is>
      </c>
    </row>
    <row r="2645">
      <c r="A2645" s="227">
        <f>TL[[#This Row],[Société]]&amp;" - "&amp;TL[[#This Row],[Compte]]</f>
        <v/>
      </c>
      <c r="B2645" s="233" t="inlineStr">
        <is>
          <t>641230</t>
        </is>
      </c>
      <c r="C2645" s="227" t="inlineStr">
        <is>
          <t>Prov c payes equipiers</t>
        </is>
      </c>
      <c r="D2645" s="233" t="inlineStr">
        <is>
          <t>10</t>
        </is>
      </c>
      <c r="E2645" s="233" t="inlineStr">
        <is>
          <t>08</t>
        </is>
      </c>
      <c r="F2645" s="227" t="inlineStr">
        <is>
          <t>TURVILLA</t>
        </is>
      </c>
    </row>
    <row r="2646">
      <c r="A2646" s="227">
        <f>TL[[#This Row],[Société]]&amp;" - "&amp;TL[[#This Row],[Compte]]</f>
        <v/>
      </c>
      <c r="B2646" s="233" t="inlineStr">
        <is>
          <t>641240</t>
        </is>
      </c>
      <c r="C2646" s="227" t="inlineStr">
        <is>
          <t>C.payes administratifs</t>
        </is>
      </c>
      <c r="F2646" s="227" t="inlineStr">
        <is>
          <t>TURVILLA</t>
        </is>
      </c>
    </row>
    <row r="2647">
      <c r="A2647" s="227">
        <f>TL[[#This Row],[Société]]&amp;" - "&amp;TL[[#This Row],[Compte]]</f>
        <v/>
      </c>
      <c r="B2647" s="233" t="inlineStr">
        <is>
          <t>641300</t>
        </is>
      </c>
      <c r="C2647" s="227" t="inlineStr">
        <is>
          <t>Primes diverses</t>
        </is>
      </c>
      <c r="F2647" s="227" t="inlineStr">
        <is>
          <t>TURVILLA</t>
        </is>
      </c>
    </row>
    <row r="2648">
      <c r="A2648" s="227">
        <f>TL[[#This Row],[Société]]&amp;" - "&amp;TL[[#This Row],[Compte]]</f>
        <v/>
      </c>
      <c r="B2648" s="233" t="inlineStr">
        <is>
          <t>641301</t>
        </is>
      </c>
      <c r="C2648" s="227" t="inlineStr">
        <is>
          <t>Prime de transport</t>
        </is>
      </c>
      <c r="F2648" s="227" t="inlineStr">
        <is>
          <t>TURVILLA</t>
        </is>
      </c>
    </row>
    <row r="2649">
      <c r="A2649" s="227">
        <f>TL[[#This Row],[Société]]&amp;" - "&amp;TL[[#This Row],[Compte]]</f>
        <v/>
      </c>
      <c r="B2649" s="233" t="inlineStr">
        <is>
          <t>641320</t>
        </is>
      </c>
      <c r="C2649" s="227" t="inlineStr">
        <is>
          <t>Prov primes</t>
        </is>
      </c>
      <c r="D2649" s="233" t="inlineStr">
        <is>
          <t>11</t>
        </is>
      </c>
      <c r="E2649" s="233" t="inlineStr">
        <is>
          <t>10</t>
        </is>
      </c>
      <c r="F2649" s="227" t="inlineStr">
        <is>
          <t>TURVILLA</t>
        </is>
      </c>
    </row>
    <row r="2650">
      <c r="A2650" s="227">
        <f>TL[[#This Row],[Société]]&amp;" - "&amp;TL[[#This Row],[Compte]]</f>
        <v/>
      </c>
      <c r="B2650" s="233" t="inlineStr">
        <is>
          <t>641330</t>
        </is>
      </c>
      <c r="C2650" s="227" t="inlineStr">
        <is>
          <t>Primes mger/asst</t>
        </is>
      </c>
      <c r="D2650" s="233" t="inlineStr">
        <is>
          <t>11</t>
        </is>
      </c>
      <c r="E2650" s="233" t="inlineStr">
        <is>
          <t>10</t>
        </is>
      </c>
      <c r="F2650" s="227" t="inlineStr">
        <is>
          <t>TURVILLA</t>
        </is>
      </c>
    </row>
    <row r="2651">
      <c r="A2651" s="227">
        <f>TL[[#This Row],[Société]]&amp;" - "&amp;TL[[#This Row],[Compte]]</f>
        <v/>
      </c>
      <c r="B2651" s="233" t="inlineStr">
        <is>
          <t>641340</t>
        </is>
      </c>
      <c r="C2651" s="227" t="inlineStr">
        <is>
          <t>Indemnités licenciements</t>
        </is>
      </c>
      <c r="D2651" s="233" t="inlineStr">
        <is>
          <t>11</t>
        </is>
      </c>
      <c r="E2651" s="233" t="inlineStr">
        <is>
          <t>10</t>
        </is>
      </c>
      <c r="F2651" s="227" t="inlineStr">
        <is>
          <t>TURVILLA</t>
        </is>
      </c>
    </row>
    <row r="2652">
      <c r="A2652" s="227">
        <f>TL[[#This Row],[Société]]&amp;" - "&amp;TL[[#This Row],[Compte]]</f>
        <v/>
      </c>
      <c r="B2652" s="233" t="inlineStr">
        <is>
          <t>641341</t>
        </is>
      </c>
      <c r="C2652" s="227" t="inlineStr">
        <is>
          <t>Indem licenciement managers</t>
        </is>
      </c>
      <c r="D2652" s="233" t="inlineStr">
        <is>
          <t>11</t>
        </is>
      </c>
      <c r="E2652" s="233" t="inlineStr">
        <is>
          <t>10</t>
        </is>
      </c>
      <c r="F2652" s="227" t="inlineStr">
        <is>
          <t>TURVILLA</t>
        </is>
      </c>
    </row>
    <row r="2653">
      <c r="A2653" s="227">
        <f>TL[[#This Row],[Société]]&amp;" - "&amp;TL[[#This Row],[Compte]]</f>
        <v/>
      </c>
      <c r="B2653" s="233" t="inlineStr">
        <is>
          <t>641342</t>
        </is>
      </c>
      <c r="C2653" s="227" t="inlineStr">
        <is>
          <t>Indem licenciement manager L39</t>
        </is>
      </c>
      <c r="D2653" s="233" t="inlineStr">
        <is>
          <t>39</t>
        </is>
      </c>
      <c r="E2653" s="233" t="inlineStr">
        <is>
          <t>13</t>
        </is>
      </c>
      <c r="F2653" s="227" t="inlineStr">
        <is>
          <t>TURVILLA</t>
        </is>
      </c>
    </row>
    <row r="2654">
      <c r="A2654" s="227">
        <f>TL[[#This Row],[Société]]&amp;" - "&amp;TL[[#This Row],[Compte]]</f>
        <v/>
      </c>
      <c r="B2654" s="233" t="inlineStr">
        <is>
          <t>641350</t>
        </is>
      </c>
      <c r="C2654" s="227" t="inlineStr">
        <is>
          <t>Indemnites de licenciement</t>
        </is>
      </c>
      <c r="F2654" s="227" t="inlineStr">
        <is>
          <t>TURVILLA</t>
        </is>
      </c>
    </row>
    <row r="2655">
      <c r="A2655" s="227">
        <f>TL[[#This Row],[Société]]&amp;" - "&amp;TL[[#This Row],[Compte]]</f>
        <v/>
      </c>
      <c r="B2655" s="233" t="inlineStr">
        <is>
          <t>641400</t>
        </is>
      </c>
      <c r="C2655" s="227" t="inlineStr">
        <is>
          <t>SALAIRES 01/2022</t>
        </is>
      </c>
      <c r="F2655" s="227" t="inlineStr">
        <is>
          <t>TURVILLA</t>
        </is>
      </c>
    </row>
    <row r="2656">
      <c r="A2656" s="227">
        <f>TL[[#This Row],[Société]]&amp;" - "&amp;TL[[#This Row],[Compte]]</f>
        <v/>
      </c>
      <c r="B2656" s="233" t="inlineStr">
        <is>
          <t>641410</t>
        </is>
      </c>
      <c r="C2656" s="227" t="inlineStr">
        <is>
          <t>Indemnites blanchissage équipiers</t>
        </is>
      </c>
      <c r="D2656" s="233" t="inlineStr">
        <is>
          <t>10</t>
        </is>
      </c>
      <c r="E2656" s="233" t="inlineStr">
        <is>
          <t>08</t>
        </is>
      </c>
      <c r="F2656" s="227" t="inlineStr">
        <is>
          <t>TURVILLA</t>
        </is>
      </c>
    </row>
    <row r="2657">
      <c r="A2657" s="227">
        <f>TL[[#This Row],[Société]]&amp;" - "&amp;TL[[#This Row],[Compte]]</f>
        <v/>
      </c>
      <c r="B2657" s="233" t="inlineStr">
        <is>
          <t>641411</t>
        </is>
      </c>
      <c r="C2657" s="227" t="inlineStr">
        <is>
          <t>Indemnites blanchissage managers</t>
        </is>
      </c>
      <c r="D2657" s="233" t="inlineStr">
        <is>
          <t>11</t>
        </is>
      </c>
      <c r="E2657" s="233" t="inlineStr">
        <is>
          <t>10</t>
        </is>
      </c>
      <c r="F2657" s="227" t="inlineStr">
        <is>
          <t>TURVILLA</t>
        </is>
      </c>
    </row>
    <row r="2658">
      <c r="A2658" s="227">
        <f>TL[[#This Row],[Société]]&amp;" - "&amp;TL[[#This Row],[Compte]]</f>
        <v/>
      </c>
      <c r="B2658" s="233" t="inlineStr">
        <is>
          <t>641412</t>
        </is>
      </c>
      <c r="C2658" s="227" t="inlineStr">
        <is>
          <t>Indemnités transport équipiers</t>
        </is>
      </c>
      <c r="D2658" s="233" t="inlineStr">
        <is>
          <t>10</t>
        </is>
      </c>
      <c r="E2658" s="233" t="inlineStr">
        <is>
          <t>08</t>
        </is>
      </c>
      <c r="F2658" s="227" t="inlineStr">
        <is>
          <t>TURVILLA</t>
        </is>
      </c>
    </row>
    <row r="2659">
      <c r="A2659" s="227">
        <f>TL[[#This Row],[Société]]&amp;" - "&amp;TL[[#This Row],[Compte]]</f>
        <v/>
      </c>
      <c r="B2659" s="233" t="inlineStr">
        <is>
          <t>645100</t>
        </is>
      </c>
      <c r="C2659" s="227" t="inlineStr">
        <is>
          <t>Urssaf</t>
        </is>
      </c>
      <c r="F2659" s="227" t="inlineStr">
        <is>
          <t>TURVILLA</t>
        </is>
      </c>
    </row>
    <row r="2660">
      <c r="A2660" s="227">
        <f>TL[[#This Row],[Société]]&amp;" - "&amp;TL[[#This Row],[Compte]]</f>
        <v/>
      </c>
      <c r="B2660" s="233" t="inlineStr">
        <is>
          <t>645110</t>
        </is>
      </c>
      <c r="C2660" s="227" t="inlineStr">
        <is>
          <t>Forfait social participation</t>
        </is>
      </c>
      <c r="D2660" s="233" t="inlineStr">
        <is>
          <t>39</t>
        </is>
      </c>
      <c r="E2660" s="233" t="inlineStr">
        <is>
          <t>10</t>
        </is>
      </c>
      <c r="F2660" s="227" t="inlineStr">
        <is>
          <t>TURVILLA</t>
        </is>
      </c>
    </row>
    <row r="2661">
      <c r="A2661" s="227">
        <f>TL[[#This Row],[Société]]&amp;" - "&amp;TL[[#This Row],[Compte]]</f>
        <v/>
      </c>
      <c r="B2661" s="233" t="inlineStr">
        <is>
          <t>645120</t>
        </is>
      </c>
      <c r="C2661" s="227" t="inlineStr">
        <is>
          <t>Cotis urssaf managers</t>
        </is>
      </c>
      <c r="D2661" s="233" t="inlineStr">
        <is>
          <t>12</t>
        </is>
      </c>
      <c r="E2661" s="233" t="inlineStr">
        <is>
          <t>11</t>
        </is>
      </c>
      <c r="F2661" s="227" t="inlineStr">
        <is>
          <t>TURVILLA</t>
        </is>
      </c>
    </row>
    <row r="2662">
      <c r="A2662" s="227">
        <f>TL[[#This Row],[Société]]&amp;" - "&amp;TL[[#This Row],[Compte]]</f>
        <v/>
      </c>
      <c r="B2662" s="233" t="inlineStr">
        <is>
          <t>645130</t>
        </is>
      </c>
      <c r="C2662" s="227" t="inlineStr">
        <is>
          <t>Cotis. urssaf equipiers</t>
        </is>
      </c>
      <c r="D2662" s="233" t="inlineStr">
        <is>
          <t>10</t>
        </is>
      </c>
      <c r="E2662" s="233" t="inlineStr">
        <is>
          <t>09</t>
        </is>
      </c>
      <c r="F2662" s="227" t="inlineStr">
        <is>
          <t>TURVILLA</t>
        </is>
      </c>
    </row>
    <row r="2663">
      <c r="A2663" s="227">
        <f>TL[[#This Row],[Société]]&amp;" - "&amp;TL[[#This Row],[Compte]]</f>
        <v/>
      </c>
      <c r="B2663" s="233" t="inlineStr">
        <is>
          <t>645200</t>
        </is>
      </c>
      <c r="C2663" s="227" t="inlineStr">
        <is>
          <t>SALAIRES 01/2022</t>
        </is>
      </c>
      <c r="F2663" s="227" t="inlineStr">
        <is>
          <t>TURVILLA</t>
        </is>
      </c>
    </row>
    <row r="2664">
      <c r="A2664" s="227">
        <f>TL[[#This Row],[Société]]&amp;" - "&amp;TL[[#This Row],[Compte]]</f>
        <v/>
      </c>
      <c r="B2664" s="233" t="inlineStr">
        <is>
          <t>645300</t>
        </is>
      </c>
      <c r="C2664" s="227" t="inlineStr">
        <is>
          <t>SALAIRES 01/2022</t>
        </is>
      </c>
      <c r="F2664" s="227" t="inlineStr">
        <is>
          <t>TURVILLA</t>
        </is>
      </c>
    </row>
    <row r="2665">
      <c r="A2665" s="227">
        <f>TL[[#This Row],[Société]]&amp;" - "&amp;TL[[#This Row],[Compte]]</f>
        <v/>
      </c>
      <c r="B2665" s="233" t="inlineStr">
        <is>
          <t>645310</t>
        </is>
      </c>
      <c r="C2665" s="227" t="inlineStr">
        <is>
          <t>Retraite cadre</t>
        </is>
      </c>
      <c r="F2665" s="227" t="inlineStr">
        <is>
          <t>TURVILLA</t>
        </is>
      </c>
    </row>
    <row r="2666">
      <c r="A2666" s="227">
        <f>TL[[#This Row],[Société]]&amp;" - "&amp;TL[[#This Row],[Compte]]</f>
        <v/>
      </c>
      <c r="B2666" s="233" t="inlineStr">
        <is>
          <t>645313</t>
        </is>
      </c>
      <c r="C2666" s="227" t="inlineStr">
        <is>
          <t>Mutuelle non cadre</t>
        </is>
      </c>
      <c r="F2666" s="227" t="inlineStr">
        <is>
          <t>TURVILLA</t>
        </is>
      </c>
    </row>
    <row r="2667">
      <c r="A2667" s="227">
        <f>TL[[#This Row],[Société]]&amp;" - "&amp;TL[[#This Row],[Compte]]</f>
        <v/>
      </c>
      <c r="B2667" s="233" t="inlineStr">
        <is>
          <t>645320</t>
        </is>
      </c>
      <c r="C2667" s="227" t="inlineStr">
        <is>
          <t>Retraite  managers</t>
        </is>
      </c>
      <c r="D2667" s="233" t="inlineStr">
        <is>
          <t>12</t>
        </is>
      </c>
      <c r="E2667" s="233" t="inlineStr">
        <is>
          <t>11</t>
        </is>
      </c>
      <c r="F2667" s="227" t="inlineStr">
        <is>
          <t>TURVILLA</t>
        </is>
      </c>
    </row>
    <row r="2668">
      <c r="A2668" s="227">
        <f>TL[[#This Row],[Société]]&amp;" - "&amp;TL[[#This Row],[Compte]]</f>
        <v/>
      </c>
      <c r="B2668" s="233" t="inlineStr">
        <is>
          <t>645330</t>
        </is>
      </c>
      <c r="C2668" s="227" t="inlineStr">
        <is>
          <t>Retraite équipiers</t>
        </is>
      </c>
      <c r="D2668" s="233" t="inlineStr">
        <is>
          <t>10</t>
        </is>
      </c>
      <c r="E2668" s="233" t="inlineStr">
        <is>
          <t>09</t>
        </is>
      </c>
      <c r="F2668" s="227" t="inlineStr">
        <is>
          <t>TURVILLA</t>
        </is>
      </c>
    </row>
    <row r="2669">
      <c r="A2669" s="227">
        <f>TL[[#This Row],[Société]]&amp;" - "&amp;TL[[#This Row],[Compte]]</f>
        <v/>
      </c>
      <c r="B2669" s="233" t="inlineStr">
        <is>
          <t>645340</t>
        </is>
      </c>
      <c r="C2669" s="227" t="inlineStr">
        <is>
          <t>Prev non cadre ag2r</t>
        </is>
      </c>
      <c r="F2669" s="227" t="inlineStr">
        <is>
          <t>TURVILLA</t>
        </is>
      </c>
    </row>
    <row r="2670">
      <c r="A2670" s="227">
        <f>TL[[#This Row],[Société]]&amp;" - "&amp;TL[[#This Row],[Compte]]</f>
        <v/>
      </c>
      <c r="B2670" s="233" t="inlineStr">
        <is>
          <t>645341</t>
        </is>
      </c>
      <c r="C2670" s="227" t="inlineStr">
        <is>
          <t>Prev cadre ag2r</t>
        </is>
      </c>
      <c r="F2670" s="227" t="inlineStr">
        <is>
          <t>TURVILLA</t>
        </is>
      </c>
    </row>
    <row r="2671">
      <c r="A2671" s="227">
        <f>TL[[#This Row],[Société]]&amp;" - "&amp;TL[[#This Row],[Compte]]</f>
        <v/>
      </c>
      <c r="B2671" s="233" t="inlineStr">
        <is>
          <t>645345</t>
        </is>
      </c>
      <c r="C2671" s="227" t="inlineStr">
        <is>
          <t>RETRAITE  KLESIA</t>
        </is>
      </c>
      <c r="F2671" s="227" t="inlineStr">
        <is>
          <t>TURVILLA</t>
        </is>
      </c>
    </row>
    <row r="2672">
      <c r="A2672" s="227">
        <f>TL[[#This Row],[Société]]&amp;" - "&amp;TL[[#This Row],[Compte]]</f>
        <v/>
      </c>
      <c r="B2672" s="233" t="inlineStr">
        <is>
          <t>645350</t>
        </is>
      </c>
      <c r="C2672" s="227" t="inlineStr">
        <is>
          <t>Retraite non cadre</t>
        </is>
      </c>
      <c r="F2672" s="227" t="inlineStr">
        <is>
          <t>TURVILLA</t>
        </is>
      </c>
    </row>
    <row r="2673">
      <c r="A2673" s="227">
        <f>TL[[#This Row],[Société]]&amp;" - "&amp;TL[[#This Row],[Compte]]</f>
        <v/>
      </c>
      <c r="B2673" s="233" t="inlineStr">
        <is>
          <t>645400</t>
        </is>
      </c>
      <c r="C2673" s="227" t="inlineStr">
        <is>
          <t>SALAIRES 01/2022</t>
        </is>
      </c>
      <c r="F2673" s="227" t="inlineStr">
        <is>
          <t>TURVILLA</t>
        </is>
      </c>
    </row>
    <row r="2674">
      <c r="A2674" s="227">
        <f>TL[[#This Row],[Société]]&amp;" - "&amp;TL[[#This Row],[Compte]]</f>
        <v/>
      </c>
      <c r="B2674" s="233" t="inlineStr">
        <is>
          <t>645420</t>
        </is>
      </c>
      <c r="C2674" s="227" t="inlineStr">
        <is>
          <t>Assurance chômage managers</t>
        </is>
      </c>
      <c r="D2674" s="233" t="inlineStr">
        <is>
          <t>12</t>
        </is>
      </c>
      <c r="E2674" s="233" t="inlineStr">
        <is>
          <t>11</t>
        </is>
      </c>
      <c r="F2674" s="227" t="inlineStr">
        <is>
          <t>TURVILLA</t>
        </is>
      </c>
    </row>
    <row r="2675">
      <c r="A2675" s="227">
        <f>TL[[#This Row],[Société]]&amp;" - "&amp;TL[[#This Row],[Compte]]</f>
        <v/>
      </c>
      <c r="B2675" s="233" t="inlineStr">
        <is>
          <t>645430</t>
        </is>
      </c>
      <c r="C2675" s="227" t="inlineStr">
        <is>
          <t>Assurance chômage equipiers</t>
        </is>
      </c>
      <c r="D2675" s="233" t="inlineStr">
        <is>
          <t>10</t>
        </is>
      </c>
      <c r="E2675" s="233" t="inlineStr">
        <is>
          <t>09</t>
        </is>
      </c>
      <c r="F2675" s="227" t="inlineStr">
        <is>
          <t>TURVILLA</t>
        </is>
      </c>
    </row>
    <row r="2676">
      <c r="A2676" s="227">
        <f>TL[[#This Row],[Société]]&amp;" - "&amp;TL[[#This Row],[Compte]]</f>
        <v/>
      </c>
      <c r="B2676" s="233" t="inlineStr">
        <is>
          <t>645520</t>
        </is>
      </c>
      <c r="C2676" s="227" t="inlineStr">
        <is>
          <t>Mutuelle managers</t>
        </is>
      </c>
      <c r="D2676" s="233" t="inlineStr">
        <is>
          <t>12</t>
        </is>
      </c>
      <c r="E2676" s="233" t="inlineStr">
        <is>
          <t>11</t>
        </is>
      </c>
      <c r="F2676" s="227" t="inlineStr">
        <is>
          <t>TURVILLA</t>
        </is>
      </c>
    </row>
    <row r="2677">
      <c r="A2677" s="227">
        <f>TL[[#This Row],[Société]]&amp;" - "&amp;TL[[#This Row],[Compte]]</f>
        <v/>
      </c>
      <c r="B2677" s="233" t="inlineStr">
        <is>
          <t>645530</t>
        </is>
      </c>
      <c r="C2677" s="227" t="inlineStr">
        <is>
          <t>Mutuelle équipiers</t>
        </is>
      </c>
      <c r="D2677" s="233" t="inlineStr">
        <is>
          <t>10</t>
        </is>
      </c>
      <c r="E2677" s="233" t="inlineStr">
        <is>
          <t>09</t>
        </is>
      </c>
      <c r="F2677" s="227" t="inlineStr">
        <is>
          <t>TURVILLA</t>
        </is>
      </c>
    </row>
    <row r="2678">
      <c r="A2678" s="227">
        <f>TL[[#This Row],[Société]]&amp;" - "&amp;TL[[#This Row],[Compte]]</f>
        <v/>
      </c>
      <c r="B2678" s="233" t="inlineStr">
        <is>
          <t>645620</t>
        </is>
      </c>
      <c r="C2678" s="227" t="inlineStr">
        <is>
          <t>Cotis agirc managers</t>
        </is>
      </c>
      <c r="D2678" s="233" t="inlineStr">
        <is>
          <t>12</t>
        </is>
      </c>
      <c r="E2678" s="233" t="inlineStr">
        <is>
          <t>11</t>
        </is>
      </c>
      <c r="F2678" s="227" t="inlineStr">
        <is>
          <t>TURVILLA</t>
        </is>
      </c>
    </row>
    <row r="2679">
      <c r="A2679" s="227">
        <f>TL[[#This Row],[Société]]&amp;" - "&amp;TL[[#This Row],[Compte]]</f>
        <v/>
      </c>
      <c r="B2679" s="233" t="inlineStr">
        <is>
          <t>645800</t>
        </is>
      </c>
      <c r="C2679" s="227" t="inlineStr">
        <is>
          <t>Cotisations autres organism. socx</t>
        </is>
      </c>
      <c r="F2679" s="227" t="inlineStr">
        <is>
          <t>TURVILLA</t>
        </is>
      </c>
    </row>
    <row r="2680">
      <c r="A2680" s="227">
        <f>TL[[#This Row],[Société]]&amp;" - "&amp;TL[[#This Row],[Compte]]</f>
        <v/>
      </c>
      <c r="B2680" s="233" t="inlineStr">
        <is>
          <t>645810</t>
        </is>
      </c>
      <c r="C2680" s="227" t="inlineStr">
        <is>
          <t>Medecine du travail</t>
        </is>
      </c>
      <c r="D2680" s="233" t="inlineStr">
        <is>
          <t>16</t>
        </is>
      </c>
      <c r="E2680" s="233" t="inlineStr">
        <is>
          <t>19</t>
        </is>
      </c>
      <c r="F2680" s="227" t="inlineStr">
        <is>
          <t>TURVILLA</t>
        </is>
      </c>
    </row>
    <row r="2681">
      <c r="A2681" s="227">
        <f>TL[[#This Row],[Société]]&amp;" - "&amp;TL[[#This Row],[Compte]]</f>
        <v/>
      </c>
      <c r="B2681" s="233" t="inlineStr">
        <is>
          <t>645820</t>
        </is>
      </c>
      <c r="C2681" s="227" t="inlineStr">
        <is>
          <t>Ch soc  prov cp managers</t>
        </is>
      </c>
      <c r="D2681" s="233" t="inlineStr">
        <is>
          <t>12</t>
        </is>
      </c>
      <c r="E2681" s="233" t="inlineStr">
        <is>
          <t>11</t>
        </is>
      </c>
      <c r="F2681" s="227" t="inlineStr">
        <is>
          <t>TURVILLA</t>
        </is>
      </c>
    </row>
    <row r="2682">
      <c r="A2682" s="227">
        <f>TL[[#This Row],[Société]]&amp;" - "&amp;TL[[#This Row],[Compte]]</f>
        <v/>
      </c>
      <c r="B2682" s="233" t="inlineStr">
        <is>
          <t>645830</t>
        </is>
      </c>
      <c r="C2682" s="227" t="inlineStr">
        <is>
          <t>Ch soc s prov cp equipier</t>
        </is>
      </c>
      <c r="D2682" s="233" t="inlineStr">
        <is>
          <t>10</t>
        </is>
      </c>
      <c r="E2682" s="233" t="inlineStr">
        <is>
          <t>09</t>
        </is>
      </c>
      <c r="F2682" s="227" t="inlineStr">
        <is>
          <t>TURVILLA</t>
        </is>
      </c>
    </row>
    <row r="2683">
      <c r="A2683" s="227">
        <f>TL[[#This Row],[Société]]&amp;" - "&amp;TL[[#This Row],[Compte]]</f>
        <v/>
      </c>
      <c r="B2683" s="233" t="inlineStr">
        <is>
          <t>645840</t>
        </is>
      </c>
      <c r="C2683" s="227" t="inlineStr">
        <is>
          <t>Ch soc s prov primes</t>
        </is>
      </c>
      <c r="D2683" s="233" t="inlineStr">
        <is>
          <t>12</t>
        </is>
      </c>
      <c r="E2683" s="233" t="inlineStr">
        <is>
          <t>11</t>
        </is>
      </c>
      <c r="F2683" s="227" t="inlineStr">
        <is>
          <t>TURVILLA</t>
        </is>
      </c>
    </row>
    <row r="2684">
      <c r="A2684" s="227">
        <f>TL[[#This Row],[Société]]&amp;" - "&amp;TL[[#This Row],[Compte]]</f>
        <v/>
      </c>
      <c r="B2684" s="233" t="inlineStr">
        <is>
          <t>645920</t>
        </is>
      </c>
      <c r="C2684" s="227" t="inlineStr">
        <is>
          <t>Prevoyance managers</t>
        </is>
      </c>
      <c r="D2684" s="233" t="inlineStr">
        <is>
          <t>12</t>
        </is>
      </c>
      <c r="E2684" s="233" t="inlineStr">
        <is>
          <t>11</t>
        </is>
      </c>
      <c r="F2684" s="227" t="inlineStr">
        <is>
          <t>TURVILLA</t>
        </is>
      </c>
    </row>
    <row r="2685">
      <c r="A2685" s="227">
        <f>TL[[#This Row],[Société]]&amp;" - "&amp;TL[[#This Row],[Compte]]</f>
        <v/>
      </c>
      <c r="B2685" s="233" t="inlineStr">
        <is>
          <t>645930</t>
        </is>
      </c>
      <c r="C2685" s="227" t="inlineStr">
        <is>
          <t>Prevoyance equipiers</t>
        </is>
      </c>
      <c r="D2685" s="233" t="inlineStr">
        <is>
          <t>10</t>
        </is>
      </c>
      <c r="E2685" s="233" t="inlineStr">
        <is>
          <t>09</t>
        </is>
      </c>
      <c r="F2685" s="227" t="inlineStr">
        <is>
          <t>TURVILLA</t>
        </is>
      </c>
    </row>
    <row r="2686">
      <c r="A2686" s="227">
        <f>TL[[#This Row],[Société]]&amp;" - "&amp;TL[[#This Row],[Compte]]</f>
        <v/>
      </c>
      <c r="B2686" s="233" t="inlineStr">
        <is>
          <t>647200</t>
        </is>
      </c>
      <c r="C2686" s="227" t="inlineStr">
        <is>
          <t>Comite d'entreprise</t>
        </is>
      </c>
      <c r="D2686" s="233" t="inlineStr">
        <is>
          <t>39</t>
        </is>
      </c>
      <c r="E2686" s="233" t="inlineStr">
        <is>
          <t>27</t>
        </is>
      </c>
      <c r="F2686" s="227" t="inlineStr">
        <is>
          <t>TURVILLA</t>
        </is>
      </c>
    </row>
    <row r="2687">
      <c r="A2687" s="227">
        <f>TL[[#This Row],[Société]]&amp;" - "&amp;TL[[#This Row],[Compte]]</f>
        <v/>
      </c>
      <c r="B2687" s="233" t="inlineStr">
        <is>
          <t>647500</t>
        </is>
      </c>
      <c r="C2687" s="227" t="inlineStr">
        <is>
          <t>Medecine travail &amp; pharm</t>
        </is>
      </c>
      <c r="D2687" s="233" t="inlineStr">
        <is>
          <t>16</t>
        </is>
      </c>
      <c r="E2687" s="233" t="inlineStr">
        <is>
          <t>19</t>
        </is>
      </c>
      <c r="F2687" s="227" t="inlineStr">
        <is>
          <t>TURVILLA</t>
        </is>
      </c>
    </row>
    <row r="2688">
      <c r="A2688" s="227">
        <f>TL[[#This Row],[Société]]&amp;" - "&amp;TL[[#This Row],[Compte]]</f>
        <v/>
      </c>
      <c r="B2688" s="233" t="inlineStr">
        <is>
          <t>647516</t>
        </is>
      </c>
      <c r="C2688" s="227" t="inlineStr">
        <is>
          <t>Medecine du travail</t>
        </is>
      </c>
      <c r="D2688" s="233" t="inlineStr">
        <is>
          <t>16</t>
        </is>
      </c>
      <c r="E2688" s="233" t="inlineStr">
        <is>
          <t>19</t>
        </is>
      </c>
      <c r="F2688" s="227" t="inlineStr">
        <is>
          <t>TURVILLA</t>
        </is>
      </c>
    </row>
    <row r="2689">
      <c r="A2689" s="227">
        <f>TL[[#This Row],[Société]]&amp;" - "&amp;TL[[#This Row],[Compte]]</f>
        <v/>
      </c>
      <c r="B2689" s="233" t="inlineStr">
        <is>
          <t>648000</t>
        </is>
      </c>
      <c r="C2689" s="227" t="inlineStr">
        <is>
          <t>Prime de blanchissage</t>
        </is>
      </c>
      <c r="F2689" s="227" t="inlineStr">
        <is>
          <t>TURVILLA</t>
        </is>
      </c>
    </row>
    <row r="2690">
      <c r="A2690" s="227">
        <f>TL[[#This Row],[Société]]&amp;" - "&amp;TL[[#This Row],[Compte]]</f>
        <v/>
      </c>
      <c r="B2690" s="233" t="inlineStr">
        <is>
          <t>649000</t>
        </is>
      </c>
      <c r="C2690" s="227" t="inlineStr">
        <is>
          <t>Crédit d'impôt compétitivité entrep</t>
        </is>
      </c>
      <c r="D2690" s="233" t="inlineStr">
        <is>
          <t>99</t>
        </is>
      </c>
      <c r="E2690" s="233" t="inlineStr">
        <is>
          <t>48</t>
        </is>
      </c>
      <c r="F2690" s="227" t="inlineStr">
        <is>
          <t>TURVILLA</t>
        </is>
      </c>
    </row>
    <row r="2691">
      <c r="A2691" s="227">
        <f>TL[[#This Row],[Société]]&amp;" - "&amp;TL[[#This Row],[Compte]]</f>
        <v/>
      </c>
      <c r="B2691" s="233" t="inlineStr">
        <is>
          <t>651000</t>
        </is>
      </c>
      <c r="C2691" s="227" t="inlineStr">
        <is>
          <t>Redev. service 5% ca net</t>
        </is>
      </c>
      <c r="D2691" s="233" t="inlineStr">
        <is>
          <t>31</t>
        </is>
      </c>
      <c r="E2691" s="233" t="inlineStr">
        <is>
          <t>34</t>
        </is>
      </c>
      <c r="F2691" s="227" t="inlineStr">
        <is>
          <t>TURVILLA</t>
        </is>
      </c>
    </row>
    <row r="2692">
      <c r="A2692" s="227">
        <f>TL[[#This Row],[Société]]&amp;" - "&amp;TL[[#This Row],[Compte]]</f>
        <v/>
      </c>
      <c r="B2692" s="233" t="inlineStr">
        <is>
          <t>651003</t>
        </is>
      </c>
      <c r="C2692" s="227" t="inlineStr">
        <is>
          <t>Sacem</t>
        </is>
      </c>
      <c r="F2692" s="227" t="inlineStr">
        <is>
          <t>TURVILLA</t>
        </is>
      </c>
    </row>
    <row r="2693">
      <c r="A2693" s="227">
        <f>TL[[#This Row],[Société]]&amp;" - "&amp;TL[[#This Row],[Compte]]</f>
        <v/>
      </c>
      <c r="B2693" s="233" t="inlineStr">
        <is>
          <t>651110</t>
        </is>
      </c>
      <c r="C2693" s="227" t="inlineStr">
        <is>
          <t>Redevance services</t>
        </is>
      </c>
      <c r="D2693" s="233" t="inlineStr">
        <is>
          <t>31</t>
        </is>
      </c>
      <c r="E2693" s="233" t="inlineStr">
        <is>
          <t>34</t>
        </is>
      </c>
      <c r="F2693" s="227" t="inlineStr">
        <is>
          <t>TURVILLA</t>
        </is>
      </c>
    </row>
    <row r="2694">
      <c r="A2694" s="227">
        <f>TL[[#This Row],[Société]]&amp;" - "&amp;TL[[#This Row],[Compte]]</f>
        <v/>
      </c>
      <c r="B2694" s="233" t="inlineStr">
        <is>
          <t>651200</t>
        </is>
      </c>
      <c r="C2694" s="227" t="inlineStr">
        <is>
          <t>Avoirs happy meals (14%)</t>
        </is>
      </c>
      <c r="D2694" s="233" t="inlineStr">
        <is>
          <t>30</t>
        </is>
      </c>
      <c r="E2694" s="233" t="inlineStr">
        <is>
          <t>31</t>
        </is>
      </c>
      <c r="F2694" s="227" t="inlineStr">
        <is>
          <t>TURVILLA</t>
        </is>
      </c>
    </row>
    <row r="2695">
      <c r="A2695" s="227">
        <f>TL[[#This Row],[Société]]&amp;" - "&amp;TL[[#This Row],[Compte]]</f>
        <v/>
      </c>
      <c r="B2695" s="233" t="inlineStr">
        <is>
          <t>651210</t>
        </is>
      </c>
      <c r="C2695" s="227" t="inlineStr">
        <is>
          <t>Avoirs happy meals (5%)</t>
        </is>
      </c>
      <c r="D2695" s="233" t="inlineStr">
        <is>
          <t>31</t>
        </is>
      </c>
      <c r="E2695" s="233" t="inlineStr">
        <is>
          <t>31</t>
        </is>
      </c>
      <c r="F2695" s="227" t="inlineStr">
        <is>
          <t>TURVILLA</t>
        </is>
      </c>
    </row>
    <row r="2696">
      <c r="A2696" s="227">
        <f>TL[[#This Row],[Société]]&amp;" - "&amp;TL[[#This Row],[Compte]]</f>
        <v/>
      </c>
      <c r="B2696" s="233" t="inlineStr">
        <is>
          <t>651300</t>
        </is>
      </c>
      <c r="C2696" s="227" t="inlineStr">
        <is>
          <t>Avoir mccine</t>
        </is>
      </c>
      <c r="D2696" s="233" t="inlineStr">
        <is>
          <t>30</t>
        </is>
      </c>
      <c r="E2696" s="233" t="inlineStr">
        <is>
          <t>31</t>
        </is>
      </c>
      <c r="F2696" s="227" t="inlineStr">
        <is>
          <t>TURVILLA</t>
        </is>
      </c>
    </row>
    <row r="2697">
      <c r="A2697" s="227">
        <f>TL[[#This Row],[Société]]&amp;" - "&amp;TL[[#This Row],[Compte]]</f>
        <v/>
      </c>
      <c r="B2697" s="233" t="inlineStr">
        <is>
          <t>651310</t>
        </is>
      </c>
      <c r="C2697" s="227" t="inlineStr">
        <is>
          <t>Avoirs mc ciné à 5%</t>
        </is>
      </c>
      <c r="D2697" s="233" t="inlineStr">
        <is>
          <t>31</t>
        </is>
      </c>
      <c r="E2697" s="233" t="inlineStr">
        <is>
          <t>31</t>
        </is>
      </c>
      <c r="F2697" s="227" t="inlineStr">
        <is>
          <t>TURVILLA</t>
        </is>
      </c>
    </row>
    <row r="2698">
      <c r="A2698" s="227">
        <f>TL[[#This Row],[Société]]&amp;" - "&amp;TL[[#This Row],[Compte]]</f>
        <v/>
      </c>
      <c r="B2698" s="233" t="inlineStr">
        <is>
          <t>658000</t>
        </is>
      </c>
      <c r="C2698" s="227" t="inlineStr">
        <is>
          <t>Charges diverses gestion courante</t>
        </is>
      </c>
      <c r="D2698" s="233" t="inlineStr">
        <is>
          <t>39</t>
        </is>
      </c>
      <c r="E2698" s="233" t="inlineStr">
        <is>
          <t>27</t>
        </is>
      </c>
      <c r="F2698" s="227" t="inlineStr">
        <is>
          <t>TURVILLA</t>
        </is>
      </c>
    </row>
    <row r="2699">
      <c r="A2699" s="227">
        <f>TL[[#This Row],[Société]]&amp;" - "&amp;TL[[#This Row],[Compte]]</f>
        <v/>
      </c>
      <c r="B2699" s="233" t="inlineStr">
        <is>
          <t>658100</t>
        </is>
      </c>
      <c r="C2699" s="227" t="inlineStr">
        <is>
          <t>Ecart de caisse debit</t>
        </is>
      </c>
      <c r="D2699" s="233" t="inlineStr">
        <is>
          <t>22</t>
        </is>
      </c>
      <c r="E2699" s="233" t="inlineStr">
        <is>
          <t>27</t>
        </is>
      </c>
      <c r="F2699" s="227" t="inlineStr">
        <is>
          <t>TURVILLA</t>
        </is>
      </c>
    </row>
    <row r="2700">
      <c r="A2700" s="227">
        <f>TL[[#This Row],[Société]]&amp;" - "&amp;TL[[#This Row],[Compte]]</f>
        <v/>
      </c>
      <c r="B2700" s="233" t="inlineStr">
        <is>
          <t>661100</t>
        </is>
      </c>
      <c r="C2700" s="227" t="inlineStr">
        <is>
          <t>Charges d'interets sur emprunts</t>
        </is>
      </c>
      <c r="D2700" s="233" t="inlineStr">
        <is>
          <t>37</t>
        </is>
      </c>
      <c r="E2700" s="233" t="inlineStr">
        <is>
          <t>42</t>
        </is>
      </c>
      <c r="F2700" s="227" t="inlineStr">
        <is>
          <t>TURVILLA</t>
        </is>
      </c>
    </row>
    <row r="2701">
      <c r="A2701" s="227">
        <f>TL[[#This Row],[Société]]&amp;" - "&amp;TL[[#This Row],[Compte]]</f>
        <v/>
      </c>
      <c r="B2701" s="233" t="inlineStr">
        <is>
          <t>661500</t>
        </is>
      </c>
      <c r="C2701" s="227" t="inlineStr">
        <is>
          <t>Interets des cc</t>
        </is>
      </c>
      <c r="E2701" s="233" t="inlineStr">
        <is>
          <t>42</t>
        </is>
      </c>
      <c r="F2701" s="227" t="inlineStr">
        <is>
          <t>TURVILLA</t>
        </is>
      </c>
    </row>
    <row r="2702">
      <c r="A2702" s="227">
        <f>TL[[#This Row],[Société]]&amp;" - "&amp;TL[[#This Row],[Compte]]</f>
        <v/>
      </c>
      <c r="B2702" s="233" t="inlineStr">
        <is>
          <t>661600</t>
        </is>
      </c>
      <c r="C2702" s="227" t="inlineStr">
        <is>
          <t>Charges d'intérêts bancaires</t>
        </is>
      </c>
      <c r="D2702" s="233" t="inlineStr">
        <is>
          <t>37</t>
        </is>
      </c>
      <c r="E2702" s="233" t="inlineStr">
        <is>
          <t>42</t>
        </is>
      </c>
      <c r="F2702" s="227" t="inlineStr">
        <is>
          <t>TURVILLA</t>
        </is>
      </c>
    </row>
    <row r="2703">
      <c r="A2703" s="227">
        <f>TL[[#This Row],[Société]]&amp;" - "&amp;TL[[#This Row],[Compte]]</f>
        <v/>
      </c>
      <c r="B2703" s="233" t="inlineStr">
        <is>
          <t>661810</t>
        </is>
      </c>
      <c r="C2703" s="227" t="inlineStr">
        <is>
          <t>ntérêts des dettes commerciales</t>
        </is>
      </c>
      <c r="F2703" s="227" t="inlineStr">
        <is>
          <t>TURVILLA</t>
        </is>
      </c>
    </row>
    <row r="2704">
      <c r="A2704" s="227">
        <f>TL[[#This Row],[Société]]&amp;" - "&amp;TL[[#This Row],[Compte]]</f>
        <v/>
      </c>
      <c r="B2704" s="233" t="inlineStr">
        <is>
          <t>671100</t>
        </is>
      </c>
      <c r="C2704" s="227" t="inlineStr">
        <is>
          <t>Ecarts de caisse</t>
        </is>
      </c>
      <c r="D2704" s="233" t="inlineStr">
        <is>
          <t>22</t>
        </is>
      </c>
      <c r="E2704" s="233" t="inlineStr">
        <is>
          <t>27</t>
        </is>
      </c>
      <c r="F2704" s="227" t="inlineStr">
        <is>
          <t>TURVILLA</t>
        </is>
      </c>
    </row>
    <row r="2705">
      <c r="A2705" s="227">
        <f>TL[[#This Row],[Société]]&amp;" - "&amp;TL[[#This Row],[Compte]]</f>
        <v/>
      </c>
      <c r="B2705" s="233" t="inlineStr">
        <is>
          <t>671110</t>
        </is>
      </c>
      <c r="C2705" s="227" t="inlineStr">
        <is>
          <t>Pénalités sur marchés</t>
        </is>
      </c>
      <c r="D2705" s="233" t="inlineStr">
        <is>
          <t>39</t>
        </is>
      </c>
      <c r="E2705" s="233" t="inlineStr">
        <is>
          <t>45</t>
        </is>
      </c>
      <c r="F2705" s="227" t="inlineStr">
        <is>
          <t>TURVILLA</t>
        </is>
      </c>
    </row>
    <row r="2706">
      <c r="A2706" s="227">
        <f>TL[[#This Row],[Société]]&amp;" - "&amp;TL[[#This Row],[Compte]]</f>
        <v/>
      </c>
      <c r="B2706" s="233" t="inlineStr">
        <is>
          <t>671200</t>
        </is>
      </c>
      <c r="C2706" s="227" t="inlineStr">
        <is>
          <t>Amendes</t>
        </is>
      </c>
      <c r="D2706" s="233" t="inlineStr">
        <is>
          <t>34</t>
        </is>
      </c>
      <c r="E2706" s="233" t="inlineStr">
        <is>
          <t>45</t>
        </is>
      </c>
      <c r="F2706" s="227" t="inlineStr">
        <is>
          <t>TURVILLA</t>
        </is>
      </c>
    </row>
    <row r="2707">
      <c r="A2707" s="227">
        <f>TL[[#This Row],[Société]]&amp;" - "&amp;TL[[#This Row],[Compte]]</f>
        <v/>
      </c>
      <c r="B2707" s="233" t="inlineStr">
        <is>
          <t>671310</t>
        </is>
      </c>
      <c r="C2707" s="227" t="inlineStr">
        <is>
          <t>Dons fondation de france</t>
        </is>
      </c>
      <c r="D2707" s="233" t="inlineStr">
        <is>
          <t>39</t>
        </is>
      </c>
      <c r="E2707" s="233" t="inlineStr">
        <is>
          <t>45</t>
        </is>
      </c>
      <c r="F2707" s="227" t="inlineStr">
        <is>
          <t>TURVILLA</t>
        </is>
      </c>
    </row>
    <row r="2708">
      <c r="A2708" s="227">
        <f>TL[[#This Row],[Société]]&amp;" - "&amp;TL[[#This Row],[Compte]]</f>
        <v/>
      </c>
      <c r="B2708" s="233" t="inlineStr">
        <is>
          <t>671320</t>
        </is>
      </c>
      <c r="C2708" s="227" t="inlineStr">
        <is>
          <t>Dons</t>
        </is>
      </c>
      <c r="D2708" s="233" t="inlineStr">
        <is>
          <t>39</t>
        </is>
      </c>
      <c r="E2708" s="233" t="inlineStr">
        <is>
          <t>45</t>
        </is>
      </c>
      <c r="F2708" s="227" t="inlineStr">
        <is>
          <t>TURVILLA</t>
        </is>
      </c>
    </row>
    <row r="2709">
      <c r="A2709" s="227">
        <f>TL[[#This Row],[Société]]&amp;" - "&amp;TL[[#This Row],[Compte]]</f>
        <v/>
      </c>
      <c r="B2709" s="233" t="inlineStr">
        <is>
          <t>672000</t>
        </is>
      </c>
      <c r="C2709" s="227" t="inlineStr">
        <is>
          <t>C.exceptionnelles/ex.ant</t>
        </is>
      </c>
      <c r="D2709" s="233" t="inlineStr">
        <is>
          <t>23</t>
        </is>
      </c>
      <c r="E2709" s="233" t="inlineStr">
        <is>
          <t>27</t>
        </is>
      </c>
      <c r="F2709" s="227" t="inlineStr">
        <is>
          <t>TURVILLA</t>
        </is>
      </c>
    </row>
    <row r="2710">
      <c r="A2710" s="227">
        <f>TL[[#This Row],[Société]]&amp;" - "&amp;TL[[#This Row],[Compte]]</f>
        <v/>
      </c>
      <c r="B2710" s="233" t="inlineStr">
        <is>
          <t>675000</t>
        </is>
      </c>
      <c r="C2710" s="227" t="inlineStr">
        <is>
          <t>Valeurs compt. éléments actif cédés</t>
        </is>
      </c>
      <c r="D2710" s="233" t="inlineStr">
        <is>
          <t>35</t>
        </is>
      </c>
      <c r="E2710" s="233" t="inlineStr">
        <is>
          <t>45</t>
        </is>
      </c>
      <c r="F2710" s="227" t="inlineStr">
        <is>
          <t>TURVILLA</t>
        </is>
      </c>
    </row>
    <row r="2711">
      <c r="A2711" s="227">
        <f>TL[[#This Row],[Société]]&amp;" - "&amp;TL[[#This Row],[Compte]]</f>
        <v/>
      </c>
      <c r="B2711" s="233" t="inlineStr">
        <is>
          <t>675600</t>
        </is>
      </c>
      <c r="C2711" s="227" t="inlineStr">
        <is>
          <t>Vnc actifs cédés - immo financières</t>
        </is>
      </c>
      <c r="D2711" s="233" t="inlineStr">
        <is>
          <t>37</t>
        </is>
      </c>
      <c r="E2711" s="233" t="inlineStr">
        <is>
          <t>45</t>
        </is>
      </c>
      <c r="F2711" s="227" t="inlineStr">
        <is>
          <t>TURVILLA</t>
        </is>
      </c>
    </row>
    <row r="2712">
      <c r="A2712" s="227">
        <f>TL[[#This Row],[Société]]&amp;" - "&amp;TL[[#This Row],[Compte]]</f>
        <v/>
      </c>
      <c r="B2712" s="233" t="inlineStr">
        <is>
          <t>681110</t>
        </is>
      </c>
      <c r="C2712" s="227" t="inlineStr">
        <is>
          <t>Dot.amort.immo.incorpore.</t>
        </is>
      </c>
      <c r="D2712" s="233" t="inlineStr">
        <is>
          <t>36</t>
        </is>
      </c>
      <c r="E2712" s="233" t="inlineStr">
        <is>
          <t>38</t>
        </is>
      </c>
      <c r="F2712" s="227" t="inlineStr">
        <is>
          <t>TURVILLA</t>
        </is>
      </c>
    </row>
    <row r="2713">
      <c r="A2713" s="227">
        <f>TL[[#This Row],[Société]]&amp;" - "&amp;TL[[#This Row],[Compte]]</f>
        <v/>
      </c>
      <c r="B2713" s="233" t="inlineStr">
        <is>
          <t>681120</t>
        </is>
      </c>
      <c r="C2713" s="227" t="inlineStr">
        <is>
          <t>Dot. amort. s/immobil. corporel.</t>
        </is>
      </c>
      <c r="D2713" s="233" t="inlineStr">
        <is>
          <t>36</t>
        </is>
      </c>
      <c r="E2713" s="233" t="inlineStr">
        <is>
          <t>38</t>
        </is>
      </c>
      <c r="F2713" s="227" t="inlineStr">
        <is>
          <t>TURVILLA</t>
        </is>
      </c>
    </row>
    <row r="2714">
      <c r="A2714" s="227">
        <f>TL[[#This Row],[Société]]&amp;" - "&amp;TL[[#This Row],[Compte]]</f>
        <v/>
      </c>
      <c r="B2714" s="233" t="inlineStr">
        <is>
          <t>681500</t>
        </is>
      </c>
      <c r="C2714" s="227" t="inlineStr">
        <is>
          <t>Dot. prov.risq. ch. expl.</t>
        </is>
      </c>
      <c r="D2714" s="233" t="inlineStr">
        <is>
          <t>36</t>
        </is>
      </c>
      <c r="E2714" s="233" t="inlineStr">
        <is>
          <t>38</t>
        </is>
      </c>
      <c r="F2714" s="227" t="inlineStr">
        <is>
          <t>TURVILLA</t>
        </is>
      </c>
    </row>
    <row r="2715">
      <c r="A2715" s="227">
        <f>TL[[#This Row],[Société]]&amp;" - "&amp;TL[[#This Row],[Compte]]</f>
        <v/>
      </c>
      <c r="B2715" s="233" t="inlineStr">
        <is>
          <t>687110</t>
        </is>
      </c>
      <c r="C2715" s="227" t="inlineStr">
        <is>
          <t>CREE PAR CEGID</t>
        </is>
      </c>
      <c r="F2715" s="227" t="inlineStr">
        <is>
          <t>TURVILLA</t>
        </is>
      </c>
    </row>
    <row r="2716">
      <c r="A2716" s="227">
        <f>TL[[#This Row],[Société]]&amp;" - "&amp;TL[[#This Row],[Compte]]</f>
        <v/>
      </c>
      <c r="B2716" s="233" t="inlineStr">
        <is>
          <t>687120</t>
        </is>
      </c>
      <c r="C2716" s="227" t="inlineStr">
        <is>
          <t>Dot. amort. except. immo.</t>
        </is>
      </c>
      <c r="D2716" s="233" t="inlineStr">
        <is>
          <t>36</t>
        </is>
      </c>
      <c r="E2716" s="233" t="inlineStr">
        <is>
          <t>38</t>
        </is>
      </c>
      <c r="F2716" s="227" t="inlineStr">
        <is>
          <t>TURVILLA</t>
        </is>
      </c>
    </row>
    <row r="2717">
      <c r="A2717" s="227">
        <f>TL[[#This Row],[Société]]&amp;" - "&amp;TL[[#This Row],[Compte]]</f>
        <v/>
      </c>
      <c r="B2717" s="233" t="inlineStr">
        <is>
          <t>687250</t>
        </is>
      </c>
      <c r="C2717" s="227" t="inlineStr">
        <is>
          <t>Dot. amort. dérogatoire</t>
        </is>
      </c>
      <c r="F2717" s="227" t="inlineStr">
        <is>
          <t>TURVILLA</t>
        </is>
      </c>
    </row>
    <row r="2718">
      <c r="A2718" s="227">
        <f>TL[[#This Row],[Société]]&amp;" - "&amp;TL[[#This Row],[Compte]]</f>
        <v/>
      </c>
      <c r="B2718" s="233" t="inlineStr">
        <is>
          <t>687500</t>
        </is>
      </c>
      <c r="C2718" s="227" t="inlineStr">
        <is>
          <t>Dot. prov. risques et charges excep</t>
        </is>
      </c>
      <c r="F2718" s="227" t="inlineStr">
        <is>
          <t>TURVILLA</t>
        </is>
      </c>
    </row>
    <row r="2719">
      <c r="A2719" s="227">
        <f>TL[[#This Row],[Société]]&amp;" - "&amp;TL[[#This Row],[Compte]]</f>
        <v/>
      </c>
      <c r="B2719" s="233" t="inlineStr">
        <is>
          <t>691000</t>
        </is>
      </c>
      <c r="C2719" s="227" t="inlineStr">
        <is>
          <t>Participation</t>
        </is>
      </c>
      <c r="D2719" s="233" t="inlineStr">
        <is>
          <t>39</t>
        </is>
      </c>
      <c r="E2719" s="233" t="inlineStr">
        <is>
          <t>48</t>
        </is>
      </c>
      <c r="F2719" s="227" t="inlineStr">
        <is>
          <t>TURVILLA</t>
        </is>
      </c>
    </row>
    <row r="2720">
      <c r="A2720" s="227">
        <f>TL[[#This Row],[Société]]&amp;" - "&amp;TL[[#This Row],[Compte]]</f>
        <v/>
      </c>
      <c r="B2720" s="233" t="inlineStr">
        <is>
          <t>695000</t>
        </is>
      </c>
      <c r="C2720" s="227" t="inlineStr">
        <is>
          <t>Impots sur les benefices</t>
        </is>
      </c>
      <c r="D2720" s="233" t="inlineStr">
        <is>
          <t>99</t>
        </is>
      </c>
      <c r="E2720" s="233" t="inlineStr">
        <is>
          <t>48</t>
        </is>
      </c>
      <c r="F2720" s="227" t="inlineStr">
        <is>
          <t>TURVILLA</t>
        </is>
      </c>
    </row>
    <row r="2721">
      <c r="A2721" s="227">
        <f>TL[[#This Row],[Société]]&amp;" - "&amp;TL[[#This Row],[Compte]]</f>
        <v/>
      </c>
      <c r="B2721" s="233" t="inlineStr">
        <is>
          <t>695100</t>
        </is>
      </c>
      <c r="C2721" s="227" t="inlineStr">
        <is>
          <t>Crédits d'impôts</t>
        </is>
      </c>
      <c r="F2721" s="227" t="inlineStr">
        <is>
          <t>TURVILLA</t>
        </is>
      </c>
    </row>
    <row r="2722">
      <c r="A2722" s="227">
        <f>TL[[#This Row],[Société]]&amp;" - "&amp;TL[[#This Row],[Compte]]</f>
        <v/>
      </c>
      <c r="B2722" s="233" t="inlineStr">
        <is>
          <t>698100</t>
        </is>
      </c>
      <c r="C2722" s="227" t="inlineStr">
        <is>
          <t>Integration fiscale is</t>
        </is>
      </c>
      <c r="F2722" s="227" t="inlineStr">
        <is>
          <t>TURVILLA</t>
        </is>
      </c>
    </row>
    <row r="2723">
      <c r="A2723" s="227">
        <f>TL[[#This Row],[Société]]&amp;" - "&amp;TL[[#This Row],[Compte]]</f>
        <v/>
      </c>
      <c r="B2723" s="233" t="inlineStr">
        <is>
          <t>698910</t>
        </is>
      </c>
      <c r="C2723" s="227" t="inlineStr">
        <is>
          <t>Crédit mécénat gie</t>
        </is>
      </c>
      <c r="F2723" s="227" t="inlineStr">
        <is>
          <t>TURVILLA</t>
        </is>
      </c>
    </row>
    <row r="2724">
      <c r="A2724" s="227">
        <f>TL[[#This Row],[Société]]&amp;" - "&amp;TL[[#This Row],[Compte]]</f>
        <v/>
      </c>
      <c r="B2724" s="233" t="inlineStr">
        <is>
          <t>699830</t>
        </is>
      </c>
      <c r="C2724" s="227" t="inlineStr">
        <is>
          <t>Credit impot mecenat</t>
        </is>
      </c>
      <c r="F2724" s="227" t="inlineStr">
        <is>
          <t>TURVILLA</t>
        </is>
      </c>
    </row>
    <row r="2725">
      <c r="A2725" s="227">
        <f>TL[[#This Row],[Société]]&amp;" - "&amp;TL[[#This Row],[Compte]]</f>
        <v/>
      </c>
      <c r="B2725" s="233" t="inlineStr">
        <is>
          <t>701001</t>
        </is>
      </c>
      <c r="C2725" s="227" t="inlineStr">
        <is>
          <t>Ventes non alimentaires</t>
        </is>
      </c>
      <c r="D2725" s="233" t="inlineStr">
        <is>
          <t>01</t>
        </is>
      </c>
      <c r="E2725" s="233" t="inlineStr">
        <is>
          <t>02</t>
        </is>
      </c>
      <c r="F2725" s="227" t="inlineStr">
        <is>
          <t>TURVILLA</t>
        </is>
      </c>
    </row>
    <row r="2726">
      <c r="A2726" s="227">
        <f>TL[[#This Row],[Société]]&amp;" - "&amp;TL[[#This Row],[Compte]]</f>
        <v/>
      </c>
      <c r="B2726" s="233" t="inlineStr">
        <is>
          <t>701002</t>
        </is>
      </c>
      <c r="C2726" s="227" t="inlineStr">
        <is>
          <t>Vtes alim / place a 5.50%</t>
        </is>
      </c>
      <c r="D2726" s="233" t="inlineStr">
        <is>
          <t>01</t>
        </is>
      </c>
      <c r="E2726" s="233" t="inlineStr">
        <is>
          <t>02</t>
        </is>
      </c>
      <c r="F2726" s="227" t="inlineStr">
        <is>
          <t>TURVILLA</t>
        </is>
      </c>
    </row>
    <row r="2727">
      <c r="A2727" s="227">
        <f>TL[[#This Row],[Société]]&amp;" - "&amp;TL[[#This Row],[Compte]]</f>
        <v/>
      </c>
      <c r="B2727" s="233" t="inlineStr">
        <is>
          <t>701004</t>
        </is>
      </c>
      <c r="C2727" s="227" t="inlineStr">
        <is>
          <t>Vtes alim /place a 20%</t>
        </is>
      </c>
      <c r="D2727" s="233" t="inlineStr">
        <is>
          <t>01</t>
        </is>
      </c>
      <c r="E2727" s="233" t="inlineStr">
        <is>
          <t>02</t>
        </is>
      </c>
      <c r="F2727" s="227" t="inlineStr">
        <is>
          <t>TURVILLA</t>
        </is>
      </c>
    </row>
    <row r="2728">
      <c r="A2728" s="227">
        <f>TL[[#This Row],[Société]]&amp;" - "&amp;TL[[#This Row],[Compte]]</f>
        <v/>
      </c>
      <c r="B2728" s="233" t="inlineStr">
        <is>
          <t>701005</t>
        </is>
      </c>
      <c r="C2728" s="227" t="inlineStr">
        <is>
          <t>Vtes alim /place a 10%</t>
        </is>
      </c>
      <c r="D2728" s="233" t="inlineStr">
        <is>
          <t>01</t>
        </is>
      </c>
      <c r="E2728" s="233" t="inlineStr">
        <is>
          <t>02</t>
        </is>
      </c>
      <c r="F2728" s="227" t="inlineStr">
        <is>
          <t>TURVILLA</t>
        </is>
      </c>
    </row>
    <row r="2729">
      <c r="A2729" s="227">
        <f>TL[[#This Row],[Société]]&amp;" - "&amp;TL[[#This Row],[Compte]]</f>
        <v/>
      </c>
      <c r="B2729" s="233" t="inlineStr">
        <is>
          <t>701006</t>
        </is>
      </c>
      <c r="C2729" s="227" t="inlineStr">
        <is>
          <t>Vtes a emporter a 10%</t>
        </is>
      </c>
      <c r="D2729" s="233" t="inlineStr">
        <is>
          <t>01</t>
        </is>
      </c>
      <c r="E2729" s="233" t="inlineStr">
        <is>
          <t>02</t>
        </is>
      </c>
      <c r="F2729" s="227" t="inlineStr">
        <is>
          <t>TURVILLA</t>
        </is>
      </c>
    </row>
    <row r="2730">
      <c r="A2730" s="227">
        <f>TL[[#This Row],[Société]]&amp;" - "&amp;TL[[#This Row],[Compte]]</f>
        <v/>
      </c>
      <c r="B2730" s="233" t="inlineStr">
        <is>
          <t>701010</t>
        </is>
      </c>
      <c r="C2730" s="227" t="inlineStr">
        <is>
          <t>Ventes 19.60%</t>
        </is>
      </c>
      <c r="D2730" s="233" t="inlineStr">
        <is>
          <t>01</t>
        </is>
      </c>
      <c r="E2730" s="233" t="inlineStr">
        <is>
          <t>02</t>
        </is>
      </c>
      <c r="F2730" s="227" t="inlineStr">
        <is>
          <t>TURVILLA</t>
        </is>
      </c>
    </row>
    <row r="2731">
      <c r="A2731" s="227">
        <f>TL[[#This Row],[Société]]&amp;" - "&amp;TL[[#This Row],[Compte]]</f>
        <v/>
      </c>
      <c r="B2731" s="233" t="inlineStr">
        <is>
          <t>701011</t>
        </is>
      </c>
      <c r="C2731" s="227" t="inlineStr">
        <is>
          <t>Ventes cine 5.50 %</t>
        </is>
      </c>
      <c r="D2731" s="233" t="inlineStr">
        <is>
          <t>01</t>
        </is>
      </c>
      <c r="E2731" s="233" t="inlineStr">
        <is>
          <t>02</t>
        </is>
      </c>
      <c r="F2731" s="227" t="inlineStr">
        <is>
          <t>TURVILLA</t>
        </is>
      </c>
    </row>
    <row r="2732">
      <c r="A2732" s="227">
        <f>TL[[#This Row],[Société]]&amp;" - "&amp;TL[[#This Row],[Compte]]</f>
        <v/>
      </c>
      <c r="B2732" s="233" t="inlineStr">
        <is>
          <t>701015</t>
        </is>
      </c>
      <c r="C2732" s="227" t="inlineStr">
        <is>
          <t>Ventes sur place 10 %</t>
        </is>
      </c>
      <c r="D2732" s="233" t="inlineStr">
        <is>
          <t>01</t>
        </is>
      </c>
      <c r="E2732" s="233" t="inlineStr">
        <is>
          <t>02</t>
        </is>
      </c>
      <c r="F2732" s="227" t="inlineStr">
        <is>
          <t>TURVILLA</t>
        </is>
      </c>
    </row>
    <row r="2733">
      <c r="A2733" s="227">
        <f>TL[[#This Row],[Société]]&amp;" - "&amp;TL[[#This Row],[Compte]]</f>
        <v/>
      </c>
      <c r="B2733" s="233" t="inlineStr">
        <is>
          <t>701020</t>
        </is>
      </c>
      <c r="C2733" s="227" t="inlineStr">
        <is>
          <t>Ventes sur place 20%</t>
        </is>
      </c>
      <c r="D2733" s="233" t="inlineStr">
        <is>
          <t>01</t>
        </is>
      </c>
      <c r="E2733" s="233" t="inlineStr">
        <is>
          <t>02</t>
        </is>
      </c>
      <c r="F2733" s="227" t="inlineStr">
        <is>
          <t>TURVILLA</t>
        </is>
      </c>
    </row>
    <row r="2734">
      <c r="A2734" s="227">
        <f>TL[[#This Row],[Société]]&amp;" - "&amp;TL[[#This Row],[Compte]]</f>
        <v/>
      </c>
      <c r="B2734" s="233" t="inlineStr">
        <is>
          <t>701040</t>
        </is>
      </c>
      <c r="C2734" s="227" t="inlineStr">
        <is>
          <t>Vente 7%</t>
        </is>
      </c>
      <c r="D2734" s="233" t="inlineStr">
        <is>
          <t>01</t>
        </is>
      </c>
      <c r="E2734" s="233" t="inlineStr">
        <is>
          <t>02</t>
        </is>
      </c>
      <c r="F2734" s="227" t="inlineStr">
        <is>
          <t>TURVILLA</t>
        </is>
      </c>
    </row>
    <row r="2735">
      <c r="A2735" s="227">
        <f>TL[[#This Row],[Société]]&amp;" - "&amp;TL[[#This Row],[Compte]]</f>
        <v/>
      </c>
      <c r="B2735" s="233" t="inlineStr">
        <is>
          <t>701100</t>
        </is>
      </c>
      <c r="C2735" s="227" t="inlineStr">
        <is>
          <t>Ventes 5.50%</t>
        </is>
      </c>
      <c r="D2735" s="233" t="inlineStr">
        <is>
          <t>01</t>
        </is>
      </c>
      <c r="E2735" s="233" t="inlineStr">
        <is>
          <t>02</t>
        </is>
      </c>
      <c r="F2735" s="227" t="inlineStr">
        <is>
          <t>TURVILLA</t>
        </is>
      </c>
    </row>
    <row r="2736">
      <c r="A2736" s="227">
        <f>TL[[#This Row],[Société]]&amp;" - "&amp;TL[[#This Row],[Compte]]</f>
        <v/>
      </c>
      <c r="B2736" s="233" t="inlineStr">
        <is>
          <t>701200</t>
        </is>
      </c>
      <c r="C2736" s="227" t="inlineStr">
        <is>
          <t>Vente 7%</t>
        </is>
      </c>
      <c r="D2736" s="233" t="inlineStr">
        <is>
          <t>01</t>
        </is>
      </c>
      <c r="E2736" s="233" t="inlineStr">
        <is>
          <t>02</t>
        </is>
      </c>
      <c r="F2736" s="227" t="inlineStr">
        <is>
          <t>TURVILLA</t>
        </is>
      </c>
    </row>
    <row r="2737">
      <c r="A2737" s="227">
        <f>TL[[#This Row],[Société]]&amp;" - "&amp;TL[[#This Row],[Compte]]</f>
        <v/>
      </c>
      <c r="B2737" s="233" t="inlineStr">
        <is>
          <t>701220</t>
        </is>
      </c>
      <c r="C2737" s="227" t="inlineStr">
        <is>
          <t>ventes 16/02</t>
        </is>
      </c>
      <c r="F2737" s="227" t="inlineStr">
        <is>
          <t>TURVILLA</t>
        </is>
      </c>
    </row>
    <row r="2738">
      <c r="A2738" s="227">
        <f>TL[[#This Row],[Société]]&amp;" - "&amp;TL[[#This Row],[Compte]]</f>
        <v/>
      </c>
      <c r="B2738" s="233" t="inlineStr">
        <is>
          <t>702001</t>
        </is>
      </c>
      <c r="C2738" s="227" t="inlineStr">
        <is>
          <t>Vte pdt culturels 5,5%</t>
        </is>
      </c>
      <c r="D2738" s="233" t="inlineStr">
        <is>
          <t>01</t>
        </is>
      </c>
      <c r="E2738" s="233" t="inlineStr">
        <is>
          <t>50</t>
        </is>
      </c>
      <c r="F2738" s="227" t="inlineStr">
        <is>
          <t>TURVILLA</t>
        </is>
      </c>
    </row>
    <row r="2739">
      <c r="A2739" s="227">
        <f>TL[[#This Row],[Société]]&amp;" - "&amp;TL[[#This Row],[Compte]]</f>
        <v/>
      </c>
      <c r="B2739" s="233" t="inlineStr">
        <is>
          <t>702003</t>
        </is>
      </c>
      <c r="C2739" s="227" t="inlineStr">
        <is>
          <t>Vtes produit non alim 20%</t>
        </is>
      </c>
      <c r="D2739" s="233" t="inlineStr">
        <is>
          <t>01</t>
        </is>
      </c>
      <c r="E2739" s="233" t="inlineStr">
        <is>
          <t>50</t>
        </is>
      </c>
      <c r="F2739" s="227" t="inlineStr">
        <is>
          <t>TURVILLA</t>
        </is>
      </c>
    </row>
    <row r="2740">
      <c r="A2740" s="227">
        <f>TL[[#This Row],[Société]]&amp;" - "&amp;TL[[#This Row],[Compte]]</f>
        <v/>
      </c>
      <c r="B2740" s="233" t="inlineStr">
        <is>
          <t>702004</t>
        </is>
      </c>
      <c r="C2740" s="227" t="inlineStr">
        <is>
          <t>Vtes non alim a 10%</t>
        </is>
      </c>
      <c r="D2740" s="233" t="inlineStr">
        <is>
          <t>01</t>
        </is>
      </c>
      <c r="E2740" s="233" t="inlineStr">
        <is>
          <t>50</t>
        </is>
      </c>
      <c r="F2740" s="227" t="inlineStr">
        <is>
          <t>TURVILLA</t>
        </is>
      </c>
    </row>
    <row r="2741">
      <c r="A2741" s="227">
        <f>TL[[#This Row],[Société]]&amp;" - "&amp;TL[[#This Row],[Compte]]</f>
        <v/>
      </c>
      <c r="B2741" s="233" t="inlineStr">
        <is>
          <t>702300</t>
        </is>
      </c>
      <c r="C2741" s="227" t="inlineStr">
        <is>
          <t>Ventes non alimentaires</t>
        </is>
      </c>
      <c r="D2741" s="233" t="inlineStr">
        <is>
          <t>60</t>
        </is>
      </c>
      <c r="E2741" s="233" t="inlineStr">
        <is>
          <t>50</t>
        </is>
      </c>
      <c r="F2741" s="227" t="inlineStr">
        <is>
          <t>TURVILLA</t>
        </is>
      </c>
    </row>
    <row r="2742">
      <c r="A2742" s="227">
        <f>TL[[#This Row],[Société]]&amp;" - "&amp;TL[[#This Row],[Compte]]</f>
        <v/>
      </c>
      <c r="B2742" s="233" t="inlineStr">
        <is>
          <t>703100</t>
        </is>
      </c>
      <c r="C2742" s="227" t="inlineStr">
        <is>
          <t>Refacturation huiles usagées</t>
        </is>
      </c>
      <c r="D2742" s="233" t="inlineStr">
        <is>
          <t>06</t>
        </is>
      </c>
      <c r="E2742" s="233" t="inlineStr">
        <is>
          <t>03</t>
        </is>
      </c>
      <c r="F2742" s="227" t="inlineStr">
        <is>
          <t>TURVILLA</t>
        </is>
      </c>
    </row>
    <row r="2743">
      <c r="A2743" s="227">
        <f>TL[[#This Row],[Société]]&amp;" - "&amp;TL[[#This Row],[Compte]]</f>
        <v/>
      </c>
      <c r="B2743" s="233" t="inlineStr">
        <is>
          <t>706005</t>
        </is>
      </c>
      <c r="C2743" s="227" t="inlineStr">
        <is>
          <t>Transport uber</t>
        </is>
      </c>
      <c r="D2743" s="233" t="inlineStr">
        <is>
          <t>39</t>
        </is>
      </c>
      <c r="E2743" s="233" t="inlineStr">
        <is>
          <t>40</t>
        </is>
      </c>
      <c r="F2743" s="227" t="inlineStr">
        <is>
          <t>TURVILLA</t>
        </is>
      </c>
    </row>
    <row r="2744">
      <c r="A2744" s="227">
        <f>TL[[#This Row],[Société]]&amp;" - "&amp;TL[[#This Row],[Compte]]</f>
        <v/>
      </c>
      <c r="B2744" s="233" t="inlineStr">
        <is>
          <t>708000</t>
        </is>
      </c>
      <c r="C2744" s="227" t="inlineStr">
        <is>
          <t>Remise martin brower</t>
        </is>
      </c>
      <c r="D2744" s="233" t="inlineStr">
        <is>
          <t>06</t>
        </is>
      </c>
      <c r="E2744" s="233" t="inlineStr">
        <is>
          <t>03</t>
        </is>
      </c>
      <c r="F2744" s="227" t="inlineStr">
        <is>
          <t>TURVILLA</t>
        </is>
      </c>
    </row>
    <row r="2745">
      <c r="A2745" s="227">
        <f>TL[[#This Row],[Société]]&amp;" - "&amp;TL[[#This Row],[Compte]]</f>
        <v/>
      </c>
      <c r="B2745" s="233" t="inlineStr">
        <is>
          <t>708801</t>
        </is>
      </c>
      <c r="C2745" s="227" t="inlineStr">
        <is>
          <t>Pdts activités annexes soumis</t>
        </is>
      </c>
      <c r="D2745" s="233" t="inlineStr">
        <is>
          <t>99</t>
        </is>
      </c>
      <c r="E2745" s="233" t="inlineStr">
        <is>
          <t>27</t>
        </is>
      </c>
      <c r="F2745" s="227" t="inlineStr">
        <is>
          <t>TURVILLA</t>
        </is>
      </c>
    </row>
    <row r="2746">
      <c r="A2746" s="227">
        <f>TL[[#This Row],[Société]]&amp;" - "&amp;TL[[#This Row],[Compte]]</f>
        <v/>
      </c>
      <c r="B2746" s="233" t="inlineStr">
        <is>
          <t>708809</t>
        </is>
      </c>
      <c r="C2746" s="227" t="inlineStr">
        <is>
          <t>Budget de marche</t>
        </is>
      </c>
      <c r="D2746" s="233" t="inlineStr">
        <is>
          <t>15</t>
        </is>
      </c>
      <c r="E2746" s="233" t="inlineStr">
        <is>
          <t>23</t>
        </is>
      </c>
      <c r="F2746" s="227" t="inlineStr">
        <is>
          <t>TURVILLA</t>
        </is>
      </c>
    </row>
    <row r="2747">
      <c r="A2747" s="227">
        <f>TL[[#This Row],[Société]]&amp;" - "&amp;TL[[#This Row],[Compte]]</f>
        <v/>
      </c>
      <c r="B2747" s="233" t="inlineStr">
        <is>
          <t>708810</t>
        </is>
      </c>
      <c r="C2747" s="227" t="inlineStr">
        <is>
          <t>Prestations lr services npu</t>
        </is>
      </c>
      <c r="D2747" s="233" t="inlineStr">
        <is>
          <t>06</t>
        </is>
      </c>
      <c r="E2747" s="233" t="inlineStr">
        <is>
          <t>03</t>
        </is>
      </c>
      <c r="F2747" s="227" t="inlineStr">
        <is>
          <t>TURVILLA</t>
        </is>
      </c>
    </row>
    <row r="2748">
      <c r="A2748" s="227">
        <f>TL[[#This Row],[Société]]&amp;" - "&amp;TL[[#This Row],[Compte]]</f>
        <v/>
      </c>
      <c r="B2748" s="233" t="inlineStr">
        <is>
          <t>708811</t>
        </is>
      </c>
      <c r="C2748" s="227" t="inlineStr">
        <is>
          <t>Retrocess. huile usagers</t>
        </is>
      </c>
      <c r="D2748" s="233" t="inlineStr">
        <is>
          <t>16</t>
        </is>
      </c>
      <c r="E2748" s="233" t="inlineStr">
        <is>
          <t>19</t>
        </is>
      </c>
      <c r="F2748" s="227" t="inlineStr">
        <is>
          <t>TURVILLA</t>
        </is>
      </c>
    </row>
    <row r="2749">
      <c r="A2749" s="227">
        <f>TL[[#This Row],[Société]]&amp;" - "&amp;TL[[#This Row],[Compte]]</f>
        <v/>
      </c>
      <c r="B2749" s="233" t="inlineStr">
        <is>
          <t>708820</t>
        </is>
      </c>
      <c r="C2749" s="227" t="inlineStr">
        <is>
          <t>Prest. lr services</t>
        </is>
      </c>
      <c r="D2749" s="233" t="inlineStr">
        <is>
          <t>06</t>
        </is>
      </c>
      <c r="E2749" s="233" t="inlineStr">
        <is>
          <t>03</t>
        </is>
      </c>
      <c r="F2749" s="227" t="inlineStr">
        <is>
          <t>TURVILLA</t>
        </is>
      </c>
    </row>
    <row r="2750">
      <c r="A2750" s="227">
        <f>TL[[#This Row],[Société]]&amp;" - "&amp;TL[[#This Row],[Compte]]</f>
        <v/>
      </c>
      <c r="B2750" s="233" t="inlineStr">
        <is>
          <t>708821</t>
        </is>
      </c>
      <c r="C2750" s="227" t="inlineStr">
        <is>
          <t>Refact personnel technique</t>
        </is>
      </c>
      <c r="D2750" s="233" t="inlineStr">
        <is>
          <t>39</t>
        </is>
      </c>
      <c r="E2750" s="233" t="inlineStr">
        <is>
          <t>08</t>
        </is>
      </c>
      <c r="F2750" s="227" t="inlineStr">
        <is>
          <t>TURVILLA</t>
        </is>
      </c>
    </row>
    <row r="2751">
      <c r="A2751" s="227">
        <f>TL[[#This Row],[Société]]&amp;" - "&amp;TL[[#This Row],[Compte]]</f>
        <v/>
      </c>
      <c r="B2751" s="233" t="inlineStr">
        <is>
          <t>708822</t>
        </is>
      </c>
      <c r="C2751" s="227" t="inlineStr">
        <is>
          <t>Refacturation adm</t>
        </is>
      </c>
      <c r="D2751" s="233" t="inlineStr">
        <is>
          <t>51</t>
        </is>
      </c>
      <c r="E2751" s="233" t="inlineStr">
        <is>
          <t>25</t>
        </is>
      </c>
      <c r="F2751" s="227" t="inlineStr">
        <is>
          <t>TURVILLA</t>
        </is>
      </c>
    </row>
    <row r="2752">
      <c r="A2752" s="227">
        <f>TL[[#This Row],[Société]]&amp;" - "&amp;TL[[#This Row],[Compte]]</f>
        <v/>
      </c>
      <c r="B2752" s="233" t="inlineStr">
        <is>
          <t>708823</t>
        </is>
      </c>
      <c r="C2752" s="227" t="inlineStr">
        <is>
          <t>Refacturation homme maint. cotisat°</t>
        </is>
      </c>
      <c r="D2752" s="233" t="inlineStr">
        <is>
          <t>39</t>
        </is>
      </c>
      <c r="E2752" s="233" t="inlineStr">
        <is>
          <t>09</t>
        </is>
      </c>
      <c r="F2752" s="227" t="inlineStr">
        <is>
          <t>TURVILLA</t>
        </is>
      </c>
    </row>
    <row r="2753">
      <c r="A2753" s="227">
        <f>TL[[#This Row],[Société]]&amp;" - "&amp;TL[[#This Row],[Compte]]</f>
        <v/>
      </c>
      <c r="B2753" s="233" t="inlineStr">
        <is>
          <t>708830</t>
        </is>
      </c>
      <c r="C2753" s="227" t="inlineStr">
        <is>
          <t>Refactur sal cs managers</t>
        </is>
      </c>
      <c r="D2753" s="233" t="inlineStr">
        <is>
          <t>12</t>
        </is>
      </c>
      <c r="E2753" s="233" t="inlineStr">
        <is>
          <t>11</t>
        </is>
      </c>
      <c r="F2753" s="227" t="inlineStr">
        <is>
          <t>TURVILLA</t>
        </is>
      </c>
    </row>
    <row r="2754">
      <c r="A2754" s="227">
        <f>TL[[#This Row],[Société]]&amp;" - "&amp;TL[[#This Row],[Compte]]</f>
        <v/>
      </c>
      <c r="B2754" s="233" t="inlineStr">
        <is>
          <t>708831</t>
        </is>
      </c>
      <c r="C2754" s="227" t="inlineStr">
        <is>
          <t>Remboursement agefos managers</t>
        </is>
      </c>
      <c r="D2754" s="233" t="inlineStr">
        <is>
          <t>11</t>
        </is>
      </c>
      <c r="E2754" s="233" t="inlineStr">
        <is>
          <t>10</t>
        </is>
      </c>
      <c r="F2754" s="227" t="inlineStr">
        <is>
          <t>TURVILLA</t>
        </is>
      </c>
    </row>
    <row r="2755">
      <c r="A2755" s="227">
        <f>TL[[#This Row],[Société]]&amp;" - "&amp;TL[[#This Row],[Compte]]</f>
        <v/>
      </c>
      <c r="B2755" s="233" t="inlineStr">
        <is>
          <t>708840</t>
        </is>
      </c>
      <c r="C2755" s="227" t="inlineStr">
        <is>
          <t>Refact salaires managers</t>
        </is>
      </c>
      <c r="D2755" s="233" t="inlineStr">
        <is>
          <t>11</t>
        </is>
      </c>
      <c r="E2755" s="233" t="inlineStr">
        <is>
          <t>10</t>
        </is>
      </c>
      <c r="F2755" s="227" t="inlineStr">
        <is>
          <t>TURVILLA</t>
        </is>
      </c>
    </row>
    <row r="2756">
      <c r="A2756" s="227">
        <f>TL[[#This Row],[Société]]&amp;" - "&amp;TL[[#This Row],[Compte]]</f>
        <v/>
      </c>
      <c r="B2756" s="233" t="inlineStr">
        <is>
          <t>708841</t>
        </is>
      </c>
      <c r="C2756" s="227" t="inlineStr">
        <is>
          <t>Refacturations HM</t>
        </is>
      </c>
      <c r="D2756" s="233" t="inlineStr">
        <is>
          <t>62</t>
        </is>
      </c>
      <c r="E2756" s="233" t="inlineStr">
        <is>
          <t>50</t>
        </is>
      </c>
      <c r="F2756" s="227" t="inlineStr">
        <is>
          <t>TURVILLA</t>
        </is>
      </c>
    </row>
    <row r="2757">
      <c r="A2757" s="227">
        <f>TL[[#This Row],[Société]]&amp;" - "&amp;TL[[#This Row],[Compte]]</f>
        <v/>
      </c>
      <c r="B2757" s="233" t="inlineStr">
        <is>
          <t>708844</t>
        </is>
      </c>
      <c r="C2757" s="227" t="inlineStr">
        <is>
          <t>Refact diverses</t>
        </is>
      </c>
      <c r="D2757" s="233" t="inlineStr">
        <is>
          <t>23</t>
        </is>
      </c>
      <c r="E2757" s="233" t="inlineStr">
        <is>
          <t>27</t>
        </is>
      </c>
      <c r="F2757" s="227" t="inlineStr">
        <is>
          <t>TURVILLA</t>
        </is>
      </c>
    </row>
    <row r="2758">
      <c r="A2758" s="227">
        <f>TL[[#This Row],[Société]]&amp;" - "&amp;TL[[#This Row],[Compte]]</f>
        <v/>
      </c>
      <c r="B2758" s="233" t="inlineStr">
        <is>
          <t>708845</t>
        </is>
      </c>
      <c r="C2758" s="227" t="inlineStr">
        <is>
          <t>Refacturation uniformes</t>
        </is>
      </c>
      <c r="D2758" s="233" t="inlineStr">
        <is>
          <t>17</t>
        </is>
      </c>
      <c r="E2758" s="233" t="inlineStr">
        <is>
          <t>27</t>
        </is>
      </c>
      <c r="F2758" s="227" t="inlineStr">
        <is>
          <t>TURVILLA</t>
        </is>
      </c>
    </row>
    <row r="2759">
      <c r="A2759" s="227">
        <f>TL[[#This Row],[Société]]&amp;" - "&amp;TL[[#This Row],[Compte]]</f>
        <v/>
      </c>
      <c r="B2759" s="233" t="inlineStr">
        <is>
          <t>708846</t>
        </is>
      </c>
      <c r="C2759" s="227" t="inlineStr">
        <is>
          <t>Refacturation petit équipement</t>
        </is>
      </c>
      <c r="D2759" s="239" t="inlineStr">
        <is>
          <t>19</t>
        </is>
      </c>
      <c r="E2759" s="233" t="inlineStr">
        <is>
          <t>18</t>
        </is>
      </c>
      <c r="F2759" s="227" t="inlineStr">
        <is>
          <t>TURVILLA</t>
        </is>
      </c>
    </row>
    <row r="2760">
      <c r="A2760" s="227">
        <f>TL[[#This Row],[Société]]&amp;" - "&amp;TL[[#This Row],[Compte]]</f>
        <v/>
      </c>
      <c r="B2760" s="233" t="inlineStr">
        <is>
          <t>708850</t>
        </is>
      </c>
      <c r="C2760" s="227" t="inlineStr">
        <is>
          <t>Refact salaires equipiers</t>
        </is>
      </c>
      <c r="D2760" s="233" t="inlineStr">
        <is>
          <t>10</t>
        </is>
      </c>
      <c r="E2760" s="233" t="inlineStr">
        <is>
          <t>08</t>
        </is>
      </c>
      <c r="F2760" s="227" t="inlineStr">
        <is>
          <t>TURVILLA</t>
        </is>
      </c>
    </row>
    <row r="2761">
      <c r="A2761" s="227">
        <f>TL[[#This Row],[Société]]&amp;" - "&amp;TL[[#This Row],[Compte]]</f>
        <v/>
      </c>
      <c r="B2761" s="233" t="inlineStr">
        <is>
          <t>708852</t>
        </is>
      </c>
      <c r="C2761" s="227" t="inlineStr">
        <is>
          <t>Refacturation ristourne</t>
        </is>
      </c>
      <c r="D2761" s="233" t="inlineStr">
        <is>
          <t>01</t>
        </is>
      </c>
      <c r="E2761" s="233" t="inlineStr">
        <is>
          <t>02</t>
        </is>
      </c>
      <c r="F2761" s="227" t="inlineStr">
        <is>
          <t>TURVILLA</t>
        </is>
      </c>
    </row>
    <row r="2762">
      <c r="A2762" s="227">
        <f>TL[[#This Row],[Société]]&amp;" - "&amp;TL[[#This Row],[Compte]]</f>
        <v/>
      </c>
      <c r="B2762" s="233" t="inlineStr">
        <is>
          <t>708855</t>
        </is>
      </c>
      <c r="C2762" s="227" t="inlineStr">
        <is>
          <t>Refacturation nourriture</t>
        </is>
      </c>
      <c r="D2762" s="233" t="inlineStr">
        <is>
          <t>06</t>
        </is>
      </c>
      <c r="E2762" s="233" t="inlineStr">
        <is>
          <t>03</t>
        </is>
      </c>
      <c r="F2762" s="227" t="inlineStr">
        <is>
          <t>TURVILLA</t>
        </is>
      </c>
    </row>
    <row r="2763">
      <c r="A2763" s="227">
        <f>TL[[#This Row],[Société]]&amp;" - "&amp;TL[[#This Row],[Compte]]</f>
        <v/>
      </c>
      <c r="B2763" s="233" t="inlineStr">
        <is>
          <t>708856</t>
        </is>
      </c>
      <c r="C2763" s="227" t="inlineStr">
        <is>
          <t>Refacturation matériels outill.</t>
        </is>
      </c>
      <c r="D2763" s="233" t="inlineStr">
        <is>
          <t>19</t>
        </is>
      </c>
      <c r="E2763" s="233" t="inlineStr">
        <is>
          <t>25</t>
        </is>
      </c>
      <c r="F2763" s="227" t="inlineStr">
        <is>
          <t>TURVILLA</t>
        </is>
      </c>
    </row>
    <row r="2764">
      <c r="A2764" s="227">
        <f>TL[[#This Row],[Société]]&amp;" - "&amp;TL[[#This Row],[Compte]]</f>
        <v/>
      </c>
      <c r="B2764" s="233" t="inlineStr">
        <is>
          <t>708857</t>
        </is>
      </c>
      <c r="C2764" s="227" t="inlineStr">
        <is>
          <t>Refact fournitures exploitation</t>
        </is>
      </c>
      <c r="D2764" s="233" t="inlineStr">
        <is>
          <t>18</t>
        </is>
      </c>
      <c r="E2764" s="233" t="inlineStr">
        <is>
          <t>25</t>
        </is>
      </c>
      <c r="F2764" s="227" t="inlineStr">
        <is>
          <t>TURVILLA</t>
        </is>
      </c>
    </row>
    <row r="2765">
      <c r="A2765" s="227">
        <f>TL[[#This Row],[Société]]&amp;" - "&amp;TL[[#This Row],[Compte]]</f>
        <v/>
      </c>
      <c r="B2765" s="233" t="inlineStr">
        <is>
          <t>708858</t>
        </is>
      </c>
      <c r="C2765" s="227" t="inlineStr">
        <is>
          <t>Refacturation emballage</t>
        </is>
      </c>
      <c r="D2765" s="233" t="inlineStr">
        <is>
          <t>03</t>
        </is>
      </c>
      <c r="E2765" s="233" t="inlineStr">
        <is>
          <t>06</t>
        </is>
      </c>
      <c r="F2765" s="227" t="inlineStr">
        <is>
          <t>TURVILLA</t>
        </is>
      </c>
    </row>
    <row r="2766">
      <c r="A2766" s="227">
        <f>TL[[#This Row],[Société]]&amp;" - "&amp;TL[[#This Row],[Compte]]</f>
        <v/>
      </c>
      <c r="B2766" s="233" t="inlineStr">
        <is>
          <t>708859</t>
        </is>
      </c>
      <c r="C2766" s="227" t="inlineStr">
        <is>
          <t>Refacturation repas pers techn</t>
        </is>
      </c>
      <c r="D2766" s="233" t="inlineStr">
        <is>
          <t>39</t>
        </is>
      </c>
      <c r="E2766" s="233" t="inlineStr">
        <is>
          <t>13</t>
        </is>
      </c>
      <c r="F2766" s="227" t="inlineStr">
        <is>
          <t>TURVILLA</t>
        </is>
      </c>
    </row>
    <row r="2767">
      <c r="A2767" s="227">
        <f>TL[[#This Row],[Société]]&amp;" - "&amp;TL[[#This Row],[Compte]]</f>
        <v/>
      </c>
      <c r="B2767" s="233" t="inlineStr">
        <is>
          <t>708860</t>
        </is>
      </c>
      <c r="C2767" s="227" t="inlineStr">
        <is>
          <t>Refacturation carburant</t>
        </is>
      </c>
      <c r="D2767" s="233" t="inlineStr">
        <is>
          <t>39</t>
        </is>
      </c>
      <c r="E2767" s="233" t="inlineStr">
        <is>
          <t>26</t>
        </is>
      </c>
      <c r="F2767" s="227" t="inlineStr">
        <is>
          <t>TURVILLA</t>
        </is>
      </c>
    </row>
    <row r="2768">
      <c r="A2768" s="227">
        <f>TL[[#This Row],[Société]]&amp;" - "&amp;TL[[#This Row],[Compte]]</f>
        <v/>
      </c>
      <c r="B2768" s="233" t="inlineStr">
        <is>
          <t>708861</t>
        </is>
      </c>
      <c r="C2768" s="227" t="inlineStr">
        <is>
          <t>Refacturation bureau</t>
        </is>
      </c>
      <c r="D2768" s="233" t="inlineStr">
        <is>
          <t>51</t>
        </is>
      </c>
      <c r="E2768" s="233" t="inlineStr">
        <is>
          <t>25</t>
        </is>
      </c>
      <c r="F2768" s="227" t="inlineStr">
        <is>
          <t>TURVILLA</t>
        </is>
      </c>
    </row>
    <row r="2769">
      <c r="A2769" s="227">
        <f>TL[[#This Row],[Société]]&amp;" - "&amp;TL[[#This Row],[Compte]]</f>
        <v/>
      </c>
      <c r="B2769" s="233" t="inlineStr">
        <is>
          <t>708862</t>
        </is>
      </c>
      <c r="C2769" s="227" t="inlineStr">
        <is>
          <t>Refacturation frais de deplacements</t>
        </is>
      </c>
      <c r="D2769" s="233" t="inlineStr">
        <is>
          <t>51</t>
        </is>
      </c>
      <c r="E2769" s="233" t="inlineStr">
        <is>
          <t>26</t>
        </is>
      </c>
      <c r="F2769" s="227" t="inlineStr">
        <is>
          <t>TURVILLA</t>
        </is>
      </c>
    </row>
    <row r="2770">
      <c r="A2770" s="227">
        <f>TL[[#This Row],[Société]]&amp;" - "&amp;TL[[#This Row],[Compte]]</f>
        <v/>
      </c>
      <c r="B2770" s="233" t="inlineStr">
        <is>
          <t>708863</t>
        </is>
      </c>
      <c r="C2770" s="227" t="inlineStr">
        <is>
          <t>Refacturation la poste</t>
        </is>
      </c>
      <c r="D2770" s="233" t="inlineStr">
        <is>
          <t>20</t>
        </is>
      </c>
      <c r="E2770" s="233" t="inlineStr">
        <is>
          <t>24</t>
        </is>
      </c>
      <c r="F2770" s="227" t="inlineStr">
        <is>
          <t>TURVILLA</t>
        </is>
      </c>
    </row>
    <row r="2771">
      <c r="A2771" s="227">
        <f>TL[[#This Row],[Société]]&amp;" - "&amp;TL[[#This Row],[Compte]]</f>
        <v/>
      </c>
      <c r="B2771" s="233" t="inlineStr">
        <is>
          <t>708864</t>
        </is>
      </c>
      <c r="C2771" s="227" t="inlineStr">
        <is>
          <t>Refacturation entret reparation</t>
        </is>
      </c>
      <c r="D2771" s="233" t="inlineStr">
        <is>
          <t>19</t>
        </is>
      </c>
      <c r="E2771" s="233" t="inlineStr">
        <is>
          <t>18</t>
        </is>
      </c>
      <c r="F2771" s="227" t="inlineStr">
        <is>
          <t>TURVILLA</t>
        </is>
      </c>
    </row>
    <row r="2772">
      <c r="A2772" s="227">
        <f>TL[[#This Row],[Société]]&amp;" - "&amp;TL[[#This Row],[Compte]]</f>
        <v/>
      </c>
      <c r="B2772" s="233" t="inlineStr">
        <is>
          <t>708865</t>
        </is>
      </c>
      <c r="C2772" s="227" t="inlineStr">
        <is>
          <t>Refacturation honoraires divers</t>
        </is>
      </c>
      <c r="D2772" s="233" t="inlineStr">
        <is>
          <t>32</t>
        </is>
      </c>
      <c r="E2772" s="233" t="inlineStr">
        <is>
          <t>35</t>
        </is>
      </c>
      <c r="F2772" s="227" t="inlineStr">
        <is>
          <t>TURVILLA</t>
        </is>
      </c>
    </row>
    <row r="2773">
      <c r="A2773" s="227">
        <f>TL[[#This Row],[Société]]&amp;" - "&amp;TL[[#This Row],[Compte]]</f>
        <v/>
      </c>
      <c r="B2773" s="233" t="inlineStr">
        <is>
          <t>708866</t>
        </is>
      </c>
      <c r="C2773" s="227" t="inlineStr">
        <is>
          <t>Mise a disposition jnal ouest franc</t>
        </is>
      </c>
      <c r="D2773" s="233" t="inlineStr">
        <is>
          <t>23</t>
        </is>
      </c>
      <c r="E2773" s="233" t="inlineStr">
        <is>
          <t>27</t>
        </is>
      </c>
      <c r="F2773" s="227" t="inlineStr">
        <is>
          <t>TURVILLA</t>
        </is>
      </c>
    </row>
    <row r="2774">
      <c r="A2774" s="227">
        <f>TL[[#This Row],[Société]]&amp;" - "&amp;TL[[#This Row],[Compte]]</f>
        <v/>
      </c>
      <c r="B2774" s="233" t="inlineStr">
        <is>
          <t>708867</t>
        </is>
      </c>
      <c r="C2774" s="227" t="inlineStr">
        <is>
          <t>Refacturation véhicule</t>
        </is>
      </c>
      <c r="D2774" s="233" t="inlineStr">
        <is>
          <t>39</t>
        </is>
      </c>
      <c r="E2774" s="233" t="inlineStr">
        <is>
          <t>19</t>
        </is>
      </c>
      <c r="F2774" s="227" t="inlineStr">
        <is>
          <t>TURVILLA</t>
        </is>
      </c>
    </row>
    <row r="2775">
      <c r="A2775" s="227">
        <f>TL[[#This Row],[Société]]&amp;" - "&amp;TL[[#This Row],[Compte]]</f>
        <v/>
      </c>
      <c r="B2775" s="233" t="inlineStr">
        <is>
          <t>708870</t>
        </is>
      </c>
      <c r="C2775" s="227" t="inlineStr">
        <is>
          <t>Gie opération de marché</t>
        </is>
      </c>
      <c r="D2775" s="233" t="inlineStr">
        <is>
          <t>15</t>
        </is>
      </c>
      <c r="E2775" s="233" t="inlineStr">
        <is>
          <t>22</t>
        </is>
      </c>
      <c r="F2775" s="227" t="inlineStr">
        <is>
          <t>TURVILLA</t>
        </is>
      </c>
    </row>
    <row r="2776">
      <c r="A2776" s="227">
        <f>TL[[#This Row],[Société]]&amp;" - "&amp;TL[[#This Row],[Compte]]</f>
        <v/>
      </c>
      <c r="B2776" s="233" t="inlineStr">
        <is>
          <t>708880</t>
        </is>
      </c>
      <c r="C2776" s="227" t="inlineStr">
        <is>
          <t>Coupons cinéma</t>
        </is>
      </c>
      <c r="D2776" s="233" t="inlineStr">
        <is>
          <t>62</t>
        </is>
      </c>
      <c r="E2776" s="233" t="inlineStr">
        <is>
          <t>50</t>
        </is>
      </c>
      <c r="F2776" s="227" t="inlineStr">
        <is>
          <t>TURVILLA</t>
        </is>
      </c>
    </row>
    <row r="2777">
      <c r="A2777" s="227">
        <f>TL[[#This Row],[Société]]&amp;" - "&amp;TL[[#This Row],[Compte]]</f>
        <v/>
      </c>
      <c r="B2777" s="233" t="inlineStr">
        <is>
          <t>708881</t>
        </is>
      </c>
      <c r="C2777" s="227" t="inlineStr">
        <is>
          <t>Refacturation cadeaux equip</t>
        </is>
      </c>
      <c r="D2777" s="233" t="inlineStr">
        <is>
          <t>23</t>
        </is>
      </c>
      <c r="E2777" s="233" t="inlineStr">
        <is>
          <t>27</t>
        </is>
      </c>
      <c r="F2777" s="227" t="inlineStr">
        <is>
          <t>TURVILLA</t>
        </is>
      </c>
    </row>
    <row r="2778">
      <c r="A2778" s="227">
        <f>TL[[#This Row],[Société]]&amp;" - "&amp;TL[[#This Row],[Compte]]</f>
        <v/>
      </c>
      <c r="B2778" s="233" t="inlineStr">
        <is>
          <t>708882</t>
        </is>
      </c>
      <c r="C2778" s="227" t="inlineStr">
        <is>
          <t>Refatcuration loyer veh sabrina</t>
        </is>
      </c>
      <c r="D2778" s="233" t="inlineStr">
        <is>
          <t>39</t>
        </is>
      </c>
      <c r="E2778" s="233" t="inlineStr">
        <is>
          <t>19</t>
        </is>
      </c>
      <c r="F2778" s="227" t="inlineStr">
        <is>
          <t>TURVILLA</t>
        </is>
      </c>
    </row>
    <row r="2779">
      <c r="A2779" s="227">
        <f>TL[[#This Row],[Société]]&amp;" - "&amp;TL[[#This Row],[Compte]]</f>
        <v/>
      </c>
      <c r="B2779" s="233" t="inlineStr">
        <is>
          <t>708883</t>
        </is>
      </c>
      <c r="C2779" s="227" t="inlineStr">
        <is>
          <t>Refatc uniformes</t>
        </is>
      </c>
      <c r="D2779" s="233" t="inlineStr">
        <is>
          <t>17</t>
        </is>
      </c>
      <c r="E2779" s="233" t="inlineStr">
        <is>
          <t>25</t>
        </is>
      </c>
      <c r="F2779" s="227" t="inlineStr">
        <is>
          <t>TURVILLA</t>
        </is>
      </c>
    </row>
    <row r="2780">
      <c r="A2780" s="227">
        <f>TL[[#This Row],[Société]]&amp;" - "&amp;TL[[#This Row],[Compte]]</f>
        <v/>
      </c>
      <c r="B2780" s="233" t="inlineStr">
        <is>
          <t>708884</t>
        </is>
      </c>
      <c r="C2780" s="227" t="inlineStr">
        <is>
          <t>Refacturation repas</t>
        </is>
      </c>
      <c r="D2780" s="233" t="inlineStr">
        <is>
          <t>13</t>
        </is>
      </c>
      <c r="E2780" s="233" t="inlineStr">
        <is>
          <t>26</t>
        </is>
      </c>
      <c r="F2780" s="227" t="inlineStr">
        <is>
          <t>TURVILLA</t>
        </is>
      </c>
    </row>
    <row r="2781">
      <c r="A2781" s="227">
        <f>TL[[#This Row],[Société]]&amp;" - "&amp;TL[[#This Row],[Compte]]</f>
        <v/>
      </c>
      <c r="B2781" s="233" t="inlineStr">
        <is>
          <t>708885</t>
        </is>
      </c>
      <c r="C2781" s="227" t="inlineStr">
        <is>
          <t>Refacturation assurance vehicule</t>
        </is>
      </c>
      <c r="D2781" s="233" t="inlineStr">
        <is>
          <t>39</t>
        </is>
      </c>
      <c r="E2781" s="233" t="inlineStr">
        <is>
          <t>36</t>
        </is>
      </c>
      <c r="F2781" s="227" t="inlineStr">
        <is>
          <t>TURVILLA</t>
        </is>
      </c>
    </row>
    <row r="2782">
      <c r="A2782" s="227">
        <f>TL[[#This Row],[Société]]&amp;" - "&amp;TL[[#This Row],[Compte]]</f>
        <v/>
      </c>
      <c r="B2782" s="233" t="inlineStr">
        <is>
          <t>708890</t>
        </is>
      </c>
      <c r="C2782" s="227" t="inlineStr">
        <is>
          <t>Refacturation publicite</t>
        </is>
      </c>
      <c r="D2782" s="233" t="inlineStr">
        <is>
          <t>15</t>
        </is>
      </c>
      <c r="E2782" s="233" t="inlineStr">
        <is>
          <t>22</t>
        </is>
      </c>
      <c r="F2782" s="227" t="inlineStr">
        <is>
          <t>TURVILLA</t>
        </is>
      </c>
    </row>
    <row r="2783">
      <c r="A2783" s="227">
        <f>TL[[#This Row],[Société]]&amp;" - "&amp;TL[[#This Row],[Compte]]</f>
        <v/>
      </c>
      <c r="B2783" s="233" t="inlineStr">
        <is>
          <t>726100</t>
        </is>
      </c>
      <c r="C2783" s="227" t="inlineStr">
        <is>
          <t>Avantage en nature equipiers</t>
        </is>
      </c>
      <c r="D2783" s="233" t="inlineStr">
        <is>
          <t>10</t>
        </is>
      </c>
      <c r="E2783" s="233" t="inlineStr">
        <is>
          <t>08</t>
        </is>
      </c>
      <c r="F2783" s="227" t="inlineStr">
        <is>
          <t>TURVILLA</t>
        </is>
      </c>
    </row>
    <row r="2784">
      <c r="A2784" s="227">
        <f>TL[[#This Row],[Société]]&amp;" - "&amp;TL[[#This Row],[Compte]]</f>
        <v/>
      </c>
      <c r="B2784" s="233" t="inlineStr">
        <is>
          <t>726110</t>
        </is>
      </c>
      <c r="C2784" s="227" t="inlineStr">
        <is>
          <t>Avantage en nature managers</t>
        </is>
      </c>
      <c r="D2784" s="233" t="inlineStr">
        <is>
          <t>11</t>
        </is>
      </c>
      <c r="E2784" s="233" t="inlineStr">
        <is>
          <t>10</t>
        </is>
      </c>
      <c r="F2784" s="227" t="inlineStr">
        <is>
          <t>TURVILLA</t>
        </is>
      </c>
    </row>
    <row r="2785">
      <c r="A2785" s="227">
        <f>TL[[#This Row],[Société]]&amp;" - "&amp;TL[[#This Row],[Compte]]</f>
        <v/>
      </c>
      <c r="B2785" s="233" t="inlineStr">
        <is>
          <t>740100</t>
        </is>
      </c>
      <c r="C2785" s="227" t="inlineStr">
        <is>
          <t>Subvention emploi</t>
        </is>
      </c>
      <c r="D2785" s="233" t="inlineStr">
        <is>
          <t>10</t>
        </is>
      </c>
      <c r="E2785" s="233" t="inlineStr">
        <is>
          <t>09</t>
        </is>
      </c>
      <c r="F2785" s="227" t="inlineStr">
        <is>
          <t>TURVILLA</t>
        </is>
      </c>
    </row>
    <row r="2786">
      <c r="A2786" s="227">
        <f>TL[[#This Row],[Société]]&amp;" - "&amp;TL[[#This Row],[Compte]]</f>
        <v/>
      </c>
      <c r="B2786" s="233" t="inlineStr">
        <is>
          <t>740200</t>
        </is>
      </c>
      <c r="C2786" s="227" t="inlineStr">
        <is>
          <t>Subvention equipement</t>
        </is>
      </c>
      <c r="D2786" s="233" t="inlineStr">
        <is>
          <t>39</t>
        </is>
      </c>
      <c r="E2786" s="233" t="inlineStr">
        <is>
          <t>45</t>
        </is>
      </c>
      <c r="F2786" s="227" t="inlineStr">
        <is>
          <t>TURVILLA</t>
        </is>
      </c>
    </row>
    <row r="2787">
      <c r="A2787" s="227">
        <f>TL[[#This Row],[Société]]&amp;" - "&amp;TL[[#This Row],[Compte]]</f>
        <v/>
      </c>
      <c r="B2787" s="233" t="inlineStr">
        <is>
          <t>758000</t>
        </is>
      </c>
      <c r="C2787" s="227" t="inlineStr">
        <is>
          <t>Produits divers gestion courante</t>
        </is>
      </c>
      <c r="D2787" s="233" t="inlineStr">
        <is>
          <t>39</t>
        </is>
      </c>
      <c r="E2787" s="233" t="inlineStr">
        <is>
          <t>27</t>
        </is>
      </c>
      <c r="F2787" s="227" t="inlineStr">
        <is>
          <t>TURVILLA</t>
        </is>
      </c>
    </row>
    <row r="2788">
      <c r="A2788" s="227">
        <f>TL[[#This Row],[Société]]&amp;" - "&amp;TL[[#This Row],[Compte]]</f>
        <v/>
      </c>
      <c r="B2788" s="233" t="inlineStr">
        <is>
          <t>758100</t>
        </is>
      </c>
      <c r="C2788" s="227" t="inlineStr">
        <is>
          <t>Ecart de caisse credit</t>
        </is>
      </c>
      <c r="D2788" s="233" t="inlineStr">
        <is>
          <t>22</t>
        </is>
      </c>
      <c r="E2788" s="233" t="inlineStr">
        <is>
          <t>27</t>
        </is>
      </c>
      <c r="F2788" s="227" t="inlineStr">
        <is>
          <t>TURVILLA</t>
        </is>
      </c>
    </row>
    <row r="2789">
      <c r="A2789" s="227">
        <f>TL[[#This Row],[Société]]&amp;" - "&amp;TL[[#This Row],[Compte]]</f>
        <v/>
      </c>
      <c r="B2789" s="233" t="inlineStr">
        <is>
          <t>761500</t>
        </is>
      </c>
      <c r="C2789" s="227" t="inlineStr">
        <is>
          <t>Intérêts de compte courant</t>
        </is>
      </c>
      <c r="D2789" s="233" t="inlineStr">
        <is>
          <t>37</t>
        </is>
      </c>
      <c r="E2789" s="233" t="inlineStr">
        <is>
          <t>42</t>
        </is>
      </c>
      <c r="F2789" s="227" t="inlineStr">
        <is>
          <t>TURVILLA</t>
        </is>
      </c>
    </row>
    <row r="2790">
      <c r="A2790" s="227">
        <f>TL[[#This Row],[Société]]&amp;" - "&amp;TL[[#This Row],[Compte]]</f>
        <v/>
      </c>
      <c r="B2790" s="233" t="inlineStr">
        <is>
          <t>767000</t>
        </is>
      </c>
      <c r="C2790" s="227" t="inlineStr">
        <is>
          <t>Prod.nets s/cess.val.mob.pl</t>
        </is>
      </c>
      <c r="D2790" s="233" t="inlineStr">
        <is>
          <t>99</t>
        </is>
      </c>
      <c r="E2790" s="233" t="inlineStr">
        <is>
          <t>42</t>
        </is>
      </c>
      <c r="F2790" s="227" t="inlineStr">
        <is>
          <t>TURVILLA</t>
        </is>
      </c>
    </row>
    <row r="2791">
      <c r="A2791" s="227">
        <f>TL[[#This Row],[Société]]&amp;" - "&amp;TL[[#This Row],[Compte]]</f>
        <v/>
      </c>
      <c r="B2791" s="233" t="inlineStr">
        <is>
          <t>768000</t>
        </is>
      </c>
      <c r="C2791" s="227" t="inlineStr">
        <is>
          <t>Autre produit financier</t>
        </is>
      </c>
      <c r="D2791" s="233" t="inlineStr">
        <is>
          <t>39</t>
        </is>
      </c>
      <c r="E2791" s="233" t="inlineStr">
        <is>
          <t>42</t>
        </is>
      </c>
      <c r="F2791" s="227" t="inlineStr">
        <is>
          <t>TURVILLA</t>
        </is>
      </c>
    </row>
    <row r="2792">
      <c r="A2792" s="227">
        <f>TL[[#This Row],[Société]]&amp;" - "&amp;TL[[#This Row],[Compte]]</f>
        <v/>
      </c>
      <c r="B2792" s="233" t="inlineStr">
        <is>
          <t>768200</t>
        </is>
      </c>
      <c r="C2792" s="227" t="inlineStr">
        <is>
          <t>Intérêts cep</t>
        </is>
      </c>
      <c r="D2792" s="233" t="inlineStr">
        <is>
          <t>38</t>
        </is>
      </c>
      <c r="E2792" s="233" t="inlineStr">
        <is>
          <t>42</t>
        </is>
      </c>
      <c r="F2792" s="227" t="inlineStr">
        <is>
          <t>TURVILLA</t>
        </is>
      </c>
    </row>
    <row r="2793">
      <c r="A2793" s="227">
        <f>TL[[#This Row],[Société]]&amp;" - "&amp;TL[[#This Row],[Compte]]</f>
        <v/>
      </c>
      <c r="B2793" s="233" t="inlineStr">
        <is>
          <t>771100</t>
        </is>
      </c>
      <c r="C2793" s="227" t="inlineStr">
        <is>
          <t>Ecarts de caisse</t>
        </is>
      </c>
      <c r="D2793" s="233" t="inlineStr">
        <is>
          <t>22</t>
        </is>
      </c>
      <c r="E2793" s="233" t="inlineStr">
        <is>
          <t>27</t>
        </is>
      </c>
      <c r="F2793" s="227" t="inlineStr">
        <is>
          <t>TURVILLA</t>
        </is>
      </c>
    </row>
    <row r="2794">
      <c r="A2794" s="227">
        <f>TL[[#This Row],[Société]]&amp;" - "&amp;TL[[#This Row],[Compte]]</f>
        <v/>
      </c>
      <c r="B2794" s="233" t="inlineStr">
        <is>
          <t>771200</t>
        </is>
      </c>
      <c r="C2794" s="227" t="inlineStr">
        <is>
          <t>Produits exceptionnels</t>
        </is>
      </c>
      <c r="D2794" s="233" t="inlineStr">
        <is>
          <t>39</t>
        </is>
      </c>
      <c r="E2794" s="233" t="inlineStr">
        <is>
          <t>45</t>
        </is>
      </c>
      <c r="F2794" s="227" t="inlineStr">
        <is>
          <t>TURVILLA</t>
        </is>
      </c>
    </row>
    <row r="2795">
      <c r="A2795" s="227">
        <f>TL[[#This Row],[Société]]&amp;" - "&amp;TL[[#This Row],[Compte]]</f>
        <v/>
      </c>
      <c r="B2795" s="233" t="inlineStr">
        <is>
          <t>772000</t>
        </is>
      </c>
      <c r="C2795" s="227" t="inlineStr">
        <is>
          <t>Prod excep /ex anterieur</t>
        </is>
      </c>
      <c r="F2795" s="227" t="inlineStr">
        <is>
          <t>TURVILLA</t>
        </is>
      </c>
    </row>
    <row r="2796">
      <c r="A2796" s="227">
        <f>TL[[#This Row],[Société]]&amp;" - "&amp;TL[[#This Row],[Compte]]</f>
        <v/>
      </c>
      <c r="B2796" s="233" t="inlineStr">
        <is>
          <t>775200</t>
        </is>
      </c>
      <c r="C2796" s="227" t="inlineStr">
        <is>
          <t>Prod cessions actifs - Immo corp</t>
        </is>
      </c>
      <c r="D2796" s="233" t="inlineStr">
        <is>
          <t>99</t>
        </is>
      </c>
      <c r="E2796" s="233" t="inlineStr">
        <is>
          <t>45</t>
        </is>
      </c>
      <c r="F2796" s="227" t="inlineStr">
        <is>
          <t>TURVILLA</t>
        </is>
      </c>
    </row>
    <row r="2797">
      <c r="A2797" s="227">
        <f>TL[[#This Row],[Société]]&amp;" - "&amp;TL[[#This Row],[Compte]]</f>
        <v/>
      </c>
      <c r="B2797" s="233" t="inlineStr">
        <is>
          <t>777170</t>
        </is>
      </c>
      <c r="C2797" s="227" t="inlineStr">
        <is>
          <t>Quote part subventions</t>
        </is>
      </c>
      <c r="D2797" s="233" t="inlineStr">
        <is>
          <t>39</t>
        </is>
      </c>
      <c r="E2797" s="233" t="inlineStr">
        <is>
          <t>13</t>
        </is>
      </c>
      <c r="F2797" s="227" t="inlineStr">
        <is>
          <t>TURVILLA</t>
        </is>
      </c>
    </row>
    <row r="2798">
      <c r="A2798" s="227">
        <f>TL[[#This Row],[Société]]&amp;" - "&amp;TL[[#This Row],[Compte]]</f>
        <v/>
      </c>
      <c r="B2798" s="233" t="inlineStr">
        <is>
          <t>781110</t>
        </is>
      </c>
      <c r="C2798" s="227" t="inlineStr">
        <is>
          <t>CREE PAR CEGID</t>
        </is>
      </c>
      <c r="F2798" s="227" t="inlineStr">
        <is>
          <t>TURVILLA</t>
        </is>
      </c>
    </row>
    <row r="2799">
      <c r="A2799" s="227">
        <f>TL[[#This Row],[Société]]&amp;" - "&amp;TL[[#This Row],[Compte]]</f>
        <v/>
      </c>
      <c r="B2799" s="233" t="inlineStr">
        <is>
          <t>781120</t>
        </is>
      </c>
      <c r="C2799" s="227" t="inlineStr">
        <is>
          <t>Reprises sur amort. immo. corpo.</t>
        </is>
      </c>
      <c r="D2799" s="233" t="inlineStr">
        <is>
          <t>36</t>
        </is>
      </c>
      <c r="E2799" s="233" t="inlineStr">
        <is>
          <t>38</t>
        </is>
      </c>
      <c r="F2799" s="227" t="inlineStr">
        <is>
          <t>TURVILLA</t>
        </is>
      </c>
    </row>
    <row r="2800">
      <c r="A2800" s="227">
        <f>TL[[#This Row],[Société]]&amp;" - "&amp;TL[[#This Row],[Compte]]</f>
        <v/>
      </c>
      <c r="B2800" s="233" t="inlineStr">
        <is>
          <t>787250</t>
        </is>
      </c>
      <c r="C2800" s="227" t="inlineStr">
        <is>
          <t>Reprises sur amort. dérogatoire</t>
        </is>
      </c>
      <c r="F2800" s="227" t="inlineStr">
        <is>
          <t>TURVILLA</t>
        </is>
      </c>
    </row>
    <row r="2801">
      <c r="A2801" s="227">
        <f>TL[[#This Row],[Société]]&amp;" - "&amp;TL[[#This Row],[Compte]]</f>
        <v/>
      </c>
      <c r="B2801" s="233" t="inlineStr">
        <is>
          <t>787500</t>
        </is>
      </c>
      <c r="C2801" s="227" t="inlineStr">
        <is>
          <t>Repris.s/prov.risques charges excep</t>
        </is>
      </c>
      <c r="D2801" s="233" t="inlineStr">
        <is>
          <t>39</t>
        </is>
      </c>
      <c r="E2801" s="233" t="inlineStr">
        <is>
          <t>38</t>
        </is>
      </c>
      <c r="F2801" s="227" t="inlineStr">
        <is>
          <t>TURVILLA</t>
        </is>
      </c>
    </row>
    <row r="2802">
      <c r="A2802" s="227">
        <f>TL[[#This Row],[Société]]&amp;" - "&amp;TL[[#This Row],[Compte]]</f>
        <v/>
      </c>
      <c r="B2802" s="233" t="inlineStr">
        <is>
          <t>791000</t>
        </is>
      </c>
      <c r="C2802" s="227" t="inlineStr">
        <is>
          <t>Transfert charges exploitat</t>
        </is>
      </c>
      <c r="D2802" s="233" t="inlineStr">
        <is>
          <t>39</t>
        </is>
      </c>
      <c r="E2802" s="233" t="inlineStr">
        <is>
          <t>40</t>
        </is>
      </c>
      <c r="F2802" s="227" t="inlineStr">
        <is>
          <t>TURVILLA</t>
        </is>
      </c>
    </row>
    <row r="2803">
      <c r="A2803" s="227">
        <f>TL[[#This Row],[Société]]&amp;" - "&amp;TL[[#This Row],[Compte]]</f>
        <v/>
      </c>
      <c r="B2803" s="233" t="inlineStr">
        <is>
          <t>791001</t>
        </is>
      </c>
      <c r="C2803" s="227" t="inlineStr">
        <is>
          <t>Remb perte d'exploitation</t>
        </is>
      </c>
      <c r="F2803" s="227" t="inlineStr">
        <is>
          <t>TURVILLA</t>
        </is>
      </c>
    </row>
    <row r="2804">
      <c r="A2804" s="227">
        <f>TL[[#This Row],[Société]]&amp;" - "&amp;TL[[#This Row],[Compte]]</f>
        <v/>
      </c>
      <c r="B2804" s="233" t="inlineStr">
        <is>
          <t>791010</t>
        </is>
      </c>
      <c r="C2804" s="227" t="inlineStr">
        <is>
          <t>Transf. charges équipiers</t>
        </is>
      </c>
      <c r="D2804" s="233" t="inlineStr">
        <is>
          <t>10</t>
        </is>
      </c>
      <c r="E2804" s="233" t="inlineStr">
        <is>
          <t>08</t>
        </is>
      </c>
      <c r="F2804" s="227" t="inlineStr">
        <is>
          <t>TURVILLA</t>
        </is>
      </c>
    </row>
    <row r="2805">
      <c r="A2805" s="227">
        <f>TL[[#This Row],[Société]]&amp;" - "&amp;TL[[#This Row],[Compte]]</f>
        <v/>
      </c>
      <c r="B2805" s="233" t="inlineStr">
        <is>
          <t>791103</t>
        </is>
      </c>
      <c r="C2805" s="227" t="inlineStr">
        <is>
          <t>Avantage en nature 10%</t>
        </is>
      </c>
      <c r="F2805" s="227" t="inlineStr">
        <is>
          <t>TURVILLA</t>
        </is>
      </c>
    </row>
    <row r="2806">
      <c r="A2806" s="227">
        <f>TL[[#This Row],[Société]]&amp;" - "&amp;TL[[#This Row],[Compte]]</f>
        <v/>
      </c>
      <c r="B2806" s="233" t="inlineStr">
        <is>
          <t>791104</t>
        </is>
      </c>
      <c r="C2806" s="227" t="inlineStr">
        <is>
          <t>Avantage en nature voiture</t>
        </is>
      </c>
      <c r="D2806" s="233" t="inlineStr">
        <is>
          <t>11</t>
        </is>
      </c>
      <c r="E2806" s="233" t="inlineStr">
        <is>
          <t>10</t>
        </is>
      </c>
      <c r="F2806" s="227" t="inlineStr">
        <is>
          <t>TURVILLA</t>
        </is>
      </c>
    </row>
    <row r="2807">
      <c r="A2807" s="227">
        <f>TL[[#This Row],[Société]]&amp;" - "&amp;TL[[#This Row],[Compte]]</f>
        <v/>
      </c>
      <c r="B2807" s="233" t="inlineStr">
        <is>
          <t>791401</t>
        </is>
      </c>
      <c r="C2807" s="227" t="inlineStr">
        <is>
          <t>Ijss et remb prevoyance</t>
        </is>
      </c>
      <c r="F2807" s="227" t="inlineStr">
        <is>
          <t>TURVILLA</t>
        </is>
      </c>
    </row>
    <row r="2808">
      <c r="A2808" s="227">
        <f>TL[[#This Row],[Société]]&amp;" - "&amp;TL[[#This Row],[Compte]]</f>
        <v/>
      </c>
      <c r="B2808" s="233" t="inlineStr">
        <is>
          <t>791402</t>
        </is>
      </c>
      <c r="C2808" s="227" t="inlineStr">
        <is>
          <t>Transf de charges emb tpe</t>
        </is>
      </c>
      <c r="D2808" s="233" t="inlineStr">
        <is>
          <t>39</t>
        </is>
      </c>
      <c r="E2808" s="233" t="inlineStr">
        <is>
          <t>40</t>
        </is>
      </c>
      <c r="F2808" s="227" t="inlineStr">
        <is>
          <t>TURVILLA</t>
        </is>
      </c>
    </row>
    <row r="2809">
      <c r="A2809" s="227">
        <f>TL[[#This Row],[Société]]&amp;" - "&amp;TL[[#This Row],[Compte]]</f>
        <v/>
      </c>
      <c r="B2809" s="233" t="inlineStr">
        <is>
          <t>890000</t>
        </is>
      </c>
      <c r="C2809" s="227" t="inlineStr">
        <is>
          <t>Compte de bilan</t>
        </is>
      </c>
      <c r="F2809" s="227" t="inlineStr">
        <is>
          <t>TURVILLA</t>
        </is>
      </c>
    </row>
    <row r="2810">
      <c r="A2810" s="227">
        <f>TL[[#This Row],[Société]]&amp;" - "&amp;TL[[#This Row],[Compte]]</f>
        <v/>
      </c>
      <c r="B2810" s="233" t="inlineStr">
        <is>
          <t>10130000</t>
        </is>
      </c>
      <c r="C2810" s="227" t="inlineStr">
        <is>
          <t>Capital souscrit-appelé, versé</t>
        </is>
      </c>
      <c r="F2810" s="227" t="inlineStr">
        <is>
          <t>R314</t>
        </is>
      </c>
    </row>
    <row r="2811">
      <c r="A2811" s="227">
        <f>TL[[#This Row],[Société]]&amp;" - "&amp;TL[[#This Row],[Compte]]</f>
        <v/>
      </c>
      <c r="B2811" s="233" t="inlineStr">
        <is>
          <t>10180000</t>
        </is>
      </c>
      <c r="C2811" s="227" t="inlineStr">
        <is>
          <t>Capital soumis reglem par</t>
        </is>
      </c>
      <c r="F2811" s="227" t="inlineStr">
        <is>
          <t>R314</t>
        </is>
      </c>
    </row>
    <row r="2812">
      <c r="A2812" s="227">
        <f>TL[[#This Row],[Société]]&amp;" - "&amp;TL[[#This Row],[Compte]]</f>
        <v/>
      </c>
      <c r="B2812" s="233" t="inlineStr">
        <is>
          <t>10610000</t>
        </is>
      </c>
      <c r="C2812" s="227" t="inlineStr">
        <is>
          <t>Reserve legale</t>
        </is>
      </c>
      <c r="F2812" s="227" t="inlineStr">
        <is>
          <t>R314</t>
        </is>
      </c>
    </row>
    <row r="2813">
      <c r="A2813" s="227">
        <f>TL[[#This Row],[Société]]&amp;" - "&amp;TL[[#This Row],[Compte]]</f>
        <v/>
      </c>
      <c r="B2813" s="233" t="inlineStr">
        <is>
          <t>10680000</t>
        </is>
      </c>
      <c r="C2813" s="227" t="inlineStr">
        <is>
          <t>Autres reserves</t>
        </is>
      </c>
      <c r="F2813" s="227" t="inlineStr">
        <is>
          <t>R314</t>
        </is>
      </c>
    </row>
    <row r="2814">
      <c r="A2814" s="227">
        <f>TL[[#This Row],[Société]]&amp;" - "&amp;TL[[#This Row],[Compte]]</f>
        <v/>
      </c>
      <c r="B2814" s="233" t="inlineStr">
        <is>
          <t>11900000</t>
        </is>
      </c>
      <c r="C2814" s="227" t="inlineStr">
        <is>
          <t>Report a nouveau debiteur</t>
        </is>
      </c>
      <c r="F2814" s="227" t="inlineStr">
        <is>
          <t>R314</t>
        </is>
      </c>
    </row>
    <row r="2815">
      <c r="A2815" s="227">
        <f>TL[[#This Row],[Société]]&amp;" - "&amp;TL[[#This Row],[Compte]]</f>
        <v/>
      </c>
      <c r="B2815" s="233" t="inlineStr">
        <is>
          <t>12000000</t>
        </is>
      </c>
      <c r="C2815" s="227" t="inlineStr">
        <is>
          <t>Bénéfice</t>
        </is>
      </c>
      <c r="F2815" s="227" t="inlineStr">
        <is>
          <t>R314</t>
        </is>
      </c>
    </row>
    <row r="2816">
      <c r="A2816" s="227">
        <f>TL[[#This Row],[Société]]&amp;" - "&amp;TL[[#This Row],[Compte]]</f>
        <v/>
      </c>
      <c r="B2816" s="233" t="inlineStr">
        <is>
          <t>12900000</t>
        </is>
      </c>
      <c r="C2816" s="227" t="inlineStr">
        <is>
          <t>Perte</t>
        </is>
      </c>
      <c r="F2816" s="227" t="inlineStr">
        <is>
          <t>R314</t>
        </is>
      </c>
    </row>
    <row r="2817">
      <c r="A2817" s="227">
        <f>TL[[#This Row],[Société]]&amp;" - "&amp;TL[[#This Row],[Compte]]</f>
        <v/>
      </c>
      <c r="B2817" s="233" t="inlineStr">
        <is>
          <t>14500000</t>
        </is>
      </c>
      <c r="C2817" s="227" t="inlineStr">
        <is>
          <t>Amortissements dérogatoires</t>
        </is>
      </c>
      <c r="F2817" s="227" t="inlineStr">
        <is>
          <t>R314</t>
        </is>
      </c>
    </row>
    <row r="2818">
      <c r="A2818" s="227">
        <f>TL[[#This Row],[Société]]&amp;" - "&amp;TL[[#This Row],[Compte]]</f>
        <v/>
      </c>
      <c r="B2818" s="233" t="inlineStr">
        <is>
          <t>15180000</t>
        </is>
      </c>
      <c r="C2818" s="227" t="inlineStr">
        <is>
          <t>Autr.provis. pour risques</t>
        </is>
      </c>
      <c r="F2818" s="227" t="inlineStr">
        <is>
          <t>R314</t>
        </is>
      </c>
    </row>
    <row r="2819">
      <c r="A2819" s="227">
        <f>TL[[#This Row],[Société]]&amp;" - "&amp;TL[[#This Row],[Compte]]</f>
        <v/>
      </c>
      <c r="B2819" s="233" t="inlineStr">
        <is>
          <t>15300000</t>
        </is>
      </c>
      <c r="C2819" s="227" t="inlineStr">
        <is>
          <t>Provisions pensions &amp; obligat.simil</t>
        </is>
      </c>
      <c r="F2819" s="227" t="inlineStr">
        <is>
          <t>R314</t>
        </is>
      </c>
    </row>
    <row r="2820">
      <c r="A2820" s="227">
        <f>TL[[#This Row],[Société]]&amp;" - "&amp;TL[[#This Row],[Compte]]</f>
        <v/>
      </c>
      <c r="B2820" s="233" t="inlineStr">
        <is>
          <t>15800000</t>
        </is>
      </c>
      <c r="C2820" s="227" t="inlineStr">
        <is>
          <t>Autres provisions pour charges</t>
        </is>
      </c>
      <c r="F2820" s="227" t="inlineStr">
        <is>
          <t>R314</t>
        </is>
      </c>
    </row>
    <row r="2821">
      <c r="A2821" s="227">
        <f>TL[[#This Row],[Société]]&amp;" - "&amp;TL[[#This Row],[Compte]]</f>
        <v/>
      </c>
      <c r="B2821" s="233" t="inlineStr">
        <is>
          <t>16400000</t>
        </is>
      </c>
      <c r="C2821" s="227" t="inlineStr">
        <is>
          <t>Emprunt full restaurant</t>
        </is>
      </c>
      <c r="F2821" s="227" t="inlineStr">
        <is>
          <t>R314</t>
        </is>
      </c>
    </row>
    <row r="2822">
      <c r="A2822" s="227">
        <f>TL[[#This Row],[Société]]&amp;" - "&amp;TL[[#This Row],[Compte]]</f>
        <v/>
      </c>
      <c r="B2822" s="233" t="inlineStr">
        <is>
          <t>16410000</t>
        </is>
      </c>
      <c r="C2822" s="227" t="inlineStr">
        <is>
          <t>Emprunt Volkswagen 16 900 €</t>
        </is>
      </c>
      <c r="F2822" s="227" t="inlineStr">
        <is>
          <t>R314</t>
        </is>
      </c>
    </row>
    <row r="2823">
      <c r="A2823" s="227">
        <f>TL[[#This Row],[Société]]&amp;" - "&amp;TL[[#This Row],[Compte]]</f>
        <v/>
      </c>
      <c r="B2823" s="233" t="inlineStr">
        <is>
          <t>16420000</t>
        </is>
      </c>
      <c r="C2823" s="227" t="inlineStr">
        <is>
          <t>Emprunt CA 150 K€ COVID-19</t>
        </is>
      </c>
      <c r="F2823" s="227" t="inlineStr">
        <is>
          <t>R314</t>
        </is>
      </c>
    </row>
    <row r="2824">
      <c r="A2824" s="227">
        <f>TL[[#This Row],[Société]]&amp;" - "&amp;TL[[#This Row],[Compte]]</f>
        <v/>
      </c>
      <c r="B2824" s="233" t="inlineStr">
        <is>
          <t>16430000</t>
        </is>
      </c>
      <c r="C2824" s="227" t="inlineStr">
        <is>
          <t>Emprunt CA 850 K€</t>
        </is>
      </c>
      <c r="F2824" s="227" t="inlineStr">
        <is>
          <t>R314</t>
        </is>
      </c>
    </row>
    <row r="2825">
      <c r="A2825" s="227">
        <f>TL[[#This Row],[Société]]&amp;" - "&amp;TL[[#This Row],[Compte]]</f>
        <v/>
      </c>
      <c r="B2825" s="233" t="inlineStr">
        <is>
          <t>16460000</t>
        </is>
      </c>
      <c r="C2825" s="227" t="inlineStr">
        <is>
          <t>Emprunt crca 56 000 €</t>
        </is>
      </c>
      <c r="F2825" s="227" t="inlineStr">
        <is>
          <t>R314</t>
        </is>
      </c>
    </row>
    <row r="2826">
      <c r="A2826" s="227">
        <f>TL[[#This Row],[Société]]&amp;" - "&amp;TL[[#This Row],[Compte]]</f>
        <v/>
      </c>
      <c r="B2826" s="233" t="inlineStr">
        <is>
          <t>16880000</t>
        </is>
      </c>
      <c r="C2826" s="227" t="inlineStr">
        <is>
          <t>Interets courus /emprunts</t>
        </is>
      </c>
      <c r="F2826" s="227" t="inlineStr">
        <is>
          <t>R314</t>
        </is>
      </c>
    </row>
    <row r="2827">
      <c r="A2827" s="227">
        <f>TL[[#This Row],[Société]]&amp;" - "&amp;TL[[#This Row],[Compte]]</f>
        <v/>
      </c>
      <c r="B2827" s="233" t="inlineStr">
        <is>
          <t>20500000</t>
        </is>
      </c>
      <c r="C2827" s="227" t="inlineStr">
        <is>
          <t>Logiciels informatiques</t>
        </is>
      </c>
      <c r="F2827" s="227" t="inlineStr">
        <is>
          <t>R314</t>
        </is>
      </c>
    </row>
    <row r="2828">
      <c r="A2828" s="227">
        <f>TL[[#This Row],[Société]]&amp;" - "&amp;TL[[#This Row],[Compte]]</f>
        <v/>
      </c>
      <c r="B2828" s="233" t="inlineStr">
        <is>
          <t>20510000</t>
        </is>
      </c>
      <c r="C2828" s="227" t="inlineStr">
        <is>
          <t>licence</t>
        </is>
      </c>
      <c r="F2828" s="227" t="inlineStr">
        <is>
          <t>R314</t>
        </is>
      </c>
    </row>
    <row r="2829">
      <c r="A2829" s="227">
        <f>TL[[#This Row],[Société]]&amp;" - "&amp;TL[[#This Row],[Compte]]</f>
        <v/>
      </c>
      <c r="B2829" s="233" t="inlineStr">
        <is>
          <t>21540000</t>
        </is>
      </c>
      <c r="C2829" s="227" t="inlineStr">
        <is>
          <t>Materiel de cuisine</t>
        </is>
      </c>
      <c r="F2829" s="227" t="inlineStr">
        <is>
          <t>R314</t>
        </is>
      </c>
    </row>
    <row r="2830">
      <c r="A2830" s="227">
        <f>TL[[#This Row],[Société]]&amp;" - "&amp;TL[[#This Row],[Compte]]</f>
        <v/>
      </c>
      <c r="B2830" s="233" t="inlineStr">
        <is>
          <t>21550000</t>
        </is>
      </c>
      <c r="C2830" s="227" t="inlineStr">
        <is>
          <t>Outillage industriel</t>
        </is>
      </c>
      <c r="F2830" s="227" t="inlineStr">
        <is>
          <t>R314</t>
        </is>
      </c>
    </row>
    <row r="2831">
      <c r="A2831" s="227">
        <f>TL[[#This Row],[Société]]&amp;" - "&amp;TL[[#This Row],[Compte]]</f>
        <v/>
      </c>
      <c r="B2831" s="233" t="inlineStr">
        <is>
          <t>21810000</t>
        </is>
      </c>
      <c r="C2831" s="227" t="inlineStr">
        <is>
          <t>Aai divers</t>
        </is>
      </c>
      <c r="F2831" s="227" t="inlineStr">
        <is>
          <t>R314</t>
        </is>
      </c>
    </row>
    <row r="2832">
      <c r="A2832" s="227">
        <f>TL[[#This Row],[Société]]&amp;" - "&amp;TL[[#This Row],[Compte]]</f>
        <v/>
      </c>
      <c r="B2832" s="233" t="inlineStr">
        <is>
          <t>21820000</t>
        </is>
      </c>
      <c r="C2832" s="227" t="inlineStr">
        <is>
          <t>Matériel de transport</t>
        </is>
      </c>
      <c r="F2832" s="227" t="inlineStr">
        <is>
          <t>R314</t>
        </is>
      </c>
    </row>
    <row r="2833">
      <c r="A2833" s="227">
        <f>TL[[#This Row],[Société]]&amp;" - "&amp;TL[[#This Row],[Compte]]</f>
        <v/>
      </c>
      <c r="B2833" s="233" t="inlineStr">
        <is>
          <t>21830000</t>
        </is>
      </c>
      <c r="C2833" s="227" t="inlineStr">
        <is>
          <t>Mat.de bureau et informatiq</t>
        </is>
      </c>
      <c r="F2833" s="227" t="inlineStr">
        <is>
          <t>R314</t>
        </is>
      </c>
    </row>
    <row r="2834">
      <c r="A2834" s="227">
        <f>TL[[#This Row],[Société]]&amp;" - "&amp;TL[[#This Row],[Compte]]</f>
        <v/>
      </c>
      <c r="B2834" s="233" t="inlineStr">
        <is>
          <t>21840000</t>
        </is>
      </c>
      <c r="C2834" s="227" t="inlineStr">
        <is>
          <t>Mobilier de restaurant</t>
        </is>
      </c>
      <c r="F2834" s="227" t="inlineStr">
        <is>
          <t>R314</t>
        </is>
      </c>
    </row>
    <row r="2835">
      <c r="A2835" s="227">
        <f>TL[[#This Row],[Société]]&amp;" - "&amp;TL[[#This Row],[Compte]]</f>
        <v/>
      </c>
      <c r="B2835" s="233" t="inlineStr">
        <is>
          <t>23800000</t>
        </is>
      </c>
      <c r="C2835" s="227" t="inlineStr">
        <is>
          <t>Avances sur immobilisat. corporel.</t>
        </is>
      </c>
      <c r="F2835" s="227" t="inlineStr">
        <is>
          <t>R314</t>
        </is>
      </c>
    </row>
    <row r="2836">
      <c r="A2836" s="227">
        <f>TL[[#This Row],[Société]]&amp;" - "&amp;TL[[#This Row],[Compte]]</f>
        <v/>
      </c>
      <c r="B2836" s="233" t="inlineStr">
        <is>
          <t>27500000</t>
        </is>
      </c>
      <c r="C2836" s="227" t="inlineStr">
        <is>
          <t>Dépôts et cautionnements</t>
        </is>
      </c>
      <c r="F2836" s="227" t="inlineStr">
        <is>
          <t>R314</t>
        </is>
      </c>
    </row>
    <row r="2837">
      <c r="A2837" s="227">
        <f>TL[[#This Row],[Société]]&amp;" - "&amp;TL[[#This Row],[Compte]]</f>
        <v/>
      </c>
      <c r="B2837" s="233" t="inlineStr">
        <is>
          <t>27510000</t>
        </is>
      </c>
      <c r="C2837" s="227" t="inlineStr">
        <is>
          <t>Depot de garantie</t>
        </is>
      </c>
      <c r="F2837" s="227" t="inlineStr">
        <is>
          <t>R314</t>
        </is>
      </c>
    </row>
    <row r="2838">
      <c r="A2838" s="227">
        <f>TL[[#This Row],[Société]]&amp;" - "&amp;TL[[#This Row],[Compte]]</f>
        <v/>
      </c>
      <c r="B2838" s="233" t="inlineStr">
        <is>
          <t>28050000</t>
        </is>
      </c>
      <c r="C2838" s="227" t="inlineStr">
        <is>
          <t>Amort.logiciels informat.</t>
        </is>
      </c>
      <c r="F2838" s="227" t="inlineStr">
        <is>
          <t>R314</t>
        </is>
      </c>
    </row>
    <row r="2839">
      <c r="A2839" s="227">
        <f>TL[[#This Row],[Société]]&amp;" - "&amp;TL[[#This Row],[Compte]]</f>
        <v/>
      </c>
      <c r="B2839" s="233" t="inlineStr">
        <is>
          <t>28154000</t>
        </is>
      </c>
      <c r="C2839" s="227" t="inlineStr">
        <is>
          <t>Amort.materiel de cuisine</t>
        </is>
      </c>
      <c r="F2839" s="227" t="inlineStr">
        <is>
          <t>R314</t>
        </is>
      </c>
    </row>
    <row r="2840">
      <c r="A2840" s="227">
        <f>TL[[#This Row],[Société]]&amp;" - "&amp;TL[[#This Row],[Compte]]</f>
        <v/>
      </c>
      <c r="B2840" s="233" t="inlineStr">
        <is>
          <t>28155000</t>
        </is>
      </c>
      <c r="C2840" s="227" t="inlineStr">
        <is>
          <t>Amort.outillage industriel</t>
        </is>
      </c>
      <c r="F2840" s="227" t="inlineStr">
        <is>
          <t>R314</t>
        </is>
      </c>
    </row>
    <row r="2841">
      <c r="A2841" s="227">
        <f>TL[[#This Row],[Société]]&amp;" - "&amp;TL[[#This Row],[Compte]]</f>
        <v/>
      </c>
      <c r="B2841" s="233" t="inlineStr">
        <is>
          <t>28181000</t>
        </is>
      </c>
      <c r="C2841" s="227" t="inlineStr">
        <is>
          <t>Amort.aai divers</t>
        </is>
      </c>
      <c r="F2841" s="227" t="inlineStr">
        <is>
          <t>R314</t>
        </is>
      </c>
    </row>
    <row r="2842">
      <c r="A2842" s="227">
        <f>TL[[#This Row],[Société]]&amp;" - "&amp;TL[[#This Row],[Compte]]</f>
        <v/>
      </c>
      <c r="B2842" s="233" t="inlineStr">
        <is>
          <t>28182000</t>
        </is>
      </c>
      <c r="C2842" s="227" t="inlineStr">
        <is>
          <t>Amortis. matériel de transport</t>
        </is>
      </c>
      <c r="F2842" s="227" t="inlineStr">
        <is>
          <t>R314</t>
        </is>
      </c>
    </row>
    <row r="2843">
      <c r="A2843" s="227">
        <f>TL[[#This Row],[Société]]&amp;" - "&amp;TL[[#This Row],[Compte]]</f>
        <v/>
      </c>
      <c r="B2843" s="233" t="inlineStr">
        <is>
          <t>28183000</t>
        </is>
      </c>
      <c r="C2843" s="227" t="inlineStr">
        <is>
          <t>Amort.mat.bureau et inform.</t>
        </is>
      </c>
      <c r="F2843" s="227" t="inlineStr">
        <is>
          <t>R314</t>
        </is>
      </c>
    </row>
    <row r="2844">
      <c r="A2844" s="227">
        <f>TL[[#This Row],[Société]]&amp;" - "&amp;TL[[#This Row],[Compte]]</f>
        <v/>
      </c>
      <c r="B2844" s="233" t="inlineStr">
        <is>
          <t>28184000</t>
        </is>
      </c>
      <c r="C2844" s="227" t="inlineStr">
        <is>
          <t>Amort.mobilier de rest.</t>
        </is>
      </c>
      <c r="F2844" s="227" t="inlineStr">
        <is>
          <t>R314</t>
        </is>
      </c>
    </row>
    <row r="2845">
      <c r="A2845" s="227">
        <f>TL[[#This Row],[Société]]&amp;" - "&amp;TL[[#This Row],[Compte]]</f>
        <v/>
      </c>
      <c r="B2845" s="233" t="inlineStr">
        <is>
          <t>31000000</t>
        </is>
      </c>
      <c r="C2845" s="227" t="inlineStr">
        <is>
          <t>Stocks food</t>
        </is>
      </c>
      <c r="F2845" s="227" t="inlineStr">
        <is>
          <t>R314</t>
        </is>
      </c>
    </row>
    <row r="2846">
      <c r="A2846" s="227">
        <f>TL[[#This Row],[Société]]&amp;" - "&amp;TL[[#This Row],[Compte]]</f>
        <v/>
      </c>
      <c r="B2846" s="233" t="inlineStr">
        <is>
          <t>32000000</t>
        </is>
      </c>
      <c r="C2846" s="227" t="inlineStr">
        <is>
          <t>Stocks emballages</t>
        </is>
      </c>
      <c r="F2846" s="227" t="inlineStr">
        <is>
          <t>R314</t>
        </is>
      </c>
    </row>
    <row r="2847">
      <c r="A2847" s="227">
        <f>TL[[#This Row],[Société]]&amp;" - "&amp;TL[[#This Row],[Compte]]</f>
        <v/>
      </c>
      <c r="B2847" s="233" t="inlineStr">
        <is>
          <t>32100000</t>
        </is>
      </c>
      <c r="C2847" s="227" t="inlineStr">
        <is>
          <t>Stocks pdts non aliment.</t>
        </is>
      </c>
      <c r="F2847" s="227" t="inlineStr">
        <is>
          <t>R314</t>
        </is>
      </c>
    </row>
    <row r="2848">
      <c r="A2848" s="227">
        <f>TL[[#This Row],[Société]]&amp;" - "&amp;TL[[#This Row],[Compte]]</f>
        <v/>
      </c>
      <c r="B2848" s="233" t="inlineStr">
        <is>
          <t>40100000</t>
        </is>
      </c>
      <c r="C2848" s="227" t="inlineStr">
        <is>
          <t>Fournisseurs</t>
        </is>
      </c>
      <c r="F2848" s="227" t="inlineStr">
        <is>
          <t>R314</t>
        </is>
      </c>
    </row>
    <row r="2849">
      <c r="A2849" s="227">
        <f>TL[[#This Row],[Société]]&amp;" - "&amp;TL[[#This Row],[Compte]]</f>
        <v/>
      </c>
      <c r="B2849" s="233" t="inlineStr">
        <is>
          <t>40410000</t>
        </is>
      </c>
      <c r="C2849" s="227" t="inlineStr">
        <is>
          <t>Fourn.d'immobilisations</t>
        </is>
      </c>
      <c r="F2849" s="227" t="inlineStr">
        <is>
          <t>R314</t>
        </is>
      </c>
    </row>
    <row r="2850">
      <c r="A2850" s="227">
        <f>TL[[#This Row],[Société]]&amp;" - "&amp;TL[[#This Row],[Compte]]</f>
        <v/>
      </c>
      <c r="B2850" s="233" t="inlineStr">
        <is>
          <t>40810000</t>
        </is>
      </c>
      <c r="C2850" s="227" t="inlineStr">
        <is>
          <t>Fourniss.fact.non parvenues</t>
        </is>
      </c>
      <c r="F2850" s="227" t="inlineStr">
        <is>
          <t>R314</t>
        </is>
      </c>
    </row>
    <row r="2851">
      <c r="A2851" s="227">
        <f>TL[[#This Row],[Société]]&amp;" - "&amp;TL[[#This Row],[Compte]]</f>
        <v/>
      </c>
      <c r="B2851" s="233" t="inlineStr">
        <is>
          <t>40840000</t>
        </is>
      </c>
      <c r="C2851" s="227" t="inlineStr">
        <is>
          <t>Frs immobil. - fact. non parv.</t>
        </is>
      </c>
      <c r="F2851" s="227" t="inlineStr">
        <is>
          <t>R314</t>
        </is>
      </c>
    </row>
    <row r="2852">
      <c r="A2852" s="227">
        <f>TL[[#This Row],[Société]]&amp;" - "&amp;TL[[#This Row],[Compte]]</f>
        <v/>
      </c>
      <c r="B2852" s="233" t="inlineStr">
        <is>
          <t>40910000</t>
        </is>
      </c>
      <c r="C2852" s="227" t="inlineStr">
        <is>
          <t>Frs av.acptes vers.s/comman</t>
        </is>
      </c>
      <c r="F2852" s="227" t="inlineStr">
        <is>
          <t>R314</t>
        </is>
      </c>
    </row>
    <row r="2853">
      <c r="A2853" s="227">
        <f>TL[[#This Row],[Société]]&amp;" - "&amp;TL[[#This Row],[Compte]]</f>
        <v/>
      </c>
      <c r="B2853" s="233" t="inlineStr">
        <is>
          <t>40960000</t>
        </is>
      </c>
      <c r="C2853" s="227" t="inlineStr">
        <is>
          <t>Frs.crea./emb.mat.a rendr</t>
        </is>
      </c>
      <c r="F2853" s="227" t="inlineStr">
        <is>
          <t>R314</t>
        </is>
      </c>
    </row>
    <row r="2854">
      <c r="A2854" s="227">
        <f>TL[[#This Row],[Société]]&amp;" - "&amp;TL[[#This Row],[Compte]]</f>
        <v/>
      </c>
      <c r="B2854" s="233" t="inlineStr">
        <is>
          <t>40971000</t>
        </is>
      </c>
      <c r="C2854" s="227" t="inlineStr">
        <is>
          <t>Fourniss. autres avoirs</t>
        </is>
      </c>
      <c r="F2854" s="227" t="inlineStr">
        <is>
          <t>R314</t>
        </is>
      </c>
    </row>
    <row r="2855">
      <c r="A2855" s="227">
        <f>TL[[#This Row],[Société]]&amp;" - "&amp;TL[[#This Row],[Compte]]</f>
        <v/>
      </c>
      <c r="B2855" s="233" t="inlineStr">
        <is>
          <t>40980000</t>
        </is>
      </c>
      <c r="C2855" s="227" t="inlineStr">
        <is>
          <t>Rrr a obtenir  avr a recev.</t>
        </is>
      </c>
      <c r="F2855" s="227" t="inlineStr">
        <is>
          <t>R314</t>
        </is>
      </c>
    </row>
    <row r="2856">
      <c r="A2856" s="227">
        <f>TL[[#This Row],[Société]]&amp;" - "&amp;TL[[#This Row],[Compte]]</f>
        <v/>
      </c>
      <c r="B2856" s="233" t="inlineStr">
        <is>
          <t>41100000</t>
        </is>
      </c>
      <c r="C2856" s="227" t="inlineStr">
        <is>
          <t>Clients</t>
        </is>
      </c>
      <c r="F2856" s="227" t="inlineStr">
        <is>
          <t>R314</t>
        </is>
      </c>
    </row>
    <row r="2857">
      <c r="A2857" s="227">
        <f>TL[[#This Row],[Société]]&amp;" - "&amp;TL[[#This Row],[Compte]]</f>
        <v/>
      </c>
      <c r="B2857" s="233" t="inlineStr">
        <is>
          <t>41600000</t>
        </is>
      </c>
      <c r="C2857" s="227" t="inlineStr">
        <is>
          <t>Clients douteux litigieux</t>
        </is>
      </c>
      <c r="F2857" s="227" t="inlineStr">
        <is>
          <t>R314</t>
        </is>
      </c>
    </row>
    <row r="2858">
      <c r="A2858" s="227">
        <f>TL[[#This Row],[Société]]&amp;" - "&amp;TL[[#This Row],[Compte]]</f>
        <v/>
      </c>
      <c r="B2858" s="233" t="inlineStr">
        <is>
          <t>41810000</t>
        </is>
      </c>
      <c r="C2858" s="227" t="inlineStr">
        <is>
          <t>Clients, fact à établir</t>
        </is>
      </c>
      <c r="F2858" s="227" t="inlineStr">
        <is>
          <t>R314</t>
        </is>
      </c>
    </row>
    <row r="2859">
      <c r="A2859" s="227">
        <f>TL[[#This Row],[Société]]&amp;" - "&amp;TL[[#This Row],[Compte]]</f>
        <v/>
      </c>
      <c r="B2859" s="233" t="inlineStr">
        <is>
          <t>41980000</t>
        </is>
      </c>
      <c r="C2859" s="227" t="inlineStr">
        <is>
          <t>Clients - RRR à accorder</t>
        </is>
      </c>
      <c r="F2859" s="227" t="inlineStr">
        <is>
          <t>R314</t>
        </is>
      </c>
    </row>
    <row r="2860">
      <c r="A2860" s="227">
        <f>TL[[#This Row],[Société]]&amp;" - "&amp;TL[[#This Row],[Compte]]</f>
        <v/>
      </c>
      <c r="B2860" s="233" t="inlineStr">
        <is>
          <t>42100000</t>
        </is>
      </c>
      <c r="C2860" s="227" t="inlineStr">
        <is>
          <t>Remuner.dues au personnel</t>
        </is>
      </c>
      <c r="F2860" s="227" t="inlineStr">
        <is>
          <t>R314</t>
        </is>
      </c>
    </row>
    <row r="2861">
      <c r="A2861" s="227">
        <f>TL[[#This Row],[Société]]&amp;" - "&amp;TL[[#This Row],[Compte]]</f>
        <v/>
      </c>
      <c r="B2861" s="233" t="inlineStr">
        <is>
          <t>42101000</t>
        </is>
      </c>
      <c r="C2861" s="227" t="inlineStr">
        <is>
          <t>Solde de tout compte</t>
        </is>
      </c>
      <c r="F2861" s="227" t="inlineStr">
        <is>
          <t>R314</t>
        </is>
      </c>
    </row>
    <row r="2862">
      <c r="A2862" s="227">
        <f>TL[[#This Row],[Société]]&amp;" - "&amp;TL[[#This Row],[Compte]]</f>
        <v/>
      </c>
      <c r="B2862" s="233" t="inlineStr">
        <is>
          <t>42144400</t>
        </is>
      </c>
      <c r="C2862" s="227" t="inlineStr">
        <is>
          <t>Salariés</t>
        </is>
      </c>
      <c r="F2862" s="227" t="inlineStr">
        <is>
          <t>R314</t>
        </is>
      </c>
    </row>
    <row r="2863">
      <c r="A2863" s="227">
        <f>TL[[#This Row],[Société]]&amp;" - "&amp;TL[[#This Row],[Compte]]</f>
        <v/>
      </c>
      <c r="B2863" s="233" t="inlineStr">
        <is>
          <t>42500000</t>
        </is>
      </c>
      <c r="C2863" s="227" t="inlineStr">
        <is>
          <t>Personnel avanc.et acptes</t>
        </is>
      </c>
      <c r="F2863" s="227" t="inlineStr">
        <is>
          <t>R314</t>
        </is>
      </c>
    </row>
    <row r="2864">
      <c r="A2864" s="227">
        <f>TL[[#This Row],[Société]]&amp;" - "&amp;TL[[#This Row],[Compte]]</f>
        <v/>
      </c>
      <c r="B2864" s="233" t="inlineStr">
        <is>
          <t>42700000</t>
        </is>
      </c>
      <c r="C2864" s="227" t="inlineStr">
        <is>
          <t>Personnel oppositions</t>
        </is>
      </c>
      <c r="F2864" s="227" t="inlineStr">
        <is>
          <t>R314</t>
        </is>
      </c>
    </row>
    <row r="2865">
      <c r="A2865" s="227">
        <f>TL[[#This Row],[Société]]&amp;" - "&amp;TL[[#This Row],[Compte]]</f>
        <v/>
      </c>
      <c r="B2865" s="233" t="inlineStr">
        <is>
          <t>42820000</t>
        </is>
      </c>
      <c r="C2865" s="227" t="inlineStr">
        <is>
          <t>Dettes prov./conges payes</t>
        </is>
      </c>
      <c r="F2865" s="227" t="inlineStr">
        <is>
          <t>R314</t>
        </is>
      </c>
    </row>
    <row r="2866">
      <c r="A2866" s="227">
        <f>TL[[#This Row],[Société]]&amp;" - "&amp;TL[[#This Row],[Compte]]</f>
        <v/>
      </c>
      <c r="B2866" s="233" t="inlineStr">
        <is>
          <t>42860000</t>
        </is>
      </c>
      <c r="C2866" s="227" t="inlineStr">
        <is>
          <t>Pers.autr.charges a payer</t>
        </is>
      </c>
      <c r="F2866" s="227" t="inlineStr">
        <is>
          <t>R314</t>
        </is>
      </c>
    </row>
    <row r="2867">
      <c r="A2867" s="227">
        <f>TL[[#This Row],[Société]]&amp;" - "&amp;TL[[#This Row],[Compte]]</f>
        <v/>
      </c>
      <c r="B2867" s="233" t="inlineStr">
        <is>
          <t>43100000</t>
        </is>
      </c>
      <c r="C2867" s="227" t="inlineStr">
        <is>
          <t>Urssaf</t>
        </is>
      </c>
      <c r="F2867" s="227" t="inlineStr">
        <is>
          <t>R314</t>
        </is>
      </c>
    </row>
    <row r="2868">
      <c r="A2868" s="227">
        <f>TL[[#This Row],[Société]]&amp;" - "&amp;TL[[#This Row],[Compte]]</f>
        <v/>
      </c>
      <c r="B2868" s="233" t="inlineStr">
        <is>
          <t>43701000</t>
        </is>
      </c>
      <c r="C2868" s="227" t="inlineStr">
        <is>
          <t>La mondiale</t>
        </is>
      </c>
      <c r="F2868" s="227" t="inlineStr">
        <is>
          <t>R314</t>
        </is>
      </c>
    </row>
    <row r="2869">
      <c r="A2869" s="227">
        <f>TL[[#This Row],[Société]]&amp;" - "&amp;TL[[#This Row],[Compte]]</f>
        <v/>
      </c>
      <c r="B2869" s="233" t="inlineStr">
        <is>
          <t>43702000</t>
        </is>
      </c>
      <c r="C2869" s="227" t="inlineStr">
        <is>
          <t>Ag2r</t>
        </is>
      </c>
      <c r="F2869" s="227" t="inlineStr">
        <is>
          <t>R314</t>
        </is>
      </c>
    </row>
    <row r="2870">
      <c r="A2870" s="227">
        <f>TL[[#This Row],[Société]]&amp;" - "&amp;TL[[#This Row],[Compte]]</f>
        <v/>
      </c>
      <c r="B2870" s="233" t="inlineStr">
        <is>
          <t>43703000</t>
        </is>
      </c>
      <c r="C2870" s="227" t="inlineStr">
        <is>
          <t>Pole emploi</t>
        </is>
      </c>
      <c r="F2870" s="227" t="inlineStr">
        <is>
          <t>R314</t>
        </is>
      </c>
    </row>
    <row r="2871">
      <c r="A2871" s="227">
        <f>TL[[#This Row],[Société]]&amp;" - "&amp;TL[[#This Row],[Compte]]</f>
        <v/>
      </c>
      <c r="B2871" s="233" t="inlineStr">
        <is>
          <t>43704000</t>
        </is>
      </c>
      <c r="C2871" s="227" t="inlineStr">
        <is>
          <t>Predica</t>
        </is>
      </c>
      <c r="F2871" s="227" t="inlineStr">
        <is>
          <t>R314</t>
        </is>
      </c>
    </row>
    <row r="2872">
      <c r="A2872" s="227">
        <f>TL[[#This Row],[Société]]&amp;" - "&amp;TL[[#This Row],[Compte]]</f>
        <v/>
      </c>
      <c r="B2872" s="233" t="inlineStr">
        <is>
          <t>43705000</t>
        </is>
      </c>
      <c r="C2872" s="227" t="inlineStr">
        <is>
          <t>La mondiale</t>
        </is>
      </c>
      <c r="F2872" s="227" t="inlineStr">
        <is>
          <t>R314</t>
        </is>
      </c>
    </row>
    <row r="2873">
      <c r="A2873" s="227">
        <f>TL[[#This Row],[Société]]&amp;" - "&amp;TL[[#This Row],[Compte]]</f>
        <v/>
      </c>
      <c r="B2873" s="233" t="inlineStr">
        <is>
          <t>43706000</t>
        </is>
      </c>
      <c r="C2873" s="227" t="inlineStr">
        <is>
          <t>Malakoff mederic</t>
        </is>
      </c>
      <c r="F2873" s="227" t="inlineStr">
        <is>
          <t>R314</t>
        </is>
      </c>
    </row>
    <row r="2874">
      <c r="A2874" s="227">
        <f>TL[[#This Row],[Société]]&amp;" - "&amp;TL[[#This Row],[Compte]]</f>
        <v/>
      </c>
      <c r="B2874" s="233" t="inlineStr">
        <is>
          <t>43707000</t>
        </is>
      </c>
      <c r="C2874" s="227" t="inlineStr">
        <is>
          <t>AGIRC</t>
        </is>
      </c>
      <c r="F2874" s="227" t="inlineStr">
        <is>
          <t>R314</t>
        </is>
      </c>
    </row>
    <row r="2875">
      <c r="A2875" s="227">
        <f>TL[[#This Row],[Société]]&amp;" - "&amp;TL[[#This Row],[Compte]]</f>
        <v/>
      </c>
      <c r="B2875" s="233" t="inlineStr">
        <is>
          <t>43708000</t>
        </is>
      </c>
      <c r="C2875" s="227" t="inlineStr">
        <is>
          <t>Predica</t>
        </is>
      </c>
      <c r="F2875" s="227" t="inlineStr">
        <is>
          <t>R314</t>
        </is>
      </c>
    </row>
    <row r="2876">
      <c r="A2876" s="227">
        <f>TL[[#This Row],[Société]]&amp;" - "&amp;TL[[#This Row],[Compte]]</f>
        <v/>
      </c>
      <c r="B2876" s="233" t="inlineStr">
        <is>
          <t>43709000</t>
        </is>
      </c>
      <c r="C2876" s="227" t="inlineStr">
        <is>
          <t>prelvt impot source</t>
        </is>
      </c>
      <c r="F2876" s="227" t="inlineStr">
        <is>
          <t>R314</t>
        </is>
      </c>
    </row>
    <row r="2877">
      <c r="A2877" s="227">
        <f>TL[[#This Row],[Société]]&amp;" - "&amp;TL[[#This Row],[Compte]]</f>
        <v/>
      </c>
      <c r="B2877" s="233" t="inlineStr">
        <is>
          <t>43820000</t>
        </is>
      </c>
      <c r="C2877" s="227" t="inlineStr">
        <is>
          <t>Charg.soc./conges a payer</t>
        </is>
      </c>
      <c r="F2877" s="227" t="inlineStr">
        <is>
          <t>R314</t>
        </is>
      </c>
    </row>
    <row r="2878">
      <c r="A2878" s="227">
        <f>TL[[#This Row],[Société]]&amp;" - "&amp;TL[[#This Row],[Compte]]</f>
        <v/>
      </c>
      <c r="B2878" s="233" t="inlineStr">
        <is>
          <t>43860000</t>
        </is>
      </c>
      <c r="C2878" s="227" t="inlineStr">
        <is>
          <t>Autr.charges soc.a payer</t>
        </is>
      </c>
      <c r="F2878" s="227" t="inlineStr">
        <is>
          <t>R314</t>
        </is>
      </c>
    </row>
    <row r="2879">
      <c r="A2879" s="227">
        <f>TL[[#This Row],[Société]]&amp;" - "&amp;TL[[#This Row],[Compte]]</f>
        <v/>
      </c>
      <c r="B2879" s="233" t="inlineStr">
        <is>
          <t>43861000</t>
        </is>
      </c>
      <c r="C2879" s="227" t="inlineStr">
        <is>
          <t>Taxe d'apprentissage libératoire</t>
        </is>
      </c>
      <c r="F2879" s="227" t="inlineStr">
        <is>
          <t>R314</t>
        </is>
      </c>
    </row>
    <row r="2880">
      <c r="A2880" s="227">
        <f>TL[[#This Row],[Société]]&amp;" - "&amp;TL[[#This Row],[Compte]]</f>
        <v/>
      </c>
      <c r="B2880" s="233" t="inlineStr">
        <is>
          <t>43862000</t>
        </is>
      </c>
      <c r="C2880" s="227" t="inlineStr">
        <is>
          <t>Contribution paritarsime</t>
        </is>
      </c>
      <c r="F2880" s="227" t="inlineStr">
        <is>
          <t>R314</t>
        </is>
      </c>
    </row>
    <row r="2881">
      <c r="A2881" s="227">
        <f>TL[[#This Row],[Société]]&amp;" - "&amp;TL[[#This Row],[Compte]]</f>
        <v/>
      </c>
      <c r="B2881" s="233" t="inlineStr">
        <is>
          <t>44200000</t>
        </is>
      </c>
      <c r="C2881" s="227" t="inlineStr">
        <is>
          <t>Prel.lib. fiscaux</t>
        </is>
      </c>
      <c r="F2881" s="227" t="inlineStr">
        <is>
          <t>R314</t>
        </is>
      </c>
    </row>
    <row r="2882">
      <c r="A2882" s="227">
        <f>TL[[#This Row],[Société]]&amp;" - "&amp;TL[[#This Row],[Compte]]</f>
        <v/>
      </c>
      <c r="B2882" s="233" t="inlineStr">
        <is>
          <t>44210000</t>
        </is>
      </c>
      <c r="C2882" s="227" t="inlineStr">
        <is>
          <t>Prel.lib.sociaux</t>
        </is>
      </c>
      <c r="F2882" s="227" t="inlineStr">
        <is>
          <t>R314</t>
        </is>
      </c>
    </row>
    <row r="2883">
      <c r="A2883" s="227">
        <f>TL[[#This Row],[Société]]&amp;" - "&amp;TL[[#This Row],[Compte]]</f>
        <v/>
      </c>
      <c r="B2883" s="233" t="inlineStr">
        <is>
          <t>44320000</t>
        </is>
      </c>
      <c r="C2883" s="227" t="inlineStr">
        <is>
          <t>Indemnités chomage partiel</t>
        </is>
      </c>
      <c r="F2883" s="227" t="inlineStr">
        <is>
          <t>R314</t>
        </is>
      </c>
    </row>
    <row r="2884">
      <c r="A2884" s="227">
        <f>TL[[#This Row],[Société]]&amp;" - "&amp;TL[[#This Row],[Compte]]</f>
        <v/>
      </c>
      <c r="B2884" s="233" t="inlineStr">
        <is>
          <t>44400000</t>
        </is>
      </c>
      <c r="C2884" s="227" t="inlineStr">
        <is>
          <t>Impots sur les benefices</t>
        </is>
      </c>
      <c r="F2884" s="227" t="inlineStr">
        <is>
          <t>R314</t>
        </is>
      </c>
    </row>
    <row r="2885">
      <c r="A2885" s="227">
        <f>TL[[#This Row],[Société]]&amp;" - "&amp;TL[[#This Row],[Compte]]</f>
        <v/>
      </c>
      <c r="B2885" s="233" t="inlineStr">
        <is>
          <t>44520000</t>
        </is>
      </c>
      <c r="C2885" s="227" t="inlineStr">
        <is>
          <t>Tva due intracommunautaire</t>
        </is>
      </c>
      <c r="F2885" s="227" t="inlineStr">
        <is>
          <t>R314</t>
        </is>
      </c>
    </row>
    <row r="2886">
      <c r="A2886" s="227">
        <f>TL[[#This Row],[Société]]&amp;" - "&amp;TL[[#This Row],[Compte]]</f>
        <v/>
      </c>
      <c r="B2886" s="233" t="inlineStr">
        <is>
          <t>44551000</t>
        </is>
      </c>
      <c r="C2886" s="227" t="inlineStr">
        <is>
          <t>Tva a decaisser</t>
        </is>
      </c>
      <c r="F2886" s="227" t="inlineStr">
        <is>
          <t>R314</t>
        </is>
      </c>
    </row>
    <row r="2887">
      <c r="A2887" s="227">
        <f>TL[[#This Row],[Société]]&amp;" - "&amp;TL[[#This Row],[Compte]]</f>
        <v/>
      </c>
      <c r="B2887" s="233" t="inlineStr">
        <is>
          <t>44562000</t>
        </is>
      </c>
      <c r="C2887" s="227" t="inlineStr">
        <is>
          <t>Tva/immobilis.deductible</t>
        </is>
      </c>
      <c r="F2887" s="227" t="inlineStr">
        <is>
          <t>R314</t>
        </is>
      </c>
    </row>
    <row r="2888">
      <c r="A2888" s="227">
        <f>TL[[#This Row],[Société]]&amp;" - "&amp;TL[[#This Row],[Compte]]</f>
        <v/>
      </c>
      <c r="B2888" s="233" t="inlineStr">
        <is>
          <t>44562100</t>
        </is>
      </c>
      <c r="C2888" s="227" t="inlineStr">
        <is>
          <t>Tva s/ immo encaissements</t>
        </is>
      </c>
      <c r="F2888" s="227" t="inlineStr">
        <is>
          <t>R314</t>
        </is>
      </c>
    </row>
    <row r="2889">
      <c r="A2889" s="227">
        <f>TL[[#This Row],[Société]]&amp;" - "&amp;TL[[#This Row],[Compte]]</f>
        <v/>
      </c>
      <c r="B2889" s="233" t="inlineStr">
        <is>
          <t>44566000</t>
        </is>
      </c>
      <c r="C2889" s="227" t="inlineStr">
        <is>
          <t>Tva/autr.biens serv. ded.</t>
        </is>
      </c>
      <c r="F2889" s="227" t="inlineStr">
        <is>
          <t>R314</t>
        </is>
      </c>
    </row>
    <row r="2890">
      <c r="A2890" s="227">
        <f>TL[[#This Row],[Société]]&amp;" - "&amp;TL[[#This Row],[Compte]]</f>
        <v/>
      </c>
      <c r="B2890" s="233" t="inlineStr">
        <is>
          <t>44566100</t>
        </is>
      </c>
      <c r="C2890" s="227" t="inlineStr">
        <is>
          <t>Tva s/prest services</t>
        </is>
      </c>
      <c r="F2890" s="227" t="inlineStr">
        <is>
          <t>R314</t>
        </is>
      </c>
    </row>
    <row r="2891">
      <c r="A2891" s="227">
        <f>TL[[#This Row],[Société]]&amp;" - "&amp;TL[[#This Row],[Compte]]</f>
        <v/>
      </c>
      <c r="B2891" s="233" t="inlineStr">
        <is>
          <t>44566200</t>
        </is>
      </c>
      <c r="C2891" s="227" t="inlineStr">
        <is>
          <t>Tva déductible intracommunautaire</t>
        </is>
      </c>
      <c r="F2891" s="227" t="inlineStr">
        <is>
          <t>R314</t>
        </is>
      </c>
    </row>
    <row r="2892">
      <c r="A2892" s="227">
        <f>TL[[#This Row],[Société]]&amp;" - "&amp;TL[[#This Row],[Compte]]</f>
        <v/>
      </c>
      <c r="B2892" s="233" t="inlineStr">
        <is>
          <t>44567000</t>
        </is>
      </c>
      <c r="C2892" s="227" t="inlineStr">
        <is>
          <t>Credit de tva a reporte</t>
        </is>
      </c>
      <c r="F2892" s="227" t="inlineStr">
        <is>
          <t>R314</t>
        </is>
      </c>
    </row>
    <row r="2893">
      <c r="A2893" s="227">
        <f>TL[[#This Row],[Société]]&amp;" - "&amp;TL[[#This Row],[Compte]]</f>
        <v/>
      </c>
      <c r="B2893" s="233" t="inlineStr">
        <is>
          <t>44571000</t>
        </is>
      </c>
      <c r="C2893" s="227" t="inlineStr">
        <is>
          <t>Tva a 5.5 %</t>
        </is>
      </c>
      <c r="F2893" s="227" t="inlineStr">
        <is>
          <t>R314</t>
        </is>
      </c>
    </row>
    <row r="2894">
      <c r="A2894" s="227">
        <f>TL[[#This Row],[Société]]&amp;" - "&amp;TL[[#This Row],[Compte]]</f>
        <v/>
      </c>
      <c r="B2894" s="233" t="inlineStr">
        <is>
          <t>44571100</t>
        </is>
      </c>
      <c r="C2894" s="227" t="inlineStr">
        <is>
          <t>Tva a 7 %</t>
        </is>
      </c>
      <c r="F2894" s="227" t="inlineStr">
        <is>
          <t>R314</t>
        </is>
      </c>
    </row>
    <row r="2895">
      <c r="A2895" s="227">
        <f>TL[[#This Row],[Société]]&amp;" - "&amp;TL[[#This Row],[Compte]]</f>
        <v/>
      </c>
      <c r="B2895" s="233" t="inlineStr">
        <is>
          <t>44571300</t>
        </is>
      </c>
      <c r="C2895" s="227" t="inlineStr">
        <is>
          <t>Tva intra communautaire ne pas util</t>
        </is>
      </c>
      <c r="F2895" s="227" t="inlineStr">
        <is>
          <t>R314</t>
        </is>
      </c>
    </row>
    <row r="2896">
      <c r="A2896" s="227">
        <f>TL[[#This Row],[Société]]&amp;" - "&amp;TL[[#This Row],[Compte]]</f>
        <v/>
      </c>
      <c r="B2896" s="233" t="inlineStr">
        <is>
          <t>44571400</t>
        </is>
      </c>
      <c r="C2896" s="227" t="inlineStr">
        <is>
          <t>Tva a 19.6%</t>
        </is>
      </c>
      <c r="F2896" s="227" t="inlineStr">
        <is>
          <t>R314</t>
        </is>
      </c>
    </row>
    <row r="2897">
      <c r="A2897" s="227">
        <f>TL[[#This Row],[Société]]&amp;" - "&amp;TL[[#This Row],[Compte]]</f>
        <v/>
      </c>
      <c r="B2897" s="233" t="inlineStr">
        <is>
          <t>44571500</t>
        </is>
      </c>
      <c r="C2897" s="227" t="inlineStr">
        <is>
          <t>Tva 19.6% lr service</t>
        </is>
      </c>
      <c r="F2897" s="227" t="inlineStr">
        <is>
          <t>R314</t>
        </is>
      </c>
    </row>
    <row r="2898">
      <c r="A2898" s="227">
        <f>TL[[#This Row],[Société]]&amp;" - "&amp;TL[[#This Row],[Compte]]</f>
        <v/>
      </c>
      <c r="B2898" s="233" t="inlineStr">
        <is>
          <t>44571600</t>
        </is>
      </c>
      <c r="C2898" s="227" t="inlineStr">
        <is>
          <t>Tva à 10%</t>
        </is>
      </c>
      <c r="F2898" s="227" t="inlineStr">
        <is>
          <t>R314</t>
        </is>
      </c>
    </row>
    <row r="2899">
      <c r="A2899" s="227">
        <f>TL[[#This Row],[Société]]&amp;" - "&amp;TL[[#This Row],[Compte]]</f>
        <v/>
      </c>
      <c r="B2899" s="233" t="inlineStr">
        <is>
          <t>44571700</t>
        </is>
      </c>
      <c r="C2899" s="227" t="inlineStr">
        <is>
          <t>Tva Martin Brower 20 %</t>
        </is>
      </c>
      <c r="F2899" s="227" t="inlineStr">
        <is>
          <t>R314</t>
        </is>
      </c>
    </row>
    <row r="2900">
      <c r="A2900" s="227">
        <f>TL[[#This Row],[Société]]&amp;" - "&amp;TL[[#This Row],[Compte]]</f>
        <v/>
      </c>
      <c r="B2900" s="233" t="inlineStr">
        <is>
          <t>44572000</t>
        </is>
      </c>
      <c r="C2900" s="227" t="inlineStr">
        <is>
          <t>Tva à 20%</t>
        </is>
      </c>
      <c r="F2900" s="227" t="inlineStr">
        <is>
          <t>R314</t>
        </is>
      </c>
    </row>
    <row r="2901">
      <c r="A2901" s="227">
        <f>TL[[#This Row],[Société]]&amp;" - "&amp;TL[[#This Row],[Compte]]</f>
        <v/>
      </c>
      <c r="B2901" s="233" t="inlineStr">
        <is>
          <t>44583000</t>
        </is>
      </c>
      <c r="C2901" s="227" t="inlineStr">
        <is>
          <t>Remboursement de tva</t>
        </is>
      </c>
      <c r="F2901" s="227" t="inlineStr">
        <is>
          <t>R314</t>
        </is>
      </c>
    </row>
    <row r="2902">
      <c r="A2902" s="227">
        <f>TL[[#This Row],[Société]]&amp;" - "&amp;TL[[#This Row],[Compte]]</f>
        <v/>
      </c>
      <c r="B2902" s="233" t="inlineStr">
        <is>
          <t>44586000</t>
        </is>
      </c>
      <c r="C2902" s="227" t="inlineStr">
        <is>
          <t>Tva/factures non parvenues</t>
        </is>
      </c>
      <c r="F2902" s="227" t="inlineStr">
        <is>
          <t>R314</t>
        </is>
      </c>
    </row>
    <row r="2903">
      <c r="A2903" s="227">
        <f>TL[[#This Row],[Société]]&amp;" - "&amp;TL[[#This Row],[Compte]]</f>
        <v/>
      </c>
      <c r="B2903" s="233" t="inlineStr">
        <is>
          <t>44586500</t>
        </is>
      </c>
      <c r="C2903" s="227" t="inlineStr">
        <is>
          <t>Tva s/avoirs non parvenus</t>
        </is>
      </c>
      <c r="F2903" s="227" t="inlineStr">
        <is>
          <t>R314</t>
        </is>
      </c>
    </row>
    <row r="2904">
      <c r="A2904" s="227">
        <f>TL[[#This Row],[Société]]&amp;" - "&amp;TL[[#This Row],[Compte]]</f>
        <v/>
      </c>
      <c r="B2904" s="233" t="inlineStr">
        <is>
          <t>44587000</t>
        </is>
      </c>
      <c r="C2904" s="227" t="inlineStr">
        <is>
          <t>Tva sur factures à établir</t>
        </is>
      </c>
      <c r="F2904" s="227" t="inlineStr">
        <is>
          <t>R314</t>
        </is>
      </c>
    </row>
    <row r="2905">
      <c r="A2905" s="227">
        <f>TL[[#This Row],[Société]]&amp;" - "&amp;TL[[#This Row],[Compte]]</f>
        <v/>
      </c>
      <c r="B2905" s="233" t="inlineStr">
        <is>
          <t>44587100</t>
        </is>
      </c>
      <c r="C2905" s="227" t="inlineStr">
        <is>
          <t>Tva sur avoir à établir</t>
        </is>
      </c>
      <c r="F2905" s="227" t="inlineStr">
        <is>
          <t>R314</t>
        </is>
      </c>
    </row>
    <row r="2906">
      <c r="A2906" s="227">
        <f>TL[[#This Row],[Société]]&amp;" - "&amp;TL[[#This Row],[Compte]]</f>
        <v/>
      </c>
      <c r="B2906" s="233" t="inlineStr">
        <is>
          <t>44860000</t>
        </is>
      </c>
      <c r="C2906" s="227" t="inlineStr">
        <is>
          <t>Autr.charg.fiscales a payer</t>
        </is>
      </c>
      <c r="F2906" s="227" t="inlineStr">
        <is>
          <t>R314</t>
        </is>
      </c>
    </row>
    <row r="2907">
      <c r="A2907" s="227">
        <f>TL[[#This Row],[Société]]&amp;" - "&amp;TL[[#This Row],[Compte]]</f>
        <v/>
      </c>
      <c r="B2907" s="233" t="inlineStr">
        <is>
          <t>44863000</t>
        </is>
      </c>
      <c r="C2907" s="227" t="inlineStr">
        <is>
          <t>SALAIRES 01/2023</t>
        </is>
      </c>
      <c r="F2907" s="227" t="inlineStr">
        <is>
          <t>R314</t>
        </is>
      </c>
    </row>
    <row r="2908">
      <c r="A2908" s="227">
        <f>TL[[#This Row],[Société]]&amp;" - "&amp;TL[[#This Row],[Compte]]</f>
        <v/>
      </c>
      <c r="B2908" s="233" t="inlineStr">
        <is>
          <t>44870000</t>
        </is>
      </c>
      <c r="C2908" s="227" t="inlineStr">
        <is>
          <t>Etat produits a recevoir</t>
        </is>
      </c>
      <c r="F2908" s="227" t="inlineStr">
        <is>
          <t>R314</t>
        </is>
      </c>
    </row>
    <row r="2909">
      <c r="A2909" s="227">
        <f>TL[[#This Row],[Société]]&amp;" - "&amp;TL[[#This Row],[Compte]]</f>
        <v/>
      </c>
      <c r="B2909" s="233" t="inlineStr">
        <is>
          <t>45500000</t>
        </is>
      </c>
      <c r="C2909" s="227" t="inlineStr">
        <is>
          <t>Compte courant regis rego</t>
        </is>
      </c>
      <c r="F2909" s="227" t="inlineStr">
        <is>
          <t>R314</t>
        </is>
      </c>
    </row>
    <row r="2910">
      <c r="A2910" s="227">
        <f>TL[[#This Row],[Société]]&amp;" - "&amp;TL[[#This Row],[Compte]]</f>
        <v/>
      </c>
      <c r="B2910" s="233" t="inlineStr">
        <is>
          <t>45501000</t>
        </is>
      </c>
      <c r="C2910" s="227" t="inlineStr">
        <is>
          <t>Cc i rego</t>
        </is>
      </c>
      <c r="F2910" s="227" t="inlineStr">
        <is>
          <t>R314</t>
        </is>
      </c>
    </row>
    <row r="2911">
      <c r="A2911" s="227">
        <f>TL[[#This Row],[Société]]&amp;" - "&amp;TL[[#This Row],[Compte]]</f>
        <v/>
      </c>
      <c r="B2911" s="233" t="inlineStr">
        <is>
          <t>45502000</t>
        </is>
      </c>
      <c r="C2911" s="227" t="inlineStr">
        <is>
          <t>Compte courant jean régo</t>
        </is>
      </c>
      <c r="F2911" s="227" t="inlineStr">
        <is>
          <t>R314</t>
        </is>
      </c>
    </row>
    <row r="2912">
      <c r="A2912" s="227">
        <f>TL[[#This Row],[Société]]&amp;" - "&amp;TL[[#This Row],[Compte]]</f>
        <v/>
      </c>
      <c r="B2912" s="233" t="inlineStr">
        <is>
          <t>45503000</t>
        </is>
      </c>
      <c r="C2912" s="227" t="inlineStr">
        <is>
          <t>Cpte courant claude rego</t>
        </is>
      </c>
      <c r="F2912" s="227" t="inlineStr">
        <is>
          <t>R314</t>
        </is>
      </c>
    </row>
    <row r="2913">
      <c r="A2913" s="227">
        <f>TL[[#This Row],[Société]]&amp;" - "&amp;TL[[#This Row],[Compte]]</f>
        <v/>
      </c>
      <c r="B2913" s="233" t="inlineStr">
        <is>
          <t>45504000</t>
        </is>
      </c>
      <c r="C2913" s="227" t="inlineStr">
        <is>
          <t>Cpte courant renaud rego</t>
        </is>
      </c>
      <c r="F2913" s="227" t="inlineStr">
        <is>
          <t>R314</t>
        </is>
      </c>
    </row>
    <row r="2914">
      <c r="A2914" s="227">
        <f>TL[[#This Row],[Société]]&amp;" - "&amp;TL[[#This Row],[Compte]]</f>
        <v/>
      </c>
      <c r="B2914" s="233" t="inlineStr">
        <is>
          <t>45505000</t>
        </is>
      </c>
      <c r="C2914" s="227" t="inlineStr">
        <is>
          <t>Cc jc omont</t>
        </is>
      </c>
      <c r="F2914" s="227" t="inlineStr">
        <is>
          <t>R314</t>
        </is>
      </c>
    </row>
    <row r="2915">
      <c r="A2915" s="227">
        <f>TL[[#This Row],[Société]]&amp;" - "&amp;TL[[#This Row],[Compte]]</f>
        <v/>
      </c>
      <c r="B2915" s="233" t="inlineStr">
        <is>
          <t>45506000</t>
        </is>
      </c>
      <c r="C2915" s="227" t="inlineStr">
        <is>
          <t>Cpt courant gilles abadia</t>
        </is>
      </c>
      <c r="F2915" s="227" t="inlineStr">
        <is>
          <t>R314</t>
        </is>
      </c>
    </row>
    <row r="2916">
      <c r="A2916" s="227">
        <f>TL[[#This Row],[Société]]&amp;" - "&amp;TL[[#This Row],[Compte]]</f>
        <v/>
      </c>
      <c r="B2916" s="233" t="inlineStr">
        <is>
          <t>45507000</t>
        </is>
      </c>
      <c r="C2916" s="227" t="inlineStr">
        <is>
          <t>Cpte courant Thomas Rego De Sebes</t>
        </is>
      </c>
      <c r="F2916" s="227" t="inlineStr">
        <is>
          <t>R314</t>
        </is>
      </c>
    </row>
    <row r="2917">
      <c r="A2917" s="227">
        <f>TL[[#This Row],[Société]]&amp;" - "&amp;TL[[#This Row],[Compte]]</f>
        <v/>
      </c>
      <c r="B2917" s="233" t="inlineStr">
        <is>
          <t>45508000</t>
        </is>
      </c>
      <c r="C2917" s="227" t="inlineStr">
        <is>
          <t>Cpte courant Hugo Rego De Sebes</t>
        </is>
      </c>
      <c r="F2917" s="227" t="inlineStr">
        <is>
          <t>R314</t>
        </is>
      </c>
    </row>
    <row r="2918">
      <c r="A2918" s="227">
        <f>TL[[#This Row],[Société]]&amp;" - "&amp;TL[[#This Row],[Compte]]</f>
        <v/>
      </c>
      <c r="B2918" s="233" t="inlineStr">
        <is>
          <t>45700000</t>
        </is>
      </c>
      <c r="C2918" s="227" t="inlineStr">
        <is>
          <t>Assoc.dividendes a payer</t>
        </is>
      </c>
      <c r="F2918" s="227" t="inlineStr">
        <is>
          <t>R314</t>
        </is>
      </c>
    </row>
    <row r="2919">
      <c r="A2919" s="227">
        <f>TL[[#This Row],[Société]]&amp;" - "&amp;TL[[#This Row],[Compte]]</f>
        <v/>
      </c>
      <c r="B2919" s="233" t="inlineStr">
        <is>
          <t>46700000</t>
        </is>
      </c>
      <c r="C2919" s="227" t="inlineStr">
        <is>
          <t>Urnes - maison ronald</t>
        </is>
      </c>
      <c r="F2919" s="227" t="inlineStr">
        <is>
          <t>R314</t>
        </is>
      </c>
    </row>
    <row r="2920">
      <c r="A2920" s="227">
        <f>TL[[#This Row],[Société]]&amp;" - "&amp;TL[[#This Row],[Compte]]</f>
        <v/>
      </c>
      <c r="B2920" s="233" t="inlineStr">
        <is>
          <t>46710000</t>
        </is>
      </c>
      <c r="C2920" s="227" t="inlineStr">
        <is>
          <t>Mc donald's lisieux</t>
        </is>
      </c>
      <c r="F2920" s="227" t="inlineStr">
        <is>
          <t>R314</t>
        </is>
      </c>
    </row>
    <row r="2921">
      <c r="A2921" s="227">
        <f>TL[[#This Row],[Société]]&amp;" - "&amp;TL[[#This Row],[Compte]]</f>
        <v/>
      </c>
      <c r="B2921" s="233" t="inlineStr">
        <is>
          <t>46720000</t>
        </is>
      </c>
      <c r="C2921" s="227" t="inlineStr">
        <is>
          <t>Tl dives</t>
        </is>
      </c>
      <c r="F2921" s="227" t="inlineStr">
        <is>
          <t>R314</t>
        </is>
      </c>
    </row>
    <row r="2922">
      <c r="A2922" s="227">
        <f>TL[[#This Row],[Société]]&amp;" - "&amp;TL[[#This Row],[Compte]]</f>
        <v/>
      </c>
      <c r="B2922" s="233" t="inlineStr">
        <is>
          <t>46721000</t>
        </is>
      </c>
      <c r="C2922" s="227" t="inlineStr">
        <is>
          <t>Ecart sur remise cb</t>
        </is>
      </c>
      <c r="F2922" s="227" t="inlineStr">
        <is>
          <t>R314</t>
        </is>
      </c>
    </row>
    <row r="2923">
      <c r="A2923" s="227">
        <f>TL[[#This Row],[Société]]&amp;" - "&amp;TL[[#This Row],[Compte]]</f>
        <v/>
      </c>
      <c r="B2923" s="233" t="inlineStr">
        <is>
          <t>46723000</t>
        </is>
      </c>
      <c r="C2923" s="227" t="inlineStr">
        <is>
          <t>Ecart s/ remise tr</t>
        </is>
      </c>
      <c r="F2923" s="227" t="inlineStr">
        <is>
          <t>R314</t>
        </is>
      </c>
    </row>
    <row r="2924">
      <c r="A2924" s="227">
        <f>TL[[#This Row],[Société]]&amp;" - "&amp;TL[[#This Row],[Compte]]</f>
        <v/>
      </c>
      <c r="B2924" s="233" t="inlineStr">
        <is>
          <t>46724000</t>
        </is>
      </c>
      <c r="C2924" s="227" t="inlineStr">
        <is>
          <t>Ecart s/ remises especes</t>
        </is>
      </c>
      <c r="F2924" s="227" t="inlineStr">
        <is>
          <t>R314</t>
        </is>
      </c>
    </row>
    <row r="2925">
      <c r="A2925" s="227">
        <f>TL[[#This Row],[Société]]&amp;" - "&amp;TL[[#This Row],[Compte]]</f>
        <v/>
      </c>
      <c r="B2925" s="233" t="inlineStr">
        <is>
          <t>46725000</t>
        </is>
      </c>
      <c r="C2925" s="227" t="inlineStr">
        <is>
          <t>Ecart s/remise cv</t>
        </is>
      </c>
      <c r="F2925" s="227" t="inlineStr">
        <is>
          <t>R314</t>
        </is>
      </c>
    </row>
    <row r="2926">
      <c r="A2926" s="227">
        <f>TL[[#This Row],[Société]]&amp;" - "&amp;TL[[#This Row],[Compte]]</f>
        <v/>
      </c>
      <c r="B2926" s="233" t="inlineStr">
        <is>
          <t>46726000</t>
        </is>
      </c>
      <c r="C2926" s="227" t="inlineStr">
        <is>
          <t>ecart s rem chq</t>
        </is>
      </c>
      <c r="F2926" s="227" t="inlineStr">
        <is>
          <t>R314</t>
        </is>
      </c>
    </row>
    <row r="2927">
      <c r="A2927" s="227">
        <f>TL[[#This Row],[Société]]&amp;" - "&amp;TL[[#This Row],[Compte]]</f>
        <v/>
      </c>
      <c r="B2927" s="233" t="inlineStr">
        <is>
          <t>46727000</t>
        </is>
      </c>
      <c r="C2927" s="227" t="inlineStr">
        <is>
          <t>ecart lad</t>
        </is>
      </c>
      <c r="F2927" s="227" t="inlineStr">
        <is>
          <t>R314</t>
        </is>
      </c>
    </row>
    <row r="2928">
      <c r="A2928" s="227">
        <f>TL[[#This Row],[Société]]&amp;" - "&amp;TL[[#This Row],[Compte]]</f>
        <v/>
      </c>
      <c r="B2928" s="233" t="inlineStr">
        <is>
          <t>46730000</t>
        </is>
      </c>
      <c r="C2928" s="227" t="inlineStr">
        <is>
          <t>Th4</t>
        </is>
      </c>
      <c r="F2928" s="227" t="inlineStr">
        <is>
          <t>R314</t>
        </is>
      </c>
    </row>
    <row r="2929">
      <c r="A2929" s="227">
        <f>TL[[#This Row],[Société]]&amp;" - "&amp;TL[[#This Row],[Compte]]</f>
        <v/>
      </c>
      <c r="B2929" s="233" t="inlineStr">
        <is>
          <t>46740000</t>
        </is>
      </c>
      <c r="C2929" s="227" t="inlineStr">
        <is>
          <t>Sci rir</t>
        </is>
      </c>
      <c r="F2929" s="227" t="inlineStr">
        <is>
          <t>R314</t>
        </is>
      </c>
    </row>
    <row r="2930">
      <c r="A2930" s="227">
        <f>TL[[#This Row],[Société]]&amp;" - "&amp;TL[[#This Row],[Compte]]</f>
        <v/>
      </c>
      <c r="B2930" s="233" t="inlineStr">
        <is>
          <t>46744400</t>
        </is>
      </c>
      <c r="C2930" s="227" t="inlineStr">
        <is>
          <t>Autres comptes débiteurs</t>
        </is>
      </c>
      <c r="F2930" s="227" t="inlineStr">
        <is>
          <t>R314</t>
        </is>
      </c>
    </row>
    <row r="2931">
      <c r="A2931" s="227">
        <f>TL[[#This Row],[Société]]&amp;" - "&amp;TL[[#This Row],[Compte]]</f>
        <v/>
      </c>
      <c r="B2931" s="233" t="inlineStr">
        <is>
          <t>46750000</t>
        </is>
      </c>
      <c r="C2931" s="227" t="inlineStr">
        <is>
          <t>Gth14</t>
        </is>
      </c>
      <c r="F2931" s="227" t="inlineStr">
        <is>
          <t>R314</t>
        </is>
      </c>
    </row>
    <row r="2932">
      <c r="A2932" s="227">
        <f>TL[[#This Row],[Société]]&amp;" - "&amp;TL[[#This Row],[Compte]]</f>
        <v/>
      </c>
      <c r="B2932" s="233" t="inlineStr">
        <is>
          <t>46751000</t>
        </is>
      </c>
      <c r="C2932" s="227" t="inlineStr">
        <is>
          <t>Lyse</t>
        </is>
      </c>
      <c r="F2932" s="227" t="inlineStr">
        <is>
          <t>R314</t>
        </is>
      </c>
    </row>
    <row r="2933">
      <c r="A2933" s="227">
        <f>TL[[#This Row],[Société]]&amp;" - "&amp;TL[[#This Row],[Compte]]</f>
        <v/>
      </c>
      <c r="B2933" s="233" t="inlineStr">
        <is>
          <t>46755000</t>
        </is>
      </c>
      <c r="C2933" s="227" t="inlineStr">
        <is>
          <t>Autre compte débiteur</t>
        </is>
      </c>
      <c r="F2933" s="227" t="inlineStr">
        <is>
          <t>R314</t>
        </is>
      </c>
    </row>
    <row r="2934">
      <c r="A2934" s="227">
        <f>TL[[#This Row],[Société]]&amp;" - "&amp;TL[[#This Row],[Compte]]</f>
        <v/>
      </c>
      <c r="B2934" s="233" t="inlineStr">
        <is>
          <t>46755500</t>
        </is>
      </c>
      <c r="C2934" s="227" t="inlineStr">
        <is>
          <t>Autres comptes créditeurs</t>
        </is>
      </c>
      <c r="F2934" s="227" t="inlineStr">
        <is>
          <t>R314</t>
        </is>
      </c>
    </row>
    <row r="2935">
      <c r="A2935" s="227">
        <f>TL[[#This Row],[Société]]&amp;" - "&amp;TL[[#This Row],[Compte]]</f>
        <v/>
      </c>
      <c r="B2935" s="233" t="inlineStr">
        <is>
          <t>46766600</t>
        </is>
      </c>
      <c r="C2935" s="227" t="inlineStr">
        <is>
          <t>Autres comptes débiteurs/créditeurs</t>
        </is>
      </c>
      <c r="F2935" s="227" t="inlineStr">
        <is>
          <t>R314</t>
        </is>
      </c>
    </row>
    <row r="2936">
      <c r="A2936" s="227">
        <f>TL[[#This Row],[Société]]&amp;" - "&amp;TL[[#This Row],[Compte]]</f>
        <v/>
      </c>
      <c r="B2936" s="233" t="inlineStr">
        <is>
          <t>46860000</t>
        </is>
      </c>
      <c r="C2936" s="227" t="inlineStr">
        <is>
          <t>Divers charges a payer</t>
        </is>
      </c>
      <c r="F2936" s="227" t="inlineStr">
        <is>
          <t>R314</t>
        </is>
      </c>
    </row>
    <row r="2937">
      <c r="A2937" s="227">
        <f>TL[[#This Row],[Société]]&amp;" - "&amp;TL[[#This Row],[Compte]]</f>
        <v/>
      </c>
      <c r="B2937" s="233" t="inlineStr">
        <is>
          <t>46870000</t>
        </is>
      </c>
      <c r="C2937" s="227" t="inlineStr">
        <is>
          <t>Divers prod. a recevoir</t>
        </is>
      </c>
      <c r="F2937" s="227" t="inlineStr">
        <is>
          <t>R314</t>
        </is>
      </c>
    </row>
    <row r="2938">
      <c r="A2938" s="227">
        <f>TL[[#This Row],[Société]]&amp;" - "&amp;TL[[#This Row],[Compte]]</f>
        <v/>
      </c>
      <c r="B2938" s="233" t="inlineStr">
        <is>
          <t>47100000</t>
        </is>
      </c>
      <c r="C2938" s="227" t="inlineStr">
        <is>
          <t>Compte général d'attente</t>
        </is>
      </c>
      <c r="F2938" s="227" t="inlineStr">
        <is>
          <t>R314</t>
        </is>
      </c>
    </row>
    <row r="2939">
      <c r="A2939" s="227">
        <f>TL[[#This Row],[Société]]&amp;" - "&amp;TL[[#This Row],[Compte]]</f>
        <v/>
      </c>
      <c r="B2939" s="233" t="inlineStr">
        <is>
          <t>47200000</t>
        </is>
      </c>
      <c r="C2939" s="227" t="inlineStr">
        <is>
          <t>Compte d attente</t>
        </is>
      </c>
      <c r="F2939" s="227" t="inlineStr">
        <is>
          <t>R314</t>
        </is>
      </c>
    </row>
    <row r="2940">
      <c r="A2940" s="227">
        <f>TL[[#This Row],[Société]]&amp;" - "&amp;TL[[#This Row],[Compte]]</f>
        <v/>
      </c>
      <c r="B2940" s="233" t="inlineStr">
        <is>
          <t>48600000</t>
        </is>
      </c>
      <c r="C2940" s="227" t="inlineStr">
        <is>
          <t>Charges constat. d'avance</t>
        </is>
      </c>
      <c r="F2940" s="227" t="inlineStr">
        <is>
          <t>R314</t>
        </is>
      </c>
    </row>
    <row r="2941">
      <c r="A2941" s="227">
        <f>TL[[#This Row],[Société]]&amp;" - "&amp;TL[[#This Row],[Compte]]</f>
        <v/>
      </c>
      <c r="B2941" s="233" t="inlineStr">
        <is>
          <t>48700000</t>
        </is>
      </c>
      <c r="C2941" s="227" t="inlineStr">
        <is>
          <t>Produits constatés d'avance</t>
        </is>
      </c>
      <c r="F2941" s="227" t="inlineStr">
        <is>
          <t>R314</t>
        </is>
      </c>
    </row>
    <row r="2942">
      <c r="A2942" s="227">
        <f>TL[[#This Row],[Société]]&amp;" - "&amp;TL[[#This Row],[Compte]]</f>
        <v/>
      </c>
      <c r="B2942" s="233" t="inlineStr">
        <is>
          <t>50310000</t>
        </is>
      </c>
      <c r="C2942" s="227" t="inlineStr">
        <is>
          <t>Actions</t>
        </is>
      </c>
      <c r="F2942" s="227" t="inlineStr">
        <is>
          <t>R314</t>
        </is>
      </c>
    </row>
    <row r="2943">
      <c r="A2943" s="227">
        <f>TL[[#This Row],[Société]]&amp;" - "&amp;TL[[#This Row],[Compte]]</f>
        <v/>
      </c>
      <c r="B2943" s="233" t="inlineStr">
        <is>
          <t>50800000</t>
        </is>
      </c>
      <c r="C2943" s="227" t="inlineStr">
        <is>
          <t>Portefeuille v.m.p.</t>
        </is>
      </c>
      <c r="F2943" s="227" t="inlineStr">
        <is>
          <t>R314</t>
        </is>
      </c>
    </row>
    <row r="2944">
      <c r="A2944" s="227">
        <f>TL[[#This Row],[Société]]&amp;" - "&amp;TL[[#This Row],[Compte]]</f>
        <v/>
      </c>
      <c r="B2944" s="233" t="inlineStr">
        <is>
          <t>51121000</t>
        </is>
      </c>
      <c r="C2944" s="227" t="inlineStr">
        <is>
          <t>Cheques</t>
        </is>
      </c>
      <c r="F2944" s="227" t="inlineStr">
        <is>
          <t>R314</t>
        </is>
      </c>
    </row>
    <row r="2945">
      <c r="A2945" s="227">
        <f>TL[[#This Row],[Société]]&amp;" - "&amp;TL[[#This Row],[Compte]]</f>
        <v/>
      </c>
      <c r="B2945" s="233" t="inlineStr">
        <is>
          <t>51121100</t>
        </is>
      </c>
      <c r="C2945" s="227" t="inlineStr">
        <is>
          <t>Chèques bancaires</t>
        </is>
      </c>
      <c r="F2945" s="227" t="inlineStr">
        <is>
          <t>R314</t>
        </is>
      </c>
    </row>
    <row r="2946">
      <c r="A2946" s="227">
        <f>TL[[#This Row],[Société]]&amp;" - "&amp;TL[[#This Row],[Compte]]</f>
        <v/>
      </c>
      <c r="B2946" s="233" t="inlineStr">
        <is>
          <t>51122000</t>
        </is>
      </c>
      <c r="C2946" s="227" t="inlineStr">
        <is>
          <t>Carte bleue ne pas utiliser</t>
        </is>
      </c>
      <c r="F2946" s="227" t="inlineStr">
        <is>
          <t>R314</t>
        </is>
      </c>
    </row>
    <row r="2947">
      <c r="A2947" s="227">
        <f>TL[[#This Row],[Société]]&amp;" - "&amp;TL[[#This Row],[Compte]]</f>
        <v/>
      </c>
      <c r="B2947" s="233" t="inlineStr">
        <is>
          <t>51122100</t>
        </is>
      </c>
      <c r="C2947" s="227" t="inlineStr">
        <is>
          <t>Cartes bancaires</t>
        </is>
      </c>
      <c r="F2947" s="227" t="inlineStr">
        <is>
          <t>R314</t>
        </is>
      </c>
    </row>
    <row r="2948">
      <c r="A2948" s="227">
        <f>TL[[#This Row],[Société]]&amp;" - "&amp;TL[[#This Row],[Compte]]</f>
        <v/>
      </c>
      <c r="B2948" s="233" t="inlineStr">
        <is>
          <t>51123000</t>
        </is>
      </c>
      <c r="C2948" s="227" t="inlineStr">
        <is>
          <t>NPU Tickets restaurants</t>
        </is>
      </c>
      <c r="F2948" s="227" t="inlineStr">
        <is>
          <t>R314</t>
        </is>
      </c>
    </row>
    <row r="2949">
      <c r="A2949" s="227">
        <f>TL[[#This Row],[Société]]&amp;" - "&amp;TL[[#This Row],[Compte]]</f>
        <v/>
      </c>
      <c r="B2949" s="233" t="inlineStr">
        <is>
          <t>51123100</t>
        </is>
      </c>
      <c r="C2949" s="227" t="inlineStr">
        <is>
          <t>Tickets restaurants</t>
        </is>
      </c>
      <c r="F2949" s="227" t="inlineStr">
        <is>
          <t>R314</t>
        </is>
      </c>
    </row>
    <row r="2950">
      <c r="A2950" s="227">
        <f>TL[[#This Row],[Société]]&amp;" - "&amp;TL[[#This Row],[Compte]]</f>
        <v/>
      </c>
      <c r="B2950" s="233" t="inlineStr">
        <is>
          <t>51125000</t>
        </is>
      </c>
      <c r="C2950" s="227" t="inlineStr">
        <is>
          <t>NPU Chèques vacances</t>
        </is>
      </c>
      <c r="F2950" s="227" t="inlineStr">
        <is>
          <t>R314</t>
        </is>
      </c>
    </row>
    <row r="2951">
      <c r="A2951" s="227">
        <f>TL[[#This Row],[Société]]&amp;" - "&amp;TL[[#This Row],[Compte]]</f>
        <v/>
      </c>
      <c r="B2951" s="233" t="inlineStr">
        <is>
          <t>51125100</t>
        </is>
      </c>
      <c r="C2951" s="227" t="inlineStr">
        <is>
          <t>Chèques vacances</t>
        </is>
      </c>
      <c r="F2951" s="227" t="inlineStr">
        <is>
          <t>R314</t>
        </is>
      </c>
    </row>
    <row r="2952">
      <c r="A2952" s="227">
        <f>TL[[#This Row],[Société]]&amp;" - "&amp;TL[[#This Row],[Compte]]</f>
        <v/>
      </c>
      <c r="B2952" s="233" t="inlineStr">
        <is>
          <t>51126000</t>
        </is>
      </c>
      <c r="C2952" s="227" t="inlineStr">
        <is>
          <t>Pre-paiement</t>
        </is>
      </c>
      <c r="F2952" s="227" t="inlineStr">
        <is>
          <t>R314</t>
        </is>
      </c>
    </row>
    <row r="2953">
      <c r="A2953" s="227">
        <f>TL[[#This Row],[Société]]&amp;" - "&amp;TL[[#This Row],[Compte]]</f>
        <v/>
      </c>
      <c r="B2953" s="233" t="inlineStr">
        <is>
          <t>51126100</t>
        </is>
      </c>
      <c r="C2953" s="227" t="inlineStr">
        <is>
          <t>Pay pal</t>
        </is>
      </c>
      <c r="F2953" s="227" t="inlineStr">
        <is>
          <t>R314</t>
        </is>
      </c>
    </row>
    <row r="2954">
      <c r="A2954" s="227">
        <f>TL[[#This Row],[Société]]&amp;" - "&amp;TL[[#This Row],[Compte]]</f>
        <v/>
      </c>
      <c r="B2954" s="233" t="inlineStr">
        <is>
          <t>51127100</t>
        </is>
      </c>
      <c r="C2954" s="227" t="inlineStr">
        <is>
          <t>Ne pas utiliser</t>
        </is>
      </c>
      <c r="F2954" s="227" t="inlineStr">
        <is>
          <t>R314</t>
        </is>
      </c>
    </row>
    <row r="2955">
      <c r="A2955" s="227">
        <f>TL[[#This Row],[Société]]&amp;" - "&amp;TL[[#This Row],[Compte]]</f>
        <v/>
      </c>
      <c r="B2955" s="233" t="inlineStr">
        <is>
          <t>51127200</t>
        </is>
      </c>
      <c r="C2955" s="227" t="inlineStr">
        <is>
          <t>lad</t>
        </is>
      </c>
      <c r="F2955" s="227" t="inlineStr">
        <is>
          <t>R314</t>
        </is>
      </c>
    </row>
    <row r="2956">
      <c r="A2956" s="227">
        <f>TL[[#This Row],[Société]]&amp;" - "&amp;TL[[#This Row],[Compte]]</f>
        <v/>
      </c>
      <c r="B2956" s="233" t="inlineStr">
        <is>
          <t>51127300</t>
        </is>
      </c>
      <c r="C2956" s="227" t="inlineStr">
        <is>
          <t>Uber</t>
        </is>
      </c>
      <c r="F2956" s="227" t="inlineStr">
        <is>
          <t>R314</t>
        </is>
      </c>
    </row>
    <row r="2957">
      <c r="A2957" s="227">
        <f>TL[[#This Row],[Société]]&amp;" - "&amp;TL[[#This Row],[Compte]]</f>
        <v/>
      </c>
      <c r="B2957" s="233" t="inlineStr">
        <is>
          <t>51170000</t>
        </is>
      </c>
      <c r="C2957" s="227" t="inlineStr">
        <is>
          <t>Chèques émis NPU</t>
        </is>
      </c>
      <c r="F2957" s="227" t="inlineStr">
        <is>
          <t>R314</t>
        </is>
      </c>
    </row>
    <row r="2958">
      <c r="A2958" s="227">
        <f>TL[[#This Row],[Société]]&amp;" - "&amp;TL[[#This Row],[Compte]]</f>
        <v/>
      </c>
      <c r="B2958" s="233" t="inlineStr">
        <is>
          <t>51170100</t>
        </is>
      </c>
      <c r="C2958" s="227" t="inlineStr">
        <is>
          <t>Chèques émis intégrés</t>
        </is>
      </c>
      <c r="F2958" s="227" t="inlineStr">
        <is>
          <t>R314</t>
        </is>
      </c>
    </row>
    <row r="2959">
      <c r="A2959" s="227">
        <f>TL[[#This Row],[Société]]&amp;" - "&amp;TL[[#This Row],[Compte]]</f>
        <v/>
      </c>
      <c r="B2959" s="233" t="inlineStr">
        <is>
          <t>51200000</t>
        </is>
      </c>
      <c r="C2959" s="227" t="inlineStr">
        <is>
          <t>Credit agricole</t>
        </is>
      </c>
      <c r="F2959" s="227" t="inlineStr">
        <is>
          <t>R314</t>
        </is>
      </c>
    </row>
    <row r="2960">
      <c r="A2960" s="227">
        <f>TL[[#This Row],[Société]]&amp;" - "&amp;TL[[#This Row],[Compte]]</f>
        <v/>
      </c>
      <c r="B2960" s="233" t="inlineStr">
        <is>
          <t>51210000</t>
        </is>
      </c>
      <c r="C2960" s="227" t="inlineStr">
        <is>
          <t>Dépôts à terme</t>
        </is>
      </c>
      <c r="F2960" s="227" t="inlineStr">
        <is>
          <t>R314</t>
        </is>
      </c>
    </row>
    <row r="2961">
      <c r="A2961" s="227">
        <f>TL[[#This Row],[Société]]&amp;" - "&amp;TL[[#This Row],[Compte]]</f>
        <v/>
      </c>
      <c r="B2961" s="233" t="inlineStr">
        <is>
          <t>51240000</t>
        </is>
      </c>
      <c r="C2961" s="227" t="inlineStr">
        <is>
          <t>Société générale</t>
        </is>
      </c>
      <c r="F2961" s="227" t="inlineStr">
        <is>
          <t>R314</t>
        </is>
      </c>
    </row>
    <row r="2962">
      <c r="A2962" s="227">
        <f>TL[[#This Row],[Société]]&amp;" - "&amp;TL[[#This Row],[Compte]]</f>
        <v/>
      </c>
      <c r="B2962" s="233" t="inlineStr">
        <is>
          <t>51290000</t>
        </is>
      </c>
      <c r="C2962" s="227" t="inlineStr">
        <is>
          <t>Compte DAT Ech 11.2026</t>
        </is>
      </c>
      <c r="F2962" s="227" t="inlineStr">
        <is>
          <t>R314</t>
        </is>
      </c>
    </row>
    <row r="2963">
      <c r="A2963" s="227">
        <f>TL[[#This Row],[Société]]&amp;" - "&amp;TL[[#This Row],[Compte]]</f>
        <v/>
      </c>
      <c r="B2963" s="233" t="inlineStr">
        <is>
          <t>51810000</t>
        </is>
      </c>
      <c r="C2963" s="227" t="inlineStr">
        <is>
          <t>Banque - Intérets courus à payer</t>
        </is>
      </c>
      <c r="F2963" s="227" t="inlineStr">
        <is>
          <t>R314</t>
        </is>
      </c>
    </row>
    <row r="2964">
      <c r="A2964" s="227">
        <f>TL[[#This Row],[Société]]&amp;" - "&amp;TL[[#This Row],[Compte]]</f>
        <v/>
      </c>
      <c r="B2964" s="233" t="inlineStr">
        <is>
          <t>51910000</t>
        </is>
      </c>
      <c r="C2964" s="227" t="inlineStr">
        <is>
          <t>Billet a ordre</t>
        </is>
      </c>
      <c r="F2964" s="227" t="inlineStr">
        <is>
          <t>R314</t>
        </is>
      </c>
    </row>
    <row r="2965">
      <c r="A2965" s="227">
        <f>TL[[#This Row],[Société]]&amp;" - "&amp;TL[[#This Row],[Compte]]</f>
        <v/>
      </c>
      <c r="B2965" s="233" t="inlineStr">
        <is>
          <t>51920000</t>
        </is>
      </c>
      <c r="C2965" s="227" t="inlineStr">
        <is>
          <t>Souscription dépôt à terme</t>
        </is>
      </c>
      <c r="F2965" s="227" t="inlineStr">
        <is>
          <t>R314</t>
        </is>
      </c>
    </row>
    <row r="2966">
      <c r="A2966" s="227">
        <f>TL[[#This Row],[Société]]&amp;" - "&amp;TL[[#This Row],[Compte]]</f>
        <v/>
      </c>
      <c r="B2966" s="233" t="inlineStr">
        <is>
          <t>53020000</t>
        </is>
      </c>
      <c r="C2966" s="227" t="inlineStr">
        <is>
          <t>Coffre</t>
        </is>
      </c>
      <c r="F2966" s="227" t="inlineStr">
        <is>
          <t>R314</t>
        </is>
      </c>
    </row>
    <row r="2967">
      <c r="A2967" s="227">
        <f>TL[[#This Row],[Société]]&amp;" - "&amp;TL[[#This Row],[Compte]]</f>
        <v/>
      </c>
      <c r="B2967" s="233" t="inlineStr">
        <is>
          <t>53020100</t>
        </is>
      </c>
      <c r="C2967" s="227" t="inlineStr">
        <is>
          <t>Fonds de coffre</t>
        </is>
      </c>
      <c r="F2967" s="227" t="inlineStr">
        <is>
          <t>R314</t>
        </is>
      </c>
    </row>
    <row r="2968">
      <c r="A2968" s="227">
        <f>TL[[#This Row],[Société]]&amp;" - "&amp;TL[[#This Row],[Compte]]</f>
        <v/>
      </c>
      <c r="B2968" s="233" t="inlineStr">
        <is>
          <t>53100000</t>
        </is>
      </c>
      <c r="C2968" s="227" t="inlineStr">
        <is>
          <t>Petite caisse</t>
        </is>
      </c>
      <c r="F2968" s="227" t="inlineStr">
        <is>
          <t>R314</t>
        </is>
      </c>
    </row>
    <row r="2969">
      <c r="A2969" s="227">
        <f>TL[[#This Row],[Société]]&amp;" - "&amp;TL[[#This Row],[Compte]]</f>
        <v/>
      </c>
      <c r="B2969" s="233" t="inlineStr">
        <is>
          <t>58100000</t>
        </is>
      </c>
      <c r="C2969" s="227" t="inlineStr">
        <is>
          <t>Remises espèces</t>
        </is>
      </c>
      <c r="F2969" s="227" t="inlineStr">
        <is>
          <t>R314</t>
        </is>
      </c>
    </row>
    <row r="2970">
      <c r="A2970" s="227">
        <f>TL[[#This Row],[Société]]&amp;" - "&amp;TL[[#This Row],[Compte]]</f>
        <v/>
      </c>
      <c r="B2970" s="233" t="inlineStr">
        <is>
          <t>58300000</t>
        </is>
      </c>
      <c r="C2970" s="227" t="inlineStr">
        <is>
          <t>Approv.monnaie</t>
        </is>
      </c>
      <c r="F2970" s="227" t="inlineStr">
        <is>
          <t>R314</t>
        </is>
      </c>
    </row>
    <row r="2971">
      <c r="A2971" s="227">
        <f>TL[[#This Row],[Société]]&amp;" - "&amp;TL[[#This Row],[Compte]]</f>
        <v/>
      </c>
      <c r="B2971" s="233" t="inlineStr">
        <is>
          <t>59030000</t>
        </is>
      </c>
      <c r="C2971" s="227" t="inlineStr">
        <is>
          <t>Prov.depreciat.des actions</t>
        </is>
      </c>
      <c r="F2971" s="227" t="inlineStr">
        <is>
          <t>R314</t>
        </is>
      </c>
    </row>
    <row r="2972">
      <c r="A2972" s="227">
        <f>TL[[#This Row],[Société]]&amp;" - "&amp;TL[[#This Row],[Compte]]</f>
        <v/>
      </c>
      <c r="B2972" s="233" t="inlineStr">
        <is>
          <t>60100000</t>
        </is>
      </c>
      <c r="C2972" s="227" t="inlineStr">
        <is>
          <t>Air liquide</t>
        </is>
      </c>
      <c r="F2972" s="227" t="inlineStr">
        <is>
          <t>R314</t>
        </is>
      </c>
    </row>
    <row r="2973">
      <c r="A2973" s="227">
        <f>TL[[#This Row],[Société]]&amp;" - "&amp;TL[[#This Row],[Compte]]</f>
        <v/>
      </c>
      <c r="B2973" s="233" t="inlineStr">
        <is>
          <t>60110000</t>
        </is>
      </c>
      <c r="C2973" s="227" t="inlineStr">
        <is>
          <t>Achats nourriture</t>
        </is>
      </c>
      <c r="D2973" s="233" t="inlineStr">
        <is>
          <t>06</t>
        </is>
      </c>
      <c r="E2973" s="233" t="inlineStr">
        <is>
          <t>03</t>
        </is>
      </c>
      <c r="F2973" s="227" t="inlineStr">
        <is>
          <t>R314</t>
        </is>
      </c>
    </row>
    <row r="2974">
      <c r="A2974" s="227">
        <f>TL[[#This Row],[Société]]&amp;" - "&amp;TL[[#This Row],[Compte]]</f>
        <v/>
      </c>
      <c r="B2974" s="233" t="inlineStr">
        <is>
          <t>60110200</t>
        </is>
      </c>
      <c r="C2974" s="227" t="inlineStr">
        <is>
          <t>Dechets</t>
        </is>
      </c>
      <c r="D2974" s="233" t="inlineStr">
        <is>
          <t>07</t>
        </is>
      </c>
      <c r="E2974" s="233" t="inlineStr">
        <is>
          <t>05</t>
        </is>
      </c>
      <c r="F2974" s="227" t="inlineStr">
        <is>
          <t>R314</t>
        </is>
      </c>
    </row>
    <row r="2975">
      <c r="A2975" s="227">
        <f>TL[[#This Row],[Société]]&amp;" - "&amp;TL[[#This Row],[Compte]]</f>
        <v/>
      </c>
      <c r="B2975" s="233" t="inlineStr">
        <is>
          <t>60110300</t>
        </is>
      </c>
      <c r="C2975" s="227" t="inlineStr">
        <is>
          <t>Repas employes</t>
        </is>
      </c>
      <c r="D2975" s="233" t="inlineStr">
        <is>
          <t>08</t>
        </is>
      </c>
      <c r="E2975" s="233" t="inlineStr">
        <is>
          <t>04</t>
        </is>
      </c>
      <c r="F2975" s="227" t="inlineStr">
        <is>
          <t>R314</t>
        </is>
      </c>
    </row>
    <row r="2976">
      <c r="A2976" s="227">
        <f>TL[[#This Row],[Société]]&amp;" - "&amp;TL[[#This Row],[Compte]]</f>
        <v/>
      </c>
      <c r="B2976" s="233" t="inlineStr">
        <is>
          <t>60111000</t>
        </is>
      </c>
      <c r="C2976" s="227" t="inlineStr">
        <is>
          <t>Achat nourriture mc café</t>
        </is>
      </c>
      <c r="D2976" s="233" t="inlineStr">
        <is>
          <t>06</t>
        </is>
      </c>
      <c r="E2976" s="233" t="inlineStr">
        <is>
          <t>03</t>
        </is>
      </c>
      <c r="F2976" s="227" t="inlineStr">
        <is>
          <t>R314</t>
        </is>
      </c>
    </row>
    <row r="2977">
      <c r="A2977" s="227">
        <f>TL[[#This Row],[Société]]&amp;" - "&amp;TL[[#This Row],[Compte]]</f>
        <v/>
      </c>
      <c r="B2977" s="233" t="inlineStr">
        <is>
          <t>60220100</t>
        </is>
      </c>
      <c r="C2977" s="227" t="inlineStr">
        <is>
          <t>Achats emballage</t>
        </is>
      </c>
      <c r="D2977" s="233" t="inlineStr">
        <is>
          <t>03</t>
        </is>
      </c>
      <c r="E2977" s="233" t="inlineStr">
        <is>
          <t>06</t>
        </is>
      </c>
      <c r="F2977" s="227" t="inlineStr">
        <is>
          <t>R314</t>
        </is>
      </c>
    </row>
    <row r="2978">
      <c r="A2978" s="227">
        <f>TL[[#This Row],[Société]]&amp;" - "&amp;TL[[#This Row],[Compte]]</f>
        <v/>
      </c>
      <c r="B2978" s="233" t="inlineStr">
        <is>
          <t>60220200</t>
        </is>
      </c>
      <c r="C2978" s="227" t="inlineStr">
        <is>
          <t>Achats happy meal</t>
        </is>
      </c>
      <c r="D2978" s="233" t="inlineStr">
        <is>
          <t>62</t>
        </is>
      </c>
      <c r="E2978" s="233" t="inlineStr">
        <is>
          <t>51</t>
        </is>
      </c>
      <c r="F2978" s="227" t="inlineStr">
        <is>
          <t>R314</t>
        </is>
      </c>
    </row>
    <row r="2979">
      <c r="A2979" s="227">
        <f>TL[[#This Row],[Société]]&amp;" - "&amp;TL[[#This Row],[Compte]]</f>
        <v/>
      </c>
      <c r="B2979" s="233" t="inlineStr">
        <is>
          <t>60261000</t>
        </is>
      </c>
      <c r="C2979" s="227" t="inlineStr">
        <is>
          <t>Cartons collectes</t>
        </is>
      </c>
      <c r="D2979" s="233" t="inlineStr">
        <is>
          <t>18</t>
        </is>
      </c>
      <c r="E2979" s="233" t="inlineStr">
        <is>
          <t>25</t>
        </is>
      </c>
      <c r="F2979" s="227" t="inlineStr">
        <is>
          <t>R314</t>
        </is>
      </c>
    </row>
    <row r="2980">
      <c r="A2980" s="227">
        <f>TL[[#This Row],[Société]]&amp;" - "&amp;TL[[#This Row],[Compte]]</f>
        <v/>
      </c>
      <c r="B2980" s="233" t="inlineStr">
        <is>
          <t>60261200</t>
        </is>
      </c>
      <c r="C2980" s="227" t="inlineStr">
        <is>
          <t>Vaisselle</t>
        </is>
      </c>
      <c r="D2980" s="235" t="inlineStr">
        <is>
          <t>06</t>
        </is>
      </c>
      <c r="E2980" s="235" t="inlineStr">
        <is>
          <t>6.1</t>
        </is>
      </c>
      <c r="F2980" s="227" t="inlineStr">
        <is>
          <t>R314</t>
        </is>
      </c>
    </row>
    <row r="2981">
      <c r="A2981" s="227">
        <f>TL[[#This Row],[Société]]&amp;" - "&amp;TL[[#This Row],[Compte]]</f>
        <v/>
      </c>
      <c r="B2981" s="233" t="inlineStr">
        <is>
          <t>60310000</t>
        </is>
      </c>
      <c r="C2981" s="227" t="inlineStr">
        <is>
          <t>Var.stocks food</t>
        </is>
      </c>
      <c r="D2981" s="233" t="inlineStr">
        <is>
          <t>06</t>
        </is>
      </c>
      <c r="E2981" s="233" t="inlineStr">
        <is>
          <t>03</t>
        </is>
      </c>
      <c r="F2981" s="227" t="inlineStr">
        <is>
          <t>R314</t>
        </is>
      </c>
    </row>
    <row r="2982">
      <c r="A2982" s="227">
        <f>TL[[#This Row],[Société]]&amp;" - "&amp;TL[[#This Row],[Compte]]</f>
        <v/>
      </c>
      <c r="B2982" s="233" t="inlineStr">
        <is>
          <t>60320000</t>
        </is>
      </c>
      <c r="C2982" s="227" t="inlineStr">
        <is>
          <t>Variat° stock emballage</t>
        </is>
      </c>
      <c r="D2982" s="233" t="inlineStr">
        <is>
          <t>03</t>
        </is>
      </c>
      <c r="E2982" s="233" t="inlineStr">
        <is>
          <t>06</t>
        </is>
      </c>
      <c r="F2982" s="227" t="inlineStr">
        <is>
          <t>R314</t>
        </is>
      </c>
    </row>
    <row r="2983">
      <c r="A2983" s="227">
        <f>TL[[#This Row],[Société]]&amp;" - "&amp;TL[[#This Row],[Compte]]</f>
        <v/>
      </c>
      <c r="B2983" s="233" t="inlineStr">
        <is>
          <t>60320100</t>
        </is>
      </c>
      <c r="C2983" s="227" t="inlineStr">
        <is>
          <t>Variat° stock hm</t>
        </is>
      </c>
      <c r="D2983" s="233" t="inlineStr">
        <is>
          <t>62</t>
        </is>
      </c>
      <c r="E2983" s="233" t="inlineStr">
        <is>
          <t>51</t>
        </is>
      </c>
      <c r="F2983" s="227" t="inlineStr">
        <is>
          <t>R314</t>
        </is>
      </c>
    </row>
    <row r="2984">
      <c r="A2984" s="227">
        <f>TL[[#This Row],[Société]]&amp;" - "&amp;TL[[#This Row],[Compte]]</f>
        <v/>
      </c>
      <c r="B2984" s="233" t="inlineStr">
        <is>
          <t>60321000</t>
        </is>
      </c>
      <c r="C2984" s="227" t="inlineStr">
        <is>
          <t>Var stocks pdts non alim.</t>
        </is>
      </c>
      <c r="D2984" s="233" t="inlineStr">
        <is>
          <t>06</t>
        </is>
      </c>
      <c r="E2984" s="233" t="inlineStr">
        <is>
          <t>03</t>
        </is>
      </c>
      <c r="F2984" s="227" t="inlineStr">
        <is>
          <t>R314</t>
        </is>
      </c>
    </row>
    <row r="2985">
      <c r="A2985" s="227">
        <f>TL[[#This Row],[Société]]&amp;" - "&amp;TL[[#This Row],[Compte]]</f>
        <v/>
      </c>
      <c r="B2985" s="233" t="inlineStr">
        <is>
          <t>60610100</t>
        </is>
      </c>
      <c r="C2985" s="227" t="inlineStr">
        <is>
          <t>Eau restaurant</t>
        </is>
      </c>
      <c r="D2985" s="233" t="inlineStr">
        <is>
          <t>20</t>
        </is>
      </c>
      <c r="E2985" s="233" t="inlineStr">
        <is>
          <t>24</t>
        </is>
      </c>
      <c r="F2985" s="227" t="inlineStr">
        <is>
          <t>R314</t>
        </is>
      </c>
    </row>
    <row r="2986">
      <c r="A2986" s="227">
        <f>TL[[#This Row],[Société]]&amp;" - "&amp;TL[[#This Row],[Compte]]</f>
        <v/>
      </c>
      <c r="B2986" s="233" t="inlineStr">
        <is>
          <t>60610300</t>
        </is>
      </c>
      <c r="C2986" s="227" t="inlineStr">
        <is>
          <t>Electricite restaurant</t>
        </is>
      </c>
      <c r="D2986" s="233" t="inlineStr">
        <is>
          <t>20</t>
        </is>
      </c>
      <c r="E2986" s="233" t="inlineStr">
        <is>
          <t>24</t>
        </is>
      </c>
      <c r="F2986" s="227" t="inlineStr">
        <is>
          <t>R314</t>
        </is>
      </c>
    </row>
    <row r="2987">
      <c r="A2987" s="227">
        <f>TL[[#This Row],[Société]]&amp;" - "&amp;TL[[#This Row],[Compte]]</f>
        <v/>
      </c>
      <c r="B2987" s="233" t="inlineStr">
        <is>
          <t>60610500</t>
        </is>
      </c>
      <c r="C2987" s="227" t="inlineStr">
        <is>
          <t>Achats  gaz</t>
        </is>
      </c>
      <c r="D2987" s="233" t="inlineStr">
        <is>
          <t>20</t>
        </is>
      </c>
      <c r="E2987" s="233" t="inlineStr">
        <is>
          <t>24</t>
        </is>
      </c>
      <c r="F2987" s="227" t="inlineStr">
        <is>
          <t>R314</t>
        </is>
      </c>
    </row>
    <row r="2988">
      <c r="A2988" s="227">
        <f>TL[[#This Row],[Société]]&amp;" - "&amp;TL[[#This Row],[Compte]]</f>
        <v/>
      </c>
      <c r="B2988" s="233" t="inlineStr">
        <is>
          <t>60630000</t>
        </is>
      </c>
      <c r="C2988" s="227" t="inlineStr">
        <is>
          <t>Petit outillage</t>
        </is>
      </c>
      <c r="D2988" s="233" t="inlineStr">
        <is>
          <t>19</t>
        </is>
      </c>
      <c r="E2988" s="233" t="inlineStr">
        <is>
          <t>18</t>
        </is>
      </c>
      <c r="F2988" s="227" t="inlineStr">
        <is>
          <t>R314</t>
        </is>
      </c>
    </row>
    <row r="2989">
      <c r="A2989" s="227">
        <f>TL[[#This Row],[Société]]&amp;" - "&amp;TL[[#This Row],[Compte]]</f>
        <v/>
      </c>
      <c r="B2989" s="233" t="inlineStr">
        <is>
          <t>60630100</t>
        </is>
      </c>
      <c r="C2989" s="227" t="inlineStr">
        <is>
          <t>Fournitures d'exploitation</t>
        </is>
      </c>
      <c r="D2989" s="233" t="inlineStr">
        <is>
          <t>18</t>
        </is>
      </c>
      <c r="E2989" s="233" t="inlineStr">
        <is>
          <t>25</t>
        </is>
      </c>
      <c r="F2989" s="227" t="inlineStr">
        <is>
          <t>R314</t>
        </is>
      </c>
    </row>
    <row r="2990">
      <c r="A2990" s="227">
        <f>TL[[#This Row],[Société]]&amp;" - "&amp;TL[[#This Row],[Compte]]</f>
        <v/>
      </c>
      <c r="B2990" s="233" t="inlineStr">
        <is>
          <t>60630200</t>
        </is>
      </c>
      <c r="C2990" s="227" t="inlineStr">
        <is>
          <t>Fournit d'exploit et pdts entretien</t>
        </is>
      </c>
      <c r="D2990" s="233" t="inlineStr">
        <is>
          <t>18</t>
        </is>
      </c>
      <c r="E2990" s="233" t="inlineStr">
        <is>
          <t>25</t>
        </is>
      </c>
      <c r="F2990" s="227" t="inlineStr">
        <is>
          <t>R314</t>
        </is>
      </c>
    </row>
    <row r="2991">
      <c r="A2991" s="227">
        <f>TL[[#This Row],[Société]]&amp;" - "&amp;TL[[#This Row],[Compte]]</f>
        <v/>
      </c>
      <c r="B2991" s="233" t="inlineStr">
        <is>
          <t>60630300</t>
        </is>
      </c>
      <c r="C2991" s="227" t="inlineStr">
        <is>
          <t>Uniformes</t>
        </is>
      </c>
      <c r="D2991" s="233" t="inlineStr">
        <is>
          <t>17</t>
        </is>
      </c>
      <c r="E2991" s="233" t="inlineStr">
        <is>
          <t>27</t>
        </is>
      </c>
      <c r="F2991" s="227" t="inlineStr">
        <is>
          <t>R314</t>
        </is>
      </c>
    </row>
    <row r="2992">
      <c r="A2992" s="227">
        <f>TL[[#This Row],[Société]]&amp;" - "&amp;TL[[#This Row],[Compte]]</f>
        <v/>
      </c>
      <c r="B2992" s="233" t="inlineStr">
        <is>
          <t>60630500</t>
        </is>
      </c>
      <c r="C2992" s="227" t="inlineStr">
        <is>
          <t>Achats protection COVID-19</t>
        </is>
      </c>
      <c r="D2992" s="233" t="inlineStr">
        <is>
          <t>18</t>
        </is>
      </c>
      <c r="E2992" s="233" t="inlineStr">
        <is>
          <t>25</t>
        </is>
      </c>
      <c r="F2992" s="227" t="inlineStr">
        <is>
          <t>R314</t>
        </is>
      </c>
    </row>
    <row r="2993">
      <c r="A2993" s="227">
        <f>TL[[#This Row],[Société]]&amp;" - "&amp;TL[[#This Row],[Compte]]</f>
        <v/>
      </c>
      <c r="B2993" s="233" t="inlineStr">
        <is>
          <t>60631300</t>
        </is>
      </c>
      <c r="C2993" s="227" t="inlineStr">
        <is>
          <t>Uniformes L 39</t>
        </is>
      </c>
      <c r="D2993" s="233" t="inlineStr">
        <is>
          <t>39</t>
        </is>
      </c>
      <c r="E2993" s="233" t="inlineStr">
        <is>
          <t>25</t>
        </is>
      </c>
      <c r="F2993" s="227" t="inlineStr">
        <is>
          <t>R314</t>
        </is>
      </c>
    </row>
    <row r="2994">
      <c r="A2994" s="227">
        <f>TL[[#This Row],[Société]]&amp;" - "&amp;TL[[#This Row],[Compte]]</f>
        <v/>
      </c>
      <c r="B2994" s="233" t="inlineStr">
        <is>
          <t>60640000</t>
        </is>
      </c>
      <c r="C2994" s="227" t="inlineStr">
        <is>
          <t>Fourni. adminis</t>
        </is>
      </c>
      <c r="D2994" s="233" t="inlineStr">
        <is>
          <t>51</t>
        </is>
      </c>
      <c r="E2994" s="233" t="inlineStr">
        <is>
          <t>46</t>
        </is>
      </c>
      <c r="F2994" s="227" t="inlineStr">
        <is>
          <t>R314</t>
        </is>
      </c>
    </row>
    <row r="2995">
      <c r="A2995" s="227">
        <f>TL[[#This Row],[Société]]&amp;" - "&amp;TL[[#This Row],[Compte]]</f>
        <v/>
      </c>
      <c r="B2995" s="233" t="inlineStr">
        <is>
          <t>60640100</t>
        </is>
      </c>
      <c r="C2995" s="227" t="inlineStr">
        <is>
          <t>Fourni. bureau restaurant</t>
        </is>
      </c>
      <c r="D2995" s="233" t="inlineStr">
        <is>
          <t>21</t>
        </is>
      </c>
      <c r="E2995" s="233" t="inlineStr">
        <is>
          <t>25</t>
        </is>
      </c>
      <c r="F2995" s="227" t="inlineStr">
        <is>
          <t>R314</t>
        </is>
      </c>
    </row>
    <row r="2996">
      <c r="A2996" s="227">
        <f>TL[[#This Row],[Société]]&amp;" - "&amp;TL[[#This Row],[Compte]]</f>
        <v/>
      </c>
      <c r="B2996" s="233" t="inlineStr">
        <is>
          <t>60680000</t>
        </is>
      </c>
      <c r="C2996" s="227" t="inlineStr">
        <is>
          <t>Carburant</t>
        </is>
      </c>
      <c r="D2996" s="233" t="inlineStr">
        <is>
          <t>13</t>
        </is>
      </c>
      <c r="E2996" s="233" t="inlineStr">
        <is>
          <t>40</t>
        </is>
      </c>
      <c r="F2996" s="227" t="inlineStr">
        <is>
          <t>R314</t>
        </is>
      </c>
    </row>
    <row r="2997">
      <c r="A2997" s="227">
        <f>TL[[#This Row],[Société]]&amp;" - "&amp;TL[[#This Row],[Compte]]</f>
        <v/>
      </c>
      <c r="B2997" s="233" t="inlineStr">
        <is>
          <t>60910000</t>
        </is>
      </c>
      <c r="C2997" s="227" t="inlineStr">
        <is>
          <t>R.r.r.obtenus s/ach.nourritures</t>
        </is>
      </c>
      <c r="D2997" s="233" t="inlineStr">
        <is>
          <t>06</t>
        </is>
      </c>
      <c r="E2997" s="233" t="inlineStr">
        <is>
          <t>03</t>
        </is>
      </c>
      <c r="F2997" s="227" t="inlineStr">
        <is>
          <t>R314</t>
        </is>
      </c>
    </row>
    <row r="2998">
      <c r="A2998" s="227">
        <f>TL[[#This Row],[Société]]&amp;" - "&amp;TL[[#This Row],[Compte]]</f>
        <v/>
      </c>
      <c r="B2998" s="233" t="inlineStr">
        <is>
          <t>61100100</t>
        </is>
      </c>
      <c r="C2998" s="227" t="inlineStr">
        <is>
          <t>Ramassage especes</t>
        </is>
      </c>
      <c r="D2998" s="233" t="inlineStr">
        <is>
          <t>16</t>
        </is>
      </c>
      <c r="E2998" s="233" t="inlineStr">
        <is>
          <t>19</t>
        </is>
      </c>
      <c r="F2998" s="227" t="inlineStr">
        <is>
          <t>R314</t>
        </is>
      </c>
    </row>
    <row r="2999">
      <c r="A2999" s="227">
        <f>TL[[#This Row],[Société]]&amp;" - "&amp;TL[[#This Row],[Compte]]</f>
        <v/>
      </c>
      <c r="B2999" s="233" t="inlineStr">
        <is>
          <t>61100500</t>
        </is>
      </c>
      <c r="C2999" s="227" t="inlineStr">
        <is>
          <t>Entretien fleurs</t>
        </is>
      </c>
      <c r="D2999" s="233" t="inlineStr">
        <is>
          <t>16</t>
        </is>
      </c>
      <c r="E2999" s="233" t="inlineStr">
        <is>
          <t>19</t>
        </is>
      </c>
      <c r="F2999" s="227" t="inlineStr">
        <is>
          <t>R314</t>
        </is>
      </c>
    </row>
    <row r="3000">
      <c r="A3000" s="227">
        <f>TL[[#This Row],[Société]]&amp;" - "&amp;TL[[#This Row],[Compte]]</f>
        <v/>
      </c>
      <c r="B3000" s="233" t="inlineStr">
        <is>
          <t>61101200</t>
        </is>
      </c>
      <c r="C3000" s="227" t="inlineStr">
        <is>
          <t>Contrat accès Sylae</t>
        </is>
      </c>
      <c r="D3000" s="233" t="inlineStr">
        <is>
          <t>32</t>
        </is>
      </c>
      <c r="E3000" s="233" t="inlineStr">
        <is>
          <t>19</t>
        </is>
      </c>
      <c r="F3000" s="227" t="inlineStr">
        <is>
          <t>R314</t>
        </is>
      </c>
    </row>
    <row r="3001">
      <c r="A3001" s="227">
        <f>TL[[#This Row],[Société]]&amp;" - "&amp;TL[[#This Row],[Compte]]</f>
        <v/>
      </c>
      <c r="B3001" s="233" t="inlineStr">
        <is>
          <t>61300000</t>
        </is>
      </c>
      <c r="C3001" s="227" t="inlineStr">
        <is>
          <t>Locations</t>
        </is>
      </c>
      <c r="D3001" s="233" t="inlineStr">
        <is>
          <t>99</t>
        </is>
      </c>
      <c r="E3001" s="233" t="inlineStr">
        <is>
          <t>33</t>
        </is>
      </c>
      <c r="F3001" s="227" t="inlineStr">
        <is>
          <t>R314</t>
        </is>
      </c>
    </row>
    <row r="3002">
      <c r="A3002" s="227">
        <f>TL[[#This Row],[Société]]&amp;" - "&amp;TL[[#This Row],[Compte]]</f>
        <v/>
      </c>
      <c r="B3002" s="233" t="inlineStr">
        <is>
          <t>61300100</t>
        </is>
      </c>
      <c r="C3002" s="227" t="inlineStr">
        <is>
          <t>Location machine affranch</t>
        </is>
      </c>
      <c r="D3002" s="233" t="inlineStr">
        <is>
          <t>51</t>
        </is>
      </c>
      <c r="E3002" s="233" t="inlineStr">
        <is>
          <t>46</t>
        </is>
      </c>
      <c r="F3002" s="227" t="inlineStr">
        <is>
          <t>R314</t>
        </is>
      </c>
    </row>
    <row r="3003">
      <c r="A3003" s="227">
        <f>TL[[#This Row],[Société]]&amp;" - "&amp;TL[[#This Row],[Compte]]</f>
        <v/>
      </c>
      <c r="B3003" s="233" t="inlineStr">
        <is>
          <t>61300400</t>
        </is>
      </c>
      <c r="C3003" s="227" t="inlineStr">
        <is>
          <t>Redevance standard 16.5</t>
        </is>
      </c>
      <c r="D3003" s="233" t="inlineStr">
        <is>
          <t>30</t>
        </is>
      </c>
      <c r="E3003" s="233" t="inlineStr">
        <is>
          <t>34</t>
        </is>
      </c>
      <c r="F3003" s="227" t="inlineStr">
        <is>
          <t>R314</t>
        </is>
      </c>
    </row>
    <row r="3004">
      <c r="A3004" s="227">
        <f>TL[[#This Row],[Société]]&amp;" - "&amp;TL[[#This Row],[Compte]]</f>
        <v/>
      </c>
      <c r="B3004" s="233" t="inlineStr">
        <is>
          <t>61300500</t>
        </is>
      </c>
      <c r="C3004" s="227" t="inlineStr">
        <is>
          <t>Location camion</t>
        </is>
      </c>
      <c r="D3004" s="233" t="inlineStr">
        <is>
          <t>16</t>
        </is>
      </c>
      <c r="E3004" s="233" t="inlineStr">
        <is>
          <t>19</t>
        </is>
      </c>
      <c r="F3004" s="227" t="inlineStr">
        <is>
          <t>R314</t>
        </is>
      </c>
    </row>
    <row r="3005">
      <c r="A3005" s="227">
        <f>TL[[#This Row],[Société]]&amp;" - "&amp;TL[[#This Row],[Compte]]</f>
        <v/>
      </c>
      <c r="B3005" s="233" t="inlineStr">
        <is>
          <t>61300600</t>
        </is>
      </c>
      <c r="C3005" s="227" t="inlineStr">
        <is>
          <t>loc caisse palette biodechets</t>
        </is>
      </c>
      <c r="D3005" s="233" t="inlineStr">
        <is>
          <t>16</t>
        </is>
      </c>
      <c r="E3005" s="233" t="inlineStr">
        <is>
          <t>19</t>
        </is>
      </c>
      <c r="F3005" s="227" t="inlineStr">
        <is>
          <t>R314</t>
        </is>
      </c>
    </row>
    <row r="3006">
      <c r="A3006" s="227">
        <f>TL[[#This Row],[Société]]&amp;" - "&amp;TL[[#This Row],[Compte]]</f>
        <v/>
      </c>
      <c r="B3006" s="233" t="inlineStr">
        <is>
          <t>61300700</t>
        </is>
      </c>
      <c r="C3006" s="227" t="inlineStr">
        <is>
          <t>location vaisselle</t>
        </is>
      </c>
      <c r="D3006" s="233" t="inlineStr">
        <is>
          <t>13</t>
        </is>
      </c>
      <c r="E3006" s="233" t="inlineStr">
        <is>
          <t>19</t>
        </is>
      </c>
      <c r="F3006" s="227" t="inlineStr">
        <is>
          <t>R314</t>
        </is>
      </c>
    </row>
    <row r="3007">
      <c r="A3007" s="227">
        <f>TL[[#This Row],[Société]]&amp;" - "&amp;TL[[#This Row],[Compte]]</f>
        <v/>
      </c>
      <c r="B3007" s="233" t="inlineStr">
        <is>
          <t>61320000</t>
        </is>
      </c>
      <c r="C3007" s="227" t="inlineStr">
        <is>
          <t>Redevance standard 16.5%</t>
        </is>
      </c>
      <c r="D3007" s="233" t="inlineStr">
        <is>
          <t>30</t>
        </is>
      </c>
      <c r="E3007" s="233" t="inlineStr">
        <is>
          <t>29</t>
        </is>
      </c>
      <c r="F3007" s="227" t="inlineStr">
        <is>
          <t>R314</t>
        </is>
      </c>
    </row>
    <row r="3008">
      <c r="A3008" s="227">
        <f>TL[[#This Row],[Société]]&amp;" - "&amp;TL[[#This Row],[Compte]]</f>
        <v/>
      </c>
      <c r="B3008" s="233" t="inlineStr">
        <is>
          <t>61320100</t>
        </is>
      </c>
      <c r="C3008" s="227" t="inlineStr">
        <is>
          <t>Frais dossier</t>
        </is>
      </c>
      <c r="D3008" s="233" t="inlineStr">
        <is>
          <t>39</t>
        </is>
      </c>
      <c r="E3008" s="233" t="inlineStr">
        <is>
          <t>19</t>
        </is>
      </c>
      <c r="F3008" s="227" t="inlineStr">
        <is>
          <t>R314</t>
        </is>
      </c>
    </row>
    <row r="3009">
      <c r="A3009" s="227">
        <f>TL[[#This Row],[Société]]&amp;" - "&amp;TL[[#This Row],[Compte]]</f>
        <v/>
      </c>
      <c r="B3009" s="233" t="inlineStr">
        <is>
          <t>61321000</t>
        </is>
      </c>
      <c r="C3009" s="227" t="inlineStr">
        <is>
          <t>Locations interway</t>
        </is>
      </c>
      <c r="D3009" s="233" t="inlineStr">
        <is>
          <t>16</t>
        </is>
      </c>
      <c r="E3009" s="233" t="inlineStr">
        <is>
          <t>19</t>
        </is>
      </c>
      <c r="F3009" s="227" t="inlineStr">
        <is>
          <t>R314</t>
        </is>
      </c>
    </row>
    <row r="3010">
      <c r="A3010" s="227">
        <f>TL[[#This Row],[Société]]&amp;" - "&amp;TL[[#This Row],[Compte]]</f>
        <v/>
      </c>
      <c r="B3010" s="233" t="inlineStr">
        <is>
          <t>61321100</t>
        </is>
      </c>
      <c r="C3010" s="227" t="inlineStr">
        <is>
          <t>location box</t>
        </is>
      </c>
      <c r="D3010" s="233" t="inlineStr">
        <is>
          <t>16</t>
        </is>
      </c>
      <c r="E3010" s="233" t="inlineStr">
        <is>
          <t>19</t>
        </is>
      </c>
      <c r="F3010" s="227" t="inlineStr">
        <is>
          <t>R314</t>
        </is>
      </c>
    </row>
    <row r="3011">
      <c r="A3011" s="227">
        <f>TL[[#This Row],[Société]]&amp;" - "&amp;TL[[#This Row],[Compte]]</f>
        <v/>
      </c>
      <c r="B3011" s="233" t="inlineStr">
        <is>
          <t>61351000</t>
        </is>
      </c>
      <c r="C3011" s="227" t="inlineStr">
        <is>
          <t>Location polo aq 746 ql npu</t>
        </is>
      </c>
      <c r="D3011" s="233" t="inlineStr">
        <is>
          <t>16</t>
        </is>
      </c>
      <c r="E3011" s="233" t="inlineStr">
        <is>
          <t>19</t>
        </is>
      </c>
      <c r="F3011" s="227" t="inlineStr">
        <is>
          <t>R314</t>
        </is>
      </c>
    </row>
    <row r="3012">
      <c r="A3012" s="227">
        <f>TL[[#This Row],[Société]]&amp;" - "&amp;TL[[#This Row],[Compte]]</f>
        <v/>
      </c>
      <c r="B3012" s="233" t="inlineStr">
        <is>
          <t>61351100</t>
        </is>
      </c>
      <c r="C3012" s="227" t="inlineStr">
        <is>
          <t>Loc audi q3</t>
        </is>
      </c>
      <c r="D3012" s="233" t="inlineStr">
        <is>
          <t>39</t>
        </is>
      </c>
      <c r="E3012" s="233" t="inlineStr">
        <is>
          <t>39</t>
        </is>
      </c>
      <c r="F3012" s="227" t="inlineStr">
        <is>
          <t>R314</t>
        </is>
      </c>
    </row>
    <row r="3013">
      <c r="A3013" s="227">
        <f>TL[[#This Row],[Société]]&amp;" - "&amp;TL[[#This Row],[Compte]]</f>
        <v/>
      </c>
      <c r="B3013" s="233" t="inlineStr">
        <is>
          <t>61351200</t>
        </is>
      </c>
      <c r="C3013" s="227" t="inlineStr">
        <is>
          <t>Location Audi A1 DB959MP</t>
        </is>
      </c>
      <c r="D3013" s="233" t="inlineStr">
        <is>
          <t>39</t>
        </is>
      </c>
      <c r="E3013" s="233" t="inlineStr">
        <is>
          <t>39</t>
        </is>
      </c>
      <c r="F3013" s="227" t="inlineStr">
        <is>
          <t>R314</t>
        </is>
      </c>
    </row>
    <row r="3014">
      <c r="A3014" s="227">
        <f>TL[[#This Row],[Société]]&amp;" - "&amp;TL[[#This Row],[Compte]]</f>
        <v/>
      </c>
      <c r="B3014" s="233" t="inlineStr">
        <is>
          <t>61351300</t>
        </is>
      </c>
      <c r="C3014" s="227" t="inlineStr">
        <is>
          <t>Location Audi A1 Ambit.BV388LP</t>
        </is>
      </c>
      <c r="D3014" s="233" t="inlineStr">
        <is>
          <t>39</t>
        </is>
      </c>
      <c r="E3014" s="233" t="inlineStr">
        <is>
          <t>39</t>
        </is>
      </c>
      <c r="F3014" s="227" t="inlineStr">
        <is>
          <t>R314</t>
        </is>
      </c>
    </row>
    <row r="3015">
      <c r="A3015" s="227">
        <f>TL[[#This Row],[Société]]&amp;" - "&amp;TL[[#This Row],[Compte]]</f>
        <v/>
      </c>
      <c r="B3015" s="233" t="inlineStr">
        <is>
          <t>61351400</t>
        </is>
      </c>
      <c r="C3015" s="227" t="inlineStr">
        <is>
          <t>Location Audi A1 Business DM187RF</t>
        </is>
      </c>
      <c r="D3015" s="233" t="inlineStr">
        <is>
          <t>39</t>
        </is>
      </c>
      <c r="E3015" s="233" t="inlineStr">
        <is>
          <t>39</t>
        </is>
      </c>
      <c r="F3015" s="227" t="inlineStr">
        <is>
          <t>R314</t>
        </is>
      </c>
    </row>
    <row r="3016">
      <c r="A3016" s="227">
        <f>TL[[#This Row],[Société]]&amp;" - "&amp;TL[[#This Row],[Compte]]</f>
        <v/>
      </c>
      <c r="B3016" s="233" t="inlineStr">
        <is>
          <t>61351500</t>
        </is>
      </c>
      <c r="C3016" s="227" t="inlineStr">
        <is>
          <t>Location Audi  A1 FL Bus. DW287FC</t>
        </is>
      </c>
      <c r="D3016" s="233" t="inlineStr">
        <is>
          <t>39</t>
        </is>
      </c>
      <c r="E3016" s="233" t="inlineStr">
        <is>
          <t>39</t>
        </is>
      </c>
      <c r="F3016" s="227" t="inlineStr">
        <is>
          <t>R314</t>
        </is>
      </c>
    </row>
    <row r="3017">
      <c r="A3017" s="227">
        <f>TL[[#This Row],[Société]]&amp;" - "&amp;TL[[#This Row],[Compte]]</f>
        <v/>
      </c>
      <c r="B3017" s="233" t="inlineStr">
        <is>
          <t>61351600</t>
        </is>
      </c>
      <c r="C3017" s="227" t="inlineStr">
        <is>
          <t>Location Audi Q3 DX335HL</t>
        </is>
      </c>
      <c r="D3017" s="233" t="inlineStr">
        <is>
          <t>39</t>
        </is>
      </c>
      <c r="E3017" s="233" t="inlineStr">
        <is>
          <t>39</t>
        </is>
      </c>
      <c r="F3017" s="227" t="inlineStr">
        <is>
          <t>R314</t>
        </is>
      </c>
    </row>
    <row r="3018">
      <c r="A3018" s="227">
        <f>TL[[#This Row],[Société]]&amp;" - "&amp;TL[[#This Row],[Compte]]</f>
        <v/>
      </c>
      <c r="B3018" s="233" t="inlineStr">
        <is>
          <t>61351700</t>
        </is>
      </c>
      <c r="C3018" s="227" t="inlineStr">
        <is>
          <t>Location Audi Q3 DX335HL</t>
        </is>
      </c>
      <c r="D3018" s="233" t="inlineStr">
        <is>
          <t>39</t>
        </is>
      </c>
      <c r="E3018" s="233" t="inlineStr">
        <is>
          <t>39</t>
        </is>
      </c>
      <c r="F3018" s="227" t="inlineStr">
        <is>
          <t>R314</t>
        </is>
      </c>
    </row>
    <row r="3019">
      <c r="A3019" s="227">
        <f>TL[[#This Row],[Société]]&amp;" - "&amp;TL[[#This Row],[Compte]]</f>
        <v/>
      </c>
      <c r="B3019" s="233" t="inlineStr">
        <is>
          <t>61351800</t>
        </is>
      </c>
      <c r="C3019" s="227" t="inlineStr">
        <is>
          <t>Location Audi A1 DZ351PW</t>
        </is>
      </c>
      <c r="D3019" s="233" t="inlineStr">
        <is>
          <t>39</t>
        </is>
      </c>
      <c r="E3019" s="233" t="inlineStr">
        <is>
          <t>39</t>
        </is>
      </c>
      <c r="F3019" s="227" t="inlineStr">
        <is>
          <t>R314</t>
        </is>
      </c>
    </row>
    <row r="3020">
      <c r="A3020" s="227">
        <f>TL[[#This Row],[Société]]&amp;" - "&amp;TL[[#This Row],[Compte]]</f>
        <v/>
      </c>
      <c r="B3020" s="233" t="inlineStr">
        <is>
          <t>61351900</t>
        </is>
      </c>
      <c r="C3020" s="227" t="inlineStr">
        <is>
          <t>Location Audi Q3 EC272HP</t>
        </is>
      </c>
      <c r="D3020" s="233" t="inlineStr">
        <is>
          <t>39</t>
        </is>
      </c>
      <c r="E3020" s="233" t="inlineStr">
        <is>
          <t>39</t>
        </is>
      </c>
      <c r="F3020" s="227" t="inlineStr">
        <is>
          <t>R314</t>
        </is>
      </c>
    </row>
    <row r="3021">
      <c r="A3021" s="227">
        <f>TL[[#This Row],[Société]]&amp;" - "&amp;TL[[#This Row],[Compte]]</f>
        <v/>
      </c>
      <c r="B3021" s="233" t="inlineStr">
        <is>
          <t>61352000</t>
        </is>
      </c>
      <c r="C3021" s="227" t="inlineStr">
        <is>
          <t>Location matériel inform.GRENKE</t>
        </is>
      </c>
      <c r="D3021" s="233" t="inlineStr">
        <is>
          <t>16</t>
        </is>
      </c>
      <c r="E3021" s="233" t="inlineStr">
        <is>
          <t>19</t>
        </is>
      </c>
      <c r="F3021" s="227" t="inlineStr">
        <is>
          <t>R314</t>
        </is>
      </c>
    </row>
    <row r="3022">
      <c r="A3022" s="227">
        <f>TL[[#This Row],[Société]]&amp;" - "&amp;TL[[#This Row],[Compte]]</f>
        <v/>
      </c>
      <c r="B3022" s="233" t="inlineStr">
        <is>
          <t>61352100</t>
        </is>
      </c>
      <c r="C3022" s="227" t="inlineStr">
        <is>
          <t>Location Audi Q3 EN156AM</t>
        </is>
      </c>
      <c r="D3022" s="233" t="inlineStr">
        <is>
          <t>39</t>
        </is>
      </c>
      <c r="E3022" s="233" t="inlineStr">
        <is>
          <t>39</t>
        </is>
      </c>
      <c r="F3022" s="227" t="inlineStr">
        <is>
          <t>R314</t>
        </is>
      </c>
    </row>
    <row r="3023">
      <c r="A3023" s="227">
        <f>TL[[#This Row],[Société]]&amp;" - "&amp;TL[[#This Row],[Compte]]</f>
        <v/>
      </c>
      <c r="B3023" s="233" t="inlineStr">
        <is>
          <t>61352200</t>
        </is>
      </c>
      <c r="C3023" s="227" t="inlineStr">
        <is>
          <t>Location Audi Q2 ES330MY</t>
        </is>
      </c>
      <c r="D3023" s="233" t="inlineStr">
        <is>
          <t>39</t>
        </is>
      </c>
      <c r="E3023" s="233" t="inlineStr">
        <is>
          <t>39</t>
        </is>
      </c>
      <c r="F3023" s="227" t="inlineStr">
        <is>
          <t>R314</t>
        </is>
      </c>
    </row>
    <row r="3024">
      <c r="A3024" s="227">
        <f>TL[[#This Row],[Société]]&amp;" - "&amp;TL[[#This Row],[Compte]]</f>
        <v/>
      </c>
      <c r="B3024" s="233" t="inlineStr">
        <is>
          <t>61352300</t>
        </is>
      </c>
      <c r="C3024" s="227" t="inlineStr">
        <is>
          <t>Location Audi A1 ES830YE</t>
        </is>
      </c>
      <c r="D3024" s="233" t="inlineStr">
        <is>
          <t>39</t>
        </is>
      </c>
      <c r="E3024" s="233" t="inlineStr">
        <is>
          <t>39</t>
        </is>
      </c>
      <c r="F3024" s="227" t="inlineStr">
        <is>
          <t>R314</t>
        </is>
      </c>
    </row>
    <row r="3025">
      <c r="A3025" s="227">
        <f>TL[[#This Row],[Société]]&amp;" - "&amp;TL[[#This Row],[Compte]]</f>
        <v/>
      </c>
      <c r="B3025" s="233" t="inlineStr">
        <is>
          <t>61352400</t>
        </is>
      </c>
      <c r="C3025" s="227" t="inlineStr">
        <is>
          <t>Ne pas utiliser</t>
        </is>
      </c>
      <c r="D3025" s="233" t="inlineStr">
        <is>
          <t>39</t>
        </is>
      </c>
      <c r="F3025" s="227" t="inlineStr">
        <is>
          <t>R314</t>
        </is>
      </c>
    </row>
    <row r="3026">
      <c r="A3026" s="227">
        <f>TL[[#This Row],[Société]]&amp;" - "&amp;TL[[#This Row],[Compte]]</f>
        <v/>
      </c>
      <c r="B3026" s="233" t="inlineStr">
        <is>
          <t>61352500</t>
        </is>
      </c>
      <c r="C3026" s="227" t="inlineStr">
        <is>
          <t>Location Audi A1 FG276RC</t>
        </is>
      </c>
      <c r="D3026" s="233" t="inlineStr">
        <is>
          <t>39</t>
        </is>
      </c>
      <c r="E3026" s="233" t="inlineStr">
        <is>
          <t>40</t>
        </is>
      </c>
      <c r="F3026" s="227" t="inlineStr">
        <is>
          <t>R314</t>
        </is>
      </c>
    </row>
    <row r="3027">
      <c r="A3027" s="227">
        <f>TL[[#This Row],[Société]]&amp;" - "&amp;TL[[#This Row],[Compte]]</f>
        <v/>
      </c>
      <c r="B3027" s="233" t="inlineStr">
        <is>
          <t>61352600</t>
        </is>
      </c>
      <c r="C3027" s="227" t="inlineStr">
        <is>
          <t>Location vehicule thomas rego</t>
        </is>
      </c>
      <c r="D3027" s="233" t="inlineStr">
        <is>
          <t>39</t>
        </is>
      </c>
      <c r="E3027" s="233" t="inlineStr">
        <is>
          <t>40</t>
        </is>
      </c>
      <c r="F3027" s="227" t="inlineStr">
        <is>
          <t>R314</t>
        </is>
      </c>
    </row>
    <row r="3028">
      <c r="A3028" s="227">
        <f>TL[[#This Row],[Société]]&amp;" - "&amp;TL[[#This Row],[Compte]]</f>
        <v/>
      </c>
      <c r="B3028" s="233" t="inlineStr">
        <is>
          <t>61352700</t>
        </is>
      </c>
      <c r="C3028" s="227" t="inlineStr">
        <is>
          <t>Location Polo FQ 525 RY</t>
        </is>
      </c>
      <c r="D3028" s="233" t="inlineStr">
        <is>
          <t>39</t>
        </is>
      </c>
      <c r="E3028" s="233" t="inlineStr">
        <is>
          <t>40</t>
        </is>
      </c>
      <c r="F3028" s="227" t="inlineStr">
        <is>
          <t>R314</t>
        </is>
      </c>
    </row>
    <row r="3029">
      <c r="A3029" s="227">
        <f>TL[[#This Row],[Société]]&amp;" - "&amp;TL[[#This Row],[Compte]]</f>
        <v/>
      </c>
      <c r="B3029" s="233" t="inlineStr">
        <is>
          <t>61352800</t>
        </is>
      </c>
      <c r="C3029" s="227" t="inlineStr">
        <is>
          <t>location defibrillateur</t>
        </is>
      </c>
      <c r="D3029" s="233" t="inlineStr">
        <is>
          <t>16</t>
        </is>
      </c>
      <c r="E3029" s="233" t="inlineStr">
        <is>
          <t>19</t>
        </is>
      </c>
      <c r="F3029" s="227" t="inlineStr">
        <is>
          <t>R314</t>
        </is>
      </c>
    </row>
    <row r="3030">
      <c r="A3030" s="227">
        <f>TL[[#This Row],[Société]]&amp;" - "&amp;TL[[#This Row],[Compte]]</f>
        <v/>
      </c>
      <c r="B3030" s="233" t="inlineStr">
        <is>
          <t>61352900</t>
        </is>
      </c>
      <c r="C3030" s="227" t="inlineStr">
        <is>
          <t>location</t>
        </is>
      </c>
      <c r="D3030" s="233" t="inlineStr">
        <is>
          <t>39</t>
        </is>
      </c>
      <c r="E3030" s="233" t="inlineStr">
        <is>
          <t>19</t>
        </is>
      </c>
      <c r="F3030" s="227" t="inlineStr">
        <is>
          <t>R314</t>
        </is>
      </c>
    </row>
    <row r="3031">
      <c r="A3031" s="227">
        <f>TL[[#This Row],[Société]]&amp;" - "&amp;TL[[#This Row],[Compte]]</f>
        <v/>
      </c>
      <c r="B3031" s="233" t="inlineStr">
        <is>
          <t>61353000</t>
        </is>
      </c>
      <c r="C3031" s="227" t="inlineStr">
        <is>
          <t>Locations diverses</t>
        </is>
      </c>
      <c r="D3031" s="233" t="inlineStr">
        <is>
          <t>39</t>
        </is>
      </c>
      <c r="E3031" s="233" t="inlineStr">
        <is>
          <t>19</t>
        </is>
      </c>
      <c r="F3031" s="227" t="inlineStr">
        <is>
          <t>R314</t>
        </is>
      </c>
    </row>
    <row r="3032">
      <c r="A3032" s="227">
        <f>TL[[#This Row],[Société]]&amp;" - "&amp;TL[[#This Row],[Compte]]</f>
        <v/>
      </c>
      <c r="B3032" s="233" t="inlineStr">
        <is>
          <t>61353100</t>
        </is>
      </c>
      <c r="C3032" s="227" t="inlineStr">
        <is>
          <t>Location véhicule Marine</t>
        </is>
      </c>
      <c r="D3032" s="233" t="inlineStr">
        <is>
          <t>39</t>
        </is>
      </c>
      <c r="E3032" s="233" t="inlineStr">
        <is>
          <t>40</t>
        </is>
      </c>
      <c r="F3032" s="227" t="inlineStr">
        <is>
          <t>R314</t>
        </is>
      </c>
    </row>
    <row r="3033">
      <c r="A3033" s="227">
        <f>TL[[#This Row],[Société]]&amp;" - "&amp;TL[[#This Row],[Compte]]</f>
        <v/>
      </c>
      <c r="B3033" s="233" t="inlineStr">
        <is>
          <t>61353200</t>
        </is>
      </c>
      <c r="C3033" s="227" t="inlineStr">
        <is>
          <t>Location Polo FV934QN</t>
        </is>
      </c>
      <c r="D3033" s="233" t="inlineStr">
        <is>
          <t>39</t>
        </is>
      </c>
      <c r="E3033" s="233" t="inlineStr">
        <is>
          <t>40</t>
        </is>
      </c>
      <c r="F3033" s="227" t="inlineStr">
        <is>
          <t>R314</t>
        </is>
      </c>
    </row>
    <row r="3034">
      <c r="A3034" s="227">
        <f>TL[[#This Row],[Société]]&amp;" - "&amp;TL[[#This Row],[Compte]]</f>
        <v/>
      </c>
      <c r="B3034" s="233" t="inlineStr">
        <is>
          <t>61353400</t>
        </is>
      </c>
      <c r="C3034" s="227" t="inlineStr">
        <is>
          <t>Location Audi Q3 FZ217TC</t>
        </is>
      </c>
      <c r="D3034" s="233" t="inlineStr">
        <is>
          <t>39</t>
        </is>
      </c>
      <c r="E3034" s="233" t="inlineStr">
        <is>
          <t>40</t>
        </is>
      </c>
      <c r="F3034" s="227" t="inlineStr">
        <is>
          <t>R314</t>
        </is>
      </c>
    </row>
    <row r="3035">
      <c r="A3035" s="227">
        <f>TL[[#This Row],[Société]]&amp;" - "&amp;TL[[#This Row],[Compte]]</f>
        <v/>
      </c>
      <c r="B3035" s="233" t="inlineStr">
        <is>
          <t>61353500</t>
        </is>
      </c>
      <c r="C3035" s="227" t="inlineStr">
        <is>
          <t>loc audi a1 gd 751 gn</t>
        </is>
      </c>
      <c r="D3035" s="233" t="inlineStr">
        <is>
          <t>39</t>
        </is>
      </c>
      <c r="E3035" s="233" t="inlineStr">
        <is>
          <t>40</t>
        </is>
      </c>
      <c r="F3035" s="227" t="inlineStr">
        <is>
          <t>R314</t>
        </is>
      </c>
    </row>
    <row r="3036">
      <c r="A3036" s="227">
        <f>TL[[#This Row],[Société]]&amp;" - "&amp;TL[[#This Row],[Compte]]</f>
        <v/>
      </c>
      <c r="B3036" s="233" t="inlineStr">
        <is>
          <t>61353600</t>
        </is>
      </c>
      <c r="C3036" s="227" t="inlineStr">
        <is>
          <t>loyer oeuvre d art</t>
        </is>
      </c>
      <c r="D3036" s="233" t="inlineStr">
        <is>
          <t>39</t>
        </is>
      </c>
      <c r="E3036" s="233" t="inlineStr">
        <is>
          <t>40</t>
        </is>
      </c>
      <c r="F3036" s="227" t="inlineStr">
        <is>
          <t>R314</t>
        </is>
      </c>
    </row>
    <row r="3037">
      <c r="A3037" s="227">
        <f>TL[[#This Row],[Société]]&amp;" - "&amp;TL[[#This Row],[Compte]]</f>
        <v/>
      </c>
      <c r="B3037" s="233" t="inlineStr">
        <is>
          <t>61353700</t>
        </is>
      </c>
      <c r="C3037" s="227" t="inlineStr">
        <is>
          <t>Location copieur</t>
        </is>
      </c>
      <c r="D3037" s="233" t="inlineStr">
        <is>
          <t>16</t>
        </is>
      </c>
      <c r="E3037" s="233" t="inlineStr">
        <is>
          <t>19</t>
        </is>
      </c>
      <c r="F3037" s="227" t="inlineStr">
        <is>
          <t>R314</t>
        </is>
      </c>
    </row>
    <row r="3038">
      <c r="A3038" s="227">
        <f>TL[[#This Row],[Société]]&amp;" - "&amp;TL[[#This Row],[Compte]]</f>
        <v/>
      </c>
      <c r="B3038" s="233" t="inlineStr">
        <is>
          <t>61353800</t>
        </is>
      </c>
      <c r="C3038" s="227" t="inlineStr">
        <is>
          <t>Loyer véhicule Wassa</t>
        </is>
      </c>
      <c r="D3038" s="233" t="inlineStr">
        <is>
          <t>39</t>
        </is>
      </c>
      <c r="E3038" s="233" t="inlineStr">
        <is>
          <t>40</t>
        </is>
      </c>
      <c r="F3038" s="227" t="inlineStr">
        <is>
          <t>R314</t>
        </is>
      </c>
    </row>
    <row r="3039">
      <c r="A3039" s="227">
        <f>TL[[#This Row],[Société]]&amp;" - "&amp;TL[[#This Row],[Compte]]</f>
        <v/>
      </c>
      <c r="B3039" s="233" t="inlineStr">
        <is>
          <t>61353900</t>
        </is>
      </c>
      <c r="C3039" s="227" t="inlineStr">
        <is>
          <t>Loyer vehicule Rego</t>
        </is>
      </c>
      <c r="D3039" s="233" t="inlineStr">
        <is>
          <t>39</t>
        </is>
      </c>
      <c r="E3039" s="233" t="inlineStr">
        <is>
          <t>40</t>
        </is>
      </c>
      <c r="F3039" s="227" t="inlineStr">
        <is>
          <t>R314</t>
        </is>
      </c>
    </row>
    <row r="3040">
      <c r="A3040" s="227">
        <f>TL[[#This Row],[Société]]&amp;" - "&amp;TL[[#This Row],[Compte]]</f>
        <v/>
      </c>
      <c r="B3040" s="233" t="inlineStr">
        <is>
          <t>61354000</t>
        </is>
      </c>
      <c r="C3040" s="227" t="inlineStr">
        <is>
          <t>Loyer véhicule Lanos</t>
        </is>
      </c>
      <c r="D3040" s="233" t="inlineStr">
        <is>
          <t>39</t>
        </is>
      </c>
      <c r="E3040" s="233" t="inlineStr">
        <is>
          <t>40</t>
        </is>
      </c>
      <c r="F3040" s="227" t="inlineStr">
        <is>
          <t>R314</t>
        </is>
      </c>
    </row>
    <row r="3041">
      <c r="A3041" s="227">
        <f>TL[[#This Row],[Société]]&amp;" - "&amp;TL[[#This Row],[Compte]]</f>
        <v/>
      </c>
      <c r="B3041" s="233" t="inlineStr">
        <is>
          <t>61354100</t>
        </is>
      </c>
      <c r="C3041" s="227" t="inlineStr">
        <is>
          <t>Loyer véhicule Phoeuk</t>
        </is>
      </c>
      <c r="D3041" s="233" t="inlineStr">
        <is>
          <t>39</t>
        </is>
      </c>
      <c r="E3041" s="233" t="inlineStr">
        <is>
          <t>40</t>
        </is>
      </c>
      <c r="F3041" s="227" t="inlineStr">
        <is>
          <t>R314</t>
        </is>
      </c>
    </row>
    <row r="3042">
      <c r="A3042" s="227">
        <f>TL[[#This Row],[Société]]&amp;" - "&amp;TL[[#This Row],[Compte]]</f>
        <v/>
      </c>
      <c r="B3042" s="233" t="inlineStr">
        <is>
          <t>61410000</t>
        </is>
      </c>
      <c r="C3042" s="227" t="inlineStr">
        <is>
          <t>Charges locat.mc do france</t>
        </is>
      </c>
      <c r="D3042" s="233" t="inlineStr">
        <is>
          <t>34</t>
        </is>
      </c>
      <c r="E3042" s="233" t="inlineStr">
        <is>
          <t>33</t>
        </is>
      </c>
      <c r="F3042" s="227" t="inlineStr">
        <is>
          <t>R314</t>
        </is>
      </c>
    </row>
    <row r="3043">
      <c r="A3043" s="227">
        <f>TL[[#This Row],[Société]]&amp;" - "&amp;TL[[#This Row],[Compte]]</f>
        <v/>
      </c>
      <c r="B3043" s="233" t="inlineStr">
        <is>
          <t>61500100</t>
        </is>
      </c>
      <c r="C3043" s="227" t="inlineStr">
        <is>
          <t>Ent et reparation</t>
        </is>
      </c>
      <c r="D3043" s="233" t="inlineStr">
        <is>
          <t>19</t>
        </is>
      </c>
      <c r="E3043" s="233" t="inlineStr">
        <is>
          <t>18</t>
        </is>
      </c>
      <c r="F3043" s="227" t="inlineStr">
        <is>
          <t>R314</t>
        </is>
      </c>
    </row>
    <row r="3044">
      <c r="A3044" s="227">
        <f>TL[[#This Row],[Société]]&amp;" - "&amp;TL[[#This Row],[Compte]]</f>
        <v/>
      </c>
      <c r="B3044" s="233" t="inlineStr">
        <is>
          <t>61500300</t>
        </is>
      </c>
      <c r="C3044" s="227" t="inlineStr">
        <is>
          <t>Rld</t>
        </is>
      </c>
      <c r="D3044" s="233" t="inlineStr">
        <is>
          <t>19</t>
        </is>
      </c>
      <c r="E3044" s="233" t="inlineStr">
        <is>
          <t>18</t>
        </is>
      </c>
      <c r="F3044" s="227" t="inlineStr">
        <is>
          <t>R314</t>
        </is>
      </c>
    </row>
    <row r="3045">
      <c r="A3045" s="227">
        <f>TL[[#This Row],[Société]]&amp;" - "&amp;TL[[#This Row],[Compte]]</f>
        <v/>
      </c>
      <c r="B3045" s="233" t="inlineStr">
        <is>
          <t>61500400</t>
        </is>
      </c>
      <c r="C3045" s="227" t="inlineStr">
        <is>
          <t>Surveillance</t>
        </is>
      </c>
      <c r="D3045" s="233" t="inlineStr">
        <is>
          <t>16</t>
        </is>
      </c>
      <c r="E3045" s="233" t="inlineStr">
        <is>
          <t>16</t>
        </is>
      </c>
      <c r="F3045" s="227" t="inlineStr">
        <is>
          <t>R314</t>
        </is>
      </c>
    </row>
    <row r="3046">
      <c r="A3046" s="227">
        <f>TL[[#This Row],[Société]]&amp;" - "&amp;TL[[#This Row],[Compte]]</f>
        <v/>
      </c>
      <c r="B3046" s="233" t="inlineStr">
        <is>
          <t>61500500</t>
        </is>
      </c>
      <c r="C3046" s="227" t="inlineStr">
        <is>
          <t>Contrat onyx</t>
        </is>
      </c>
      <c r="D3046" s="233" t="inlineStr">
        <is>
          <t>16</t>
        </is>
      </c>
      <c r="E3046" s="233" t="inlineStr">
        <is>
          <t>19</t>
        </is>
      </c>
      <c r="F3046" s="227" t="inlineStr">
        <is>
          <t>R314</t>
        </is>
      </c>
    </row>
    <row r="3047">
      <c r="A3047" s="227">
        <f>TL[[#This Row],[Société]]&amp;" - "&amp;TL[[#This Row],[Compte]]</f>
        <v/>
      </c>
      <c r="B3047" s="233" t="inlineStr">
        <is>
          <t>61500600</t>
        </is>
      </c>
      <c r="C3047" s="227" t="inlineStr">
        <is>
          <t>Ecogras</t>
        </is>
      </c>
      <c r="D3047" s="233" t="inlineStr">
        <is>
          <t>16</t>
        </is>
      </c>
      <c r="E3047" s="233" t="inlineStr">
        <is>
          <t>19</t>
        </is>
      </c>
      <c r="F3047" s="227" t="inlineStr">
        <is>
          <t>R314</t>
        </is>
      </c>
    </row>
    <row r="3048">
      <c r="A3048" s="227">
        <f>TL[[#This Row],[Société]]&amp;" - "&amp;TL[[#This Row],[Compte]]</f>
        <v/>
      </c>
      <c r="B3048" s="233" t="inlineStr">
        <is>
          <t>61500700</t>
        </is>
      </c>
      <c r="C3048" s="227" t="inlineStr">
        <is>
          <t>Fac simile ne pas utiliser</t>
        </is>
      </c>
      <c r="D3048" s="233" t="inlineStr">
        <is>
          <t>51</t>
        </is>
      </c>
      <c r="E3048" s="233" t="inlineStr">
        <is>
          <t>46</t>
        </is>
      </c>
      <c r="F3048" s="227" t="inlineStr">
        <is>
          <t>R314</t>
        </is>
      </c>
    </row>
    <row r="3049">
      <c r="A3049" s="227">
        <f>TL[[#This Row],[Société]]&amp;" - "&amp;TL[[#This Row],[Compte]]</f>
        <v/>
      </c>
      <c r="B3049" s="233" t="inlineStr">
        <is>
          <t>61500800</t>
        </is>
      </c>
      <c r="C3049" s="227" t="inlineStr">
        <is>
          <t>ccmx ne pas utiliser</t>
        </is>
      </c>
      <c r="D3049" s="233" t="inlineStr">
        <is>
          <t>51</t>
        </is>
      </c>
      <c r="E3049" s="233" t="inlineStr">
        <is>
          <t>46</t>
        </is>
      </c>
      <c r="F3049" s="227" t="inlineStr">
        <is>
          <t>R314</t>
        </is>
      </c>
    </row>
    <row r="3050">
      <c r="A3050" s="227">
        <f>TL[[#This Row],[Société]]&amp;" - "&amp;TL[[#This Row],[Compte]]</f>
        <v/>
      </c>
      <c r="B3050" s="233" t="inlineStr">
        <is>
          <t>61501100</t>
        </is>
      </c>
      <c r="C3050" s="227" t="inlineStr">
        <is>
          <t>Contrat j-normandie</t>
        </is>
      </c>
      <c r="D3050" s="233" t="inlineStr">
        <is>
          <t>16</t>
        </is>
      </c>
      <c r="E3050" s="233" t="inlineStr">
        <is>
          <t>19</t>
        </is>
      </c>
      <c r="F3050" s="227" t="inlineStr">
        <is>
          <t>R314</t>
        </is>
      </c>
    </row>
    <row r="3051">
      <c r="A3051" s="227">
        <f>TL[[#This Row],[Société]]&amp;" - "&amp;TL[[#This Row],[Compte]]</f>
        <v/>
      </c>
      <c r="B3051" s="233" t="inlineStr">
        <is>
          <t>61501200</t>
        </is>
      </c>
      <c r="C3051" s="227" t="inlineStr">
        <is>
          <t>Contrat sir</t>
        </is>
      </c>
      <c r="D3051" s="233" t="inlineStr">
        <is>
          <t>16</t>
        </is>
      </c>
      <c r="E3051" s="233" t="inlineStr">
        <is>
          <t>19</t>
        </is>
      </c>
      <c r="F3051" s="227" t="inlineStr">
        <is>
          <t>R314</t>
        </is>
      </c>
    </row>
    <row r="3052">
      <c r="A3052" s="227">
        <f>TL[[#This Row],[Société]]&amp;" - "&amp;TL[[#This Row],[Compte]]</f>
        <v/>
      </c>
      <c r="B3052" s="233" t="inlineStr">
        <is>
          <t>61501400</t>
        </is>
      </c>
      <c r="C3052" s="227" t="inlineStr">
        <is>
          <t>Contrat acrelec</t>
        </is>
      </c>
      <c r="D3052" s="233" t="inlineStr">
        <is>
          <t>19</t>
        </is>
      </c>
      <c r="E3052" s="233" t="inlineStr">
        <is>
          <t>18</t>
        </is>
      </c>
      <c r="F3052" s="227" t="inlineStr">
        <is>
          <t>R314</t>
        </is>
      </c>
    </row>
    <row r="3053">
      <c r="A3053" s="227">
        <f>TL[[#This Row],[Société]]&amp;" - "&amp;TL[[#This Row],[Compte]]</f>
        <v/>
      </c>
      <c r="B3053" s="233" t="inlineStr">
        <is>
          <t>61501600</t>
        </is>
      </c>
      <c r="C3053" s="227" t="inlineStr">
        <is>
          <t>Normanet</t>
        </is>
      </c>
      <c r="D3053" s="233" t="inlineStr">
        <is>
          <t>16</t>
        </is>
      </c>
      <c r="E3053" s="233" t="inlineStr">
        <is>
          <t>19</t>
        </is>
      </c>
      <c r="F3053" s="227" t="inlineStr">
        <is>
          <t>R314</t>
        </is>
      </c>
    </row>
    <row r="3054">
      <c r="A3054" s="227">
        <f>TL[[#This Row],[Société]]&amp;" - "&amp;TL[[#This Row],[Compte]]</f>
        <v/>
      </c>
      <c r="B3054" s="233" t="inlineStr">
        <is>
          <t>61501700</t>
        </is>
      </c>
      <c r="C3054" s="227" t="inlineStr">
        <is>
          <t>Location canal music</t>
        </is>
      </c>
      <c r="D3054" s="233" t="inlineStr">
        <is>
          <t>16</t>
        </is>
      </c>
      <c r="E3054" s="233" t="inlineStr">
        <is>
          <t>19</t>
        </is>
      </c>
      <c r="F3054" s="227" t="inlineStr">
        <is>
          <t>R314</t>
        </is>
      </c>
    </row>
    <row r="3055">
      <c r="A3055" s="227">
        <f>TL[[#This Row],[Société]]&amp;" - "&amp;TL[[#This Row],[Compte]]</f>
        <v/>
      </c>
      <c r="B3055" s="233" t="inlineStr">
        <is>
          <t>61520000</t>
        </is>
      </c>
      <c r="C3055" s="227" t="inlineStr">
        <is>
          <t>Entretien espaces verts</t>
        </is>
      </c>
      <c r="D3055" s="233" t="inlineStr">
        <is>
          <t>16</t>
        </is>
      </c>
      <c r="E3055" s="233" t="inlineStr">
        <is>
          <t>19</t>
        </is>
      </c>
      <c r="F3055" s="227" t="inlineStr">
        <is>
          <t>R314</t>
        </is>
      </c>
    </row>
    <row r="3056">
      <c r="A3056" s="227">
        <f>TL[[#This Row],[Société]]&amp;" - "&amp;TL[[#This Row],[Compte]]</f>
        <v/>
      </c>
      <c r="B3056" s="233" t="inlineStr">
        <is>
          <t>61521000</t>
        </is>
      </c>
      <c r="C3056" s="227" t="inlineStr">
        <is>
          <t>Entretien vitres</t>
        </is>
      </c>
      <c r="D3056" s="233" t="inlineStr">
        <is>
          <t>16</t>
        </is>
      </c>
      <c r="E3056" s="233" t="inlineStr">
        <is>
          <t>15</t>
        </is>
      </c>
      <c r="F3056" s="227" t="inlineStr">
        <is>
          <t>R314</t>
        </is>
      </c>
    </row>
    <row r="3057">
      <c r="A3057" s="227">
        <f>TL[[#This Row],[Société]]&amp;" - "&amp;TL[[#This Row],[Compte]]</f>
        <v/>
      </c>
      <c r="B3057" s="233" t="inlineStr">
        <is>
          <t>61550000</t>
        </is>
      </c>
      <c r="C3057" s="227" t="inlineStr">
        <is>
          <t>Entretien et réparation divers</t>
        </is>
      </c>
      <c r="D3057" s="233" t="inlineStr">
        <is>
          <t>19</t>
        </is>
      </c>
      <c r="E3057" s="233" t="inlineStr">
        <is>
          <t>18</t>
        </is>
      </c>
      <c r="F3057" s="227" t="inlineStr">
        <is>
          <t>R314</t>
        </is>
      </c>
    </row>
    <row r="3058">
      <c r="A3058" s="227">
        <f>TL[[#This Row],[Société]]&amp;" - "&amp;TL[[#This Row],[Compte]]</f>
        <v/>
      </c>
      <c r="B3058" s="233" t="inlineStr">
        <is>
          <t>61552000</t>
        </is>
      </c>
      <c r="C3058" s="227" t="inlineStr">
        <is>
          <t>Entretien du matériel de transport</t>
        </is>
      </c>
      <c r="D3058" s="233" t="inlineStr">
        <is>
          <t>39</t>
        </is>
      </c>
      <c r="E3058" s="233" t="inlineStr">
        <is>
          <t>18</t>
        </is>
      </c>
      <c r="F3058" s="227" t="inlineStr">
        <is>
          <t>R314</t>
        </is>
      </c>
    </row>
    <row r="3059">
      <c r="A3059" s="227">
        <f>TL[[#This Row],[Société]]&amp;" - "&amp;TL[[#This Row],[Compte]]</f>
        <v/>
      </c>
      <c r="B3059" s="233" t="inlineStr">
        <is>
          <t>61552100</t>
        </is>
      </c>
      <c r="C3059" s="227" t="inlineStr">
        <is>
          <t>Entretien mat.transport</t>
        </is>
      </c>
      <c r="D3059" s="233" t="inlineStr">
        <is>
          <t>39</t>
        </is>
      </c>
      <c r="E3059" s="233" t="inlineStr">
        <is>
          <t>18</t>
        </is>
      </c>
      <c r="F3059" s="227" t="inlineStr">
        <is>
          <t>R314</t>
        </is>
      </c>
    </row>
    <row r="3060">
      <c r="A3060" s="227">
        <f>TL[[#This Row],[Société]]&amp;" - "&amp;TL[[#This Row],[Compte]]</f>
        <v/>
      </c>
      <c r="B3060" s="233" t="inlineStr">
        <is>
          <t>61560000</t>
        </is>
      </c>
      <c r="C3060" s="227" t="inlineStr">
        <is>
          <t>Maintenance mac do</t>
        </is>
      </c>
      <c r="D3060" s="233" t="inlineStr">
        <is>
          <t>16</t>
        </is>
      </c>
      <c r="E3060" s="233" t="inlineStr">
        <is>
          <t>19</t>
        </is>
      </c>
      <c r="F3060" s="227" t="inlineStr">
        <is>
          <t>R314</t>
        </is>
      </c>
    </row>
    <row r="3061">
      <c r="A3061" s="227">
        <f>TL[[#This Row],[Société]]&amp;" - "&amp;TL[[#This Row],[Compte]]</f>
        <v/>
      </c>
      <c r="B3061" s="233" t="inlineStr">
        <is>
          <t>61561000</t>
        </is>
      </c>
      <c r="C3061" s="227" t="inlineStr">
        <is>
          <t>Contrat iron mountain</t>
        </is>
      </c>
      <c r="D3061" s="233" t="inlineStr">
        <is>
          <t>16</t>
        </is>
      </c>
      <c r="E3061" s="233" t="inlineStr">
        <is>
          <t>19</t>
        </is>
      </c>
      <c r="F3061" s="227" t="inlineStr">
        <is>
          <t>R314</t>
        </is>
      </c>
    </row>
    <row r="3062">
      <c r="A3062" s="227">
        <f>TL[[#This Row],[Société]]&amp;" - "&amp;TL[[#This Row],[Compte]]</f>
        <v/>
      </c>
      <c r="B3062" s="233" t="inlineStr">
        <is>
          <t>61561100</t>
        </is>
      </c>
      <c r="C3062" s="227" t="inlineStr">
        <is>
          <t>Contrat loomis</t>
        </is>
      </c>
      <c r="D3062" s="233" t="inlineStr">
        <is>
          <t>16</t>
        </is>
      </c>
      <c r="E3062" s="233" t="inlineStr">
        <is>
          <t>19</t>
        </is>
      </c>
      <c r="F3062" s="227" t="inlineStr">
        <is>
          <t>R314</t>
        </is>
      </c>
    </row>
    <row r="3063">
      <c r="A3063" s="227">
        <f>TL[[#This Row],[Société]]&amp;" - "&amp;TL[[#This Row],[Compte]]</f>
        <v/>
      </c>
      <c r="B3063" s="233" t="inlineStr">
        <is>
          <t>61561200</t>
        </is>
      </c>
      <c r="C3063" s="227" t="inlineStr">
        <is>
          <t>Contrat ramassage huiles usagées</t>
        </is>
      </c>
      <c r="D3063" s="233" t="inlineStr">
        <is>
          <t>16</t>
        </is>
      </c>
      <c r="E3063" s="233" t="inlineStr">
        <is>
          <t>19</t>
        </is>
      </c>
      <c r="F3063" s="227" t="inlineStr">
        <is>
          <t>R314</t>
        </is>
      </c>
    </row>
    <row r="3064">
      <c r="A3064" s="227">
        <f>TL[[#This Row],[Société]]&amp;" - "&amp;TL[[#This Row],[Compte]]</f>
        <v/>
      </c>
      <c r="B3064" s="233" t="inlineStr">
        <is>
          <t>61561300</t>
        </is>
      </c>
      <c r="C3064" s="227" t="inlineStr">
        <is>
          <t>Contratreflex services</t>
        </is>
      </c>
      <c r="D3064" s="233" t="inlineStr">
        <is>
          <t>16</t>
        </is>
      </c>
      <c r="E3064" s="233" t="inlineStr">
        <is>
          <t>19</t>
        </is>
      </c>
      <c r="F3064" s="227" t="inlineStr">
        <is>
          <t>R314</t>
        </is>
      </c>
    </row>
    <row r="3065">
      <c r="A3065" s="227">
        <f>TL[[#This Row],[Société]]&amp;" - "&amp;TL[[#This Row],[Compte]]</f>
        <v/>
      </c>
      <c r="B3065" s="233" t="inlineStr">
        <is>
          <t>61561400</t>
        </is>
      </c>
      <c r="C3065" s="227" t="inlineStr">
        <is>
          <t>Contrat entretien aire de jeux</t>
        </is>
      </c>
      <c r="D3065" s="233" t="inlineStr">
        <is>
          <t>16</t>
        </is>
      </c>
      <c r="E3065" s="233" t="inlineStr">
        <is>
          <t>19</t>
        </is>
      </c>
      <c r="F3065" s="227" t="inlineStr">
        <is>
          <t>R314</t>
        </is>
      </c>
    </row>
    <row r="3066">
      <c r="A3066" s="227">
        <f>TL[[#This Row],[Société]]&amp;" - "&amp;TL[[#This Row],[Compte]]</f>
        <v/>
      </c>
      <c r="B3066" s="233" t="inlineStr">
        <is>
          <t>61561500</t>
        </is>
      </c>
      <c r="C3066" s="227" t="inlineStr">
        <is>
          <t>Contrat entretien linge</t>
        </is>
      </c>
      <c r="D3066" s="233" t="inlineStr">
        <is>
          <t>16</t>
        </is>
      </c>
      <c r="E3066" s="233" t="inlineStr">
        <is>
          <t>15</t>
        </is>
      </c>
      <c r="F3066" s="227" t="inlineStr">
        <is>
          <t>R314</t>
        </is>
      </c>
    </row>
    <row r="3067">
      <c r="A3067" s="227">
        <f>TL[[#This Row],[Société]]&amp;" - "&amp;TL[[#This Row],[Compte]]</f>
        <v/>
      </c>
      <c r="B3067" s="233" t="inlineStr">
        <is>
          <t>61561600</t>
        </is>
      </c>
      <c r="C3067" s="227" t="inlineStr">
        <is>
          <t>Contrat acrelec</t>
        </is>
      </c>
      <c r="D3067" s="233" t="inlineStr">
        <is>
          <t>16</t>
        </is>
      </c>
      <c r="E3067" s="233" t="inlineStr">
        <is>
          <t>19</t>
        </is>
      </c>
      <c r="F3067" s="227" t="inlineStr">
        <is>
          <t>R314</t>
        </is>
      </c>
    </row>
    <row r="3068">
      <c r="A3068" s="227">
        <f>TL[[#This Row],[Société]]&amp;" - "&amp;TL[[#This Row],[Compte]]</f>
        <v/>
      </c>
      <c r="B3068" s="233" t="inlineStr">
        <is>
          <t>61561700</t>
        </is>
      </c>
      <c r="C3068" s="227" t="inlineStr">
        <is>
          <t>Contrat canal music</t>
        </is>
      </c>
      <c r="D3068" s="233" t="inlineStr">
        <is>
          <t>16</t>
        </is>
      </c>
      <c r="E3068" s="233" t="inlineStr">
        <is>
          <t>19</t>
        </is>
      </c>
      <c r="F3068" s="227" t="inlineStr">
        <is>
          <t>R314</t>
        </is>
      </c>
    </row>
    <row r="3069">
      <c r="A3069" s="227">
        <f>TL[[#This Row],[Société]]&amp;" - "&amp;TL[[#This Row],[Compte]]</f>
        <v/>
      </c>
      <c r="B3069" s="233" t="inlineStr">
        <is>
          <t>61561800</t>
        </is>
      </c>
      <c r="C3069" s="227" t="inlineStr">
        <is>
          <t>Contrat wifi</t>
        </is>
      </c>
      <c r="D3069" s="233" t="inlineStr">
        <is>
          <t>16</t>
        </is>
      </c>
      <c r="E3069" s="233" t="inlineStr">
        <is>
          <t>19</t>
        </is>
      </c>
      <c r="F3069" s="227" t="inlineStr">
        <is>
          <t>R314</t>
        </is>
      </c>
    </row>
    <row r="3070">
      <c r="A3070" s="227">
        <f>TL[[#This Row],[Société]]&amp;" - "&amp;TL[[#This Row],[Compte]]</f>
        <v/>
      </c>
      <c r="B3070" s="233" t="inlineStr">
        <is>
          <t>61561900</t>
        </is>
      </c>
      <c r="C3070" s="227" t="inlineStr">
        <is>
          <t>Contrat nettoyage</t>
        </is>
      </c>
      <c r="D3070" s="233" t="inlineStr">
        <is>
          <t>16</t>
        </is>
      </c>
      <c r="E3070" s="233" t="inlineStr">
        <is>
          <t>15</t>
        </is>
      </c>
      <c r="F3070" s="227" t="inlineStr">
        <is>
          <t>R314</t>
        </is>
      </c>
    </row>
    <row r="3071">
      <c r="A3071" s="227">
        <f>TL[[#This Row],[Société]]&amp;" - "&amp;TL[[#This Row],[Compte]]</f>
        <v/>
      </c>
      <c r="B3071" s="233" t="inlineStr">
        <is>
          <t>61562000</t>
        </is>
      </c>
      <c r="C3071" s="227" t="inlineStr">
        <is>
          <t>Contrat telesurveillance</t>
        </is>
      </c>
      <c r="D3071" s="233" t="inlineStr">
        <is>
          <t>16</t>
        </is>
      </c>
      <c r="E3071" s="233" t="inlineStr">
        <is>
          <t>16</t>
        </is>
      </c>
      <c r="F3071" s="227" t="inlineStr">
        <is>
          <t>R314</t>
        </is>
      </c>
    </row>
    <row r="3072">
      <c r="A3072" s="227">
        <f>TL[[#This Row],[Société]]&amp;" - "&amp;TL[[#This Row],[Compte]]</f>
        <v/>
      </c>
      <c r="B3072" s="233" t="inlineStr">
        <is>
          <t>61562100</t>
        </is>
      </c>
      <c r="C3072" s="227" t="inlineStr">
        <is>
          <t>Contrat enlevement déchets</t>
        </is>
      </c>
      <c r="D3072" s="233" t="inlineStr">
        <is>
          <t>16</t>
        </is>
      </c>
      <c r="E3072" s="233" t="inlineStr">
        <is>
          <t>19</t>
        </is>
      </c>
      <c r="F3072" s="227" t="inlineStr">
        <is>
          <t>R314</t>
        </is>
      </c>
    </row>
    <row r="3073">
      <c r="A3073" s="227">
        <f>TL[[#This Row],[Société]]&amp;" - "&amp;TL[[#This Row],[Compte]]</f>
        <v/>
      </c>
      <c r="B3073" s="233" t="inlineStr">
        <is>
          <t>61562200</t>
        </is>
      </c>
      <c r="C3073" s="227" t="inlineStr">
        <is>
          <t>Contrat silliker</t>
        </is>
      </c>
      <c r="D3073" s="233" t="inlineStr">
        <is>
          <t>16</t>
        </is>
      </c>
      <c r="E3073" s="233" t="inlineStr">
        <is>
          <t>19</t>
        </is>
      </c>
      <c r="F3073" s="227" t="inlineStr">
        <is>
          <t>R314</t>
        </is>
      </c>
    </row>
    <row r="3074">
      <c r="A3074" s="227">
        <f>TL[[#This Row],[Société]]&amp;" - "&amp;TL[[#This Row],[Compte]]</f>
        <v/>
      </c>
      <c r="B3074" s="233" t="inlineStr">
        <is>
          <t>61562300</t>
        </is>
      </c>
      <c r="C3074" s="227" t="inlineStr">
        <is>
          <t>Contrat helpline</t>
        </is>
      </c>
      <c r="D3074" s="233" t="inlineStr">
        <is>
          <t>16</t>
        </is>
      </c>
      <c r="E3074" s="233" t="inlineStr">
        <is>
          <t>19</t>
        </is>
      </c>
      <c r="F3074" s="227" t="inlineStr">
        <is>
          <t>R314</t>
        </is>
      </c>
    </row>
    <row r="3075">
      <c r="A3075" s="227">
        <f>TL[[#This Row],[Société]]&amp;" - "&amp;TL[[#This Row],[Compte]]</f>
        <v/>
      </c>
      <c r="B3075" s="233" t="inlineStr">
        <is>
          <t>61562400</t>
        </is>
      </c>
      <c r="C3075" s="227" t="inlineStr">
        <is>
          <t>Contrat machine affranchir</t>
        </is>
      </c>
      <c r="D3075" s="233" t="inlineStr">
        <is>
          <t>16</t>
        </is>
      </c>
      <c r="E3075" s="233" t="inlineStr">
        <is>
          <t>19</t>
        </is>
      </c>
      <c r="F3075" s="227" t="inlineStr">
        <is>
          <t>R314</t>
        </is>
      </c>
    </row>
    <row r="3076">
      <c r="A3076" s="227">
        <f>TL[[#This Row],[Société]]&amp;" - "&amp;TL[[#This Row],[Compte]]</f>
        <v/>
      </c>
      <c r="B3076" s="233" t="inlineStr">
        <is>
          <t>61562600</t>
        </is>
      </c>
      <c r="C3076" s="227" t="inlineStr">
        <is>
          <t>Contrat tyco</t>
        </is>
      </c>
      <c r="D3076" s="233" t="inlineStr">
        <is>
          <t>16</t>
        </is>
      </c>
      <c r="E3076" s="233" t="inlineStr">
        <is>
          <t>19</t>
        </is>
      </c>
      <c r="F3076" s="227" t="inlineStr">
        <is>
          <t>R314</t>
        </is>
      </c>
    </row>
    <row r="3077">
      <c r="A3077" s="227">
        <f>TL[[#This Row],[Société]]&amp;" - "&amp;TL[[#This Row],[Compte]]</f>
        <v/>
      </c>
      <c r="B3077" s="233" t="inlineStr">
        <is>
          <t>61562700</t>
        </is>
      </c>
      <c r="C3077" s="227" t="inlineStr">
        <is>
          <t>Contrat entretien clim</t>
        </is>
      </c>
      <c r="D3077" s="233" t="inlineStr">
        <is>
          <t>16</t>
        </is>
      </c>
      <c r="E3077" s="233" t="inlineStr">
        <is>
          <t>19</t>
        </is>
      </c>
      <c r="F3077" s="227" t="inlineStr">
        <is>
          <t>R314</t>
        </is>
      </c>
    </row>
    <row r="3078">
      <c r="A3078" s="227">
        <f>TL[[#This Row],[Société]]&amp;" - "&amp;TL[[#This Row],[Compte]]</f>
        <v/>
      </c>
      <c r="B3078" s="233" t="inlineStr">
        <is>
          <t>61562800</t>
        </is>
      </c>
      <c r="C3078" s="227" t="inlineStr">
        <is>
          <t>Contrat dégraissage dératisation</t>
        </is>
      </c>
      <c r="D3078" s="233" t="inlineStr">
        <is>
          <t>16</t>
        </is>
      </c>
      <c r="E3078" s="233" t="inlineStr">
        <is>
          <t>19</t>
        </is>
      </c>
      <c r="F3078" s="227" t="inlineStr">
        <is>
          <t>R314</t>
        </is>
      </c>
    </row>
    <row r="3079">
      <c r="A3079" s="227">
        <f>TL[[#This Row],[Société]]&amp;" - "&amp;TL[[#This Row],[Compte]]</f>
        <v/>
      </c>
      <c r="B3079" s="233" t="inlineStr">
        <is>
          <t>61562900</t>
        </is>
      </c>
      <c r="C3079" s="227" t="inlineStr">
        <is>
          <t>Full connection ews comptabilité</t>
        </is>
      </c>
      <c r="D3079" s="233" t="inlineStr">
        <is>
          <t>16</t>
        </is>
      </c>
      <c r="E3079" s="233" t="inlineStr">
        <is>
          <t>19</t>
        </is>
      </c>
      <c r="F3079" s="227" t="inlineStr">
        <is>
          <t>R314</t>
        </is>
      </c>
    </row>
    <row r="3080">
      <c r="A3080" s="227">
        <f>TL[[#This Row],[Société]]&amp;" - "&amp;TL[[#This Row],[Compte]]</f>
        <v/>
      </c>
      <c r="B3080" s="233" t="inlineStr">
        <is>
          <t>61563000</t>
        </is>
      </c>
      <c r="C3080" s="227" t="inlineStr">
        <is>
          <t>Contrat maintenace coca</t>
        </is>
      </c>
      <c r="D3080" s="233" t="inlineStr">
        <is>
          <t>16</t>
        </is>
      </c>
      <c r="E3080" s="233" t="inlineStr">
        <is>
          <t>19</t>
        </is>
      </c>
      <c r="F3080" s="227" t="inlineStr">
        <is>
          <t>R314</t>
        </is>
      </c>
    </row>
    <row r="3081">
      <c r="A3081" s="227">
        <f>TL[[#This Row],[Société]]&amp;" - "&amp;TL[[#This Row],[Compte]]</f>
        <v/>
      </c>
      <c r="B3081" s="233" t="inlineStr">
        <is>
          <t>61563300</t>
        </is>
      </c>
      <c r="C3081" s="227" t="inlineStr">
        <is>
          <t>Contrat altalys</t>
        </is>
      </c>
      <c r="D3081" s="233" t="inlineStr">
        <is>
          <t>16</t>
        </is>
      </c>
      <c r="E3081" s="233" t="inlineStr">
        <is>
          <t>19</t>
        </is>
      </c>
      <c r="F3081" s="227" t="inlineStr">
        <is>
          <t>R314</t>
        </is>
      </c>
    </row>
    <row r="3082">
      <c r="A3082" s="227">
        <f>TL[[#This Row],[Société]]&amp;" - "&amp;TL[[#This Row],[Compte]]</f>
        <v/>
      </c>
      <c r="B3082" s="233" t="inlineStr">
        <is>
          <t>61564000</t>
        </is>
      </c>
      <c r="C3082" s="227" t="inlineStr">
        <is>
          <t>Contrat gruppo</t>
        </is>
      </c>
      <c r="D3082" s="233" t="inlineStr">
        <is>
          <t>16</t>
        </is>
      </c>
      <c r="E3082" s="233" t="inlineStr">
        <is>
          <t>19</t>
        </is>
      </c>
      <c r="F3082" s="227" t="inlineStr">
        <is>
          <t>R314</t>
        </is>
      </c>
    </row>
    <row r="3083">
      <c r="A3083" s="227">
        <f>TL[[#This Row],[Société]]&amp;" - "&amp;TL[[#This Row],[Compte]]</f>
        <v/>
      </c>
      <c r="B3083" s="233" t="inlineStr">
        <is>
          <t>61564100</t>
        </is>
      </c>
      <c r="C3083" s="227" t="inlineStr">
        <is>
          <t>Contrat nilfisk</t>
        </is>
      </c>
      <c r="D3083" s="233" t="inlineStr">
        <is>
          <t>16</t>
        </is>
      </c>
      <c r="E3083" s="233" t="inlineStr">
        <is>
          <t>19</t>
        </is>
      </c>
      <c r="F3083" s="227" t="inlineStr">
        <is>
          <t>R314</t>
        </is>
      </c>
    </row>
    <row r="3084">
      <c r="A3084" s="227">
        <f>TL[[#This Row],[Société]]&amp;" - "&amp;TL[[#This Row],[Compte]]</f>
        <v/>
      </c>
      <c r="B3084" s="233" t="inlineStr">
        <is>
          <t>61565000</t>
        </is>
      </c>
      <c r="C3084" s="227" t="inlineStr">
        <is>
          <t>Contrat melitta</t>
        </is>
      </c>
      <c r="D3084" s="233" t="inlineStr">
        <is>
          <t>16</t>
        </is>
      </c>
      <c r="E3084" s="233" t="inlineStr">
        <is>
          <t>19</t>
        </is>
      </c>
      <c r="F3084" s="227" t="inlineStr">
        <is>
          <t>R314</t>
        </is>
      </c>
    </row>
    <row r="3085">
      <c r="A3085" s="227">
        <f>TL[[#This Row],[Société]]&amp;" - "&amp;TL[[#This Row],[Compte]]</f>
        <v/>
      </c>
      <c r="B3085" s="233" t="inlineStr">
        <is>
          <t>61565100</t>
        </is>
      </c>
      <c r="C3085" s="227" t="inlineStr">
        <is>
          <t>abonnement profil net</t>
        </is>
      </c>
      <c r="D3085" s="233" t="inlineStr">
        <is>
          <t>16</t>
        </is>
      </c>
      <c r="E3085" s="233" t="inlineStr">
        <is>
          <t>19</t>
        </is>
      </c>
      <c r="F3085" s="227" t="inlineStr">
        <is>
          <t>R314</t>
        </is>
      </c>
    </row>
    <row r="3086">
      <c r="A3086" s="227">
        <f>TL[[#This Row],[Société]]&amp;" - "&amp;TL[[#This Row],[Compte]]</f>
        <v/>
      </c>
      <c r="B3086" s="233" t="inlineStr">
        <is>
          <t>61565200</t>
        </is>
      </c>
      <c r="C3086" s="227" t="inlineStr">
        <is>
          <t>contrat jri</t>
        </is>
      </c>
      <c r="D3086" s="233" t="inlineStr">
        <is>
          <t>16</t>
        </is>
      </c>
      <c r="E3086" s="233" t="inlineStr">
        <is>
          <t>19</t>
        </is>
      </c>
      <c r="F3086" s="227" t="inlineStr">
        <is>
          <t>R314</t>
        </is>
      </c>
    </row>
    <row r="3087">
      <c r="A3087" s="227">
        <f>TL[[#This Row],[Société]]&amp;" - "&amp;TL[[#This Row],[Compte]]</f>
        <v/>
      </c>
      <c r="B3087" s="233" t="inlineStr">
        <is>
          <t>61565300</t>
        </is>
      </c>
      <c r="C3087" s="227" t="inlineStr">
        <is>
          <t>abonnement ephori</t>
        </is>
      </c>
      <c r="D3087" s="233" t="inlineStr">
        <is>
          <t>16</t>
        </is>
      </c>
      <c r="E3087" s="233" t="inlineStr">
        <is>
          <t>19</t>
        </is>
      </c>
      <c r="F3087" s="227" t="inlineStr">
        <is>
          <t>R314</t>
        </is>
      </c>
    </row>
    <row r="3088">
      <c r="A3088" s="227">
        <f>TL[[#This Row],[Société]]&amp;" - "&amp;TL[[#This Row],[Compte]]</f>
        <v/>
      </c>
      <c r="B3088" s="233" t="inlineStr">
        <is>
          <t>61565400</t>
        </is>
      </c>
      <c r="C3088" s="227" t="inlineStr">
        <is>
          <t>contrat vigiles</t>
        </is>
      </c>
      <c r="D3088" s="233" t="inlineStr">
        <is>
          <t>16</t>
        </is>
      </c>
      <c r="E3088" s="233" t="inlineStr">
        <is>
          <t>19</t>
        </is>
      </c>
      <c r="F3088" s="227" t="inlineStr">
        <is>
          <t>R314</t>
        </is>
      </c>
    </row>
    <row r="3089">
      <c r="A3089" s="227">
        <f>TL[[#This Row],[Société]]&amp;" - "&amp;TL[[#This Row],[Compte]]</f>
        <v/>
      </c>
      <c r="B3089" s="233" t="inlineStr">
        <is>
          <t>61565500</t>
        </is>
      </c>
      <c r="C3089" s="227" t="inlineStr">
        <is>
          <t>Contrat chubb horloge péremption</t>
        </is>
      </c>
      <c r="D3089" s="233" t="inlineStr">
        <is>
          <t>16</t>
        </is>
      </c>
      <c r="E3089" s="233" t="inlineStr">
        <is>
          <t>19</t>
        </is>
      </c>
      <c r="F3089" s="227" t="inlineStr">
        <is>
          <t>R314</t>
        </is>
      </c>
    </row>
    <row r="3090">
      <c r="A3090" s="227">
        <f>TL[[#This Row],[Société]]&amp;" - "&amp;TL[[#This Row],[Compte]]</f>
        <v/>
      </c>
      <c r="B3090" s="233" t="inlineStr">
        <is>
          <t>61565600</t>
        </is>
      </c>
      <c r="C3090" s="227" t="inlineStr">
        <is>
          <t>contrat hobart</t>
        </is>
      </c>
      <c r="D3090" s="233" t="inlineStr">
        <is>
          <t>16</t>
        </is>
      </c>
      <c r="E3090" s="233" t="inlineStr">
        <is>
          <t>19</t>
        </is>
      </c>
      <c r="F3090" s="227" t="inlineStr">
        <is>
          <t>R314</t>
        </is>
      </c>
    </row>
    <row r="3091">
      <c r="A3091" s="227">
        <f>TL[[#This Row],[Société]]&amp;" - "&amp;TL[[#This Row],[Compte]]</f>
        <v/>
      </c>
      <c r="B3091" s="233" t="inlineStr">
        <is>
          <t>61566000</t>
        </is>
      </c>
      <c r="C3091" s="227" t="inlineStr">
        <is>
          <t>Contrat GLC température gaz</t>
        </is>
      </c>
      <c r="D3091" s="233" t="inlineStr">
        <is>
          <t>16</t>
        </is>
      </c>
      <c r="E3091" s="233" t="inlineStr">
        <is>
          <t>19</t>
        </is>
      </c>
      <c r="F3091" s="227" t="inlineStr">
        <is>
          <t>R314</t>
        </is>
      </c>
    </row>
    <row r="3092">
      <c r="A3092" s="227">
        <f>TL[[#This Row],[Société]]&amp;" - "&amp;TL[[#This Row],[Compte]]</f>
        <v/>
      </c>
      <c r="B3092" s="233" t="inlineStr">
        <is>
          <t>61566100</t>
        </is>
      </c>
      <c r="C3092" s="227" t="inlineStr">
        <is>
          <t>contrat grenke</t>
        </is>
      </c>
      <c r="D3092" s="233" t="inlineStr">
        <is>
          <t>16</t>
        </is>
      </c>
      <c r="E3092" s="233" t="inlineStr">
        <is>
          <t>19</t>
        </is>
      </c>
      <c r="F3092" s="227" t="inlineStr">
        <is>
          <t>R314</t>
        </is>
      </c>
    </row>
    <row r="3093">
      <c r="A3093" s="227">
        <f>TL[[#This Row],[Société]]&amp;" - "&amp;TL[[#This Row],[Compte]]</f>
        <v/>
      </c>
      <c r="B3093" s="233" t="inlineStr">
        <is>
          <t>61566200</t>
        </is>
      </c>
      <c r="C3093" s="227" t="inlineStr">
        <is>
          <t>contrat socotec</t>
        </is>
      </c>
      <c r="D3093" s="233" t="inlineStr">
        <is>
          <t>16</t>
        </is>
      </c>
      <c r="E3093" s="233" t="inlineStr">
        <is>
          <t>19</t>
        </is>
      </c>
      <c r="F3093" s="227" t="inlineStr">
        <is>
          <t>R314</t>
        </is>
      </c>
    </row>
    <row r="3094">
      <c r="A3094" s="227">
        <f>TL[[#This Row],[Société]]&amp;" - "&amp;TL[[#This Row],[Compte]]</f>
        <v/>
      </c>
      <c r="B3094" s="233" t="inlineStr">
        <is>
          <t>61566300</t>
        </is>
      </c>
      <c r="C3094" s="227" t="inlineStr">
        <is>
          <t>contrat steeple</t>
        </is>
      </c>
      <c r="D3094" s="233" t="inlineStr">
        <is>
          <t>16</t>
        </is>
      </c>
      <c r="E3094" s="233" t="inlineStr">
        <is>
          <t>19</t>
        </is>
      </c>
      <c r="F3094" s="227" t="inlineStr">
        <is>
          <t>R314</t>
        </is>
      </c>
    </row>
    <row r="3095">
      <c r="A3095" s="227">
        <f>TL[[#This Row],[Société]]&amp;" - "&amp;TL[[#This Row],[Compte]]</f>
        <v/>
      </c>
      <c r="B3095" s="233" t="inlineStr">
        <is>
          <t>61566400</t>
        </is>
      </c>
      <c r="C3095" s="227" t="inlineStr">
        <is>
          <t>applicat suivi performance</t>
        </is>
      </c>
      <c r="D3095" s="233" t="inlineStr">
        <is>
          <t>16</t>
        </is>
      </c>
      <c r="E3095" s="233" t="inlineStr">
        <is>
          <t>19</t>
        </is>
      </c>
      <c r="F3095" s="227" t="inlineStr">
        <is>
          <t>R314</t>
        </is>
      </c>
    </row>
    <row r="3096">
      <c r="A3096" s="227">
        <f>TL[[#This Row],[Société]]&amp;" - "&amp;TL[[#This Row],[Compte]]</f>
        <v/>
      </c>
      <c r="B3096" s="233" t="inlineStr">
        <is>
          <t>61600100</t>
        </is>
      </c>
      <c r="C3096" s="227" t="inlineStr">
        <is>
          <t>Assu. multirisque restau</t>
        </is>
      </c>
      <c r="D3096" s="233" t="inlineStr">
        <is>
          <t>33</t>
        </is>
      </c>
      <c r="E3096" s="233" t="inlineStr">
        <is>
          <t>36</t>
        </is>
      </c>
      <c r="F3096" s="227" t="inlineStr">
        <is>
          <t>R314</t>
        </is>
      </c>
    </row>
    <row r="3097">
      <c r="A3097" s="227">
        <f>TL[[#This Row],[Société]]&amp;" - "&amp;TL[[#This Row],[Compte]]</f>
        <v/>
      </c>
      <c r="B3097" s="233" t="inlineStr">
        <is>
          <t>61600200</t>
        </is>
      </c>
      <c r="C3097" s="227" t="inlineStr">
        <is>
          <t>Assurance juridique</t>
        </is>
      </c>
      <c r="D3097" s="233" t="inlineStr">
        <is>
          <t>33</t>
        </is>
      </c>
      <c r="E3097" s="233" t="inlineStr">
        <is>
          <t>36</t>
        </is>
      </c>
      <c r="F3097" s="227" t="inlineStr">
        <is>
          <t>R314</t>
        </is>
      </c>
    </row>
    <row r="3098">
      <c r="A3098" s="227">
        <f>TL[[#This Row],[Société]]&amp;" - "&amp;TL[[#This Row],[Compte]]</f>
        <v/>
      </c>
      <c r="B3098" s="233" t="inlineStr">
        <is>
          <t>61600300</t>
        </is>
      </c>
      <c r="C3098" s="227" t="inlineStr">
        <is>
          <t>Assurance auto-mission</t>
        </is>
      </c>
      <c r="D3098" s="233" t="inlineStr">
        <is>
          <t>33</t>
        </is>
      </c>
      <c r="E3098" s="233" t="inlineStr">
        <is>
          <t>36</t>
        </is>
      </c>
      <c r="F3098" s="227" t="inlineStr">
        <is>
          <t>R314</t>
        </is>
      </c>
    </row>
    <row r="3099">
      <c r="A3099" s="227">
        <f>TL[[#This Row],[Société]]&amp;" - "&amp;TL[[#This Row],[Compte]]</f>
        <v/>
      </c>
      <c r="B3099" s="233" t="inlineStr">
        <is>
          <t>61600500</t>
        </is>
      </c>
      <c r="C3099" s="227" t="inlineStr">
        <is>
          <t>Assurance vehicule</t>
        </is>
      </c>
      <c r="D3099" s="233" t="inlineStr">
        <is>
          <t>39</t>
        </is>
      </c>
      <c r="E3099" s="233" t="inlineStr">
        <is>
          <t>40</t>
        </is>
      </c>
      <c r="F3099" s="227" t="inlineStr">
        <is>
          <t>R314</t>
        </is>
      </c>
    </row>
    <row r="3100">
      <c r="A3100" s="227">
        <f>TL[[#This Row],[Société]]&amp;" - "&amp;TL[[#This Row],[Compte]]</f>
        <v/>
      </c>
      <c r="B3100" s="233" t="inlineStr">
        <is>
          <t>61600600</t>
        </is>
      </c>
      <c r="C3100" s="227" t="inlineStr">
        <is>
          <t>Assurance décénale</t>
        </is>
      </c>
      <c r="D3100" s="233" t="inlineStr">
        <is>
          <t>33</t>
        </is>
      </c>
      <c r="E3100" s="233" t="inlineStr">
        <is>
          <t>36</t>
        </is>
      </c>
      <c r="F3100" s="227" t="inlineStr">
        <is>
          <t>R314</t>
        </is>
      </c>
    </row>
    <row r="3101">
      <c r="A3101" s="227">
        <f>TL[[#This Row],[Société]]&amp;" - "&amp;TL[[#This Row],[Compte]]</f>
        <v/>
      </c>
      <c r="B3101" s="233" t="inlineStr">
        <is>
          <t>61600700</t>
        </is>
      </c>
      <c r="C3101" s="227" t="inlineStr">
        <is>
          <t>Assurances cyber attack</t>
        </is>
      </c>
      <c r="D3101" s="233" t="inlineStr">
        <is>
          <t>33</t>
        </is>
      </c>
      <c r="E3101" s="233" t="inlineStr">
        <is>
          <t>36</t>
        </is>
      </c>
      <c r="F3101" s="227" t="inlineStr">
        <is>
          <t>R314</t>
        </is>
      </c>
    </row>
    <row r="3102">
      <c r="A3102" s="227">
        <f>TL[[#This Row],[Société]]&amp;" - "&amp;TL[[#This Row],[Compte]]</f>
        <v/>
      </c>
      <c r="B3102" s="233" t="inlineStr">
        <is>
          <t>61600800</t>
        </is>
      </c>
      <c r="C3102" s="227" t="inlineStr">
        <is>
          <t>Assurance prêt COVID-19</t>
        </is>
      </c>
      <c r="D3102" s="233" t="inlineStr">
        <is>
          <t>33</t>
        </is>
      </c>
      <c r="E3102" s="233" t="inlineStr">
        <is>
          <t>36</t>
        </is>
      </c>
      <c r="F3102" s="227" t="inlineStr">
        <is>
          <t>R314</t>
        </is>
      </c>
    </row>
    <row r="3103">
      <c r="A3103" s="227">
        <f>TL[[#This Row],[Société]]&amp;" - "&amp;TL[[#This Row],[Compte]]</f>
        <v/>
      </c>
      <c r="B3103" s="233" t="inlineStr">
        <is>
          <t>61810000</t>
        </is>
      </c>
      <c r="C3103" s="227" t="inlineStr">
        <is>
          <t>Services exterieurs div.</t>
        </is>
      </c>
      <c r="D3103" s="233" t="inlineStr">
        <is>
          <t>16</t>
        </is>
      </c>
      <c r="E3103" s="233" t="inlineStr">
        <is>
          <t>19</t>
        </is>
      </c>
      <c r="F3103" s="227" t="inlineStr">
        <is>
          <t>R314</t>
        </is>
      </c>
    </row>
    <row r="3104">
      <c r="A3104" s="227">
        <f>TL[[#This Row],[Société]]&amp;" - "&amp;TL[[#This Row],[Compte]]</f>
        <v/>
      </c>
      <c r="B3104" s="233" t="inlineStr">
        <is>
          <t>62100000</t>
        </is>
      </c>
      <c r="C3104" s="227" t="inlineStr">
        <is>
          <t>Prêt personnel</t>
        </is>
      </c>
      <c r="E3104" s="233" t="inlineStr">
        <is>
          <t>13</t>
        </is>
      </c>
      <c r="F3104" s="227" t="inlineStr">
        <is>
          <t>R314</t>
        </is>
      </c>
    </row>
    <row r="3105">
      <c r="A3105" s="227">
        <f>TL[[#This Row],[Société]]&amp;" - "&amp;TL[[#This Row],[Compte]]</f>
        <v/>
      </c>
      <c r="B3105" s="233" t="inlineStr">
        <is>
          <t>62140100</t>
        </is>
      </c>
      <c r="C3105" s="227" t="inlineStr">
        <is>
          <t>Prêt personnel équipiers</t>
        </is>
      </c>
      <c r="D3105" s="233" t="inlineStr">
        <is>
          <t>10</t>
        </is>
      </c>
      <c r="E3105" s="233" t="inlineStr">
        <is>
          <t>09</t>
        </is>
      </c>
      <c r="F3105" s="227" t="inlineStr">
        <is>
          <t>R314</t>
        </is>
      </c>
    </row>
    <row r="3106">
      <c r="A3106" s="227">
        <f>TL[[#This Row],[Société]]&amp;" - "&amp;TL[[#This Row],[Compte]]</f>
        <v/>
      </c>
      <c r="B3106" s="233" t="inlineStr">
        <is>
          <t>62140200</t>
        </is>
      </c>
      <c r="C3106" s="227" t="inlineStr">
        <is>
          <t>Refacturation Managers</t>
        </is>
      </c>
      <c r="D3106" s="233" t="inlineStr">
        <is>
          <t>11</t>
        </is>
      </c>
      <c r="E3106" s="233" t="inlineStr">
        <is>
          <t>10</t>
        </is>
      </c>
      <c r="F3106" s="227" t="inlineStr">
        <is>
          <t>R314</t>
        </is>
      </c>
    </row>
    <row r="3107">
      <c r="A3107" s="227">
        <f>TL[[#This Row],[Société]]&amp;" - "&amp;TL[[#This Row],[Compte]]</f>
        <v/>
      </c>
      <c r="B3107" s="233" t="inlineStr">
        <is>
          <t>62140300</t>
        </is>
      </c>
      <c r="C3107" s="227" t="inlineStr">
        <is>
          <t>hotesse ligne 39</t>
        </is>
      </c>
      <c r="D3107" s="233" t="inlineStr">
        <is>
          <t>39</t>
        </is>
      </c>
      <c r="E3107" s="233" t="inlineStr">
        <is>
          <t>13</t>
        </is>
      </c>
      <c r="F3107" s="227" t="inlineStr">
        <is>
          <t>R314</t>
        </is>
      </c>
    </row>
    <row r="3108">
      <c r="A3108" s="227">
        <f>TL[[#This Row],[Société]]&amp;" - "&amp;TL[[#This Row],[Compte]]</f>
        <v/>
      </c>
      <c r="B3108" s="233" t="inlineStr">
        <is>
          <t>62140400</t>
        </is>
      </c>
      <c r="C3108" s="227" t="inlineStr">
        <is>
          <t>Salaire personnel marketing</t>
        </is>
      </c>
      <c r="D3108" s="233" t="inlineStr">
        <is>
          <t>39</t>
        </is>
      </c>
      <c r="E3108" s="233" t="inlineStr">
        <is>
          <t>13</t>
        </is>
      </c>
      <c r="F3108" s="227" t="inlineStr">
        <is>
          <t>R314</t>
        </is>
      </c>
    </row>
    <row r="3109">
      <c r="A3109" s="227">
        <f>TL[[#This Row],[Société]]&amp;" - "&amp;TL[[#This Row],[Compte]]</f>
        <v/>
      </c>
      <c r="B3109" s="233" t="inlineStr">
        <is>
          <t>62140500</t>
        </is>
      </c>
      <c r="C3109" s="227" t="inlineStr">
        <is>
          <t>Prêt personnel technique</t>
        </is>
      </c>
      <c r="D3109" s="239" t="inlineStr">
        <is>
          <t>39</t>
        </is>
      </c>
      <c r="E3109" s="233" t="inlineStr">
        <is>
          <t>13</t>
        </is>
      </c>
      <c r="F3109" s="227" t="inlineStr">
        <is>
          <t>R314</t>
        </is>
      </c>
    </row>
    <row r="3110">
      <c r="A3110" s="227">
        <f>TL[[#This Row],[Société]]&amp;" - "&amp;TL[[#This Row],[Compte]]</f>
        <v/>
      </c>
      <c r="B3110" s="233" t="inlineStr">
        <is>
          <t>62140600</t>
        </is>
      </c>
      <c r="C3110" s="227" t="inlineStr">
        <is>
          <t>Refac. managers charges</t>
        </is>
      </c>
      <c r="D3110" s="239" t="inlineStr">
        <is>
          <t>39</t>
        </is>
      </c>
      <c r="E3110" s="233" t="inlineStr">
        <is>
          <t>11</t>
        </is>
      </c>
      <c r="F3110" s="227" t="inlineStr">
        <is>
          <t>R314</t>
        </is>
      </c>
    </row>
    <row r="3111">
      <c r="A3111" s="227">
        <f>TL[[#This Row],[Société]]&amp;" - "&amp;TL[[#This Row],[Compte]]</f>
        <v/>
      </c>
      <c r="B3111" s="233" t="inlineStr">
        <is>
          <t>62200000</t>
        </is>
      </c>
      <c r="C3111" s="227" t="inlineStr">
        <is>
          <t>Honoraire ercem</t>
        </is>
      </c>
      <c r="D3111" s="233" t="inlineStr">
        <is>
          <t>16</t>
        </is>
      </c>
      <c r="E3111" s="233" t="inlineStr">
        <is>
          <t>35</t>
        </is>
      </c>
      <c r="F3111" s="227" t="inlineStr">
        <is>
          <t>R314</t>
        </is>
      </c>
    </row>
    <row r="3112">
      <c r="A3112" s="227">
        <f>TL[[#This Row],[Société]]&amp;" - "&amp;TL[[#This Row],[Compte]]</f>
        <v/>
      </c>
      <c r="B3112" s="233" t="inlineStr">
        <is>
          <t>62260000</t>
        </is>
      </c>
      <c r="C3112" s="227" t="inlineStr">
        <is>
          <t>Honoraires comptables</t>
        </is>
      </c>
      <c r="D3112" s="233" t="inlineStr">
        <is>
          <t>32</t>
        </is>
      </c>
      <c r="E3112" s="233" t="inlineStr">
        <is>
          <t>35</t>
        </is>
      </c>
      <c r="F3112" s="227" t="inlineStr">
        <is>
          <t>R314</t>
        </is>
      </c>
    </row>
    <row r="3113">
      <c r="A3113" s="227">
        <f>TL[[#This Row],[Société]]&amp;" - "&amp;TL[[#This Row],[Compte]]</f>
        <v/>
      </c>
      <c r="B3113" s="233" t="inlineStr">
        <is>
          <t>62261000</t>
        </is>
      </c>
      <c r="C3113" s="227" t="inlineStr">
        <is>
          <t>Honoraires juridiques</t>
        </is>
      </c>
      <c r="D3113" s="233" t="inlineStr">
        <is>
          <t>32</t>
        </is>
      </c>
      <c r="E3113" s="233" t="inlineStr">
        <is>
          <t>35</t>
        </is>
      </c>
      <c r="F3113" s="227" t="inlineStr">
        <is>
          <t>R314</t>
        </is>
      </c>
    </row>
    <row r="3114">
      <c r="A3114" s="227">
        <f>TL[[#This Row],[Société]]&amp;" - "&amp;TL[[#This Row],[Compte]]</f>
        <v/>
      </c>
      <c r="B3114" s="233" t="inlineStr">
        <is>
          <t>62265000</t>
        </is>
      </c>
      <c r="C3114" s="227" t="inlineStr">
        <is>
          <t>Honoraires comm aux com</t>
        </is>
      </c>
      <c r="D3114" s="233" t="inlineStr">
        <is>
          <t>32</t>
        </is>
      </c>
      <c r="E3114" s="233" t="inlineStr">
        <is>
          <t>35</t>
        </is>
      </c>
      <c r="F3114" s="227" t="inlineStr">
        <is>
          <t>R314</t>
        </is>
      </c>
    </row>
    <row r="3115">
      <c r="A3115" s="227">
        <f>TL[[#This Row],[Société]]&amp;" - "&amp;TL[[#This Row],[Compte]]</f>
        <v/>
      </c>
      <c r="B3115" s="233" t="inlineStr">
        <is>
          <t>62266000</t>
        </is>
      </c>
      <c r="C3115" s="227" t="inlineStr">
        <is>
          <t>Honoraires divers</t>
        </is>
      </c>
      <c r="D3115" s="233" t="inlineStr">
        <is>
          <t>32</t>
        </is>
      </c>
      <c r="E3115" s="233" t="inlineStr">
        <is>
          <t>35</t>
        </is>
      </c>
      <c r="F3115" s="227" t="inlineStr">
        <is>
          <t>R314</t>
        </is>
      </c>
    </row>
    <row r="3116">
      <c r="A3116" s="227">
        <f>TL[[#This Row],[Société]]&amp;" - "&amp;TL[[#This Row],[Compte]]</f>
        <v/>
      </c>
      <c r="B3116" s="233" t="inlineStr">
        <is>
          <t>62267000</t>
        </is>
      </c>
      <c r="C3116" s="227" t="inlineStr">
        <is>
          <t>honoraires lyveat</t>
        </is>
      </c>
      <c r="D3116" s="233" t="inlineStr">
        <is>
          <t>32</t>
        </is>
      </c>
      <c r="E3116" s="233" t="inlineStr">
        <is>
          <t>21</t>
        </is>
      </c>
      <c r="F3116" s="227" t="inlineStr">
        <is>
          <t>R314</t>
        </is>
      </c>
    </row>
    <row r="3117">
      <c r="A3117" s="227">
        <f>TL[[#This Row],[Société]]&amp;" - "&amp;TL[[#This Row],[Compte]]</f>
        <v/>
      </c>
      <c r="B3117" s="233" t="inlineStr">
        <is>
          <t>62268000</t>
        </is>
      </c>
      <c r="C3117" s="227" t="inlineStr">
        <is>
          <t>honoraires uber</t>
        </is>
      </c>
      <c r="D3117" s="233" t="inlineStr">
        <is>
          <t>32</t>
        </is>
      </c>
      <c r="E3117" s="233" t="inlineStr">
        <is>
          <t>21</t>
        </is>
      </c>
      <c r="F3117" s="227" t="inlineStr">
        <is>
          <t>R314</t>
        </is>
      </c>
    </row>
    <row r="3118">
      <c r="A3118" s="227">
        <f>TL[[#This Row],[Société]]&amp;" - "&amp;TL[[#This Row],[Compte]]</f>
        <v/>
      </c>
      <c r="B3118" s="233" t="inlineStr">
        <is>
          <t>62269000</t>
        </is>
      </c>
      <c r="C3118" s="227" t="inlineStr">
        <is>
          <t>hono randstad</t>
        </is>
      </c>
      <c r="D3118" s="233" t="inlineStr">
        <is>
          <t>10</t>
        </is>
      </c>
      <c r="E3118" s="233" t="inlineStr">
        <is>
          <t>35</t>
        </is>
      </c>
      <c r="F3118" s="227" t="inlineStr">
        <is>
          <t>R314</t>
        </is>
      </c>
    </row>
    <row r="3119">
      <c r="A3119" s="227">
        <f>TL[[#This Row],[Société]]&amp;" - "&amp;TL[[#This Row],[Compte]]</f>
        <v/>
      </c>
      <c r="B3119" s="233" t="inlineStr">
        <is>
          <t>62270000</t>
        </is>
      </c>
      <c r="C3119" s="227" t="inlineStr">
        <is>
          <t>Frais acte et contentieux</t>
        </is>
      </c>
      <c r="D3119" s="233" t="inlineStr">
        <is>
          <t>32</t>
        </is>
      </c>
      <c r="E3119" s="233" t="inlineStr">
        <is>
          <t>35</t>
        </is>
      </c>
      <c r="F3119" s="227" t="inlineStr">
        <is>
          <t>R314</t>
        </is>
      </c>
    </row>
    <row r="3120">
      <c r="A3120" s="227">
        <f>TL[[#This Row],[Société]]&amp;" - "&amp;TL[[#This Row],[Compte]]</f>
        <v/>
      </c>
      <c r="B3120" s="233" t="inlineStr">
        <is>
          <t>62300000</t>
        </is>
      </c>
      <c r="C3120" s="227" t="inlineStr">
        <is>
          <t>Publicite gie</t>
        </is>
      </c>
      <c r="D3120" s="233" t="inlineStr">
        <is>
          <t>14</t>
        </is>
      </c>
      <c r="E3120" s="233" t="inlineStr">
        <is>
          <t>22</t>
        </is>
      </c>
      <c r="F3120" s="227" t="inlineStr">
        <is>
          <t>R314</t>
        </is>
      </c>
    </row>
    <row r="3121">
      <c r="A3121" s="227">
        <f>TL[[#This Row],[Société]]&amp;" - "&amp;TL[[#This Row],[Compte]]</f>
        <v/>
      </c>
      <c r="B3121" s="233" t="inlineStr">
        <is>
          <t>62300200</t>
        </is>
      </c>
      <c r="C3121" s="227" t="inlineStr">
        <is>
          <t>Promotion locale</t>
        </is>
      </c>
      <c r="D3121" s="233" t="inlineStr">
        <is>
          <t>15</t>
        </is>
      </c>
      <c r="E3121" s="233" t="inlineStr">
        <is>
          <t>23</t>
        </is>
      </c>
      <c r="F3121" s="227" t="inlineStr">
        <is>
          <t>R314</t>
        </is>
      </c>
    </row>
    <row r="3122">
      <c r="A3122" s="227">
        <f>TL[[#This Row],[Société]]&amp;" - "&amp;TL[[#This Row],[Compte]]</f>
        <v/>
      </c>
      <c r="B3122" s="233" t="inlineStr">
        <is>
          <t>62310000</t>
        </is>
      </c>
      <c r="C3122" s="227" t="inlineStr">
        <is>
          <t>Annonce et insertions</t>
        </is>
      </c>
      <c r="D3122" s="233" t="inlineStr">
        <is>
          <t>15</t>
        </is>
      </c>
      <c r="E3122" s="233" t="inlineStr">
        <is>
          <t>23</t>
        </is>
      </c>
      <c r="F3122" s="227" t="inlineStr">
        <is>
          <t>R314</t>
        </is>
      </c>
    </row>
    <row r="3123">
      <c r="A3123" s="227">
        <f>TL[[#This Row],[Société]]&amp;" - "&amp;TL[[#This Row],[Compte]]</f>
        <v/>
      </c>
      <c r="B3123" s="233" t="inlineStr">
        <is>
          <t>62320000</t>
        </is>
      </c>
      <c r="C3123" s="227" t="inlineStr">
        <is>
          <t>Annonces et insertions</t>
        </is>
      </c>
      <c r="D3123" s="233" t="inlineStr">
        <is>
          <t>15</t>
        </is>
      </c>
      <c r="E3123" s="233" t="inlineStr">
        <is>
          <t>23</t>
        </is>
      </c>
      <c r="F3123" s="227" t="inlineStr">
        <is>
          <t>R314</t>
        </is>
      </c>
    </row>
    <row r="3124">
      <c r="A3124" s="227">
        <f>TL[[#This Row],[Société]]&amp;" - "&amp;TL[[#This Row],[Compte]]</f>
        <v/>
      </c>
      <c r="B3124" s="233" t="inlineStr">
        <is>
          <t>62340000</t>
        </is>
      </c>
      <c r="C3124" s="227" t="inlineStr">
        <is>
          <t>Cadeaux</t>
        </is>
      </c>
      <c r="D3124" s="233" t="inlineStr">
        <is>
          <t>15</t>
        </is>
      </c>
      <c r="E3124" s="233" t="inlineStr">
        <is>
          <t>23</t>
        </is>
      </c>
      <c r="F3124" s="227" t="inlineStr">
        <is>
          <t>R314</t>
        </is>
      </c>
    </row>
    <row r="3125">
      <c r="A3125" s="227">
        <f>TL[[#This Row],[Société]]&amp;" - "&amp;TL[[#This Row],[Compte]]</f>
        <v/>
      </c>
      <c r="B3125" s="233" t="inlineStr">
        <is>
          <t>62340100</t>
        </is>
      </c>
      <c r="C3125" s="227" t="inlineStr">
        <is>
          <t>Promotions</t>
        </is>
      </c>
      <c r="D3125" s="233" t="inlineStr">
        <is>
          <t>15</t>
        </is>
      </c>
      <c r="E3125" s="233" t="inlineStr">
        <is>
          <t>23</t>
        </is>
      </c>
      <c r="F3125" s="227" t="inlineStr">
        <is>
          <t>R314</t>
        </is>
      </c>
    </row>
    <row r="3126">
      <c r="A3126" s="227">
        <f>TL[[#This Row],[Société]]&amp;" - "&amp;TL[[#This Row],[Compte]]</f>
        <v/>
      </c>
      <c r="B3126" s="233" t="inlineStr">
        <is>
          <t>62341500</t>
        </is>
      </c>
      <c r="C3126" s="227" t="inlineStr">
        <is>
          <t>Premium</t>
        </is>
      </c>
      <c r="D3126" s="233" t="inlineStr">
        <is>
          <t>15</t>
        </is>
      </c>
      <c r="E3126" s="233" t="inlineStr">
        <is>
          <t>23</t>
        </is>
      </c>
      <c r="F3126" s="227" t="inlineStr">
        <is>
          <t>R314</t>
        </is>
      </c>
    </row>
    <row r="3127">
      <c r="A3127" s="227">
        <f>TL[[#This Row],[Société]]&amp;" - "&amp;TL[[#This Row],[Compte]]</f>
        <v/>
      </c>
      <c r="B3127" s="233" t="inlineStr">
        <is>
          <t>62380000</t>
        </is>
      </c>
      <c r="C3127" s="227" t="inlineStr">
        <is>
          <t>Dons et pouboires</t>
        </is>
      </c>
      <c r="D3127" s="233" t="inlineStr">
        <is>
          <t>15</t>
        </is>
      </c>
      <c r="E3127" s="233" t="inlineStr">
        <is>
          <t>23</t>
        </is>
      </c>
      <c r="F3127" s="227" t="inlineStr">
        <is>
          <t>R314</t>
        </is>
      </c>
    </row>
    <row r="3128">
      <c r="A3128" s="227">
        <f>TL[[#This Row],[Société]]&amp;" - "&amp;TL[[#This Row],[Compte]]</f>
        <v/>
      </c>
      <c r="B3128" s="233" t="inlineStr">
        <is>
          <t>62410000</t>
        </is>
      </c>
      <c r="C3128" s="227" t="inlineStr">
        <is>
          <t>Transports sur achats</t>
        </is>
      </c>
      <c r="D3128" s="233" t="inlineStr">
        <is>
          <t>06</t>
        </is>
      </c>
      <c r="E3128" s="233" t="inlineStr">
        <is>
          <t>03</t>
        </is>
      </c>
      <c r="F3128" s="227" t="inlineStr">
        <is>
          <t>R314</t>
        </is>
      </c>
    </row>
    <row r="3129">
      <c r="A3129" s="227">
        <f>TL[[#This Row],[Société]]&amp;" - "&amp;TL[[#This Row],[Compte]]</f>
        <v/>
      </c>
      <c r="B3129" s="233" t="inlineStr">
        <is>
          <t>62510000</t>
        </is>
      </c>
      <c r="C3129" s="227" t="inlineStr">
        <is>
          <t>Frais de déplacements</t>
        </is>
      </c>
      <c r="D3129" s="239" t="inlineStr">
        <is>
          <t>13</t>
        </is>
      </c>
      <c r="E3129" s="233" t="inlineStr">
        <is>
          <t>27</t>
        </is>
      </c>
      <c r="F3129" s="227" t="inlineStr">
        <is>
          <t>R314</t>
        </is>
      </c>
    </row>
    <row r="3130">
      <c r="A3130" s="227">
        <f>TL[[#This Row],[Société]]&amp;" - "&amp;TL[[#This Row],[Compte]]</f>
        <v/>
      </c>
      <c r="B3130" s="233" t="inlineStr">
        <is>
          <t>62510200</t>
        </is>
      </c>
      <c r="C3130" s="227" t="inlineStr">
        <is>
          <t>Voyage et dep mgr</t>
        </is>
      </c>
      <c r="D3130" s="233" t="inlineStr">
        <is>
          <t>13</t>
        </is>
      </c>
      <c r="E3130" s="233" t="inlineStr">
        <is>
          <t>26</t>
        </is>
      </c>
      <c r="F3130" s="227" t="inlineStr">
        <is>
          <t>R314</t>
        </is>
      </c>
    </row>
    <row r="3131">
      <c r="A3131" s="227">
        <f>TL[[#This Row],[Société]]&amp;" - "&amp;TL[[#This Row],[Compte]]</f>
        <v/>
      </c>
      <c r="B3131" s="233" t="inlineStr">
        <is>
          <t>62510300</t>
        </is>
      </c>
      <c r="C3131" s="227" t="inlineStr">
        <is>
          <t>Voyage et dep direct°</t>
        </is>
      </c>
      <c r="D3131" s="233" t="inlineStr">
        <is>
          <t>52</t>
        </is>
      </c>
      <c r="E3131" s="233" t="inlineStr">
        <is>
          <t>46</t>
        </is>
      </c>
      <c r="F3131" s="227" t="inlineStr">
        <is>
          <t>R314</t>
        </is>
      </c>
    </row>
    <row r="3132">
      <c r="A3132" s="227">
        <f>TL[[#This Row],[Société]]&amp;" - "&amp;TL[[#This Row],[Compte]]</f>
        <v/>
      </c>
      <c r="B3132" s="233" t="inlineStr">
        <is>
          <t>62510400</t>
        </is>
      </c>
      <c r="C3132" s="227" t="inlineStr">
        <is>
          <t>Frais recept° direct°</t>
        </is>
      </c>
      <c r="D3132" s="233" t="inlineStr">
        <is>
          <t>51</t>
        </is>
      </c>
      <c r="E3132" s="233" t="inlineStr">
        <is>
          <t>46</t>
        </is>
      </c>
      <c r="F3132" s="227" t="inlineStr">
        <is>
          <t>R314</t>
        </is>
      </c>
    </row>
    <row r="3133">
      <c r="A3133" s="227">
        <f>TL[[#This Row],[Société]]&amp;" - "&amp;TL[[#This Row],[Compte]]</f>
        <v/>
      </c>
      <c r="B3133" s="233" t="inlineStr">
        <is>
          <t>62520100</t>
        </is>
      </c>
      <c r="C3133" s="227" t="inlineStr">
        <is>
          <t>Frais déplacement équipiers</t>
        </is>
      </c>
      <c r="D3133" s="233" t="inlineStr">
        <is>
          <t>13</t>
        </is>
      </c>
      <c r="E3133" s="233" t="inlineStr">
        <is>
          <t>26</t>
        </is>
      </c>
      <c r="F3133" s="227" t="inlineStr">
        <is>
          <t>R314</t>
        </is>
      </c>
    </row>
    <row r="3134">
      <c r="A3134" s="227">
        <f>TL[[#This Row],[Société]]&amp;" - "&amp;TL[[#This Row],[Compte]]</f>
        <v/>
      </c>
      <c r="B3134" s="233" t="inlineStr">
        <is>
          <t>62520400</t>
        </is>
      </c>
      <c r="C3134" s="227" t="inlineStr">
        <is>
          <t>Frais de deplacement mgrs</t>
        </is>
      </c>
      <c r="D3134" s="233" t="inlineStr">
        <is>
          <t>13</t>
        </is>
      </c>
      <c r="E3134" s="233" t="inlineStr">
        <is>
          <t>26</t>
        </is>
      </c>
      <c r="F3134" s="227" t="inlineStr">
        <is>
          <t>R314</t>
        </is>
      </c>
    </row>
    <row r="3135">
      <c r="A3135" s="227">
        <f>TL[[#This Row],[Société]]&amp;" - "&amp;TL[[#This Row],[Compte]]</f>
        <v/>
      </c>
      <c r="B3135" s="233" t="inlineStr">
        <is>
          <t>62521100</t>
        </is>
      </c>
      <c r="C3135" s="227" t="inlineStr">
        <is>
          <t>Frais deplacemts equipiers L39</t>
        </is>
      </c>
      <c r="D3135" s="233" t="inlineStr">
        <is>
          <t>39</t>
        </is>
      </c>
      <c r="E3135" s="233" t="inlineStr">
        <is>
          <t>26</t>
        </is>
      </c>
      <c r="F3135" s="227" t="inlineStr">
        <is>
          <t>R314</t>
        </is>
      </c>
    </row>
    <row r="3136">
      <c r="A3136" s="227">
        <f>TL[[#This Row],[Société]]&amp;" - "&amp;TL[[#This Row],[Compte]]</f>
        <v/>
      </c>
      <c r="B3136" s="233" t="inlineStr">
        <is>
          <t>62570100</t>
        </is>
      </c>
      <c r="C3136" s="227" t="inlineStr">
        <is>
          <t>Recept° equipiers et mgr</t>
        </is>
      </c>
      <c r="D3136" s="233" t="inlineStr">
        <is>
          <t>23</t>
        </is>
      </c>
      <c r="E3136" s="233" t="inlineStr">
        <is>
          <t>27</t>
        </is>
      </c>
      <c r="F3136" s="227" t="inlineStr">
        <is>
          <t>R314</t>
        </is>
      </c>
    </row>
    <row r="3137">
      <c r="A3137" s="227">
        <f>TL[[#This Row],[Société]]&amp;" - "&amp;TL[[#This Row],[Compte]]</f>
        <v/>
      </c>
      <c r="B3137" s="233" t="inlineStr">
        <is>
          <t>62600100</t>
        </is>
      </c>
      <c r="C3137" s="227" t="inlineStr">
        <is>
          <t>Ptt restaurant npu</t>
        </is>
      </c>
      <c r="D3137" s="233" t="inlineStr">
        <is>
          <t>20</t>
        </is>
      </c>
      <c r="E3137" s="233" t="inlineStr">
        <is>
          <t>24</t>
        </is>
      </c>
      <c r="F3137" s="227" t="inlineStr">
        <is>
          <t>R314</t>
        </is>
      </c>
    </row>
    <row r="3138">
      <c r="A3138" s="227">
        <f>TL[[#This Row],[Société]]&amp;" - "&amp;TL[[#This Row],[Compte]]</f>
        <v/>
      </c>
      <c r="B3138" s="233" t="inlineStr">
        <is>
          <t>62600200</t>
        </is>
      </c>
      <c r="C3138" s="227" t="inlineStr">
        <is>
          <t>Ptt bureau npu</t>
        </is>
      </c>
      <c r="D3138" s="233" t="inlineStr">
        <is>
          <t>51</t>
        </is>
      </c>
      <c r="E3138" s="233" t="inlineStr">
        <is>
          <t>46</t>
        </is>
      </c>
      <c r="F3138" s="227" t="inlineStr">
        <is>
          <t>R314</t>
        </is>
      </c>
    </row>
    <row r="3139">
      <c r="A3139" s="227">
        <f>TL[[#This Row],[Société]]&amp;" - "&amp;TL[[#This Row],[Compte]]</f>
        <v/>
      </c>
      <c r="B3139" s="233" t="inlineStr">
        <is>
          <t>62600300</t>
        </is>
      </c>
      <c r="C3139" s="227" t="inlineStr">
        <is>
          <t>Telephone rest</t>
        </is>
      </c>
      <c r="D3139" s="233" t="inlineStr">
        <is>
          <t>20</t>
        </is>
      </c>
      <c r="E3139" s="233" t="inlineStr">
        <is>
          <t>24</t>
        </is>
      </c>
      <c r="F3139" s="227" t="inlineStr">
        <is>
          <t>R314</t>
        </is>
      </c>
    </row>
    <row r="3140">
      <c r="A3140" s="227">
        <f>TL[[#This Row],[Société]]&amp;" - "&amp;TL[[#This Row],[Compte]]</f>
        <v/>
      </c>
      <c r="B3140" s="233" t="inlineStr">
        <is>
          <t>62600400</t>
        </is>
      </c>
      <c r="C3140" s="227" t="inlineStr">
        <is>
          <t>Télécom/27.01/du 02.31.98.34.94</t>
        </is>
      </c>
      <c r="F3140" s="227" t="inlineStr">
        <is>
          <t>R314</t>
        </is>
      </c>
    </row>
    <row r="3141">
      <c r="A3141" s="227">
        <f>TL[[#This Row],[Société]]&amp;" - "&amp;TL[[#This Row],[Compte]]</f>
        <v/>
      </c>
      <c r="B3141" s="233" t="inlineStr">
        <is>
          <t>62610000</t>
        </is>
      </c>
      <c r="C3141" s="227" t="inlineStr">
        <is>
          <t>Frais postaux</t>
        </is>
      </c>
      <c r="D3141" s="233" t="inlineStr">
        <is>
          <t>20</t>
        </is>
      </c>
      <c r="E3141" s="233" t="inlineStr">
        <is>
          <t>24</t>
        </is>
      </c>
      <c r="F3141" s="227" t="inlineStr">
        <is>
          <t>R314</t>
        </is>
      </c>
    </row>
    <row r="3142">
      <c r="A3142" s="227">
        <f>TL[[#This Row],[Société]]&amp;" - "&amp;TL[[#This Row],[Compte]]</f>
        <v/>
      </c>
      <c r="B3142" s="233" t="inlineStr">
        <is>
          <t>62611000</t>
        </is>
      </c>
      <c r="C3142" s="227" t="inlineStr">
        <is>
          <t>Frais postaux bureaux npu</t>
        </is>
      </c>
      <c r="D3142" s="233" t="inlineStr">
        <is>
          <t>99</t>
        </is>
      </c>
      <c r="E3142" s="233" t="inlineStr">
        <is>
          <t>24</t>
        </is>
      </c>
      <c r="F3142" s="227" t="inlineStr">
        <is>
          <t>R314</t>
        </is>
      </c>
    </row>
    <row r="3143">
      <c r="A3143" s="227">
        <f>TL[[#This Row],[Société]]&amp;" - "&amp;TL[[#This Row],[Compte]]</f>
        <v/>
      </c>
      <c r="B3143" s="233" t="inlineStr">
        <is>
          <t>62620000</t>
        </is>
      </c>
      <c r="C3143" s="227" t="inlineStr">
        <is>
          <t>Telephone</t>
        </is>
      </c>
      <c r="D3143" s="233" t="inlineStr">
        <is>
          <t>20</t>
        </is>
      </c>
      <c r="E3143" s="233" t="inlineStr">
        <is>
          <t>24</t>
        </is>
      </c>
      <c r="F3143" s="227" t="inlineStr">
        <is>
          <t>R314</t>
        </is>
      </c>
    </row>
    <row r="3144">
      <c r="A3144" s="227">
        <f>TL[[#This Row],[Société]]&amp;" - "&amp;TL[[#This Row],[Compte]]</f>
        <v/>
      </c>
      <c r="B3144" s="233" t="inlineStr">
        <is>
          <t>62700100</t>
        </is>
      </c>
      <c r="C3144" s="227" t="inlineStr">
        <is>
          <t>Comm.bancaire npu</t>
        </is>
      </c>
      <c r="D3144" s="233" t="inlineStr">
        <is>
          <t>37</t>
        </is>
      </c>
      <c r="E3144" s="233" t="inlineStr">
        <is>
          <t>17</t>
        </is>
      </c>
      <c r="F3144" s="227" t="inlineStr">
        <is>
          <t>R314</t>
        </is>
      </c>
    </row>
    <row r="3145">
      <c r="A3145" s="227">
        <f>TL[[#This Row],[Société]]&amp;" - "&amp;TL[[#This Row],[Compte]]</f>
        <v/>
      </c>
      <c r="B3145" s="233" t="inlineStr">
        <is>
          <t>62700200</t>
        </is>
      </c>
      <c r="C3145" s="227" t="inlineStr">
        <is>
          <t>Comm. cb npu</t>
        </is>
      </c>
      <c r="D3145" s="233" t="inlineStr">
        <is>
          <t>37</t>
        </is>
      </c>
      <c r="E3145" s="233" t="inlineStr">
        <is>
          <t>17</t>
        </is>
      </c>
      <c r="F3145" s="227" t="inlineStr">
        <is>
          <t>R314</t>
        </is>
      </c>
    </row>
    <row r="3146">
      <c r="A3146" s="227">
        <f>TL[[#This Row],[Société]]&amp;" - "&amp;TL[[#This Row],[Compte]]</f>
        <v/>
      </c>
      <c r="B3146" s="233" t="inlineStr">
        <is>
          <t>62700300</t>
        </is>
      </c>
      <c r="C3146" s="227" t="inlineStr">
        <is>
          <t>Comm.tr npu</t>
        </is>
      </c>
      <c r="D3146" s="233" t="inlineStr">
        <is>
          <t>37</t>
        </is>
      </c>
      <c r="E3146" s="233" t="inlineStr">
        <is>
          <t>17</t>
        </is>
      </c>
      <c r="F3146" s="227" t="inlineStr">
        <is>
          <t>R314</t>
        </is>
      </c>
    </row>
    <row r="3147">
      <c r="A3147" s="227">
        <f>TL[[#This Row],[Société]]&amp;" - "&amp;TL[[#This Row],[Compte]]</f>
        <v/>
      </c>
      <c r="B3147" s="233" t="inlineStr">
        <is>
          <t>62700500</t>
        </is>
      </c>
      <c r="C3147" s="227" t="inlineStr">
        <is>
          <t>Comm.cv npu</t>
        </is>
      </c>
      <c r="D3147" s="233" t="inlineStr">
        <is>
          <t>37</t>
        </is>
      </c>
      <c r="E3147" s="233" t="inlineStr">
        <is>
          <t>17</t>
        </is>
      </c>
      <c r="F3147" s="227" t="inlineStr">
        <is>
          <t>R314</t>
        </is>
      </c>
    </row>
    <row r="3148">
      <c r="A3148" s="227">
        <f>TL[[#This Row],[Société]]&amp;" - "&amp;TL[[#This Row],[Compte]]</f>
        <v/>
      </c>
      <c r="B3148" s="233" t="inlineStr">
        <is>
          <t>62700600</t>
        </is>
      </c>
      <c r="C3148" s="227" t="inlineStr">
        <is>
          <t>Serv financiers npu</t>
        </is>
      </c>
      <c r="D3148" s="233" t="inlineStr">
        <is>
          <t>37</t>
        </is>
      </c>
      <c r="E3148" s="233" t="inlineStr">
        <is>
          <t>17</t>
        </is>
      </c>
      <c r="F3148" s="227" t="inlineStr">
        <is>
          <t>R314</t>
        </is>
      </c>
    </row>
    <row r="3149">
      <c r="A3149" s="227">
        <f>TL[[#This Row],[Société]]&amp;" - "&amp;TL[[#This Row],[Compte]]</f>
        <v/>
      </c>
      <c r="B3149" s="233" t="inlineStr">
        <is>
          <t>62700700</t>
        </is>
      </c>
      <c r="C3149" s="227" t="inlineStr">
        <is>
          <t>Frais paypal npu</t>
        </is>
      </c>
      <c r="D3149" s="233" t="inlineStr">
        <is>
          <t>37</t>
        </is>
      </c>
      <c r="E3149" s="233" t="inlineStr">
        <is>
          <t>17</t>
        </is>
      </c>
      <c r="F3149" s="227" t="inlineStr">
        <is>
          <t>R314</t>
        </is>
      </c>
    </row>
    <row r="3150">
      <c r="A3150" s="227">
        <f>TL[[#This Row],[Société]]&amp;" - "&amp;TL[[#This Row],[Compte]]</f>
        <v/>
      </c>
      <c r="B3150" s="233" t="inlineStr">
        <is>
          <t>62720000</t>
        </is>
      </c>
      <c r="C3150" s="227" t="inlineStr">
        <is>
          <t>Commissions sur emprunts</t>
        </is>
      </c>
      <c r="D3150" s="233" t="inlineStr">
        <is>
          <t>37</t>
        </is>
      </c>
      <c r="E3150" s="233" t="inlineStr">
        <is>
          <t>17</t>
        </is>
      </c>
      <c r="F3150" s="227" t="inlineStr">
        <is>
          <t>R314</t>
        </is>
      </c>
    </row>
    <row r="3151">
      <c r="A3151" s="227">
        <f>TL[[#This Row],[Société]]&amp;" - "&amp;TL[[#This Row],[Compte]]</f>
        <v/>
      </c>
      <c r="B3151" s="233" t="inlineStr">
        <is>
          <t>62780100</t>
        </is>
      </c>
      <c r="C3151" s="227" t="inlineStr">
        <is>
          <t>Commissions bancaires</t>
        </is>
      </c>
      <c r="D3151" s="233" t="inlineStr">
        <is>
          <t>37</t>
        </is>
      </c>
      <c r="E3151" s="233" t="inlineStr">
        <is>
          <t>17</t>
        </is>
      </c>
      <c r="F3151" s="227" t="inlineStr">
        <is>
          <t>R314</t>
        </is>
      </c>
    </row>
    <row r="3152">
      <c r="A3152" s="227">
        <f>TL[[#This Row],[Société]]&amp;" - "&amp;TL[[#This Row],[Compte]]</f>
        <v/>
      </c>
      <c r="B3152" s="233" t="inlineStr">
        <is>
          <t>62780200</t>
        </is>
      </c>
      <c r="C3152" s="227" t="inlineStr">
        <is>
          <t>COMMISSIONS CB</t>
        </is>
      </c>
      <c r="D3152" s="233" t="inlineStr">
        <is>
          <t>37</t>
        </is>
      </c>
      <c r="E3152" s="233" t="inlineStr">
        <is>
          <t>17</t>
        </is>
      </c>
      <c r="F3152" s="227" t="inlineStr">
        <is>
          <t>R314</t>
        </is>
      </c>
    </row>
    <row r="3153">
      <c r="A3153" s="227">
        <f>TL[[#This Row],[Société]]&amp;" - "&amp;TL[[#This Row],[Compte]]</f>
        <v/>
      </c>
      <c r="B3153" s="233" t="inlineStr">
        <is>
          <t>62780300</t>
        </is>
      </c>
      <c r="C3153" s="227" t="inlineStr">
        <is>
          <t>COMMISSIONS TR</t>
        </is>
      </c>
      <c r="D3153" s="233" t="inlineStr">
        <is>
          <t>37</t>
        </is>
      </c>
      <c r="E3153" s="233" t="inlineStr">
        <is>
          <t>17</t>
        </is>
      </c>
      <c r="F3153" s="227" t="inlineStr">
        <is>
          <t>R314</t>
        </is>
      </c>
    </row>
    <row r="3154">
      <c r="A3154" s="227">
        <f>TL[[#This Row],[Société]]&amp;" - "&amp;TL[[#This Row],[Compte]]</f>
        <v/>
      </c>
      <c r="B3154" s="233" t="inlineStr">
        <is>
          <t>62780500</t>
        </is>
      </c>
      <c r="C3154" s="227" t="inlineStr">
        <is>
          <t>COMMISSIONS CV</t>
        </is>
      </c>
      <c r="D3154" s="233" t="inlineStr">
        <is>
          <t>37</t>
        </is>
      </c>
      <c r="E3154" s="233" t="inlineStr">
        <is>
          <t>17</t>
        </is>
      </c>
      <c r="F3154" s="227" t="inlineStr">
        <is>
          <t>R314</t>
        </is>
      </c>
    </row>
    <row r="3155">
      <c r="A3155" s="227">
        <f>TL[[#This Row],[Société]]&amp;" - "&amp;TL[[#This Row],[Compte]]</f>
        <v/>
      </c>
      <c r="B3155" s="233" t="inlineStr">
        <is>
          <t>62780600</t>
        </is>
      </c>
      <c r="C3155" s="227" t="inlineStr">
        <is>
          <t>Services financiers</t>
        </is>
      </c>
      <c r="D3155" s="233" t="inlineStr">
        <is>
          <t>37</t>
        </is>
      </c>
      <c r="E3155" s="233" t="inlineStr">
        <is>
          <t>17</t>
        </is>
      </c>
      <c r="F3155" s="227" t="inlineStr">
        <is>
          <t>R314</t>
        </is>
      </c>
    </row>
    <row r="3156">
      <c r="A3156" s="227">
        <f>TL[[#This Row],[Société]]&amp;" - "&amp;TL[[#This Row],[Compte]]</f>
        <v/>
      </c>
      <c r="B3156" s="233" t="inlineStr">
        <is>
          <t>62780700</t>
        </is>
      </c>
      <c r="C3156" s="227" t="inlineStr">
        <is>
          <t>Commissions paypal</t>
        </is>
      </c>
      <c r="D3156" s="233" t="inlineStr">
        <is>
          <t>37</t>
        </is>
      </c>
      <c r="E3156" s="233" t="inlineStr">
        <is>
          <t>17</t>
        </is>
      </c>
      <c r="F3156" s="227" t="inlineStr">
        <is>
          <t>R314</t>
        </is>
      </c>
    </row>
    <row r="3157">
      <c r="A3157" s="227">
        <f>TL[[#This Row],[Société]]&amp;" - "&amp;TL[[#This Row],[Compte]]</f>
        <v/>
      </c>
      <c r="B3157" s="233" t="inlineStr">
        <is>
          <t>62802300</t>
        </is>
      </c>
      <c r="C3157" s="227" t="inlineStr">
        <is>
          <t>DIVERS</t>
        </is>
      </c>
      <c r="D3157" s="233" t="inlineStr">
        <is>
          <t>23</t>
        </is>
      </c>
      <c r="E3157" s="233" t="inlineStr">
        <is>
          <t>27</t>
        </is>
      </c>
      <c r="F3157" s="227" t="inlineStr">
        <is>
          <t>R314</t>
        </is>
      </c>
    </row>
    <row r="3158">
      <c r="A3158" s="227">
        <f>TL[[#This Row],[Société]]&amp;" - "&amp;TL[[#This Row],[Compte]]</f>
        <v/>
      </c>
      <c r="B3158" s="233" t="inlineStr">
        <is>
          <t>62820000</t>
        </is>
      </c>
      <c r="C3158" s="227" t="inlineStr">
        <is>
          <t>Cotisations</t>
        </is>
      </c>
      <c r="D3158" s="233" t="inlineStr">
        <is>
          <t>23</t>
        </is>
      </c>
      <c r="E3158" s="233" t="inlineStr">
        <is>
          <t>27</t>
        </is>
      </c>
      <c r="F3158" s="227" t="inlineStr">
        <is>
          <t>R314</t>
        </is>
      </c>
    </row>
    <row r="3159">
      <c r="A3159" s="227">
        <f>TL[[#This Row],[Société]]&amp;" - "&amp;TL[[#This Row],[Compte]]</f>
        <v/>
      </c>
      <c r="B3159" s="233" t="inlineStr">
        <is>
          <t>62830000</t>
        </is>
      </c>
      <c r="C3159" s="227" t="inlineStr">
        <is>
          <t>Gie gth 14</t>
        </is>
      </c>
      <c r="D3159" s="233" t="inlineStr">
        <is>
          <t>51</t>
        </is>
      </c>
      <c r="E3159" s="233" t="inlineStr">
        <is>
          <t>46</t>
        </is>
      </c>
      <c r="F3159" s="227" t="inlineStr">
        <is>
          <t>R314</t>
        </is>
      </c>
    </row>
    <row r="3160">
      <c r="A3160" s="227">
        <f>TL[[#This Row],[Société]]&amp;" - "&amp;TL[[#This Row],[Compte]]</f>
        <v/>
      </c>
      <c r="B3160" s="233" t="inlineStr">
        <is>
          <t>62840000</t>
        </is>
      </c>
      <c r="C3160" s="227" t="inlineStr">
        <is>
          <t>Formations extérieures</t>
        </is>
      </c>
      <c r="D3160" s="233" t="inlineStr">
        <is>
          <t>34</t>
        </is>
      </c>
      <c r="E3160" s="233" t="inlineStr">
        <is>
          <t>19</t>
        </is>
      </c>
      <c r="F3160" s="227" t="inlineStr">
        <is>
          <t>R314</t>
        </is>
      </c>
    </row>
    <row r="3161">
      <c r="A3161" s="227">
        <f>TL[[#This Row],[Société]]&amp;" - "&amp;TL[[#This Row],[Compte]]</f>
        <v/>
      </c>
      <c r="B3161" s="233" t="inlineStr">
        <is>
          <t>62850000</t>
        </is>
      </c>
      <c r="C3161" s="227" t="inlineStr">
        <is>
          <t>Redevances Mungu</t>
        </is>
      </c>
      <c r="D3161" s="233" t="inlineStr">
        <is>
          <t>51</t>
        </is>
      </c>
      <c r="E3161" s="233" t="inlineStr">
        <is>
          <t>46</t>
        </is>
      </c>
      <c r="F3161" s="227" t="inlineStr">
        <is>
          <t>R314</t>
        </is>
      </c>
    </row>
    <row r="3162">
      <c r="A3162" s="227">
        <f>TL[[#This Row],[Société]]&amp;" - "&amp;TL[[#This Row],[Compte]]</f>
        <v/>
      </c>
      <c r="B3162" s="233" t="inlineStr">
        <is>
          <t>63300000</t>
        </is>
      </c>
      <c r="C3162" s="227" t="inlineStr">
        <is>
          <t>Taxe 1 % publicite</t>
        </is>
      </c>
      <c r="D3162" s="233" t="inlineStr">
        <is>
          <t>34</t>
        </is>
      </c>
      <c r="E3162" s="233" t="inlineStr">
        <is>
          <t>37</t>
        </is>
      </c>
      <c r="F3162" s="227" t="inlineStr">
        <is>
          <t>R314</t>
        </is>
      </c>
    </row>
    <row r="3163">
      <c r="A3163" s="227">
        <f>TL[[#This Row],[Société]]&amp;" - "&amp;TL[[#This Row],[Compte]]</f>
        <v/>
      </c>
      <c r="B3163" s="233" t="inlineStr">
        <is>
          <t>63330000</t>
        </is>
      </c>
      <c r="C3163" s="227" t="inlineStr">
        <is>
          <t>Format° pro</t>
        </is>
      </c>
      <c r="D3163" s="233" t="inlineStr">
        <is>
          <t>34</t>
        </is>
      </c>
      <c r="E3163" s="233" t="inlineStr">
        <is>
          <t>37</t>
        </is>
      </c>
      <c r="F3163" s="227" t="inlineStr">
        <is>
          <t>R314</t>
        </is>
      </c>
    </row>
    <row r="3164">
      <c r="A3164" s="227">
        <f>TL[[#This Row],[Société]]&amp;" - "&amp;TL[[#This Row],[Compte]]</f>
        <v/>
      </c>
      <c r="B3164" s="233" t="inlineStr">
        <is>
          <t>63340000</t>
        </is>
      </c>
      <c r="C3164" s="227" t="inlineStr">
        <is>
          <t>Effort construct°</t>
        </is>
      </c>
      <c r="D3164" s="233" t="inlineStr">
        <is>
          <t>34</t>
        </is>
      </c>
      <c r="E3164" s="233" t="inlineStr">
        <is>
          <t>37</t>
        </is>
      </c>
      <c r="F3164" s="227" t="inlineStr">
        <is>
          <t>R314</t>
        </is>
      </c>
    </row>
    <row r="3165">
      <c r="A3165" s="227">
        <f>TL[[#This Row],[Société]]&amp;" - "&amp;TL[[#This Row],[Compte]]</f>
        <v/>
      </c>
      <c r="B3165" s="233" t="inlineStr">
        <is>
          <t>63350000</t>
        </is>
      </c>
      <c r="C3165" s="227" t="inlineStr">
        <is>
          <t>Taxe apprentissage</t>
        </is>
      </c>
      <c r="D3165" s="233" t="inlineStr">
        <is>
          <t>34</t>
        </is>
      </c>
      <c r="E3165" s="233" t="inlineStr">
        <is>
          <t>37</t>
        </is>
      </c>
      <c r="F3165" s="227" t="inlineStr">
        <is>
          <t>R314</t>
        </is>
      </c>
    </row>
    <row r="3166">
      <c r="A3166" s="227">
        <f>TL[[#This Row],[Société]]&amp;" - "&amp;TL[[#This Row],[Compte]]</f>
        <v/>
      </c>
      <c r="B3166" s="233" t="inlineStr">
        <is>
          <t>63511000</t>
        </is>
      </c>
      <c r="C3166" s="227" t="inlineStr">
        <is>
          <t>Taxe professionnelle</t>
        </is>
      </c>
      <c r="D3166" s="233" t="inlineStr">
        <is>
          <t>34</t>
        </is>
      </c>
      <c r="E3166" s="233" t="inlineStr">
        <is>
          <t>37</t>
        </is>
      </c>
      <c r="F3166" s="227" t="inlineStr">
        <is>
          <t>R314</t>
        </is>
      </c>
    </row>
    <row r="3167">
      <c r="A3167" s="227">
        <f>TL[[#This Row],[Société]]&amp;" - "&amp;TL[[#This Row],[Compte]]</f>
        <v/>
      </c>
      <c r="B3167" s="233" t="inlineStr">
        <is>
          <t>63511100</t>
        </is>
      </c>
      <c r="C3167" s="227" t="inlineStr">
        <is>
          <t>Contribution foncière entreprises</t>
        </is>
      </c>
      <c r="D3167" s="233" t="inlineStr">
        <is>
          <t>34</t>
        </is>
      </c>
      <c r="E3167" s="233" t="inlineStr">
        <is>
          <t>37</t>
        </is>
      </c>
      <c r="F3167" s="227" t="inlineStr">
        <is>
          <t>R314</t>
        </is>
      </c>
    </row>
    <row r="3168">
      <c r="A3168" s="227">
        <f>TL[[#This Row],[Société]]&amp;" - "&amp;TL[[#This Row],[Compte]]</f>
        <v/>
      </c>
      <c r="B3168" s="233" t="inlineStr">
        <is>
          <t>63511200</t>
        </is>
      </c>
      <c r="C3168" s="227" t="inlineStr">
        <is>
          <t>Contrib. valeur ajoutée entreprises</t>
        </is>
      </c>
      <c r="D3168" s="233" t="inlineStr">
        <is>
          <t>34</t>
        </is>
      </c>
      <c r="E3168" s="233" t="inlineStr">
        <is>
          <t>37</t>
        </is>
      </c>
      <c r="F3168" s="227" t="inlineStr">
        <is>
          <t>R314</t>
        </is>
      </c>
    </row>
    <row r="3169">
      <c r="A3169" s="227">
        <f>TL[[#This Row],[Société]]&amp;" - "&amp;TL[[#This Row],[Compte]]</f>
        <v/>
      </c>
      <c r="B3169" s="233" t="inlineStr">
        <is>
          <t>63512000</t>
        </is>
      </c>
      <c r="C3169" s="227" t="inlineStr">
        <is>
          <t>Taxes foncieres</t>
        </is>
      </c>
      <c r="D3169" s="233" t="inlineStr">
        <is>
          <t>34</t>
        </is>
      </c>
      <c r="E3169" s="233" t="inlineStr">
        <is>
          <t>37</t>
        </is>
      </c>
      <c r="F3169" s="227" t="inlineStr">
        <is>
          <t>R314</t>
        </is>
      </c>
    </row>
    <row r="3170">
      <c r="A3170" s="227">
        <f>TL[[#This Row],[Société]]&amp;" - "&amp;TL[[#This Row],[Compte]]</f>
        <v/>
      </c>
      <c r="B3170" s="233" t="inlineStr">
        <is>
          <t>63513000</t>
        </is>
      </c>
      <c r="C3170" s="227" t="inlineStr">
        <is>
          <t>Contrib fonciere entreprises</t>
        </is>
      </c>
      <c r="D3170" s="233" t="inlineStr">
        <is>
          <t>34</t>
        </is>
      </c>
      <c r="E3170" s="233" t="inlineStr">
        <is>
          <t>37</t>
        </is>
      </c>
      <c r="F3170" s="227" t="inlineStr">
        <is>
          <t>R314</t>
        </is>
      </c>
    </row>
    <row r="3171">
      <c r="A3171" s="227">
        <f>TL[[#This Row],[Société]]&amp;" - "&amp;TL[[#This Row],[Compte]]</f>
        <v/>
      </c>
      <c r="B3171" s="233" t="inlineStr">
        <is>
          <t>63514000</t>
        </is>
      </c>
      <c r="C3171" s="227" t="inlineStr">
        <is>
          <t>Taxes sur les véhic.soc.</t>
        </is>
      </c>
      <c r="D3171" s="233" t="inlineStr">
        <is>
          <t>34</t>
        </is>
      </c>
      <c r="E3171" s="233" t="inlineStr">
        <is>
          <t>40</t>
        </is>
      </c>
      <c r="F3171" s="227" t="inlineStr">
        <is>
          <t>R314</t>
        </is>
      </c>
    </row>
    <row r="3172">
      <c r="A3172" s="227">
        <f>TL[[#This Row],[Société]]&amp;" - "&amp;TL[[#This Row],[Compte]]</f>
        <v/>
      </c>
      <c r="B3172" s="233" t="inlineStr">
        <is>
          <t>63543000</t>
        </is>
      </c>
      <c r="C3172" s="227" t="inlineStr">
        <is>
          <t>Carte grise</t>
        </is>
      </c>
      <c r="D3172" s="233" t="inlineStr">
        <is>
          <t>34</t>
        </is>
      </c>
      <c r="E3172" s="233" t="inlineStr">
        <is>
          <t>37</t>
        </is>
      </c>
      <c r="F3172" s="227" t="inlineStr">
        <is>
          <t>R314</t>
        </is>
      </c>
    </row>
    <row r="3173">
      <c r="A3173" s="227">
        <f>TL[[#This Row],[Société]]&amp;" - "&amp;TL[[#This Row],[Compte]]</f>
        <v/>
      </c>
      <c r="B3173" s="233" t="inlineStr">
        <is>
          <t>63544000</t>
        </is>
      </c>
      <c r="C3173" s="227" t="inlineStr">
        <is>
          <t>Droits d'enregistrem.et timbres</t>
        </is>
      </c>
      <c r="D3173" s="233" t="inlineStr">
        <is>
          <t>34</t>
        </is>
      </c>
      <c r="E3173" s="233" t="inlineStr">
        <is>
          <t>37</t>
        </is>
      </c>
      <c r="F3173" s="227" t="inlineStr">
        <is>
          <t>R314</t>
        </is>
      </c>
    </row>
    <row r="3174">
      <c r="A3174" s="227">
        <f>TL[[#This Row],[Société]]&amp;" - "&amp;TL[[#This Row],[Compte]]</f>
        <v/>
      </c>
      <c r="B3174" s="233" t="inlineStr">
        <is>
          <t>63550000</t>
        </is>
      </c>
      <c r="C3174" s="227" t="inlineStr">
        <is>
          <t>Autr.imp.taxes (impots)</t>
        </is>
      </c>
      <c r="D3174" s="233" t="inlineStr">
        <is>
          <t>34</t>
        </is>
      </c>
      <c r="E3174" s="233" t="inlineStr">
        <is>
          <t>37</t>
        </is>
      </c>
      <c r="F3174" s="227" t="inlineStr">
        <is>
          <t>R314</t>
        </is>
      </c>
    </row>
    <row r="3175">
      <c r="A3175" s="227">
        <f>TL[[#This Row],[Société]]&amp;" - "&amp;TL[[#This Row],[Compte]]</f>
        <v/>
      </c>
      <c r="B3175" s="233" t="inlineStr">
        <is>
          <t>63551000</t>
        </is>
      </c>
      <c r="C3175" s="227" t="inlineStr">
        <is>
          <t>Taxe produits peche</t>
        </is>
      </c>
      <c r="D3175" s="233" t="inlineStr">
        <is>
          <t>34</t>
        </is>
      </c>
      <c r="E3175" s="233" t="inlineStr">
        <is>
          <t>37</t>
        </is>
      </c>
      <c r="F3175" s="227" t="inlineStr">
        <is>
          <t>R314</t>
        </is>
      </c>
    </row>
    <row r="3176">
      <c r="A3176" s="227">
        <f>TL[[#This Row],[Société]]&amp;" - "&amp;TL[[#This Row],[Compte]]</f>
        <v/>
      </c>
      <c r="B3176" s="233" t="inlineStr">
        <is>
          <t>63551100</t>
        </is>
      </c>
      <c r="C3176" s="227" t="inlineStr">
        <is>
          <t>Contribution sur boissons sucrées</t>
        </is>
      </c>
      <c r="D3176" s="233" t="inlineStr">
        <is>
          <t>09</t>
        </is>
      </c>
      <c r="E3176" s="233" t="inlineStr">
        <is>
          <t>03</t>
        </is>
      </c>
      <c r="F3176" s="227" t="inlineStr">
        <is>
          <t>R314</t>
        </is>
      </c>
    </row>
    <row r="3177">
      <c r="A3177" s="227">
        <f>TL[[#This Row],[Société]]&amp;" - "&amp;TL[[#This Row],[Compte]]</f>
        <v/>
      </c>
      <c r="B3177" s="233" t="inlineStr">
        <is>
          <t>63552000</t>
        </is>
      </c>
      <c r="C3177" s="227" t="inlineStr">
        <is>
          <t>Redevance audiovisuelle</t>
        </is>
      </c>
      <c r="D3177" s="233" t="inlineStr">
        <is>
          <t>34</t>
        </is>
      </c>
      <c r="E3177" s="233" t="inlineStr">
        <is>
          <t>37</t>
        </is>
      </c>
      <c r="F3177" s="227" t="inlineStr">
        <is>
          <t>R314</t>
        </is>
      </c>
    </row>
    <row r="3178">
      <c r="A3178" s="227">
        <f>TL[[#This Row],[Société]]&amp;" - "&amp;TL[[#This Row],[Compte]]</f>
        <v/>
      </c>
      <c r="B3178" s="233" t="inlineStr">
        <is>
          <t>63553000</t>
        </is>
      </c>
      <c r="C3178" s="227" t="inlineStr">
        <is>
          <t>Taxe publicite exterieure</t>
        </is>
      </c>
      <c r="D3178" s="233" t="inlineStr">
        <is>
          <t>34</t>
        </is>
      </c>
      <c r="E3178" s="233" t="inlineStr">
        <is>
          <t>37</t>
        </is>
      </c>
      <c r="F3178" s="227" t="inlineStr">
        <is>
          <t>R314</t>
        </is>
      </c>
    </row>
    <row r="3179">
      <c r="A3179" s="227">
        <f>TL[[#This Row],[Société]]&amp;" - "&amp;TL[[#This Row],[Compte]]</f>
        <v/>
      </c>
      <c r="B3179" s="233" t="inlineStr">
        <is>
          <t>63554000</t>
        </is>
      </c>
      <c r="C3179" s="227" t="inlineStr">
        <is>
          <t>Taxe annuelle 0.12% ca</t>
        </is>
      </c>
      <c r="D3179" s="233" t="inlineStr">
        <is>
          <t>34</t>
        </is>
      </c>
      <c r="E3179" s="233" t="inlineStr">
        <is>
          <t>37</t>
        </is>
      </c>
      <c r="F3179" s="227" t="inlineStr">
        <is>
          <t>R314</t>
        </is>
      </c>
    </row>
    <row r="3180">
      <c r="A3180" s="227">
        <f>TL[[#This Row],[Société]]&amp;" - "&amp;TL[[#This Row],[Compte]]</f>
        <v/>
      </c>
      <c r="B3180" s="233" t="inlineStr">
        <is>
          <t>63580000</t>
        </is>
      </c>
      <c r="C3180" s="227" t="inlineStr">
        <is>
          <t>Autres droits</t>
        </is>
      </c>
      <c r="D3180" s="233" t="inlineStr">
        <is>
          <t>34</t>
        </is>
      </c>
      <c r="E3180" s="233" t="inlineStr">
        <is>
          <t>37</t>
        </is>
      </c>
      <c r="F3180" s="227" t="inlineStr">
        <is>
          <t>R314</t>
        </is>
      </c>
    </row>
    <row r="3181">
      <c r="A3181" s="227">
        <f>TL[[#This Row],[Société]]&amp;" - "&amp;TL[[#This Row],[Compte]]</f>
        <v/>
      </c>
      <c r="B3181" s="233" t="inlineStr">
        <is>
          <t>63581000</t>
        </is>
      </c>
      <c r="C3181" s="227" t="inlineStr">
        <is>
          <t>Impot forfait annuel</t>
        </is>
      </c>
      <c r="D3181" s="233" t="inlineStr">
        <is>
          <t>34</t>
        </is>
      </c>
      <c r="E3181" s="233" t="inlineStr">
        <is>
          <t>37</t>
        </is>
      </c>
      <c r="F3181" s="227" t="inlineStr">
        <is>
          <t>R314</t>
        </is>
      </c>
    </row>
    <row r="3182">
      <c r="A3182" s="227">
        <f>TL[[#This Row],[Société]]&amp;" - "&amp;TL[[#This Row],[Compte]]</f>
        <v/>
      </c>
      <c r="B3182" s="233" t="inlineStr">
        <is>
          <t>63710000</t>
        </is>
      </c>
      <c r="C3182" s="227" t="inlineStr">
        <is>
          <t>Organic</t>
        </is>
      </c>
      <c r="D3182" s="233" t="inlineStr">
        <is>
          <t>34</t>
        </is>
      </c>
      <c r="E3182" s="233" t="inlineStr">
        <is>
          <t>37</t>
        </is>
      </c>
      <c r="F3182" s="227" t="inlineStr">
        <is>
          <t>R314</t>
        </is>
      </c>
    </row>
    <row r="3183">
      <c r="A3183" s="227">
        <f>TL[[#This Row],[Société]]&amp;" - "&amp;TL[[#This Row],[Compte]]</f>
        <v/>
      </c>
      <c r="B3183" s="233" t="inlineStr">
        <is>
          <t>63730000</t>
        </is>
      </c>
      <c r="C3183" s="227" t="inlineStr">
        <is>
          <t>Taxe agefiph</t>
        </is>
      </c>
      <c r="D3183" s="233" t="inlineStr">
        <is>
          <t>34</t>
        </is>
      </c>
      <c r="E3183" s="233" t="inlineStr">
        <is>
          <t>37</t>
        </is>
      </c>
      <c r="F3183" s="227" t="inlineStr">
        <is>
          <t>R314</t>
        </is>
      </c>
    </row>
    <row r="3184">
      <c r="A3184" s="227">
        <f>TL[[#This Row],[Société]]&amp;" - "&amp;TL[[#This Row],[Compte]]</f>
        <v/>
      </c>
      <c r="B3184" s="233" t="inlineStr">
        <is>
          <t>64110100</t>
        </is>
      </c>
      <c r="C3184" s="227" t="inlineStr">
        <is>
          <t>Salaires equipiers</t>
        </is>
      </c>
      <c r="D3184" s="233" t="inlineStr">
        <is>
          <t>10</t>
        </is>
      </c>
      <c r="E3184" s="233" t="inlineStr">
        <is>
          <t>08</t>
        </is>
      </c>
      <c r="F3184" s="227" t="inlineStr">
        <is>
          <t>R314</t>
        </is>
      </c>
    </row>
    <row r="3185">
      <c r="A3185" s="227">
        <f>TL[[#This Row],[Société]]&amp;" - "&amp;TL[[#This Row],[Compte]]</f>
        <v/>
      </c>
      <c r="B3185" s="233" t="inlineStr">
        <is>
          <t>64110400</t>
        </is>
      </c>
      <c r="C3185" s="227" t="inlineStr">
        <is>
          <t>Salaires managers</t>
        </is>
      </c>
      <c r="D3185" s="233" t="inlineStr">
        <is>
          <t>11</t>
        </is>
      </c>
      <c r="E3185" s="233" t="inlineStr">
        <is>
          <t>10</t>
        </is>
      </c>
      <c r="F3185" s="227" t="inlineStr">
        <is>
          <t>R314</t>
        </is>
      </c>
    </row>
    <row r="3186">
      <c r="A3186" s="227">
        <f>TL[[#This Row],[Société]]&amp;" - "&amp;TL[[#This Row],[Compte]]</f>
        <v/>
      </c>
      <c r="B3186" s="233" t="inlineStr">
        <is>
          <t>64111000</t>
        </is>
      </c>
      <c r="C3186" s="227" t="inlineStr">
        <is>
          <t>Ind licenciement équipiers</t>
        </is>
      </c>
      <c r="D3186" s="233" t="inlineStr">
        <is>
          <t>39</t>
        </is>
      </c>
      <c r="E3186" s="233" t="inlineStr">
        <is>
          <t>08</t>
        </is>
      </c>
      <c r="F3186" s="227" t="inlineStr">
        <is>
          <t>R314</t>
        </is>
      </c>
    </row>
    <row r="3187">
      <c r="A3187" s="227">
        <f>TL[[#This Row],[Société]]&amp;" - "&amp;TL[[#This Row],[Compte]]</f>
        <v/>
      </c>
      <c r="B3187" s="233" t="inlineStr">
        <is>
          <t>64112000</t>
        </is>
      </c>
      <c r="C3187" s="227" t="inlineStr">
        <is>
          <t>Ind.rupture convent equipiers</t>
        </is>
      </c>
      <c r="D3187" s="233" t="inlineStr">
        <is>
          <t>39</t>
        </is>
      </c>
      <c r="E3187" s="233" t="inlineStr">
        <is>
          <t>08</t>
        </is>
      </c>
      <c r="F3187" s="227" t="inlineStr">
        <is>
          <t>R314</t>
        </is>
      </c>
    </row>
    <row r="3188">
      <c r="A3188" s="227">
        <f>TL[[#This Row],[Société]]&amp;" - "&amp;TL[[#This Row],[Compte]]</f>
        <v/>
      </c>
      <c r="B3188" s="233" t="inlineStr">
        <is>
          <t>64113000</t>
        </is>
      </c>
      <c r="C3188" s="227" t="inlineStr">
        <is>
          <t>ind rupture  convent mgr</t>
        </is>
      </c>
      <c r="D3188" s="233" t="inlineStr">
        <is>
          <t>11</t>
        </is>
      </c>
      <c r="E3188" s="233" t="inlineStr">
        <is>
          <t>10</t>
        </is>
      </c>
      <c r="F3188" s="227" t="inlineStr">
        <is>
          <t>R314</t>
        </is>
      </c>
    </row>
    <row r="3189">
      <c r="A3189" s="227">
        <f>TL[[#This Row],[Société]]&amp;" - "&amp;TL[[#This Row],[Compte]]</f>
        <v/>
      </c>
      <c r="B3189" s="233" t="inlineStr">
        <is>
          <t>64114000</t>
        </is>
      </c>
      <c r="C3189" s="227" t="inlineStr">
        <is>
          <t>Ind licenciement managers</t>
        </is>
      </c>
      <c r="D3189" s="233" t="inlineStr">
        <is>
          <t>39</t>
        </is>
      </c>
      <c r="E3189" s="233" t="inlineStr">
        <is>
          <t>10</t>
        </is>
      </c>
      <c r="F3189" s="227" t="inlineStr">
        <is>
          <t>R314</t>
        </is>
      </c>
    </row>
    <row r="3190">
      <c r="A3190" s="227">
        <f>TL[[#This Row],[Société]]&amp;" - "&amp;TL[[#This Row],[Compte]]</f>
        <v/>
      </c>
      <c r="B3190" s="233" t="inlineStr">
        <is>
          <t>64120000</t>
        </is>
      </c>
      <c r="C3190" s="227" t="inlineStr">
        <is>
          <t>Prov conges equipiers</t>
        </is>
      </c>
      <c r="D3190" s="233" t="inlineStr">
        <is>
          <t>10</t>
        </is>
      </c>
      <c r="E3190" s="233" t="inlineStr">
        <is>
          <t>08</t>
        </is>
      </c>
      <c r="F3190" s="227" t="inlineStr">
        <is>
          <t>R314</t>
        </is>
      </c>
    </row>
    <row r="3191">
      <c r="A3191" s="227">
        <f>TL[[#This Row],[Société]]&amp;" - "&amp;TL[[#This Row],[Compte]]</f>
        <v/>
      </c>
      <c r="B3191" s="233" t="inlineStr">
        <is>
          <t>64121000</t>
        </is>
      </c>
      <c r="C3191" s="227" t="inlineStr">
        <is>
          <t>Prov conges managers</t>
        </is>
      </c>
      <c r="D3191" s="233" t="inlineStr">
        <is>
          <t>11</t>
        </is>
      </c>
      <c r="E3191" s="233" t="inlineStr">
        <is>
          <t>10</t>
        </is>
      </c>
      <c r="F3191" s="227" t="inlineStr">
        <is>
          <t>R314</t>
        </is>
      </c>
    </row>
    <row r="3192">
      <c r="A3192" s="227">
        <f>TL[[#This Row],[Société]]&amp;" - "&amp;TL[[#This Row],[Compte]]</f>
        <v/>
      </c>
      <c r="B3192" s="233" t="inlineStr">
        <is>
          <t>64122000</t>
        </is>
      </c>
      <c r="C3192" s="227" t="inlineStr">
        <is>
          <t>Ne pas utiliser</t>
        </is>
      </c>
      <c r="D3192" s="233" t="inlineStr">
        <is>
          <t>11</t>
        </is>
      </c>
      <c r="E3192" s="233" t="inlineStr">
        <is>
          <t>10</t>
        </is>
      </c>
      <c r="F3192" s="227" t="inlineStr">
        <is>
          <t>R314</t>
        </is>
      </c>
    </row>
    <row r="3193">
      <c r="A3193" s="227">
        <f>TL[[#This Row],[Société]]&amp;" - "&amp;TL[[#This Row],[Compte]]</f>
        <v/>
      </c>
      <c r="B3193" s="233" t="inlineStr">
        <is>
          <t>64130000</t>
        </is>
      </c>
      <c r="C3193" s="227" t="inlineStr">
        <is>
          <t>Primes et gratifications</t>
        </is>
      </c>
      <c r="D3193" s="233" t="inlineStr">
        <is>
          <t>11</t>
        </is>
      </c>
      <c r="E3193" s="233" t="inlineStr">
        <is>
          <t>10</t>
        </is>
      </c>
      <c r="F3193" s="227" t="inlineStr">
        <is>
          <t>R314</t>
        </is>
      </c>
    </row>
    <row r="3194">
      <c r="A3194" s="227">
        <f>TL[[#This Row],[Société]]&amp;" - "&amp;TL[[#This Row],[Compte]]</f>
        <v/>
      </c>
      <c r="B3194" s="233" t="inlineStr">
        <is>
          <t>64140000</t>
        </is>
      </c>
      <c r="C3194" s="227" t="inlineStr">
        <is>
          <t>Indemnités de licenciemt. équipiers</t>
        </is>
      </c>
      <c r="D3194" s="233" t="inlineStr">
        <is>
          <t>10</t>
        </is>
      </c>
      <c r="E3194" s="233" t="inlineStr">
        <is>
          <t>08</t>
        </is>
      </c>
      <c r="F3194" s="227" t="inlineStr">
        <is>
          <t>R314</t>
        </is>
      </c>
    </row>
    <row r="3195">
      <c r="A3195" s="227">
        <f>TL[[#This Row],[Société]]&amp;" - "&amp;TL[[#This Row],[Compte]]</f>
        <v/>
      </c>
      <c r="B3195" s="233" t="inlineStr">
        <is>
          <t>64140100</t>
        </is>
      </c>
      <c r="C3195" s="227" t="inlineStr">
        <is>
          <t>A.n equipiers</t>
        </is>
      </c>
      <c r="D3195" s="233" t="inlineStr">
        <is>
          <t>10</t>
        </is>
      </c>
      <c r="E3195" s="233" t="inlineStr">
        <is>
          <t>08</t>
        </is>
      </c>
      <c r="F3195" s="227" t="inlineStr">
        <is>
          <t>R314</t>
        </is>
      </c>
    </row>
    <row r="3196">
      <c r="A3196" s="227">
        <f>TL[[#This Row],[Société]]&amp;" - "&amp;TL[[#This Row],[Compte]]</f>
        <v/>
      </c>
      <c r="B3196" s="233" t="inlineStr">
        <is>
          <t>64140200</t>
        </is>
      </c>
      <c r="C3196" s="227" t="inlineStr">
        <is>
          <t>Avantages et indem.divers équip.</t>
        </is>
      </c>
      <c r="D3196" s="233" t="inlineStr">
        <is>
          <t>10</t>
        </is>
      </c>
      <c r="E3196" s="233" t="inlineStr">
        <is>
          <t>08</t>
        </is>
      </c>
      <c r="F3196" s="227" t="inlineStr">
        <is>
          <t>R314</t>
        </is>
      </c>
    </row>
    <row r="3197">
      <c r="A3197" s="227">
        <f>TL[[#This Row],[Société]]&amp;" - "&amp;TL[[#This Row],[Compte]]</f>
        <v/>
      </c>
      <c r="B3197" s="233" t="inlineStr">
        <is>
          <t>64140300</t>
        </is>
      </c>
      <c r="C3197" s="227" t="inlineStr">
        <is>
          <t>Avantages et indem. divers manag.</t>
        </is>
      </c>
      <c r="D3197" s="233" t="inlineStr">
        <is>
          <t>11</t>
        </is>
      </c>
      <c r="E3197" s="233" t="inlineStr">
        <is>
          <t>10</t>
        </is>
      </c>
      <c r="F3197" s="227" t="inlineStr">
        <is>
          <t>R314</t>
        </is>
      </c>
    </row>
    <row r="3198">
      <c r="A3198" s="227">
        <f>TL[[#This Row],[Société]]&amp;" - "&amp;TL[[#This Row],[Compte]]</f>
        <v/>
      </c>
      <c r="B3198" s="233" t="inlineStr">
        <is>
          <t>64140400</t>
        </is>
      </c>
      <c r="C3198" s="227" t="inlineStr">
        <is>
          <t>A.n. managers</t>
        </is>
      </c>
      <c r="D3198" s="233" t="inlineStr">
        <is>
          <t>11</t>
        </is>
      </c>
      <c r="E3198" s="233" t="inlineStr">
        <is>
          <t>10</t>
        </is>
      </c>
      <c r="F3198" s="227" t="inlineStr">
        <is>
          <t>R314</t>
        </is>
      </c>
    </row>
    <row r="3199">
      <c r="A3199" s="227">
        <f>TL[[#This Row],[Société]]&amp;" - "&amp;TL[[#This Row],[Compte]]</f>
        <v/>
      </c>
      <c r="B3199" s="233" t="inlineStr">
        <is>
          <t>64140500</t>
        </is>
      </c>
      <c r="C3199" s="227" t="inlineStr">
        <is>
          <t>A.n voiture equipiers</t>
        </is>
      </c>
      <c r="D3199" s="233" t="inlineStr">
        <is>
          <t>10</t>
        </is>
      </c>
      <c r="E3199" s="233" t="inlineStr">
        <is>
          <t>08</t>
        </is>
      </c>
      <c r="F3199" s="227" t="inlineStr">
        <is>
          <t>R314</t>
        </is>
      </c>
    </row>
    <row r="3200">
      <c r="A3200" s="227">
        <f>TL[[#This Row],[Société]]&amp;" - "&amp;TL[[#This Row],[Compte]]</f>
        <v/>
      </c>
      <c r="B3200" s="233" t="inlineStr">
        <is>
          <t>64140600</t>
        </is>
      </c>
      <c r="C3200" s="227" t="inlineStr">
        <is>
          <t>A.n. voiture mgrs</t>
        </is>
      </c>
      <c r="D3200" s="233" t="inlineStr">
        <is>
          <t>11</t>
        </is>
      </c>
      <c r="E3200" s="233" t="inlineStr">
        <is>
          <t>10</t>
        </is>
      </c>
      <c r="F3200" s="227" t="inlineStr">
        <is>
          <t>R314</t>
        </is>
      </c>
    </row>
    <row r="3201">
      <c r="A3201" s="227">
        <f>TL[[#This Row],[Société]]&amp;" - "&amp;TL[[#This Row],[Compte]]</f>
        <v/>
      </c>
      <c r="B3201" s="233" t="inlineStr">
        <is>
          <t>64141100</t>
        </is>
      </c>
      <c r="C3201" s="227" t="inlineStr">
        <is>
          <t>Ind. blanchis equipiers</t>
        </is>
      </c>
      <c r="D3201" s="233" t="inlineStr">
        <is>
          <t>10</t>
        </is>
      </c>
      <c r="E3201" s="233" t="inlineStr">
        <is>
          <t>08</t>
        </is>
      </c>
      <c r="F3201" s="227" t="inlineStr">
        <is>
          <t>R314</t>
        </is>
      </c>
    </row>
    <row r="3202">
      <c r="A3202" s="227">
        <f>TL[[#This Row],[Société]]&amp;" - "&amp;TL[[#This Row],[Compte]]</f>
        <v/>
      </c>
      <c r="B3202" s="233" t="inlineStr">
        <is>
          <t>64141400</t>
        </is>
      </c>
      <c r="C3202" s="227" t="inlineStr">
        <is>
          <t>Ind. blanchissage managers</t>
        </is>
      </c>
      <c r="D3202" s="233" t="inlineStr">
        <is>
          <t>11</t>
        </is>
      </c>
      <c r="E3202" s="233" t="inlineStr">
        <is>
          <t>10</t>
        </is>
      </c>
      <c r="F3202" s="227" t="inlineStr">
        <is>
          <t>R314</t>
        </is>
      </c>
    </row>
    <row r="3203">
      <c r="A3203" s="227">
        <f>TL[[#This Row],[Société]]&amp;" - "&amp;TL[[#This Row],[Compte]]</f>
        <v/>
      </c>
      <c r="B3203" s="233" t="inlineStr">
        <is>
          <t>64143000</t>
        </is>
      </c>
      <c r="C3203" s="227" t="inlineStr">
        <is>
          <t>SALAIRES 10/2022</t>
        </is>
      </c>
      <c r="F3203" s="227" t="inlineStr">
        <is>
          <t>R314</t>
        </is>
      </c>
    </row>
    <row r="3204">
      <c r="A3204" s="227">
        <f>TL[[#This Row],[Société]]&amp;" - "&amp;TL[[#This Row],[Compte]]</f>
        <v/>
      </c>
      <c r="B3204" s="233" t="inlineStr">
        <is>
          <t>64400000</t>
        </is>
      </c>
      <c r="C3204" s="227" t="inlineStr">
        <is>
          <t>Rémunération de gérance</t>
        </is>
      </c>
      <c r="F3204" s="227" t="inlineStr">
        <is>
          <t>R314</t>
        </is>
      </c>
    </row>
    <row r="3205">
      <c r="A3205" s="227">
        <f>TL[[#This Row],[Société]]&amp;" - "&amp;TL[[#This Row],[Compte]]</f>
        <v/>
      </c>
      <c r="B3205" s="233" t="inlineStr">
        <is>
          <t>64504100</t>
        </is>
      </c>
      <c r="C3205" s="227" t="inlineStr">
        <is>
          <t>Mutuelle equipiers</t>
        </is>
      </c>
      <c r="D3205" s="233" t="inlineStr">
        <is>
          <t>10</t>
        </is>
      </c>
      <c r="E3205" s="233" t="inlineStr">
        <is>
          <t>09</t>
        </is>
      </c>
      <c r="F3205" s="227" t="inlineStr">
        <is>
          <t>R314</t>
        </is>
      </c>
    </row>
    <row r="3206">
      <c r="A3206" s="227">
        <f>TL[[#This Row],[Société]]&amp;" - "&amp;TL[[#This Row],[Compte]]</f>
        <v/>
      </c>
      <c r="B3206" s="233" t="inlineStr">
        <is>
          <t>64504400</t>
        </is>
      </c>
      <c r="C3206" s="227" t="inlineStr">
        <is>
          <t>Mutuelle managers</t>
        </is>
      </c>
      <c r="D3206" s="233" t="inlineStr">
        <is>
          <t>12</t>
        </is>
      </c>
      <c r="E3206" s="233" t="inlineStr">
        <is>
          <t>11</t>
        </is>
      </c>
      <c r="F3206" s="227" t="inlineStr">
        <is>
          <t>R314</t>
        </is>
      </c>
    </row>
    <row r="3207">
      <c r="A3207" s="227">
        <f>TL[[#This Row],[Société]]&amp;" - "&amp;TL[[#This Row],[Compte]]</f>
        <v/>
      </c>
      <c r="B3207" s="233" t="inlineStr">
        <is>
          <t>64510100</t>
        </is>
      </c>
      <c r="C3207" s="227" t="inlineStr">
        <is>
          <t>Urssaf equipiers</t>
        </is>
      </c>
      <c r="D3207" s="233" t="inlineStr">
        <is>
          <t>10</t>
        </is>
      </c>
      <c r="E3207" s="233" t="inlineStr">
        <is>
          <t>09</t>
        </is>
      </c>
      <c r="F3207" s="227" t="inlineStr">
        <is>
          <t>R314</t>
        </is>
      </c>
    </row>
    <row r="3208">
      <c r="A3208" s="227">
        <f>TL[[#This Row],[Société]]&amp;" - "&amp;TL[[#This Row],[Compte]]</f>
        <v/>
      </c>
      <c r="B3208" s="233" t="inlineStr">
        <is>
          <t>64510400</t>
        </is>
      </c>
      <c r="C3208" s="227" t="inlineStr">
        <is>
          <t>Urssaf mgrs</t>
        </is>
      </c>
      <c r="D3208" s="233" t="inlineStr">
        <is>
          <t>12</t>
        </is>
      </c>
      <c r="E3208" s="233" t="inlineStr">
        <is>
          <t>11</t>
        </is>
      </c>
      <c r="F3208" s="227" t="inlineStr">
        <is>
          <t>R314</t>
        </is>
      </c>
    </row>
    <row r="3209">
      <c r="A3209" s="227">
        <f>TL[[#This Row],[Société]]&amp;" - "&amp;TL[[#This Row],[Compte]]</f>
        <v/>
      </c>
      <c r="B3209" s="233" t="inlineStr">
        <is>
          <t>64520100</t>
        </is>
      </c>
      <c r="C3209" s="227" t="inlineStr">
        <is>
          <t>Mutuelle equipiers</t>
        </is>
      </c>
      <c r="D3209" s="233" t="inlineStr">
        <is>
          <t>10</t>
        </is>
      </c>
      <c r="E3209" s="233" t="inlineStr">
        <is>
          <t>09</t>
        </is>
      </c>
      <c r="F3209" s="227" t="inlineStr">
        <is>
          <t>R314</t>
        </is>
      </c>
    </row>
    <row r="3210">
      <c r="A3210" s="227">
        <f>TL[[#This Row],[Société]]&amp;" - "&amp;TL[[#This Row],[Compte]]</f>
        <v/>
      </c>
      <c r="B3210" s="233" t="inlineStr">
        <is>
          <t>64520400</t>
        </is>
      </c>
      <c r="C3210" s="227" t="inlineStr">
        <is>
          <t>Mutuelle managers</t>
        </is>
      </c>
      <c r="D3210" s="233" t="inlineStr">
        <is>
          <t>12</t>
        </is>
      </c>
      <c r="E3210" s="233" t="inlineStr">
        <is>
          <t>11</t>
        </is>
      </c>
      <c r="F3210" s="227" t="inlineStr">
        <is>
          <t>R314</t>
        </is>
      </c>
    </row>
    <row r="3211">
      <c r="A3211" s="227">
        <f>TL[[#This Row],[Société]]&amp;" - "&amp;TL[[#This Row],[Compte]]</f>
        <v/>
      </c>
      <c r="B3211" s="233" t="inlineStr">
        <is>
          <t>64530100</t>
        </is>
      </c>
      <c r="C3211" s="227" t="inlineStr">
        <is>
          <t>Retraite et prev equipiers</t>
        </is>
      </c>
      <c r="D3211" s="233" t="inlineStr">
        <is>
          <t>10</t>
        </is>
      </c>
      <c r="E3211" s="233" t="inlineStr">
        <is>
          <t>09</t>
        </is>
      </c>
      <c r="F3211" s="227" t="inlineStr">
        <is>
          <t>R314</t>
        </is>
      </c>
    </row>
    <row r="3212">
      <c r="A3212" s="227">
        <f>TL[[#This Row],[Société]]&amp;" - "&amp;TL[[#This Row],[Compte]]</f>
        <v/>
      </c>
      <c r="B3212" s="233" t="inlineStr">
        <is>
          <t>64530400</t>
        </is>
      </c>
      <c r="C3212" s="227" t="inlineStr">
        <is>
          <t>Retraite et prev managers</t>
        </is>
      </c>
      <c r="D3212" s="233" t="inlineStr">
        <is>
          <t>12</t>
        </is>
      </c>
      <c r="E3212" s="233" t="inlineStr">
        <is>
          <t>11</t>
        </is>
      </c>
      <c r="F3212" s="227" t="inlineStr">
        <is>
          <t>R314</t>
        </is>
      </c>
    </row>
    <row r="3213">
      <c r="A3213" s="227">
        <f>TL[[#This Row],[Société]]&amp;" - "&amp;TL[[#This Row],[Compte]]</f>
        <v/>
      </c>
      <c r="B3213" s="233" t="inlineStr">
        <is>
          <t>64530500</t>
        </is>
      </c>
      <c r="C3213" s="227" t="inlineStr">
        <is>
          <t>Retraite AGIRC</t>
        </is>
      </c>
      <c r="D3213" s="233" t="inlineStr">
        <is>
          <t>12</t>
        </is>
      </c>
      <c r="E3213" s="233" t="inlineStr">
        <is>
          <t>11</t>
        </is>
      </c>
      <c r="F3213" s="227" t="inlineStr">
        <is>
          <t>R314</t>
        </is>
      </c>
    </row>
    <row r="3214">
      <c r="A3214" s="227">
        <f>TL[[#This Row],[Société]]&amp;" - "&amp;TL[[#This Row],[Compte]]</f>
        <v/>
      </c>
      <c r="B3214" s="233" t="inlineStr">
        <is>
          <t>64540100</t>
        </is>
      </c>
      <c r="C3214" s="227" t="inlineStr">
        <is>
          <t>Pole emploi equipiers</t>
        </is>
      </c>
      <c r="D3214" s="233" t="inlineStr">
        <is>
          <t>10</t>
        </is>
      </c>
      <c r="E3214" s="233" t="inlineStr">
        <is>
          <t>09</t>
        </is>
      </c>
      <c r="F3214" s="227" t="inlineStr">
        <is>
          <t>R314</t>
        </is>
      </c>
    </row>
    <row r="3215">
      <c r="A3215" s="227">
        <f>TL[[#This Row],[Société]]&amp;" - "&amp;TL[[#This Row],[Compte]]</f>
        <v/>
      </c>
      <c r="B3215" s="233" t="inlineStr">
        <is>
          <t>64540400</t>
        </is>
      </c>
      <c r="C3215" s="227" t="inlineStr">
        <is>
          <t>Pole emploi managers</t>
        </is>
      </c>
      <c r="D3215" s="233" t="inlineStr">
        <is>
          <t>12</t>
        </is>
      </c>
      <c r="E3215" s="233" t="inlineStr">
        <is>
          <t>11</t>
        </is>
      </c>
      <c r="F3215" s="227" t="inlineStr">
        <is>
          <t>R314</t>
        </is>
      </c>
    </row>
    <row r="3216">
      <c r="A3216" s="227">
        <f>TL[[#This Row],[Société]]&amp;" - "&amp;TL[[#This Row],[Compte]]</f>
        <v/>
      </c>
      <c r="B3216" s="233" t="inlineStr">
        <is>
          <t>64550400</t>
        </is>
      </c>
      <c r="C3216" s="227" t="inlineStr">
        <is>
          <t>Retraite cadre agirc</t>
        </is>
      </c>
      <c r="D3216" s="233" t="inlineStr">
        <is>
          <t>12</t>
        </is>
      </c>
      <c r="E3216" s="233" t="inlineStr">
        <is>
          <t>11</t>
        </is>
      </c>
      <c r="F3216" s="227" t="inlineStr">
        <is>
          <t>R314</t>
        </is>
      </c>
    </row>
    <row r="3217">
      <c r="A3217" s="227">
        <f>TL[[#This Row],[Société]]&amp;" - "&amp;TL[[#This Row],[Compte]]</f>
        <v/>
      </c>
      <c r="B3217" s="233" t="inlineStr">
        <is>
          <t>64560400</t>
        </is>
      </c>
      <c r="C3217" s="227" t="inlineStr">
        <is>
          <t>Retraite supp La Mondiale ART 83</t>
        </is>
      </c>
      <c r="D3217" s="233" t="inlineStr">
        <is>
          <t>12</t>
        </is>
      </c>
      <c r="E3217" s="233" t="inlineStr">
        <is>
          <t>11</t>
        </is>
      </c>
      <c r="F3217" s="227" t="inlineStr">
        <is>
          <t>R314</t>
        </is>
      </c>
    </row>
    <row r="3218">
      <c r="A3218" s="227">
        <f>TL[[#This Row],[Société]]&amp;" - "&amp;TL[[#This Row],[Compte]]</f>
        <v/>
      </c>
      <c r="B3218" s="233" t="inlineStr">
        <is>
          <t>64580000</t>
        </is>
      </c>
      <c r="C3218" s="227" t="inlineStr">
        <is>
          <t>Cs/cp equipiers</t>
        </is>
      </c>
      <c r="D3218" s="233" t="inlineStr">
        <is>
          <t>10</t>
        </is>
      </c>
      <c r="E3218" s="233" t="inlineStr">
        <is>
          <t>09</t>
        </is>
      </c>
      <c r="F3218" s="227" t="inlineStr">
        <is>
          <t>R314</t>
        </is>
      </c>
    </row>
    <row r="3219">
      <c r="A3219" s="227">
        <f>TL[[#This Row],[Société]]&amp;" - "&amp;TL[[#This Row],[Compte]]</f>
        <v/>
      </c>
      <c r="B3219" s="233" t="inlineStr">
        <is>
          <t>64581000</t>
        </is>
      </c>
      <c r="C3219" s="227" t="inlineStr">
        <is>
          <t>Cs/cp managers</t>
        </is>
      </c>
      <c r="D3219" s="233" t="inlineStr">
        <is>
          <t>12</t>
        </is>
      </c>
      <c r="E3219" s="233" t="inlineStr">
        <is>
          <t>11</t>
        </is>
      </c>
      <c r="F3219" s="227" t="inlineStr">
        <is>
          <t>R314</t>
        </is>
      </c>
    </row>
    <row r="3220">
      <c r="A3220" s="227">
        <f>TL[[#This Row],[Société]]&amp;" - "&amp;TL[[#This Row],[Compte]]</f>
        <v/>
      </c>
      <c r="B3220" s="233" t="inlineStr">
        <is>
          <t>64582000</t>
        </is>
      </c>
      <c r="C3220" s="227" t="inlineStr">
        <is>
          <t>Charges sociales sur conges payes</t>
        </is>
      </c>
      <c r="D3220" s="233" t="inlineStr">
        <is>
          <t>10</t>
        </is>
      </c>
      <c r="E3220" s="233" t="inlineStr">
        <is>
          <t>09</t>
        </is>
      </c>
      <c r="F3220" s="227" t="inlineStr">
        <is>
          <t>R314</t>
        </is>
      </c>
    </row>
    <row r="3221">
      <c r="A3221" s="227">
        <f>TL[[#This Row],[Société]]&amp;" - "&amp;TL[[#This Row],[Compte]]</f>
        <v/>
      </c>
      <c r="B3221" s="233" t="inlineStr">
        <is>
          <t>64583000</t>
        </is>
      </c>
      <c r="C3221" s="227" t="inlineStr">
        <is>
          <t>Charges sociales/gratif.</t>
        </is>
      </c>
      <c r="D3221" s="233" t="inlineStr">
        <is>
          <t>12</t>
        </is>
      </c>
      <c r="E3221" s="233" t="inlineStr">
        <is>
          <t>11</t>
        </is>
      </c>
      <c r="F3221" s="227" t="inlineStr">
        <is>
          <t>R314</t>
        </is>
      </c>
    </row>
    <row r="3222">
      <c r="A3222" s="227">
        <f>TL[[#This Row],[Société]]&amp;" - "&amp;TL[[#This Row],[Compte]]</f>
        <v/>
      </c>
      <c r="B3222" s="233" t="inlineStr">
        <is>
          <t>64610000</t>
        </is>
      </c>
      <c r="C3222" s="227" t="inlineStr">
        <is>
          <t>Charges socales régis</t>
        </is>
      </c>
      <c r="F3222" s="227" t="inlineStr">
        <is>
          <t>R314</t>
        </is>
      </c>
    </row>
    <row r="3223">
      <c r="A3223" s="227">
        <f>TL[[#This Row],[Société]]&amp;" - "&amp;TL[[#This Row],[Compte]]</f>
        <v/>
      </c>
      <c r="B3223" s="233" t="inlineStr">
        <is>
          <t>64750000</t>
        </is>
      </c>
      <c r="C3223" s="227" t="inlineStr">
        <is>
          <t>Medecine du travail</t>
        </is>
      </c>
      <c r="D3223" s="233" t="inlineStr">
        <is>
          <t>16</t>
        </is>
      </c>
      <c r="E3223" s="233" t="inlineStr">
        <is>
          <t>19</t>
        </is>
      </c>
      <c r="F3223" s="227" t="inlineStr">
        <is>
          <t>R314</t>
        </is>
      </c>
    </row>
    <row r="3224">
      <c r="A3224" s="227">
        <f>TL[[#This Row],[Société]]&amp;" - "&amp;TL[[#This Row],[Compte]]</f>
        <v/>
      </c>
      <c r="B3224" s="233" t="inlineStr">
        <is>
          <t>64900000</t>
        </is>
      </c>
      <c r="C3224" s="227" t="inlineStr">
        <is>
          <t>Crédit d'impôt compét.entrep</t>
        </is>
      </c>
      <c r="D3224" s="233" t="inlineStr">
        <is>
          <t>99</t>
        </is>
      </c>
      <c r="E3224" s="233" t="inlineStr">
        <is>
          <t>48</t>
        </is>
      </c>
      <c r="F3224" s="227" t="inlineStr">
        <is>
          <t>R314</t>
        </is>
      </c>
    </row>
    <row r="3225">
      <c r="A3225" s="227">
        <f>TL[[#This Row],[Société]]&amp;" - "&amp;TL[[#This Row],[Compte]]</f>
        <v/>
      </c>
      <c r="B3225" s="233" t="inlineStr">
        <is>
          <t>65100100</t>
        </is>
      </c>
      <c r="C3225" s="227" t="inlineStr">
        <is>
          <t>Redevance service 5%</t>
        </is>
      </c>
      <c r="D3225" s="233" t="inlineStr">
        <is>
          <t>31</t>
        </is>
      </c>
      <c r="E3225" s="233" t="inlineStr">
        <is>
          <t>34</t>
        </is>
      </c>
      <c r="F3225" s="227" t="inlineStr">
        <is>
          <t>R314</t>
        </is>
      </c>
    </row>
    <row r="3226">
      <c r="A3226" s="227">
        <f>TL[[#This Row],[Société]]&amp;" - "&amp;TL[[#This Row],[Compte]]</f>
        <v/>
      </c>
      <c r="B3226" s="233" t="inlineStr">
        <is>
          <t>65100300</t>
        </is>
      </c>
      <c r="C3226" s="227" t="inlineStr">
        <is>
          <t>Redevance sacem</t>
        </is>
      </c>
      <c r="D3226" s="233" t="inlineStr">
        <is>
          <t>16</t>
        </is>
      </c>
      <c r="E3226" s="233" t="inlineStr">
        <is>
          <t>19</t>
        </is>
      </c>
      <c r="F3226" s="227" t="inlineStr">
        <is>
          <t>R314</t>
        </is>
      </c>
    </row>
    <row r="3227">
      <c r="A3227" s="227">
        <f>TL[[#This Row],[Société]]&amp;" - "&amp;TL[[#This Row],[Compte]]</f>
        <v/>
      </c>
      <c r="B3227" s="233" t="inlineStr">
        <is>
          <t>65120000</t>
        </is>
      </c>
      <c r="C3227" s="227" t="inlineStr">
        <is>
          <t>Avoir hm 16.50 %</t>
        </is>
      </c>
      <c r="D3227" s="233" t="inlineStr">
        <is>
          <t>30</t>
        </is>
      </c>
      <c r="E3227" s="233" t="inlineStr">
        <is>
          <t>31</t>
        </is>
      </c>
      <c r="F3227" s="227" t="inlineStr">
        <is>
          <t>R314</t>
        </is>
      </c>
    </row>
    <row r="3228">
      <c r="A3228" s="227">
        <f>TL[[#This Row],[Société]]&amp;" - "&amp;TL[[#This Row],[Compte]]</f>
        <v/>
      </c>
      <c r="B3228" s="233" t="inlineStr">
        <is>
          <t>65121000</t>
        </is>
      </c>
      <c r="C3228" s="227" t="inlineStr">
        <is>
          <t>Avoir hm 5%</t>
        </is>
      </c>
      <c r="D3228" s="233" t="inlineStr">
        <is>
          <t>31</t>
        </is>
      </c>
      <c r="E3228" s="233" t="inlineStr">
        <is>
          <t>31</t>
        </is>
      </c>
      <c r="F3228" s="227" t="inlineStr">
        <is>
          <t>R314</t>
        </is>
      </c>
    </row>
    <row r="3229">
      <c r="A3229" s="227">
        <f>TL[[#This Row],[Société]]&amp;" - "&amp;TL[[#This Row],[Compte]]</f>
        <v/>
      </c>
      <c r="B3229" s="233" t="inlineStr">
        <is>
          <t>65500000</t>
        </is>
      </c>
      <c r="C3229" s="227" t="inlineStr">
        <is>
          <t>Quote-part/oper.en commun</t>
        </is>
      </c>
      <c r="D3229" s="233" t="inlineStr">
        <is>
          <t>99</t>
        </is>
      </c>
      <c r="E3229" s="233" t="inlineStr">
        <is>
          <t>40</t>
        </is>
      </c>
      <c r="F3229" s="227" t="inlineStr">
        <is>
          <t>R314</t>
        </is>
      </c>
    </row>
    <row r="3230">
      <c r="A3230" s="227">
        <f>TL[[#This Row],[Société]]&amp;" - "&amp;TL[[#This Row],[Compte]]</f>
        <v/>
      </c>
      <c r="B3230" s="233" t="inlineStr">
        <is>
          <t>65800000</t>
        </is>
      </c>
      <c r="C3230" s="227" t="inlineStr">
        <is>
          <t>Charges div.gest.courante</t>
        </is>
      </c>
      <c r="D3230" s="233" t="inlineStr">
        <is>
          <t>39</t>
        </is>
      </c>
      <c r="E3230" s="233" t="inlineStr">
        <is>
          <t>40</t>
        </is>
      </c>
      <c r="F3230" s="227" t="inlineStr">
        <is>
          <t>R314</t>
        </is>
      </c>
    </row>
    <row r="3231">
      <c r="A3231" s="227">
        <f>TL[[#This Row],[Société]]&amp;" - "&amp;TL[[#This Row],[Compte]]</f>
        <v/>
      </c>
      <c r="B3231" s="233" t="inlineStr">
        <is>
          <t>66110000</t>
        </is>
      </c>
      <c r="C3231" s="227" t="inlineStr">
        <is>
          <t>Interets/emp billet a ordre</t>
        </is>
      </c>
      <c r="D3231" s="233" t="inlineStr">
        <is>
          <t>37</t>
        </is>
      </c>
      <c r="E3231" s="233" t="inlineStr">
        <is>
          <t>42</t>
        </is>
      </c>
      <c r="F3231" s="227" t="inlineStr">
        <is>
          <t>R314</t>
        </is>
      </c>
    </row>
    <row r="3232">
      <c r="A3232" s="227">
        <f>TL[[#This Row],[Société]]&amp;" - "&amp;TL[[#This Row],[Compte]]</f>
        <v/>
      </c>
      <c r="B3232" s="233" t="inlineStr">
        <is>
          <t>66111000</t>
        </is>
      </c>
      <c r="C3232" s="227" t="inlineStr">
        <is>
          <t>Intérêts sur emprunt</t>
        </is>
      </c>
      <c r="D3232" s="233" t="inlineStr">
        <is>
          <t>37</t>
        </is>
      </c>
      <c r="E3232" s="233" t="inlineStr">
        <is>
          <t>42</t>
        </is>
      </c>
      <c r="F3232" s="227" t="inlineStr">
        <is>
          <t>R314</t>
        </is>
      </c>
    </row>
    <row r="3233">
      <c r="A3233" s="227">
        <f>TL[[#This Row],[Société]]&amp;" - "&amp;TL[[#This Row],[Compte]]</f>
        <v/>
      </c>
      <c r="B3233" s="233" t="inlineStr">
        <is>
          <t>66130000</t>
        </is>
      </c>
      <c r="C3233" s="227" t="inlineStr">
        <is>
          <t>Interets/emp 56 k€</t>
        </is>
      </c>
      <c r="D3233" s="233" t="inlineStr">
        <is>
          <t>37</t>
        </is>
      </c>
      <c r="E3233" s="233" t="inlineStr">
        <is>
          <t>42</t>
        </is>
      </c>
      <c r="F3233" s="227" t="inlineStr">
        <is>
          <t>R314</t>
        </is>
      </c>
    </row>
    <row r="3234">
      <c r="A3234" s="227">
        <f>TL[[#This Row],[Société]]&amp;" - "&amp;TL[[#This Row],[Compte]]</f>
        <v/>
      </c>
      <c r="B3234" s="233" t="inlineStr">
        <is>
          <t>66160000</t>
        </is>
      </c>
      <c r="C3234" s="227" t="inlineStr">
        <is>
          <t>Interets debiteurs</t>
        </is>
      </c>
      <c r="D3234" s="233" t="inlineStr">
        <is>
          <t>37</t>
        </is>
      </c>
      <c r="E3234" s="233" t="inlineStr">
        <is>
          <t>17</t>
        </is>
      </c>
      <c r="F3234" s="227" t="inlineStr">
        <is>
          <t>R314</t>
        </is>
      </c>
    </row>
    <row r="3235">
      <c r="A3235" s="227">
        <f>TL[[#This Row],[Société]]&amp;" - "&amp;TL[[#This Row],[Compte]]</f>
        <v/>
      </c>
      <c r="B3235" s="233" t="inlineStr">
        <is>
          <t>66600000</t>
        </is>
      </c>
      <c r="C3235" s="227" t="inlineStr">
        <is>
          <t>Pertes de change</t>
        </is>
      </c>
      <c r="D3235" s="233" t="inlineStr">
        <is>
          <t>37</t>
        </is>
      </c>
      <c r="E3235" s="233" t="inlineStr">
        <is>
          <t>17</t>
        </is>
      </c>
      <c r="F3235" s="227" t="inlineStr">
        <is>
          <t>R314</t>
        </is>
      </c>
    </row>
    <row r="3236">
      <c r="A3236" s="227">
        <f>TL[[#This Row],[Société]]&amp;" - "&amp;TL[[#This Row],[Compte]]</f>
        <v/>
      </c>
      <c r="B3236" s="233" t="inlineStr">
        <is>
          <t>66710000</t>
        </is>
      </c>
      <c r="C3236" s="227" t="inlineStr">
        <is>
          <t>Charges sur cession de V.M.P</t>
        </is>
      </c>
      <c r="D3236" s="233" t="inlineStr">
        <is>
          <t>37</t>
        </is>
      </c>
      <c r="E3236" s="233" t="inlineStr">
        <is>
          <t>17</t>
        </is>
      </c>
      <c r="F3236" s="227" t="inlineStr">
        <is>
          <t>R314</t>
        </is>
      </c>
    </row>
    <row r="3237">
      <c r="A3237" s="227">
        <f>TL[[#This Row],[Société]]&amp;" - "&amp;TL[[#This Row],[Compte]]</f>
        <v/>
      </c>
      <c r="B3237" s="233" t="inlineStr">
        <is>
          <t>66880000</t>
        </is>
      </c>
      <c r="C3237" s="227" t="inlineStr">
        <is>
          <t>Ecarts de conversion</t>
        </is>
      </c>
      <c r="D3237" s="233" t="inlineStr">
        <is>
          <t>37</t>
        </is>
      </c>
      <c r="E3237" s="233" t="inlineStr">
        <is>
          <t>17</t>
        </is>
      </c>
      <c r="F3237" s="227" t="inlineStr">
        <is>
          <t>R314</t>
        </is>
      </c>
    </row>
    <row r="3238">
      <c r="A3238" s="227">
        <f>TL[[#This Row],[Société]]&amp;" - "&amp;TL[[#This Row],[Compte]]</f>
        <v/>
      </c>
      <c r="B3238" s="233" t="inlineStr">
        <is>
          <t>67110000</t>
        </is>
      </c>
      <c r="C3238" s="227" t="inlineStr">
        <is>
          <t>Ecart caisse</t>
        </is>
      </c>
      <c r="D3238" s="233" t="inlineStr">
        <is>
          <t>22</t>
        </is>
      </c>
      <c r="E3238" s="233" t="inlineStr">
        <is>
          <t>27</t>
        </is>
      </c>
      <c r="F3238" s="227" t="inlineStr">
        <is>
          <t>R314</t>
        </is>
      </c>
    </row>
    <row r="3239">
      <c r="A3239" s="227">
        <f>TL[[#This Row],[Société]]&amp;" - "&amp;TL[[#This Row],[Compte]]</f>
        <v/>
      </c>
      <c r="B3239" s="233" t="inlineStr">
        <is>
          <t>67120000</t>
        </is>
      </c>
      <c r="C3239" s="227" t="inlineStr">
        <is>
          <t>Pénalité de retard</t>
        </is>
      </c>
      <c r="D3239" s="233" t="inlineStr">
        <is>
          <t>39</t>
        </is>
      </c>
      <c r="E3239" s="233" t="inlineStr">
        <is>
          <t>45</t>
        </is>
      </c>
      <c r="F3239" s="227" t="inlineStr">
        <is>
          <t>R314</t>
        </is>
      </c>
    </row>
    <row r="3240">
      <c r="A3240" s="227">
        <f>TL[[#This Row],[Société]]&amp;" - "&amp;TL[[#This Row],[Compte]]</f>
        <v/>
      </c>
      <c r="B3240" s="233" t="inlineStr">
        <is>
          <t>67121000</t>
        </is>
      </c>
      <c r="C3240" s="227" t="inlineStr">
        <is>
          <t>Amendes et Pénalités</t>
        </is>
      </c>
      <c r="D3240" s="233" t="inlineStr">
        <is>
          <t>39</t>
        </is>
      </c>
      <c r="E3240" s="233" t="inlineStr">
        <is>
          <t>45</t>
        </is>
      </c>
      <c r="F3240" s="227" t="inlineStr">
        <is>
          <t>R314</t>
        </is>
      </c>
    </row>
    <row r="3241">
      <c r="A3241" s="227">
        <f>TL[[#This Row],[Société]]&amp;" - "&amp;TL[[#This Row],[Compte]]</f>
        <v/>
      </c>
      <c r="B3241" s="233" t="inlineStr">
        <is>
          <t>67130000</t>
        </is>
      </c>
      <c r="C3241" s="227" t="inlineStr">
        <is>
          <t>Dons</t>
        </is>
      </c>
      <c r="D3241" s="233" t="inlineStr">
        <is>
          <t>39</t>
        </is>
      </c>
      <c r="E3241" s="233" t="inlineStr">
        <is>
          <t>45</t>
        </is>
      </c>
      <c r="F3241" s="227" t="inlineStr">
        <is>
          <t>R314</t>
        </is>
      </c>
    </row>
    <row r="3242">
      <c r="A3242" s="227">
        <f>TL[[#This Row],[Société]]&amp;" - "&amp;TL[[#This Row],[Compte]]</f>
        <v/>
      </c>
      <c r="B3242" s="233" t="inlineStr">
        <is>
          <t>67500000</t>
        </is>
      </c>
      <c r="C3242" s="227" t="inlineStr">
        <is>
          <t>Valeurs compt. éléments actif cédés</t>
        </is>
      </c>
      <c r="F3242" s="227" t="inlineStr">
        <is>
          <t>R314</t>
        </is>
      </c>
    </row>
    <row r="3243">
      <c r="A3243" s="227">
        <f>TL[[#This Row],[Société]]&amp;" - "&amp;TL[[#This Row],[Compte]]</f>
        <v/>
      </c>
      <c r="B3243" s="233" t="inlineStr">
        <is>
          <t>67510000</t>
        </is>
      </c>
      <c r="C3243" s="227" t="inlineStr">
        <is>
          <t>Vnc immo incorpo cédées</t>
        </is>
      </c>
      <c r="D3243" s="233" t="inlineStr">
        <is>
          <t>35</t>
        </is>
      </c>
      <c r="E3243" s="233" t="inlineStr">
        <is>
          <t>45</t>
        </is>
      </c>
      <c r="F3243" s="227" t="inlineStr">
        <is>
          <t>R314</t>
        </is>
      </c>
    </row>
    <row r="3244">
      <c r="A3244" s="227">
        <f>TL[[#This Row],[Société]]&amp;" - "&amp;TL[[#This Row],[Compte]]</f>
        <v/>
      </c>
      <c r="B3244" s="233" t="inlineStr">
        <is>
          <t>67520000</t>
        </is>
      </c>
      <c r="C3244" s="227" t="inlineStr">
        <is>
          <t>Val.compta.immob.corp.ced</t>
        </is>
      </c>
      <c r="D3244" s="233" t="inlineStr">
        <is>
          <t>35</t>
        </is>
      </c>
      <c r="E3244" s="233" t="inlineStr">
        <is>
          <t>45</t>
        </is>
      </c>
      <c r="F3244" s="227" t="inlineStr">
        <is>
          <t>R314</t>
        </is>
      </c>
    </row>
    <row r="3245">
      <c r="A3245" s="227">
        <f>TL[[#This Row],[Société]]&amp;" - "&amp;TL[[#This Row],[Compte]]</f>
        <v/>
      </c>
      <c r="B3245" s="233" t="inlineStr">
        <is>
          <t>68111000</t>
        </is>
      </c>
      <c r="C3245" s="227" t="inlineStr">
        <is>
          <t>Dot.amort.immo.incorpore.</t>
        </is>
      </c>
      <c r="D3245" s="233" t="inlineStr">
        <is>
          <t>36</t>
        </is>
      </c>
      <c r="E3245" s="233" t="inlineStr">
        <is>
          <t>38</t>
        </is>
      </c>
      <c r="F3245" s="227" t="inlineStr">
        <is>
          <t>R314</t>
        </is>
      </c>
    </row>
    <row r="3246">
      <c r="A3246" s="227">
        <f>TL[[#This Row],[Société]]&amp;" - "&amp;TL[[#This Row],[Compte]]</f>
        <v/>
      </c>
      <c r="B3246" s="233" t="inlineStr">
        <is>
          <t>68112000</t>
        </is>
      </c>
      <c r="C3246" s="227" t="inlineStr">
        <is>
          <t>Dot.amort.immo.corporell.</t>
        </is>
      </c>
      <c r="D3246" s="233" t="inlineStr">
        <is>
          <t>36</t>
        </is>
      </c>
      <c r="E3246" s="233" t="inlineStr">
        <is>
          <t>38</t>
        </is>
      </c>
      <c r="F3246" s="227" t="inlineStr">
        <is>
          <t>R314</t>
        </is>
      </c>
    </row>
    <row r="3247">
      <c r="A3247" s="227">
        <f>TL[[#This Row],[Société]]&amp;" - "&amp;TL[[#This Row],[Compte]]</f>
        <v/>
      </c>
      <c r="B3247" s="233" t="inlineStr">
        <is>
          <t>68150000</t>
        </is>
      </c>
      <c r="C3247" s="227" t="inlineStr">
        <is>
          <t>Dot.prov.risq.&amp; chrg.expl</t>
        </is>
      </c>
      <c r="D3247" s="233" t="inlineStr">
        <is>
          <t>36</t>
        </is>
      </c>
      <c r="E3247" s="233" t="inlineStr">
        <is>
          <t>38</t>
        </is>
      </c>
      <c r="F3247" s="227" t="inlineStr">
        <is>
          <t>R314</t>
        </is>
      </c>
    </row>
    <row r="3248">
      <c r="A3248" s="227">
        <f>TL[[#This Row],[Société]]&amp;" - "&amp;TL[[#This Row],[Compte]]</f>
        <v/>
      </c>
      <c r="B3248" s="233" t="inlineStr">
        <is>
          <t>68665000</t>
        </is>
      </c>
      <c r="C3248" s="227" t="inlineStr">
        <is>
          <t>Dot.prov.deprec.elts fin.</t>
        </is>
      </c>
      <c r="D3248" s="233" t="inlineStr">
        <is>
          <t>36</t>
        </is>
      </c>
      <c r="E3248" s="233" t="inlineStr">
        <is>
          <t>38</t>
        </is>
      </c>
      <c r="F3248" s="227" t="inlineStr">
        <is>
          <t>R314</t>
        </is>
      </c>
    </row>
    <row r="3249">
      <c r="A3249" s="227">
        <f>TL[[#This Row],[Société]]&amp;" - "&amp;TL[[#This Row],[Compte]]</f>
        <v/>
      </c>
      <c r="B3249" s="233" t="inlineStr">
        <is>
          <t>68710000</t>
        </is>
      </c>
      <c r="C3249" s="227" t="inlineStr">
        <is>
          <t>Dot.amort.except.immobil.</t>
        </is>
      </c>
      <c r="D3249" s="233" t="inlineStr">
        <is>
          <t>36</t>
        </is>
      </c>
      <c r="E3249" s="233" t="inlineStr">
        <is>
          <t>38</t>
        </is>
      </c>
      <c r="F3249" s="227" t="inlineStr">
        <is>
          <t>R314</t>
        </is>
      </c>
    </row>
    <row r="3250">
      <c r="A3250" s="227">
        <f>TL[[#This Row],[Société]]&amp;" - "&amp;TL[[#This Row],[Compte]]</f>
        <v/>
      </c>
      <c r="B3250" s="233" t="inlineStr">
        <is>
          <t>68711000</t>
        </is>
      </c>
      <c r="C3250" s="227" t="inlineStr">
        <is>
          <t>Dot. amort. exce s/immob incorpore.</t>
        </is>
      </c>
      <c r="D3250" s="233" t="inlineStr">
        <is>
          <t>36</t>
        </is>
      </c>
      <c r="E3250" s="233" t="inlineStr">
        <is>
          <t>38</t>
        </is>
      </c>
      <c r="F3250" s="227" t="inlineStr">
        <is>
          <t>R314</t>
        </is>
      </c>
    </row>
    <row r="3251">
      <c r="A3251" s="227">
        <f>TL[[#This Row],[Société]]&amp;" - "&amp;TL[[#This Row],[Compte]]</f>
        <v/>
      </c>
      <c r="B3251" s="233" t="inlineStr">
        <is>
          <t>68712000</t>
        </is>
      </c>
      <c r="C3251" s="227" t="inlineStr">
        <is>
          <t>Dot. amort. exce s/immob corporel.</t>
        </is>
      </c>
      <c r="D3251" s="233" t="inlineStr">
        <is>
          <t>36</t>
        </is>
      </c>
      <c r="E3251" s="233" t="inlineStr">
        <is>
          <t>38</t>
        </is>
      </c>
      <c r="F3251" s="227" t="inlineStr">
        <is>
          <t>R314</t>
        </is>
      </c>
    </row>
    <row r="3252">
      <c r="A3252" s="227">
        <f>TL[[#This Row],[Société]]&amp;" - "&amp;TL[[#This Row],[Compte]]</f>
        <v/>
      </c>
      <c r="B3252" s="233" t="inlineStr">
        <is>
          <t>68725000</t>
        </is>
      </c>
      <c r="C3252" s="227" t="inlineStr">
        <is>
          <t>Dot. amortissements dérogatoires</t>
        </is>
      </c>
      <c r="F3252" s="227" t="inlineStr">
        <is>
          <t>R314</t>
        </is>
      </c>
    </row>
    <row r="3253">
      <c r="A3253" s="227">
        <f>TL[[#This Row],[Société]]&amp;" - "&amp;TL[[#This Row],[Compte]]</f>
        <v/>
      </c>
      <c r="B3253" s="233" t="inlineStr">
        <is>
          <t>69510000</t>
        </is>
      </c>
      <c r="C3253" s="227" t="inlineStr">
        <is>
          <t>Impots dus en france</t>
        </is>
      </c>
      <c r="D3253" s="233" t="inlineStr">
        <is>
          <t>99</t>
        </is>
      </c>
      <c r="E3253" s="233" t="inlineStr">
        <is>
          <t>48</t>
        </is>
      </c>
      <c r="F3253" s="227" t="inlineStr">
        <is>
          <t>R314</t>
        </is>
      </c>
    </row>
    <row r="3254">
      <c r="A3254" s="227">
        <f>TL[[#This Row],[Société]]&amp;" - "&amp;TL[[#This Row],[Compte]]</f>
        <v/>
      </c>
      <c r="B3254" s="233" t="inlineStr">
        <is>
          <t>69511000</t>
        </is>
      </c>
      <c r="C3254" s="227" t="inlineStr">
        <is>
          <t>Credit mecenat</t>
        </is>
      </c>
      <c r="D3254" s="233" t="inlineStr">
        <is>
          <t>56</t>
        </is>
      </c>
      <c r="E3254" s="233" t="inlineStr">
        <is>
          <t>48</t>
        </is>
      </c>
      <c r="F3254" s="227" t="inlineStr">
        <is>
          <t>R314</t>
        </is>
      </c>
    </row>
    <row r="3255">
      <c r="A3255" s="227">
        <f>TL[[#This Row],[Société]]&amp;" - "&amp;TL[[#This Row],[Compte]]</f>
        <v/>
      </c>
      <c r="B3255" s="233" t="inlineStr">
        <is>
          <t>69810000</t>
        </is>
      </c>
      <c r="C3255" s="227" t="inlineStr">
        <is>
          <t>Doit être à zéro-attente analytique</t>
        </is>
      </c>
      <c r="D3255" s="233" t="inlineStr">
        <is>
          <t>99</t>
        </is>
      </c>
      <c r="F3255" s="227" t="inlineStr">
        <is>
          <t>R314</t>
        </is>
      </c>
    </row>
    <row r="3256">
      <c r="A3256" s="227">
        <f>TL[[#This Row],[Société]]&amp;" - "&amp;TL[[#This Row],[Compte]]</f>
        <v/>
      </c>
      <c r="B3256" s="233" t="inlineStr">
        <is>
          <t>69891000</t>
        </is>
      </c>
      <c r="C3256" s="227" t="inlineStr">
        <is>
          <t>Mecenat gie</t>
        </is>
      </c>
      <c r="F3256" s="227" t="inlineStr">
        <is>
          <t>R314</t>
        </is>
      </c>
    </row>
    <row r="3257">
      <c r="A3257" s="227">
        <f>TL[[#This Row],[Société]]&amp;" - "&amp;TL[[#This Row],[Compte]]</f>
        <v/>
      </c>
      <c r="B3257" s="233" t="inlineStr">
        <is>
          <t>69892000</t>
        </is>
      </c>
      <c r="C3257" s="227" t="inlineStr">
        <is>
          <t>Cice gie</t>
        </is>
      </c>
      <c r="F3257" s="227" t="inlineStr">
        <is>
          <t>R314</t>
        </is>
      </c>
    </row>
    <row r="3258">
      <c r="A3258" s="227">
        <f>TL[[#This Row],[Société]]&amp;" - "&amp;TL[[#This Row],[Compte]]</f>
        <v/>
      </c>
      <c r="B3258" s="233" t="inlineStr">
        <is>
          <t>69910000</t>
        </is>
      </c>
      <c r="C3258" s="227" t="inlineStr">
        <is>
          <t>Crédit d'impôt</t>
        </is>
      </c>
      <c r="D3258" s="233" t="inlineStr">
        <is>
          <t>99</t>
        </is>
      </c>
      <c r="E3258" s="233" t="inlineStr">
        <is>
          <t>48</t>
        </is>
      </c>
      <c r="F3258" s="227" t="inlineStr">
        <is>
          <t>R314</t>
        </is>
      </c>
    </row>
    <row r="3259">
      <c r="A3259" s="227">
        <f>TL[[#This Row],[Société]]&amp;" - "&amp;TL[[#This Row],[Compte]]</f>
        <v/>
      </c>
      <c r="B3259" s="233" t="inlineStr">
        <is>
          <t>70100100</t>
        </is>
      </c>
      <c r="C3259" s="227" t="inlineStr">
        <is>
          <t>Ventes de produits finis</t>
        </is>
      </c>
      <c r="D3259" s="233" t="inlineStr">
        <is>
          <t>01</t>
        </is>
      </c>
      <c r="E3259" s="233" t="inlineStr">
        <is>
          <t>02</t>
        </is>
      </c>
      <c r="F3259" s="227" t="inlineStr">
        <is>
          <t>R314</t>
        </is>
      </c>
    </row>
    <row r="3260">
      <c r="A3260" s="227">
        <f>TL[[#This Row],[Société]]&amp;" - "&amp;TL[[#This Row],[Compte]]</f>
        <v/>
      </c>
      <c r="B3260" s="233" t="inlineStr">
        <is>
          <t>70100200</t>
        </is>
      </c>
      <c r="C3260" s="227" t="inlineStr">
        <is>
          <t>Ventes a 5.5%</t>
        </is>
      </c>
      <c r="D3260" s="233" t="inlineStr">
        <is>
          <t>01</t>
        </is>
      </c>
      <c r="E3260" s="233" t="inlineStr">
        <is>
          <t>02</t>
        </is>
      </c>
      <c r="F3260" s="227" t="inlineStr">
        <is>
          <t>R314</t>
        </is>
      </c>
    </row>
    <row r="3261">
      <c r="A3261" s="227">
        <f>TL[[#This Row],[Société]]&amp;" - "&amp;TL[[#This Row],[Compte]]</f>
        <v/>
      </c>
      <c r="B3261" s="233" t="inlineStr">
        <is>
          <t>70100300</t>
        </is>
      </c>
      <c r="C3261" s="227" t="inlineStr">
        <is>
          <t>Ventes à 7 %</t>
        </is>
      </c>
      <c r="D3261" s="233" t="inlineStr">
        <is>
          <t>01</t>
        </is>
      </c>
      <c r="E3261" s="233" t="inlineStr">
        <is>
          <t>02</t>
        </is>
      </c>
      <c r="F3261" s="227" t="inlineStr">
        <is>
          <t>R314</t>
        </is>
      </c>
    </row>
    <row r="3262">
      <c r="A3262" s="227">
        <f>TL[[#This Row],[Société]]&amp;" - "&amp;TL[[#This Row],[Compte]]</f>
        <v/>
      </c>
      <c r="B3262" s="233" t="inlineStr">
        <is>
          <t>70100400</t>
        </is>
      </c>
      <c r="C3262" s="227" t="inlineStr">
        <is>
          <t>Ventes a 19.6%</t>
        </is>
      </c>
      <c r="D3262" s="233" t="inlineStr">
        <is>
          <t>01</t>
        </is>
      </c>
      <c r="E3262" s="233" t="inlineStr">
        <is>
          <t>02</t>
        </is>
      </c>
      <c r="F3262" s="227" t="inlineStr">
        <is>
          <t>R314</t>
        </is>
      </c>
    </row>
    <row r="3263">
      <c r="A3263" s="227">
        <f>TL[[#This Row],[Société]]&amp;" - "&amp;TL[[#This Row],[Compte]]</f>
        <v/>
      </c>
      <c r="B3263" s="233" t="inlineStr">
        <is>
          <t>70101000</t>
        </is>
      </c>
      <c r="C3263" s="227" t="inlineStr">
        <is>
          <t>Ventes à 10%</t>
        </is>
      </c>
      <c r="D3263" s="233" t="inlineStr">
        <is>
          <t>01</t>
        </is>
      </c>
      <c r="E3263" s="233" t="inlineStr">
        <is>
          <t>02</t>
        </is>
      </c>
      <c r="F3263" s="227" t="inlineStr">
        <is>
          <t>R314</t>
        </is>
      </c>
    </row>
    <row r="3264">
      <c r="A3264" s="227">
        <f>TL[[#This Row],[Société]]&amp;" - "&amp;TL[[#This Row],[Compte]]</f>
        <v/>
      </c>
      <c r="B3264" s="233" t="inlineStr">
        <is>
          <t>70102000</t>
        </is>
      </c>
      <c r="C3264" s="227" t="inlineStr">
        <is>
          <t>Ventes à 20%</t>
        </is>
      </c>
      <c r="D3264" s="233" t="inlineStr">
        <is>
          <t>01</t>
        </is>
      </c>
      <c r="E3264" s="233" t="inlineStr">
        <is>
          <t>02</t>
        </is>
      </c>
      <c r="F3264" s="227" t="inlineStr">
        <is>
          <t>R314</t>
        </is>
      </c>
    </row>
    <row r="3265">
      <c r="A3265" s="227">
        <f>TL[[#This Row],[Société]]&amp;" - "&amp;TL[[#This Row],[Compte]]</f>
        <v/>
      </c>
      <c r="B3265" s="233" t="inlineStr">
        <is>
          <t>70230000</t>
        </is>
      </c>
      <c r="C3265" s="227" t="inlineStr">
        <is>
          <t>Ventes de produits interm</t>
        </is>
      </c>
      <c r="D3265" s="233" t="inlineStr">
        <is>
          <t>60</t>
        </is>
      </c>
      <c r="E3265" s="233" t="inlineStr">
        <is>
          <t>50</t>
        </is>
      </c>
      <c r="F3265" s="227" t="inlineStr">
        <is>
          <t>R314</t>
        </is>
      </c>
    </row>
    <row r="3266">
      <c r="A3266" s="227">
        <f>TL[[#This Row],[Société]]&amp;" - "&amp;TL[[#This Row],[Compte]]</f>
        <v/>
      </c>
      <c r="B3266" s="233" t="inlineStr">
        <is>
          <t>70800000</t>
        </is>
      </c>
      <c r="C3266" s="227" t="inlineStr">
        <is>
          <t>Remise Martin Brower</t>
        </is>
      </c>
      <c r="D3266" s="233" t="inlineStr">
        <is>
          <t>06</t>
        </is>
      </c>
      <c r="E3266" s="233" t="inlineStr">
        <is>
          <t>03</t>
        </is>
      </c>
      <c r="F3266" s="227" t="inlineStr">
        <is>
          <t>R314</t>
        </is>
      </c>
    </row>
    <row r="3267">
      <c r="A3267" s="227">
        <f>TL[[#This Row],[Société]]&amp;" - "&amp;TL[[#This Row],[Compte]]</f>
        <v/>
      </c>
      <c r="B3267" s="233" t="inlineStr">
        <is>
          <t>70810000</t>
        </is>
      </c>
      <c r="C3267" s="227" t="inlineStr">
        <is>
          <t>Pret de personnel</t>
        </is>
      </c>
      <c r="D3267" s="233" t="inlineStr">
        <is>
          <t>11</t>
        </is>
      </c>
      <c r="E3267" s="233" t="inlineStr">
        <is>
          <t>13</t>
        </is>
      </c>
      <c r="F3267" s="227" t="inlineStr">
        <is>
          <t>R314</t>
        </is>
      </c>
    </row>
    <row r="3268">
      <c r="A3268" s="227">
        <f>TL[[#This Row],[Société]]&amp;" - "&amp;TL[[#This Row],[Compte]]</f>
        <v/>
      </c>
      <c r="B3268" s="233" t="inlineStr">
        <is>
          <t>70810100</t>
        </is>
      </c>
      <c r="C3268" s="227" t="inlineStr">
        <is>
          <t>Refacturation équipiers</t>
        </is>
      </c>
      <c r="D3268" s="233" t="inlineStr">
        <is>
          <t>10</t>
        </is>
      </c>
      <c r="E3268" s="233" t="inlineStr">
        <is>
          <t>08</t>
        </is>
      </c>
      <c r="F3268" s="227" t="inlineStr">
        <is>
          <t>R314</t>
        </is>
      </c>
    </row>
    <row r="3269">
      <c r="A3269" s="227">
        <f>TL[[#This Row],[Société]]&amp;" - "&amp;TL[[#This Row],[Compte]]</f>
        <v/>
      </c>
      <c r="B3269" s="233" t="inlineStr">
        <is>
          <t>70810200</t>
        </is>
      </c>
      <c r="C3269" s="227" t="inlineStr">
        <is>
          <t>Refacturation équipiers charges</t>
        </is>
      </c>
      <c r="D3269" s="239" t="inlineStr">
        <is>
          <t>10</t>
        </is>
      </c>
      <c r="E3269" s="233" t="inlineStr">
        <is>
          <t>09</t>
        </is>
      </c>
      <c r="F3269" s="227" t="inlineStr">
        <is>
          <t>R314</t>
        </is>
      </c>
    </row>
    <row r="3270">
      <c r="A3270" s="227">
        <f>TL[[#This Row],[Société]]&amp;" - "&amp;TL[[#This Row],[Compte]]</f>
        <v/>
      </c>
      <c r="B3270" s="233" t="inlineStr">
        <is>
          <t>70810400</t>
        </is>
      </c>
      <c r="C3270" s="227" t="inlineStr">
        <is>
          <t>Prêt de personnel managers</t>
        </is>
      </c>
      <c r="D3270" s="233" t="inlineStr">
        <is>
          <t>11</t>
        </is>
      </c>
      <c r="E3270" s="233" t="inlineStr">
        <is>
          <t>10</t>
        </is>
      </c>
      <c r="F3270" s="227" t="inlineStr">
        <is>
          <t>R314</t>
        </is>
      </c>
    </row>
    <row r="3271">
      <c r="A3271" s="227">
        <f>TL[[#This Row],[Société]]&amp;" - "&amp;TL[[#This Row],[Compte]]</f>
        <v/>
      </c>
      <c r="B3271" s="233" t="inlineStr">
        <is>
          <t>70811100</t>
        </is>
      </c>
      <c r="C3271" s="227" t="inlineStr">
        <is>
          <t>Refact personnel ligne 39 équipière</t>
        </is>
      </c>
      <c r="D3271" s="233" t="inlineStr">
        <is>
          <t>39</t>
        </is>
      </c>
      <c r="E3271" s="233" t="inlineStr">
        <is>
          <t>27</t>
        </is>
      </c>
      <c r="F3271" s="227" t="inlineStr">
        <is>
          <t>R314</t>
        </is>
      </c>
    </row>
    <row r="3272">
      <c r="A3272" s="227">
        <f>TL[[#This Row],[Société]]&amp;" - "&amp;TL[[#This Row],[Compte]]</f>
        <v/>
      </c>
      <c r="B3272" s="233" t="inlineStr">
        <is>
          <t>70820000</t>
        </is>
      </c>
      <c r="C3272" s="227" t="inlineStr">
        <is>
          <t>Refacturat° nourriture</t>
        </is>
      </c>
      <c r="D3272" s="233" t="inlineStr">
        <is>
          <t>06</t>
        </is>
      </c>
      <c r="E3272" s="233" t="inlineStr">
        <is>
          <t>03</t>
        </is>
      </c>
      <c r="F3272" s="227" t="inlineStr">
        <is>
          <t>R314</t>
        </is>
      </c>
    </row>
    <row r="3273">
      <c r="A3273" s="227">
        <f>TL[[#This Row],[Société]]&amp;" - "&amp;TL[[#This Row],[Compte]]</f>
        <v/>
      </c>
      <c r="B3273" s="233" t="inlineStr">
        <is>
          <t>70830000</t>
        </is>
      </c>
      <c r="C3273" s="227" t="inlineStr">
        <is>
          <t>Refacturat° papier</t>
        </is>
      </c>
      <c r="D3273" s="233" t="inlineStr">
        <is>
          <t>03</t>
        </is>
      </c>
      <c r="E3273" s="233" t="inlineStr">
        <is>
          <t>06</t>
        </is>
      </c>
      <c r="F3273" s="227" t="inlineStr">
        <is>
          <t>R314</t>
        </is>
      </c>
    </row>
    <row r="3274">
      <c r="A3274" s="227">
        <f>TL[[#This Row],[Société]]&amp;" - "&amp;TL[[#This Row],[Compte]]</f>
        <v/>
      </c>
      <c r="B3274" s="233" t="inlineStr">
        <is>
          <t>70840000</t>
        </is>
      </c>
      <c r="C3274" s="227" t="inlineStr">
        <is>
          <t>Refacturat° fournit exploitat°</t>
        </is>
      </c>
      <c r="D3274" s="233" t="inlineStr">
        <is>
          <t>18</t>
        </is>
      </c>
      <c r="E3274" s="233" t="inlineStr">
        <is>
          <t>25</t>
        </is>
      </c>
      <c r="F3274" s="227" t="inlineStr">
        <is>
          <t>R314</t>
        </is>
      </c>
    </row>
    <row r="3275">
      <c r="A3275" s="227">
        <f>TL[[#This Row],[Société]]&amp;" - "&amp;TL[[#This Row],[Compte]]</f>
        <v/>
      </c>
      <c r="B3275" s="233" t="inlineStr">
        <is>
          <t>70850000</t>
        </is>
      </c>
      <c r="C3275" s="227" t="inlineStr">
        <is>
          <t>Refacturation happy meals</t>
        </is>
      </c>
      <c r="D3275" s="233" t="inlineStr">
        <is>
          <t>62</t>
        </is>
      </c>
      <c r="E3275" s="233" t="inlineStr">
        <is>
          <t>42</t>
        </is>
      </c>
      <c r="F3275" s="227" t="inlineStr">
        <is>
          <t>R314</t>
        </is>
      </c>
    </row>
    <row r="3276">
      <c r="A3276" s="227">
        <f>TL[[#This Row],[Société]]&amp;" - "&amp;TL[[#This Row],[Compte]]</f>
        <v/>
      </c>
      <c r="B3276" s="233" t="inlineStr">
        <is>
          <t>70851000</t>
        </is>
      </c>
      <c r="C3276" s="227" t="inlineStr">
        <is>
          <t>refacturation cadeaux</t>
        </is>
      </c>
      <c r="D3276" s="233" t="inlineStr">
        <is>
          <t>15</t>
        </is>
      </c>
      <c r="E3276" s="233" t="inlineStr">
        <is>
          <t>23</t>
        </is>
      </c>
      <c r="F3276" s="227" t="inlineStr">
        <is>
          <t>R314</t>
        </is>
      </c>
    </row>
    <row r="3277">
      <c r="A3277" s="227">
        <f>TL[[#This Row],[Société]]&amp;" - "&amp;TL[[#This Row],[Compte]]</f>
        <v/>
      </c>
      <c r="B3277" s="233" t="inlineStr">
        <is>
          <t>70860000</t>
        </is>
      </c>
      <c r="C3277" s="227" t="inlineStr">
        <is>
          <t>Refacturation pub gie</t>
        </is>
      </c>
      <c r="D3277" s="233" t="inlineStr">
        <is>
          <t>15</t>
        </is>
      </c>
      <c r="E3277" s="233" t="inlineStr">
        <is>
          <t>22</t>
        </is>
      </c>
      <c r="F3277" s="227" t="inlineStr">
        <is>
          <t>R314</t>
        </is>
      </c>
    </row>
    <row r="3278">
      <c r="A3278" s="227">
        <f>TL[[#This Row],[Société]]&amp;" - "&amp;TL[[#This Row],[Compte]]</f>
        <v/>
      </c>
      <c r="B3278" s="233" t="inlineStr">
        <is>
          <t>70870000</t>
        </is>
      </c>
      <c r="C3278" s="227" t="inlineStr">
        <is>
          <t>Refacturation ndf déplacement</t>
        </is>
      </c>
      <c r="D3278" s="233" t="inlineStr">
        <is>
          <t>39</t>
        </is>
      </c>
      <c r="E3278" s="233" t="inlineStr">
        <is>
          <t>26</t>
        </is>
      </c>
      <c r="F3278" s="227" t="inlineStr">
        <is>
          <t>R314</t>
        </is>
      </c>
    </row>
    <row r="3279">
      <c r="A3279" s="227">
        <f>TL[[#This Row],[Société]]&amp;" - "&amp;TL[[#This Row],[Compte]]</f>
        <v/>
      </c>
      <c r="B3279" s="233" t="inlineStr">
        <is>
          <t>70875000</t>
        </is>
      </c>
      <c r="C3279" s="227" t="inlineStr">
        <is>
          <t>Refacturation uniformes</t>
        </is>
      </c>
      <c r="D3279" s="233" t="inlineStr">
        <is>
          <t>17</t>
        </is>
      </c>
      <c r="E3279" s="233" t="inlineStr">
        <is>
          <t>25</t>
        </is>
      </c>
      <c r="F3279" s="227" t="inlineStr">
        <is>
          <t>R314</t>
        </is>
      </c>
    </row>
    <row r="3280">
      <c r="A3280" s="227">
        <f>TL[[#This Row],[Société]]&amp;" - "&amp;TL[[#This Row],[Compte]]</f>
        <v/>
      </c>
      <c r="B3280" s="233" t="inlineStr">
        <is>
          <t>70880000</t>
        </is>
      </c>
      <c r="C3280" s="227" t="inlineStr">
        <is>
          <t>Refact huiles usagées</t>
        </is>
      </c>
      <c r="D3280" s="233" t="inlineStr">
        <is>
          <t>06</t>
        </is>
      </c>
      <c r="E3280" s="233" t="inlineStr">
        <is>
          <t>19</t>
        </is>
      </c>
      <c r="F3280" s="227" t="inlineStr">
        <is>
          <t>R314</t>
        </is>
      </c>
    </row>
    <row r="3281">
      <c r="A3281" s="227">
        <f>TL[[#This Row],[Société]]&amp;" - "&amp;TL[[#This Row],[Compte]]</f>
        <v/>
      </c>
      <c r="B3281" s="233" t="inlineStr">
        <is>
          <t>70881000</t>
        </is>
      </c>
      <c r="C3281" s="227" t="inlineStr">
        <is>
          <t>Refact formation mgrs</t>
        </is>
      </c>
      <c r="D3281" s="233" t="inlineStr">
        <is>
          <t>11</t>
        </is>
      </c>
      <c r="E3281" s="233" t="inlineStr">
        <is>
          <t>10</t>
        </is>
      </c>
      <c r="F3281" s="227" t="inlineStr">
        <is>
          <t>R314</t>
        </is>
      </c>
    </row>
    <row r="3282">
      <c r="A3282" s="227">
        <f>TL[[#This Row],[Société]]&amp;" - "&amp;TL[[#This Row],[Compte]]</f>
        <v/>
      </c>
      <c r="B3282" s="233" t="inlineStr">
        <is>
          <t>70883000</t>
        </is>
      </c>
      <c r="C3282" s="227" t="inlineStr">
        <is>
          <t>refacturation vehicule</t>
        </is>
      </c>
      <c r="D3282" s="233" t="inlineStr">
        <is>
          <t>39</t>
        </is>
      </c>
      <c r="E3282" s="233" t="inlineStr">
        <is>
          <t>40</t>
        </is>
      </c>
      <c r="F3282" s="227" t="inlineStr">
        <is>
          <t>R314</t>
        </is>
      </c>
    </row>
    <row r="3283">
      <c r="A3283" s="227">
        <f>TL[[#This Row],[Société]]&amp;" - "&amp;TL[[#This Row],[Compte]]</f>
        <v/>
      </c>
      <c r="B3283" s="233" t="inlineStr">
        <is>
          <t>70888200</t>
        </is>
      </c>
      <c r="C3283" s="227" t="inlineStr">
        <is>
          <t>Refact formation équipiers</t>
        </is>
      </c>
      <c r="D3283" s="233" t="inlineStr">
        <is>
          <t>10</t>
        </is>
      </c>
      <c r="E3283" s="233" t="inlineStr">
        <is>
          <t>08</t>
        </is>
      </c>
      <c r="F3283" s="227" t="inlineStr">
        <is>
          <t>R314</t>
        </is>
      </c>
    </row>
    <row r="3284">
      <c r="A3284" s="227">
        <f>TL[[#This Row],[Société]]&amp;" - "&amp;TL[[#This Row],[Compte]]</f>
        <v/>
      </c>
      <c r="B3284" s="233" t="inlineStr">
        <is>
          <t>70890000</t>
        </is>
      </c>
      <c r="C3284" s="227" t="inlineStr">
        <is>
          <t>Refact frais de réception</t>
        </is>
      </c>
      <c r="D3284" s="233" t="inlineStr">
        <is>
          <t>15</t>
        </is>
      </c>
      <c r="E3284" s="233" t="inlineStr">
        <is>
          <t>23</t>
        </is>
      </c>
      <c r="F3284" s="227" t="inlineStr">
        <is>
          <t>R314</t>
        </is>
      </c>
    </row>
    <row r="3285">
      <c r="A3285" s="227">
        <f>TL[[#This Row],[Société]]&amp;" - "&amp;TL[[#This Row],[Compte]]</f>
        <v/>
      </c>
      <c r="B3285" s="233" t="inlineStr">
        <is>
          <t>70891000</t>
        </is>
      </c>
      <c r="C3285" s="227" t="inlineStr">
        <is>
          <t>Refact publicité</t>
        </is>
      </c>
      <c r="D3285" s="233" t="inlineStr">
        <is>
          <t>15</t>
        </is>
      </c>
      <c r="E3285" s="233" t="inlineStr">
        <is>
          <t>22</t>
        </is>
      </c>
      <c r="F3285" s="227" t="inlineStr">
        <is>
          <t>R314</t>
        </is>
      </c>
    </row>
    <row r="3286">
      <c r="A3286" s="227">
        <f>TL[[#This Row],[Société]]&amp;" - "&amp;TL[[#This Row],[Compte]]</f>
        <v/>
      </c>
      <c r="B3286" s="233" t="inlineStr">
        <is>
          <t>72610000</t>
        </is>
      </c>
      <c r="C3286" s="227" t="inlineStr">
        <is>
          <t>AN Nourriture Equipiers</t>
        </is>
      </c>
      <c r="D3286" s="233" t="inlineStr">
        <is>
          <t>10</t>
        </is>
      </c>
      <c r="E3286" s="233" t="inlineStr">
        <is>
          <t>08</t>
        </is>
      </c>
      <c r="F3286" s="227" t="inlineStr">
        <is>
          <t>R314</t>
        </is>
      </c>
    </row>
    <row r="3287">
      <c r="A3287" s="227">
        <f>TL[[#This Row],[Société]]&amp;" - "&amp;TL[[#This Row],[Compte]]</f>
        <v/>
      </c>
      <c r="B3287" s="233" t="inlineStr">
        <is>
          <t>72611000</t>
        </is>
      </c>
      <c r="C3287" s="227" t="inlineStr">
        <is>
          <t>AN Nourriture Managers</t>
        </is>
      </c>
      <c r="D3287" s="233" t="inlineStr">
        <is>
          <t>11</t>
        </is>
      </c>
      <c r="E3287" s="233" t="inlineStr">
        <is>
          <t>10</t>
        </is>
      </c>
      <c r="F3287" s="227" t="inlineStr">
        <is>
          <t>R314</t>
        </is>
      </c>
    </row>
    <row r="3288">
      <c r="A3288" s="227">
        <f>TL[[#This Row],[Société]]&amp;" - "&amp;TL[[#This Row],[Compte]]</f>
        <v/>
      </c>
      <c r="B3288" s="233" t="inlineStr">
        <is>
          <t>74010000</t>
        </is>
      </c>
      <c r="C3288" s="227" t="inlineStr">
        <is>
          <t>Subvention d'exploitation</t>
        </is>
      </c>
      <c r="D3288" s="233" t="inlineStr">
        <is>
          <t>39</t>
        </is>
      </c>
      <c r="E3288" s="233" t="inlineStr">
        <is>
          <t>09</t>
        </is>
      </c>
      <c r="F3288" s="227" t="inlineStr">
        <is>
          <t>R314</t>
        </is>
      </c>
    </row>
    <row r="3289">
      <c r="A3289" s="227">
        <f>TL[[#This Row],[Société]]&amp;" - "&amp;TL[[#This Row],[Compte]]</f>
        <v/>
      </c>
      <c r="B3289" s="233" t="inlineStr">
        <is>
          <t>74020000</t>
        </is>
      </c>
      <c r="C3289" s="227" t="inlineStr">
        <is>
          <t>Subvention full image</t>
        </is>
      </c>
      <c r="D3289" s="236" t="inlineStr">
        <is>
          <t>10</t>
        </is>
      </c>
      <c r="E3289" s="233" t="inlineStr">
        <is>
          <t>45</t>
        </is>
      </c>
      <c r="F3289" s="227" t="inlineStr">
        <is>
          <t>R314</t>
        </is>
      </c>
    </row>
    <row r="3290">
      <c r="A3290" s="227">
        <f>TL[[#This Row],[Société]]&amp;" - "&amp;TL[[#This Row],[Compte]]</f>
        <v/>
      </c>
      <c r="B3290" s="233" t="inlineStr">
        <is>
          <t>74041000</t>
        </is>
      </c>
      <c r="C3290" s="227" t="inlineStr">
        <is>
          <t>Aide COVID-19</t>
        </is>
      </c>
      <c r="D3290" s="233" t="inlineStr">
        <is>
          <t>39</t>
        </is>
      </c>
      <c r="E3290" s="233" t="inlineStr">
        <is>
          <t>45</t>
        </is>
      </c>
      <c r="F3290" s="227" t="inlineStr">
        <is>
          <t>R314</t>
        </is>
      </c>
    </row>
    <row r="3291">
      <c r="A3291" s="227">
        <f>TL[[#This Row],[Société]]&amp;" - "&amp;TL[[#This Row],[Compte]]</f>
        <v/>
      </c>
      <c r="B3291" s="233" t="inlineStr">
        <is>
          <t>75800000</t>
        </is>
      </c>
      <c r="C3291" s="227" t="inlineStr">
        <is>
          <t>Prod.divers de gest.cour.</t>
        </is>
      </c>
      <c r="D3291" s="233" t="inlineStr">
        <is>
          <t>39</t>
        </is>
      </c>
      <c r="E3291" s="233" t="inlineStr">
        <is>
          <t>27</t>
        </is>
      </c>
      <c r="F3291" s="227" t="inlineStr">
        <is>
          <t>R314</t>
        </is>
      </c>
    </row>
    <row r="3292">
      <c r="A3292" s="227">
        <f>TL[[#This Row],[Société]]&amp;" - "&amp;TL[[#This Row],[Compte]]</f>
        <v/>
      </c>
      <c r="B3292" s="233" t="inlineStr">
        <is>
          <t>76400000</t>
        </is>
      </c>
      <c r="C3292" s="227" t="inlineStr">
        <is>
          <t>Coupons</t>
        </is>
      </c>
      <c r="D3292" s="233" t="inlineStr">
        <is>
          <t>37</t>
        </is>
      </c>
      <c r="E3292" s="233" t="inlineStr">
        <is>
          <t>42</t>
        </is>
      </c>
      <c r="F3292" s="227" t="inlineStr">
        <is>
          <t>R314</t>
        </is>
      </c>
    </row>
    <row r="3293">
      <c r="A3293" s="227">
        <f>TL[[#This Row],[Société]]&amp;" - "&amp;TL[[#This Row],[Compte]]</f>
        <v/>
      </c>
      <c r="B3293" s="233" t="inlineStr">
        <is>
          <t>76700000</t>
        </is>
      </c>
      <c r="C3293" s="227" t="inlineStr">
        <is>
          <t>Prod.nets/ces.val.mob.pla</t>
        </is>
      </c>
      <c r="D3293" s="233" t="inlineStr">
        <is>
          <t>38</t>
        </is>
      </c>
      <c r="E3293" s="233" t="inlineStr">
        <is>
          <t>42</t>
        </is>
      </c>
      <c r="F3293" s="227" t="inlineStr">
        <is>
          <t>R314</t>
        </is>
      </c>
    </row>
    <row r="3294">
      <c r="A3294" s="227">
        <f>TL[[#This Row],[Société]]&amp;" - "&amp;TL[[#This Row],[Compte]]</f>
        <v/>
      </c>
      <c r="B3294" s="233" t="inlineStr">
        <is>
          <t>76810000</t>
        </is>
      </c>
      <c r="C3294" s="227" t="inlineStr">
        <is>
          <t>Produits s/placement cpte à terme</t>
        </is>
      </c>
      <c r="D3294" s="233" t="inlineStr">
        <is>
          <t>38</t>
        </is>
      </c>
      <c r="E3294" s="233" t="inlineStr">
        <is>
          <t>42</t>
        </is>
      </c>
      <c r="F3294" s="227" t="inlineStr">
        <is>
          <t>R314</t>
        </is>
      </c>
    </row>
    <row r="3295">
      <c r="A3295" s="227">
        <f>TL[[#This Row],[Société]]&amp;" - "&amp;TL[[#This Row],[Compte]]</f>
        <v/>
      </c>
      <c r="B3295" s="233" t="inlineStr">
        <is>
          <t>77110000</t>
        </is>
      </c>
      <c r="C3295" s="227" t="inlineStr">
        <is>
          <t>Ecarts de caisse</t>
        </is>
      </c>
      <c r="D3295" s="233" t="inlineStr">
        <is>
          <t>22</t>
        </is>
      </c>
      <c r="E3295" s="233" t="inlineStr">
        <is>
          <t>27</t>
        </is>
      </c>
      <c r="F3295" s="227" t="inlineStr">
        <is>
          <t>R314</t>
        </is>
      </c>
    </row>
    <row r="3296">
      <c r="A3296" s="227">
        <f>TL[[#This Row],[Société]]&amp;" - "&amp;TL[[#This Row],[Compte]]</f>
        <v/>
      </c>
      <c r="B3296" s="233" t="inlineStr">
        <is>
          <t>77120000</t>
        </is>
      </c>
      <c r="C3296" s="227" t="inlineStr">
        <is>
          <t>produits exeptionnels</t>
        </is>
      </c>
      <c r="D3296" s="233" t="inlineStr">
        <is>
          <t>39</t>
        </is>
      </c>
      <c r="E3296" s="233" t="inlineStr">
        <is>
          <t>45</t>
        </is>
      </c>
      <c r="F3296" s="227" t="inlineStr">
        <is>
          <t>R314</t>
        </is>
      </c>
    </row>
    <row r="3297">
      <c r="A3297" s="227">
        <f>TL[[#This Row],[Société]]&amp;" - "&amp;TL[[#This Row],[Compte]]</f>
        <v/>
      </c>
      <c r="B3297" s="233" t="inlineStr">
        <is>
          <t>77200000</t>
        </is>
      </c>
      <c r="C3297" s="227" t="inlineStr">
        <is>
          <t>Produits expl.s/exerc.ante.</t>
        </is>
      </c>
      <c r="D3297" s="233" t="inlineStr">
        <is>
          <t>39</t>
        </is>
      </c>
      <c r="E3297" s="233" t="inlineStr">
        <is>
          <t>45</t>
        </is>
      </c>
      <c r="F3297" s="227" t="inlineStr">
        <is>
          <t>R314</t>
        </is>
      </c>
    </row>
    <row r="3298">
      <c r="A3298" s="227">
        <f>TL[[#This Row],[Société]]&amp;" - "&amp;TL[[#This Row],[Compte]]</f>
        <v/>
      </c>
      <c r="B3298" s="233" t="inlineStr">
        <is>
          <t>77500000</t>
        </is>
      </c>
      <c r="C3298" s="227" t="inlineStr">
        <is>
          <t>cession immo corporelle</t>
        </is>
      </c>
      <c r="D3298" s="233" t="inlineStr">
        <is>
          <t>39</t>
        </is>
      </c>
      <c r="E3298" s="233" t="inlineStr">
        <is>
          <t>45</t>
        </is>
      </c>
      <c r="F3298" s="227" t="inlineStr">
        <is>
          <t>R314</t>
        </is>
      </c>
    </row>
    <row r="3299">
      <c r="A3299" s="227">
        <f>TL[[#This Row],[Société]]&amp;" - "&amp;TL[[#This Row],[Compte]]</f>
        <v/>
      </c>
      <c r="B3299" s="233" t="inlineStr">
        <is>
          <t>77520000</t>
        </is>
      </c>
      <c r="C3299" s="227" t="inlineStr">
        <is>
          <t>Produit de cession d'éléments d'act</t>
        </is>
      </c>
      <c r="F3299" s="227" t="inlineStr">
        <is>
          <t>R314</t>
        </is>
      </c>
    </row>
    <row r="3300">
      <c r="A3300" s="227">
        <f>TL[[#This Row],[Société]]&amp;" - "&amp;TL[[#This Row],[Compte]]</f>
        <v/>
      </c>
      <c r="B3300" s="233" t="inlineStr">
        <is>
          <t>78111000</t>
        </is>
      </c>
      <c r="C3300" s="227" t="inlineStr">
        <is>
          <t>Repris.s/amort. immob. incorporelle</t>
        </is>
      </c>
      <c r="D3300" s="233" t="inlineStr">
        <is>
          <t>36</t>
        </is>
      </c>
      <c r="E3300" s="233" t="inlineStr">
        <is>
          <t>38</t>
        </is>
      </c>
      <c r="F3300" s="227" t="inlineStr">
        <is>
          <t>R314</t>
        </is>
      </c>
    </row>
    <row r="3301">
      <c r="A3301" s="227">
        <f>TL[[#This Row],[Société]]&amp;" - "&amp;TL[[#This Row],[Compte]]</f>
        <v/>
      </c>
      <c r="B3301" s="233" t="inlineStr">
        <is>
          <t>78112000</t>
        </is>
      </c>
      <c r="C3301" s="227" t="inlineStr">
        <is>
          <t>Repris.s/amort. immob. corporelle</t>
        </is>
      </c>
      <c r="D3301" s="233" t="inlineStr">
        <is>
          <t>36</t>
        </is>
      </c>
      <c r="E3301" s="233" t="inlineStr">
        <is>
          <t>38</t>
        </is>
      </c>
      <c r="F3301" s="227" t="inlineStr">
        <is>
          <t>R314</t>
        </is>
      </c>
    </row>
    <row r="3302">
      <c r="A3302" s="227">
        <f>TL[[#This Row],[Société]]&amp;" - "&amp;TL[[#This Row],[Compte]]</f>
        <v/>
      </c>
      <c r="B3302" s="233" t="inlineStr">
        <is>
          <t>78150000</t>
        </is>
      </c>
      <c r="C3302" s="227" t="inlineStr">
        <is>
          <t>Repr/prov.risq.charg.expl</t>
        </is>
      </c>
      <c r="D3302" s="233" t="inlineStr">
        <is>
          <t>99</t>
        </is>
      </c>
      <c r="E3302" s="233" t="inlineStr">
        <is>
          <t>38</t>
        </is>
      </c>
      <c r="F3302" s="227" t="inlineStr">
        <is>
          <t>R314</t>
        </is>
      </c>
    </row>
    <row r="3303">
      <c r="A3303" s="227">
        <f>TL[[#This Row],[Société]]&amp;" - "&amp;TL[[#This Row],[Compte]]</f>
        <v/>
      </c>
      <c r="B3303" s="233" t="inlineStr">
        <is>
          <t>78665000</t>
        </is>
      </c>
      <c r="C3303" s="227" t="inlineStr">
        <is>
          <t>Rep/prov.depr vmp</t>
        </is>
      </c>
      <c r="D3303" s="233" t="inlineStr">
        <is>
          <t>99</t>
        </is>
      </c>
      <c r="E3303" s="233" t="inlineStr">
        <is>
          <t>38</t>
        </is>
      </c>
      <c r="F3303" s="227" t="inlineStr">
        <is>
          <t>R314</t>
        </is>
      </c>
    </row>
    <row r="3304">
      <c r="A3304" s="227">
        <f>TL[[#This Row],[Société]]&amp;" - "&amp;TL[[#This Row],[Compte]]</f>
        <v/>
      </c>
      <c r="B3304" s="233" t="inlineStr">
        <is>
          <t>78725000</t>
        </is>
      </c>
      <c r="C3304" s="227" t="inlineStr">
        <is>
          <t>Reprises amortissements dérogatoire</t>
        </is>
      </c>
      <c r="D3304" s="233" t="inlineStr">
        <is>
          <t>36</t>
        </is>
      </c>
      <c r="E3304" s="233" t="inlineStr">
        <is>
          <t>38</t>
        </is>
      </c>
      <c r="F3304" s="227" t="inlineStr">
        <is>
          <t>R314</t>
        </is>
      </c>
    </row>
    <row r="3305">
      <c r="A3305" s="227">
        <f>TL[[#This Row],[Société]]&amp;" - "&amp;TL[[#This Row],[Compte]]</f>
        <v/>
      </c>
      <c r="B3305" s="233" t="inlineStr">
        <is>
          <t>79100000</t>
        </is>
      </c>
      <c r="C3305" s="227" t="inlineStr">
        <is>
          <t>Transfert charges exploitat</t>
        </is>
      </c>
      <c r="D3305" s="233" t="inlineStr">
        <is>
          <t>39</t>
        </is>
      </c>
      <c r="E3305" s="233" t="inlineStr">
        <is>
          <t>40</t>
        </is>
      </c>
      <c r="F3305" s="227" t="inlineStr">
        <is>
          <t>R314</t>
        </is>
      </c>
    </row>
    <row r="3306">
      <c r="A3306" s="227">
        <f>TL[[#This Row],[Société]]&amp;" - "&amp;TL[[#This Row],[Compte]]</f>
        <v/>
      </c>
      <c r="B3306" s="233" t="inlineStr">
        <is>
          <t>79110000</t>
        </is>
      </c>
      <c r="C3306" s="227" t="inlineStr">
        <is>
          <t>Avantage nature mgr</t>
        </is>
      </c>
      <c r="D3306" s="233" t="inlineStr">
        <is>
          <t>11</t>
        </is>
      </c>
      <c r="E3306" s="233" t="inlineStr">
        <is>
          <t>10</t>
        </is>
      </c>
      <c r="F3306" s="227" t="inlineStr">
        <is>
          <t>R314</t>
        </is>
      </c>
    </row>
    <row r="3307">
      <c r="A3307" s="227">
        <f>TL[[#This Row],[Société]]&amp;" - "&amp;TL[[#This Row],[Compte]]</f>
        <v/>
      </c>
      <c r="B3307" s="233" t="inlineStr">
        <is>
          <t>79110100</t>
        </is>
      </c>
      <c r="C3307" s="227" t="inlineStr">
        <is>
          <t>Avantages en nat. repas equip.</t>
        </is>
      </c>
      <c r="D3307" s="233" t="inlineStr">
        <is>
          <t>10</t>
        </is>
      </c>
      <c r="E3307" s="233" t="inlineStr">
        <is>
          <t>08</t>
        </is>
      </c>
      <c r="F3307" s="227" t="inlineStr">
        <is>
          <t>R314</t>
        </is>
      </c>
    </row>
    <row r="3308">
      <c r="A3308" s="227">
        <f>TL[[#This Row],[Société]]&amp;" - "&amp;TL[[#This Row],[Compte]]</f>
        <v/>
      </c>
      <c r="B3308" s="233" t="inlineStr">
        <is>
          <t>79110400</t>
        </is>
      </c>
      <c r="C3308" s="227" t="inlineStr">
        <is>
          <t>Avantages en nat. repas manag.</t>
        </is>
      </c>
      <c r="D3308" s="233" t="inlineStr">
        <is>
          <t>11</t>
        </is>
      </c>
      <c r="E3308" s="233" t="inlineStr">
        <is>
          <t>10</t>
        </is>
      </c>
      <c r="F3308" s="227" t="inlineStr">
        <is>
          <t>R314</t>
        </is>
      </c>
    </row>
    <row r="3309">
      <c r="A3309" s="227">
        <f>TL[[#This Row],[Société]]&amp;" - "&amp;TL[[#This Row],[Compte]]</f>
        <v/>
      </c>
      <c r="B3309" s="233" t="inlineStr">
        <is>
          <t>79110500</t>
        </is>
      </c>
      <c r="C3309" s="227" t="inlineStr">
        <is>
          <t>Avantages en nat.voiture equipiers</t>
        </is>
      </c>
      <c r="D3309" s="233" t="inlineStr">
        <is>
          <t>10</t>
        </is>
      </c>
      <c r="E3309" s="233" t="inlineStr">
        <is>
          <t>08</t>
        </is>
      </c>
      <c r="F3309" s="227" t="inlineStr">
        <is>
          <t>R314</t>
        </is>
      </c>
    </row>
    <row r="3310">
      <c r="A3310" s="227">
        <f>TL[[#This Row],[Société]]&amp;" - "&amp;TL[[#This Row],[Compte]]</f>
        <v/>
      </c>
      <c r="B3310" s="233" t="inlineStr">
        <is>
          <t>79110600</t>
        </is>
      </c>
      <c r="C3310" s="227" t="inlineStr">
        <is>
          <t>Avantages en nat.voiture manag.</t>
        </is>
      </c>
      <c r="D3310" s="233" t="inlineStr">
        <is>
          <t>11</t>
        </is>
      </c>
      <c r="E3310" s="233" t="inlineStr">
        <is>
          <t>10</t>
        </is>
      </c>
      <c r="F3310" s="227" t="inlineStr">
        <is>
          <t>R314</t>
        </is>
      </c>
    </row>
    <row r="3311">
      <c r="A3311" s="227">
        <f>TL[[#This Row],[Société]]&amp;" - "&amp;TL[[#This Row],[Compte]]</f>
        <v/>
      </c>
      <c r="B3311" s="233" t="inlineStr">
        <is>
          <t>79111000</t>
        </is>
      </c>
      <c r="C3311" s="227" t="inlineStr">
        <is>
          <t>Avantage nature equipiers</t>
        </is>
      </c>
      <c r="D3311" s="233" t="inlineStr">
        <is>
          <t>10</t>
        </is>
      </c>
      <c r="E3311" s="233" t="inlineStr">
        <is>
          <t>08</t>
        </is>
      </c>
      <c r="F3311" s="227" t="inlineStr">
        <is>
          <t>R314</t>
        </is>
      </c>
    </row>
    <row r="3312">
      <c r="A3312" s="227">
        <f>TL[[#This Row],[Société]]&amp;" - "&amp;TL[[#This Row],[Compte]]</f>
        <v/>
      </c>
      <c r="B3312" s="233" t="inlineStr">
        <is>
          <t>79120000</t>
        </is>
      </c>
      <c r="C3312" s="227" t="inlineStr">
        <is>
          <t>Trans. charges format° ta</t>
        </is>
      </c>
      <c r="D3312" s="233" t="inlineStr">
        <is>
          <t>99</t>
        </is>
      </c>
      <c r="E3312" s="233" t="inlineStr">
        <is>
          <t>40</t>
        </is>
      </c>
      <c r="F3312" s="227" t="inlineStr">
        <is>
          <t>R314</t>
        </is>
      </c>
    </row>
    <row r="3313">
      <c r="A3313" s="227">
        <f>TL[[#This Row],[Société]]&amp;" - "&amp;TL[[#This Row],[Compte]]</f>
        <v/>
      </c>
      <c r="B3313" s="233" t="inlineStr">
        <is>
          <t>89000000</t>
        </is>
      </c>
      <c r="C3313" s="227" t="inlineStr">
        <is>
          <t>Compte de bilan</t>
        </is>
      </c>
      <c r="F3313" s="227" t="inlineStr">
        <is>
          <t>R314</t>
        </is>
      </c>
    </row>
    <row r="3314">
      <c r="A3314" s="227">
        <f>TL[[#This Row],[Société]]&amp;" - "&amp;TL[[#This Row],[Compte]]</f>
        <v/>
      </c>
      <c r="B3314" s="233" t="inlineStr">
        <is>
          <t>90604100</t>
        </is>
      </c>
      <c r="C3314" s="227" t="inlineStr">
        <is>
          <t>n°/FACT 44/05 FACURE PARTENARIAT FF</t>
        </is>
      </c>
      <c r="F3314" s="227" t="inlineStr">
        <is>
          <t>R314</t>
        </is>
      </c>
    </row>
    <row r="3315">
      <c r="A3315" s="227">
        <f>TL[[#This Row],[Société]]&amp;" - "&amp;TL[[#This Row],[Compte]]</f>
        <v/>
      </c>
      <c r="B3315" s="233" t="inlineStr">
        <is>
          <t>92208750</t>
        </is>
      </c>
      <c r="C3315" s="227" t="inlineStr">
        <is>
          <t>n°/FACT 41/05 AVOIR STANLEY DU 29/0</t>
        </is>
      </c>
      <c r="F3315" s="227" t="inlineStr">
        <is>
          <t>R314</t>
        </is>
      </c>
    </row>
    <row r="3316">
      <c r="A3316" s="227">
        <f>TL[[#This Row],[Société]]&amp;" - "&amp;TL[[#This Row],[Compte]]</f>
        <v/>
      </c>
      <c r="B3316" s="233" t="inlineStr">
        <is>
          <t>101100</t>
        </is>
      </c>
      <c r="C3316" s="227" t="inlineStr">
        <is>
          <t>Capital souscrit-non appelé</t>
        </is>
      </c>
      <c r="F3316" s="227" t="inlineStr">
        <is>
          <t>TIRR</t>
        </is>
      </c>
    </row>
    <row r="3317">
      <c r="A3317" s="227">
        <f>TL[[#This Row],[Société]]&amp;" - "&amp;TL[[#This Row],[Compte]]</f>
        <v/>
      </c>
      <c r="B3317" s="233" t="inlineStr">
        <is>
          <t>101300</t>
        </is>
      </c>
      <c r="C3317" s="227" t="inlineStr">
        <is>
          <t>Capital souscrit-appelé, versé</t>
        </is>
      </c>
      <c r="F3317" s="227" t="inlineStr">
        <is>
          <t>TIRR</t>
        </is>
      </c>
    </row>
    <row r="3318">
      <c r="A3318" s="227">
        <f>TL[[#This Row],[Société]]&amp;" - "&amp;TL[[#This Row],[Compte]]</f>
        <v/>
      </c>
      <c r="B3318" s="233" t="inlineStr">
        <is>
          <t>106100</t>
        </is>
      </c>
      <c r="C3318" s="227" t="inlineStr">
        <is>
          <t>Reserve légale</t>
        </is>
      </c>
      <c r="F3318" s="227" t="inlineStr">
        <is>
          <t>TIRR</t>
        </is>
      </c>
    </row>
    <row r="3319">
      <c r="A3319" s="227">
        <f>TL[[#This Row],[Société]]&amp;" - "&amp;TL[[#This Row],[Compte]]</f>
        <v/>
      </c>
      <c r="B3319" s="233" t="inlineStr">
        <is>
          <t>106300</t>
        </is>
      </c>
      <c r="C3319" s="227" t="inlineStr">
        <is>
          <t>Réserves statutaires ou contract.</t>
        </is>
      </c>
      <c r="F3319" s="227" t="inlineStr">
        <is>
          <t>TIRR</t>
        </is>
      </c>
    </row>
    <row r="3320">
      <c r="A3320" s="227">
        <f>TL[[#This Row],[Société]]&amp;" - "&amp;TL[[#This Row],[Compte]]</f>
        <v/>
      </c>
      <c r="B3320" s="233" t="inlineStr">
        <is>
          <t>106800</t>
        </is>
      </c>
      <c r="C3320" s="227" t="inlineStr">
        <is>
          <t>Autres reserves</t>
        </is>
      </c>
      <c r="F3320" s="227" t="inlineStr">
        <is>
          <t>TIRR</t>
        </is>
      </c>
    </row>
    <row r="3321">
      <c r="A3321" s="227">
        <f>TL[[#This Row],[Société]]&amp;" - "&amp;TL[[#This Row],[Compte]]</f>
        <v/>
      </c>
      <c r="B3321" s="233" t="inlineStr">
        <is>
          <t>110000</t>
        </is>
      </c>
      <c r="C3321" s="227" t="inlineStr">
        <is>
          <t>Report à nouveau</t>
        </is>
      </c>
      <c r="F3321" s="227" t="inlineStr">
        <is>
          <t>TIRR</t>
        </is>
      </c>
    </row>
    <row r="3322">
      <c r="A3322" s="227">
        <f>TL[[#This Row],[Société]]&amp;" - "&amp;TL[[#This Row],[Compte]]</f>
        <v/>
      </c>
      <c r="B3322" s="233" t="inlineStr">
        <is>
          <t>120000</t>
        </is>
      </c>
      <c r="C3322" s="227" t="inlineStr">
        <is>
          <t>Bénéfice</t>
        </is>
      </c>
      <c r="F3322" s="227" t="inlineStr">
        <is>
          <t>TIRR</t>
        </is>
      </c>
    </row>
    <row r="3323">
      <c r="A3323" s="227">
        <f>TL[[#This Row],[Société]]&amp;" - "&amp;TL[[#This Row],[Compte]]</f>
        <v/>
      </c>
      <c r="B3323" s="233" t="inlineStr">
        <is>
          <t>12200;</t>
        </is>
      </c>
      <c r="C3323" s="227" t="inlineStr">
        <is>
          <t>.</t>
        </is>
      </c>
      <c r="F3323" s="227" t="inlineStr">
        <is>
          <t>TIRR</t>
        </is>
      </c>
    </row>
    <row r="3324">
      <c r="A3324" s="227">
        <f>TL[[#This Row],[Société]]&amp;" - "&amp;TL[[#This Row],[Compte]]</f>
        <v/>
      </c>
      <c r="B3324" s="233" t="inlineStr">
        <is>
          <t>128000</t>
        </is>
      </c>
      <c r="C3324" s="227" t="inlineStr">
        <is>
          <t>Acomptes sur les dividendes</t>
        </is>
      </c>
      <c r="F3324" s="227" t="inlineStr">
        <is>
          <t>TIRR</t>
        </is>
      </c>
    </row>
    <row r="3325">
      <c r="A3325" s="227">
        <f>TL[[#This Row],[Société]]&amp;" - "&amp;TL[[#This Row],[Compte]]</f>
        <v/>
      </c>
      <c r="B3325" s="233" t="inlineStr">
        <is>
          <t>129000</t>
        </is>
      </c>
      <c r="C3325" s="227" t="inlineStr">
        <is>
          <t>Perte</t>
        </is>
      </c>
      <c r="F3325" s="227" t="inlineStr">
        <is>
          <t>TIRR</t>
        </is>
      </c>
    </row>
    <row r="3326">
      <c r="A3326" s="227">
        <f>TL[[#This Row],[Société]]&amp;" - "&amp;TL[[#This Row],[Compte]]</f>
        <v/>
      </c>
      <c r="B3326" s="233" t="inlineStr">
        <is>
          <t>145000</t>
        </is>
      </c>
      <c r="C3326" s="227" t="inlineStr">
        <is>
          <t>Amortissements dérogatoires</t>
        </is>
      </c>
      <c r="F3326" s="227" t="inlineStr">
        <is>
          <t>TIRR</t>
        </is>
      </c>
    </row>
    <row r="3327">
      <c r="A3327" s="227">
        <f>TL[[#This Row],[Société]]&amp;" - "&amp;TL[[#This Row],[Compte]]</f>
        <v/>
      </c>
      <c r="B3327" s="233" t="inlineStr">
        <is>
          <t>151800</t>
        </is>
      </c>
      <c r="C3327" s="227" t="inlineStr">
        <is>
          <t>Autres prov risques &amp; charges</t>
        </is>
      </c>
      <c r="F3327" s="227" t="inlineStr">
        <is>
          <t>TIRR</t>
        </is>
      </c>
    </row>
    <row r="3328">
      <c r="A3328" s="227">
        <f>TL[[#This Row],[Société]]&amp;" - "&amp;TL[[#This Row],[Compte]]</f>
        <v/>
      </c>
      <c r="B3328" s="233" t="inlineStr">
        <is>
          <t>153000</t>
        </is>
      </c>
      <c r="C3328" s="227" t="inlineStr">
        <is>
          <t>Provisions pensions &amp; obligat.simil</t>
        </is>
      </c>
      <c r="F3328" s="227" t="inlineStr">
        <is>
          <t>TIRR</t>
        </is>
      </c>
    </row>
    <row r="3329">
      <c r="A3329" s="227">
        <f>TL[[#This Row],[Société]]&amp;" - "&amp;TL[[#This Row],[Compte]]</f>
        <v/>
      </c>
      <c r="B3329" s="233" t="inlineStr">
        <is>
          <t>158000</t>
        </is>
      </c>
      <c r="C3329" s="227" t="inlineStr">
        <is>
          <t>Autres provisions pour charges</t>
        </is>
      </c>
      <c r="F3329" s="227" t="inlineStr">
        <is>
          <t>TIRR</t>
        </is>
      </c>
    </row>
    <row r="3330">
      <c r="A3330" s="227">
        <f>TL[[#This Row],[Société]]&amp;" - "&amp;TL[[#This Row],[Compte]]</f>
        <v/>
      </c>
      <c r="B3330" s="233" t="inlineStr">
        <is>
          <t>164200</t>
        </is>
      </c>
      <c r="C3330" s="227" t="inlineStr">
        <is>
          <t>Emprunt CA 100 000 €</t>
        </is>
      </c>
      <c r="F3330" s="227" t="inlineStr">
        <is>
          <t>TIRR</t>
        </is>
      </c>
    </row>
    <row r="3331">
      <c r="A3331" s="227">
        <f>TL[[#This Row],[Société]]&amp;" - "&amp;TL[[#This Row],[Compte]]</f>
        <v/>
      </c>
      <c r="B3331" s="233" t="inlineStr">
        <is>
          <t>164300</t>
        </is>
      </c>
      <c r="C3331" s="227" t="inlineStr">
        <is>
          <t>Emprunt CA 70 000 €</t>
        </is>
      </c>
      <c r="F3331" s="227" t="inlineStr">
        <is>
          <t>TIRR</t>
        </is>
      </c>
    </row>
    <row r="3332">
      <c r="A3332" s="227">
        <f>TL[[#This Row],[Société]]&amp;" - "&amp;TL[[#This Row],[Compte]]</f>
        <v/>
      </c>
      <c r="B3332" s="233" t="inlineStr">
        <is>
          <t>164400</t>
        </is>
      </c>
      <c r="C3332" s="227" t="inlineStr">
        <is>
          <t>Emprunt CA 100 000€ PGE</t>
        </is>
      </c>
      <c r="F3332" s="227" t="inlineStr">
        <is>
          <t>TIRR</t>
        </is>
      </c>
    </row>
    <row r="3333">
      <c r="A3333" s="227">
        <f>TL[[#This Row],[Société]]&amp;" - "&amp;TL[[#This Row],[Compte]]</f>
        <v/>
      </c>
      <c r="B3333" s="233" t="inlineStr">
        <is>
          <t>164500</t>
        </is>
      </c>
      <c r="C3333" s="227" t="inlineStr">
        <is>
          <t>Emprunt CA 350 000€ PGE</t>
        </is>
      </c>
      <c r="F3333" s="227" t="inlineStr">
        <is>
          <t>TIRR</t>
        </is>
      </c>
    </row>
    <row r="3334">
      <c r="A3334" s="227">
        <f>TL[[#This Row],[Société]]&amp;" - "&amp;TL[[#This Row],[Compte]]</f>
        <v/>
      </c>
      <c r="B3334" s="233" t="inlineStr">
        <is>
          <t>168400</t>
        </is>
      </c>
      <c r="C3334" s="227" t="inlineStr">
        <is>
          <t>Intérêts courus sur emprunt</t>
        </is>
      </c>
      <c r="F3334" s="227" t="inlineStr">
        <is>
          <t>TIRR</t>
        </is>
      </c>
    </row>
    <row r="3335">
      <c r="A3335" s="227">
        <f>TL[[#This Row],[Société]]&amp;" - "&amp;TL[[#This Row],[Compte]]</f>
        <v/>
      </c>
      <c r="B3335" s="233" t="inlineStr">
        <is>
          <t>205000</t>
        </is>
      </c>
      <c r="C3335" s="227" t="inlineStr">
        <is>
          <t>Concessions et droits similaires</t>
        </is>
      </c>
      <c r="F3335" s="227" t="inlineStr">
        <is>
          <t>TIRR</t>
        </is>
      </c>
    </row>
    <row r="3336">
      <c r="A3336" s="227">
        <f>TL[[#This Row],[Société]]&amp;" - "&amp;TL[[#This Row],[Compte]]</f>
        <v/>
      </c>
      <c r="B3336" s="233" t="inlineStr">
        <is>
          <t>215400</t>
        </is>
      </c>
      <c r="C3336" s="227" t="inlineStr">
        <is>
          <t>Matériel industriel</t>
        </is>
      </c>
      <c r="F3336" s="227" t="inlineStr">
        <is>
          <t>TIRR</t>
        </is>
      </c>
    </row>
    <row r="3337">
      <c r="A3337" s="227">
        <f>TL[[#This Row],[Société]]&amp;" - "&amp;TL[[#This Row],[Compte]]</f>
        <v/>
      </c>
      <c r="B3337" s="233" t="inlineStr">
        <is>
          <t>215500</t>
        </is>
      </c>
      <c r="C3337" s="227" t="inlineStr">
        <is>
          <t>Outillage industriel</t>
        </is>
      </c>
      <c r="F3337" s="227" t="inlineStr">
        <is>
          <t>TIRR</t>
        </is>
      </c>
    </row>
    <row r="3338">
      <c r="A3338" s="227">
        <f>TL[[#This Row],[Société]]&amp;" - "&amp;TL[[#This Row],[Compte]]</f>
        <v/>
      </c>
      <c r="B3338" s="233" t="inlineStr">
        <is>
          <t>218100</t>
        </is>
      </c>
      <c r="C3338" s="227" t="inlineStr">
        <is>
          <t>Instal.gales, agenct, aménagt.div.</t>
        </is>
      </c>
      <c r="F3338" s="227" t="inlineStr">
        <is>
          <t>TIRR</t>
        </is>
      </c>
    </row>
    <row r="3339">
      <c r="A3339" s="227">
        <f>TL[[#This Row],[Société]]&amp;" - "&amp;TL[[#This Row],[Compte]]</f>
        <v/>
      </c>
      <c r="B3339" s="233" t="inlineStr">
        <is>
          <t>218200</t>
        </is>
      </c>
      <c r="C3339" s="227" t="inlineStr">
        <is>
          <t>Matériel de transport</t>
        </is>
      </c>
      <c r="F3339" s="227" t="inlineStr">
        <is>
          <t>TIRR</t>
        </is>
      </c>
    </row>
    <row r="3340">
      <c r="A3340" s="227">
        <f>TL[[#This Row],[Société]]&amp;" - "&amp;TL[[#This Row],[Compte]]</f>
        <v/>
      </c>
      <c r="B3340" s="233" t="inlineStr">
        <is>
          <t>218300</t>
        </is>
      </c>
      <c r="C3340" s="227" t="inlineStr">
        <is>
          <t>Matériel de bureau</t>
        </is>
      </c>
      <c r="F3340" s="227" t="inlineStr">
        <is>
          <t>TIRR</t>
        </is>
      </c>
    </row>
    <row r="3341">
      <c r="A3341" s="227">
        <f>TL[[#This Row],[Société]]&amp;" - "&amp;TL[[#This Row],[Compte]]</f>
        <v/>
      </c>
      <c r="B3341" s="233" t="inlineStr">
        <is>
          <t>218400</t>
        </is>
      </c>
      <c r="C3341" s="227" t="inlineStr">
        <is>
          <t>Mobilier</t>
        </is>
      </c>
      <c r="F3341" s="227" t="inlineStr">
        <is>
          <t>TIRR</t>
        </is>
      </c>
    </row>
    <row r="3342">
      <c r="A3342" s="227">
        <f>TL[[#This Row],[Société]]&amp;" - "&amp;TL[[#This Row],[Compte]]</f>
        <v/>
      </c>
      <c r="B3342" s="233" t="inlineStr">
        <is>
          <t>231000</t>
        </is>
      </c>
      <c r="C3342" s="227" t="inlineStr">
        <is>
          <t>Npu</t>
        </is>
      </c>
      <c r="F3342" s="227" t="inlineStr">
        <is>
          <t>TIRR</t>
        </is>
      </c>
    </row>
    <row r="3343">
      <c r="A3343" s="227">
        <f>TL[[#This Row],[Société]]&amp;" - "&amp;TL[[#This Row],[Compte]]</f>
        <v/>
      </c>
      <c r="B3343" s="233" t="inlineStr">
        <is>
          <t>275000</t>
        </is>
      </c>
      <c r="C3343" s="227" t="inlineStr">
        <is>
          <t>Dépôts et cautionnements</t>
        </is>
      </c>
      <c r="F3343" s="227" t="inlineStr">
        <is>
          <t>TIRR</t>
        </is>
      </c>
    </row>
    <row r="3344">
      <c r="A3344" s="227">
        <f>TL[[#This Row],[Société]]&amp;" - "&amp;TL[[#This Row],[Compte]]</f>
        <v/>
      </c>
      <c r="B3344" s="233" t="inlineStr">
        <is>
          <t>280500</t>
        </is>
      </c>
      <c r="C3344" s="227" t="inlineStr">
        <is>
          <t>Amortis. concess. &amp; droits simil.</t>
        </is>
      </c>
      <c r="F3344" s="227" t="inlineStr">
        <is>
          <t>TIRR</t>
        </is>
      </c>
    </row>
    <row r="3345">
      <c r="A3345" s="227">
        <f>TL[[#This Row],[Société]]&amp;" - "&amp;TL[[#This Row],[Compte]]</f>
        <v/>
      </c>
      <c r="B3345" s="233" t="inlineStr">
        <is>
          <t>281540</t>
        </is>
      </c>
      <c r="C3345" s="227" t="inlineStr">
        <is>
          <t>Amort.materiel de cuisine</t>
        </is>
      </c>
      <c r="F3345" s="227" t="inlineStr">
        <is>
          <t>TIRR</t>
        </is>
      </c>
    </row>
    <row r="3346">
      <c r="A3346" s="227">
        <f>TL[[#This Row],[Société]]&amp;" - "&amp;TL[[#This Row],[Compte]]</f>
        <v/>
      </c>
      <c r="B3346" s="233" t="inlineStr">
        <is>
          <t>281550</t>
        </is>
      </c>
      <c r="C3346" s="227" t="inlineStr">
        <is>
          <t>Amort.outillage industriel</t>
        </is>
      </c>
      <c r="F3346" s="227" t="inlineStr">
        <is>
          <t>TIRR</t>
        </is>
      </c>
    </row>
    <row r="3347">
      <c r="A3347" s="227">
        <f>TL[[#This Row],[Société]]&amp;" - "&amp;TL[[#This Row],[Compte]]</f>
        <v/>
      </c>
      <c r="B3347" s="233" t="inlineStr">
        <is>
          <t>281810</t>
        </is>
      </c>
      <c r="C3347" s="227" t="inlineStr">
        <is>
          <t>Amortis. instal. gales, agenct. div</t>
        </is>
      </c>
      <c r="F3347" s="227" t="inlineStr">
        <is>
          <t>TIRR</t>
        </is>
      </c>
    </row>
    <row r="3348">
      <c r="A3348" s="227">
        <f>TL[[#This Row],[Société]]&amp;" - "&amp;TL[[#This Row],[Compte]]</f>
        <v/>
      </c>
      <c r="B3348" s="233" t="inlineStr">
        <is>
          <t>281830</t>
        </is>
      </c>
      <c r="C3348" s="227" t="inlineStr">
        <is>
          <t>Amortis. matér.bureau et informat.</t>
        </is>
      </c>
      <c r="F3348" s="227" t="inlineStr">
        <is>
          <t>TIRR</t>
        </is>
      </c>
    </row>
    <row r="3349">
      <c r="A3349" s="227">
        <f>TL[[#This Row],[Société]]&amp;" - "&amp;TL[[#This Row],[Compte]]</f>
        <v/>
      </c>
      <c r="B3349" s="233" t="inlineStr">
        <is>
          <t>281840</t>
        </is>
      </c>
      <c r="C3349" s="227" t="inlineStr">
        <is>
          <t>Amortis. mobilier</t>
        </is>
      </c>
      <c r="F3349" s="227" t="inlineStr">
        <is>
          <t>TIRR</t>
        </is>
      </c>
    </row>
    <row r="3350">
      <c r="A3350" s="227">
        <f>TL[[#This Row],[Société]]&amp;" - "&amp;TL[[#This Row],[Compte]]</f>
        <v/>
      </c>
      <c r="B3350" s="233" t="inlineStr">
        <is>
          <t>310000</t>
        </is>
      </c>
      <c r="C3350" s="227" t="inlineStr">
        <is>
          <t>Stocks matières premières</t>
        </is>
      </c>
      <c r="F3350" s="227" t="inlineStr">
        <is>
          <t>TIRR</t>
        </is>
      </c>
    </row>
    <row r="3351">
      <c r="A3351" s="227">
        <f>TL[[#This Row],[Société]]&amp;" - "&amp;TL[[#This Row],[Compte]]</f>
        <v/>
      </c>
      <c r="B3351" s="233" t="inlineStr">
        <is>
          <t>320000</t>
        </is>
      </c>
      <c r="C3351" s="227" t="inlineStr">
        <is>
          <t>Stocks emballages</t>
        </is>
      </c>
      <c r="F3351" s="227" t="inlineStr">
        <is>
          <t>TIRR</t>
        </is>
      </c>
    </row>
    <row r="3352">
      <c r="A3352" s="227">
        <f>TL[[#This Row],[Société]]&amp;" - "&amp;TL[[#This Row],[Compte]]</f>
        <v/>
      </c>
      <c r="B3352" s="233" t="inlineStr">
        <is>
          <t>321000</t>
        </is>
      </c>
      <c r="C3352" s="227" t="inlineStr">
        <is>
          <t>Stocks pdts non costs</t>
        </is>
      </c>
      <c r="F3352" s="227" t="inlineStr">
        <is>
          <t>TIRR</t>
        </is>
      </c>
    </row>
    <row r="3353">
      <c r="A3353" s="227">
        <f>TL[[#This Row],[Société]]&amp;" - "&amp;TL[[#This Row],[Compte]]</f>
        <v/>
      </c>
      <c r="B3353" s="233" t="inlineStr">
        <is>
          <t>401000</t>
        </is>
      </c>
      <c r="C3353" s="227" t="inlineStr">
        <is>
          <t>Fournisseurs</t>
        </is>
      </c>
      <c r="F3353" s="227" t="inlineStr">
        <is>
          <t>TIRR</t>
        </is>
      </c>
    </row>
    <row r="3354">
      <c r="A3354" s="227">
        <f>TL[[#This Row],[Société]]&amp;" - "&amp;TL[[#This Row],[Compte]]</f>
        <v/>
      </c>
      <c r="B3354" s="233" t="inlineStr">
        <is>
          <t>401999</t>
        </is>
      </c>
      <c r="C3354" s="227" t="inlineStr">
        <is>
          <t>Central frns deb</t>
        </is>
      </c>
      <c r="F3354" s="227" t="inlineStr">
        <is>
          <t>TIRR</t>
        </is>
      </c>
    </row>
    <row r="3355">
      <c r="A3355" s="227">
        <f>TL[[#This Row],[Société]]&amp;" - "&amp;TL[[#This Row],[Compte]]</f>
        <v/>
      </c>
      <c r="B3355" s="233" t="inlineStr">
        <is>
          <t>404110</t>
        </is>
      </c>
      <c r="C3355" s="227" t="inlineStr">
        <is>
          <t>Fournisseurs d'immobilisations</t>
        </is>
      </c>
      <c r="F3355" s="227" t="inlineStr">
        <is>
          <t>TIRR</t>
        </is>
      </c>
    </row>
    <row r="3356">
      <c r="A3356" s="227">
        <f>TL[[#This Row],[Société]]&amp;" - "&amp;TL[[#This Row],[Compte]]</f>
        <v/>
      </c>
      <c r="B3356" s="233" t="inlineStr">
        <is>
          <t>408100</t>
        </is>
      </c>
      <c r="C3356" s="227" t="inlineStr">
        <is>
          <t>Fournisseurs - fact. non parvenues</t>
        </is>
      </c>
      <c r="F3356" s="227" t="inlineStr">
        <is>
          <t>TIRR</t>
        </is>
      </c>
    </row>
    <row r="3357">
      <c r="A3357" s="227">
        <f>TL[[#This Row],[Société]]&amp;" - "&amp;TL[[#This Row],[Compte]]</f>
        <v/>
      </c>
      <c r="B3357" s="233" t="inlineStr">
        <is>
          <t>409100</t>
        </is>
      </c>
      <c r="C3357" s="227" t="inlineStr">
        <is>
          <t>Fournisseurs - acomptes s/commandes</t>
        </is>
      </c>
      <c r="F3357" s="227" t="inlineStr">
        <is>
          <t>TIRR</t>
        </is>
      </c>
    </row>
    <row r="3358">
      <c r="A3358" s="227">
        <f>TL[[#This Row],[Société]]&amp;" - "&amp;TL[[#This Row],[Compte]]</f>
        <v/>
      </c>
      <c r="B3358" s="233" t="inlineStr">
        <is>
          <t>409600</t>
        </is>
      </c>
      <c r="C3358" s="227" t="inlineStr">
        <is>
          <t>Consignes</t>
        </is>
      </c>
      <c r="F3358" s="227" t="inlineStr">
        <is>
          <t>TIRR</t>
        </is>
      </c>
    </row>
    <row r="3359">
      <c r="A3359" s="227">
        <f>TL[[#This Row],[Société]]&amp;" - "&amp;TL[[#This Row],[Compte]]</f>
        <v/>
      </c>
      <c r="B3359" s="233" t="inlineStr">
        <is>
          <t>409700</t>
        </is>
      </c>
      <c r="C3359" s="227" t="inlineStr">
        <is>
          <t>Fournisseurs - autres avoirs</t>
        </is>
      </c>
      <c r="F3359" s="227" t="inlineStr">
        <is>
          <t>TIRR</t>
        </is>
      </c>
    </row>
    <row r="3360">
      <c r="A3360" s="227">
        <f>TL[[#This Row],[Société]]&amp;" - "&amp;TL[[#This Row],[Compte]]</f>
        <v/>
      </c>
      <c r="B3360" s="233" t="inlineStr">
        <is>
          <t>409800</t>
        </is>
      </c>
      <c r="C3360" s="227" t="inlineStr">
        <is>
          <t>Fournisseurs - rrr à obtenir</t>
        </is>
      </c>
      <c r="F3360" s="227" t="inlineStr">
        <is>
          <t>TIRR</t>
        </is>
      </c>
    </row>
    <row r="3361">
      <c r="A3361" s="227">
        <f>TL[[#This Row],[Société]]&amp;" - "&amp;TL[[#This Row],[Compte]]</f>
        <v/>
      </c>
      <c r="B3361" s="233" t="inlineStr">
        <is>
          <t>411000</t>
        </is>
      </c>
      <c r="C3361" s="227" t="inlineStr">
        <is>
          <t>Clients</t>
        </is>
      </c>
      <c r="F3361" s="227" t="inlineStr">
        <is>
          <t>TIRR</t>
        </is>
      </c>
    </row>
    <row r="3362">
      <c r="A3362" s="227">
        <f>TL[[#This Row],[Société]]&amp;" - "&amp;TL[[#This Row],[Compte]]</f>
        <v/>
      </c>
      <c r="B3362" s="233" t="inlineStr">
        <is>
          <t>411001</t>
        </is>
      </c>
      <c r="C3362" s="227" t="inlineStr">
        <is>
          <t>Oleo recycling</t>
        </is>
      </c>
      <c r="F3362" s="227" t="inlineStr">
        <is>
          <t>TIRR</t>
        </is>
      </c>
    </row>
    <row r="3363">
      <c r="A3363" s="227">
        <f>TL[[#This Row],[Société]]&amp;" - "&amp;TL[[#This Row],[Compte]]</f>
        <v/>
      </c>
      <c r="B3363" s="233" t="inlineStr">
        <is>
          <t>411006</t>
        </is>
      </c>
      <c r="C3363" s="227" t="inlineStr">
        <is>
          <t>Solde a nouveau</t>
        </is>
      </c>
      <c r="F3363" s="227" t="inlineStr">
        <is>
          <t>TIRR</t>
        </is>
      </c>
    </row>
    <row r="3364">
      <c r="A3364" s="227">
        <f>TL[[#This Row],[Société]]&amp;" - "&amp;TL[[#This Row],[Compte]]</f>
        <v/>
      </c>
      <c r="B3364" s="233" t="inlineStr">
        <is>
          <t>413000</t>
        </is>
      </c>
      <c r="C3364" s="227" t="inlineStr">
        <is>
          <t>Clients - effets à recevoir</t>
        </is>
      </c>
      <c r="F3364" s="227" t="inlineStr">
        <is>
          <t>TIRR</t>
        </is>
      </c>
    </row>
    <row r="3365">
      <c r="A3365" s="227">
        <f>TL[[#This Row],[Société]]&amp;" - "&amp;TL[[#This Row],[Compte]]</f>
        <v/>
      </c>
      <c r="B3365" s="233" t="inlineStr">
        <is>
          <t>416000</t>
        </is>
      </c>
      <c r="C3365" s="227" t="inlineStr">
        <is>
          <t>Impaye delarue</t>
        </is>
      </c>
      <c r="F3365" s="227" t="inlineStr">
        <is>
          <t>TIRR</t>
        </is>
      </c>
    </row>
    <row r="3366">
      <c r="A3366" s="227">
        <f>TL[[#This Row],[Société]]&amp;" - "&amp;TL[[#This Row],[Compte]]</f>
        <v/>
      </c>
      <c r="B3366" s="233" t="inlineStr">
        <is>
          <t>418100</t>
        </is>
      </c>
      <c r="C3366" s="227" t="inlineStr">
        <is>
          <t>Clients - factures à établir</t>
        </is>
      </c>
      <c r="F3366" s="227" t="inlineStr">
        <is>
          <t>TIRR</t>
        </is>
      </c>
    </row>
    <row r="3367">
      <c r="A3367" s="227">
        <f>TL[[#This Row],[Société]]&amp;" - "&amp;TL[[#This Row],[Compte]]</f>
        <v/>
      </c>
      <c r="B3367" s="233" t="inlineStr">
        <is>
          <t>421000</t>
        </is>
      </c>
      <c r="C3367" s="227" t="inlineStr">
        <is>
          <t>Personnel - rémunérations dues</t>
        </is>
      </c>
      <c r="F3367" s="227" t="inlineStr">
        <is>
          <t>TIRR</t>
        </is>
      </c>
    </row>
    <row r="3368">
      <c r="A3368" s="227">
        <f>TL[[#This Row],[Société]]&amp;" - "&amp;TL[[#This Row],[Compte]]</f>
        <v/>
      </c>
      <c r="B3368" s="233" t="inlineStr">
        <is>
          <t>421001</t>
        </is>
      </c>
      <c r="C3368" s="227" t="inlineStr">
        <is>
          <t>Personnel - rémunération + 1an</t>
        </is>
      </c>
      <c r="F3368" s="227" t="inlineStr">
        <is>
          <t>TIRR</t>
        </is>
      </c>
    </row>
    <row r="3369">
      <c r="A3369" s="227">
        <f>TL[[#This Row],[Société]]&amp;" - "&amp;TL[[#This Row],[Compte]]</f>
        <v/>
      </c>
      <c r="B3369" s="233" t="inlineStr">
        <is>
          <t>421444</t>
        </is>
      </c>
      <c r="C3369" s="227" t="inlineStr">
        <is>
          <t>Salariés</t>
        </is>
      </c>
      <c r="F3369" s="227" t="inlineStr">
        <is>
          <t>TIRR</t>
        </is>
      </c>
    </row>
    <row r="3370">
      <c r="A3370" s="227">
        <f>TL[[#This Row],[Société]]&amp;" - "&amp;TL[[#This Row],[Compte]]</f>
        <v/>
      </c>
      <c r="B3370" s="233" t="inlineStr">
        <is>
          <t>425000</t>
        </is>
      </c>
      <c r="C3370" s="227" t="inlineStr">
        <is>
          <t>Personnel - avances et acomptes</t>
        </is>
      </c>
      <c r="F3370" s="227" t="inlineStr">
        <is>
          <t>TIRR</t>
        </is>
      </c>
    </row>
    <row r="3371">
      <c r="A3371" s="227">
        <f>TL[[#This Row],[Société]]&amp;" - "&amp;TL[[#This Row],[Compte]]</f>
        <v/>
      </c>
      <c r="B3371" s="233" t="inlineStr">
        <is>
          <t>427000</t>
        </is>
      </c>
      <c r="C3371" s="227" t="inlineStr">
        <is>
          <t>Personnel - oppositions</t>
        </is>
      </c>
      <c r="F3371" s="227" t="inlineStr">
        <is>
          <t>TIRR</t>
        </is>
      </c>
    </row>
    <row r="3372">
      <c r="A3372" s="227">
        <f>TL[[#This Row],[Société]]&amp;" - "&amp;TL[[#This Row],[Compte]]</f>
        <v/>
      </c>
      <c r="B3372" s="233" t="inlineStr">
        <is>
          <t>428220</t>
        </is>
      </c>
      <c r="C3372" s="227" t="inlineStr">
        <is>
          <t>Dettes prov pour congés payés mngrs</t>
        </is>
      </c>
      <c r="F3372" s="227" t="inlineStr">
        <is>
          <t>TIRR</t>
        </is>
      </c>
    </row>
    <row r="3373">
      <c r="A3373" s="227">
        <f>TL[[#This Row],[Société]]&amp;" - "&amp;TL[[#This Row],[Compte]]</f>
        <v/>
      </c>
      <c r="B3373" s="233" t="inlineStr">
        <is>
          <t>428230</t>
        </is>
      </c>
      <c r="C3373" s="227" t="inlineStr">
        <is>
          <t>Dettes prov pour congés payés équip</t>
        </is>
      </c>
      <c r="F3373" s="227" t="inlineStr">
        <is>
          <t>TIRR</t>
        </is>
      </c>
    </row>
    <row r="3374">
      <c r="A3374" s="227">
        <f>TL[[#This Row],[Société]]&amp;" - "&amp;TL[[#This Row],[Compte]]</f>
        <v/>
      </c>
      <c r="B3374" s="233" t="inlineStr">
        <is>
          <t>428300</t>
        </is>
      </c>
      <c r="C3374" s="227" t="inlineStr">
        <is>
          <t>Dettes prov prim conv</t>
        </is>
      </c>
      <c r="F3374" s="227" t="inlineStr">
        <is>
          <t>TIRR</t>
        </is>
      </c>
    </row>
    <row r="3375">
      <c r="A3375" s="227">
        <f>TL[[#This Row],[Société]]&amp;" - "&amp;TL[[#This Row],[Compte]]</f>
        <v/>
      </c>
      <c r="B3375" s="233" t="inlineStr">
        <is>
          <t>428600</t>
        </is>
      </c>
      <c r="C3375" s="227" t="inlineStr">
        <is>
          <t>Personnel - autres charges à payer</t>
        </is>
      </c>
      <c r="F3375" s="227" t="inlineStr">
        <is>
          <t>TIRR</t>
        </is>
      </c>
    </row>
    <row r="3376">
      <c r="A3376" s="227">
        <f>TL[[#This Row],[Société]]&amp;" - "&amp;TL[[#This Row],[Compte]]</f>
        <v/>
      </c>
      <c r="B3376" s="233" t="inlineStr">
        <is>
          <t>431000</t>
        </is>
      </c>
      <c r="C3376" s="227" t="inlineStr">
        <is>
          <t>Sécurité sociale</t>
        </is>
      </c>
      <c r="F3376" s="227" t="inlineStr">
        <is>
          <t>TIRR</t>
        </is>
      </c>
    </row>
    <row r="3377">
      <c r="A3377" s="227">
        <f>TL[[#This Row],[Société]]&amp;" - "&amp;TL[[#This Row],[Compte]]</f>
        <v/>
      </c>
      <c r="B3377" s="233" t="inlineStr">
        <is>
          <t>437010</t>
        </is>
      </c>
      <c r="C3377" s="227" t="inlineStr">
        <is>
          <t>Activté partielle</t>
        </is>
      </c>
      <c r="F3377" s="227" t="inlineStr">
        <is>
          <t>TIRR</t>
        </is>
      </c>
    </row>
    <row r="3378">
      <c r="A3378" s="227">
        <f>TL[[#This Row],[Société]]&amp;" - "&amp;TL[[#This Row],[Compte]]</f>
        <v/>
      </c>
      <c r="B3378" s="233" t="inlineStr">
        <is>
          <t>437020</t>
        </is>
      </c>
      <c r="C3378" s="227" t="inlineStr">
        <is>
          <t>Isica klesia</t>
        </is>
      </c>
      <c r="F3378" s="227" t="inlineStr">
        <is>
          <t>TIRR</t>
        </is>
      </c>
    </row>
    <row r="3379">
      <c r="A3379" s="227">
        <f>TL[[#This Row],[Société]]&amp;" - "&amp;TL[[#This Row],[Compte]]</f>
        <v/>
      </c>
      <c r="B3379" s="233" t="inlineStr">
        <is>
          <t>437030</t>
        </is>
      </c>
      <c r="C3379" s="227" t="inlineStr">
        <is>
          <t>Prédica retraite</t>
        </is>
      </c>
      <c r="F3379" s="227" t="inlineStr">
        <is>
          <t>TIRR</t>
        </is>
      </c>
    </row>
    <row r="3380">
      <c r="A3380" s="227">
        <f>TL[[#This Row],[Société]]&amp;" - "&amp;TL[[#This Row],[Compte]]</f>
        <v/>
      </c>
      <c r="B3380" s="233" t="inlineStr">
        <is>
          <t>437060</t>
        </is>
      </c>
      <c r="C3380" s="227" t="inlineStr">
        <is>
          <t>Ag2r la mondiale</t>
        </is>
      </c>
      <c r="F3380" s="227" t="inlineStr">
        <is>
          <t>TIRR</t>
        </is>
      </c>
    </row>
    <row r="3381">
      <c r="A3381" s="227">
        <f>TL[[#This Row],[Société]]&amp;" - "&amp;TL[[#This Row],[Compte]]</f>
        <v/>
      </c>
      <c r="B3381" s="233" t="inlineStr">
        <is>
          <t>437070</t>
        </is>
      </c>
      <c r="C3381" s="227" t="inlineStr">
        <is>
          <t>impot prelevement source</t>
        </is>
      </c>
      <c r="F3381" s="227" t="inlineStr">
        <is>
          <t>TIRR</t>
        </is>
      </c>
    </row>
    <row r="3382">
      <c r="A3382" s="227">
        <f>TL[[#This Row],[Société]]&amp;" - "&amp;TL[[#This Row],[Compte]]</f>
        <v/>
      </c>
      <c r="B3382" s="233" t="inlineStr">
        <is>
          <t>437080</t>
        </is>
      </c>
      <c r="C3382" s="227" t="inlineStr">
        <is>
          <t>Mutuelle cerap</t>
        </is>
      </c>
      <c r="F3382" s="227" t="inlineStr">
        <is>
          <t>TIRR</t>
        </is>
      </c>
    </row>
    <row r="3383">
      <c r="A3383" s="227">
        <f>TL[[#This Row],[Société]]&amp;" - "&amp;TL[[#This Row],[Compte]]</f>
        <v/>
      </c>
      <c r="B3383" s="233" t="inlineStr">
        <is>
          <t>437090</t>
        </is>
      </c>
      <c r="C3383" s="227" t="inlineStr">
        <is>
          <t>Agirc</t>
        </is>
      </c>
      <c r="F3383" s="227" t="inlineStr">
        <is>
          <t>TIRR</t>
        </is>
      </c>
    </row>
    <row r="3384">
      <c r="A3384" s="227">
        <f>TL[[#This Row],[Société]]&amp;" - "&amp;TL[[#This Row],[Compte]]</f>
        <v/>
      </c>
      <c r="B3384" s="233" t="inlineStr">
        <is>
          <t>438000</t>
        </is>
      </c>
      <c r="C3384" s="227" t="inlineStr">
        <is>
          <t>Taxe d'apprentissage - VB</t>
        </is>
      </c>
      <c r="F3384" s="227" t="inlineStr">
        <is>
          <t>TIRR</t>
        </is>
      </c>
    </row>
    <row r="3385">
      <c r="A3385" s="227">
        <f>TL[[#This Row],[Société]]&amp;" - "&amp;TL[[#This Row],[Compte]]</f>
        <v/>
      </c>
      <c r="B3385" s="233" t="inlineStr">
        <is>
          <t>438600</t>
        </is>
      </c>
      <c r="C3385" s="227" t="inlineStr">
        <is>
          <t>Contribution paritarisme</t>
        </is>
      </c>
      <c r="F3385" s="227" t="inlineStr">
        <is>
          <t>TIRR</t>
        </is>
      </c>
    </row>
    <row r="3386">
      <c r="A3386" s="227">
        <f>TL[[#This Row],[Société]]&amp;" - "&amp;TL[[#This Row],[Compte]]</f>
        <v/>
      </c>
      <c r="B3386" s="233" t="inlineStr">
        <is>
          <t>438610</t>
        </is>
      </c>
      <c r="C3386" s="227" t="inlineStr">
        <is>
          <t>Taxe d'apprentissage - VB</t>
        </is>
      </c>
      <c r="F3386" s="227" t="inlineStr">
        <is>
          <t>TIRR</t>
        </is>
      </c>
    </row>
    <row r="3387">
      <c r="A3387" s="227">
        <f>TL[[#This Row],[Société]]&amp;" - "&amp;TL[[#This Row],[Compte]]</f>
        <v/>
      </c>
      <c r="B3387" s="233" t="inlineStr">
        <is>
          <t>438620</t>
        </is>
      </c>
      <c r="C3387" s="227" t="inlineStr">
        <is>
          <t>Charges sociales sur congés payés</t>
        </is>
      </c>
      <c r="F3387" s="227" t="inlineStr">
        <is>
          <t>TIRR</t>
        </is>
      </c>
    </row>
    <row r="3388">
      <c r="A3388" s="227">
        <f>TL[[#This Row],[Société]]&amp;" - "&amp;TL[[#This Row],[Compte]]</f>
        <v/>
      </c>
      <c r="B3388" s="233" t="inlineStr">
        <is>
          <t>442000</t>
        </is>
      </c>
      <c r="C3388" s="227" t="inlineStr">
        <is>
          <t>Etat - Prélèvement à la source</t>
        </is>
      </c>
      <c r="F3388" s="227" t="inlineStr">
        <is>
          <t>TIRR</t>
        </is>
      </c>
    </row>
    <row r="3389">
      <c r="A3389" s="227">
        <f>TL[[#This Row],[Société]]&amp;" - "&amp;TL[[#This Row],[Compte]]</f>
        <v/>
      </c>
      <c r="B3389" s="233" t="inlineStr">
        <is>
          <t>444000</t>
        </is>
      </c>
      <c r="C3389" s="227" t="inlineStr">
        <is>
          <t>Etat - impôts sur les bénéfices</t>
        </is>
      </c>
      <c r="F3389" s="227" t="inlineStr">
        <is>
          <t>TIRR</t>
        </is>
      </c>
    </row>
    <row r="3390">
      <c r="A3390" s="227">
        <f>TL[[#This Row],[Société]]&amp;" - "&amp;TL[[#This Row],[Compte]]</f>
        <v/>
      </c>
      <c r="B3390" s="233" t="inlineStr">
        <is>
          <t>445200</t>
        </is>
      </c>
      <c r="C3390" s="227" t="inlineStr">
        <is>
          <t>Tva due intracommunautaire</t>
        </is>
      </c>
      <c r="F3390" s="227" t="inlineStr">
        <is>
          <t>TIRR</t>
        </is>
      </c>
    </row>
    <row r="3391">
      <c r="A3391" s="227">
        <f>TL[[#This Row],[Société]]&amp;" - "&amp;TL[[#This Row],[Compte]]</f>
        <v/>
      </c>
      <c r="B3391" s="233" t="inlineStr">
        <is>
          <t>445510</t>
        </is>
      </c>
      <c r="C3391" s="227" t="inlineStr">
        <is>
          <t>Tva à décaisser</t>
        </is>
      </c>
      <c r="F3391" s="227" t="inlineStr">
        <is>
          <t>TIRR</t>
        </is>
      </c>
    </row>
    <row r="3392">
      <c r="A3392" s="227">
        <f>TL[[#This Row],[Société]]&amp;" - "&amp;TL[[#This Row],[Compte]]</f>
        <v/>
      </c>
      <c r="B3392" s="233" t="inlineStr">
        <is>
          <t>445620</t>
        </is>
      </c>
      <c r="C3392" s="227" t="inlineStr">
        <is>
          <t>Tva déductible s/immobilisations</t>
        </is>
      </c>
      <c r="F3392" s="227" t="inlineStr">
        <is>
          <t>TIRR</t>
        </is>
      </c>
    </row>
    <row r="3393">
      <c r="A3393" s="227">
        <f>TL[[#This Row],[Société]]&amp;" - "&amp;TL[[#This Row],[Compte]]</f>
        <v/>
      </c>
      <c r="B3393" s="233" t="inlineStr">
        <is>
          <t>445621</t>
        </is>
      </c>
      <c r="C3393" s="227" t="inlineStr">
        <is>
          <t>Tva s/ immo encaissements</t>
        </is>
      </c>
      <c r="F3393" s="227" t="inlineStr">
        <is>
          <t>TIRR</t>
        </is>
      </c>
    </row>
    <row r="3394">
      <c r="A3394" s="227">
        <f>TL[[#This Row],[Société]]&amp;" - "&amp;TL[[#This Row],[Compte]]</f>
        <v/>
      </c>
      <c r="B3394" s="233" t="inlineStr">
        <is>
          <t>445660</t>
        </is>
      </c>
      <c r="C3394" s="227" t="inlineStr">
        <is>
          <t>Tva déductible s/aut.biens et sces</t>
        </is>
      </c>
      <c r="F3394" s="227" t="inlineStr">
        <is>
          <t>TIRR</t>
        </is>
      </c>
    </row>
    <row r="3395">
      <c r="A3395" s="227">
        <f>TL[[#This Row],[Société]]&amp;" - "&amp;TL[[#This Row],[Compte]]</f>
        <v/>
      </c>
      <c r="B3395" s="233" t="inlineStr">
        <is>
          <t>445661</t>
        </is>
      </c>
      <c r="C3395" s="227" t="inlineStr">
        <is>
          <t>Tva déductible sur prestations serv</t>
        </is>
      </c>
      <c r="F3395" s="227" t="inlineStr">
        <is>
          <t>TIRR</t>
        </is>
      </c>
    </row>
    <row r="3396">
      <c r="A3396" s="227">
        <f>TL[[#This Row],[Société]]&amp;" - "&amp;TL[[#This Row],[Compte]]</f>
        <v/>
      </c>
      <c r="B3396" s="233" t="inlineStr">
        <is>
          <t>445662</t>
        </is>
      </c>
      <c r="C3396" s="227" t="inlineStr">
        <is>
          <t>Tva déductible intracommunautaire</t>
        </is>
      </c>
      <c r="F3396" s="227" t="inlineStr">
        <is>
          <t>TIRR</t>
        </is>
      </c>
    </row>
    <row r="3397">
      <c r="A3397" s="227">
        <f>TL[[#This Row],[Société]]&amp;" - "&amp;TL[[#This Row],[Compte]]</f>
        <v/>
      </c>
      <c r="B3397" s="233" t="inlineStr">
        <is>
          <t>445670</t>
        </is>
      </c>
      <c r="C3397" s="227" t="inlineStr">
        <is>
          <t>Crédit de tva à reporter</t>
        </is>
      </c>
      <c r="F3397" s="227" t="inlineStr">
        <is>
          <t>TIRR</t>
        </is>
      </c>
    </row>
    <row r="3398">
      <c r="A3398" s="227">
        <f>TL[[#This Row],[Société]]&amp;" - "&amp;TL[[#This Row],[Compte]]</f>
        <v/>
      </c>
      <c r="B3398" s="233" t="inlineStr">
        <is>
          <t>445710</t>
        </is>
      </c>
      <c r="C3398" s="227" t="inlineStr">
        <is>
          <t>Tva à 5,5%</t>
        </is>
      </c>
      <c r="F3398" s="227" t="inlineStr">
        <is>
          <t>TIRR</t>
        </is>
      </c>
    </row>
    <row r="3399">
      <c r="A3399" s="227">
        <f>TL[[#This Row],[Société]]&amp;" - "&amp;TL[[#This Row],[Compte]]</f>
        <v/>
      </c>
      <c r="B3399" s="233" t="inlineStr">
        <is>
          <t>445711</t>
        </is>
      </c>
      <c r="C3399" s="227" t="inlineStr">
        <is>
          <t>Tva collectée 7%</t>
        </is>
      </c>
      <c r="F3399" s="227" t="inlineStr">
        <is>
          <t>TIRR</t>
        </is>
      </c>
    </row>
    <row r="3400">
      <c r="A3400" s="227">
        <f>TL[[#This Row],[Société]]&amp;" - "&amp;TL[[#This Row],[Compte]]</f>
        <v/>
      </c>
      <c r="B3400" s="233" t="inlineStr">
        <is>
          <t>445714</t>
        </is>
      </c>
      <c r="C3400" s="227" t="inlineStr">
        <is>
          <t>Tva à 19.6 %</t>
        </is>
      </c>
      <c r="F3400" s="227" t="inlineStr">
        <is>
          <t>TIRR</t>
        </is>
      </c>
    </row>
    <row r="3401">
      <c r="A3401" s="227">
        <f>TL[[#This Row],[Société]]&amp;" - "&amp;TL[[#This Row],[Compte]]</f>
        <v/>
      </c>
      <c r="B3401" s="233" t="inlineStr">
        <is>
          <t>445715</t>
        </is>
      </c>
      <c r="C3401" s="227" t="inlineStr">
        <is>
          <t>ECRITURE TVA</t>
        </is>
      </c>
      <c r="F3401" s="227" t="inlineStr">
        <is>
          <t>TIRR</t>
        </is>
      </c>
    </row>
    <row r="3402">
      <c r="A3402" s="227">
        <f>TL[[#This Row],[Société]]&amp;" - "&amp;TL[[#This Row],[Compte]]</f>
        <v/>
      </c>
      <c r="B3402" s="233" t="inlineStr">
        <is>
          <t>445716</t>
        </is>
      </c>
      <c r="C3402" s="227" t="inlineStr">
        <is>
          <t>Tva à 10%</t>
        </is>
      </c>
      <c r="F3402" s="227" t="inlineStr">
        <is>
          <t>TIRR</t>
        </is>
      </c>
    </row>
    <row r="3403">
      <c r="A3403" s="227">
        <f>TL[[#This Row],[Société]]&amp;" - "&amp;TL[[#This Row],[Compte]]</f>
        <v/>
      </c>
      <c r="B3403" s="233" t="inlineStr">
        <is>
          <t>445717</t>
        </is>
      </c>
      <c r="C3403" s="227" t="inlineStr">
        <is>
          <t>TVA Collectée 20% MB</t>
        </is>
      </c>
      <c r="F3403" s="227" t="inlineStr">
        <is>
          <t>TIRR</t>
        </is>
      </c>
    </row>
    <row r="3404">
      <c r="A3404" s="227">
        <f>TL[[#This Row],[Société]]&amp;" - "&amp;TL[[#This Row],[Compte]]</f>
        <v/>
      </c>
      <c r="B3404" s="233" t="inlineStr">
        <is>
          <t>445720</t>
        </is>
      </c>
      <c r="C3404" s="227" t="inlineStr">
        <is>
          <t>Tva à 20 %</t>
        </is>
      </c>
      <c r="F3404" s="227" t="inlineStr">
        <is>
          <t>TIRR</t>
        </is>
      </c>
    </row>
    <row r="3405">
      <c r="A3405" s="227">
        <f>TL[[#This Row],[Société]]&amp;" - "&amp;TL[[#This Row],[Compte]]</f>
        <v/>
      </c>
      <c r="B3405" s="233" t="inlineStr">
        <is>
          <t>445750</t>
        </is>
      </c>
      <c r="C3405" s="227" t="inlineStr">
        <is>
          <t>Tva collectée lrs</t>
        </is>
      </c>
      <c r="F3405" s="227" t="inlineStr">
        <is>
          <t>TIRR</t>
        </is>
      </c>
    </row>
    <row r="3406">
      <c r="A3406" s="227">
        <f>TL[[#This Row],[Société]]&amp;" - "&amp;TL[[#This Row],[Compte]]</f>
        <v/>
      </c>
      <c r="B3406" s="233" t="inlineStr">
        <is>
          <t>445770</t>
        </is>
      </c>
      <c r="C3406" s="227" t="inlineStr">
        <is>
          <t>Tva à 19,6% agefos</t>
        </is>
      </c>
      <c r="F3406" s="227" t="inlineStr">
        <is>
          <t>TIRR</t>
        </is>
      </c>
    </row>
    <row r="3407">
      <c r="A3407" s="227">
        <f>TL[[#This Row],[Société]]&amp;" - "&amp;TL[[#This Row],[Compte]]</f>
        <v/>
      </c>
      <c r="B3407" s="233" t="inlineStr">
        <is>
          <t>445830</t>
        </is>
      </c>
      <c r="C3407" s="227" t="inlineStr">
        <is>
          <t>Remboursement de tva demandé</t>
        </is>
      </c>
      <c r="F3407" s="227" t="inlineStr">
        <is>
          <t>TIRR</t>
        </is>
      </c>
    </row>
    <row r="3408">
      <c r="A3408" s="227">
        <f>TL[[#This Row],[Société]]&amp;" - "&amp;TL[[#This Row],[Compte]]</f>
        <v/>
      </c>
      <c r="B3408" s="233" t="inlineStr">
        <is>
          <t>445860</t>
        </is>
      </c>
      <c r="C3408" s="227" t="inlineStr">
        <is>
          <t>Tva sur factures non parvenues</t>
        </is>
      </c>
      <c r="F3408" s="227" t="inlineStr">
        <is>
          <t>TIRR</t>
        </is>
      </c>
    </row>
    <row r="3409">
      <c r="A3409" s="227">
        <f>TL[[#This Row],[Société]]&amp;" - "&amp;TL[[#This Row],[Compte]]</f>
        <v/>
      </c>
      <c r="B3409" s="233" t="inlineStr">
        <is>
          <t>445861</t>
        </is>
      </c>
      <c r="C3409" s="227" t="inlineStr">
        <is>
          <t>Tva sur avoir à recevoir</t>
        </is>
      </c>
      <c r="F3409" s="227" t="inlineStr">
        <is>
          <t>TIRR</t>
        </is>
      </c>
    </row>
    <row r="3410">
      <c r="A3410" s="227">
        <f>TL[[#This Row],[Société]]&amp;" - "&amp;TL[[#This Row],[Compte]]</f>
        <v/>
      </c>
      <c r="B3410" s="233" t="inlineStr">
        <is>
          <t>445870</t>
        </is>
      </c>
      <c r="C3410" s="227" t="inlineStr">
        <is>
          <t>Tva sur factures à établir</t>
        </is>
      </c>
      <c r="F3410" s="227" t="inlineStr">
        <is>
          <t>TIRR</t>
        </is>
      </c>
    </row>
    <row r="3411">
      <c r="A3411" s="227">
        <f>TL[[#This Row],[Société]]&amp;" - "&amp;TL[[#This Row],[Compte]]</f>
        <v/>
      </c>
      <c r="B3411" s="233" t="inlineStr">
        <is>
          <t>445880</t>
        </is>
      </c>
      <c r="C3411" s="227" t="inlineStr">
        <is>
          <t>Tva sur factures à établir</t>
        </is>
      </c>
      <c r="F3411" s="227" t="inlineStr">
        <is>
          <t>TIRR</t>
        </is>
      </c>
    </row>
    <row r="3412">
      <c r="A3412" s="227">
        <f>TL[[#This Row],[Société]]&amp;" - "&amp;TL[[#This Row],[Compte]]</f>
        <v/>
      </c>
      <c r="B3412" s="233" t="inlineStr">
        <is>
          <t>448600</t>
        </is>
      </c>
      <c r="C3412" s="227" t="inlineStr">
        <is>
          <t>Etat - autres charges à payer</t>
        </is>
      </c>
      <c r="F3412" s="227" t="inlineStr">
        <is>
          <t>TIRR</t>
        </is>
      </c>
    </row>
    <row r="3413">
      <c r="A3413" s="227">
        <f>TL[[#This Row],[Société]]&amp;" - "&amp;TL[[#This Row],[Compte]]</f>
        <v/>
      </c>
      <c r="B3413" s="233" t="inlineStr">
        <is>
          <t>448700</t>
        </is>
      </c>
      <c r="C3413" s="227" t="inlineStr">
        <is>
          <t>Etat - produits à recevoir</t>
        </is>
      </c>
      <c r="F3413" s="227" t="inlineStr">
        <is>
          <t>TIRR</t>
        </is>
      </c>
    </row>
    <row r="3414">
      <c r="A3414" s="227">
        <f>TL[[#This Row],[Société]]&amp;" - "&amp;TL[[#This Row],[Compte]]</f>
        <v/>
      </c>
      <c r="B3414" s="233" t="inlineStr">
        <is>
          <t>455100</t>
        </is>
      </c>
      <c r="C3414" s="227" t="inlineStr">
        <is>
          <t>Associés - regis rego de sebes</t>
        </is>
      </c>
      <c r="F3414" s="227" t="inlineStr">
        <is>
          <t>TIRR</t>
        </is>
      </c>
    </row>
    <row r="3415">
      <c r="A3415" s="227">
        <f>TL[[#This Row],[Société]]&amp;" - "&amp;TL[[#This Row],[Compte]]</f>
        <v/>
      </c>
      <c r="B3415" s="233" t="inlineStr">
        <is>
          <t>455200</t>
        </is>
      </c>
      <c r="C3415" s="227" t="inlineStr">
        <is>
          <t>Associés - renaud rego de sebes</t>
        </is>
      </c>
      <c r="F3415" s="227" t="inlineStr">
        <is>
          <t>TIRR</t>
        </is>
      </c>
    </row>
    <row r="3416">
      <c r="A3416" s="227">
        <f>TL[[#This Row],[Société]]&amp;" - "&amp;TL[[#This Row],[Compte]]</f>
        <v/>
      </c>
      <c r="B3416" s="233" t="inlineStr">
        <is>
          <t>455300</t>
        </is>
      </c>
      <c r="C3416" s="227" t="inlineStr">
        <is>
          <t>Rth76 - acomptes is</t>
        </is>
      </c>
      <c r="F3416" s="227" t="inlineStr">
        <is>
          <t>TIRR</t>
        </is>
      </c>
    </row>
    <row r="3417">
      <c r="A3417" s="227">
        <f>TL[[#This Row],[Société]]&amp;" - "&amp;TL[[#This Row],[Compte]]</f>
        <v/>
      </c>
      <c r="B3417" s="233" t="inlineStr">
        <is>
          <t>455400</t>
        </is>
      </c>
      <c r="C3417" s="227" t="inlineStr">
        <is>
          <t>Rth76 - avances trésorerie convent.</t>
        </is>
      </c>
      <c r="F3417" s="227" t="inlineStr">
        <is>
          <t>TIRR</t>
        </is>
      </c>
    </row>
    <row r="3418">
      <c r="A3418" s="227">
        <f>TL[[#This Row],[Société]]&amp;" - "&amp;TL[[#This Row],[Compte]]</f>
        <v/>
      </c>
      <c r="B3418" s="233" t="inlineStr">
        <is>
          <t>455800</t>
        </is>
      </c>
      <c r="C3418" s="227" t="inlineStr">
        <is>
          <t>Associés - intérêts courus</t>
        </is>
      </c>
      <c r="F3418" s="227" t="inlineStr">
        <is>
          <t>TIRR</t>
        </is>
      </c>
    </row>
    <row r="3419">
      <c r="A3419" s="227">
        <f>TL[[#This Row],[Société]]&amp;" - "&amp;TL[[#This Row],[Compte]]</f>
        <v/>
      </c>
      <c r="B3419" s="233" t="inlineStr">
        <is>
          <t>457000</t>
        </is>
      </c>
      <c r="C3419" s="227" t="inlineStr">
        <is>
          <t>Associés - dividendes à payer</t>
        </is>
      </c>
      <c r="F3419" s="227" t="inlineStr">
        <is>
          <t>TIRR</t>
        </is>
      </c>
    </row>
    <row r="3420">
      <c r="A3420" s="227">
        <f>TL[[#This Row],[Société]]&amp;" - "&amp;TL[[#This Row],[Compte]]</f>
        <v/>
      </c>
      <c r="B3420" s="233" t="inlineStr">
        <is>
          <t>467100</t>
        </is>
      </c>
      <c r="C3420" s="227" t="inlineStr">
        <is>
          <t>Résultat 24/12-31/12</t>
        </is>
      </c>
      <c r="F3420" s="227" t="inlineStr">
        <is>
          <t>TIRR</t>
        </is>
      </c>
    </row>
    <row r="3421">
      <c r="A3421" s="227">
        <f>TL[[#This Row],[Société]]&amp;" - "&amp;TL[[#This Row],[Compte]]</f>
        <v/>
      </c>
      <c r="B3421" s="233" t="inlineStr">
        <is>
          <t>467110</t>
        </is>
      </c>
      <c r="C3421" s="227" t="inlineStr">
        <is>
          <t>VR7</t>
        </is>
      </c>
      <c r="F3421" s="227" t="inlineStr">
        <is>
          <t>TIRR</t>
        </is>
      </c>
    </row>
    <row r="3422">
      <c r="A3422" s="227">
        <f>TL[[#This Row],[Société]]&amp;" - "&amp;TL[[#This Row],[Compte]]</f>
        <v/>
      </c>
      <c r="B3422" s="233" t="inlineStr">
        <is>
          <t>467120</t>
        </is>
      </c>
      <c r="C3422" s="227" t="inlineStr">
        <is>
          <t>GLR5</t>
        </is>
      </c>
      <c r="F3422" s="227" t="inlineStr">
        <is>
          <t>TIRR</t>
        </is>
      </c>
    </row>
    <row r="3423">
      <c r="A3423" s="227">
        <f>TL[[#This Row],[Société]]&amp;" - "&amp;TL[[#This Row],[Compte]]</f>
        <v/>
      </c>
      <c r="B3423" s="233" t="inlineStr">
        <is>
          <t>467200</t>
        </is>
      </c>
      <c r="C3423" s="227" t="inlineStr">
        <is>
          <t>Rhf</t>
        </is>
      </c>
      <c r="F3423" s="227" t="inlineStr">
        <is>
          <t>TIRR</t>
        </is>
      </c>
    </row>
    <row r="3424">
      <c r="A3424" s="227">
        <f>TL[[#This Row],[Société]]&amp;" - "&amp;TL[[#This Row],[Compte]]</f>
        <v/>
      </c>
      <c r="B3424" s="233" t="inlineStr">
        <is>
          <t>467210</t>
        </is>
      </c>
      <c r="C3424" s="227" t="inlineStr">
        <is>
          <t>ecart remise cheques</t>
        </is>
      </c>
      <c r="F3424" s="227" t="inlineStr">
        <is>
          <t>TIRR</t>
        </is>
      </c>
    </row>
    <row r="3425">
      <c r="A3425" s="227">
        <f>TL[[#This Row],[Société]]&amp;" - "&amp;TL[[#This Row],[Compte]]</f>
        <v/>
      </c>
      <c r="B3425" s="233" t="inlineStr">
        <is>
          <t>467230</t>
        </is>
      </c>
      <c r="C3425" s="227" t="inlineStr">
        <is>
          <t>Ecart s/ remise tr</t>
        </is>
      </c>
      <c r="F3425" s="227" t="inlineStr">
        <is>
          <t>TIRR</t>
        </is>
      </c>
    </row>
    <row r="3426">
      <c r="A3426" s="227">
        <f>TL[[#This Row],[Société]]&amp;" - "&amp;TL[[#This Row],[Compte]]</f>
        <v/>
      </c>
      <c r="B3426" s="233" t="inlineStr">
        <is>
          <t>467240</t>
        </is>
      </c>
      <c r="C3426" s="227" t="inlineStr">
        <is>
          <t>Ecart s/ remises especes</t>
        </is>
      </c>
      <c r="F3426" s="227" t="inlineStr">
        <is>
          <t>TIRR</t>
        </is>
      </c>
    </row>
    <row r="3427">
      <c r="A3427" s="227">
        <f>TL[[#This Row],[Société]]&amp;" - "&amp;TL[[#This Row],[Compte]]</f>
        <v/>
      </c>
      <c r="B3427" s="233" t="inlineStr">
        <is>
          <t>467250</t>
        </is>
      </c>
      <c r="C3427" s="227" t="inlineStr">
        <is>
          <t>Ecart s/remise cv</t>
        </is>
      </c>
      <c r="F3427" s="227" t="inlineStr">
        <is>
          <t>TIRR</t>
        </is>
      </c>
    </row>
    <row r="3428">
      <c r="A3428" s="227">
        <f>TL[[#This Row],[Société]]&amp;" - "&amp;TL[[#This Row],[Compte]]</f>
        <v/>
      </c>
      <c r="B3428" s="233" t="inlineStr">
        <is>
          <t>467260</t>
        </is>
      </c>
      <c r="C3428" s="227" t="inlineStr">
        <is>
          <t>Ecart sur remise cb</t>
        </is>
      </c>
      <c r="F3428" s="227" t="inlineStr">
        <is>
          <t>TIRR</t>
        </is>
      </c>
    </row>
    <row r="3429">
      <c r="A3429" s="227">
        <f>TL[[#This Row],[Société]]&amp;" - "&amp;TL[[#This Row],[Compte]]</f>
        <v/>
      </c>
      <c r="B3429" s="233" t="inlineStr">
        <is>
          <t>467270</t>
        </is>
      </c>
      <c r="C3429" s="227" t="inlineStr">
        <is>
          <t>ecart uber</t>
        </is>
      </c>
      <c r="F3429" s="227" t="inlineStr">
        <is>
          <t>TIRR</t>
        </is>
      </c>
    </row>
    <row r="3430">
      <c r="A3430" s="227">
        <f>TL[[#This Row],[Société]]&amp;" - "&amp;TL[[#This Row],[Compte]]</f>
        <v/>
      </c>
      <c r="B3430" s="233" t="inlineStr">
        <is>
          <t>467280</t>
        </is>
      </c>
      <c r="C3430" s="227" t="inlineStr">
        <is>
          <t>Ecart Deliveroo</t>
        </is>
      </c>
      <c r="F3430" s="227" t="inlineStr">
        <is>
          <t>TIRR</t>
        </is>
      </c>
    </row>
    <row r="3431">
      <c r="A3431" s="227">
        <f>TL[[#This Row],[Société]]&amp;" - "&amp;TL[[#This Row],[Compte]]</f>
        <v/>
      </c>
      <c r="B3431" s="233" t="inlineStr">
        <is>
          <t>467300</t>
        </is>
      </c>
      <c r="C3431" s="227" t="inlineStr">
        <is>
          <t>Urnes ronald's</t>
        </is>
      </c>
      <c r="F3431" s="227" t="inlineStr">
        <is>
          <t>TIRR</t>
        </is>
      </c>
    </row>
    <row r="3432">
      <c r="A3432" s="227">
        <f>TL[[#This Row],[Société]]&amp;" - "&amp;TL[[#This Row],[Compte]]</f>
        <v/>
      </c>
      <c r="B3432" s="233" t="inlineStr">
        <is>
          <t>467400</t>
        </is>
      </c>
      <c r="C3432" s="227" t="inlineStr">
        <is>
          <t>Rth 76</t>
        </is>
      </c>
      <c r="F3432" s="227" t="inlineStr">
        <is>
          <t>TIRR</t>
        </is>
      </c>
    </row>
    <row r="3433">
      <c r="A3433" s="227">
        <f>TL[[#This Row],[Société]]&amp;" - "&amp;TL[[#This Row],[Compte]]</f>
        <v/>
      </c>
      <c r="B3433" s="233" t="inlineStr">
        <is>
          <t>468600</t>
        </is>
      </c>
      <c r="C3433" s="227" t="inlineStr">
        <is>
          <t>Divers - charges à payer</t>
        </is>
      </c>
      <c r="F3433" s="227" t="inlineStr">
        <is>
          <t>TIRR</t>
        </is>
      </c>
    </row>
    <row r="3434">
      <c r="A3434" s="227">
        <f>TL[[#This Row],[Société]]&amp;" - "&amp;TL[[#This Row],[Compte]]</f>
        <v/>
      </c>
      <c r="B3434" s="233" t="inlineStr">
        <is>
          <t>468700</t>
        </is>
      </c>
      <c r="C3434" s="227" t="inlineStr">
        <is>
          <t>Divers - produits à recevoir</t>
        </is>
      </c>
      <c r="F3434" s="227" t="inlineStr">
        <is>
          <t>TIRR</t>
        </is>
      </c>
    </row>
    <row r="3435">
      <c r="A3435" s="227">
        <f>TL[[#This Row],[Société]]&amp;" - "&amp;TL[[#This Row],[Compte]]</f>
        <v/>
      </c>
      <c r="B3435" s="233" t="inlineStr">
        <is>
          <t>471000</t>
        </is>
      </c>
      <c r="C3435" s="227" t="inlineStr">
        <is>
          <t>Attente - npu</t>
        </is>
      </c>
      <c r="F3435" s="227" t="inlineStr">
        <is>
          <t>TIRR</t>
        </is>
      </c>
    </row>
    <row r="3436">
      <c r="A3436" s="227">
        <f>TL[[#This Row],[Société]]&amp;" - "&amp;TL[[#This Row],[Compte]]</f>
        <v/>
      </c>
      <c r="B3436" s="233" t="inlineStr">
        <is>
          <t>472000</t>
        </is>
      </c>
      <c r="C3436" s="227" t="inlineStr">
        <is>
          <t>Compte d'attente</t>
        </is>
      </c>
      <c r="F3436" s="227" t="inlineStr">
        <is>
          <t>TIRR</t>
        </is>
      </c>
    </row>
    <row r="3437">
      <c r="A3437" s="227">
        <f>TL[[#This Row],[Société]]&amp;" - "&amp;TL[[#This Row],[Compte]]</f>
        <v/>
      </c>
      <c r="B3437" s="233" t="inlineStr">
        <is>
          <t>486000</t>
        </is>
      </c>
      <c r="C3437" s="227" t="inlineStr">
        <is>
          <t>Charges constatées d'avance</t>
        </is>
      </c>
      <c r="F3437" s="227" t="inlineStr">
        <is>
          <t>TIRR</t>
        </is>
      </c>
    </row>
    <row r="3438">
      <c r="A3438" s="227">
        <f>TL[[#This Row],[Société]]&amp;" - "&amp;TL[[#This Row],[Compte]]</f>
        <v/>
      </c>
      <c r="B3438" s="233" t="inlineStr">
        <is>
          <t>487000</t>
        </is>
      </c>
      <c r="C3438" s="227" t="inlineStr">
        <is>
          <t>Produits constatés d'avance</t>
        </is>
      </c>
      <c r="F3438" s="227" t="inlineStr">
        <is>
          <t>TIRR</t>
        </is>
      </c>
    </row>
    <row r="3439">
      <c r="A3439" s="227">
        <f>TL[[#This Row],[Société]]&amp;" - "&amp;TL[[#This Row],[Compte]]</f>
        <v/>
      </c>
      <c r="B3439" s="233" t="inlineStr">
        <is>
          <t>508100</t>
        </is>
      </c>
      <c r="C3439" s="227" t="inlineStr">
        <is>
          <t>Autres valeurs mobilières</t>
        </is>
      </c>
      <c r="F3439" s="227" t="inlineStr">
        <is>
          <t>TIRR</t>
        </is>
      </c>
    </row>
    <row r="3440">
      <c r="A3440" s="227">
        <f>TL[[#This Row],[Société]]&amp;" - "&amp;TL[[#This Row],[Compte]]</f>
        <v/>
      </c>
      <c r="B3440" s="233" t="inlineStr">
        <is>
          <t>511200</t>
        </is>
      </c>
      <c r="C3440" s="227" t="inlineStr">
        <is>
          <t>Tickets restaurant</t>
        </is>
      </c>
      <c r="F3440" s="227" t="inlineStr">
        <is>
          <t>TIRR</t>
        </is>
      </c>
    </row>
    <row r="3441">
      <c r="A3441" s="227">
        <f>TL[[#This Row],[Société]]&amp;" - "&amp;TL[[#This Row],[Compte]]</f>
        <v/>
      </c>
      <c r="B3441" s="233" t="inlineStr">
        <is>
          <t>511211</t>
        </is>
      </c>
      <c r="C3441" s="227" t="inlineStr">
        <is>
          <t>Remise de chèques npu</t>
        </is>
      </c>
      <c r="F3441" s="227" t="inlineStr">
        <is>
          <t>TIRR</t>
        </is>
      </c>
    </row>
    <row r="3442">
      <c r="A3442" s="227">
        <f>TL[[#This Row],[Société]]&amp;" - "&amp;TL[[#This Row],[Compte]]</f>
        <v/>
      </c>
      <c r="B3442" s="233" t="inlineStr">
        <is>
          <t>511221</t>
        </is>
      </c>
      <c r="C3442" s="227" t="inlineStr">
        <is>
          <t>Remises cb npu</t>
        </is>
      </c>
      <c r="F3442" s="227" t="inlineStr">
        <is>
          <t>TIRR</t>
        </is>
      </c>
    </row>
    <row r="3443">
      <c r="A3443" s="227">
        <f>TL[[#This Row],[Société]]&amp;" - "&amp;TL[[#This Row],[Compte]]</f>
        <v/>
      </c>
      <c r="B3443" s="233" t="inlineStr">
        <is>
          <t>511230</t>
        </is>
      </c>
      <c r="C3443" s="227" t="inlineStr">
        <is>
          <t>Ventes 16/05</t>
        </is>
      </c>
      <c r="F3443" s="227" t="inlineStr">
        <is>
          <t>TIRR</t>
        </is>
      </c>
    </row>
    <row r="3444">
      <c r="A3444" s="227">
        <f>TL[[#This Row],[Société]]&amp;" - "&amp;TL[[#This Row],[Compte]]</f>
        <v/>
      </c>
      <c r="B3444" s="233" t="inlineStr">
        <is>
          <t>511231</t>
        </is>
      </c>
      <c r="C3444" s="227" t="inlineStr">
        <is>
          <t>Chèques à encaisser</t>
        </is>
      </c>
      <c r="F3444" s="227" t="inlineStr">
        <is>
          <t>TIRR</t>
        </is>
      </c>
    </row>
    <row r="3445">
      <c r="A3445" s="227">
        <f>TL[[#This Row],[Société]]&amp;" - "&amp;TL[[#This Row],[Compte]]</f>
        <v/>
      </c>
      <c r="B3445" s="233" t="inlineStr">
        <is>
          <t>511250</t>
        </is>
      </c>
      <c r="C3445" s="227" t="inlineStr">
        <is>
          <t>Ventes 01/05</t>
        </is>
      </c>
      <c r="F3445" s="227" t="inlineStr">
        <is>
          <t>TIRR</t>
        </is>
      </c>
    </row>
    <row r="3446">
      <c r="A3446" s="227">
        <f>TL[[#This Row],[Société]]&amp;" - "&amp;TL[[#This Row],[Compte]]</f>
        <v/>
      </c>
      <c r="B3446" s="233" t="inlineStr">
        <is>
          <t>511251</t>
        </is>
      </c>
      <c r="C3446" s="227" t="inlineStr">
        <is>
          <t>Cartes bancaires</t>
        </is>
      </c>
      <c r="F3446" s="227" t="inlineStr">
        <is>
          <t>TIRR</t>
        </is>
      </c>
    </row>
    <row r="3447">
      <c r="A3447" s="227">
        <f>TL[[#This Row],[Société]]&amp;" - "&amp;TL[[#This Row],[Compte]]</f>
        <v/>
      </c>
      <c r="B3447" s="233" t="inlineStr">
        <is>
          <t>511252</t>
        </is>
      </c>
      <c r="C3447" s="227" t="inlineStr">
        <is>
          <t>Uber Eat</t>
        </is>
      </c>
      <c r="F3447" s="227" t="inlineStr">
        <is>
          <t>TIRR</t>
        </is>
      </c>
    </row>
    <row r="3448">
      <c r="A3448" s="227">
        <f>TL[[#This Row],[Société]]&amp;" - "&amp;TL[[#This Row],[Compte]]</f>
        <v/>
      </c>
      <c r="B3448" s="233" t="inlineStr">
        <is>
          <t>511253</t>
        </is>
      </c>
      <c r="C3448" s="227" t="inlineStr">
        <is>
          <t>deliveroo</t>
        </is>
      </c>
      <c r="F3448" s="227" t="inlineStr">
        <is>
          <t>TIRR</t>
        </is>
      </c>
    </row>
    <row r="3449">
      <c r="A3449" s="227">
        <f>TL[[#This Row],[Société]]&amp;" - "&amp;TL[[#This Row],[Compte]]</f>
        <v/>
      </c>
      <c r="B3449" s="233" t="inlineStr">
        <is>
          <t>511254</t>
        </is>
      </c>
      <c r="C3449" s="227" t="inlineStr">
        <is>
          <t>LIV EAT</t>
        </is>
      </c>
      <c r="F3449" s="227" t="inlineStr">
        <is>
          <t>TIRR</t>
        </is>
      </c>
    </row>
    <row r="3450">
      <c r="A3450" s="227">
        <f>TL[[#This Row],[Société]]&amp;" - "&amp;TL[[#This Row],[Compte]]</f>
        <v/>
      </c>
      <c r="B3450" s="233" t="inlineStr">
        <is>
          <t>511255</t>
        </is>
      </c>
      <c r="C3450" s="227" t="inlineStr">
        <is>
          <t>STUART</t>
        </is>
      </c>
      <c r="F3450" s="227" t="inlineStr">
        <is>
          <t>TIRR</t>
        </is>
      </c>
    </row>
    <row r="3451">
      <c r="A3451" s="227">
        <f>TL[[#This Row],[Société]]&amp;" - "&amp;TL[[#This Row],[Compte]]</f>
        <v/>
      </c>
      <c r="B3451" s="233" t="inlineStr">
        <is>
          <t>511260</t>
        </is>
      </c>
      <c r="C3451" s="227" t="inlineStr">
        <is>
          <t>Ventes 01/05</t>
        </is>
      </c>
      <c r="F3451" s="227" t="inlineStr">
        <is>
          <t>TIRR</t>
        </is>
      </c>
    </row>
    <row r="3452">
      <c r="A3452" s="227">
        <f>TL[[#This Row],[Société]]&amp;" - "&amp;TL[[#This Row],[Compte]]</f>
        <v/>
      </c>
      <c r="B3452" s="233" t="inlineStr">
        <is>
          <t>511261</t>
        </is>
      </c>
      <c r="C3452" s="227" t="inlineStr">
        <is>
          <t>Chèques vacances</t>
        </is>
      </c>
      <c r="F3452" s="227" t="inlineStr">
        <is>
          <t>TIRR</t>
        </is>
      </c>
    </row>
    <row r="3453">
      <c r="A3453" s="227">
        <f>TL[[#This Row],[Société]]&amp;" - "&amp;TL[[#This Row],[Compte]]</f>
        <v/>
      </c>
      <c r="B3453" s="233" t="inlineStr">
        <is>
          <t>511701</t>
        </is>
      </c>
      <c r="C3453" s="227" t="inlineStr">
        <is>
          <t>Chèques émis caisse d'epargne</t>
        </is>
      </c>
      <c r="F3453" s="227" t="inlineStr">
        <is>
          <t>TIRR</t>
        </is>
      </c>
    </row>
    <row r="3454">
      <c r="A3454" s="227">
        <f>TL[[#This Row],[Société]]&amp;" - "&amp;TL[[#This Row],[Compte]]</f>
        <v/>
      </c>
      <c r="B3454" s="233" t="inlineStr">
        <is>
          <t>511702</t>
        </is>
      </c>
      <c r="C3454" s="227" t="inlineStr">
        <is>
          <t>Chèque émis crca caen</t>
        </is>
      </c>
      <c r="F3454" s="227" t="inlineStr">
        <is>
          <t>TIRR</t>
        </is>
      </c>
    </row>
    <row r="3455">
      <c r="A3455" s="227">
        <f>TL[[#This Row],[Société]]&amp;" - "&amp;TL[[#This Row],[Compte]]</f>
        <v/>
      </c>
      <c r="B3455" s="233" t="inlineStr">
        <is>
          <t>511703</t>
        </is>
      </c>
      <c r="C3455" s="227" t="inlineStr">
        <is>
          <t>Chèques émis crca rouen</t>
        </is>
      </c>
      <c r="F3455" s="227" t="inlineStr">
        <is>
          <t>TIRR</t>
        </is>
      </c>
    </row>
    <row r="3456">
      <c r="A3456" s="227">
        <f>TL[[#This Row],[Société]]&amp;" - "&amp;TL[[#This Row],[Compte]]</f>
        <v/>
      </c>
      <c r="B3456" s="233" t="inlineStr">
        <is>
          <t>512100</t>
        </is>
      </c>
      <c r="C3456" s="227" t="inlineStr">
        <is>
          <t>Barclay's bank</t>
        </is>
      </c>
      <c r="F3456" s="227" t="inlineStr">
        <is>
          <t>TIRR</t>
        </is>
      </c>
    </row>
    <row r="3457">
      <c r="A3457" s="227">
        <f>TL[[#This Row],[Société]]&amp;" - "&amp;TL[[#This Row],[Compte]]</f>
        <v/>
      </c>
      <c r="B3457" s="233" t="inlineStr">
        <is>
          <t>512200</t>
        </is>
      </c>
      <c r="C3457" s="227" t="inlineStr">
        <is>
          <t>Caisse d'epargne</t>
        </is>
      </c>
      <c r="F3457" s="227" t="inlineStr">
        <is>
          <t>TIRR</t>
        </is>
      </c>
    </row>
    <row r="3458">
      <c r="A3458" s="227">
        <f>TL[[#This Row],[Société]]&amp;" - "&amp;TL[[#This Row],[Compte]]</f>
        <v/>
      </c>
      <c r="B3458" s="233" t="inlineStr">
        <is>
          <t>512400</t>
        </is>
      </c>
      <c r="C3458" s="227" t="inlineStr">
        <is>
          <t>Comptes en devises</t>
        </is>
      </c>
      <c r="F3458" s="227" t="inlineStr">
        <is>
          <t>TIRR</t>
        </is>
      </c>
    </row>
    <row r="3459">
      <c r="A3459" s="227">
        <f>TL[[#This Row],[Société]]&amp;" - "&amp;TL[[#This Row],[Compte]]</f>
        <v/>
      </c>
      <c r="B3459" s="233" t="inlineStr">
        <is>
          <t>512600</t>
        </is>
      </c>
      <c r="C3459" s="227" t="inlineStr">
        <is>
          <t>Crca normandie caen</t>
        </is>
      </c>
      <c r="F3459" s="227" t="inlineStr">
        <is>
          <t>TIRR</t>
        </is>
      </c>
    </row>
    <row r="3460">
      <c r="A3460" s="227">
        <f>TL[[#This Row],[Société]]&amp;" - "&amp;TL[[#This Row],[Compte]]</f>
        <v/>
      </c>
      <c r="B3460" s="233" t="inlineStr">
        <is>
          <t>512700</t>
        </is>
      </c>
      <c r="C3460" s="227" t="inlineStr">
        <is>
          <t>Crca normandie rouen</t>
        </is>
      </c>
      <c r="F3460" s="227" t="inlineStr">
        <is>
          <t>TIRR</t>
        </is>
      </c>
    </row>
    <row r="3461">
      <c r="A3461" s="227">
        <f>TL[[#This Row],[Société]]&amp;" - "&amp;TL[[#This Row],[Compte]]</f>
        <v/>
      </c>
      <c r="B3461" s="233" t="inlineStr">
        <is>
          <t>518100</t>
        </is>
      </c>
      <c r="C3461" s="227" t="inlineStr">
        <is>
          <t>Banque - Intérets courus à payer</t>
        </is>
      </c>
      <c r="F3461" s="227" t="inlineStr">
        <is>
          <t>TIRR</t>
        </is>
      </c>
    </row>
    <row r="3462">
      <c r="A3462" s="227">
        <f>TL[[#This Row],[Société]]&amp;" - "&amp;TL[[#This Row],[Compte]]</f>
        <v/>
      </c>
      <c r="B3462" s="233" t="inlineStr">
        <is>
          <t>519100</t>
        </is>
      </c>
      <c r="C3462" s="227" t="inlineStr">
        <is>
          <t>depot a terme</t>
        </is>
      </c>
      <c r="F3462" s="227" t="inlineStr">
        <is>
          <t>TIRR</t>
        </is>
      </c>
    </row>
    <row r="3463">
      <c r="A3463" s="227">
        <f>TL[[#This Row],[Société]]&amp;" - "&amp;TL[[#This Row],[Compte]]</f>
        <v/>
      </c>
      <c r="B3463" s="233" t="inlineStr">
        <is>
          <t>530201</t>
        </is>
      </c>
      <c r="C3463" s="227" t="inlineStr">
        <is>
          <t>Coffre</t>
        </is>
      </c>
      <c r="F3463" s="227" t="inlineStr">
        <is>
          <t>TIRR</t>
        </is>
      </c>
    </row>
    <row r="3464">
      <c r="A3464" s="227">
        <f>TL[[#This Row],[Société]]&amp;" - "&amp;TL[[#This Row],[Compte]]</f>
        <v/>
      </c>
      <c r="B3464" s="233" t="inlineStr">
        <is>
          <t>531000</t>
        </is>
      </c>
      <c r="C3464" s="227" t="inlineStr">
        <is>
          <t>Petite caisse</t>
        </is>
      </c>
      <c r="F3464" s="227" t="inlineStr">
        <is>
          <t>TIRR</t>
        </is>
      </c>
    </row>
    <row r="3465">
      <c r="A3465" s="227">
        <f>TL[[#This Row],[Société]]&amp;" - "&amp;TL[[#This Row],[Compte]]</f>
        <v/>
      </c>
      <c r="B3465" s="233" t="inlineStr">
        <is>
          <t>581000</t>
        </is>
      </c>
      <c r="C3465" s="227" t="inlineStr">
        <is>
          <t>Virements espèces</t>
        </is>
      </c>
      <c r="F3465" s="227" t="inlineStr">
        <is>
          <t>TIRR</t>
        </is>
      </c>
    </row>
    <row r="3466">
      <c r="A3466" s="227">
        <f>TL[[#This Row],[Société]]&amp;" - "&amp;TL[[#This Row],[Compte]]</f>
        <v/>
      </c>
      <c r="B3466" s="233" t="inlineStr">
        <is>
          <t>581100</t>
        </is>
      </c>
      <c r="C3466" s="227" t="inlineStr">
        <is>
          <t>Virements internes</t>
        </is>
      </c>
      <c r="F3466" s="227" t="inlineStr">
        <is>
          <t>TIRR</t>
        </is>
      </c>
    </row>
    <row r="3467">
      <c r="A3467" s="227">
        <f>TL[[#This Row],[Société]]&amp;" - "&amp;TL[[#This Row],[Compte]]</f>
        <v/>
      </c>
      <c r="B3467" s="233" t="inlineStr">
        <is>
          <t>583000</t>
        </is>
      </c>
      <c r="C3467" s="227" t="inlineStr">
        <is>
          <t>Approv.monnaie</t>
        </is>
      </c>
      <c r="F3467" s="227" t="inlineStr">
        <is>
          <t>TIRR</t>
        </is>
      </c>
    </row>
    <row r="3468">
      <c r="A3468" s="227">
        <f>TL[[#This Row],[Société]]&amp;" - "&amp;TL[[#This Row],[Compte]]</f>
        <v/>
      </c>
      <c r="B3468" s="233" t="inlineStr">
        <is>
          <t>601100</t>
        </is>
      </c>
      <c r="C3468" s="227" t="inlineStr">
        <is>
          <t>Achats nourriture</t>
        </is>
      </c>
      <c r="D3468" s="233" t="inlineStr">
        <is>
          <t>06</t>
        </is>
      </c>
      <c r="E3468" s="233" t="inlineStr">
        <is>
          <t>03</t>
        </is>
      </c>
      <c r="F3468" s="227" t="inlineStr">
        <is>
          <t>TIRR</t>
        </is>
      </c>
    </row>
    <row r="3469">
      <c r="A3469" s="227">
        <f>TL[[#This Row],[Société]]&amp;" - "&amp;TL[[#This Row],[Compte]]</f>
        <v/>
      </c>
      <c r="B3469" s="233" t="inlineStr">
        <is>
          <t>601102</t>
        </is>
      </c>
      <c r="C3469" s="227" t="inlineStr">
        <is>
          <t>Dechets</t>
        </is>
      </c>
      <c r="D3469" s="233" t="inlineStr">
        <is>
          <t>07</t>
        </is>
      </c>
      <c r="E3469" s="233" t="inlineStr">
        <is>
          <t>05</t>
        </is>
      </c>
      <c r="F3469" s="227" t="inlineStr">
        <is>
          <t>TIRR</t>
        </is>
      </c>
    </row>
    <row r="3470">
      <c r="A3470" s="227">
        <f>TL[[#This Row],[Société]]&amp;" - "&amp;TL[[#This Row],[Compte]]</f>
        <v/>
      </c>
      <c r="B3470" s="233" t="inlineStr">
        <is>
          <t>601103</t>
        </is>
      </c>
      <c r="C3470" s="227" t="inlineStr">
        <is>
          <t>Repas employes</t>
        </is>
      </c>
      <c r="D3470" s="233" t="inlineStr">
        <is>
          <t>08</t>
        </is>
      </c>
      <c r="E3470" s="233" t="inlineStr">
        <is>
          <t>04</t>
        </is>
      </c>
      <c r="F3470" s="227" t="inlineStr">
        <is>
          <t>TIRR</t>
        </is>
      </c>
    </row>
    <row r="3471">
      <c r="A3471" s="227">
        <f>TL[[#This Row],[Société]]&amp;" - "&amp;TL[[#This Row],[Compte]]</f>
        <v/>
      </c>
      <c r="B3471" s="233" t="inlineStr">
        <is>
          <t>602155</t>
        </is>
      </c>
      <c r="C3471" s="227" t="inlineStr">
        <is>
          <t>Achats jouets et divers npu</t>
        </is>
      </c>
      <c r="D3471" s="233" t="inlineStr">
        <is>
          <t>62</t>
        </is>
      </c>
      <c r="E3471" s="233" t="inlineStr">
        <is>
          <t>41</t>
        </is>
      </c>
      <c r="F3471" s="227" t="inlineStr">
        <is>
          <t>TIRR</t>
        </is>
      </c>
    </row>
    <row r="3472">
      <c r="A3472" s="227">
        <f>TL[[#This Row],[Société]]&amp;" - "&amp;TL[[#This Row],[Compte]]</f>
        <v/>
      </c>
      <c r="B3472" s="233" t="inlineStr">
        <is>
          <t>602201</t>
        </is>
      </c>
      <c r="C3472" s="227" t="inlineStr">
        <is>
          <t>Achat papier</t>
        </is>
      </c>
      <c r="D3472" s="233" t="inlineStr">
        <is>
          <t>03</t>
        </is>
      </c>
      <c r="E3472" s="233" t="inlineStr">
        <is>
          <t>06</t>
        </is>
      </c>
      <c r="F3472" s="227" t="inlineStr">
        <is>
          <t>TIRR</t>
        </is>
      </c>
    </row>
    <row r="3473">
      <c r="A3473" s="227">
        <f>TL[[#This Row],[Société]]&amp;" - "&amp;TL[[#This Row],[Compte]]</f>
        <v/>
      </c>
      <c r="B3473" s="233" t="inlineStr">
        <is>
          <t>602202</t>
        </is>
      </c>
      <c r="C3473" s="227" t="inlineStr">
        <is>
          <t>Jouets</t>
        </is>
      </c>
      <c r="D3473" s="233" t="inlineStr">
        <is>
          <t>62</t>
        </is>
      </c>
      <c r="E3473" s="233" t="inlineStr">
        <is>
          <t>51</t>
        </is>
      </c>
      <c r="F3473" s="227" t="inlineStr">
        <is>
          <t>TIRR</t>
        </is>
      </c>
    </row>
    <row r="3474">
      <c r="A3474" s="227">
        <f>TL[[#This Row],[Société]]&amp;" - "&amp;TL[[#This Row],[Compte]]</f>
        <v/>
      </c>
      <c r="B3474" s="233" t="inlineStr">
        <is>
          <t>602600</t>
        </is>
      </c>
      <c r="C3474" s="227" t="inlineStr">
        <is>
          <t>Achats emballages npu</t>
        </is>
      </c>
      <c r="D3474" s="233" t="inlineStr">
        <is>
          <t>03</t>
        </is>
      </c>
      <c r="E3474" s="233" t="inlineStr">
        <is>
          <t>06</t>
        </is>
      </c>
      <c r="F3474" s="227" t="inlineStr">
        <is>
          <t>TIRR</t>
        </is>
      </c>
    </row>
    <row r="3475">
      <c r="A3475" s="227">
        <f>TL[[#This Row],[Société]]&amp;" - "&amp;TL[[#This Row],[Compte]]</f>
        <v/>
      </c>
      <c r="B3475" s="233" t="inlineStr">
        <is>
          <t>602610</t>
        </is>
      </c>
      <c r="C3475" s="227" t="inlineStr">
        <is>
          <t>Emballages perdus</t>
        </is>
      </c>
      <c r="D3475" s="233" t="inlineStr">
        <is>
          <t>18</t>
        </is>
      </c>
      <c r="E3475" s="233" t="inlineStr">
        <is>
          <t>25</t>
        </is>
      </c>
      <c r="F3475" s="227" t="inlineStr">
        <is>
          <t>TIRR</t>
        </is>
      </c>
    </row>
    <row r="3476">
      <c r="A3476" s="227">
        <f>TL[[#This Row],[Société]]&amp;" - "&amp;TL[[#This Row],[Compte]]</f>
        <v/>
      </c>
      <c r="B3476" s="233" t="inlineStr">
        <is>
          <t>602612</t>
        </is>
      </c>
      <c r="C3476" s="227" t="inlineStr">
        <is>
          <t>Vaisselle</t>
        </is>
      </c>
      <c r="D3476" s="235" t="inlineStr">
        <is>
          <t>06</t>
        </is>
      </c>
      <c r="E3476" s="233" t="inlineStr">
        <is>
          <t>6.1</t>
        </is>
      </c>
      <c r="F3476" s="227" t="inlineStr">
        <is>
          <t>TIRR</t>
        </is>
      </c>
    </row>
    <row r="3477">
      <c r="A3477" s="227">
        <f>TL[[#This Row],[Société]]&amp;" - "&amp;TL[[#This Row],[Compte]]</f>
        <v/>
      </c>
      <c r="B3477" s="233" t="inlineStr">
        <is>
          <t>602630</t>
        </is>
      </c>
      <c r="C3477" s="227" t="inlineStr">
        <is>
          <t>Achats papier npu</t>
        </is>
      </c>
      <c r="D3477" s="233" t="inlineStr">
        <is>
          <t>03</t>
        </is>
      </c>
      <c r="E3477" s="233" t="inlineStr">
        <is>
          <t>06</t>
        </is>
      </c>
      <c r="F3477" s="227" t="inlineStr">
        <is>
          <t>TIRR</t>
        </is>
      </c>
    </row>
    <row r="3478">
      <c r="A3478" s="227">
        <f>TL[[#This Row],[Société]]&amp;" - "&amp;TL[[#This Row],[Compte]]</f>
        <v/>
      </c>
      <c r="B3478" s="233" t="inlineStr">
        <is>
          <t>603100</t>
        </is>
      </c>
      <c r="C3478" s="227" t="inlineStr">
        <is>
          <t>Variat. stocks mat. premières/fourn</t>
        </is>
      </c>
      <c r="D3478" s="233" t="inlineStr">
        <is>
          <t>06</t>
        </is>
      </c>
      <c r="E3478" s="233" t="inlineStr">
        <is>
          <t>03</t>
        </is>
      </c>
      <c r="F3478" s="227" t="inlineStr">
        <is>
          <t>TIRR</t>
        </is>
      </c>
    </row>
    <row r="3479">
      <c r="A3479" s="227">
        <f>TL[[#This Row],[Société]]&amp;" - "&amp;TL[[#This Row],[Compte]]</f>
        <v/>
      </c>
      <c r="B3479" s="233" t="inlineStr">
        <is>
          <t>603200</t>
        </is>
      </c>
      <c r="C3479" s="227" t="inlineStr">
        <is>
          <t>Variat. stocks papier</t>
        </is>
      </c>
      <c r="D3479" s="233" t="inlineStr">
        <is>
          <t>03</t>
        </is>
      </c>
      <c r="E3479" s="233" t="inlineStr">
        <is>
          <t>06</t>
        </is>
      </c>
      <c r="F3479" s="227" t="inlineStr">
        <is>
          <t>TIRR</t>
        </is>
      </c>
    </row>
    <row r="3480">
      <c r="A3480" s="227">
        <f>TL[[#This Row],[Société]]&amp;" - "&amp;TL[[#This Row],[Compte]]</f>
        <v/>
      </c>
      <c r="B3480" s="233" t="inlineStr">
        <is>
          <t>603210</t>
        </is>
      </c>
      <c r="C3480" s="227" t="inlineStr">
        <is>
          <t>Var stocks pdts non alim.</t>
        </is>
      </c>
      <c r="D3480" s="233" t="inlineStr">
        <is>
          <t>62</t>
        </is>
      </c>
      <c r="E3480" s="233" t="inlineStr">
        <is>
          <t>51</t>
        </is>
      </c>
      <c r="F3480" s="227" t="inlineStr">
        <is>
          <t>TIRR</t>
        </is>
      </c>
    </row>
    <row r="3481">
      <c r="A3481" s="227">
        <f>TL[[#This Row],[Société]]&amp;" - "&amp;TL[[#This Row],[Compte]]</f>
        <v/>
      </c>
      <c r="B3481" s="233" t="inlineStr">
        <is>
          <t>606101</t>
        </is>
      </c>
      <c r="C3481" s="227" t="inlineStr">
        <is>
          <t>Fourniture eau npu</t>
        </is>
      </c>
      <c r="F3481" s="227" t="inlineStr">
        <is>
          <t>TIRR</t>
        </is>
      </c>
    </row>
    <row r="3482">
      <c r="A3482" s="227">
        <f>TL[[#This Row],[Société]]&amp;" - "&amp;TL[[#This Row],[Compte]]</f>
        <v/>
      </c>
      <c r="B3482" s="233" t="inlineStr">
        <is>
          <t>606103</t>
        </is>
      </c>
      <c r="C3482" s="227" t="inlineStr">
        <is>
          <t>Fournitures électricité npu</t>
        </is>
      </c>
      <c r="D3482" s="233" t="inlineStr">
        <is>
          <t>20</t>
        </is>
      </c>
      <c r="F3482" s="227" t="inlineStr">
        <is>
          <t>TIRR</t>
        </is>
      </c>
    </row>
    <row r="3483">
      <c r="A3483" s="227">
        <f>TL[[#This Row],[Société]]&amp;" - "&amp;TL[[#This Row],[Compte]]</f>
        <v/>
      </c>
      <c r="B3483" s="233" t="inlineStr">
        <is>
          <t>606110</t>
        </is>
      </c>
      <c r="C3483" s="227" t="inlineStr">
        <is>
          <t>Fournitures eau</t>
        </is>
      </c>
      <c r="D3483" s="233" t="inlineStr">
        <is>
          <t>20</t>
        </is>
      </c>
      <c r="E3483" s="233" t="inlineStr">
        <is>
          <t>24</t>
        </is>
      </c>
      <c r="F3483" s="227" t="inlineStr">
        <is>
          <t>TIRR</t>
        </is>
      </c>
    </row>
    <row r="3484">
      <c r="A3484" s="227">
        <f>TL[[#This Row],[Société]]&amp;" - "&amp;TL[[#This Row],[Compte]]</f>
        <v/>
      </c>
      <c r="B3484" s="233" t="inlineStr">
        <is>
          <t>606120</t>
        </is>
      </c>
      <c r="C3484" s="227" t="inlineStr">
        <is>
          <t>Fournitures électricité</t>
        </is>
      </c>
      <c r="D3484" s="233" t="inlineStr">
        <is>
          <t>20</t>
        </is>
      </c>
      <c r="E3484" s="233" t="inlineStr">
        <is>
          <t>24</t>
        </is>
      </c>
      <c r="F3484" s="227" t="inlineStr">
        <is>
          <t>TIRR</t>
        </is>
      </c>
    </row>
    <row r="3485">
      <c r="A3485" s="227">
        <f>TL[[#This Row],[Société]]&amp;" - "&amp;TL[[#This Row],[Compte]]</f>
        <v/>
      </c>
      <c r="B3485" s="233" t="inlineStr">
        <is>
          <t>606130</t>
        </is>
      </c>
      <c r="C3485" s="227" t="inlineStr">
        <is>
          <t>Achats gaz</t>
        </is>
      </c>
      <c r="D3485" s="233" t="inlineStr">
        <is>
          <t>20</t>
        </is>
      </c>
      <c r="E3485" s="233" t="inlineStr">
        <is>
          <t>24</t>
        </is>
      </c>
      <c r="F3485" s="227" t="inlineStr">
        <is>
          <t>TIRR</t>
        </is>
      </c>
    </row>
    <row r="3486">
      <c r="A3486" s="227">
        <f>TL[[#This Row],[Société]]&amp;" - "&amp;TL[[#This Row],[Compte]]</f>
        <v/>
      </c>
      <c r="B3486" s="233" t="inlineStr">
        <is>
          <t>606300</t>
        </is>
      </c>
      <c r="C3486" s="227" t="inlineStr">
        <is>
          <t>Petit equipement</t>
        </is>
      </c>
      <c r="D3486" s="233" t="inlineStr">
        <is>
          <t>19</t>
        </is>
      </c>
      <c r="E3486" s="233" t="inlineStr">
        <is>
          <t>18</t>
        </is>
      </c>
      <c r="F3486" s="227" t="inlineStr">
        <is>
          <t>TIRR</t>
        </is>
      </c>
    </row>
    <row r="3487">
      <c r="A3487" s="227">
        <f>TL[[#This Row],[Société]]&amp;" - "&amp;TL[[#This Row],[Compte]]</f>
        <v/>
      </c>
      <c r="B3487" s="233" t="inlineStr">
        <is>
          <t>606301</t>
        </is>
      </c>
      <c r="C3487" s="227" t="inlineStr">
        <is>
          <t>Fournitures d'exploitation</t>
        </is>
      </c>
      <c r="D3487" s="233" t="inlineStr">
        <is>
          <t>18</t>
        </is>
      </c>
      <c r="E3487" s="233" t="inlineStr">
        <is>
          <t>25</t>
        </is>
      </c>
      <c r="F3487" s="227" t="inlineStr">
        <is>
          <t>TIRR</t>
        </is>
      </c>
    </row>
    <row r="3488">
      <c r="A3488" s="227">
        <f>TL[[#This Row],[Société]]&amp;" - "&amp;TL[[#This Row],[Compte]]</f>
        <v/>
      </c>
      <c r="B3488" s="233" t="inlineStr">
        <is>
          <t>606302</t>
        </is>
      </c>
      <c r="C3488" s="227" t="inlineStr">
        <is>
          <t>Fournitures d'exploitation</t>
        </is>
      </c>
      <c r="D3488" s="233" t="inlineStr">
        <is>
          <t>18</t>
        </is>
      </c>
      <c r="E3488" s="233" t="inlineStr">
        <is>
          <t>25</t>
        </is>
      </c>
      <c r="F3488" s="227" t="inlineStr">
        <is>
          <t>TIRR</t>
        </is>
      </c>
    </row>
    <row r="3489">
      <c r="A3489" s="227">
        <f>TL[[#This Row],[Société]]&amp;" - "&amp;TL[[#This Row],[Compte]]</f>
        <v/>
      </c>
      <c r="B3489" s="233" t="inlineStr">
        <is>
          <t>606303</t>
        </is>
      </c>
      <c r="C3489" s="227" t="inlineStr">
        <is>
          <t>Uniformes</t>
        </is>
      </c>
      <c r="D3489" s="233" t="inlineStr">
        <is>
          <t>17</t>
        </is>
      </c>
      <c r="E3489" s="233" t="inlineStr">
        <is>
          <t>27</t>
        </is>
      </c>
      <c r="F3489" s="227" t="inlineStr">
        <is>
          <t>TIRR</t>
        </is>
      </c>
    </row>
    <row r="3490">
      <c r="A3490" s="227">
        <f>TL[[#This Row],[Société]]&amp;" - "&amp;TL[[#This Row],[Compte]]</f>
        <v/>
      </c>
      <c r="B3490" s="233" t="inlineStr">
        <is>
          <t>606305</t>
        </is>
      </c>
      <c r="C3490" s="227" t="inlineStr">
        <is>
          <t>Petits equipements COVID</t>
        </is>
      </c>
      <c r="D3490" s="233" t="inlineStr">
        <is>
          <t>18</t>
        </is>
      </c>
      <c r="E3490" s="233" t="inlineStr">
        <is>
          <t>25</t>
        </is>
      </c>
      <c r="F3490" s="227" t="inlineStr">
        <is>
          <t>TIRR</t>
        </is>
      </c>
    </row>
    <row r="3491">
      <c r="A3491" s="227">
        <f>TL[[#This Row],[Société]]&amp;" - "&amp;TL[[#This Row],[Compte]]</f>
        <v/>
      </c>
      <c r="B3491" s="233" t="inlineStr">
        <is>
          <t>606400</t>
        </is>
      </c>
      <c r="C3491" s="227" t="inlineStr">
        <is>
          <t>Achats fournitures adm npu</t>
        </is>
      </c>
      <c r="D3491" s="233" t="inlineStr">
        <is>
          <t>21</t>
        </is>
      </c>
      <c r="E3491" s="233" t="inlineStr">
        <is>
          <t>25</t>
        </is>
      </c>
      <c r="F3491" s="227" t="inlineStr">
        <is>
          <t>TIRR</t>
        </is>
      </c>
    </row>
    <row r="3492">
      <c r="A3492" s="227">
        <f>TL[[#This Row],[Société]]&amp;" - "&amp;TL[[#This Row],[Compte]]</f>
        <v/>
      </c>
      <c r="B3492" s="233" t="inlineStr">
        <is>
          <t>606401</t>
        </is>
      </c>
      <c r="C3492" s="227" t="inlineStr">
        <is>
          <t>Achats fournitures administratives</t>
        </is>
      </c>
      <c r="D3492" s="233" t="inlineStr">
        <is>
          <t>21</t>
        </is>
      </c>
      <c r="E3492" s="233" t="inlineStr">
        <is>
          <t>25</t>
        </is>
      </c>
      <c r="F3492" s="227" t="inlineStr">
        <is>
          <t>TIRR</t>
        </is>
      </c>
    </row>
    <row r="3493">
      <c r="A3493" s="227">
        <f>TL[[#This Row],[Société]]&amp;" - "&amp;TL[[#This Row],[Compte]]</f>
        <v/>
      </c>
      <c r="B3493" s="233" t="inlineStr">
        <is>
          <t>606613</t>
        </is>
      </c>
      <c r="C3493" s="227" t="inlineStr">
        <is>
          <t>Carburant</t>
        </is>
      </c>
      <c r="D3493" s="233" t="inlineStr">
        <is>
          <t>13</t>
        </is>
      </c>
      <c r="E3493" s="233" t="inlineStr">
        <is>
          <t>40</t>
        </is>
      </c>
      <c r="F3493" s="227" t="inlineStr">
        <is>
          <t>TIRR</t>
        </is>
      </c>
    </row>
    <row r="3494">
      <c r="A3494" s="227">
        <f>TL[[#This Row],[Société]]&amp;" - "&amp;TL[[#This Row],[Compte]]</f>
        <v/>
      </c>
      <c r="B3494" s="233" t="inlineStr">
        <is>
          <t>609000</t>
        </is>
      </c>
      <c r="C3494" s="227" t="inlineStr">
        <is>
          <t>Rabais, remises &amp; ristourn. obtenus</t>
        </is>
      </c>
      <c r="D3494" s="233" t="inlineStr">
        <is>
          <t>06</t>
        </is>
      </c>
      <c r="E3494" s="233" t="inlineStr">
        <is>
          <t>03</t>
        </is>
      </c>
      <c r="F3494" s="227" t="inlineStr">
        <is>
          <t>TIRR</t>
        </is>
      </c>
    </row>
    <row r="3495">
      <c r="A3495" s="227">
        <f>TL[[#This Row],[Société]]&amp;" - "&amp;TL[[#This Row],[Compte]]</f>
        <v/>
      </c>
      <c r="B3495" s="233" t="inlineStr">
        <is>
          <t>611100</t>
        </is>
      </c>
      <c r="C3495" s="227" t="inlineStr">
        <is>
          <t>Contrat accès Silae</t>
        </is>
      </c>
      <c r="D3495" s="233" t="inlineStr">
        <is>
          <t>32</t>
        </is>
      </c>
      <c r="E3495" s="233" t="inlineStr">
        <is>
          <t>19</t>
        </is>
      </c>
      <c r="F3495" s="227" t="inlineStr">
        <is>
          <t>TIRR</t>
        </is>
      </c>
    </row>
    <row r="3496">
      <c r="A3496" s="227">
        <f>TL[[#This Row],[Société]]&amp;" - "&amp;TL[[#This Row],[Compte]]</f>
        <v/>
      </c>
      <c r="B3496" s="233" t="inlineStr">
        <is>
          <t>613000</t>
        </is>
      </c>
      <c r="C3496" s="227" t="inlineStr">
        <is>
          <t>Redevance standard location</t>
        </is>
      </c>
      <c r="D3496" s="233" t="inlineStr">
        <is>
          <t>30</t>
        </is>
      </c>
      <c r="E3496" s="233" t="inlineStr">
        <is>
          <t>29</t>
        </is>
      </c>
      <c r="F3496" s="227" t="inlineStr">
        <is>
          <t>TIRR</t>
        </is>
      </c>
    </row>
    <row r="3497">
      <c r="A3497" s="227">
        <f>TL[[#This Row],[Société]]&amp;" - "&amp;TL[[#This Row],[Compte]]</f>
        <v/>
      </c>
      <c r="B3497" s="233" t="inlineStr">
        <is>
          <t>613100</t>
        </is>
      </c>
      <c r="C3497" s="227" t="inlineStr">
        <is>
          <t>Locations diverses</t>
        </is>
      </c>
      <c r="D3497" s="233" t="inlineStr">
        <is>
          <t>16</t>
        </is>
      </c>
      <c r="E3497" s="233" t="inlineStr">
        <is>
          <t>19</t>
        </is>
      </c>
      <c r="F3497" s="227" t="inlineStr">
        <is>
          <t>TIRR</t>
        </is>
      </c>
    </row>
    <row r="3498">
      <c r="A3498" s="227">
        <f>TL[[#This Row],[Société]]&amp;" - "&amp;TL[[#This Row],[Compte]]</f>
        <v/>
      </c>
      <c r="B3498" s="233" t="inlineStr">
        <is>
          <t>613101</t>
        </is>
      </c>
      <c r="C3498" s="227" t="inlineStr">
        <is>
          <t>Loc caisse palette bio dechets</t>
        </is>
      </c>
      <c r="D3498" s="233" t="inlineStr">
        <is>
          <t>16</t>
        </is>
      </c>
      <c r="E3498" s="233" t="inlineStr">
        <is>
          <t>19</t>
        </is>
      </c>
      <c r="F3498" s="227" t="inlineStr">
        <is>
          <t>TIRR</t>
        </is>
      </c>
    </row>
    <row r="3499">
      <c r="A3499" s="227">
        <f>TL[[#This Row],[Société]]&amp;" - "&amp;TL[[#This Row],[Compte]]</f>
        <v/>
      </c>
      <c r="B3499" s="233" t="inlineStr">
        <is>
          <t>613102</t>
        </is>
      </c>
      <c r="C3499" s="227" t="inlineStr">
        <is>
          <t>Location vehicule</t>
        </is>
      </c>
      <c r="D3499" s="233" t="inlineStr">
        <is>
          <t>39</t>
        </is>
      </c>
      <c r="E3499" s="233" t="inlineStr">
        <is>
          <t>39</t>
        </is>
      </c>
      <c r="F3499" s="227" t="inlineStr">
        <is>
          <t>TIRR</t>
        </is>
      </c>
    </row>
    <row r="3500">
      <c r="A3500" s="227">
        <f>TL[[#This Row],[Société]]&amp;" - "&amp;TL[[#This Row],[Compte]]</f>
        <v/>
      </c>
      <c r="B3500" s="233" t="inlineStr">
        <is>
          <t>613200</t>
        </is>
      </c>
      <c r="C3500" s="227" t="inlineStr">
        <is>
          <t>Locations interway</t>
        </is>
      </c>
      <c r="D3500" s="233" t="inlineStr">
        <is>
          <t>16</t>
        </is>
      </c>
      <c r="E3500" s="233" t="inlineStr">
        <is>
          <t>19</t>
        </is>
      </c>
      <c r="F3500" s="227" t="inlineStr">
        <is>
          <t>TIRR</t>
        </is>
      </c>
    </row>
    <row r="3501">
      <c r="A3501" s="227">
        <f>TL[[#This Row],[Société]]&amp;" - "&amp;TL[[#This Row],[Compte]]</f>
        <v/>
      </c>
      <c r="B3501" s="233" t="inlineStr">
        <is>
          <t>613300</t>
        </is>
      </c>
      <c r="C3501" s="227" t="inlineStr">
        <is>
          <t>Location class a dm 763 zw</t>
        </is>
      </c>
      <c r="D3501" s="233" t="inlineStr">
        <is>
          <t>39</t>
        </is>
      </c>
      <c r="E3501" s="233" t="inlineStr">
        <is>
          <t>39</t>
        </is>
      </c>
      <c r="F3501" s="227" t="inlineStr">
        <is>
          <t>TIRR</t>
        </is>
      </c>
    </row>
    <row r="3502">
      <c r="A3502" s="227">
        <f>TL[[#This Row],[Société]]&amp;" - "&amp;TL[[#This Row],[Compte]]</f>
        <v/>
      </c>
      <c r="B3502" s="233" t="inlineStr">
        <is>
          <t>613310</t>
        </is>
      </c>
      <c r="C3502" s="227" t="inlineStr">
        <is>
          <t>Loyer mercedes wassa yatera</t>
        </is>
      </c>
      <c r="D3502" s="233" t="inlineStr">
        <is>
          <t>39</t>
        </is>
      </c>
      <c r="E3502" s="233" t="inlineStr">
        <is>
          <t>39</t>
        </is>
      </c>
      <c r="F3502" s="227" t="inlineStr">
        <is>
          <t>TIRR</t>
        </is>
      </c>
    </row>
    <row r="3503">
      <c r="A3503" s="227">
        <f>TL[[#This Row],[Société]]&amp;" - "&amp;TL[[#This Row],[Compte]]</f>
        <v/>
      </c>
      <c r="B3503" s="233" t="inlineStr">
        <is>
          <t>613500</t>
        </is>
      </c>
      <c r="C3503" s="227" t="inlineStr">
        <is>
          <t>Locations classe a dm-763-zw</t>
        </is>
      </c>
      <c r="D3503" s="233" t="inlineStr">
        <is>
          <t>39</t>
        </is>
      </c>
      <c r="E3503" s="233" t="inlineStr">
        <is>
          <t>39</t>
        </is>
      </c>
      <c r="F3503" s="227" t="inlineStr">
        <is>
          <t>TIRR</t>
        </is>
      </c>
    </row>
    <row r="3504">
      <c r="A3504" s="227">
        <f>TL[[#This Row],[Société]]&amp;" - "&amp;TL[[#This Row],[Compte]]</f>
        <v/>
      </c>
      <c r="B3504" s="233" t="inlineStr">
        <is>
          <t>613501</t>
        </is>
      </c>
      <c r="C3504" s="227" t="inlineStr">
        <is>
          <t>Loyer Classe A EH-255-YK</t>
        </is>
      </c>
      <c r="D3504" s="233" t="inlineStr">
        <is>
          <t>39</t>
        </is>
      </c>
      <c r="E3504" s="233" t="inlineStr">
        <is>
          <t>39</t>
        </is>
      </c>
      <c r="F3504" s="227" t="inlineStr">
        <is>
          <t>TIRR</t>
        </is>
      </c>
    </row>
    <row r="3505">
      <c r="A3505" s="227">
        <f>TL[[#This Row],[Société]]&amp;" - "&amp;TL[[#This Row],[Compte]]</f>
        <v/>
      </c>
      <c r="B3505" s="233" t="inlineStr">
        <is>
          <t>613510</t>
        </is>
      </c>
      <c r="C3505" s="227" t="inlineStr">
        <is>
          <t>Location mercedes wassa yatera</t>
        </is>
      </c>
      <c r="D3505" s="233" t="inlineStr">
        <is>
          <t>39</t>
        </is>
      </c>
      <c r="E3505" s="233" t="inlineStr">
        <is>
          <t>40</t>
        </is>
      </c>
      <c r="F3505" s="227" t="inlineStr">
        <is>
          <t>TIRR</t>
        </is>
      </c>
    </row>
    <row r="3506">
      <c r="A3506" s="227">
        <f>TL[[#This Row],[Société]]&amp;" - "&amp;TL[[#This Row],[Compte]]</f>
        <v/>
      </c>
      <c r="B3506" s="233" t="inlineStr">
        <is>
          <t>613511</t>
        </is>
      </c>
      <c r="C3506" s="227" t="inlineStr">
        <is>
          <t>Loyer voit thomas de htr8</t>
        </is>
      </c>
      <c r="D3506" s="233" t="inlineStr">
        <is>
          <t>39</t>
        </is>
      </c>
      <c r="E3506" s="233" t="inlineStr">
        <is>
          <t>39</t>
        </is>
      </c>
      <c r="F3506" s="227" t="inlineStr">
        <is>
          <t>TIRR</t>
        </is>
      </c>
    </row>
    <row r="3507">
      <c r="A3507" s="227">
        <f>TL[[#This Row],[Société]]&amp;" - "&amp;TL[[#This Row],[Compte]]</f>
        <v/>
      </c>
      <c r="B3507" s="233" t="inlineStr">
        <is>
          <t>613512</t>
        </is>
      </c>
      <c r="C3507" s="227" t="inlineStr">
        <is>
          <t>Loyer clio wassa</t>
        </is>
      </c>
      <c r="D3507" s="233" t="inlineStr">
        <is>
          <t>39</t>
        </is>
      </c>
      <c r="E3507" s="233" t="inlineStr">
        <is>
          <t>39</t>
        </is>
      </c>
      <c r="F3507" s="227" t="inlineStr">
        <is>
          <t>TIRR</t>
        </is>
      </c>
    </row>
    <row r="3508">
      <c r="A3508" s="227">
        <f>TL[[#This Row],[Société]]&amp;" - "&amp;TL[[#This Row],[Compte]]</f>
        <v/>
      </c>
      <c r="B3508" s="233" t="inlineStr">
        <is>
          <t>613513</t>
        </is>
      </c>
      <c r="C3508" s="227" t="inlineStr">
        <is>
          <t>Loyer voiture bun rath - lanos</t>
        </is>
      </c>
      <c r="D3508" s="233" t="inlineStr">
        <is>
          <t>39</t>
        </is>
      </c>
      <c r="E3508" s="233" t="inlineStr">
        <is>
          <t>40</t>
        </is>
      </c>
      <c r="F3508" s="227" t="inlineStr">
        <is>
          <t>TIRR</t>
        </is>
      </c>
    </row>
    <row r="3509">
      <c r="A3509" s="227">
        <f>TL[[#This Row],[Société]]&amp;" - "&amp;TL[[#This Row],[Compte]]</f>
        <v/>
      </c>
      <c r="B3509" s="233" t="inlineStr">
        <is>
          <t>613514</t>
        </is>
      </c>
      <c r="C3509" s="227" t="inlineStr">
        <is>
          <t>Loyer paritel</t>
        </is>
      </c>
      <c r="D3509" s="233" t="inlineStr">
        <is>
          <t>16</t>
        </is>
      </c>
      <c r="E3509" s="233" t="inlineStr">
        <is>
          <t>19</t>
        </is>
      </c>
      <c r="F3509" s="227" t="inlineStr">
        <is>
          <t>TIRR</t>
        </is>
      </c>
    </row>
    <row r="3510">
      <c r="A3510" s="227">
        <f>TL[[#This Row],[Société]]&amp;" - "&amp;TL[[#This Row],[Compte]]</f>
        <v/>
      </c>
      <c r="B3510" s="233" t="inlineStr">
        <is>
          <t>613515</t>
        </is>
      </c>
      <c r="C3510" s="227" t="inlineStr">
        <is>
          <t>Loyer voiture glr5 sabrina</t>
        </is>
      </c>
      <c r="D3510" s="233" t="inlineStr">
        <is>
          <t>39</t>
        </is>
      </c>
      <c r="E3510" s="233" t="inlineStr">
        <is>
          <t>40</t>
        </is>
      </c>
      <c r="F3510" s="227" t="inlineStr">
        <is>
          <t>TIRR</t>
        </is>
      </c>
    </row>
    <row r="3511">
      <c r="A3511" s="227">
        <f>TL[[#This Row],[Société]]&amp;" - "&amp;TL[[#This Row],[Compte]]</f>
        <v/>
      </c>
      <c r="B3511" s="233" t="inlineStr">
        <is>
          <t>613516</t>
        </is>
      </c>
      <c r="C3511" s="227" t="inlineStr">
        <is>
          <t>Loyer Classe A FG-329-YA</t>
        </is>
      </c>
      <c r="D3511" s="233" t="inlineStr">
        <is>
          <t>39</t>
        </is>
      </c>
      <c r="E3511" s="233" t="inlineStr">
        <is>
          <t>39</t>
        </is>
      </c>
      <c r="F3511" s="227" t="inlineStr">
        <is>
          <t>TIRR</t>
        </is>
      </c>
    </row>
    <row r="3512">
      <c r="A3512" s="227">
        <f>TL[[#This Row],[Société]]&amp;" - "&amp;TL[[#This Row],[Compte]]</f>
        <v/>
      </c>
      <c r="B3512" s="233" t="inlineStr">
        <is>
          <t>613517</t>
        </is>
      </c>
      <c r="C3512" s="227" t="inlineStr">
        <is>
          <t>loyer voiture sandrine glr5</t>
        </is>
      </c>
      <c r="D3512" s="233" t="inlineStr">
        <is>
          <t>39</t>
        </is>
      </c>
      <c r="E3512" s="233" t="inlineStr">
        <is>
          <t>39</t>
        </is>
      </c>
      <c r="F3512" s="227" t="inlineStr">
        <is>
          <t>TIRR</t>
        </is>
      </c>
    </row>
    <row r="3513">
      <c r="A3513" s="227">
        <f>TL[[#This Row],[Société]]&amp;" - "&amp;TL[[#This Row],[Compte]]</f>
        <v/>
      </c>
      <c r="B3513" s="233" t="inlineStr">
        <is>
          <t>613518</t>
        </is>
      </c>
      <c r="C3513" s="227" t="inlineStr">
        <is>
          <t>loyer voiture a1 marine</t>
        </is>
      </c>
      <c r="D3513" s="233" t="inlineStr">
        <is>
          <t>39</t>
        </is>
      </c>
      <c r="E3513" s="233" t="inlineStr">
        <is>
          <t>40</t>
        </is>
      </c>
      <c r="F3513" s="227" t="inlineStr">
        <is>
          <t>TIRR</t>
        </is>
      </c>
    </row>
    <row r="3514">
      <c r="A3514" s="227">
        <f>TL[[#This Row],[Société]]&amp;" - "&amp;TL[[#This Row],[Compte]]</f>
        <v/>
      </c>
      <c r="B3514" s="233" t="inlineStr">
        <is>
          <t>613519</t>
        </is>
      </c>
      <c r="C3514" s="227" t="inlineStr">
        <is>
          <t>Location defibrillateur</t>
        </is>
      </c>
      <c r="D3514" s="233" t="inlineStr">
        <is>
          <t>16</t>
        </is>
      </c>
      <c r="E3514" s="233" t="inlineStr">
        <is>
          <t>19</t>
        </is>
      </c>
      <c r="F3514" s="227" t="inlineStr">
        <is>
          <t>TIRR</t>
        </is>
      </c>
    </row>
    <row r="3515">
      <c r="A3515" s="227">
        <f>TL[[#This Row],[Société]]&amp;" - "&amp;TL[[#This Row],[Compte]]</f>
        <v/>
      </c>
      <c r="B3515" s="233" t="inlineStr">
        <is>
          <t>613520</t>
        </is>
      </c>
      <c r="C3515" s="227" t="inlineStr">
        <is>
          <t>Locations de matériel de transport</t>
        </is>
      </c>
      <c r="D3515" s="233" t="inlineStr">
        <is>
          <t>16</t>
        </is>
      </c>
      <c r="E3515" s="233" t="inlineStr">
        <is>
          <t>19</t>
        </is>
      </c>
      <c r="F3515" s="227" t="inlineStr">
        <is>
          <t>TIRR</t>
        </is>
      </c>
    </row>
    <row r="3516">
      <c r="A3516" s="227">
        <f>TL[[#This Row],[Société]]&amp;" - "&amp;TL[[#This Row],[Compte]]</f>
        <v/>
      </c>
      <c r="B3516" s="233" t="inlineStr">
        <is>
          <t>613521</t>
        </is>
      </c>
      <c r="C3516" s="227" t="inlineStr">
        <is>
          <t>loy voiture max lanos</t>
        </is>
      </c>
      <c r="D3516" s="233" t="inlineStr">
        <is>
          <t>39</t>
        </is>
      </c>
      <c r="E3516" s="233" t="inlineStr">
        <is>
          <t>39</t>
        </is>
      </c>
      <c r="F3516" s="227" t="inlineStr">
        <is>
          <t>TIRR</t>
        </is>
      </c>
    </row>
    <row r="3517">
      <c r="A3517" s="227">
        <f>TL[[#This Row],[Société]]&amp;" - "&amp;TL[[#This Row],[Compte]]</f>
        <v/>
      </c>
      <c r="B3517" s="233" t="inlineStr">
        <is>
          <t>613522</t>
        </is>
      </c>
      <c r="C3517" s="227" t="inlineStr">
        <is>
          <t>loyer vehicule sabrina</t>
        </is>
      </c>
      <c r="D3517" s="233" t="inlineStr">
        <is>
          <t>39</t>
        </is>
      </c>
      <c r="E3517" s="233" t="inlineStr">
        <is>
          <t>40</t>
        </is>
      </c>
      <c r="F3517" s="227" t="inlineStr">
        <is>
          <t>TIRR</t>
        </is>
      </c>
    </row>
    <row r="3518">
      <c r="A3518" s="227">
        <f>TL[[#This Row],[Société]]&amp;" - "&amp;TL[[#This Row],[Compte]]</f>
        <v/>
      </c>
      <c r="B3518" s="233" t="inlineStr">
        <is>
          <t>613523</t>
        </is>
      </c>
      <c r="C3518" s="227" t="inlineStr">
        <is>
          <t>loc mercedes sandrine FZ 768 AV</t>
        </is>
      </c>
      <c r="D3518" s="233" t="inlineStr">
        <is>
          <t>39</t>
        </is>
      </c>
      <c r="E3518" s="233" t="inlineStr">
        <is>
          <t>40</t>
        </is>
      </c>
      <c r="F3518" s="227" t="inlineStr">
        <is>
          <t>TIRR</t>
        </is>
      </c>
    </row>
    <row r="3519">
      <c r="A3519" s="227">
        <f>TL[[#This Row],[Société]]&amp;" - "&amp;TL[[#This Row],[Compte]]</f>
        <v/>
      </c>
      <c r="B3519" s="233" t="inlineStr">
        <is>
          <t>613524</t>
        </is>
      </c>
      <c r="C3519" s="227" t="inlineStr">
        <is>
          <t>loyer voiture wassa htr8</t>
        </is>
      </c>
      <c r="D3519" s="233" t="inlineStr">
        <is>
          <t>39</t>
        </is>
      </c>
      <c r="E3519" s="233" t="inlineStr">
        <is>
          <t>40</t>
        </is>
      </c>
      <c r="F3519" s="227" t="inlineStr">
        <is>
          <t>TIRR</t>
        </is>
      </c>
    </row>
    <row r="3520">
      <c r="A3520" s="227">
        <f>TL[[#This Row],[Société]]&amp;" - "&amp;TL[[#This Row],[Compte]]</f>
        <v/>
      </c>
      <c r="B3520" s="233" t="inlineStr">
        <is>
          <t>613526</t>
        </is>
      </c>
      <c r="C3520" s="227" t="inlineStr">
        <is>
          <t>Loyer véhicule Rego</t>
        </is>
      </c>
      <c r="D3520" s="233" t="inlineStr">
        <is>
          <t>39</t>
        </is>
      </c>
      <c r="E3520" s="233" t="inlineStr">
        <is>
          <t>40</t>
        </is>
      </c>
      <c r="F3520" s="227" t="inlineStr">
        <is>
          <t>TIRR</t>
        </is>
      </c>
    </row>
    <row r="3521">
      <c r="A3521" s="227">
        <f>TL[[#This Row],[Société]]&amp;" - "&amp;TL[[#This Row],[Compte]]</f>
        <v/>
      </c>
      <c r="B3521" s="233" t="inlineStr">
        <is>
          <t>613529</t>
        </is>
      </c>
      <c r="C3521" s="227" t="inlineStr">
        <is>
          <t>Loyer véhicule Phoeuk</t>
        </is>
      </c>
      <c r="D3521" s="233" t="inlineStr">
        <is>
          <t>39</t>
        </is>
      </c>
      <c r="E3521" s="233" t="inlineStr">
        <is>
          <t>40</t>
        </is>
      </c>
      <c r="F3521" s="227" t="inlineStr">
        <is>
          <t>TIRR</t>
        </is>
      </c>
    </row>
    <row r="3522">
      <c r="A3522" s="227">
        <f>TL[[#This Row],[Société]]&amp;" - "&amp;TL[[#This Row],[Compte]]</f>
        <v/>
      </c>
      <c r="B3522" s="233" t="inlineStr">
        <is>
          <t>614000</t>
        </is>
      </c>
      <c r="C3522" s="227" t="inlineStr">
        <is>
          <t>Charges locatives &amp; copropriété</t>
        </is>
      </c>
      <c r="D3522" s="233" t="inlineStr">
        <is>
          <t>34</t>
        </is>
      </c>
      <c r="E3522" s="233" t="inlineStr">
        <is>
          <t>33</t>
        </is>
      </c>
      <c r="F3522" s="227" t="inlineStr">
        <is>
          <t>TIRR</t>
        </is>
      </c>
    </row>
    <row r="3523">
      <c r="A3523" s="227">
        <f>TL[[#This Row],[Société]]&amp;" - "&amp;TL[[#This Row],[Compte]]</f>
        <v/>
      </c>
      <c r="B3523" s="233" t="inlineStr">
        <is>
          <t>614100</t>
        </is>
      </c>
      <c r="C3523" s="227" t="inlineStr">
        <is>
          <t>Charges locat.mc do france</t>
        </is>
      </c>
      <c r="D3523" s="233" t="inlineStr">
        <is>
          <t>34</t>
        </is>
      </c>
      <c r="E3523" s="233" t="inlineStr">
        <is>
          <t>33</t>
        </is>
      </c>
      <c r="F3523" s="227" t="inlineStr">
        <is>
          <t>TIRR</t>
        </is>
      </c>
    </row>
    <row r="3524">
      <c r="A3524" s="227">
        <f>TL[[#This Row],[Société]]&amp;" - "&amp;TL[[#This Row],[Compte]]</f>
        <v/>
      </c>
      <c r="B3524" s="233" t="inlineStr">
        <is>
          <t>615210</t>
        </is>
      </c>
      <c r="C3524" s="227" t="inlineStr">
        <is>
          <t>Entretien vitres</t>
        </is>
      </c>
      <c r="D3524" s="233" t="inlineStr">
        <is>
          <t>16</t>
        </is>
      </c>
      <c r="E3524" s="233" t="inlineStr">
        <is>
          <t>15</t>
        </is>
      </c>
      <c r="F3524" s="227" t="inlineStr">
        <is>
          <t>TIRR</t>
        </is>
      </c>
    </row>
    <row r="3525">
      <c r="A3525" s="227">
        <f>TL[[#This Row],[Société]]&amp;" - "&amp;TL[[#This Row],[Compte]]</f>
        <v/>
      </c>
      <c r="B3525" s="233" t="inlineStr">
        <is>
          <t>615500</t>
        </is>
      </c>
      <c r="C3525" s="227" t="inlineStr">
        <is>
          <t>Entretien sur biens mobiliers</t>
        </is>
      </c>
      <c r="D3525" s="233" t="inlineStr">
        <is>
          <t>19</t>
        </is>
      </c>
      <c r="E3525" s="233" t="inlineStr">
        <is>
          <t>18</t>
        </is>
      </c>
      <c r="F3525" s="227" t="inlineStr">
        <is>
          <t>TIRR</t>
        </is>
      </c>
    </row>
    <row r="3526">
      <c r="A3526" s="227">
        <f>TL[[#This Row],[Société]]&amp;" - "&amp;TL[[#This Row],[Compte]]</f>
        <v/>
      </c>
      <c r="B3526" s="233" t="inlineStr">
        <is>
          <t>615511</t>
        </is>
      </c>
      <c r="C3526" s="227" t="inlineStr">
        <is>
          <t>Entretien vehicule</t>
        </is>
      </c>
      <c r="D3526" s="233" t="inlineStr">
        <is>
          <t>39</t>
        </is>
      </c>
      <c r="E3526" s="233" t="inlineStr">
        <is>
          <t>18</t>
        </is>
      </c>
      <c r="F3526" s="227" t="inlineStr">
        <is>
          <t>TIRR</t>
        </is>
      </c>
    </row>
    <row r="3527">
      <c r="A3527" s="227">
        <f>TL[[#This Row],[Société]]&amp;" - "&amp;TL[[#This Row],[Compte]]</f>
        <v/>
      </c>
      <c r="B3527" s="233" t="inlineStr">
        <is>
          <t>615600</t>
        </is>
      </c>
      <c r="C3527" s="227" t="inlineStr">
        <is>
          <t>Cont mcod</t>
        </is>
      </c>
      <c r="D3527" s="233" t="inlineStr">
        <is>
          <t>16</t>
        </is>
      </c>
      <c r="E3527" s="233" t="inlineStr">
        <is>
          <t>19</t>
        </is>
      </c>
      <c r="F3527" s="227" t="inlineStr">
        <is>
          <t>TIRR</t>
        </is>
      </c>
    </row>
    <row r="3528">
      <c r="A3528" s="227">
        <f>TL[[#This Row],[Société]]&amp;" - "&amp;TL[[#This Row],[Compte]]</f>
        <v/>
      </c>
      <c r="B3528" s="233" t="inlineStr">
        <is>
          <t>615610</t>
        </is>
      </c>
      <c r="C3528" s="227" t="inlineStr">
        <is>
          <t>contrat halbourg</t>
        </is>
      </c>
      <c r="D3528" s="233" t="inlineStr">
        <is>
          <t>16</t>
        </is>
      </c>
      <c r="E3528" s="233" t="inlineStr">
        <is>
          <t>19</t>
        </is>
      </c>
      <c r="F3528" s="227" t="inlineStr">
        <is>
          <t>TIRR</t>
        </is>
      </c>
    </row>
    <row r="3529">
      <c r="A3529" s="227">
        <f>TL[[#This Row],[Société]]&amp;" - "&amp;TL[[#This Row],[Compte]]</f>
        <v/>
      </c>
      <c r="B3529" s="233" t="inlineStr">
        <is>
          <t>615611</t>
        </is>
      </c>
      <c r="C3529" s="227" t="inlineStr">
        <is>
          <t>Contrat ramassage espèces</t>
        </is>
      </c>
      <c r="D3529" s="233" t="inlineStr">
        <is>
          <t>16</t>
        </is>
      </c>
      <c r="E3529" s="233" t="inlineStr">
        <is>
          <t>19</t>
        </is>
      </c>
      <c r="F3529" s="227" t="inlineStr">
        <is>
          <t>TIRR</t>
        </is>
      </c>
    </row>
    <row r="3530">
      <c r="A3530" s="227">
        <f>TL[[#This Row],[Société]]&amp;" - "&amp;TL[[#This Row],[Compte]]</f>
        <v/>
      </c>
      <c r="B3530" s="233" t="inlineStr">
        <is>
          <t>615612</t>
        </is>
      </c>
      <c r="C3530" s="227" t="inlineStr">
        <is>
          <t>Contrat ramassage huiles usagées</t>
        </is>
      </c>
      <c r="D3530" s="233" t="inlineStr">
        <is>
          <t>16</t>
        </is>
      </c>
      <c r="E3530" s="233" t="inlineStr">
        <is>
          <t>19</t>
        </is>
      </c>
      <c r="F3530" s="227" t="inlineStr">
        <is>
          <t>TIRR</t>
        </is>
      </c>
    </row>
    <row r="3531">
      <c r="A3531" s="227">
        <f>TL[[#This Row],[Société]]&amp;" - "&amp;TL[[#This Row],[Compte]]</f>
        <v/>
      </c>
      <c r="B3531" s="233" t="inlineStr">
        <is>
          <t>615613</t>
        </is>
      </c>
      <c r="C3531" s="227" t="inlineStr">
        <is>
          <t>Contratreflex services</t>
        </is>
      </c>
      <c r="D3531" s="233" t="inlineStr">
        <is>
          <t>16</t>
        </is>
      </c>
      <c r="E3531" s="233" t="inlineStr">
        <is>
          <t>19</t>
        </is>
      </c>
      <c r="F3531" s="227" t="inlineStr">
        <is>
          <t>TIRR</t>
        </is>
      </c>
    </row>
    <row r="3532">
      <c r="A3532" s="227">
        <f>TL[[#This Row],[Société]]&amp;" - "&amp;TL[[#This Row],[Compte]]</f>
        <v/>
      </c>
      <c r="B3532" s="233" t="inlineStr">
        <is>
          <t>615614</t>
        </is>
      </c>
      <c r="C3532" s="227" t="inlineStr">
        <is>
          <t>Contrat mc do maintenance</t>
        </is>
      </c>
      <c r="D3532" s="233" t="inlineStr">
        <is>
          <t>16</t>
        </is>
      </c>
      <c r="E3532" s="233" t="inlineStr">
        <is>
          <t>19</t>
        </is>
      </c>
      <c r="F3532" s="227" t="inlineStr">
        <is>
          <t>TIRR</t>
        </is>
      </c>
    </row>
    <row r="3533">
      <c r="A3533" s="227">
        <f>TL[[#This Row],[Société]]&amp;" - "&amp;TL[[#This Row],[Compte]]</f>
        <v/>
      </c>
      <c r="B3533" s="233" t="inlineStr">
        <is>
          <t>615615</t>
        </is>
      </c>
      <c r="C3533" s="227" t="inlineStr">
        <is>
          <t>Contrat entretien linge</t>
        </is>
      </c>
      <c r="D3533" s="233" t="inlineStr">
        <is>
          <t>16</t>
        </is>
      </c>
      <c r="E3533" s="233" t="inlineStr">
        <is>
          <t>15</t>
        </is>
      </c>
      <c r="F3533" s="227" t="inlineStr">
        <is>
          <t>TIRR</t>
        </is>
      </c>
    </row>
    <row r="3534">
      <c r="A3534" s="227">
        <f>TL[[#This Row],[Société]]&amp;" - "&amp;TL[[#This Row],[Compte]]</f>
        <v/>
      </c>
      <c r="B3534" s="233" t="inlineStr">
        <is>
          <t>615616</t>
        </is>
      </c>
      <c r="C3534" s="227" t="inlineStr">
        <is>
          <t>Contrat télésurveillance</t>
        </is>
      </c>
      <c r="D3534" s="233" t="inlineStr">
        <is>
          <t>16</t>
        </is>
      </c>
      <c r="E3534" s="233" t="inlineStr">
        <is>
          <t>16</t>
        </is>
      </c>
      <c r="F3534" s="227" t="inlineStr">
        <is>
          <t>TIRR</t>
        </is>
      </c>
    </row>
    <row r="3535">
      <c r="A3535" s="227">
        <f>TL[[#This Row],[Société]]&amp;" - "&amp;TL[[#This Row],[Compte]]</f>
        <v/>
      </c>
      <c r="B3535" s="233" t="inlineStr">
        <is>
          <t>615617</t>
        </is>
      </c>
      <c r="C3535" s="227" t="inlineStr">
        <is>
          <t>Contrat canal music</t>
        </is>
      </c>
      <c r="D3535" s="233" t="inlineStr">
        <is>
          <t>16</t>
        </is>
      </c>
      <c r="E3535" s="233" t="inlineStr">
        <is>
          <t>19</t>
        </is>
      </c>
      <c r="F3535" s="227" t="inlineStr">
        <is>
          <t>TIRR</t>
        </is>
      </c>
    </row>
    <row r="3536">
      <c r="A3536" s="227">
        <f>TL[[#This Row],[Société]]&amp;" - "&amp;TL[[#This Row],[Compte]]</f>
        <v/>
      </c>
      <c r="B3536" s="233" t="inlineStr">
        <is>
          <t>615618</t>
        </is>
      </c>
      <c r="C3536" s="227" t="inlineStr">
        <is>
          <t>Contrat graux</t>
        </is>
      </c>
      <c r="D3536" s="233" t="inlineStr">
        <is>
          <t>16</t>
        </is>
      </c>
      <c r="E3536" s="233" t="inlineStr">
        <is>
          <t>19</t>
        </is>
      </c>
      <c r="F3536" s="227" t="inlineStr">
        <is>
          <t>TIRR</t>
        </is>
      </c>
    </row>
    <row r="3537">
      <c r="A3537" s="227">
        <f>TL[[#This Row],[Société]]&amp;" - "&amp;TL[[#This Row],[Compte]]</f>
        <v/>
      </c>
      <c r="B3537" s="233" t="inlineStr">
        <is>
          <t>615619</t>
        </is>
      </c>
      <c r="C3537" s="227" t="inlineStr">
        <is>
          <t>Contrat ecolab antiparasite</t>
        </is>
      </c>
      <c r="D3537" s="233" t="inlineStr">
        <is>
          <t>16</t>
        </is>
      </c>
      <c r="E3537" s="233" t="inlineStr">
        <is>
          <t>19</t>
        </is>
      </c>
      <c r="F3537" s="227" t="inlineStr">
        <is>
          <t>TIRR</t>
        </is>
      </c>
    </row>
    <row r="3538">
      <c r="A3538" s="227">
        <f>TL[[#This Row],[Société]]&amp;" - "&amp;TL[[#This Row],[Compte]]</f>
        <v/>
      </c>
      <c r="B3538" s="233" t="inlineStr">
        <is>
          <t>615620</t>
        </is>
      </c>
      <c r="C3538" s="227" t="inlineStr">
        <is>
          <t>Contrat ac2f</t>
        </is>
      </c>
      <c r="D3538" s="233" t="inlineStr">
        <is>
          <t>16</t>
        </is>
      </c>
      <c r="E3538" s="233" t="inlineStr">
        <is>
          <t>19</t>
        </is>
      </c>
      <c r="F3538" s="227" t="inlineStr">
        <is>
          <t>TIRR</t>
        </is>
      </c>
    </row>
    <row r="3539">
      <c r="A3539" s="227">
        <f>TL[[#This Row],[Société]]&amp;" - "&amp;TL[[#This Row],[Compte]]</f>
        <v/>
      </c>
      <c r="B3539" s="233" t="inlineStr">
        <is>
          <t>615621</t>
        </is>
      </c>
      <c r="C3539" s="227" t="inlineStr">
        <is>
          <t>Abo recru net</t>
        </is>
      </c>
      <c r="D3539" s="233" t="inlineStr">
        <is>
          <t>16</t>
        </is>
      </c>
      <c r="E3539" s="233" t="inlineStr">
        <is>
          <t>19</t>
        </is>
      </c>
      <c r="F3539" s="227" t="inlineStr">
        <is>
          <t>TIRR</t>
        </is>
      </c>
    </row>
    <row r="3540">
      <c r="A3540" s="227">
        <f>TL[[#This Row],[Société]]&amp;" - "&amp;TL[[#This Row],[Compte]]</f>
        <v/>
      </c>
      <c r="B3540" s="233" t="inlineStr">
        <is>
          <t>615622</t>
        </is>
      </c>
      <c r="C3540" s="227" t="inlineStr">
        <is>
          <t>Contrat tsn</t>
        </is>
      </c>
      <c r="D3540" s="233" t="inlineStr">
        <is>
          <t>16</t>
        </is>
      </c>
      <c r="E3540" s="233" t="inlineStr">
        <is>
          <t>19</t>
        </is>
      </c>
      <c r="F3540" s="227" t="inlineStr">
        <is>
          <t>TIRR</t>
        </is>
      </c>
    </row>
    <row r="3541">
      <c r="A3541" s="227">
        <f>TL[[#This Row],[Société]]&amp;" - "&amp;TL[[#This Row],[Compte]]</f>
        <v/>
      </c>
      <c r="B3541" s="233" t="inlineStr">
        <is>
          <t>615623</t>
        </is>
      </c>
      <c r="C3541" s="227" t="inlineStr">
        <is>
          <t>Contrat Interway</t>
        </is>
      </c>
      <c r="D3541" s="233" t="inlineStr">
        <is>
          <t>16</t>
        </is>
      </c>
      <c r="E3541" s="233" t="inlineStr">
        <is>
          <t>19</t>
        </is>
      </c>
      <c r="F3541" s="227" t="inlineStr">
        <is>
          <t>TIRR</t>
        </is>
      </c>
    </row>
    <row r="3542">
      <c r="A3542" s="227">
        <f>TL[[#This Row],[Société]]&amp;" - "&amp;TL[[#This Row],[Compte]]</f>
        <v/>
      </c>
      <c r="B3542" s="233" t="inlineStr">
        <is>
          <t>615624</t>
        </is>
      </c>
      <c r="C3542" s="227" t="inlineStr">
        <is>
          <t>Ne pas utiliser- espèces</t>
        </is>
      </c>
      <c r="D3542" s="233" t="inlineStr">
        <is>
          <t>16</t>
        </is>
      </c>
      <c r="E3542" s="233" t="inlineStr">
        <is>
          <t>19</t>
        </is>
      </c>
      <c r="F3542" s="227" t="inlineStr">
        <is>
          <t>TIRR</t>
        </is>
      </c>
    </row>
    <row r="3543">
      <c r="A3543" s="227">
        <f>TL[[#This Row],[Société]]&amp;" - "&amp;TL[[#This Row],[Compte]]</f>
        <v/>
      </c>
      <c r="B3543" s="233" t="inlineStr">
        <is>
          <t>615625</t>
        </is>
      </c>
      <c r="C3543" s="227" t="inlineStr">
        <is>
          <t>Contrat calypsound</t>
        </is>
      </c>
      <c r="D3543" s="233" t="inlineStr">
        <is>
          <t>16</t>
        </is>
      </c>
      <c r="E3543" s="233" t="inlineStr">
        <is>
          <t>19</t>
        </is>
      </c>
      <c r="F3543" s="227" t="inlineStr">
        <is>
          <t>TIRR</t>
        </is>
      </c>
    </row>
    <row r="3544">
      <c r="A3544" s="227">
        <f>TL[[#This Row],[Société]]&amp;" - "&amp;TL[[#This Row],[Compte]]</f>
        <v/>
      </c>
      <c r="B3544" s="233" t="inlineStr">
        <is>
          <t>615626</t>
        </is>
      </c>
      <c r="C3544" s="227" t="inlineStr">
        <is>
          <t>Contrat sacem</t>
        </is>
      </c>
      <c r="D3544" s="233" t="inlineStr">
        <is>
          <t>16</t>
        </is>
      </c>
      <c r="E3544" s="233" t="inlineStr">
        <is>
          <t>19</t>
        </is>
      </c>
      <c r="F3544" s="227" t="inlineStr">
        <is>
          <t>TIRR</t>
        </is>
      </c>
    </row>
    <row r="3545">
      <c r="A3545" s="227">
        <f>TL[[#This Row],[Société]]&amp;" - "&amp;TL[[#This Row],[Compte]]</f>
        <v/>
      </c>
      <c r="B3545" s="233" t="inlineStr">
        <is>
          <t>615627</t>
        </is>
      </c>
      <c r="C3545" s="227" t="inlineStr">
        <is>
          <t>Contrat entretien clim</t>
        </is>
      </c>
      <c r="D3545" s="233" t="inlineStr">
        <is>
          <t>16</t>
        </is>
      </c>
      <c r="E3545" s="233" t="inlineStr">
        <is>
          <t>18</t>
        </is>
      </c>
      <c r="F3545" s="227" t="inlineStr">
        <is>
          <t>TIRR</t>
        </is>
      </c>
    </row>
    <row r="3546">
      <c r="A3546" s="227">
        <f>TL[[#This Row],[Société]]&amp;" - "&amp;TL[[#This Row],[Compte]]</f>
        <v/>
      </c>
      <c r="B3546" s="233" t="inlineStr">
        <is>
          <t>615628</t>
        </is>
      </c>
      <c r="C3546" s="227" t="inlineStr">
        <is>
          <t>CONTRAT TYCO</t>
        </is>
      </c>
      <c r="D3546" s="233" t="inlineStr">
        <is>
          <t>16</t>
        </is>
      </c>
      <c r="E3546" s="233" t="inlineStr">
        <is>
          <t>19</t>
        </is>
      </c>
      <c r="F3546" s="227" t="inlineStr">
        <is>
          <t>TIRR</t>
        </is>
      </c>
    </row>
    <row r="3547">
      <c r="A3547" s="227">
        <f>TL[[#This Row],[Société]]&amp;" - "&amp;TL[[#This Row],[Compte]]</f>
        <v/>
      </c>
      <c r="B3547" s="233" t="inlineStr">
        <is>
          <t>615630</t>
        </is>
      </c>
      <c r="C3547" s="227" t="inlineStr">
        <is>
          <t>Contrat maintenance coca</t>
        </is>
      </c>
      <c r="D3547" s="233" t="inlineStr">
        <is>
          <t>16</t>
        </is>
      </c>
      <c r="E3547" s="233" t="inlineStr">
        <is>
          <t>19</t>
        </is>
      </c>
      <c r="F3547" s="227" t="inlineStr">
        <is>
          <t>TIRR</t>
        </is>
      </c>
    </row>
    <row r="3548">
      <c r="A3548" s="227">
        <f>TL[[#This Row],[Société]]&amp;" - "&amp;TL[[#This Row],[Compte]]</f>
        <v/>
      </c>
      <c r="B3548" s="233" t="inlineStr">
        <is>
          <t>615632</t>
        </is>
      </c>
      <c r="C3548" s="227" t="inlineStr">
        <is>
          <t>Contrat iroun mountain</t>
        </is>
      </c>
      <c r="D3548" s="233" t="inlineStr">
        <is>
          <t>16</t>
        </is>
      </c>
      <c r="E3548" s="233" t="inlineStr">
        <is>
          <t>19</t>
        </is>
      </c>
      <c r="F3548" s="227" t="inlineStr">
        <is>
          <t>TIRR</t>
        </is>
      </c>
    </row>
    <row r="3549">
      <c r="A3549" s="227">
        <f>TL[[#This Row],[Société]]&amp;" - "&amp;TL[[#This Row],[Compte]]</f>
        <v/>
      </c>
      <c r="B3549" s="233" t="inlineStr">
        <is>
          <t>615633</t>
        </is>
      </c>
      <c r="C3549" s="227" t="inlineStr">
        <is>
          <t>Contrat ercem silliker</t>
        </is>
      </c>
      <c r="D3549" s="233" t="inlineStr">
        <is>
          <t>16</t>
        </is>
      </c>
      <c r="E3549" s="233" t="inlineStr">
        <is>
          <t>19</t>
        </is>
      </c>
      <c r="F3549" s="227" t="inlineStr">
        <is>
          <t>TIRR</t>
        </is>
      </c>
    </row>
    <row r="3550">
      <c r="A3550" s="227">
        <f>TL[[#This Row],[Société]]&amp;" - "&amp;TL[[#This Row],[Compte]]</f>
        <v/>
      </c>
      <c r="B3550" s="233" t="inlineStr">
        <is>
          <t>615634</t>
        </is>
      </c>
      <c r="C3550" s="227" t="inlineStr">
        <is>
          <t>Contrat wifi</t>
        </is>
      </c>
      <c r="D3550" s="233" t="inlineStr">
        <is>
          <t>16</t>
        </is>
      </c>
      <c r="E3550" s="233" t="inlineStr">
        <is>
          <t>19</t>
        </is>
      </c>
      <c r="F3550" s="227" t="inlineStr">
        <is>
          <t>TIRR</t>
        </is>
      </c>
    </row>
    <row r="3551">
      <c r="A3551" s="227">
        <f>TL[[#This Row],[Société]]&amp;" - "&amp;TL[[#This Row],[Compte]]</f>
        <v/>
      </c>
      <c r="B3551" s="233" t="inlineStr">
        <is>
          <t>615636</t>
        </is>
      </c>
      <c r="C3551" s="227" t="inlineStr">
        <is>
          <t>Contrat servipro</t>
        </is>
      </c>
      <c r="D3551" s="233" t="inlineStr">
        <is>
          <t>16</t>
        </is>
      </c>
      <c r="E3551" s="233" t="inlineStr">
        <is>
          <t>19</t>
        </is>
      </c>
      <c r="F3551" s="227" t="inlineStr">
        <is>
          <t>TIRR</t>
        </is>
      </c>
    </row>
    <row r="3552">
      <c r="A3552" s="227">
        <f>TL[[#This Row],[Société]]&amp;" - "&amp;TL[[#This Row],[Compte]]</f>
        <v/>
      </c>
      <c r="B3552" s="233" t="inlineStr">
        <is>
          <t>615639</t>
        </is>
      </c>
      <c r="C3552" s="227" t="inlineStr">
        <is>
          <t>Contrat traitement eaux usées</t>
        </is>
      </c>
      <c r="D3552" s="233" t="inlineStr">
        <is>
          <t>16</t>
        </is>
      </c>
      <c r="E3552" s="233" t="inlineStr">
        <is>
          <t>19</t>
        </is>
      </c>
      <c r="F3552" s="227" t="inlineStr">
        <is>
          <t>TIRR</t>
        </is>
      </c>
    </row>
    <row r="3553">
      <c r="A3553" s="227">
        <f>TL[[#This Row],[Société]]&amp;" - "&amp;TL[[#This Row],[Compte]]</f>
        <v/>
      </c>
      <c r="B3553" s="233" t="inlineStr">
        <is>
          <t>615646</t>
        </is>
      </c>
      <c r="C3553" s="227" t="inlineStr">
        <is>
          <t>Contrat thélima npu</t>
        </is>
      </c>
      <c r="D3553" s="233" t="inlineStr">
        <is>
          <t>16</t>
        </is>
      </c>
      <c r="E3553" s="233" t="inlineStr">
        <is>
          <t>19</t>
        </is>
      </c>
      <c r="F3553" s="227" t="inlineStr">
        <is>
          <t>TIRR</t>
        </is>
      </c>
    </row>
    <row r="3554">
      <c r="A3554" s="227">
        <f>TL[[#This Row],[Société]]&amp;" - "&amp;TL[[#This Row],[Compte]]</f>
        <v/>
      </c>
      <c r="B3554" s="233" t="inlineStr">
        <is>
          <t>615649</t>
        </is>
      </c>
      <c r="C3554" s="227" t="inlineStr">
        <is>
          <t>Contrat ville de rouen déchets</t>
        </is>
      </c>
      <c r="D3554" s="233" t="inlineStr">
        <is>
          <t>16</t>
        </is>
      </c>
      <c r="E3554" s="233" t="inlineStr">
        <is>
          <t>19</t>
        </is>
      </c>
      <c r="F3554" s="227" t="inlineStr">
        <is>
          <t>TIRR</t>
        </is>
      </c>
    </row>
    <row r="3555">
      <c r="A3555" s="227">
        <f>TL[[#This Row],[Société]]&amp;" - "&amp;TL[[#This Row],[Compte]]</f>
        <v/>
      </c>
      <c r="B3555" s="233" t="inlineStr">
        <is>
          <t>615650</t>
        </is>
      </c>
      <c r="C3555" s="227" t="inlineStr">
        <is>
          <t>Contrat acrelec</t>
        </is>
      </c>
      <c r="D3555" s="233" t="inlineStr">
        <is>
          <t>16</t>
        </is>
      </c>
      <c r="E3555" s="233" t="inlineStr">
        <is>
          <t>19</t>
        </is>
      </c>
      <c r="F3555" s="227" t="inlineStr">
        <is>
          <t>TIRR</t>
        </is>
      </c>
    </row>
    <row r="3556">
      <c r="A3556" s="227">
        <f>TL[[#This Row],[Société]]&amp;" - "&amp;TL[[#This Row],[Compte]]</f>
        <v/>
      </c>
      <c r="B3556" s="233" t="inlineStr">
        <is>
          <t>615651</t>
        </is>
      </c>
      <c r="C3556" s="227" t="inlineStr">
        <is>
          <t>Contrat socotec</t>
        </is>
      </c>
      <c r="D3556" s="233" t="inlineStr">
        <is>
          <t>16</t>
        </is>
      </c>
      <c r="E3556" s="233" t="inlineStr">
        <is>
          <t>19</t>
        </is>
      </c>
      <c r="F3556" s="227" t="inlineStr">
        <is>
          <t>TIRR</t>
        </is>
      </c>
    </row>
    <row r="3557">
      <c r="A3557" s="227">
        <f>TL[[#This Row],[Société]]&amp;" - "&amp;TL[[#This Row],[Compte]]</f>
        <v/>
      </c>
      <c r="B3557" s="233" t="inlineStr">
        <is>
          <t>615652</t>
        </is>
      </c>
      <c r="C3557" s="227" t="inlineStr">
        <is>
          <t>Contrat entretien jardin</t>
        </is>
      </c>
      <c r="D3557" s="233" t="inlineStr">
        <is>
          <t>16</t>
        </is>
      </c>
      <c r="E3557" s="233" t="inlineStr">
        <is>
          <t>16</t>
        </is>
      </c>
      <c r="F3557" s="227" t="inlineStr">
        <is>
          <t>TIRR</t>
        </is>
      </c>
    </row>
    <row r="3558">
      <c r="A3558" s="227">
        <f>TL[[#This Row],[Société]]&amp;" - "&amp;TL[[#This Row],[Compte]]</f>
        <v/>
      </c>
      <c r="B3558" s="233" t="inlineStr">
        <is>
          <t>615653</t>
        </is>
      </c>
      <c r="C3558" s="227" t="inlineStr">
        <is>
          <t>Contrat technivap</t>
        </is>
      </c>
      <c r="D3558" s="233" t="inlineStr">
        <is>
          <t>16</t>
        </is>
      </c>
      <c r="E3558" s="233" t="inlineStr">
        <is>
          <t>19</t>
        </is>
      </c>
      <c r="F3558" s="227" t="inlineStr">
        <is>
          <t>TIRR</t>
        </is>
      </c>
    </row>
    <row r="3559">
      <c r="A3559" s="227">
        <f>TL[[#This Row],[Société]]&amp;" - "&amp;TL[[#This Row],[Compte]]</f>
        <v/>
      </c>
      <c r="B3559" s="233" t="inlineStr">
        <is>
          <t>615654</t>
        </is>
      </c>
      <c r="C3559" s="227" t="inlineStr">
        <is>
          <t>Contrat cis</t>
        </is>
      </c>
      <c r="D3559" s="233" t="inlineStr">
        <is>
          <t>16</t>
        </is>
      </c>
      <c r="E3559" s="233" t="inlineStr">
        <is>
          <t>19</t>
        </is>
      </c>
      <c r="F3559" s="227" t="inlineStr">
        <is>
          <t>TIRR</t>
        </is>
      </c>
    </row>
    <row r="3560">
      <c r="A3560" s="227">
        <f>TL[[#This Row],[Société]]&amp;" - "&amp;TL[[#This Row],[Compte]]</f>
        <v/>
      </c>
      <c r="B3560" s="233" t="inlineStr">
        <is>
          <t>615655</t>
        </is>
      </c>
      <c r="C3560" s="227" t="inlineStr">
        <is>
          <t>Contrat majie</t>
        </is>
      </c>
      <c r="D3560" s="233" t="inlineStr">
        <is>
          <t>16</t>
        </is>
      </c>
      <c r="E3560" s="233" t="inlineStr">
        <is>
          <t>19</t>
        </is>
      </c>
      <c r="F3560" s="227" t="inlineStr">
        <is>
          <t>TIRR</t>
        </is>
      </c>
    </row>
    <row r="3561">
      <c r="A3561" s="227">
        <f>TL[[#This Row],[Société]]&amp;" - "&amp;TL[[#This Row],[Compte]]</f>
        <v/>
      </c>
      <c r="B3561" s="233" t="inlineStr">
        <is>
          <t>615656</t>
        </is>
      </c>
      <c r="C3561" s="227" t="inlineStr">
        <is>
          <t>Contrat jardin services</t>
        </is>
      </c>
      <c r="D3561" s="233" t="inlineStr">
        <is>
          <t>16</t>
        </is>
      </c>
      <c r="E3561" s="233" t="inlineStr">
        <is>
          <t>19</t>
        </is>
      </c>
      <c r="F3561" s="227" t="inlineStr">
        <is>
          <t>TIRR</t>
        </is>
      </c>
    </row>
    <row r="3562">
      <c r="A3562" s="227">
        <f>TL[[#This Row],[Société]]&amp;" - "&amp;TL[[#This Row],[Compte]]</f>
        <v/>
      </c>
      <c r="B3562" s="233" t="inlineStr">
        <is>
          <t>615658</t>
        </is>
      </c>
      <c r="C3562" s="227" t="inlineStr">
        <is>
          <t>Contrat sacem npu</t>
        </is>
      </c>
      <c r="D3562" s="233" t="inlineStr">
        <is>
          <t>16</t>
        </is>
      </c>
      <c r="E3562" s="233" t="inlineStr">
        <is>
          <t>19</t>
        </is>
      </c>
      <c r="F3562" s="227" t="inlineStr">
        <is>
          <t>TIRR</t>
        </is>
      </c>
    </row>
    <row r="3563">
      <c r="A3563" s="227">
        <f>TL[[#This Row],[Société]]&amp;" - "&amp;TL[[#This Row],[Compte]]</f>
        <v/>
      </c>
      <c r="B3563" s="233" t="inlineStr">
        <is>
          <t>615659</t>
        </is>
      </c>
      <c r="C3563" s="227" t="inlineStr">
        <is>
          <t>CONTRAT ECOGRAS</t>
        </is>
      </c>
      <c r="D3563" s="233" t="inlineStr">
        <is>
          <t>16</t>
        </is>
      </c>
      <c r="E3563" s="233" t="inlineStr">
        <is>
          <t>19</t>
        </is>
      </c>
      <c r="F3563" s="227" t="inlineStr">
        <is>
          <t>TIRR</t>
        </is>
      </c>
    </row>
    <row r="3564">
      <c r="A3564" s="227">
        <f>TL[[#This Row],[Société]]&amp;" - "&amp;TL[[#This Row],[Compte]]</f>
        <v/>
      </c>
      <c r="B3564" s="233" t="inlineStr">
        <is>
          <t>615660</t>
        </is>
      </c>
      <c r="C3564" s="227" t="inlineStr">
        <is>
          <t>Contrat jri</t>
        </is>
      </c>
      <c r="D3564" s="233" t="inlineStr">
        <is>
          <t>16</t>
        </is>
      </c>
      <c r="E3564" s="233" t="inlineStr">
        <is>
          <t>19</t>
        </is>
      </c>
      <c r="F3564" s="227" t="inlineStr">
        <is>
          <t>TIRR</t>
        </is>
      </c>
    </row>
    <row r="3565">
      <c r="A3565" s="227">
        <f>TL[[#This Row],[Société]]&amp;" - "&amp;TL[[#This Row],[Compte]]</f>
        <v/>
      </c>
      <c r="B3565" s="233" t="inlineStr">
        <is>
          <t>615661</t>
        </is>
      </c>
      <c r="C3565" s="227" t="inlineStr">
        <is>
          <t>Contrat mood</t>
        </is>
      </c>
      <c r="D3565" s="233" t="inlineStr">
        <is>
          <t>16</t>
        </is>
      </c>
      <c r="E3565" s="233" t="inlineStr">
        <is>
          <t>19</t>
        </is>
      </c>
      <c r="F3565" s="227" t="inlineStr">
        <is>
          <t>TIRR</t>
        </is>
      </c>
    </row>
    <row r="3566">
      <c r="A3566" s="227">
        <f>TL[[#This Row],[Société]]&amp;" - "&amp;TL[[#This Row],[Compte]]</f>
        <v/>
      </c>
      <c r="B3566" s="233" t="inlineStr">
        <is>
          <t>615662</t>
        </is>
      </c>
      <c r="C3566" s="227" t="inlineStr">
        <is>
          <t>Contrat iss</t>
        </is>
      </c>
      <c r="D3566" s="233" t="inlineStr">
        <is>
          <t>16</t>
        </is>
      </c>
      <c r="E3566" s="233" t="inlineStr">
        <is>
          <t>19</t>
        </is>
      </c>
      <c r="F3566" s="227" t="inlineStr">
        <is>
          <t>TIRR</t>
        </is>
      </c>
    </row>
    <row r="3567">
      <c r="A3567" s="227">
        <f>TL[[#This Row],[Société]]&amp;" - "&amp;TL[[#This Row],[Compte]]</f>
        <v/>
      </c>
      <c r="B3567" s="233" t="inlineStr">
        <is>
          <t>615663</t>
        </is>
      </c>
      <c r="C3567" s="227" t="inlineStr">
        <is>
          <t>Contrat grenke refresh parc</t>
        </is>
      </c>
      <c r="D3567" s="233" t="inlineStr">
        <is>
          <t>16</t>
        </is>
      </c>
      <c r="E3567" s="233" t="inlineStr">
        <is>
          <t>19</t>
        </is>
      </c>
      <c r="F3567" s="227" t="inlineStr">
        <is>
          <t>TIRR</t>
        </is>
      </c>
    </row>
    <row r="3568">
      <c r="A3568" s="227">
        <f>TL[[#This Row],[Société]]&amp;" - "&amp;TL[[#This Row],[Compte]]</f>
        <v/>
      </c>
      <c r="B3568" s="233" t="inlineStr">
        <is>
          <t>615664</t>
        </is>
      </c>
      <c r="C3568" s="227" t="inlineStr">
        <is>
          <t>contrat steeple</t>
        </is>
      </c>
      <c r="D3568" s="233" t="inlineStr">
        <is>
          <t>16</t>
        </is>
      </c>
      <c r="E3568" s="233" t="inlineStr">
        <is>
          <t>19</t>
        </is>
      </c>
      <c r="F3568" s="227" t="inlineStr">
        <is>
          <t>TIRR</t>
        </is>
      </c>
    </row>
    <row r="3569">
      <c r="A3569" s="227">
        <f>TL[[#This Row],[Société]]&amp;" - "&amp;TL[[#This Row],[Compte]]</f>
        <v/>
      </c>
      <c r="B3569" s="233" t="inlineStr">
        <is>
          <t>615665</t>
        </is>
      </c>
      <c r="C3569" s="227" t="inlineStr">
        <is>
          <t>Appli suivi performance</t>
        </is>
      </c>
      <c r="D3569" s="233" t="inlineStr">
        <is>
          <t>16</t>
        </is>
      </c>
      <c r="E3569" s="233" t="inlineStr">
        <is>
          <t>19</t>
        </is>
      </c>
      <c r="F3569" s="227" t="inlineStr">
        <is>
          <t>TIRR</t>
        </is>
      </c>
    </row>
    <row r="3570">
      <c r="A3570" s="227">
        <f>TL[[#This Row],[Société]]&amp;" - "&amp;TL[[#This Row],[Compte]]</f>
        <v/>
      </c>
      <c r="B3570" s="233" t="inlineStr">
        <is>
          <t>615666</t>
        </is>
      </c>
      <c r="C3570" s="227" t="inlineStr">
        <is>
          <t>Contrat incendie</t>
        </is>
      </c>
      <c r="D3570" s="233" t="inlineStr">
        <is>
          <t>16</t>
        </is>
      </c>
      <c r="E3570" s="233" t="inlineStr">
        <is>
          <t>19</t>
        </is>
      </c>
      <c r="F3570" s="227" t="inlineStr">
        <is>
          <t>TIRR</t>
        </is>
      </c>
    </row>
    <row r="3571">
      <c r="A3571" s="227">
        <f>TL[[#This Row],[Société]]&amp;" - "&amp;TL[[#This Row],[Compte]]</f>
        <v/>
      </c>
      <c r="B3571" s="233" t="inlineStr">
        <is>
          <t>616001</t>
        </is>
      </c>
      <c r="C3571" s="227" t="inlineStr">
        <is>
          <t>Assurances multirisques npu</t>
        </is>
      </c>
      <c r="F3571" s="227" t="inlineStr">
        <is>
          <t>TIRR</t>
        </is>
      </c>
    </row>
    <row r="3572">
      <c r="A3572" s="227">
        <f>TL[[#This Row],[Société]]&amp;" - "&amp;TL[[#This Row],[Compte]]</f>
        <v/>
      </c>
      <c r="B3572" s="233" t="inlineStr">
        <is>
          <t>616002</t>
        </is>
      </c>
      <c r="C3572" s="227" t="inlineStr">
        <is>
          <t>Assurance carence fournisseurs</t>
        </is>
      </c>
      <c r="D3572" s="233" t="inlineStr">
        <is>
          <t>33</t>
        </is>
      </c>
      <c r="E3572" s="233" t="inlineStr">
        <is>
          <t>36</t>
        </is>
      </c>
      <c r="F3572" s="227" t="inlineStr">
        <is>
          <t>TIRR</t>
        </is>
      </c>
    </row>
    <row r="3573">
      <c r="A3573" s="227">
        <f>TL[[#This Row],[Société]]&amp;" - "&amp;TL[[#This Row],[Compte]]</f>
        <v/>
      </c>
      <c r="B3573" s="233" t="inlineStr">
        <is>
          <t>616200</t>
        </is>
      </c>
      <c r="C3573" s="227" t="inlineStr">
        <is>
          <t>Assurances multirisques</t>
        </is>
      </c>
      <c r="D3573" s="233" t="inlineStr">
        <is>
          <t>33</t>
        </is>
      </c>
      <c r="E3573" s="233" t="inlineStr">
        <is>
          <t>36</t>
        </is>
      </c>
      <c r="F3573" s="227" t="inlineStr">
        <is>
          <t>TIRR</t>
        </is>
      </c>
    </row>
    <row r="3574">
      <c r="A3574" s="227">
        <f>TL[[#This Row],[Société]]&amp;" - "&amp;TL[[#This Row],[Compte]]</f>
        <v/>
      </c>
      <c r="B3574" s="233" t="inlineStr">
        <is>
          <t>616210</t>
        </is>
      </c>
      <c r="C3574" s="227" t="inlineStr">
        <is>
          <t>Assurance vehicule</t>
        </is>
      </c>
      <c r="D3574" s="233" t="inlineStr">
        <is>
          <t>39</t>
        </is>
      </c>
      <c r="E3574" s="233" t="inlineStr">
        <is>
          <t>40</t>
        </is>
      </c>
      <c r="F3574" s="227" t="inlineStr">
        <is>
          <t>TIRR</t>
        </is>
      </c>
    </row>
    <row r="3575">
      <c r="A3575" s="227">
        <f>TL[[#This Row],[Société]]&amp;" - "&amp;TL[[#This Row],[Compte]]</f>
        <v/>
      </c>
      <c r="B3575" s="233" t="inlineStr">
        <is>
          <t>616300</t>
        </is>
      </c>
      <c r="C3575" s="227" t="inlineStr">
        <is>
          <t>Assurances diverses</t>
        </is>
      </c>
      <c r="D3575" s="233" t="inlineStr">
        <is>
          <t>33</t>
        </is>
      </c>
      <c r="E3575" s="233" t="inlineStr">
        <is>
          <t>36</t>
        </is>
      </c>
      <c r="F3575" s="227" t="inlineStr">
        <is>
          <t>TIRR</t>
        </is>
      </c>
    </row>
    <row r="3576">
      <c r="A3576" s="227">
        <f>TL[[#This Row],[Société]]&amp;" - "&amp;TL[[#This Row],[Compte]]</f>
        <v/>
      </c>
      <c r="B3576" s="233" t="inlineStr">
        <is>
          <t>618000</t>
        </is>
      </c>
      <c r="C3576" s="227" t="inlineStr">
        <is>
          <t>ouest france</t>
        </is>
      </c>
      <c r="D3576" s="233" t="inlineStr">
        <is>
          <t>23</t>
        </is>
      </c>
      <c r="E3576" s="233" t="inlineStr">
        <is>
          <t>27</t>
        </is>
      </c>
      <c r="F3576" s="227" t="inlineStr">
        <is>
          <t>TIRR</t>
        </is>
      </c>
    </row>
    <row r="3577">
      <c r="A3577" s="227">
        <f>TL[[#This Row],[Société]]&amp;" - "&amp;TL[[#This Row],[Compte]]</f>
        <v/>
      </c>
      <c r="B3577" s="233" t="inlineStr">
        <is>
          <t>621010</t>
        </is>
      </c>
      <c r="C3577" s="227" t="inlineStr">
        <is>
          <t>Personnel technique prêté</t>
        </is>
      </c>
      <c r="D3577" s="233" t="inlineStr">
        <is>
          <t>39</t>
        </is>
      </c>
      <c r="E3577" s="233" t="inlineStr">
        <is>
          <t>13</t>
        </is>
      </c>
      <c r="F3577" s="227" t="inlineStr">
        <is>
          <t>TIRR</t>
        </is>
      </c>
    </row>
    <row r="3578">
      <c r="A3578" s="227">
        <f>TL[[#This Row],[Société]]&amp;" - "&amp;TL[[#This Row],[Compte]]</f>
        <v/>
      </c>
      <c r="B3578" s="233" t="inlineStr">
        <is>
          <t>621011</t>
        </is>
      </c>
      <c r="C3578" s="227" t="inlineStr">
        <is>
          <t>Prestation direction rhf</t>
        </is>
      </c>
      <c r="D3578" s="233" t="inlineStr">
        <is>
          <t>51</t>
        </is>
      </c>
      <c r="E3578" s="233" t="inlineStr">
        <is>
          <t>46</t>
        </is>
      </c>
      <c r="F3578" s="227" t="inlineStr">
        <is>
          <t>TIRR</t>
        </is>
      </c>
    </row>
    <row r="3579">
      <c r="A3579" s="227">
        <f>TL[[#This Row],[Société]]&amp;" - "&amp;TL[[#This Row],[Compte]]</f>
        <v/>
      </c>
      <c r="B3579" s="233" t="inlineStr">
        <is>
          <t>621012</t>
        </is>
      </c>
      <c r="C3579" s="227" t="inlineStr">
        <is>
          <t>Personnel ext resp des opérations</t>
        </is>
      </c>
      <c r="D3579" s="233" t="inlineStr">
        <is>
          <t>39</t>
        </is>
      </c>
      <c r="E3579" s="233" t="inlineStr">
        <is>
          <t>13</t>
        </is>
      </c>
      <c r="F3579" s="227" t="inlineStr">
        <is>
          <t>TIRR</t>
        </is>
      </c>
    </row>
    <row r="3580">
      <c r="A3580" s="227">
        <f>TL[[#This Row],[Société]]&amp;" - "&amp;TL[[#This Row],[Compte]]</f>
        <v/>
      </c>
      <c r="B3580" s="233" t="inlineStr">
        <is>
          <t>621013</t>
        </is>
      </c>
      <c r="C3580" s="227" t="inlineStr">
        <is>
          <t>Salaire sabrina</t>
        </is>
      </c>
      <c r="D3580" s="233" t="inlineStr">
        <is>
          <t>39</t>
        </is>
      </c>
      <c r="E3580" s="233" t="inlineStr">
        <is>
          <t>13</t>
        </is>
      </c>
      <c r="F3580" s="227" t="inlineStr">
        <is>
          <t>TIRR</t>
        </is>
      </c>
    </row>
    <row r="3581">
      <c r="A3581" s="227">
        <f>TL[[#This Row],[Société]]&amp;" - "&amp;TL[[#This Row],[Compte]]</f>
        <v/>
      </c>
      <c r="B3581" s="233" t="inlineStr">
        <is>
          <t>621020</t>
        </is>
      </c>
      <c r="C3581" s="227" t="inlineStr">
        <is>
          <t>Personnel ext équipiers</t>
        </is>
      </c>
      <c r="D3581" s="233" t="inlineStr">
        <is>
          <t>10</t>
        </is>
      </c>
      <c r="E3581" s="233" t="inlineStr">
        <is>
          <t>13</t>
        </is>
      </c>
      <c r="F3581" s="227" t="inlineStr">
        <is>
          <t>TIRR</t>
        </is>
      </c>
    </row>
    <row r="3582">
      <c r="A3582" s="227">
        <f>TL[[#This Row],[Société]]&amp;" - "&amp;TL[[#This Row],[Compte]]</f>
        <v/>
      </c>
      <c r="B3582" s="233" t="inlineStr">
        <is>
          <t>621402</t>
        </is>
      </c>
      <c r="C3582" s="227" t="inlineStr">
        <is>
          <t>Personnel ext assistants</t>
        </is>
      </c>
      <c r="D3582" s="233" t="inlineStr">
        <is>
          <t>11</t>
        </is>
      </c>
      <c r="E3582" s="233" t="inlineStr">
        <is>
          <t>10</t>
        </is>
      </c>
      <c r="F3582" s="227" t="inlineStr">
        <is>
          <t>TIRR</t>
        </is>
      </c>
    </row>
    <row r="3583">
      <c r="A3583" s="227">
        <f>TL[[#This Row],[Société]]&amp;" - "&amp;TL[[#This Row],[Compte]]</f>
        <v/>
      </c>
      <c r="B3583" s="233" t="inlineStr">
        <is>
          <t>621403</t>
        </is>
      </c>
      <c r="C3583" s="227" t="inlineStr">
        <is>
          <t>Personnel ext superviseur</t>
        </is>
      </c>
      <c r="D3583" s="233" t="inlineStr">
        <is>
          <t>39</t>
        </is>
      </c>
      <c r="E3583" s="233" t="inlineStr">
        <is>
          <t>13</t>
        </is>
      </c>
      <c r="F3583" s="227" t="inlineStr">
        <is>
          <t>TIRR</t>
        </is>
      </c>
    </row>
    <row r="3584">
      <c r="A3584" s="227">
        <f>TL[[#This Row],[Société]]&amp;" - "&amp;TL[[#This Row],[Compte]]</f>
        <v/>
      </c>
      <c r="B3584" s="233" t="inlineStr">
        <is>
          <t>621404</t>
        </is>
      </c>
      <c r="C3584" s="227" t="inlineStr">
        <is>
          <t>Personnel ext marketing</t>
        </is>
      </c>
      <c r="D3584" s="233" t="inlineStr">
        <is>
          <t>39</t>
        </is>
      </c>
      <c r="E3584" s="233" t="inlineStr">
        <is>
          <t>13</t>
        </is>
      </c>
      <c r="F3584" s="227" t="inlineStr">
        <is>
          <t>TIRR</t>
        </is>
      </c>
    </row>
    <row r="3585">
      <c r="A3585" s="227">
        <f>TL[[#This Row],[Société]]&amp;" - "&amp;TL[[#This Row],[Compte]]</f>
        <v/>
      </c>
      <c r="B3585" s="233" t="inlineStr">
        <is>
          <t>622600</t>
        </is>
      </c>
      <c r="C3585" s="227" t="inlineStr">
        <is>
          <t>Honoraires comptables</t>
        </is>
      </c>
      <c r="D3585" s="233" t="inlineStr">
        <is>
          <t>32</t>
        </is>
      </c>
      <c r="E3585" s="233" t="inlineStr">
        <is>
          <t>35</t>
        </is>
      </c>
      <c r="F3585" s="227" t="inlineStr">
        <is>
          <t>TIRR</t>
        </is>
      </c>
    </row>
    <row r="3586">
      <c r="A3586" s="227">
        <f>TL[[#This Row],[Société]]&amp;" - "&amp;TL[[#This Row],[Compte]]</f>
        <v/>
      </c>
      <c r="B3586" s="233" t="inlineStr">
        <is>
          <t>622610</t>
        </is>
      </c>
      <c r="C3586" s="227" t="inlineStr">
        <is>
          <t>Honoraires divers</t>
        </is>
      </c>
      <c r="D3586" s="233" t="inlineStr">
        <is>
          <t>32</t>
        </is>
      </c>
      <c r="E3586" s="233" t="inlineStr">
        <is>
          <t>35</t>
        </is>
      </c>
      <c r="F3586" s="227" t="inlineStr">
        <is>
          <t>TIRR</t>
        </is>
      </c>
    </row>
    <row r="3587">
      <c r="A3587" s="227">
        <f>TL[[#This Row],[Société]]&amp;" - "&amp;TL[[#This Row],[Compte]]</f>
        <v/>
      </c>
      <c r="B3587" s="233" t="inlineStr">
        <is>
          <t>622620</t>
        </is>
      </c>
      <c r="C3587" s="227" t="inlineStr">
        <is>
          <t>Honoraires juridiques</t>
        </is>
      </c>
      <c r="D3587" s="233" t="inlineStr">
        <is>
          <t>32</t>
        </is>
      </c>
      <c r="E3587" s="233" t="inlineStr">
        <is>
          <t>35</t>
        </is>
      </c>
      <c r="F3587" s="227" t="inlineStr">
        <is>
          <t>TIRR</t>
        </is>
      </c>
    </row>
    <row r="3588">
      <c r="A3588" s="227">
        <f>TL[[#This Row],[Société]]&amp;" - "&amp;TL[[#This Row],[Compte]]</f>
        <v/>
      </c>
      <c r="B3588" s="233" t="inlineStr">
        <is>
          <t>622630</t>
        </is>
      </c>
      <c r="C3588" s="227" t="inlineStr">
        <is>
          <t>Honoraires commissaire aux comptes</t>
        </is>
      </c>
      <c r="D3588" s="233" t="inlineStr">
        <is>
          <t>32</t>
        </is>
      </c>
      <c r="E3588" s="233" t="inlineStr">
        <is>
          <t>35</t>
        </is>
      </c>
      <c r="F3588" s="227" t="inlineStr">
        <is>
          <t>TIRR</t>
        </is>
      </c>
    </row>
    <row r="3589">
      <c r="A3589" s="227">
        <f>TL[[#This Row],[Société]]&amp;" - "&amp;TL[[#This Row],[Compte]]</f>
        <v/>
      </c>
      <c r="B3589" s="233" t="inlineStr">
        <is>
          <t>622700</t>
        </is>
      </c>
      <c r="C3589" s="227" t="inlineStr">
        <is>
          <t>Frais d'actes et contentieux</t>
        </is>
      </c>
      <c r="D3589" s="233" t="inlineStr">
        <is>
          <t>32</t>
        </is>
      </c>
      <c r="E3589" s="233" t="inlineStr">
        <is>
          <t>35</t>
        </is>
      </c>
      <c r="F3589" s="227" t="inlineStr">
        <is>
          <t>TIRR</t>
        </is>
      </c>
    </row>
    <row r="3590">
      <c r="A3590" s="227">
        <f>TL[[#This Row],[Société]]&amp;" - "&amp;TL[[#This Row],[Compte]]</f>
        <v/>
      </c>
      <c r="B3590" s="233" t="inlineStr">
        <is>
          <t>622800</t>
        </is>
      </c>
      <c r="C3590" s="227" t="inlineStr">
        <is>
          <t>Commissions Uber</t>
        </is>
      </c>
      <c r="D3590" s="233" t="inlineStr">
        <is>
          <t>39</t>
        </is>
      </c>
      <c r="E3590" s="233" t="inlineStr">
        <is>
          <t>21</t>
        </is>
      </c>
      <c r="F3590" s="227" t="inlineStr">
        <is>
          <t>TIRR</t>
        </is>
      </c>
    </row>
    <row r="3591">
      <c r="A3591" s="227">
        <f>TL[[#This Row],[Société]]&amp;" - "&amp;TL[[#This Row],[Compte]]</f>
        <v/>
      </c>
      <c r="B3591" s="233" t="inlineStr">
        <is>
          <t>622810</t>
        </is>
      </c>
      <c r="C3591" s="227" t="inlineStr">
        <is>
          <t>Commission Deliveroo</t>
        </is>
      </c>
      <c r="D3591" s="233" t="inlineStr">
        <is>
          <t>39</t>
        </is>
      </c>
      <c r="E3591" s="233" t="inlineStr">
        <is>
          <t>21</t>
        </is>
      </c>
      <c r="F3591" s="227" t="inlineStr">
        <is>
          <t>TIRR</t>
        </is>
      </c>
    </row>
    <row r="3592">
      <c r="A3592" s="227">
        <f>TL[[#This Row],[Société]]&amp;" - "&amp;TL[[#This Row],[Compte]]</f>
        <v/>
      </c>
      <c r="B3592" s="233" t="inlineStr">
        <is>
          <t>622900</t>
        </is>
      </c>
      <c r="C3592" s="227" t="inlineStr">
        <is>
          <t>Rétrocessions transport Uber</t>
        </is>
      </c>
      <c r="D3592" s="233" t="inlineStr">
        <is>
          <t>39</t>
        </is>
      </c>
      <c r="E3592" s="233" t="inlineStr">
        <is>
          <t>40</t>
        </is>
      </c>
      <c r="F3592" s="227" t="inlineStr">
        <is>
          <t>TIRR</t>
        </is>
      </c>
    </row>
    <row r="3593">
      <c r="A3593" s="227">
        <f>TL[[#This Row],[Société]]&amp;" - "&amp;TL[[#This Row],[Compte]]</f>
        <v/>
      </c>
      <c r="B3593" s="233" t="inlineStr">
        <is>
          <t>623000</t>
        </is>
      </c>
      <c r="C3593" s="227" t="inlineStr">
        <is>
          <t>Publicité</t>
        </is>
      </c>
      <c r="D3593" s="233" t="inlineStr">
        <is>
          <t>14</t>
        </is>
      </c>
      <c r="E3593" s="233" t="inlineStr">
        <is>
          <t>22</t>
        </is>
      </c>
      <c r="F3593" s="227" t="inlineStr">
        <is>
          <t>TIRR</t>
        </is>
      </c>
    </row>
    <row r="3594">
      <c r="A3594" s="227">
        <f>TL[[#This Row],[Société]]&amp;" - "&amp;TL[[#This Row],[Compte]]</f>
        <v/>
      </c>
      <c r="B3594" s="233" t="inlineStr">
        <is>
          <t>623002</t>
        </is>
      </c>
      <c r="C3594" s="227" t="inlineStr">
        <is>
          <t>Promotion locale</t>
        </is>
      </c>
      <c r="D3594" s="233" t="inlineStr">
        <is>
          <t>15</t>
        </is>
      </c>
      <c r="E3594" s="233" t="inlineStr">
        <is>
          <t>23</t>
        </is>
      </c>
      <c r="F3594" s="227" t="inlineStr">
        <is>
          <t>TIRR</t>
        </is>
      </c>
    </row>
    <row r="3595">
      <c r="A3595" s="227">
        <f>TL[[#This Row],[Société]]&amp;" - "&amp;TL[[#This Row],[Compte]]</f>
        <v/>
      </c>
      <c r="B3595" s="233" t="inlineStr">
        <is>
          <t>623050</t>
        </is>
      </c>
      <c r="C3595" s="227" t="inlineStr">
        <is>
          <t>19.03/av scène/pub 28e festival des</t>
        </is>
      </c>
      <c r="F3595" s="227" t="inlineStr">
        <is>
          <t>TIRR</t>
        </is>
      </c>
    </row>
    <row r="3596">
      <c r="A3596" s="227">
        <f>TL[[#This Row],[Société]]&amp;" - "&amp;TL[[#This Row],[Compte]]</f>
        <v/>
      </c>
      <c r="B3596" s="233" t="inlineStr">
        <is>
          <t>623400</t>
        </is>
      </c>
      <c r="C3596" s="227" t="inlineStr">
        <is>
          <t>Cadeaux à la clientèle</t>
        </is>
      </c>
      <c r="D3596" s="233" t="inlineStr">
        <is>
          <t>23</t>
        </is>
      </c>
      <c r="E3596" s="233" t="inlineStr">
        <is>
          <t>23</t>
        </is>
      </c>
      <c r="F3596" s="227" t="inlineStr">
        <is>
          <t>TIRR</t>
        </is>
      </c>
    </row>
    <row r="3597">
      <c r="A3597" s="227">
        <f>TL[[#This Row],[Société]]&amp;" - "&amp;TL[[#This Row],[Compte]]</f>
        <v/>
      </c>
      <c r="B3597" s="233" t="inlineStr">
        <is>
          <t>623401</t>
        </is>
      </c>
      <c r="C3597" s="227" t="inlineStr">
        <is>
          <t>Promotions</t>
        </is>
      </c>
      <c r="D3597" s="233" t="inlineStr">
        <is>
          <t>15</t>
        </is>
      </c>
      <c r="E3597" s="233" t="inlineStr">
        <is>
          <t>23</t>
        </is>
      </c>
      <c r="F3597" s="227" t="inlineStr">
        <is>
          <t>TIRR</t>
        </is>
      </c>
    </row>
    <row r="3598">
      <c r="A3598" s="227">
        <f>TL[[#This Row],[Société]]&amp;" - "&amp;TL[[#This Row],[Compte]]</f>
        <v/>
      </c>
      <c r="B3598" s="233" t="inlineStr">
        <is>
          <t>623415</t>
        </is>
      </c>
      <c r="C3598" s="227" t="inlineStr">
        <is>
          <t>Premium</t>
        </is>
      </c>
      <c r="D3598" s="233" t="inlineStr">
        <is>
          <t>15</t>
        </is>
      </c>
      <c r="E3598" s="233" t="inlineStr">
        <is>
          <t>23</t>
        </is>
      </c>
      <c r="F3598" s="227" t="inlineStr">
        <is>
          <t>TIRR</t>
        </is>
      </c>
    </row>
    <row r="3599">
      <c r="A3599" s="227">
        <f>TL[[#This Row],[Société]]&amp;" - "&amp;TL[[#This Row],[Compte]]</f>
        <v/>
      </c>
      <c r="B3599" s="233" t="inlineStr">
        <is>
          <t>623800</t>
        </is>
      </c>
      <c r="C3599" s="227" t="inlineStr">
        <is>
          <t>Dons et pourboirs</t>
        </is>
      </c>
      <c r="D3599" s="233" t="inlineStr">
        <is>
          <t>15</t>
        </is>
      </c>
      <c r="E3599" s="233" t="inlineStr">
        <is>
          <t>23</t>
        </is>
      </c>
      <c r="F3599" s="227" t="inlineStr">
        <is>
          <t>TIRR</t>
        </is>
      </c>
    </row>
    <row r="3600">
      <c r="A3600" s="227">
        <f>TL[[#This Row],[Société]]&amp;" - "&amp;TL[[#This Row],[Compte]]</f>
        <v/>
      </c>
      <c r="B3600" s="233" t="inlineStr">
        <is>
          <t>624100</t>
        </is>
      </c>
      <c r="C3600" s="227" t="inlineStr">
        <is>
          <t>Transports sur achats</t>
        </is>
      </c>
      <c r="D3600" s="233" t="inlineStr">
        <is>
          <t>39</t>
        </is>
      </c>
      <c r="E3600" s="233" t="inlineStr">
        <is>
          <t>40</t>
        </is>
      </c>
      <c r="F3600" s="227" t="inlineStr">
        <is>
          <t>TIRR</t>
        </is>
      </c>
    </row>
    <row r="3601">
      <c r="A3601" s="227">
        <f>TL[[#This Row],[Société]]&amp;" - "&amp;TL[[#This Row],[Compte]]</f>
        <v/>
      </c>
      <c r="B3601" s="233" t="inlineStr">
        <is>
          <t>625100</t>
        </is>
      </c>
      <c r="C3601" s="227" t="inlineStr">
        <is>
          <t>Au regal</t>
        </is>
      </c>
      <c r="F3601" s="227" t="inlineStr">
        <is>
          <t>TIRR</t>
        </is>
      </c>
    </row>
    <row r="3602">
      <c r="A3602" s="227">
        <f>TL[[#This Row],[Société]]&amp;" - "&amp;TL[[#This Row],[Compte]]</f>
        <v/>
      </c>
      <c r="B3602" s="233" t="inlineStr">
        <is>
          <t>625200</t>
        </is>
      </c>
      <c r="C3602" s="227" t="inlineStr">
        <is>
          <t>Frais de recepti° et déplacement</t>
        </is>
      </c>
      <c r="D3602" s="233" t="inlineStr">
        <is>
          <t>13</t>
        </is>
      </c>
      <c r="E3602" s="233" t="inlineStr">
        <is>
          <t>27</t>
        </is>
      </c>
      <c r="F3602" s="227" t="inlineStr">
        <is>
          <t>TIRR</t>
        </is>
      </c>
    </row>
    <row r="3603">
      <c r="A3603" s="227">
        <f>TL[[#This Row],[Société]]&amp;" - "&amp;TL[[#This Row],[Compte]]</f>
        <v/>
      </c>
      <c r="B3603" s="233" t="inlineStr">
        <is>
          <t>625201</t>
        </is>
      </c>
      <c r="C3603" s="227" t="inlineStr">
        <is>
          <t>frais deplacements pers technique</t>
        </is>
      </c>
      <c r="D3603" s="233" t="inlineStr">
        <is>
          <t>39</t>
        </is>
      </c>
      <c r="E3603" s="233" t="inlineStr">
        <is>
          <t>40</t>
        </is>
      </c>
      <c r="F3603" s="227" t="inlineStr">
        <is>
          <t>TIRR</t>
        </is>
      </c>
    </row>
    <row r="3604">
      <c r="A3604" s="227">
        <f>TL[[#This Row],[Société]]&amp;" - "&amp;TL[[#This Row],[Compte]]</f>
        <v/>
      </c>
      <c r="B3604" s="233" t="inlineStr">
        <is>
          <t>625400</t>
        </is>
      </c>
      <c r="C3604" s="227" t="inlineStr">
        <is>
          <t>Frais professionnels  ne pas utilis</t>
        </is>
      </c>
      <c r="D3604" s="233" t="inlineStr">
        <is>
          <t>13</t>
        </is>
      </c>
      <c r="E3604" s="233" t="inlineStr">
        <is>
          <t>26</t>
        </is>
      </c>
      <c r="F3604" s="227" t="inlineStr">
        <is>
          <t>TIRR</t>
        </is>
      </c>
    </row>
    <row r="3605">
      <c r="A3605" s="227">
        <f>TL[[#This Row],[Société]]&amp;" - "&amp;TL[[#This Row],[Compte]]</f>
        <v/>
      </c>
      <c r="B3605" s="233" t="inlineStr">
        <is>
          <t>625800</t>
        </is>
      </c>
      <c r="C3605" s="227" t="inlineStr">
        <is>
          <t>Redevances Mungu</t>
        </is>
      </c>
      <c r="D3605" s="233" t="inlineStr">
        <is>
          <t>51</t>
        </is>
      </c>
      <c r="E3605" s="233" t="inlineStr">
        <is>
          <t>46</t>
        </is>
      </c>
      <c r="F3605" s="227" t="inlineStr">
        <is>
          <t>TIRR</t>
        </is>
      </c>
    </row>
    <row r="3606">
      <c r="A3606" s="227">
        <f>TL[[#This Row],[Société]]&amp;" - "&amp;TL[[#This Row],[Compte]]</f>
        <v/>
      </c>
      <c r="B3606" s="233" t="inlineStr">
        <is>
          <t>626100</t>
        </is>
      </c>
      <c r="C3606" s="227" t="inlineStr">
        <is>
          <t>Frais postaux</t>
        </is>
      </c>
      <c r="D3606" s="233" t="inlineStr">
        <is>
          <t>20</t>
        </is>
      </c>
      <c r="E3606" s="233" t="inlineStr">
        <is>
          <t>24</t>
        </is>
      </c>
      <c r="F3606" s="227" t="inlineStr">
        <is>
          <t>TIRR</t>
        </is>
      </c>
    </row>
    <row r="3607">
      <c r="A3607" s="227">
        <f>TL[[#This Row],[Société]]&amp;" - "&amp;TL[[#This Row],[Compte]]</f>
        <v/>
      </c>
      <c r="B3607" s="233" t="inlineStr">
        <is>
          <t>626200</t>
        </is>
      </c>
      <c r="C3607" s="227" t="inlineStr">
        <is>
          <t>Frais telephone</t>
        </is>
      </c>
      <c r="D3607" s="233" t="inlineStr">
        <is>
          <t>20</t>
        </is>
      </c>
      <c r="E3607" s="233" t="inlineStr">
        <is>
          <t>24</t>
        </is>
      </c>
      <c r="F3607" s="227" t="inlineStr">
        <is>
          <t>TIRR</t>
        </is>
      </c>
    </row>
    <row r="3608">
      <c r="A3608" s="227">
        <f>TL[[#This Row],[Société]]&amp;" - "&amp;TL[[#This Row],[Compte]]</f>
        <v/>
      </c>
      <c r="B3608" s="233" t="inlineStr">
        <is>
          <t>626210</t>
        </is>
      </c>
      <c r="C3608" s="227" t="inlineStr">
        <is>
          <t>Telephone sabrina</t>
        </is>
      </c>
      <c r="D3608" s="233" t="inlineStr">
        <is>
          <t>39</t>
        </is>
      </c>
      <c r="E3608" s="233" t="inlineStr">
        <is>
          <t>24</t>
        </is>
      </c>
      <c r="F3608" s="227" t="inlineStr">
        <is>
          <t>TIRR</t>
        </is>
      </c>
    </row>
    <row r="3609">
      <c r="A3609" s="227">
        <f>TL[[#This Row],[Société]]&amp;" - "&amp;TL[[#This Row],[Compte]]</f>
        <v/>
      </c>
      <c r="B3609" s="233" t="inlineStr">
        <is>
          <t>627001</t>
        </is>
      </c>
      <c r="C3609" s="227" t="inlineStr">
        <is>
          <t>Commissions bq npu</t>
        </is>
      </c>
      <c r="D3609" s="233" t="inlineStr">
        <is>
          <t>37</t>
        </is>
      </c>
      <c r="E3609" s="233" t="inlineStr">
        <is>
          <t>17</t>
        </is>
      </c>
      <c r="F3609" s="227" t="inlineStr">
        <is>
          <t>TIRR</t>
        </is>
      </c>
    </row>
    <row r="3610">
      <c r="A3610" s="227">
        <f>TL[[#This Row],[Société]]&amp;" - "&amp;TL[[#This Row],[Compte]]</f>
        <v/>
      </c>
      <c r="B3610" s="233" t="inlineStr">
        <is>
          <t>627002</t>
        </is>
      </c>
      <c r="C3610" s="227" t="inlineStr">
        <is>
          <t>Commissions cb npu</t>
        </is>
      </c>
      <c r="D3610" s="233" t="inlineStr">
        <is>
          <t>37</t>
        </is>
      </c>
      <c r="E3610" s="233" t="inlineStr">
        <is>
          <t>17</t>
        </is>
      </c>
      <c r="F3610" s="227" t="inlineStr">
        <is>
          <t>TIRR</t>
        </is>
      </c>
    </row>
    <row r="3611">
      <c r="A3611" s="227">
        <f>TL[[#This Row],[Société]]&amp;" - "&amp;TL[[#This Row],[Compte]]</f>
        <v/>
      </c>
      <c r="B3611" s="233" t="inlineStr">
        <is>
          <t>627003</t>
        </is>
      </c>
      <c r="C3611" s="227" t="inlineStr">
        <is>
          <t>Commissions tr npu</t>
        </is>
      </c>
      <c r="D3611" s="233" t="inlineStr">
        <is>
          <t>37</t>
        </is>
      </c>
      <c r="E3611" s="233" t="inlineStr">
        <is>
          <t>17</t>
        </is>
      </c>
      <c r="F3611" s="227" t="inlineStr">
        <is>
          <t>TIRR</t>
        </is>
      </c>
    </row>
    <row r="3612">
      <c r="A3612" s="227">
        <f>TL[[#This Row],[Société]]&amp;" - "&amp;TL[[#This Row],[Compte]]</f>
        <v/>
      </c>
      <c r="B3612" s="233" t="inlineStr">
        <is>
          <t>627005</t>
        </is>
      </c>
      <c r="C3612" s="227" t="inlineStr">
        <is>
          <t>Commissions cv npu</t>
        </is>
      </c>
      <c r="D3612" s="233" t="inlineStr">
        <is>
          <t>37</t>
        </is>
      </c>
      <c r="E3612" s="233" t="inlineStr">
        <is>
          <t>17</t>
        </is>
      </c>
      <c r="F3612" s="227" t="inlineStr">
        <is>
          <t>TIRR</t>
        </is>
      </c>
    </row>
    <row r="3613">
      <c r="A3613" s="227">
        <f>TL[[#This Row],[Société]]&amp;" - "&amp;TL[[#This Row],[Compte]]</f>
        <v/>
      </c>
      <c r="B3613" s="233" t="inlineStr">
        <is>
          <t>627801</t>
        </is>
      </c>
      <c r="C3613" s="227" t="inlineStr">
        <is>
          <t>Commissions bancaires</t>
        </is>
      </c>
      <c r="D3613" s="233" t="inlineStr">
        <is>
          <t>37</t>
        </is>
      </c>
      <c r="E3613" s="233" t="inlineStr">
        <is>
          <t>17</t>
        </is>
      </c>
      <c r="F3613" s="227" t="inlineStr">
        <is>
          <t>TIRR</t>
        </is>
      </c>
    </row>
    <row r="3614">
      <c r="A3614" s="227">
        <f>TL[[#This Row],[Société]]&amp;" - "&amp;TL[[#This Row],[Compte]]</f>
        <v/>
      </c>
      <c r="B3614" s="233" t="inlineStr">
        <is>
          <t>627802</t>
        </is>
      </c>
      <c r="C3614" s="227" t="inlineStr">
        <is>
          <t>COMMISSIONS CB</t>
        </is>
      </c>
      <c r="D3614" s="233" t="inlineStr">
        <is>
          <t>37</t>
        </is>
      </c>
      <c r="E3614" s="233" t="inlineStr">
        <is>
          <t>17</t>
        </is>
      </c>
      <c r="F3614" s="227" t="inlineStr">
        <is>
          <t>TIRR</t>
        </is>
      </c>
    </row>
    <row r="3615">
      <c r="A3615" s="227">
        <f>TL[[#This Row],[Société]]&amp;" - "&amp;TL[[#This Row],[Compte]]</f>
        <v/>
      </c>
      <c r="B3615" s="233" t="inlineStr">
        <is>
          <t>627803</t>
        </is>
      </c>
      <c r="C3615" s="227" t="inlineStr">
        <is>
          <t>COMMISSIONS TR</t>
        </is>
      </c>
      <c r="D3615" s="233" t="inlineStr">
        <is>
          <t>37</t>
        </is>
      </c>
      <c r="E3615" s="233" t="inlineStr">
        <is>
          <t>17</t>
        </is>
      </c>
      <c r="F3615" s="227" t="inlineStr">
        <is>
          <t>TIRR</t>
        </is>
      </c>
    </row>
    <row r="3616">
      <c r="A3616" s="227">
        <f>TL[[#This Row],[Société]]&amp;" - "&amp;TL[[#This Row],[Compte]]</f>
        <v/>
      </c>
      <c r="B3616" s="233" t="inlineStr">
        <is>
          <t>627805</t>
        </is>
      </c>
      <c r="C3616" s="227" t="inlineStr">
        <is>
          <t>COMMISSIONS CV</t>
        </is>
      </c>
      <c r="D3616" s="233" t="inlineStr">
        <is>
          <t>37</t>
        </is>
      </c>
      <c r="E3616" s="233" t="inlineStr">
        <is>
          <t>17</t>
        </is>
      </c>
      <c r="F3616" s="227" t="inlineStr">
        <is>
          <t>TIRR</t>
        </is>
      </c>
    </row>
    <row r="3617">
      <c r="A3617" s="227">
        <f>TL[[#This Row],[Société]]&amp;" - "&amp;TL[[#This Row],[Compte]]</f>
        <v/>
      </c>
      <c r="B3617" s="233" t="inlineStr">
        <is>
          <t>628023</t>
        </is>
      </c>
      <c r="C3617" s="227" t="inlineStr">
        <is>
          <t>Divers</t>
        </is>
      </c>
      <c r="D3617" s="233" t="inlineStr">
        <is>
          <t>23</t>
        </is>
      </c>
      <c r="E3617" s="233" t="inlineStr">
        <is>
          <t>27</t>
        </is>
      </c>
      <c r="F3617" s="227" t="inlineStr">
        <is>
          <t>TIRR</t>
        </is>
      </c>
    </row>
    <row r="3618">
      <c r="A3618" s="227">
        <f>TL[[#This Row],[Société]]&amp;" - "&amp;TL[[#This Row],[Compte]]</f>
        <v/>
      </c>
      <c r="B3618" s="233" t="inlineStr">
        <is>
          <t>628024</t>
        </is>
      </c>
      <c r="C3618" s="227" t="inlineStr">
        <is>
          <t>Places de cinéma</t>
        </is>
      </c>
      <c r="D3618" s="233" t="inlineStr">
        <is>
          <t>62</t>
        </is>
      </c>
      <c r="E3618" s="233" t="inlineStr">
        <is>
          <t>51</t>
        </is>
      </c>
      <c r="F3618" s="227" t="inlineStr">
        <is>
          <t>TIRR</t>
        </is>
      </c>
    </row>
    <row r="3619">
      <c r="A3619" s="227">
        <f>TL[[#This Row],[Société]]&amp;" - "&amp;TL[[#This Row],[Compte]]</f>
        <v/>
      </c>
      <c r="B3619" s="233" t="inlineStr">
        <is>
          <t>628210</t>
        </is>
      </c>
      <c r="C3619" s="227" t="inlineStr">
        <is>
          <t>Redevance gth14</t>
        </is>
      </c>
      <c r="D3619" s="233" t="inlineStr">
        <is>
          <t>51</t>
        </is>
      </c>
      <c r="E3619" s="233" t="inlineStr">
        <is>
          <t>46</t>
        </is>
      </c>
      <c r="F3619" s="227" t="inlineStr">
        <is>
          <t>TIRR</t>
        </is>
      </c>
    </row>
    <row r="3620">
      <c r="A3620" s="227">
        <f>TL[[#This Row],[Société]]&amp;" - "&amp;TL[[#This Row],[Compte]]</f>
        <v/>
      </c>
      <c r="B3620" s="233" t="inlineStr">
        <is>
          <t>628220</t>
        </is>
      </c>
      <c r="C3620" s="227" t="inlineStr">
        <is>
          <t>Redevance rth</t>
        </is>
      </c>
      <c r="D3620" s="233" t="inlineStr">
        <is>
          <t>51</t>
        </is>
      </c>
      <c r="E3620" s="233" t="inlineStr">
        <is>
          <t>46</t>
        </is>
      </c>
      <c r="F3620" s="227" t="inlineStr">
        <is>
          <t>TIRR</t>
        </is>
      </c>
    </row>
    <row r="3621">
      <c r="A3621" s="227">
        <f>TL[[#This Row],[Société]]&amp;" - "&amp;TL[[#This Row],[Compte]]</f>
        <v/>
      </c>
      <c r="B3621" s="233" t="inlineStr">
        <is>
          <t>628230</t>
        </is>
      </c>
      <c r="C3621" s="227" t="inlineStr">
        <is>
          <t>Convention rth</t>
        </is>
      </c>
      <c r="D3621" s="233" t="inlineStr">
        <is>
          <t>51</t>
        </is>
      </c>
      <c r="E3621" s="233" t="inlineStr">
        <is>
          <t>46</t>
        </is>
      </c>
      <c r="F3621" s="227" t="inlineStr">
        <is>
          <t>TIRR</t>
        </is>
      </c>
    </row>
    <row r="3622">
      <c r="A3622" s="227">
        <f>TL[[#This Row],[Société]]&amp;" - "&amp;TL[[#This Row],[Compte]]</f>
        <v/>
      </c>
      <c r="B3622" s="233" t="inlineStr">
        <is>
          <t>628400</t>
        </is>
      </c>
      <c r="C3622" s="227" t="inlineStr">
        <is>
          <t>Formations</t>
        </is>
      </c>
      <c r="D3622" s="233" t="inlineStr">
        <is>
          <t>34</t>
        </is>
      </c>
      <c r="E3622" s="233" t="inlineStr">
        <is>
          <t>37</t>
        </is>
      </c>
      <c r="F3622" s="227" t="inlineStr">
        <is>
          <t>TIRR</t>
        </is>
      </c>
    </row>
    <row r="3623">
      <c r="A3623" s="227">
        <f>TL[[#This Row],[Société]]&amp;" - "&amp;TL[[#This Row],[Compte]]</f>
        <v/>
      </c>
      <c r="B3623" s="233" t="inlineStr">
        <is>
          <t>631310</t>
        </is>
      </c>
      <c r="C3623" s="227" t="inlineStr">
        <is>
          <t>Agefiphj - npu</t>
        </is>
      </c>
      <c r="D3623" s="233" t="inlineStr">
        <is>
          <t>34</t>
        </is>
      </c>
      <c r="E3623" s="233" t="inlineStr">
        <is>
          <t>37</t>
        </is>
      </c>
      <c r="F3623" s="227" t="inlineStr">
        <is>
          <t>TIRR</t>
        </is>
      </c>
    </row>
    <row r="3624">
      <c r="A3624" s="227">
        <f>TL[[#This Row],[Société]]&amp;" - "&amp;TL[[#This Row],[Compte]]</f>
        <v/>
      </c>
      <c r="B3624" s="233" t="inlineStr">
        <is>
          <t>633300</t>
        </is>
      </c>
      <c r="C3624" s="227" t="inlineStr">
        <is>
          <t>Formation continue (organisme)</t>
        </is>
      </c>
      <c r="D3624" s="233" t="inlineStr">
        <is>
          <t>34</t>
        </is>
      </c>
      <c r="E3624" s="233" t="inlineStr">
        <is>
          <t>37</t>
        </is>
      </c>
      <c r="F3624" s="227" t="inlineStr">
        <is>
          <t>TIRR</t>
        </is>
      </c>
    </row>
    <row r="3625">
      <c r="A3625" s="227">
        <f>TL[[#This Row],[Société]]&amp;" - "&amp;TL[[#This Row],[Compte]]</f>
        <v/>
      </c>
      <c r="B3625" s="233" t="inlineStr">
        <is>
          <t>633400</t>
        </is>
      </c>
      <c r="C3625" s="227" t="inlineStr">
        <is>
          <t>Effort de construction</t>
        </is>
      </c>
      <c r="D3625" s="233" t="inlineStr">
        <is>
          <t>34</t>
        </is>
      </c>
      <c r="E3625" s="233" t="inlineStr">
        <is>
          <t>37</t>
        </is>
      </c>
      <c r="F3625" s="227" t="inlineStr">
        <is>
          <t>TIRR</t>
        </is>
      </c>
    </row>
    <row r="3626">
      <c r="A3626" s="227">
        <f>TL[[#This Row],[Société]]&amp;" - "&amp;TL[[#This Row],[Compte]]</f>
        <v/>
      </c>
      <c r="B3626" s="233" t="inlineStr">
        <is>
          <t>633500</t>
        </is>
      </c>
      <c r="C3626" s="227" t="inlineStr">
        <is>
          <t>Taxe d'apprentissage (verst libér.)</t>
        </is>
      </c>
      <c r="D3626" s="233" t="inlineStr">
        <is>
          <t>34</t>
        </is>
      </c>
      <c r="E3626" s="233" t="inlineStr">
        <is>
          <t>37</t>
        </is>
      </c>
      <c r="F3626" s="227" t="inlineStr">
        <is>
          <t>TIRR</t>
        </is>
      </c>
    </row>
    <row r="3627">
      <c r="A3627" s="227">
        <f>TL[[#This Row],[Société]]&amp;" - "&amp;TL[[#This Row],[Compte]]</f>
        <v/>
      </c>
      <c r="B3627" s="233" t="inlineStr">
        <is>
          <t>635110</t>
        </is>
      </c>
      <c r="C3627" s="227" t="inlineStr">
        <is>
          <t>Contribut° économique territoriale</t>
        </is>
      </c>
      <c r="D3627" s="233" t="inlineStr">
        <is>
          <t>34</t>
        </is>
      </c>
      <c r="E3627" s="233" t="inlineStr">
        <is>
          <t>37</t>
        </is>
      </c>
      <c r="F3627" s="227" t="inlineStr">
        <is>
          <t>TIRR</t>
        </is>
      </c>
    </row>
    <row r="3628">
      <c r="A3628" s="227">
        <f>TL[[#This Row],[Société]]&amp;" - "&amp;TL[[#This Row],[Compte]]</f>
        <v/>
      </c>
      <c r="B3628" s="233" t="inlineStr">
        <is>
          <t>635111</t>
        </is>
      </c>
      <c r="C3628" s="227" t="inlineStr">
        <is>
          <t>Contribution foncière entreprises</t>
        </is>
      </c>
      <c r="D3628" s="233" t="inlineStr">
        <is>
          <t>34</t>
        </is>
      </c>
      <c r="E3628" s="233" t="inlineStr">
        <is>
          <t>37</t>
        </is>
      </c>
      <c r="F3628" s="227" t="inlineStr">
        <is>
          <t>TIRR</t>
        </is>
      </c>
    </row>
    <row r="3629">
      <c r="A3629" s="227">
        <f>TL[[#This Row],[Société]]&amp;" - "&amp;TL[[#This Row],[Compte]]</f>
        <v/>
      </c>
      <c r="B3629" s="233" t="inlineStr">
        <is>
          <t>635112</t>
        </is>
      </c>
      <c r="C3629" s="227" t="inlineStr">
        <is>
          <t>Contrib. valeur ajoutée entreprises</t>
        </is>
      </c>
      <c r="D3629" s="233" t="inlineStr">
        <is>
          <t>34</t>
        </is>
      </c>
      <c r="E3629" s="233" t="inlineStr">
        <is>
          <t>37</t>
        </is>
      </c>
      <c r="F3629" s="227" t="inlineStr">
        <is>
          <t>TIRR</t>
        </is>
      </c>
    </row>
    <row r="3630">
      <c r="A3630" s="227">
        <f>TL[[#This Row],[Société]]&amp;" - "&amp;TL[[#This Row],[Compte]]</f>
        <v/>
      </c>
      <c r="B3630" s="233" t="inlineStr">
        <is>
          <t>635140</t>
        </is>
      </c>
      <c r="C3630" s="227" t="inlineStr">
        <is>
          <t>Taxe vehicule societe</t>
        </is>
      </c>
      <c r="D3630" s="233" t="inlineStr">
        <is>
          <t>34</t>
        </is>
      </c>
      <c r="E3630" s="233" t="inlineStr">
        <is>
          <t>37</t>
        </is>
      </c>
      <c r="F3630" s="227" t="inlineStr">
        <is>
          <t>TIRR</t>
        </is>
      </c>
    </row>
    <row r="3631">
      <c r="A3631" s="227">
        <f>TL[[#This Row],[Société]]&amp;" - "&amp;TL[[#This Row],[Compte]]</f>
        <v/>
      </c>
      <c r="B3631" s="233" t="inlineStr">
        <is>
          <t>635400</t>
        </is>
      </c>
      <c r="C3631" s="227" t="inlineStr">
        <is>
          <t>Cartes grises</t>
        </is>
      </c>
      <c r="D3631" s="233" t="inlineStr">
        <is>
          <t>39</t>
        </is>
      </c>
      <c r="E3631" s="233" t="inlineStr">
        <is>
          <t>37</t>
        </is>
      </c>
      <c r="F3631" s="227" t="inlineStr">
        <is>
          <t>TIRR</t>
        </is>
      </c>
    </row>
    <row r="3632">
      <c r="A3632" s="227">
        <f>TL[[#This Row],[Société]]&amp;" - "&amp;TL[[#This Row],[Compte]]</f>
        <v/>
      </c>
      <c r="B3632" s="233" t="inlineStr">
        <is>
          <t>635511</t>
        </is>
      </c>
      <c r="C3632" s="227" t="inlineStr">
        <is>
          <t>Taxe handicapés agefiph</t>
        </is>
      </c>
      <c r="D3632" s="233" t="inlineStr">
        <is>
          <t>34</t>
        </is>
      </c>
      <c r="E3632" s="233" t="inlineStr">
        <is>
          <t>37</t>
        </is>
      </c>
      <c r="F3632" s="227" t="inlineStr">
        <is>
          <t>TIRR</t>
        </is>
      </c>
    </row>
    <row r="3633">
      <c r="A3633" s="227">
        <f>TL[[#This Row],[Société]]&amp;" - "&amp;TL[[#This Row],[Compte]]</f>
        <v/>
      </c>
      <c r="B3633" s="233" t="inlineStr">
        <is>
          <t>635810</t>
        </is>
      </c>
      <c r="C3633" s="227" t="inlineStr">
        <is>
          <t>Taxes diverses</t>
        </is>
      </c>
      <c r="D3633" s="233" t="inlineStr">
        <is>
          <t>34</t>
        </is>
      </c>
      <c r="E3633" s="233" t="inlineStr">
        <is>
          <t>37</t>
        </is>
      </c>
      <c r="F3633" s="227" t="inlineStr">
        <is>
          <t>TIRR</t>
        </is>
      </c>
    </row>
    <row r="3634">
      <c r="A3634" s="227">
        <f>TL[[#This Row],[Société]]&amp;" - "&amp;TL[[#This Row],[Compte]]</f>
        <v/>
      </c>
      <c r="B3634" s="233" t="inlineStr">
        <is>
          <t>635820</t>
        </is>
      </c>
      <c r="C3634" s="227" t="inlineStr">
        <is>
          <t>Taxe sur la publicité</t>
        </is>
      </c>
      <c r="D3634" s="233" t="inlineStr">
        <is>
          <t>34</t>
        </is>
      </c>
      <c r="E3634" s="233" t="inlineStr">
        <is>
          <t>37</t>
        </is>
      </c>
      <c r="F3634" s="227" t="inlineStr">
        <is>
          <t>TIRR</t>
        </is>
      </c>
    </row>
    <row r="3635">
      <c r="A3635" s="227">
        <f>TL[[#This Row],[Société]]&amp;" - "&amp;TL[[#This Row],[Compte]]</f>
        <v/>
      </c>
      <c r="B3635" s="233" t="inlineStr">
        <is>
          <t>637100</t>
        </is>
      </c>
      <c r="C3635" s="227" t="inlineStr">
        <is>
          <t>Contribution sociale de solidarité</t>
        </is>
      </c>
      <c r="D3635" s="233" t="inlineStr">
        <is>
          <t>34</t>
        </is>
      </c>
      <c r="E3635" s="233" t="inlineStr">
        <is>
          <t>37</t>
        </is>
      </c>
      <c r="F3635" s="227" t="inlineStr">
        <is>
          <t>TIRR</t>
        </is>
      </c>
    </row>
    <row r="3636">
      <c r="A3636" s="227">
        <f>TL[[#This Row],[Société]]&amp;" - "&amp;TL[[#This Row],[Compte]]</f>
        <v/>
      </c>
      <c r="B3636" s="233" t="inlineStr">
        <is>
          <t>637110</t>
        </is>
      </c>
      <c r="C3636" s="227" t="inlineStr">
        <is>
          <t>Autres impôts et taxes</t>
        </is>
      </c>
      <c r="D3636" s="233" t="inlineStr">
        <is>
          <t>34</t>
        </is>
      </c>
      <c r="E3636" s="233" t="inlineStr">
        <is>
          <t>37</t>
        </is>
      </c>
      <c r="F3636" s="227" t="inlineStr">
        <is>
          <t>TIRR</t>
        </is>
      </c>
    </row>
    <row r="3637">
      <c r="A3637" s="227">
        <f>TL[[#This Row],[Société]]&amp;" - "&amp;TL[[#This Row],[Compte]]</f>
        <v/>
      </c>
      <c r="B3637" s="233" t="inlineStr">
        <is>
          <t>637800</t>
        </is>
      </c>
      <c r="C3637" s="227" t="inlineStr">
        <is>
          <t>Agefip</t>
        </is>
      </c>
      <c r="D3637" s="233" t="inlineStr">
        <is>
          <t>34</t>
        </is>
      </c>
      <c r="E3637" s="233" t="inlineStr">
        <is>
          <t>37</t>
        </is>
      </c>
      <c r="F3637" s="227" t="inlineStr">
        <is>
          <t>TIRR</t>
        </is>
      </c>
    </row>
    <row r="3638">
      <c r="A3638" s="227">
        <f>TL[[#This Row],[Société]]&amp;" - "&amp;TL[[#This Row],[Compte]]</f>
        <v/>
      </c>
      <c r="B3638" s="233" t="inlineStr">
        <is>
          <t>637810</t>
        </is>
      </c>
      <c r="C3638" s="227" t="inlineStr">
        <is>
          <t>Contribution boissons sucrées</t>
        </is>
      </c>
      <c r="D3638" s="233" t="inlineStr">
        <is>
          <t>09</t>
        </is>
      </c>
      <c r="E3638" s="233" t="inlineStr">
        <is>
          <t>03</t>
        </is>
      </c>
      <c r="F3638" s="227" t="inlineStr">
        <is>
          <t>TIRR</t>
        </is>
      </c>
    </row>
    <row r="3639">
      <c r="A3639" s="227">
        <f>TL[[#This Row],[Société]]&amp;" - "&amp;TL[[#This Row],[Compte]]</f>
        <v/>
      </c>
      <c r="B3639" s="233" t="inlineStr">
        <is>
          <t>641101</t>
        </is>
      </c>
      <c r="C3639" s="227" t="inlineStr">
        <is>
          <t>Rémunération équipiers</t>
        </is>
      </c>
      <c r="D3639" s="233" t="inlineStr">
        <is>
          <t>10</t>
        </is>
      </c>
      <c r="E3639" s="233" t="inlineStr">
        <is>
          <t>08</t>
        </is>
      </c>
      <c r="F3639" s="227" t="inlineStr">
        <is>
          <t>TIRR</t>
        </is>
      </c>
    </row>
    <row r="3640">
      <c r="A3640" s="227">
        <f>TL[[#This Row],[Société]]&amp;" - "&amp;TL[[#This Row],[Compte]]</f>
        <v/>
      </c>
      <c r="B3640" s="233" t="inlineStr">
        <is>
          <t>641104</t>
        </is>
      </c>
      <c r="C3640" s="227" t="inlineStr">
        <is>
          <t>Rémunération assistants</t>
        </is>
      </c>
      <c r="D3640" s="233" t="inlineStr">
        <is>
          <t>11</t>
        </is>
      </c>
      <c r="E3640" s="233" t="inlineStr">
        <is>
          <t>10</t>
        </is>
      </c>
      <c r="F3640" s="227" t="inlineStr">
        <is>
          <t>TIRR</t>
        </is>
      </c>
    </row>
    <row r="3641">
      <c r="A3641" s="227">
        <f>TL[[#This Row],[Société]]&amp;" - "&amp;TL[[#This Row],[Compte]]</f>
        <v/>
      </c>
      <c r="B3641" s="233" t="inlineStr">
        <is>
          <t>641204</t>
        </is>
      </c>
      <c r="C3641" s="227" t="inlineStr">
        <is>
          <t>An voiture</t>
        </is>
      </c>
      <c r="D3641" s="233" t="inlineStr">
        <is>
          <t>11</t>
        </is>
      </c>
      <c r="E3641" s="233" t="inlineStr">
        <is>
          <t>10</t>
        </is>
      </c>
      <c r="F3641" s="227" t="inlineStr">
        <is>
          <t>TIRR</t>
        </is>
      </c>
    </row>
    <row r="3642">
      <c r="A3642" s="227">
        <f>TL[[#This Row],[Société]]&amp;" - "&amp;TL[[#This Row],[Compte]]</f>
        <v/>
      </c>
      <c r="B3642" s="233" t="inlineStr">
        <is>
          <t>641220</t>
        </is>
      </c>
      <c r="C3642" s="227" t="inlineStr">
        <is>
          <t>Provisions congés payés assistants</t>
        </is>
      </c>
      <c r="D3642" s="233" t="inlineStr">
        <is>
          <t>11</t>
        </is>
      </c>
      <c r="E3642" s="233" t="inlineStr">
        <is>
          <t>10</t>
        </is>
      </c>
      <c r="F3642" s="227" t="inlineStr">
        <is>
          <t>TIRR</t>
        </is>
      </c>
    </row>
    <row r="3643">
      <c r="A3643" s="227">
        <f>TL[[#This Row],[Société]]&amp;" - "&amp;TL[[#This Row],[Compte]]</f>
        <v/>
      </c>
      <c r="B3643" s="233" t="inlineStr">
        <is>
          <t>641230</t>
        </is>
      </c>
      <c r="C3643" s="227" t="inlineStr">
        <is>
          <t>Provisions congés payés équipiers</t>
        </is>
      </c>
      <c r="D3643" s="233" t="inlineStr">
        <is>
          <t>10</t>
        </is>
      </c>
      <c r="E3643" s="233" t="inlineStr">
        <is>
          <t>08</t>
        </is>
      </c>
      <c r="F3643" s="227" t="inlineStr">
        <is>
          <t>TIRR</t>
        </is>
      </c>
    </row>
    <row r="3644">
      <c r="A3644" s="227">
        <f>TL[[#This Row],[Société]]&amp;" - "&amp;TL[[#This Row],[Compte]]</f>
        <v/>
      </c>
      <c r="B3644" s="233" t="inlineStr">
        <is>
          <t>641340</t>
        </is>
      </c>
      <c r="C3644" s="227" t="inlineStr">
        <is>
          <t>Provision primes</t>
        </is>
      </c>
      <c r="D3644" s="233" t="inlineStr">
        <is>
          <t>11</t>
        </is>
      </c>
      <c r="E3644" s="233" t="inlineStr">
        <is>
          <t>10</t>
        </is>
      </c>
      <c r="F3644" s="227" t="inlineStr">
        <is>
          <t>TIRR</t>
        </is>
      </c>
    </row>
    <row r="3645">
      <c r="A3645" s="227">
        <f>TL[[#This Row],[Société]]&amp;" - "&amp;TL[[#This Row],[Compte]]</f>
        <v/>
      </c>
      <c r="B3645" s="233" t="inlineStr">
        <is>
          <t>641341</t>
        </is>
      </c>
      <c r="C3645" s="227" t="inlineStr">
        <is>
          <t>rupture convent equipiers</t>
        </is>
      </c>
      <c r="D3645" s="233" t="inlineStr">
        <is>
          <t>10</t>
        </is>
      </c>
      <c r="E3645" s="233" t="inlineStr">
        <is>
          <t>08</t>
        </is>
      </c>
      <c r="F3645" s="227" t="inlineStr">
        <is>
          <t>TIRR</t>
        </is>
      </c>
    </row>
    <row r="3646">
      <c r="A3646" s="227">
        <f>TL[[#This Row],[Société]]&amp;" - "&amp;TL[[#This Row],[Compte]]</f>
        <v/>
      </c>
      <c r="B3646" s="233" t="inlineStr">
        <is>
          <t>641401</t>
        </is>
      </c>
      <c r="C3646" s="227" t="inlineStr">
        <is>
          <t>An équipiers</t>
        </is>
      </c>
      <c r="D3646" s="233" t="inlineStr">
        <is>
          <t>10</t>
        </is>
      </c>
      <c r="E3646" s="233" t="inlineStr">
        <is>
          <t>08</t>
        </is>
      </c>
      <c r="F3646" s="227" t="inlineStr">
        <is>
          <t>TIRR</t>
        </is>
      </c>
    </row>
    <row r="3647">
      <c r="A3647" s="227">
        <f>TL[[#This Row],[Société]]&amp;" - "&amp;TL[[#This Row],[Compte]]</f>
        <v/>
      </c>
      <c r="B3647" s="233" t="inlineStr">
        <is>
          <t>641402</t>
        </is>
      </c>
      <c r="C3647" s="227" t="inlineStr">
        <is>
          <t>Avantage en nature véhicule</t>
        </is>
      </c>
      <c r="D3647" s="233" t="inlineStr">
        <is>
          <t>11</t>
        </is>
      </c>
      <c r="E3647" s="233" t="inlineStr">
        <is>
          <t>10</t>
        </is>
      </c>
      <c r="F3647" s="227" t="inlineStr">
        <is>
          <t>TIRR</t>
        </is>
      </c>
    </row>
    <row r="3648">
      <c r="A3648" s="227">
        <f>TL[[#This Row],[Société]]&amp;" - "&amp;TL[[#This Row],[Compte]]</f>
        <v/>
      </c>
      <c r="B3648" s="233" t="inlineStr">
        <is>
          <t>641404</t>
        </is>
      </c>
      <c r="C3648" s="227" t="inlineStr">
        <is>
          <t>An assistants</t>
        </is>
      </c>
      <c r="D3648" s="233" t="inlineStr">
        <is>
          <t>11</t>
        </is>
      </c>
      <c r="E3648" s="233" t="inlineStr">
        <is>
          <t>10</t>
        </is>
      </c>
      <c r="F3648" s="227" t="inlineStr">
        <is>
          <t>TIRR</t>
        </is>
      </c>
    </row>
    <row r="3649">
      <c r="A3649" s="227">
        <f>TL[[#This Row],[Société]]&amp;" - "&amp;TL[[#This Row],[Compte]]</f>
        <v/>
      </c>
      <c r="B3649" s="233" t="inlineStr">
        <is>
          <t>641410</t>
        </is>
      </c>
      <c r="C3649" s="227" t="inlineStr">
        <is>
          <t>Ind blanchisserie équipiers</t>
        </is>
      </c>
      <c r="D3649" s="233" t="inlineStr">
        <is>
          <t>10</t>
        </is>
      </c>
      <c r="E3649" s="233" t="inlineStr">
        <is>
          <t>08</t>
        </is>
      </c>
      <c r="F3649" s="227" t="inlineStr">
        <is>
          <t>TIRR</t>
        </is>
      </c>
    </row>
    <row r="3650">
      <c r="A3650" s="227">
        <f>TL[[#This Row],[Société]]&amp;" - "&amp;TL[[#This Row],[Compte]]</f>
        <v/>
      </c>
      <c r="B3650" s="233" t="inlineStr">
        <is>
          <t>641411</t>
        </is>
      </c>
      <c r="C3650" s="227" t="inlineStr">
        <is>
          <t>Ind blanch assistants npu</t>
        </is>
      </c>
      <c r="D3650" s="233" t="inlineStr">
        <is>
          <t>11</t>
        </is>
      </c>
      <c r="E3650" s="233" t="inlineStr">
        <is>
          <t>10</t>
        </is>
      </c>
      <c r="F3650" s="227" t="inlineStr">
        <is>
          <t>TIRR</t>
        </is>
      </c>
    </row>
    <row r="3651">
      <c r="A3651" s="227">
        <f>TL[[#This Row],[Société]]&amp;" - "&amp;TL[[#This Row],[Compte]]</f>
        <v/>
      </c>
      <c r="B3651" s="233" t="inlineStr">
        <is>
          <t>641412</t>
        </is>
      </c>
      <c r="C3651" s="227" t="inlineStr">
        <is>
          <t>Indem transport équipiers</t>
        </is>
      </c>
      <c r="D3651" s="233" t="inlineStr">
        <is>
          <t>10</t>
        </is>
      </c>
      <c r="E3651" s="233" t="inlineStr">
        <is>
          <t>08</t>
        </is>
      </c>
      <c r="F3651" s="227" t="inlineStr">
        <is>
          <t>TIRR</t>
        </is>
      </c>
    </row>
    <row r="3652">
      <c r="A3652" s="227">
        <f>TL[[#This Row],[Société]]&amp;" - "&amp;TL[[#This Row],[Compte]]</f>
        <v/>
      </c>
      <c r="B3652" s="233" t="inlineStr">
        <is>
          <t>641413</t>
        </is>
      </c>
      <c r="C3652" s="227" t="inlineStr">
        <is>
          <t>Ind transport assistant</t>
        </is>
      </c>
      <c r="D3652" s="233" t="inlineStr">
        <is>
          <t>11</t>
        </is>
      </c>
      <c r="E3652" s="233" t="inlineStr">
        <is>
          <t>10</t>
        </is>
      </c>
      <c r="F3652" s="227" t="inlineStr">
        <is>
          <t>TIRR</t>
        </is>
      </c>
    </row>
    <row r="3653">
      <c r="A3653" s="227">
        <f>TL[[#This Row],[Société]]&amp;" - "&amp;TL[[#This Row],[Compte]]</f>
        <v/>
      </c>
      <c r="B3653" s="233" t="inlineStr">
        <is>
          <t>641414</t>
        </is>
      </c>
      <c r="C3653" s="227" t="inlineStr">
        <is>
          <t>Ind blanchissage managers</t>
        </is>
      </c>
      <c r="D3653" s="233" t="inlineStr">
        <is>
          <t>11</t>
        </is>
      </c>
      <c r="E3653" s="233" t="inlineStr">
        <is>
          <t>10</t>
        </is>
      </c>
      <c r="F3653" s="227" t="inlineStr">
        <is>
          <t>TIRR</t>
        </is>
      </c>
    </row>
    <row r="3654">
      <c r="A3654" s="227">
        <f>TL[[#This Row],[Société]]&amp;" - "&amp;TL[[#This Row],[Compte]]</f>
        <v/>
      </c>
      <c r="B3654" s="233" t="inlineStr">
        <is>
          <t>641415</t>
        </is>
      </c>
      <c r="C3654" s="227" t="inlineStr">
        <is>
          <t>Indem licenciement equipiers</t>
        </is>
      </c>
      <c r="D3654" s="233" t="inlineStr">
        <is>
          <t>10</t>
        </is>
      </c>
      <c r="E3654" s="233" t="inlineStr">
        <is>
          <t>08</t>
        </is>
      </c>
      <c r="F3654" s="227" t="inlineStr">
        <is>
          <t>TIRR</t>
        </is>
      </c>
    </row>
    <row r="3655">
      <c r="A3655" s="227">
        <f>TL[[#This Row],[Société]]&amp;" - "&amp;TL[[#This Row],[Compte]]</f>
        <v/>
      </c>
      <c r="B3655" s="233" t="inlineStr">
        <is>
          <t>641416</t>
        </is>
      </c>
      <c r="C3655" s="227" t="inlineStr">
        <is>
          <t>Indem licenciement managers</t>
        </is>
      </c>
      <c r="D3655" s="233" t="inlineStr">
        <is>
          <t>39</t>
        </is>
      </c>
      <c r="E3655" s="233" t="inlineStr">
        <is>
          <t>10</t>
        </is>
      </c>
      <c r="F3655" s="227" t="inlineStr">
        <is>
          <t>TIRR</t>
        </is>
      </c>
    </row>
    <row r="3656">
      <c r="A3656" s="227">
        <f>TL[[#This Row],[Société]]&amp;" - "&amp;TL[[#This Row],[Compte]]</f>
        <v/>
      </c>
      <c r="B3656" s="233" t="inlineStr">
        <is>
          <t>645101</t>
        </is>
      </c>
      <c r="C3656" s="227" t="inlineStr">
        <is>
          <t>Urssaf équipiers</t>
        </is>
      </c>
      <c r="D3656" s="233" t="inlineStr">
        <is>
          <t>10</t>
        </is>
      </c>
      <c r="E3656" s="233" t="inlineStr">
        <is>
          <t>09</t>
        </is>
      </c>
      <c r="F3656" s="227" t="inlineStr">
        <is>
          <t>TIRR</t>
        </is>
      </c>
    </row>
    <row r="3657">
      <c r="A3657" s="227">
        <f>TL[[#This Row],[Société]]&amp;" - "&amp;TL[[#This Row],[Compte]]</f>
        <v/>
      </c>
      <c r="B3657" s="233" t="inlineStr">
        <is>
          <t>645104</t>
        </is>
      </c>
      <c r="C3657" s="227" t="inlineStr">
        <is>
          <t>Urssaf assistants</t>
        </is>
      </c>
      <c r="D3657" s="233" t="inlineStr">
        <is>
          <t>12</t>
        </is>
      </c>
      <c r="E3657" s="233" t="inlineStr">
        <is>
          <t>11</t>
        </is>
      </c>
      <c r="F3657" s="227" t="inlineStr">
        <is>
          <t>TIRR</t>
        </is>
      </c>
    </row>
    <row r="3658">
      <c r="A3658" s="227">
        <f>TL[[#This Row],[Société]]&amp;" - "&amp;TL[[#This Row],[Compte]]</f>
        <v/>
      </c>
      <c r="B3658" s="233" t="inlineStr">
        <is>
          <t>645301</t>
        </is>
      </c>
      <c r="C3658" s="227" t="inlineStr">
        <is>
          <t>Retraite équipiers</t>
        </is>
      </c>
      <c r="D3658" s="233" t="inlineStr">
        <is>
          <t>10</t>
        </is>
      </c>
      <c r="E3658" s="233" t="inlineStr">
        <is>
          <t>09</t>
        </is>
      </c>
      <c r="F3658" s="227" t="inlineStr">
        <is>
          <t>TIRR</t>
        </is>
      </c>
    </row>
    <row r="3659">
      <c r="A3659" s="227">
        <f>TL[[#This Row],[Société]]&amp;" - "&amp;TL[[#This Row],[Compte]]</f>
        <v/>
      </c>
      <c r="B3659" s="233" t="inlineStr">
        <is>
          <t>645304</t>
        </is>
      </c>
      <c r="C3659" s="227" t="inlineStr">
        <is>
          <t>Retraite assistants</t>
        </is>
      </c>
      <c r="D3659" s="233" t="inlineStr">
        <is>
          <t>12</t>
        </is>
      </c>
      <c r="E3659" s="233" t="inlineStr">
        <is>
          <t>11</t>
        </is>
      </c>
      <c r="F3659" s="227" t="inlineStr">
        <is>
          <t>TIRR</t>
        </is>
      </c>
    </row>
    <row r="3660">
      <c r="A3660" s="227">
        <f>TL[[#This Row],[Société]]&amp;" - "&amp;TL[[#This Row],[Compte]]</f>
        <v/>
      </c>
      <c r="B3660" s="233" t="inlineStr">
        <is>
          <t>645305</t>
        </is>
      </c>
      <c r="C3660" s="227" t="inlineStr">
        <is>
          <t>Retraite predica</t>
        </is>
      </c>
      <c r="D3660" s="233" t="inlineStr">
        <is>
          <t>12</t>
        </is>
      </c>
      <c r="E3660" s="233" t="inlineStr">
        <is>
          <t>11</t>
        </is>
      </c>
      <c r="F3660" s="227" t="inlineStr">
        <is>
          <t>TIRR</t>
        </is>
      </c>
    </row>
    <row r="3661">
      <c r="A3661" s="227">
        <f>TL[[#This Row],[Société]]&amp;" - "&amp;TL[[#This Row],[Compte]]</f>
        <v/>
      </c>
      <c r="B3661" s="233" t="inlineStr">
        <is>
          <t>645320</t>
        </is>
      </c>
      <c r="C3661" s="227" t="inlineStr">
        <is>
          <t>Cotis agirc patronales</t>
        </is>
      </c>
      <c r="D3661" s="233" t="inlineStr">
        <is>
          <t>12</t>
        </is>
      </c>
      <c r="E3661" s="233" t="inlineStr">
        <is>
          <t>11</t>
        </is>
      </c>
      <c r="F3661" s="227" t="inlineStr">
        <is>
          <t>TIRR</t>
        </is>
      </c>
    </row>
    <row r="3662">
      <c r="A3662" s="227">
        <f>TL[[#This Row],[Société]]&amp;" - "&amp;TL[[#This Row],[Compte]]</f>
        <v/>
      </c>
      <c r="B3662" s="233" t="inlineStr">
        <is>
          <t>645401</t>
        </is>
      </c>
      <c r="C3662" s="227" t="inlineStr">
        <is>
          <t>Pôle emploi équipiers</t>
        </is>
      </c>
      <c r="D3662" s="233" t="inlineStr">
        <is>
          <t>10</t>
        </is>
      </c>
      <c r="E3662" s="233" t="inlineStr">
        <is>
          <t>09</t>
        </is>
      </c>
      <c r="F3662" s="227" t="inlineStr">
        <is>
          <t>TIRR</t>
        </is>
      </c>
    </row>
    <row r="3663">
      <c r="A3663" s="227">
        <f>TL[[#This Row],[Société]]&amp;" - "&amp;TL[[#This Row],[Compte]]</f>
        <v/>
      </c>
      <c r="B3663" s="233" t="inlineStr">
        <is>
          <t>645404</t>
        </is>
      </c>
      <c r="C3663" s="227" t="inlineStr">
        <is>
          <t>Pôle emploi assistants</t>
        </is>
      </c>
      <c r="D3663" s="233" t="inlineStr">
        <is>
          <t>12</t>
        </is>
      </c>
      <c r="E3663" s="233" t="inlineStr">
        <is>
          <t>11</t>
        </is>
      </c>
      <c r="F3663" s="227" t="inlineStr">
        <is>
          <t>TIRR</t>
        </is>
      </c>
    </row>
    <row r="3664">
      <c r="A3664" s="227">
        <f>TL[[#This Row],[Société]]&amp;" - "&amp;TL[[#This Row],[Compte]]</f>
        <v/>
      </c>
      <c r="B3664" s="233" t="inlineStr">
        <is>
          <t>645520</t>
        </is>
      </c>
      <c r="C3664" s="227" t="inlineStr">
        <is>
          <t>Mutuelle assistants</t>
        </is>
      </c>
      <c r="D3664" s="233" t="inlineStr">
        <is>
          <t>12</t>
        </is>
      </c>
      <c r="E3664" s="233" t="inlineStr">
        <is>
          <t>11</t>
        </is>
      </c>
      <c r="F3664" s="227" t="inlineStr">
        <is>
          <t>TIRR</t>
        </is>
      </c>
    </row>
    <row r="3665">
      <c r="A3665" s="227">
        <f>TL[[#This Row],[Société]]&amp;" - "&amp;TL[[#This Row],[Compte]]</f>
        <v/>
      </c>
      <c r="B3665" s="233" t="inlineStr">
        <is>
          <t>645530</t>
        </is>
      </c>
      <c r="C3665" s="227" t="inlineStr">
        <is>
          <t>Mutuelle équipiers</t>
        </is>
      </c>
      <c r="D3665" s="233" t="inlineStr">
        <is>
          <t>10</t>
        </is>
      </c>
      <c r="E3665" s="233" t="inlineStr">
        <is>
          <t>09</t>
        </is>
      </c>
      <c r="F3665" s="227" t="inlineStr">
        <is>
          <t>TIRR</t>
        </is>
      </c>
    </row>
    <row r="3666">
      <c r="A3666" s="227">
        <f>TL[[#This Row],[Société]]&amp;" - "&amp;TL[[#This Row],[Compte]]</f>
        <v/>
      </c>
      <c r="B3666" s="233" t="inlineStr">
        <is>
          <t>645800</t>
        </is>
      </c>
      <c r="C3666" s="227" t="inlineStr">
        <is>
          <t>Charges sur cp prov assistants</t>
        </is>
      </c>
      <c r="D3666" s="233" t="inlineStr">
        <is>
          <t>12</t>
        </is>
      </c>
      <c r="E3666" s="233" t="inlineStr">
        <is>
          <t>11</t>
        </is>
      </c>
      <c r="F3666" s="227" t="inlineStr">
        <is>
          <t>TIRR</t>
        </is>
      </c>
    </row>
    <row r="3667">
      <c r="A3667" s="227">
        <f>TL[[#This Row],[Société]]&amp;" - "&amp;TL[[#This Row],[Compte]]</f>
        <v/>
      </c>
      <c r="B3667" s="233" t="inlineStr">
        <is>
          <t>645810</t>
        </is>
      </c>
      <c r="C3667" s="227" t="inlineStr">
        <is>
          <t>Charges sur cp prov équipiers</t>
        </is>
      </c>
      <c r="D3667" s="233" t="inlineStr">
        <is>
          <t>10</t>
        </is>
      </c>
      <c r="E3667" s="233" t="inlineStr">
        <is>
          <t>09</t>
        </is>
      </c>
      <c r="F3667" s="227" t="inlineStr">
        <is>
          <t>TIRR</t>
        </is>
      </c>
    </row>
    <row r="3668">
      <c r="A3668" s="227">
        <f>TL[[#This Row],[Société]]&amp;" - "&amp;TL[[#This Row],[Compte]]</f>
        <v/>
      </c>
      <c r="B3668" s="233" t="inlineStr">
        <is>
          <t>645820</t>
        </is>
      </c>
      <c r="C3668" s="227" t="inlineStr">
        <is>
          <t>Charges sociales sur congés payés</t>
        </is>
      </c>
      <c r="D3668" s="233" t="inlineStr">
        <is>
          <t>12</t>
        </is>
      </c>
      <c r="E3668" s="233" t="inlineStr">
        <is>
          <t>11</t>
        </is>
      </c>
      <c r="F3668" s="227" t="inlineStr">
        <is>
          <t>TIRR</t>
        </is>
      </c>
    </row>
    <row r="3669">
      <c r="A3669" s="227">
        <f>TL[[#This Row],[Société]]&amp;" - "&amp;TL[[#This Row],[Compte]]</f>
        <v/>
      </c>
      <c r="B3669" s="233" t="inlineStr">
        <is>
          <t>645830</t>
        </is>
      </c>
      <c r="C3669" s="227" t="inlineStr">
        <is>
          <t>Charges sociales sur cp équip</t>
        </is>
      </c>
      <c r="D3669" s="233" t="inlineStr">
        <is>
          <t>10</t>
        </is>
      </c>
      <c r="E3669" s="233" t="inlineStr">
        <is>
          <t>09</t>
        </is>
      </c>
      <c r="F3669" s="227" t="inlineStr">
        <is>
          <t>TIRR</t>
        </is>
      </c>
    </row>
    <row r="3670">
      <c r="A3670" s="227">
        <f>TL[[#This Row],[Société]]&amp;" - "&amp;TL[[#This Row],[Compte]]</f>
        <v/>
      </c>
      <c r="B3670" s="233" t="inlineStr">
        <is>
          <t>645863</t>
        </is>
      </c>
      <c r="C3670" s="227" t="inlineStr">
        <is>
          <t>Charges sur primes provisionnées</t>
        </is>
      </c>
      <c r="D3670" s="233" t="inlineStr">
        <is>
          <t>12</t>
        </is>
      </c>
      <c r="E3670" s="233" t="inlineStr">
        <is>
          <t>11</t>
        </is>
      </c>
      <c r="F3670" s="227" t="inlineStr">
        <is>
          <t>TIRR</t>
        </is>
      </c>
    </row>
    <row r="3671">
      <c r="A3671" s="227">
        <f>TL[[#This Row],[Société]]&amp;" - "&amp;TL[[#This Row],[Compte]]</f>
        <v/>
      </c>
      <c r="B3671" s="233" t="inlineStr">
        <is>
          <t>645920</t>
        </is>
      </c>
      <c r="C3671" s="227" t="inlineStr">
        <is>
          <t>Prévoyance assistants</t>
        </is>
      </c>
      <c r="D3671" s="233" t="inlineStr">
        <is>
          <t>12</t>
        </is>
      </c>
      <c r="E3671" s="233" t="inlineStr">
        <is>
          <t>11</t>
        </is>
      </c>
      <c r="F3671" s="227" t="inlineStr">
        <is>
          <t>TIRR</t>
        </is>
      </c>
    </row>
    <row r="3672">
      <c r="A3672" s="227">
        <f>TL[[#This Row],[Société]]&amp;" - "&amp;TL[[#This Row],[Compte]]</f>
        <v/>
      </c>
      <c r="B3672" s="233" t="inlineStr">
        <is>
          <t>645930</t>
        </is>
      </c>
      <c r="C3672" s="227" t="inlineStr">
        <is>
          <t>Prévoyance équipiers</t>
        </is>
      </c>
      <c r="D3672" s="233" t="inlineStr">
        <is>
          <t>10</t>
        </is>
      </c>
      <c r="E3672" s="233" t="inlineStr">
        <is>
          <t>09</t>
        </is>
      </c>
      <c r="F3672" s="227" t="inlineStr">
        <is>
          <t>TIRR</t>
        </is>
      </c>
    </row>
    <row r="3673">
      <c r="A3673" s="227">
        <f>TL[[#This Row],[Société]]&amp;" - "&amp;TL[[#This Row],[Compte]]</f>
        <v/>
      </c>
      <c r="B3673" s="233" t="inlineStr">
        <is>
          <t>647516</t>
        </is>
      </c>
      <c r="C3673" s="227" t="inlineStr">
        <is>
          <t>Médecine du travail</t>
        </is>
      </c>
      <c r="D3673" s="233" t="inlineStr">
        <is>
          <t>16</t>
        </is>
      </c>
      <c r="E3673" s="233" t="inlineStr">
        <is>
          <t>19</t>
        </is>
      </c>
      <c r="F3673" s="227" t="inlineStr">
        <is>
          <t>TIRR</t>
        </is>
      </c>
    </row>
    <row r="3674">
      <c r="A3674" s="227">
        <f>TL[[#This Row],[Société]]&amp;" - "&amp;TL[[#This Row],[Compte]]</f>
        <v/>
      </c>
      <c r="B3674" s="233" t="inlineStr">
        <is>
          <t>649000</t>
        </is>
      </c>
      <c r="C3674" s="227" t="inlineStr">
        <is>
          <t>Crédit d'impôt compétitivité entrep</t>
        </is>
      </c>
      <c r="F3674" s="227" t="inlineStr">
        <is>
          <t>TIRR</t>
        </is>
      </c>
    </row>
    <row r="3675">
      <c r="A3675" s="227">
        <f>TL[[#This Row],[Société]]&amp;" - "&amp;TL[[#This Row],[Compte]]</f>
        <v/>
      </c>
      <c r="B3675" s="233" t="inlineStr">
        <is>
          <t>651001</t>
        </is>
      </c>
      <c r="C3675" s="227" t="inlineStr">
        <is>
          <t>Menu cine</t>
        </is>
      </c>
      <c r="F3675" s="227" t="inlineStr">
        <is>
          <t>TIRR</t>
        </is>
      </c>
    </row>
    <row r="3676">
      <c r="A3676" s="227">
        <f>TL[[#This Row],[Société]]&amp;" - "&amp;TL[[#This Row],[Compte]]</f>
        <v/>
      </c>
      <c r="B3676" s="233" t="inlineStr">
        <is>
          <t>651003</t>
        </is>
      </c>
      <c r="C3676" s="227" t="inlineStr">
        <is>
          <t>Redevance sacem - spré npu</t>
        </is>
      </c>
      <c r="D3676" s="233" t="inlineStr">
        <is>
          <t>16</t>
        </is>
      </c>
      <c r="E3676" s="233" t="inlineStr">
        <is>
          <t>19</t>
        </is>
      </c>
      <c r="F3676" s="227" t="inlineStr">
        <is>
          <t>TIRR</t>
        </is>
      </c>
    </row>
    <row r="3677">
      <c r="A3677" s="227">
        <f>TL[[#This Row],[Société]]&amp;" - "&amp;TL[[#This Row],[Compte]]</f>
        <v/>
      </c>
      <c r="B3677" s="233" t="inlineStr">
        <is>
          <t>651031</t>
        </is>
      </c>
      <c r="C3677" s="227" t="inlineStr">
        <is>
          <t>Redevance service</t>
        </is>
      </c>
      <c r="D3677" s="233" t="inlineStr">
        <is>
          <t>31</t>
        </is>
      </c>
      <c r="E3677" s="233" t="inlineStr">
        <is>
          <t>34</t>
        </is>
      </c>
      <c r="F3677" s="227" t="inlineStr">
        <is>
          <t>TIRR</t>
        </is>
      </c>
    </row>
    <row r="3678">
      <c r="A3678" s="227">
        <f>TL[[#This Row],[Société]]&amp;" - "&amp;TL[[#This Row],[Compte]]</f>
        <v/>
      </c>
      <c r="B3678" s="233" t="inlineStr">
        <is>
          <t>651200</t>
        </is>
      </c>
      <c r="C3678" s="227" t="inlineStr">
        <is>
          <t>Avoirs happy meals (14.5%)</t>
        </is>
      </c>
      <c r="D3678" s="233" t="inlineStr">
        <is>
          <t>30</t>
        </is>
      </c>
      <c r="E3678" s="233" t="inlineStr">
        <is>
          <t>31</t>
        </is>
      </c>
      <c r="F3678" s="227" t="inlineStr">
        <is>
          <t>TIRR</t>
        </is>
      </c>
    </row>
    <row r="3679">
      <c r="A3679" s="227">
        <f>TL[[#This Row],[Société]]&amp;" - "&amp;TL[[#This Row],[Compte]]</f>
        <v/>
      </c>
      <c r="B3679" s="233" t="inlineStr">
        <is>
          <t>651210</t>
        </is>
      </c>
      <c r="C3679" s="227" t="inlineStr">
        <is>
          <t>Avoirs happy meals (5%)</t>
        </is>
      </c>
      <c r="D3679" s="233" t="inlineStr">
        <is>
          <t>31</t>
        </is>
      </c>
      <c r="E3679" s="233" t="inlineStr">
        <is>
          <t>31</t>
        </is>
      </c>
      <c r="F3679" s="227" t="inlineStr">
        <is>
          <t>TIRR</t>
        </is>
      </c>
    </row>
    <row r="3680">
      <c r="A3680" s="227">
        <f>TL[[#This Row],[Société]]&amp;" - "&amp;TL[[#This Row],[Compte]]</f>
        <v/>
      </c>
      <c r="B3680" s="233" t="inlineStr">
        <is>
          <t>651300</t>
        </is>
      </c>
      <c r="C3680" s="227" t="inlineStr">
        <is>
          <t>Avoirs mc ciné</t>
        </is>
      </c>
      <c r="D3680" s="233" t="inlineStr">
        <is>
          <t>30</t>
        </is>
      </c>
      <c r="E3680" s="233" t="inlineStr">
        <is>
          <t>31</t>
        </is>
      </c>
      <c r="F3680" s="227" t="inlineStr">
        <is>
          <t>TIRR</t>
        </is>
      </c>
    </row>
    <row r="3681">
      <c r="A3681" s="227">
        <f>TL[[#This Row],[Société]]&amp;" - "&amp;TL[[#This Row],[Compte]]</f>
        <v/>
      </c>
      <c r="B3681" s="233" t="inlineStr">
        <is>
          <t>658000</t>
        </is>
      </c>
      <c r="C3681" s="227" t="inlineStr">
        <is>
          <t>Charges diverses gestion courante</t>
        </is>
      </c>
      <c r="D3681" s="233" t="inlineStr">
        <is>
          <t>39</t>
        </is>
      </c>
      <c r="E3681" s="233" t="inlineStr">
        <is>
          <t>40</t>
        </is>
      </c>
      <c r="F3681" s="227" t="inlineStr">
        <is>
          <t>TIRR</t>
        </is>
      </c>
    </row>
    <row r="3682">
      <c r="A3682" s="227">
        <f>TL[[#This Row],[Société]]&amp;" - "&amp;TL[[#This Row],[Compte]]</f>
        <v/>
      </c>
      <c r="B3682" s="233" t="inlineStr">
        <is>
          <t>661100</t>
        </is>
      </c>
      <c r="C3682" s="227" t="inlineStr">
        <is>
          <t>Intérêts emprunt CRCA</t>
        </is>
      </c>
      <c r="D3682" s="233" t="inlineStr">
        <is>
          <t>37</t>
        </is>
      </c>
      <c r="E3682" s="233" t="inlineStr">
        <is>
          <t>42</t>
        </is>
      </c>
      <c r="F3682" s="227" t="inlineStr">
        <is>
          <t>TIRR</t>
        </is>
      </c>
    </row>
    <row r="3683">
      <c r="A3683" s="227">
        <f>TL[[#This Row],[Société]]&amp;" - "&amp;TL[[#This Row],[Compte]]</f>
        <v/>
      </c>
      <c r="B3683" s="233" t="inlineStr">
        <is>
          <t>661500</t>
        </is>
      </c>
      <c r="C3683" s="227" t="inlineStr">
        <is>
          <t>Intérêts comptes courants associés</t>
        </is>
      </c>
      <c r="D3683" s="233" t="inlineStr">
        <is>
          <t>37</t>
        </is>
      </c>
      <c r="E3683" s="233" t="inlineStr">
        <is>
          <t>17</t>
        </is>
      </c>
      <c r="F3683" s="227" t="inlineStr">
        <is>
          <t>TIRR</t>
        </is>
      </c>
    </row>
    <row r="3684">
      <c r="A3684" s="227">
        <f>TL[[#This Row],[Société]]&amp;" - "&amp;TL[[#This Row],[Compte]]</f>
        <v/>
      </c>
      <c r="B3684" s="233" t="inlineStr">
        <is>
          <t>661600</t>
        </is>
      </c>
      <c r="C3684" s="227" t="inlineStr">
        <is>
          <t>Charges d interets</t>
        </is>
      </c>
      <c r="D3684" s="233" t="inlineStr">
        <is>
          <t>37</t>
        </is>
      </c>
      <c r="E3684" s="233" t="inlineStr">
        <is>
          <t>17</t>
        </is>
      </c>
      <c r="F3684" s="227" t="inlineStr">
        <is>
          <t>TIRR</t>
        </is>
      </c>
    </row>
    <row r="3685">
      <c r="A3685" s="227">
        <f>TL[[#This Row],[Société]]&amp;" - "&amp;TL[[#This Row],[Compte]]</f>
        <v/>
      </c>
      <c r="B3685" s="233" t="inlineStr">
        <is>
          <t>661800</t>
        </is>
      </c>
      <c r="C3685" s="227" t="inlineStr">
        <is>
          <t>Intérêts des autres dettes</t>
        </is>
      </c>
      <c r="D3685" s="233" t="inlineStr">
        <is>
          <t>37</t>
        </is>
      </c>
      <c r="E3685" s="233" t="inlineStr">
        <is>
          <t>42</t>
        </is>
      </c>
      <c r="F3685" s="227" t="inlineStr">
        <is>
          <t>TIRR</t>
        </is>
      </c>
    </row>
    <row r="3686">
      <c r="A3686" s="227">
        <f>TL[[#This Row],[Société]]&amp;" - "&amp;TL[[#This Row],[Compte]]</f>
        <v/>
      </c>
      <c r="B3686" s="233" t="inlineStr">
        <is>
          <t>661900</t>
        </is>
      </c>
      <c r="C3686" s="227" t="inlineStr">
        <is>
          <t>Commissions de garantie PGE</t>
        </is>
      </c>
      <c r="D3686" s="233" t="inlineStr">
        <is>
          <t>37</t>
        </is>
      </c>
      <c r="E3686" s="233" t="inlineStr">
        <is>
          <t>42</t>
        </is>
      </c>
      <c r="F3686" s="227" t="inlineStr">
        <is>
          <t>TIRR</t>
        </is>
      </c>
    </row>
    <row r="3687">
      <c r="A3687" s="227">
        <f>TL[[#This Row],[Société]]&amp;" - "&amp;TL[[#This Row],[Compte]]</f>
        <v/>
      </c>
      <c r="B3687" s="233" t="inlineStr">
        <is>
          <t>671100</t>
        </is>
      </c>
      <c r="C3687" s="227" t="inlineStr">
        <is>
          <t>Ecarts de caisse</t>
        </is>
      </c>
      <c r="D3687" s="233" t="inlineStr">
        <is>
          <t>22</t>
        </is>
      </c>
      <c r="E3687" s="233" t="inlineStr">
        <is>
          <t>27</t>
        </is>
      </c>
      <c r="F3687" s="227" t="inlineStr">
        <is>
          <t>TIRR</t>
        </is>
      </c>
    </row>
    <row r="3688">
      <c r="A3688" s="227">
        <f>TL[[#This Row],[Société]]&amp;" - "&amp;TL[[#This Row],[Compte]]</f>
        <v/>
      </c>
      <c r="B3688" s="233" t="inlineStr">
        <is>
          <t>671300</t>
        </is>
      </c>
      <c r="C3688" s="227" t="inlineStr">
        <is>
          <t>Dons et libéralités</t>
        </is>
      </c>
      <c r="D3688" s="233" t="inlineStr">
        <is>
          <t>39</t>
        </is>
      </c>
      <c r="E3688" s="233" t="inlineStr">
        <is>
          <t>45</t>
        </is>
      </c>
      <c r="F3688" s="227" t="inlineStr">
        <is>
          <t>TIRR</t>
        </is>
      </c>
    </row>
    <row r="3689">
      <c r="A3689" s="227">
        <f>TL[[#This Row],[Société]]&amp;" - "&amp;TL[[#This Row],[Compte]]</f>
        <v/>
      </c>
      <c r="B3689" s="233" t="inlineStr">
        <is>
          <t>671310</t>
        </is>
      </c>
      <c r="C3689" s="227" t="inlineStr">
        <is>
          <t>Gie</t>
        </is>
      </c>
      <c r="D3689" s="233" t="inlineStr">
        <is>
          <t>39</t>
        </is>
      </c>
      <c r="E3689" s="233" t="inlineStr">
        <is>
          <t>45</t>
        </is>
      </c>
      <c r="F3689" s="227" t="inlineStr">
        <is>
          <t>TIRR</t>
        </is>
      </c>
    </row>
    <row r="3690">
      <c r="A3690" s="227">
        <f>TL[[#This Row],[Société]]&amp;" - "&amp;TL[[#This Row],[Compte]]</f>
        <v/>
      </c>
      <c r="B3690" s="233" t="inlineStr">
        <is>
          <t>671320</t>
        </is>
      </c>
      <c r="C3690" s="227" t="inlineStr">
        <is>
          <t>charges exceptionnelles ex anterieu</t>
        </is>
      </c>
      <c r="D3690" s="233" t="inlineStr">
        <is>
          <t>39</t>
        </is>
      </c>
      <c r="E3690" s="233" t="inlineStr">
        <is>
          <t>45</t>
        </is>
      </c>
      <c r="F3690" s="227" t="inlineStr">
        <is>
          <t>TIRR</t>
        </is>
      </c>
    </row>
    <row r="3691">
      <c r="A3691" s="227">
        <f>TL[[#This Row],[Société]]&amp;" - "&amp;TL[[#This Row],[Compte]]</f>
        <v/>
      </c>
      <c r="B3691" s="233" t="inlineStr">
        <is>
          <t>675100</t>
        </is>
      </c>
      <c r="C3691" s="227" t="inlineStr">
        <is>
          <t>VNC actifs cédés - Immo incorp.</t>
        </is>
      </c>
      <c r="F3691" s="227" t="inlineStr">
        <is>
          <t>TIRR</t>
        </is>
      </c>
    </row>
    <row r="3692">
      <c r="A3692" s="227">
        <f>TL[[#This Row],[Société]]&amp;" - "&amp;TL[[#This Row],[Compte]]</f>
        <v/>
      </c>
      <c r="B3692" s="233" t="inlineStr">
        <is>
          <t>675200</t>
        </is>
      </c>
      <c r="C3692" s="227" t="inlineStr">
        <is>
          <t>Vnc actifs cédés - immo corporelles</t>
        </is>
      </c>
      <c r="F3692" s="227" t="inlineStr">
        <is>
          <t>TIRR</t>
        </is>
      </c>
    </row>
    <row r="3693">
      <c r="A3693" s="227">
        <f>TL[[#This Row],[Société]]&amp;" - "&amp;TL[[#This Row],[Compte]]</f>
        <v/>
      </c>
      <c r="B3693" s="233" t="inlineStr">
        <is>
          <t>675600</t>
        </is>
      </c>
      <c r="C3693" s="227" t="inlineStr">
        <is>
          <t>VNC actifs cédés - Immo financières</t>
        </is>
      </c>
      <c r="D3693" s="233" t="inlineStr">
        <is>
          <t>35</t>
        </is>
      </c>
      <c r="E3693" s="233" t="inlineStr">
        <is>
          <t>45</t>
        </is>
      </c>
      <c r="F3693" s="227" t="inlineStr">
        <is>
          <t>TIRR</t>
        </is>
      </c>
    </row>
    <row r="3694">
      <c r="A3694" s="227">
        <f>TL[[#This Row],[Société]]&amp;" - "&amp;TL[[#This Row],[Compte]]</f>
        <v/>
      </c>
      <c r="B3694" s="233" t="inlineStr">
        <is>
          <t>681110</t>
        </is>
      </c>
      <c r="C3694" s="227" t="inlineStr">
        <is>
          <t>Dot. amort. s/immobil. incorporel.</t>
        </is>
      </c>
      <c r="D3694" s="233" t="inlineStr">
        <is>
          <t>36</t>
        </is>
      </c>
      <c r="E3694" s="233" t="inlineStr">
        <is>
          <t>38</t>
        </is>
      </c>
      <c r="F3694" s="227" t="inlineStr">
        <is>
          <t>TIRR</t>
        </is>
      </c>
    </row>
    <row r="3695">
      <c r="A3695" s="227">
        <f>TL[[#This Row],[Société]]&amp;" - "&amp;TL[[#This Row],[Compte]]</f>
        <v/>
      </c>
      <c r="B3695" s="233" t="inlineStr">
        <is>
          <t>681120</t>
        </is>
      </c>
      <c r="C3695" s="227" t="inlineStr">
        <is>
          <t>Dotation aux amortissemen</t>
        </is>
      </c>
      <c r="D3695" s="233" t="inlineStr">
        <is>
          <t>36</t>
        </is>
      </c>
      <c r="E3695" s="233" t="inlineStr">
        <is>
          <t>38</t>
        </is>
      </c>
      <c r="F3695" s="227" t="inlineStr">
        <is>
          <t>TIRR</t>
        </is>
      </c>
    </row>
    <row r="3696">
      <c r="A3696" s="227">
        <f>TL[[#This Row],[Société]]&amp;" - "&amp;TL[[#This Row],[Compte]]</f>
        <v/>
      </c>
      <c r="B3696" s="233" t="inlineStr">
        <is>
          <t>681500</t>
        </is>
      </c>
      <c r="C3696" s="227" t="inlineStr">
        <is>
          <t>Dot prov risq et charges exploitati</t>
        </is>
      </c>
      <c r="D3696" s="233" t="inlineStr">
        <is>
          <t>36</t>
        </is>
      </c>
      <c r="E3696" s="233" t="inlineStr">
        <is>
          <t>38</t>
        </is>
      </c>
      <c r="F3696" s="227" t="inlineStr">
        <is>
          <t>TIRR</t>
        </is>
      </c>
    </row>
    <row r="3697">
      <c r="A3697" s="227">
        <f>TL[[#This Row],[Société]]&amp;" - "&amp;TL[[#This Row],[Compte]]</f>
        <v/>
      </c>
      <c r="B3697" s="233" t="inlineStr">
        <is>
          <t>681520</t>
        </is>
      </c>
      <c r="C3697" s="227" t="inlineStr">
        <is>
          <t>Charges sociales sur primes assista</t>
        </is>
      </c>
      <c r="D3697" s="233" t="inlineStr">
        <is>
          <t>11</t>
        </is>
      </c>
      <c r="E3697" s="233" t="inlineStr">
        <is>
          <t>10</t>
        </is>
      </c>
      <c r="F3697" s="227" t="inlineStr">
        <is>
          <t>TIRR</t>
        </is>
      </c>
    </row>
    <row r="3698">
      <c r="A3698" s="227">
        <f>TL[[#This Row],[Société]]&amp;" - "&amp;TL[[#This Row],[Compte]]</f>
        <v/>
      </c>
      <c r="B3698" s="233" t="inlineStr">
        <is>
          <t>681530</t>
        </is>
      </c>
      <c r="C3698" s="227" t="inlineStr">
        <is>
          <t>Charges sociales sur cp équipe</t>
        </is>
      </c>
      <c r="D3698" s="233" t="inlineStr">
        <is>
          <t>10</t>
        </is>
      </c>
      <c r="E3698" s="233" t="inlineStr">
        <is>
          <t>09</t>
        </is>
      </c>
      <c r="F3698" s="227" t="inlineStr">
        <is>
          <t>TIRR</t>
        </is>
      </c>
    </row>
    <row r="3699">
      <c r="A3699" s="227">
        <f>TL[[#This Row],[Société]]&amp;" - "&amp;TL[[#This Row],[Compte]]</f>
        <v/>
      </c>
      <c r="B3699" s="233" t="inlineStr">
        <is>
          <t>687110</t>
        </is>
      </c>
      <c r="C3699" s="227" t="inlineStr">
        <is>
          <t>Dot. amort. exce s/immob incorpore.</t>
        </is>
      </c>
      <c r="D3699" s="233" t="inlineStr">
        <is>
          <t>36</t>
        </is>
      </c>
      <c r="E3699" s="233" t="inlineStr">
        <is>
          <t>38</t>
        </is>
      </c>
      <c r="F3699" s="227" t="inlineStr">
        <is>
          <t>TIRR</t>
        </is>
      </c>
    </row>
    <row r="3700">
      <c r="A3700" s="227">
        <f>TL[[#This Row],[Société]]&amp;" - "&amp;TL[[#This Row],[Compte]]</f>
        <v/>
      </c>
      <c r="B3700" s="233" t="inlineStr">
        <is>
          <t>687120</t>
        </is>
      </c>
      <c r="C3700" s="227" t="inlineStr">
        <is>
          <t>Dotation aux amortissemen</t>
        </is>
      </c>
      <c r="D3700" s="233" t="inlineStr">
        <is>
          <t>36</t>
        </is>
      </c>
      <c r="E3700" s="233" t="inlineStr">
        <is>
          <t>38</t>
        </is>
      </c>
      <c r="F3700" s="227" t="inlineStr">
        <is>
          <t>TIRR</t>
        </is>
      </c>
    </row>
    <row r="3701">
      <c r="A3701" s="227">
        <f>TL[[#This Row],[Société]]&amp;" - "&amp;TL[[#This Row],[Compte]]</f>
        <v/>
      </c>
      <c r="B3701" s="233" t="inlineStr">
        <is>
          <t>687250</t>
        </is>
      </c>
      <c r="C3701" s="227" t="inlineStr">
        <is>
          <t>Dot. amortissements dérogatoires</t>
        </is>
      </c>
      <c r="F3701" s="227" t="inlineStr">
        <is>
          <t>TIRR</t>
        </is>
      </c>
    </row>
    <row r="3702">
      <c r="A3702" s="227">
        <f>TL[[#This Row],[Société]]&amp;" - "&amp;TL[[#This Row],[Compte]]</f>
        <v/>
      </c>
      <c r="B3702" s="233" t="inlineStr">
        <is>
          <t>695000</t>
        </is>
      </c>
      <c r="C3702" s="227" t="inlineStr">
        <is>
          <t>Impôts sur les bénéfices</t>
        </is>
      </c>
      <c r="F3702" s="227" t="inlineStr">
        <is>
          <t>TIRR</t>
        </is>
      </c>
    </row>
    <row r="3703">
      <c r="A3703" s="227">
        <f>TL[[#This Row],[Société]]&amp;" - "&amp;TL[[#This Row],[Compte]]</f>
        <v/>
      </c>
      <c r="B3703" s="233" t="inlineStr">
        <is>
          <t>695100</t>
        </is>
      </c>
      <c r="C3703" s="227" t="inlineStr">
        <is>
          <t>Crédits d'impôts</t>
        </is>
      </c>
      <c r="F3703" s="227" t="inlineStr">
        <is>
          <t>TIRR</t>
        </is>
      </c>
    </row>
    <row r="3704">
      <c r="A3704" s="227">
        <f>TL[[#This Row],[Société]]&amp;" - "&amp;TL[[#This Row],[Compte]]</f>
        <v/>
      </c>
      <c r="B3704" s="233" t="inlineStr">
        <is>
          <t>701001</t>
        </is>
      </c>
      <c r="C3704" s="227" t="inlineStr">
        <is>
          <t>Ventes non alimentaires</t>
        </is>
      </c>
      <c r="D3704" s="233" t="inlineStr">
        <is>
          <t>01</t>
        </is>
      </c>
      <c r="E3704" s="233" t="inlineStr">
        <is>
          <t>02</t>
        </is>
      </c>
      <c r="F3704" s="227" t="inlineStr">
        <is>
          <t>TIRR</t>
        </is>
      </c>
    </row>
    <row r="3705">
      <c r="A3705" s="227">
        <f>TL[[#This Row],[Société]]&amp;" - "&amp;TL[[#This Row],[Compte]]</f>
        <v/>
      </c>
      <c r="B3705" s="233" t="inlineStr">
        <is>
          <t>701002</t>
        </is>
      </c>
      <c r="C3705" s="227" t="inlineStr">
        <is>
          <t>Ventes 5.5%</t>
        </is>
      </c>
      <c r="E3705" s="233" t="inlineStr">
        <is>
          <t>02</t>
        </is>
      </c>
      <c r="F3705" s="227" t="inlineStr">
        <is>
          <t>TIRR</t>
        </is>
      </c>
    </row>
    <row r="3706">
      <c r="A3706" s="227">
        <f>TL[[#This Row],[Société]]&amp;" - "&amp;TL[[#This Row],[Compte]]</f>
        <v/>
      </c>
      <c r="B3706" s="233" t="inlineStr">
        <is>
          <t>701003</t>
        </is>
      </c>
      <c r="C3706" s="227" t="inlineStr">
        <is>
          <t>Ventes 7%</t>
        </is>
      </c>
      <c r="F3706" s="227" t="inlineStr">
        <is>
          <t>TIRR</t>
        </is>
      </c>
    </row>
    <row r="3707">
      <c r="A3707" s="227">
        <f>TL[[#This Row],[Société]]&amp;" - "&amp;TL[[#This Row],[Compte]]</f>
        <v/>
      </c>
      <c r="B3707" s="233" t="inlineStr">
        <is>
          <t>701004</t>
        </is>
      </c>
      <c r="C3707" s="227" t="inlineStr">
        <is>
          <t>Ventes 19,6%</t>
        </is>
      </c>
      <c r="F3707" s="227" t="inlineStr">
        <is>
          <t>TIRR</t>
        </is>
      </c>
    </row>
    <row r="3708">
      <c r="A3708" s="227">
        <f>TL[[#This Row],[Société]]&amp;" - "&amp;TL[[#This Row],[Compte]]</f>
        <v/>
      </c>
      <c r="B3708" s="233" t="inlineStr">
        <is>
          <t>701010</t>
        </is>
      </c>
      <c r="C3708" s="227" t="inlineStr">
        <is>
          <t>Ventes 10%</t>
        </is>
      </c>
      <c r="D3708" s="233" t="inlineStr">
        <is>
          <t>01</t>
        </is>
      </c>
      <c r="E3708" s="233" t="inlineStr">
        <is>
          <t>02</t>
        </is>
      </c>
      <c r="F3708" s="227" t="inlineStr">
        <is>
          <t>TIRR</t>
        </is>
      </c>
    </row>
    <row r="3709">
      <c r="A3709" s="227">
        <f>TL[[#This Row],[Société]]&amp;" - "&amp;TL[[#This Row],[Compte]]</f>
        <v/>
      </c>
      <c r="B3709" s="233" t="inlineStr">
        <is>
          <t>701011</t>
        </is>
      </c>
      <c r="C3709" s="227" t="inlineStr">
        <is>
          <t>Ventes ciné</t>
        </is>
      </c>
      <c r="D3709" s="233" t="inlineStr">
        <is>
          <t>01</t>
        </is>
      </c>
      <c r="E3709" s="233" t="inlineStr">
        <is>
          <t>02</t>
        </is>
      </c>
      <c r="F3709" s="227" t="inlineStr">
        <is>
          <t>TIRR</t>
        </is>
      </c>
    </row>
    <row r="3710">
      <c r="A3710" s="227">
        <f>TL[[#This Row],[Société]]&amp;" - "&amp;TL[[#This Row],[Compte]]</f>
        <v/>
      </c>
      <c r="B3710" s="233" t="inlineStr">
        <is>
          <t>701040</t>
        </is>
      </c>
      <c r="C3710" s="227" t="inlineStr">
        <is>
          <t>Ventes 7% npu</t>
        </is>
      </c>
      <c r="D3710" s="233" t="inlineStr">
        <is>
          <t>01</t>
        </is>
      </c>
      <c r="E3710" s="233" t="inlineStr">
        <is>
          <t>02</t>
        </is>
      </c>
      <c r="F3710" s="227" t="inlineStr">
        <is>
          <t>TIRR</t>
        </is>
      </c>
    </row>
    <row r="3711">
      <c r="A3711" s="227">
        <f>TL[[#This Row],[Société]]&amp;" - "&amp;TL[[#This Row],[Compte]]</f>
        <v/>
      </c>
      <c r="B3711" s="233" t="inlineStr">
        <is>
          <t>701100</t>
        </is>
      </c>
      <c r="C3711" s="227" t="inlineStr">
        <is>
          <t>Ventes 5,5 %</t>
        </is>
      </c>
      <c r="D3711" s="233" t="inlineStr">
        <is>
          <t>01</t>
        </is>
      </c>
      <c r="E3711" s="233" t="inlineStr">
        <is>
          <t>02</t>
        </is>
      </c>
      <c r="F3711" s="227" t="inlineStr">
        <is>
          <t>TIRR</t>
        </is>
      </c>
    </row>
    <row r="3712">
      <c r="A3712" s="227">
        <f>TL[[#This Row],[Société]]&amp;" - "&amp;TL[[#This Row],[Compte]]</f>
        <v/>
      </c>
      <c r="B3712" s="233" t="inlineStr">
        <is>
          <t>701220</t>
        </is>
      </c>
      <c r="C3712" s="227" t="inlineStr">
        <is>
          <t>Ventes 20%</t>
        </is>
      </c>
      <c r="D3712" s="233" t="inlineStr">
        <is>
          <t>01</t>
        </is>
      </c>
      <c r="E3712" s="233" t="inlineStr">
        <is>
          <t>02</t>
        </is>
      </c>
      <c r="F3712" s="227" t="inlineStr">
        <is>
          <t>TIRR</t>
        </is>
      </c>
    </row>
    <row r="3713">
      <c r="A3713" s="227">
        <f>TL[[#This Row],[Société]]&amp;" - "&amp;TL[[#This Row],[Compte]]</f>
        <v/>
      </c>
      <c r="B3713" s="233" t="inlineStr">
        <is>
          <t>702300</t>
        </is>
      </c>
      <c r="C3713" s="227" t="inlineStr">
        <is>
          <t>Ventes de produits interm</t>
        </is>
      </c>
      <c r="D3713" s="233" t="inlineStr">
        <is>
          <t>60</t>
        </is>
      </c>
      <c r="E3713" s="233" t="inlineStr">
        <is>
          <t>50</t>
        </is>
      </c>
      <c r="F3713" s="227" t="inlineStr">
        <is>
          <t>TIRR</t>
        </is>
      </c>
    </row>
    <row r="3714">
      <c r="A3714" s="227">
        <f>TL[[#This Row],[Société]]&amp;" - "&amp;TL[[#This Row],[Compte]]</f>
        <v/>
      </c>
      <c r="B3714" s="233" t="inlineStr">
        <is>
          <t>703100</t>
        </is>
      </c>
      <c r="C3714" s="227" t="inlineStr">
        <is>
          <t>Refacturation huiles usagées</t>
        </is>
      </c>
      <c r="D3714" s="233" t="inlineStr">
        <is>
          <t>06</t>
        </is>
      </c>
      <c r="E3714" s="233" t="inlineStr">
        <is>
          <t>03</t>
        </is>
      </c>
      <c r="F3714" s="227" t="inlineStr">
        <is>
          <t>TIRR</t>
        </is>
      </c>
    </row>
    <row r="3715">
      <c r="A3715" s="227">
        <f>TL[[#This Row],[Société]]&amp;" - "&amp;TL[[#This Row],[Compte]]</f>
        <v/>
      </c>
      <c r="B3715" s="233" t="inlineStr">
        <is>
          <t>706005</t>
        </is>
      </c>
      <c r="C3715" s="227" t="inlineStr">
        <is>
          <t>Transport uber</t>
        </is>
      </c>
      <c r="D3715" s="233" t="inlineStr">
        <is>
          <t>39</t>
        </is>
      </c>
      <c r="E3715" s="233" t="inlineStr">
        <is>
          <t>35</t>
        </is>
      </c>
      <c r="F3715" s="227" t="inlineStr">
        <is>
          <t>TIRR</t>
        </is>
      </c>
    </row>
    <row r="3716">
      <c r="A3716" s="227">
        <f>TL[[#This Row],[Société]]&amp;" - "&amp;TL[[#This Row],[Compte]]</f>
        <v/>
      </c>
      <c r="B3716" s="233" t="inlineStr">
        <is>
          <t>708000</t>
        </is>
      </c>
      <c r="C3716" s="227" t="inlineStr">
        <is>
          <t>Remises Martin Brower</t>
        </is>
      </c>
      <c r="D3716" s="233" t="inlineStr">
        <is>
          <t>06</t>
        </is>
      </c>
      <c r="E3716" s="233" t="inlineStr">
        <is>
          <t>03</t>
        </is>
      </c>
      <c r="F3716" s="227" t="inlineStr">
        <is>
          <t>TIRR</t>
        </is>
      </c>
    </row>
    <row r="3717">
      <c r="A3717" s="227">
        <f>TL[[#This Row],[Société]]&amp;" - "&amp;TL[[#This Row],[Compte]]</f>
        <v/>
      </c>
      <c r="B3717" s="233" t="inlineStr">
        <is>
          <t>708101</t>
        </is>
      </c>
      <c r="C3717" s="227" t="inlineStr">
        <is>
          <t>Refact charges soc assistants</t>
        </is>
      </c>
      <c r="D3717" s="233" t="inlineStr">
        <is>
          <t>12</t>
        </is>
      </c>
      <c r="E3717" s="233" t="inlineStr">
        <is>
          <t>11</t>
        </is>
      </c>
      <c r="F3717" s="227" t="inlineStr">
        <is>
          <t>TIRR</t>
        </is>
      </c>
    </row>
    <row r="3718">
      <c r="A3718" s="227">
        <f>TL[[#This Row],[Société]]&amp;" - "&amp;TL[[#This Row],[Compte]]</f>
        <v/>
      </c>
      <c r="B3718" s="233" t="inlineStr">
        <is>
          <t>708600</t>
        </is>
      </c>
      <c r="C3718" s="227" t="inlineStr">
        <is>
          <t>Refacturation pub gie</t>
        </is>
      </c>
      <c r="D3718" s="233" t="inlineStr">
        <is>
          <t>15</t>
        </is>
      </c>
      <c r="E3718" s="233" t="inlineStr">
        <is>
          <t>22</t>
        </is>
      </c>
      <c r="F3718" s="227" t="inlineStr">
        <is>
          <t>TIRR</t>
        </is>
      </c>
    </row>
    <row r="3719">
      <c r="A3719" s="227">
        <f>TL[[#This Row],[Société]]&amp;" - "&amp;TL[[#This Row],[Compte]]</f>
        <v/>
      </c>
      <c r="B3719" s="233" t="inlineStr">
        <is>
          <t>708810</t>
        </is>
      </c>
      <c r="C3719" s="227" t="inlineStr">
        <is>
          <t>Formation Managers</t>
        </is>
      </c>
      <c r="D3719" s="233" t="inlineStr">
        <is>
          <t>39</t>
        </is>
      </c>
      <c r="E3719" s="233" t="inlineStr">
        <is>
          <t>40</t>
        </is>
      </c>
      <c r="F3719" s="227" t="inlineStr">
        <is>
          <t>TIRR</t>
        </is>
      </c>
    </row>
    <row r="3720">
      <c r="A3720" s="227">
        <f>TL[[#This Row],[Société]]&amp;" - "&amp;TL[[#This Row],[Compte]]</f>
        <v/>
      </c>
      <c r="B3720" s="233" t="inlineStr">
        <is>
          <t>708820</t>
        </is>
      </c>
      <c r="C3720" s="227" t="inlineStr">
        <is>
          <t>Produits lrs</t>
        </is>
      </c>
      <c r="D3720" s="233" t="inlineStr">
        <is>
          <t>06</t>
        </is>
      </c>
      <c r="E3720" s="233" t="inlineStr">
        <is>
          <t>03</t>
        </is>
      </c>
      <c r="F3720" s="227" t="inlineStr">
        <is>
          <t>TIRR</t>
        </is>
      </c>
    </row>
    <row r="3721">
      <c r="A3721" s="227">
        <f>TL[[#This Row],[Société]]&amp;" - "&amp;TL[[#This Row],[Compte]]</f>
        <v/>
      </c>
      <c r="B3721" s="233" t="inlineStr">
        <is>
          <t>708830</t>
        </is>
      </c>
      <c r="C3721" s="227" t="inlineStr">
        <is>
          <t>Prestations agefos managers</t>
        </is>
      </c>
      <c r="D3721" s="233" t="inlineStr">
        <is>
          <t>39</t>
        </is>
      </c>
      <c r="E3721" s="233" t="inlineStr">
        <is>
          <t>10</t>
        </is>
      </c>
      <c r="F3721" s="227" t="inlineStr">
        <is>
          <t>TIRR</t>
        </is>
      </c>
    </row>
    <row r="3722">
      <c r="A3722" s="227">
        <f>TL[[#This Row],[Société]]&amp;" - "&amp;TL[[#This Row],[Compte]]</f>
        <v/>
      </c>
      <c r="B3722" s="233" t="inlineStr">
        <is>
          <t>708840</t>
        </is>
      </c>
      <c r="C3722" s="227" t="inlineStr">
        <is>
          <t>Refacturation sal equipiers</t>
        </is>
      </c>
      <c r="D3722" s="233" t="inlineStr">
        <is>
          <t>10</t>
        </is>
      </c>
      <c r="E3722" s="233" t="inlineStr">
        <is>
          <t>08</t>
        </is>
      </c>
      <c r="F3722" s="227" t="inlineStr">
        <is>
          <t>TIRR</t>
        </is>
      </c>
    </row>
    <row r="3723">
      <c r="A3723" s="227">
        <f>TL[[#This Row],[Société]]&amp;" - "&amp;TL[[#This Row],[Compte]]</f>
        <v/>
      </c>
      <c r="B3723" s="233" t="inlineStr">
        <is>
          <t>708850</t>
        </is>
      </c>
      <c r="C3723" s="227" t="inlineStr">
        <is>
          <t>Refact charges soc assistants</t>
        </is>
      </c>
      <c r="D3723" s="233" t="inlineStr">
        <is>
          <t>12</t>
        </is>
      </c>
      <c r="E3723" s="233" t="inlineStr">
        <is>
          <t>11</t>
        </is>
      </c>
      <c r="F3723" s="227" t="inlineStr">
        <is>
          <t>TIRR</t>
        </is>
      </c>
    </row>
    <row r="3724">
      <c r="A3724" s="227">
        <f>TL[[#This Row],[Société]]&amp;" - "&amp;TL[[#This Row],[Compte]]</f>
        <v/>
      </c>
      <c r="B3724" s="233" t="inlineStr">
        <is>
          <t>708860</t>
        </is>
      </c>
      <c r="C3724" s="227" t="inlineStr">
        <is>
          <t>Refact salaires bruts assists</t>
        </is>
      </c>
      <c r="D3724" s="233" t="inlineStr">
        <is>
          <t>11</t>
        </is>
      </c>
      <c r="E3724" s="233" t="inlineStr">
        <is>
          <t>10</t>
        </is>
      </c>
      <c r="F3724" s="227" t="inlineStr">
        <is>
          <t>TIRR</t>
        </is>
      </c>
    </row>
    <row r="3725">
      <c r="A3725" s="227">
        <f>TL[[#This Row],[Société]]&amp;" - "&amp;TL[[#This Row],[Compte]]</f>
        <v/>
      </c>
      <c r="B3725" s="233" t="inlineStr">
        <is>
          <t>708861</t>
        </is>
      </c>
      <c r="C3725" s="227" t="inlineStr">
        <is>
          <t>Refact. pers.marketing brut</t>
        </is>
      </c>
      <c r="D3725" s="236" t="inlineStr">
        <is>
          <t>11</t>
        </is>
      </c>
      <c r="E3725" s="233" t="inlineStr">
        <is>
          <t>10</t>
        </is>
      </c>
      <c r="F3725" s="227" t="inlineStr">
        <is>
          <t>TIRR</t>
        </is>
      </c>
    </row>
    <row r="3726">
      <c r="A3726" s="227">
        <f>TL[[#This Row],[Société]]&amp;" - "&amp;TL[[#This Row],[Compte]]</f>
        <v/>
      </c>
      <c r="B3726" s="233" t="inlineStr">
        <is>
          <t>708862</t>
        </is>
      </c>
      <c r="C3726" s="227" t="inlineStr">
        <is>
          <t>Refact. pers.marketing charges</t>
        </is>
      </c>
      <c r="D3726" s="236" t="inlineStr">
        <is>
          <t>12</t>
        </is>
      </c>
      <c r="E3726" s="233" t="inlineStr">
        <is>
          <t>11</t>
        </is>
      </c>
      <c r="F3726" s="227" t="inlineStr">
        <is>
          <t>TIRR</t>
        </is>
      </c>
    </row>
    <row r="3727">
      <c r="A3727" s="227">
        <f>TL[[#This Row],[Société]]&amp;" - "&amp;TL[[#This Row],[Compte]]</f>
        <v/>
      </c>
      <c r="B3727" s="233" t="inlineStr">
        <is>
          <t>708870</t>
        </is>
      </c>
      <c r="C3727" s="227" t="inlineStr">
        <is>
          <t>Refacturation aliments</t>
        </is>
      </c>
      <c r="D3727" s="233" t="inlineStr">
        <is>
          <t>06</t>
        </is>
      </c>
      <c r="E3727" s="233" t="inlineStr">
        <is>
          <t>03</t>
        </is>
      </c>
      <c r="F3727" s="227" t="inlineStr">
        <is>
          <t>TIRR</t>
        </is>
      </c>
    </row>
    <row r="3728">
      <c r="A3728" s="227">
        <f>TL[[#This Row],[Société]]&amp;" - "&amp;TL[[#This Row],[Compte]]</f>
        <v/>
      </c>
      <c r="B3728" s="233" t="inlineStr">
        <is>
          <t>708871</t>
        </is>
      </c>
      <c r="C3728" s="227" t="inlineStr">
        <is>
          <t>Refacturation papier</t>
        </is>
      </c>
      <c r="D3728" s="233" t="inlineStr">
        <is>
          <t>03</t>
        </is>
      </c>
      <c r="E3728" s="233" t="inlineStr">
        <is>
          <t>06</t>
        </is>
      </c>
      <c r="F3728" s="227" t="inlineStr">
        <is>
          <t>TIRR</t>
        </is>
      </c>
    </row>
    <row r="3729">
      <c r="A3729" s="227">
        <f>TL[[#This Row],[Société]]&amp;" - "&amp;TL[[#This Row],[Compte]]</f>
        <v/>
      </c>
      <c r="B3729" s="233" t="inlineStr">
        <is>
          <t>708872</t>
        </is>
      </c>
      <c r="C3729" s="227" t="inlineStr">
        <is>
          <t>Refacturation pdts entretien</t>
        </is>
      </c>
      <c r="D3729" s="233" t="inlineStr">
        <is>
          <t>18</t>
        </is>
      </c>
      <c r="E3729" s="233" t="inlineStr">
        <is>
          <t>18</t>
        </is>
      </c>
      <c r="F3729" s="227" t="inlineStr">
        <is>
          <t>TIRR</t>
        </is>
      </c>
    </row>
    <row r="3730">
      <c r="A3730" s="227">
        <f>TL[[#This Row],[Société]]&amp;" - "&amp;TL[[#This Row],[Compte]]</f>
        <v/>
      </c>
      <c r="B3730" s="233" t="inlineStr">
        <is>
          <t>708873</t>
        </is>
      </c>
      <c r="C3730" s="227" t="inlineStr">
        <is>
          <t>Refacturation hm</t>
        </is>
      </c>
      <c r="D3730" s="233" t="inlineStr">
        <is>
          <t>62</t>
        </is>
      </c>
      <c r="E3730" s="233" t="inlineStr">
        <is>
          <t>51</t>
        </is>
      </c>
      <c r="F3730" s="227" t="inlineStr">
        <is>
          <t>TIRR</t>
        </is>
      </c>
    </row>
    <row r="3731">
      <c r="A3731" s="227">
        <f>TL[[#This Row],[Société]]&amp;" - "&amp;TL[[#This Row],[Compte]]</f>
        <v/>
      </c>
      <c r="B3731" s="233" t="inlineStr">
        <is>
          <t>708874</t>
        </is>
      </c>
      <c r="C3731" s="227" t="inlineStr">
        <is>
          <t>Refacturation bureau</t>
        </is>
      </c>
      <c r="D3731" s="233" t="inlineStr">
        <is>
          <t>21</t>
        </is>
      </c>
      <c r="E3731" s="233" t="inlineStr">
        <is>
          <t>25</t>
        </is>
      </c>
      <c r="F3731" s="227" t="inlineStr">
        <is>
          <t>TIRR</t>
        </is>
      </c>
    </row>
    <row r="3732">
      <c r="A3732" s="227">
        <f>TL[[#This Row],[Société]]&amp;" - "&amp;TL[[#This Row],[Compte]]</f>
        <v/>
      </c>
      <c r="B3732" s="233" t="inlineStr">
        <is>
          <t>708875</t>
        </is>
      </c>
      <c r="C3732" s="227" t="inlineStr">
        <is>
          <t>Refact essence sabrina</t>
        </is>
      </c>
      <c r="D3732" s="233" t="inlineStr">
        <is>
          <t>39</t>
        </is>
      </c>
      <c r="E3732" s="233" t="inlineStr">
        <is>
          <t>26</t>
        </is>
      </c>
      <c r="F3732" s="227" t="inlineStr">
        <is>
          <t>TIRR</t>
        </is>
      </c>
    </row>
    <row r="3733">
      <c r="A3733" s="227">
        <f>TL[[#This Row],[Société]]&amp;" - "&amp;TL[[#This Row],[Compte]]</f>
        <v/>
      </c>
      <c r="B3733" s="233" t="inlineStr">
        <is>
          <t>708876</t>
        </is>
      </c>
      <c r="C3733" s="227" t="inlineStr">
        <is>
          <t>Refact telephone sabrina</t>
        </is>
      </c>
      <c r="D3733" s="233" t="inlineStr">
        <is>
          <t>39</t>
        </is>
      </c>
      <c r="E3733" s="233" t="inlineStr">
        <is>
          <t>26</t>
        </is>
      </c>
      <c r="F3733" s="227" t="inlineStr">
        <is>
          <t>TIRR</t>
        </is>
      </c>
    </row>
    <row r="3734">
      <c r="A3734" s="227">
        <f>TL[[#This Row],[Société]]&amp;" - "&amp;TL[[#This Row],[Compte]]</f>
        <v/>
      </c>
      <c r="B3734" s="233" t="inlineStr">
        <is>
          <t>708877</t>
        </is>
      </c>
      <c r="C3734" s="227" t="inlineStr">
        <is>
          <t>Mise a dispo jnal ouest france</t>
        </is>
      </c>
      <c r="D3734" s="233" t="inlineStr">
        <is>
          <t>23</t>
        </is>
      </c>
      <c r="E3734" s="233" t="inlineStr">
        <is>
          <t>27</t>
        </is>
      </c>
      <c r="F3734" s="227" t="inlineStr">
        <is>
          <t>TIRR</t>
        </is>
      </c>
    </row>
    <row r="3735">
      <c r="A3735" s="227">
        <f>TL[[#This Row],[Société]]&amp;" - "&amp;TL[[#This Row],[Compte]]</f>
        <v/>
      </c>
      <c r="B3735" s="233" t="inlineStr">
        <is>
          <t>708878</t>
        </is>
      </c>
      <c r="C3735" s="227" t="inlineStr">
        <is>
          <t>Refacturation coupon cinema</t>
        </is>
      </c>
      <c r="D3735" s="233" t="inlineStr">
        <is>
          <t>62</t>
        </is>
      </c>
      <c r="E3735" s="233" t="inlineStr">
        <is>
          <t>41</t>
        </is>
      </c>
      <c r="F3735" s="227" t="inlineStr">
        <is>
          <t>TIRR</t>
        </is>
      </c>
    </row>
    <row r="3736">
      <c r="A3736" s="227">
        <f>TL[[#This Row],[Société]]&amp;" - "&amp;TL[[#This Row],[Compte]]</f>
        <v/>
      </c>
      <c r="B3736" s="233" t="inlineStr">
        <is>
          <t>708879</t>
        </is>
      </c>
      <c r="C3736" s="227" t="inlineStr">
        <is>
          <t>Refact frais pro rafray</t>
        </is>
      </c>
      <c r="D3736" s="233" t="inlineStr">
        <is>
          <t>13</t>
        </is>
      </c>
      <c r="E3736" s="233" t="inlineStr">
        <is>
          <t>26</t>
        </is>
      </c>
      <c r="F3736" s="227" t="inlineStr">
        <is>
          <t>TIRR</t>
        </is>
      </c>
    </row>
    <row r="3737">
      <c r="A3737" s="227">
        <f>TL[[#This Row],[Société]]&amp;" - "&amp;TL[[#This Row],[Compte]]</f>
        <v/>
      </c>
      <c r="B3737" s="233" t="inlineStr">
        <is>
          <t>708880</t>
        </is>
      </c>
      <c r="C3737" s="227" t="inlineStr">
        <is>
          <t>Refacturation pub</t>
        </is>
      </c>
      <c r="D3737" s="233" t="inlineStr">
        <is>
          <t>39</t>
        </is>
      </c>
      <c r="E3737" s="233" t="inlineStr">
        <is>
          <t>22</t>
        </is>
      </c>
      <c r="F3737" s="227" t="inlineStr">
        <is>
          <t>TIRR</t>
        </is>
      </c>
    </row>
    <row r="3738">
      <c r="A3738" s="227">
        <f>TL[[#This Row],[Société]]&amp;" - "&amp;TL[[#This Row],[Compte]]</f>
        <v/>
      </c>
      <c r="B3738" s="233" t="inlineStr">
        <is>
          <t>708881</t>
        </is>
      </c>
      <c r="C3738" s="227" t="inlineStr">
        <is>
          <t>Refacturation outillage</t>
        </is>
      </c>
      <c r="D3738" s="233" t="inlineStr">
        <is>
          <t>19</t>
        </is>
      </c>
      <c r="E3738" s="233" t="inlineStr">
        <is>
          <t>25</t>
        </is>
      </c>
      <c r="F3738" s="227" t="inlineStr">
        <is>
          <t>TIRR</t>
        </is>
      </c>
    </row>
    <row r="3739">
      <c r="A3739" s="227">
        <f>TL[[#This Row],[Société]]&amp;" - "&amp;TL[[#This Row],[Compte]]</f>
        <v/>
      </c>
      <c r="B3739" s="233" t="inlineStr">
        <is>
          <t>708882</t>
        </is>
      </c>
      <c r="C3739" s="227" t="inlineStr">
        <is>
          <t>Refact loyer vehicule</t>
        </is>
      </c>
      <c r="D3739" s="233" t="inlineStr">
        <is>
          <t>39</t>
        </is>
      </c>
      <c r="E3739" s="233" t="inlineStr">
        <is>
          <t>40</t>
        </is>
      </c>
      <c r="F3739" s="227" t="inlineStr">
        <is>
          <t>TIRR</t>
        </is>
      </c>
    </row>
    <row r="3740">
      <c r="A3740" s="227">
        <f>TL[[#This Row],[Société]]&amp;" - "&amp;TL[[#This Row],[Compte]]</f>
        <v/>
      </c>
      <c r="B3740" s="233" t="inlineStr">
        <is>
          <t>708883</t>
        </is>
      </c>
      <c r="C3740" s="227" t="inlineStr">
        <is>
          <t>Refacturation  entret reparation</t>
        </is>
      </c>
      <c r="D3740" s="233" t="inlineStr">
        <is>
          <t>19</t>
        </is>
      </c>
      <c r="E3740" s="233" t="inlineStr">
        <is>
          <t>18</t>
        </is>
      </c>
      <c r="F3740" s="227" t="inlineStr">
        <is>
          <t>TIRR</t>
        </is>
      </c>
    </row>
    <row r="3741">
      <c r="A3741" s="227">
        <f>TL[[#This Row],[Société]]&amp;" - "&amp;TL[[#This Row],[Compte]]</f>
        <v/>
      </c>
      <c r="B3741" s="233" t="inlineStr">
        <is>
          <t>708884</t>
        </is>
      </c>
      <c r="C3741" s="227" t="inlineStr">
        <is>
          <t>Refact entret vehicule</t>
        </is>
      </c>
      <c r="D3741" s="233" t="inlineStr">
        <is>
          <t>39</t>
        </is>
      </c>
      <c r="E3741" s="233" t="inlineStr">
        <is>
          <t>18</t>
        </is>
      </c>
      <c r="F3741" s="227" t="inlineStr">
        <is>
          <t>TIRR</t>
        </is>
      </c>
    </row>
    <row r="3742">
      <c r="A3742" s="227">
        <f>TL[[#This Row],[Société]]&amp;" - "&amp;TL[[#This Row],[Compte]]</f>
        <v/>
      </c>
      <c r="B3742" s="233" t="inlineStr">
        <is>
          <t>708885</t>
        </is>
      </c>
      <c r="C3742" s="227" t="inlineStr">
        <is>
          <t>refacturation assurance vehicule</t>
        </is>
      </c>
      <c r="D3742" s="233" t="inlineStr">
        <is>
          <t>39</t>
        </is>
      </c>
      <c r="E3742" s="233" t="inlineStr">
        <is>
          <t>36</t>
        </is>
      </c>
      <c r="F3742" s="227" t="inlineStr">
        <is>
          <t>TIRR</t>
        </is>
      </c>
    </row>
    <row r="3743">
      <c r="A3743" s="227">
        <f>TL[[#This Row],[Société]]&amp;" - "&amp;TL[[#This Row],[Compte]]</f>
        <v/>
      </c>
      <c r="B3743" s="233" t="inlineStr">
        <is>
          <t>708886</t>
        </is>
      </c>
      <c r="C3743" s="227" t="inlineStr">
        <is>
          <t>refacturation maintenance</t>
        </is>
      </c>
      <c r="D3743" s="233" t="inlineStr">
        <is>
          <t>16</t>
        </is>
      </c>
      <c r="E3743" s="233" t="inlineStr">
        <is>
          <t>18</t>
        </is>
      </c>
      <c r="F3743" s="227" t="inlineStr">
        <is>
          <t>TIRR</t>
        </is>
      </c>
    </row>
    <row r="3744">
      <c r="A3744" s="227">
        <f>TL[[#This Row],[Société]]&amp;" - "&amp;TL[[#This Row],[Compte]]</f>
        <v/>
      </c>
      <c r="B3744" s="233" t="inlineStr">
        <is>
          <t>71000;</t>
        </is>
      </c>
      <c r="C3744" s="227" t="inlineStr">
        <is>
          <t>.</t>
        </is>
      </c>
      <c r="F3744" s="227" t="inlineStr">
        <is>
          <t>TIRR</t>
        </is>
      </c>
    </row>
    <row r="3745">
      <c r="A3745" s="227">
        <f>TL[[#This Row],[Société]]&amp;" - "&amp;TL[[#This Row],[Compte]]</f>
        <v/>
      </c>
      <c r="B3745" s="233" t="inlineStr">
        <is>
          <t>726100</t>
        </is>
      </c>
      <c r="C3745" s="227" t="inlineStr">
        <is>
          <t>AN Nourriture Equipiers</t>
        </is>
      </c>
      <c r="D3745" s="233" t="inlineStr">
        <is>
          <t>10</t>
        </is>
      </c>
      <c r="E3745" s="233" t="inlineStr">
        <is>
          <t>08</t>
        </is>
      </c>
      <c r="F3745" s="227" t="inlineStr">
        <is>
          <t>TIRR</t>
        </is>
      </c>
    </row>
    <row r="3746">
      <c r="A3746" s="227">
        <f>TL[[#This Row],[Société]]&amp;" - "&amp;TL[[#This Row],[Compte]]</f>
        <v/>
      </c>
      <c r="B3746" s="233" t="inlineStr">
        <is>
          <t>726110</t>
        </is>
      </c>
      <c r="C3746" s="227" t="inlineStr">
        <is>
          <t>AN Nourriture Managers</t>
        </is>
      </c>
      <c r="D3746" s="233" t="inlineStr">
        <is>
          <t>11</t>
        </is>
      </c>
      <c r="E3746" s="233" t="inlineStr">
        <is>
          <t>10</t>
        </is>
      </c>
      <c r="F3746" s="227" t="inlineStr">
        <is>
          <t>TIRR</t>
        </is>
      </c>
    </row>
    <row r="3747">
      <c r="A3747" s="227">
        <f>TL[[#This Row],[Société]]&amp;" - "&amp;TL[[#This Row],[Compte]]</f>
        <v/>
      </c>
      <c r="B3747" s="233" t="inlineStr">
        <is>
          <t>740100</t>
        </is>
      </c>
      <c r="C3747" s="227" t="inlineStr">
        <is>
          <t>subvention emploi</t>
        </is>
      </c>
      <c r="D3747" s="233" t="inlineStr">
        <is>
          <t>39</t>
        </is>
      </c>
      <c r="E3747" s="240" t="inlineStr">
        <is>
          <t>09</t>
        </is>
      </c>
      <c r="F3747" s="227" t="inlineStr">
        <is>
          <t>TIRR</t>
        </is>
      </c>
    </row>
    <row r="3748">
      <c r="A3748" s="227">
        <f>TL[[#This Row],[Société]]&amp;" - "&amp;TL[[#This Row],[Compte]]</f>
        <v/>
      </c>
      <c r="B3748" s="233" t="inlineStr">
        <is>
          <t>740200</t>
        </is>
      </c>
      <c r="C3748" s="227" t="inlineStr">
        <is>
          <t>subvention equipement</t>
        </is>
      </c>
      <c r="D3748" s="233" t="inlineStr">
        <is>
          <t>39</t>
        </is>
      </c>
      <c r="E3748" s="233" t="inlineStr">
        <is>
          <t>45</t>
        </is>
      </c>
      <c r="F3748" s="227" t="inlineStr">
        <is>
          <t>TIRR</t>
        </is>
      </c>
    </row>
    <row r="3749">
      <c r="A3749" s="227">
        <f>TL[[#This Row],[Société]]&amp;" - "&amp;TL[[#This Row],[Compte]]</f>
        <v/>
      </c>
      <c r="B3749" s="233" t="inlineStr">
        <is>
          <t>740300</t>
        </is>
      </c>
      <c r="C3749" s="227" t="inlineStr">
        <is>
          <t>subvention COVID</t>
        </is>
      </c>
      <c r="D3749" s="233" t="inlineStr">
        <is>
          <t>39</t>
        </is>
      </c>
      <c r="E3749" s="233" t="inlineStr">
        <is>
          <t>45</t>
        </is>
      </c>
      <c r="F3749" s="227" t="inlineStr">
        <is>
          <t>TIRR</t>
        </is>
      </c>
    </row>
    <row r="3750">
      <c r="A3750" s="227">
        <f>TL[[#This Row],[Société]]&amp;" - "&amp;TL[[#This Row],[Compte]]</f>
        <v/>
      </c>
      <c r="B3750" s="233" t="inlineStr">
        <is>
          <t>758000</t>
        </is>
      </c>
      <c r="C3750" s="227" t="inlineStr">
        <is>
          <t>Produits divers gestion courante</t>
        </is>
      </c>
      <c r="D3750" s="233" t="inlineStr">
        <is>
          <t>39</t>
        </is>
      </c>
      <c r="E3750" s="233" t="inlineStr">
        <is>
          <t>27</t>
        </is>
      </c>
      <c r="F3750" s="227" t="inlineStr">
        <is>
          <t>TIRR</t>
        </is>
      </c>
    </row>
    <row r="3751">
      <c r="A3751" s="227">
        <f>TL[[#This Row],[Société]]&amp;" - "&amp;TL[[#This Row],[Compte]]</f>
        <v/>
      </c>
      <c r="B3751" s="233" t="inlineStr">
        <is>
          <t>763800</t>
        </is>
      </c>
      <c r="C3751" s="227" t="inlineStr">
        <is>
          <t>Revenus des créances diverses</t>
        </is>
      </c>
      <c r="D3751" s="233" t="inlineStr">
        <is>
          <t>38</t>
        </is>
      </c>
      <c r="E3751" s="233" t="inlineStr">
        <is>
          <t>42</t>
        </is>
      </c>
      <c r="F3751" s="227" t="inlineStr">
        <is>
          <t>TIRR</t>
        </is>
      </c>
    </row>
    <row r="3752">
      <c r="A3752" s="227">
        <f>TL[[#This Row],[Société]]&amp;" - "&amp;TL[[#This Row],[Compte]]</f>
        <v/>
      </c>
      <c r="B3752" s="233" t="inlineStr">
        <is>
          <t>767000</t>
        </is>
      </c>
      <c r="C3752" s="227" t="inlineStr">
        <is>
          <t>Produits cession vmp</t>
        </is>
      </c>
      <c r="F3752" s="227" t="inlineStr">
        <is>
          <t>TIRR</t>
        </is>
      </c>
    </row>
    <row r="3753">
      <c r="A3753" s="227">
        <f>TL[[#This Row],[Société]]&amp;" - "&amp;TL[[#This Row],[Compte]]</f>
        <v/>
      </c>
      <c r="B3753" s="233" t="inlineStr">
        <is>
          <t>771100</t>
        </is>
      </c>
      <c r="C3753" s="227" t="inlineStr">
        <is>
          <t>Ecarts de caisse</t>
        </is>
      </c>
      <c r="D3753" s="233" t="inlineStr">
        <is>
          <t>22</t>
        </is>
      </c>
      <c r="E3753" s="233" t="inlineStr">
        <is>
          <t>27</t>
        </is>
      </c>
      <c r="F3753" s="227" t="inlineStr">
        <is>
          <t>TIRR</t>
        </is>
      </c>
    </row>
    <row r="3754">
      <c r="A3754" s="227">
        <f>TL[[#This Row],[Société]]&amp;" - "&amp;TL[[#This Row],[Compte]]</f>
        <v/>
      </c>
      <c r="B3754" s="233" t="inlineStr">
        <is>
          <t>771200</t>
        </is>
      </c>
      <c r="C3754" s="227" t="inlineStr">
        <is>
          <t>Produits execeptionnels</t>
        </is>
      </c>
      <c r="D3754" s="233" t="inlineStr">
        <is>
          <t>39</t>
        </is>
      </c>
      <c r="E3754" s="233" t="inlineStr">
        <is>
          <t>45</t>
        </is>
      </c>
      <c r="F3754" s="227" t="inlineStr">
        <is>
          <t>TIRR</t>
        </is>
      </c>
    </row>
    <row r="3755">
      <c r="A3755" s="227">
        <f>TL[[#This Row],[Société]]&amp;" - "&amp;TL[[#This Row],[Compte]]</f>
        <v/>
      </c>
      <c r="B3755" s="233" t="inlineStr">
        <is>
          <t>775000</t>
        </is>
      </c>
      <c r="C3755" s="227" t="inlineStr">
        <is>
          <t>PCEA</t>
        </is>
      </c>
      <c r="F3755" s="227" t="inlineStr">
        <is>
          <t>TIRR</t>
        </is>
      </c>
    </row>
    <row r="3756">
      <c r="A3756" s="227">
        <f>TL[[#This Row],[Société]]&amp;" - "&amp;TL[[#This Row],[Compte]]</f>
        <v/>
      </c>
      <c r="B3756" s="233" t="inlineStr">
        <is>
          <t>781110</t>
        </is>
      </c>
      <c r="C3756" s="227" t="inlineStr">
        <is>
          <t>Repris.s/amort. immob. incorporelle</t>
        </is>
      </c>
      <c r="F3756" s="227" t="inlineStr">
        <is>
          <t>TIRR</t>
        </is>
      </c>
    </row>
    <row r="3757">
      <c r="A3757" s="227">
        <f>TL[[#This Row],[Société]]&amp;" - "&amp;TL[[#This Row],[Compte]]</f>
        <v/>
      </c>
      <c r="B3757" s="233" t="inlineStr">
        <is>
          <t>781120</t>
        </is>
      </c>
      <c r="C3757" s="227" t="inlineStr">
        <is>
          <t>Repris.s/amort. immob. corporelle</t>
        </is>
      </c>
      <c r="D3757" s="233" t="inlineStr">
        <is>
          <t>36</t>
        </is>
      </c>
      <c r="E3757" s="233" t="inlineStr">
        <is>
          <t>38</t>
        </is>
      </c>
      <c r="F3757" s="227" t="inlineStr">
        <is>
          <t>TIRR</t>
        </is>
      </c>
    </row>
    <row r="3758">
      <c r="A3758" s="227">
        <f>TL[[#This Row],[Société]]&amp;" - "&amp;TL[[#This Row],[Compte]]</f>
        <v/>
      </c>
      <c r="B3758" s="233" t="inlineStr">
        <is>
          <t>781500</t>
        </is>
      </c>
      <c r="C3758" s="227" t="inlineStr">
        <is>
          <t>Repris.s/provis.risques &amp; charges</t>
        </is>
      </c>
      <c r="D3758" s="233" t="inlineStr">
        <is>
          <t>36</t>
        </is>
      </c>
      <c r="E3758" s="233" t="inlineStr">
        <is>
          <t>38</t>
        </is>
      </c>
      <c r="F3758" s="227" t="inlineStr">
        <is>
          <t>TIRR</t>
        </is>
      </c>
    </row>
    <row r="3759">
      <c r="A3759" s="227">
        <f>TL[[#This Row],[Société]]&amp;" - "&amp;TL[[#This Row],[Compte]]</f>
        <v/>
      </c>
      <c r="B3759" s="233" t="inlineStr">
        <is>
          <t>787250</t>
        </is>
      </c>
      <c r="C3759" s="227" t="inlineStr">
        <is>
          <t>Reprises amortissements dérogatoire</t>
        </is>
      </c>
      <c r="F3759" s="227" t="inlineStr">
        <is>
          <t>TIRR</t>
        </is>
      </c>
    </row>
    <row r="3760">
      <c r="A3760" s="227">
        <f>TL[[#This Row],[Société]]&amp;" - "&amp;TL[[#This Row],[Compte]]</f>
        <v/>
      </c>
      <c r="B3760" s="233" t="inlineStr">
        <is>
          <t>791000</t>
        </is>
      </c>
      <c r="C3760" s="227" t="inlineStr">
        <is>
          <t>Transfert de charges d'exploitation</t>
        </is>
      </c>
      <c r="D3760" s="233" t="inlineStr">
        <is>
          <t>39</t>
        </is>
      </c>
      <c r="E3760" s="233" t="inlineStr">
        <is>
          <t>40</t>
        </is>
      </c>
      <c r="F3760" s="227" t="inlineStr">
        <is>
          <t>TIRR</t>
        </is>
      </c>
    </row>
    <row r="3761">
      <c r="A3761" s="227">
        <f>TL[[#This Row],[Société]]&amp;" - "&amp;TL[[#This Row],[Compte]]</f>
        <v/>
      </c>
      <c r="B3761" s="233" t="inlineStr">
        <is>
          <t>791004</t>
        </is>
      </c>
      <c r="C3761" s="227" t="inlineStr">
        <is>
          <t>Transferts de charges assisitants</t>
        </is>
      </c>
      <c r="D3761" s="233" t="inlineStr">
        <is>
          <t>11</t>
        </is>
      </c>
      <c r="E3761" s="233" t="inlineStr">
        <is>
          <t>10</t>
        </is>
      </c>
      <c r="F3761" s="227" t="inlineStr">
        <is>
          <t>TIRR</t>
        </is>
      </c>
    </row>
    <row r="3762">
      <c r="A3762" s="227">
        <f>TL[[#This Row],[Société]]&amp;" - "&amp;TL[[#This Row],[Compte]]</f>
        <v/>
      </c>
      <c r="B3762" s="233" t="inlineStr">
        <is>
          <t>791100</t>
        </is>
      </c>
      <c r="C3762" s="227" t="inlineStr">
        <is>
          <t>An assistants</t>
        </is>
      </c>
      <c r="D3762" s="233" t="inlineStr">
        <is>
          <t>11</t>
        </is>
      </c>
      <c r="E3762" s="233" t="inlineStr">
        <is>
          <t>10</t>
        </is>
      </c>
      <c r="F3762" s="227" t="inlineStr">
        <is>
          <t>TIRR</t>
        </is>
      </c>
    </row>
    <row r="3763">
      <c r="A3763" s="227">
        <f>TL[[#This Row],[Société]]&amp;" - "&amp;TL[[#This Row],[Compte]]</f>
        <v/>
      </c>
      <c r="B3763" s="233" t="inlineStr">
        <is>
          <t>791104</t>
        </is>
      </c>
      <c r="C3763" s="227" t="inlineStr">
        <is>
          <t>An voiture</t>
        </is>
      </c>
      <c r="D3763" s="233" t="inlineStr">
        <is>
          <t>11</t>
        </is>
      </c>
      <c r="E3763" s="233" t="inlineStr">
        <is>
          <t>10</t>
        </is>
      </c>
      <c r="F3763" s="227" t="inlineStr">
        <is>
          <t>TIRR</t>
        </is>
      </c>
    </row>
    <row r="3764">
      <c r="A3764" s="227">
        <f>TL[[#This Row],[Société]]&amp;" - "&amp;TL[[#This Row],[Compte]]</f>
        <v/>
      </c>
      <c r="B3764" s="233" t="inlineStr">
        <is>
          <t>791110</t>
        </is>
      </c>
      <c r="C3764" s="227" t="inlineStr">
        <is>
          <t>An équipiers</t>
        </is>
      </c>
      <c r="D3764" s="233" t="inlineStr">
        <is>
          <t>10</t>
        </is>
      </c>
      <c r="E3764" s="233" t="inlineStr">
        <is>
          <t>08</t>
        </is>
      </c>
      <c r="F3764" s="227" t="inlineStr">
        <is>
          <t>TIRR</t>
        </is>
      </c>
    </row>
    <row r="3765">
      <c r="A3765" s="227">
        <f>TL[[#This Row],[Société]]&amp;" - "&amp;TL[[#This Row],[Compte]]</f>
        <v/>
      </c>
      <c r="B3765" s="233" t="inlineStr">
        <is>
          <t>890000</t>
        </is>
      </c>
      <c r="C3765" s="227" t="inlineStr">
        <is>
          <t>Compte de bilan</t>
        </is>
      </c>
      <c r="F3765" s="227" t="inlineStr">
        <is>
          <t>TIRR</t>
        </is>
      </c>
    </row>
    <row r="3766">
      <c r="A3766" s="227">
        <f>TL[[#This Row],[Société]]&amp;" - "&amp;TL[[#This Row],[Compte]]</f>
        <v/>
      </c>
      <c r="B3766" s="233" t="inlineStr">
        <is>
          <t>101000</t>
        </is>
      </c>
      <c r="C3766" s="227" t="inlineStr">
        <is>
          <t>Capital social</t>
        </is>
      </c>
      <c r="F3766" s="227" t="inlineStr">
        <is>
          <t>LYSE</t>
        </is>
      </c>
    </row>
    <row r="3767">
      <c r="A3767" s="227">
        <f>TL[[#This Row],[Société]]&amp;" - "&amp;TL[[#This Row],[Compte]]</f>
        <v/>
      </c>
      <c r="B3767" s="233" t="inlineStr">
        <is>
          <t>101100</t>
        </is>
      </c>
      <c r="C3767" s="227" t="inlineStr">
        <is>
          <t>Capital souscrit-non appelé</t>
        </is>
      </c>
      <c r="F3767" s="227" t="inlineStr">
        <is>
          <t>LYSE</t>
        </is>
      </c>
    </row>
    <row r="3768">
      <c r="A3768" s="227">
        <f>TL[[#This Row],[Société]]&amp;" - "&amp;TL[[#This Row],[Compte]]</f>
        <v/>
      </c>
      <c r="B3768" s="233" t="inlineStr">
        <is>
          <t>101300</t>
        </is>
      </c>
      <c r="C3768" s="227" t="inlineStr">
        <is>
          <t>Capital souscrit-appelé, versé</t>
        </is>
      </c>
      <c r="F3768" s="227" t="inlineStr">
        <is>
          <t>LYSE</t>
        </is>
      </c>
    </row>
    <row r="3769">
      <c r="A3769" s="227">
        <f>TL[[#This Row],[Société]]&amp;" - "&amp;TL[[#This Row],[Compte]]</f>
        <v/>
      </c>
      <c r="B3769" s="233" t="inlineStr">
        <is>
          <t>101800</t>
        </is>
      </c>
      <c r="C3769" s="227" t="inlineStr">
        <is>
          <t>Capital soumis règl. part</t>
        </is>
      </c>
      <c r="F3769" s="227" t="inlineStr">
        <is>
          <t>LYSE</t>
        </is>
      </c>
    </row>
    <row r="3770">
      <c r="A3770" s="227">
        <f>TL[[#This Row],[Société]]&amp;" - "&amp;TL[[#This Row],[Compte]]</f>
        <v/>
      </c>
      <c r="B3770" s="233" t="inlineStr">
        <is>
          <t>106100</t>
        </is>
      </c>
      <c r="C3770" s="227" t="inlineStr">
        <is>
          <t>Réserve légale</t>
        </is>
      </c>
      <c r="F3770" s="227" t="inlineStr">
        <is>
          <t>LYSE</t>
        </is>
      </c>
    </row>
    <row r="3771">
      <c r="A3771" s="227">
        <f>TL[[#This Row],[Société]]&amp;" - "&amp;TL[[#This Row],[Compte]]</f>
        <v/>
      </c>
      <c r="B3771" s="233" t="inlineStr">
        <is>
          <t>106200</t>
        </is>
      </c>
      <c r="C3771" s="227" t="inlineStr">
        <is>
          <t>Reserves indisponibles</t>
        </is>
      </c>
      <c r="F3771" s="227" t="inlineStr">
        <is>
          <t>LYSE</t>
        </is>
      </c>
    </row>
    <row r="3772">
      <c r="A3772" s="227">
        <f>TL[[#This Row],[Société]]&amp;" - "&amp;TL[[#This Row],[Compte]]</f>
        <v/>
      </c>
      <c r="B3772" s="233" t="inlineStr">
        <is>
          <t>106800</t>
        </is>
      </c>
      <c r="C3772" s="227" t="inlineStr">
        <is>
          <t>Autres réserves</t>
        </is>
      </c>
      <c r="F3772" s="227" t="inlineStr">
        <is>
          <t>LYSE</t>
        </is>
      </c>
    </row>
    <row r="3773">
      <c r="A3773" s="227">
        <f>TL[[#This Row],[Société]]&amp;" - "&amp;TL[[#This Row],[Compte]]</f>
        <v/>
      </c>
      <c r="B3773" s="233" t="inlineStr">
        <is>
          <t>106810</t>
        </is>
      </c>
      <c r="C3773" s="227" t="inlineStr">
        <is>
          <t>Réserve spéciale oeuv.art.vivt</t>
        </is>
      </c>
      <c r="F3773" s="227" t="inlineStr">
        <is>
          <t>LYSE</t>
        </is>
      </c>
    </row>
    <row r="3774">
      <c r="A3774" s="227">
        <f>TL[[#This Row],[Société]]&amp;" - "&amp;TL[[#This Row],[Compte]]</f>
        <v/>
      </c>
      <c r="B3774" s="233" t="inlineStr">
        <is>
          <t>120000</t>
        </is>
      </c>
      <c r="C3774" s="227" t="inlineStr">
        <is>
          <t>Bénéfice</t>
        </is>
      </c>
      <c r="F3774" s="227" t="inlineStr">
        <is>
          <t>LYSE</t>
        </is>
      </c>
    </row>
    <row r="3775">
      <c r="A3775" s="227">
        <f>TL[[#This Row],[Société]]&amp;" - "&amp;TL[[#This Row],[Compte]]</f>
        <v/>
      </c>
      <c r="B3775" s="233" t="inlineStr">
        <is>
          <t>129000</t>
        </is>
      </c>
      <c r="C3775" s="227" t="inlineStr">
        <is>
          <t>Perte</t>
        </is>
      </c>
      <c r="F3775" s="227" t="inlineStr">
        <is>
          <t>LYSE</t>
        </is>
      </c>
    </row>
    <row r="3776">
      <c r="A3776" s="227">
        <f>TL[[#This Row],[Société]]&amp;" - "&amp;TL[[#This Row],[Compte]]</f>
        <v/>
      </c>
      <c r="B3776" s="233" t="inlineStr">
        <is>
          <t>145000</t>
        </is>
      </c>
      <c r="C3776" s="227" t="inlineStr">
        <is>
          <t>Amortissements dérogatoires</t>
        </is>
      </c>
      <c r="F3776" s="227" t="inlineStr">
        <is>
          <t>LYSE</t>
        </is>
      </c>
    </row>
    <row r="3777">
      <c r="A3777" s="227">
        <f>TL[[#This Row],[Société]]&amp;" - "&amp;TL[[#This Row],[Compte]]</f>
        <v/>
      </c>
      <c r="B3777" s="233" t="inlineStr">
        <is>
          <t>151800</t>
        </is>
      </c>
      <c r="C3777" s="227" t="inlineStr">
        <is>
          <t>Autres prov. pour risques</t>
        </is>
      </c>
      <c r="F3777" s="227" t="inlineStr">
        <is>
          <t>LYSE</t>
        </is>
      </c>
    </row>
    <row r="3778">
      <c r="A3778" s="227">
        <f>TL[[#This Row],[Société]]&amp;" - "&amp;TL[[#This Row],[Compte]]</f>
        <v/>
      </c>
      <c r="B3778" s="233" t="inlineStr">
        <is>
          <t>153000</t>
        </is>
      </c>
      <c r="C3778" s="227" t="inlineStr">
        <is>
          <t>Provisions pensions &amp; obligat.simil</t>
        </is>
      </c>
      <c r="F3778" s="227" t="inlineStr">
        <is>
          <t>LYSE</t>
        </is>
      </c>
    </row>
    <row r="3779">
      <c r="A3779" s="227">
        <f>TL[[#This Row],[Société]]&amp;" - "&amp;TL[[#This Row],[Compte]]</f>
        <v/>
      </c>
      <c r="B3779" s="233" t="inlineStr">
        <is>
          <t>158000</t>
        </is>
      </c>
      <c r="C3779" s="227" t="inlineStr">
        <is>
          <t>Autres provisions pour charges</t>
        </is>
      </c>
      <c r="F3779" s="227" t="inlineStr">
        <is>
          <t>LYSE</t>
        </is>
      </c>
    </row>
    <row r="3780">
      <c r="A3780" s="227">
        <f>TL[[#This Row],[Société]]&amp;" - "&amp;TL[[#This Row],[Compte]]</f>
        <v/>
      </c>
      <c r="B3780" s="233" t="inlineStr">
        <is>
          <t>164100</t>
        </is>
      </c>
      <c r="C3780" s="227" t="inlineStr">
        <is>
          <t>Emprunt 720 000 €</t>
        </is>
      </c>
      <c r="F3780" s="227" t="inlineStr">
        <is>
          <t>LYSE</t>
        </is>
      </c>
    </row>
    <row r="3781">
      <c r="A3781" s="227">
        <f>TL[[#This Row],[Société]]&amp;" - "&amp;TL[[#This Row],[Compte]]</f>
        <v/>
      </c>
      <c r="B3781" s="233" t="inlineStr">
        <is>
          <t>164200</t>
        </is>
      </c>
      <c r="C3781" s="227" t="inlineStr">
        <is>
          <t>Emprunt CA 200 K€</t>
        </is>
      </c>
      <c r="F3781" s="227" t="inlineStr">
        <is>
          <t>LYSE</t>
        </is>
      </c>
    </row>
    <row r="3782">
      <c r="A3782" s="227">
        <f>TL[[#This Row],[Société]]&amp;" - "&amp;TL[[#This Row],[Compte]]</f>
        <v/>
      </c>
      <c r="B3782" s="233" t="inlineStr">
        <is>
          <t>164300</t>
        </is>
      </c>
      <c r="C3782" s="227" t="inlineStr">
        <is>
          <t>Emprunt CA 150 K€</t>
        </is>
      </c>
      <c r="F3782" s="227" t="inlineStr">
        <is>
          <t>LYSE</t>
        </is>
      </c>
    </row>
    <row r="3783">
      <c r="A3783" s="227">
        <f>TL[[#This Row],[Société]]&amp;" - "&amp;TL[[#This Row],[Compte]]</f>
        <v/>
      </c>
      <c r="B3783" s="233" t="inlineStr">
        <is>
          <t>164400</t>
        </is>
      </c>
      <c r="C3783" s="227" t="inlineStr">
        <is>
          <t>Emprunt CA 143 429 €</t>
        </is>
      </c>
      <c r="F3783" s="227" t="inlineStr">
        <is>
          <t>LYSE</t>
        </is>
      </c>
    </row>
    <row r="3784">
      <c r="A3784" s="227">
        <f>TL[[#This Row],[Société]]&amp;" - "&amp;TL[[#This Row],[Compte]]</f>
        <v/>
      </c>
      <c r="B3784" s="233" t="inlineStr">
        <is>
          <t>164500</t>
        </is>
      </c>
      <c r="C3784" s="227" t="inlineStr">
        <is>
          <t>Emprunt CA 200 K€ COVID-19</t>
        </is>
      </c>
      <c r="F3784" s="227" t="inlineStr">
        <is>
          <t>LYSE</t>
        </is>
      </c>
    </row>
    <row r="3785">
      <c r="A3785" s="227">
        <f>TL[[#This Row],[Société]]&amp;" - "&amp;TL[[#This Row],[Compte]]</f>
        <v/>
      </c>
      <c r="B3785" s="233" t="inlineStr">
        <is>
          <t>164600</t>
        </is>
      </c>
      <c r="C3785" s="227" t="inlineStr">
        <is>
          <t>Emprunt CA 350 K€ COVID19 n°2</t>
        </is>
      </c>
      <c r="F3785" s="227" t="inlineStr">
        <is>
          <t>LYSE</t>
        </is>
      </c>
    </row>
    <row r="3786">
      <c r="A3786" s="227">
        <f>TL[[#This Row],[Société]]&amp;" - "&amp;TL[[#This Row],[Compte]]</f>
        <v/>
      </c>
      <c r="B3786" s="233" t="inlineStr">
        <is>
          <t>164700</t>
        </is>
      </c>
      <c r="C3786" s="227" t="inlineStr">
        <is>
          <t>Emprunt CA 631K€</t>
        </is>
      </c>
      <c r="F3786" s="227" t="inlineStr">
        <is>
          <t>LYSE</t>
        </is>
      </c>
    </row>
    <row r="3787">
      <c r="A3787" s="227">
        <f>TL[[#This Row],[Société]]&amp;" - "&amp;TL[[#This Row],[Compte]]</f>
        <v/>
      </c>
      <c r="B3787" s="233" t="inlineStr">
        <is>
          <t>168800</t>
        </is>
      </c>
      <c r="C3787" s="227" t="inlineStr">
        <is>
          <t>Interets courus /emprunts</t>
        </is>
      </c>
      <c r="F3787" s="227" t="inlineStr">
        <is>
          <t>LYSE</t>
        </is>
      </c>
    </row>
    <row r="3788">
      <c r="A3788" s="227">
        <f>TL[[#This Row],[Société]]&amp;" - "&amp;TL[[#This Row],[Compte]]</f>
        <v/>
      </c>
      <c r="B3788" s="233" t="inlineStr">
        <is>
          <t>201100</t>
        </is>
      </c>
      <c r="C3788" s="227" t="inlineStr">
        <is>
          <t>Frais d etablissement</t>
        </is>
      </c>
      <c r="F3788" s="227" t="inlineStr">
        <is>
          <t>LYSE</t>
        </is>
      </c>
    </row>
    <row r="3789">
      <c r="A3789" s="227">
        <f>TL[[#This Row],[Société]]&amp;" - "&amp;TL[[#This Row],[Compte]]</f>
        <v/>
      </c>
      <c r="B3789" s="233" t="inlineStr">
        <is>
          <t>205000</t>
        </is>
      </c>
      <c r="C3789" s="227" t="inlineStr">
        <is>
          <t>Logiciels</t>
        </is>
      </c>
      <c r="F3789" s="227" t="inlineStr">
        <is>
          <t>LYSE</t>
        </is>
      </c>
    </row>
    <row r="3790">
      <c r="A3790" s="227">
        <f>TL[[#This Row],[Société]]&amp;" - "&amp;TL[[#This Row],[Compte]]</f>
        <v/>
      </c>
      <c r="B3790" s="233" t="inlineStr">
        <is>
          <t>214500</t>
        </is>
      </c>
      <c r="C3790" s="227" t="inlineStr">
        <is>
          <t>Aai des constr.s/sol d aut.</t>
        </is>
      </c>
      <c r="F3790" s="227" t="inlineStr">
        <is>
          <t>LYSE</t>
        </is>
      </c>
    </row>
    <row r="3791">
      <c r="A3791" s="227">
        <f>TL[[#This Row],[Société]]&amp;" - "&amp;TL[[#This Row],[Compte]]</f>
        <v/>
      </c>
      <c r="B3791" s="233" t="inlineStr">
        <is>
          <t>215000</t>
        </is>
      </c>
      <c r="C3791" s="227" t="inlineStr">
        <is>
          <t>Mat.cuisine</t>
        </is>
      </c>
      <c r="F3791" s="227" t="inlineStr">
        <is>
          <t>LYSE</t>
        </is>
      </c>
    </row>
    <row r="3792">
      <c r="A3792" s="227">
        <f>TL[[#This Row],[Société]]&amp;" - "&amp;TL[[#This Row],[Compte]]</f>
        <v/>
      </c>
      <c r="B3792" s="233" t="inlineStr">
        <is>
          <t>215400</t>
        </is>
      </c>
      <c r="C3792" s="227" t="inlineStr">
        <is>
          <t>Materiel de cuisine</t>
        </is>
      </c>
      <c r="F3792" s="227" t="inlineStr">
        <is>
          <t>LYSE</t>
        </is>
      </c>
    </row>
    <row r="3793">
      <c r="A3793" s="227">
        <f>TL[[#This Row],[Société]]&amp;" - "&amp;TL[[#This Row],[Compte]]</f>
        <v/>
      </c>
      <c r="B3793" s="233" t="inlineStr">
        <is>
          <t>215500</t>
        </is>
      </c>
      <c r="C3793" s="227" t="inlineStr">
        <is>
          <t>Outillage industriel</t>
        </is>
      </c>
      <c r="F3793" s="227" t="inlineStr">
        <is>
          <t>LYSE</t>
        </is>
      </c>
    </row>
    <row r="3794">
      <c r="A3794" s="227">
        <f>TL[[#This Row],[Société]]&amp;" - "&amp;TL[[#This Row],[Compte]]</f>
        <v/>
      </c>
      <c r="B3794" s="233" t="inlineStr">
        <is>
          <t>218100</t>
        </is>
      </c>
      <c r="C3794" s="227" t="inlineStr">
        <is>
          <t>Aai divers</t>
        </is>
      </c>
      <c r="F3794" s="227" t="inlineStr">
        <is>
          <t>LYSE</t>
        </is>
      </c>
    </row>
    <row r="3795">
      <c r="A3795" s="227">
        <f>TL[[#This Row],[Société]]&amp;" - "&amp;TL[[#This Row],[Compte]]</f>
        <v/>
      </c>
      <c r="B3795" s="233" t="inlineStr">
        <is>
          <t>218200</t>
        </is>
      </c>
      <c r="C3795" s="227" t="inlineStr">
        <is>
          <t>Matériel de transport</t>
        </is>
      </c>
      <c r="F3795" s="227" t="inlineStr">
        <is>
          <t>LYSE</t>
        </is>
      </c>
    </row>
    <row r="3796">
      <c r="A3796" s="227">
        <f>TL[[#This Row],[Société]]&amp;" - "&amp;TL[[#This Row],[Compte]]</f>
        <v/>
      </c>
      <c r="B3796" s="233" t="inlineStr">
        <is>
          <t>218300</t>
        </is>
      </c>
      <c r="C3796" s="227" t="inlineStr">
        <is>
          <t>Mat.de bureau et informatiq</t>
        </is>
      </c>
      <c r="F3796" s="227" t="inlineStr">
        <is>
          <t>LYSE</t>
        </is>
      </c>
    </row>
    <row r="3797">
      <c r="A3797" s="227">
        <f>TL[[#This Row],[Société]]&amp;" - "&amp;TL[[#This Row],[Compte]]</f>
        <v/>
      </c>
      <c r="B3797" s="233" t="inlineStr">
        <is>
          <t>218400</t>
        </is>
      </c>
      <c r="C3797" s="227" t="inlineStr">
        <is>
          <t>Mobilier de restaurant</t>
        </is>
      </c>
      <c r="F3797" s="227" t="inlineStr">
        <is>
          <t>LYSE</t>
        </is>
      </c>
    </row>
    <row r="3798">
      <c r="A3798" s="227">
        <f>TL[[#This Row],[Société]]&amp;" - "&amp;TL[[#This Row],[Compte]]</f>
        <v/>
      </c>
      <c r="B3798" s="233" t="inlineStr">
        <is>
          <t>231000</t>
        </is>
      </c>
      <c r="C3798" s="227" t="inlineStr">
        <is>
          <t>Immobilsation en cours</t>
        </is>
      </c>
      <c r="F3798" s="227" t="inlineStr">
        <is>
          <t>LYSE</t>
        </is>
      </c>
    </row>
    <row r="3799">
      <c r="A3799" s="227">
        <f>TL[[#This Row],[Société]]&amp;" - "&amp;TL[[#This Row],[Compte]]</f>
        <v/>
      </c>
      <c r="B3799" s="233" t="inlineStr">
        <is>
          <t>238500</t>
        </is>
      </c>
      <c r="C3799" s="227" t="inlineStr">
        <is>
          <t>Avances sur matériel technique</t>
        </is>
      </c>
      <c r="F3799" s="227" t="inlineStr">
        <is>
          <t>LYSE</t>
        </is>
      </c>
    </row>
    <row r="3800">
      <c r="A3800" s="227">
        <f>TL[[#This Row],[Société]]&amp;" - "&amp;TL[[#This Row],[Compte]]</f>
        <v/>
      </c>
      <c r="B3800" s="233" t="inlineStr">
        <is>
          <t>275000</t>
        </is>
      </c>
      <c r="C3800" s="227" t="inlineStr">
        <is>
          <t>Dépôts et cautionnements</t>
        </is>
      </c>
      <c r="F3800" s="227" t="inlineStr">
        <is>
          <t>LYSE</t>
        </is>
      </c>
    </row>
    <row r="3801">
      <c r="A3801" s="227">
        <f>TL[[#This Row],[Société]]&amp;" - "&amp;TL[[#This Row],[Compte]]</f>
        <v/>
      </c>
      <c r="B3801" s="233" t="inlineStr">
        <is>
          <t>275100</t>
        </is>
      </c>
      <c r="C3801" s="227" t="inlineStr">
        <is>
          <t>Depot de garantie</t>
        </is>
      </c>
      <c r="F3801" s="227" t="inlineStr">
        <is>
          <t>LYSE</t>
        </is>
      </c>
    </row>
    <row r="3802">
      <c r="A3802" s="227">
        <f>TL[[#This Row],[Société]]&amp;" - "&amp;TL[[#This Row],[Compte]]</f>
        <v/>
      </c>
      <c r="B3802" s="233" t="inlineStr">
        <is>
          <t>280110</t>
        </is>
      </c>
      <c r="C3802" s="227" t="inlineStr">
        <is>
          <t>Amort.frais d'etablissem.</t>
        </is>
      </c>
      <c r="F3802" s="227" t="inlineStr">
        <is>
          <t>LYSE</t>
        </is>
      </c>
    </row>
    <row r="3803">
      <c r="A3803" s="227">
        <f>TL[[#This Row],[Société]]&amp;" - "&amp;TL[[#This Row],[Compte]]</f>
        <v/>
      </c>
      <c r="B3803" s="233" t="inlineStr">
        <is>
          <t>280500</t>
        </is>
      </c>
      <c r="C3803" s="227" t="inlineStr">
        <is>
          <t>Amort.logiciels</t>
        </is>
      </c>
      <c r="F3803" s="227" t="inlineStr">
        <is>
          <t>LYSE</t>
        </is>
      </c>
    </row>
    <row r="3804">
      <c r="A3804" s="227">
        <f>TL[[#This Row],[Société]]&amp;" - "&amp;TL[[#This Row],[Compte]]</f>
        <v/>
      </c>
      <c r="B3804" s="233" t="inlineStr">
        <is>
          <t>281450</t>
        </is>
      </c>
      <c r="C3804" s="227" t="inlineStr">
        <is>
          <t>Amort.aai const.s/sol autr.</t>
        </is>
      </c>
      <c r="F3804" s="227" t="inlineStr">
        <is>
          <t>LYSE</t>
        </is>
      </c>
    </row>
    <row r="3805">
      <c r="A3805" s="227">
        <f>TL[[#This Row],[Société]]&amp;" - "&amp;TL[[#This Row],[Compte]]</f>
        <v/>
      </c>
      <c r="B3805" s="233" t="inlineStr">
        <is>
          <t>281500</t>
        </is>
      </c>
      <c r="C3805" s="227" t="inlineStr">
        <is>
          <t>Amorts matériel cuisine</t>
        </is>
      </c>
      <c r="F3805" s="227" t="inlineStr">
        <is>
          <t>LYSE</t>
        </is>
      </c>
    </row>
    <row r="3806">
      <c r="A3806" s="227">
        <f>TL[[#This Row],[Société]]&amp;" - "&amp;TL[[#This Row],[Compte]]</f>
        <v/>
      </c>
      <c r="B3806" s="233" t="inlineStr">
        <is>
          <t>281540</t>
        </is>
      </c>
      <c r="C3806" s="227" t="inlineStr">
        <is>
          <t>Amort.materiel et outilla</t>
        </is>
      </c>
      <c r="F3806" s="227" t="inlineStr">
        <is>
          <t>LYSE</t>
        </is>
      </c>
    </row>
    <row r="3807">
      <c r="A3807" s="227">
        <f>TL[[#This Row],[Société]]&amp;" - "&amp;TL[[#This Row],[Compte]]</f>
        <v/>
      </c>
      <c r="B3807" s="233" t="inlineStr">
        <is>
          <t>281550</t>
        </is>
      </c>
      <c r="C3807" s="227" t="inlineStr">
        <is>
          <t>Amorts outillage indust</t>
        </is>
      </c>
      <c r="F3807" s="227" t="inlineStr">
        <is>
          <t>LYSE</t>
        </is>
      </c>
    </row>
    <row r="3808">
      <c r="A3808" s="227">
        <f>TL[[#This Row],[Société]]&amp;" - "&amp;TL[[#This Row],[Compte]]</f>
        <v/>
      </c>
      <c r="B3808" s="233" t="inlineStr">
        <is>
          <t>281810</t>
        </is>
      </c>
      <c r="C3808" s="227" t="inlineStr">
        <is>
          <t>Amort.aai divers</t>
        </is>
      </c>
      <c r="F3808" s="227" t="inlineStr">
        <is>
          <t>LYSE</t>
        </is>
      </c>
    </row>
    <row r="3809">
      <c r="A3809" s="227">
        <f>TL[[#This Row],[Société]]&amp;" - "&amp;TL[[#This Row],[Compte]]</f>
        <v/>
      </c>
      <c r="B3809" s="233" t="inlineStr">
        <is>
          <t>281830</t>
        </is>
      </c>
      <c r="C3809" s="227" t="inlineStr">
        <is>
          <t>Amort.mat.bureau et inform.</t>
        </is>
      </c>
      <c r="F3809" s="227" t="inlineStr">
        <is>
          <t>LYSE</t>
        </is>
      </c>
    </row>
    <row r="3810">
      <c r="A3810" s="227">
        <f>TL[[#This Row],[Société]]&amp;" - "&amp;TL[[#This Row],[Compte]]</f>
        <v/>
      </c>
      <c r="B3810" s="233" t="inlineStr">
        <is>
          <t>281840</t>
        </is>
      </c>
      <c r="C3810" s="227" t="inlineStr">
        <is>
          <t>Amortissements mobilier</t>
        </is>
      </c>
      <c r="F3810" s="227" t="inlineStr">
        <is>
          <t>LYSE</t>
        </is>
      </c>
    </row>
    <row r="3811">
      <c r="A3811" s="227">
        <f>TL[[#This Row],[Société]]&amp;" - "&amp;TL[[#This Row],[Compte]]</f>
        <v/>
      </c>
      <c r="B3811" s="233" t="inlineStr">
        <is>
          <t>297500</t>
        </is>
      </c>
      <c r="C3811" s="227" t="inlineStr">
        <is>
          <t>Prov.depr.depots versem.</t>
        </is>
      </c>
      <c r="F3811" s="227" t="inlineStr">
        <is>
          <t>LYSE</t>
        </is>
      </c>
    </row>
    <row r="3812">
      <c r="A3812" s="227">
        <f>TL[[#This Row],[Société]]&amp;" - "&amp;TL[[#This Row],[Compte]]</f>
        <v/>
      </c>
      <c r="B3812" s="233" t="inlineStr">
        <is>
          <t>310000</t>
        </is>
      </c>
      <c r="C3812" s="227" t="inlineStr">
        <is>
          <t>Stocks nourritures</t>
        </is>
      </c>
      <c r="F3812" s="227" t="inlineStr">
        <is>
          <t>LYSE</t>
        </is>
      </c>
    </row>
    <row r="3813">
      <c r="A3813" s="227">
        <f>TL[[#This Row],[Société]]&amp;" - "&amp;TL[[#This Row],[Compte]]</f>
        <v/>
      </c>
      <c r="B3813" s="233" t="inlineStr">
        <is>
          <t>320000</t>
        </is>
      </c>
      <c r="C3813" s="227" t="inlineStr">
        <is>
          <t>Stocks emballages</t>
        </is>
      </c>
      <c r="F3813" s="227" t="inlineStr">
        <is>
          <t>LYSE</t>
        </is>
      </c>
    </row>
    <row r="3814">
      <c r="A3814" s="227">
        <f>TL[[#This Row],[Société]]&amp;" - "&amp;TL[[#This Row],[Compte]]</f>
        <v/>
      </c>
      <c r="B3814" s="233" t="inlineStr">
        <is>
          <t>321000</t>
        </is>
      </c>
      <c r="C3814" s="227" t="inlineStr">
        <is>
          <t>Stocks pdts non aliment.</t>
        </is>
      </c>
      <c r="F3814" s="227" t="inlineStr">
        <is>
          <t>LYSE</t>
        </is>
      </c>
    </row>
    <row r="3815">
      <c r="A3815" s="227">
        <f>TL[[#This Row],[Société]]&amp;" - "&amp;TL[[#This Row],[Compte]]</f>
        <v/>
      </c>
      <c r="B3815" s="233" t="inlineStr">
        <is>
          <t>401000</t>
        </is>
      </c>
      <c r="C3815" s="227" t="inlineStr">
        <is>
          <t>Fournisseurs</t>
        </is>
      </c>
      <c r="F3815" s="227" t="inlineStr">
        <is>
          <t>LYSE</t>
        </is>
      </c>
    </row>
    <row r="3816">
      <c r="A3816" s="227">
        <f>TL[[#This Row],[Société]]&amp;" - "&amp;TL[[#This Row],[Compte]]</f>
        <v/>
      </c>
      <c r="B3816" s="233" t="inlineStr">
        <is>
          <t>401001</t>
        </is>
      </c>
      <c r="C3816" s="227" t="inlineStr">
        <is>
          <t>Centralisateur débit</t>
        </is>
      </c>
      <c r="F3816" s="227" t="inlineStr">
        <is>
          <t>LYSE</t>
        </is>
      </c>
    </row>
    <row r="3817">
      <c r="A3817" s="227">
        <f>TL[[#This Row],[Société]]&amp;" - "&amp;TL[[#This Row],[Compte]]</f>
        <v/>
      </c>
      <c r="B3817" s="233" t="inlineStr">
        <is>
          <t>401100</t>
        </is>
      </c>
      <c r="C3817" s="227" t="inlineStr">
        <is>
          <t>Fournisseurs débiteurs</t>
        </is>
      </c>
      <c r="F3817" s="227" t="inlineStr">
        <is>
          <t>LYSE</t>
        </is>
      </c>
    </row>
    <row r="3818">
      <c r="A3818" s="227">
        <f>TL[[#This Row],[Société]]&amp;" - "&amp;TL[[#This Row],[Compte]]</f>
        <v/>
      </c>
      <c r="B3818" s="233" t="inlineStr">
        <is>
          <t>404100</t>
        </is>
      </c>
      <c r="C3818" s="227" t="inlineStr">
        <is>
          <t>Fournisseurs d'immobilisations</t>
        </is>
      </c>
      <c r="F3818" s="227" t="inlineStr">
        <is>
          <t>LYSE</t>
        </is>
      </c>
    </row>
    <row r="3819">
      <c r="A3819" s="227">
        <f>TL[[#This Row],[Société]]&amp;" - "&amp;TL[[#This Row],[Compte]]</f>
        <v/>
      </c>
      <c r="B3819" s="233" t="inlineStr">
        <is>
          <t>404110</t>
        </is>
      </c>
      <c r="C3819" s="227" t="inlineStr">
        <is>
          <t>Fournisseur immobilisations</t>
        </is>
      </c>
      <c r="F3819" s="227" t="inlineStr">
        <is>
          <t>LYSE</t>
        </is>
      </c>
    </row>
    <row r="3820">
      <c r="A3820" s="227">
        <f>TL[[#This Row],[Société]]&amp;" - "&amp;TL[[#This Row],[Compte]]</f>
        <v/>
      </c>
      <c r="B3820" s="233" t="inlineStr">
        <is>
          <t>408100</t>
        </is>
      </c>
      <c r="C3820" s="227" t="inlineStr">
        <is>
          <t>Fourniss.fact.non parvenues</t>
        </is>
      </c>
      <c r="F3820" s="227" t="inlineStr">
        <is>
          <t>LYSE</t>
        </is>
      </c>
    </row>
    <row r="3821">
      <c r="A3821" s="227">
        <f>TL[[#This Row],[Société]]&amp;" - "&amp;TL[[#This Row],[Compte]]</f>
        <v/>
      </c>
      <c r="B3821" s="233" t="inlineStr">
        <is>
          <t>409100</t>
        </is>
      </c>
      <c r="C3821" s="227" t="inlineStr">
        <is>
          <t>Fourn avances et acomptes</t>
        </is>
      </c>
      <c r="F3821" s="227" t="inlineStr">
        <is>
          <t>LYSE</t>
        </is>
      </c>
    </row>
    <row r="3822">
      <c r="A3822" s="227">
        <f>TL[[#This Row],[Société]]&amp;" - "&amp;TL[[#This Row],[Compte]]</f>
        <v/>
      </c>
      <c r="B3822" s="233" t="inlineStr">
        <is>
          <t>409600</t>
        </is>
      </c>
      <c r="C3822" s="227" t="inlineStr">
        <is>
          <t>Frs.crea./emb.mat.a rendr</t>
        </is>
      </c>
      <c r="F3822" s="227" t="inlineStr">
        <is>
          <t>LYSE</t>
        </is>
      </c>
    </row>
    <row r="3823">
      <c r="A3823" s="227">
        <f>TL[[#This Row],[Société]]&amp;" - "&amp;TL[[#This Row],[Compte]]</f>
        <v/>
      </c>
      <c r="B3823" s="233" t="inlineStr">
        <is>
          <t>409700</t>
        </is>
      </c>
      <c r="C3823" s="227" t="inlineStr">
        <is>
          <t>Fourn. autres avoirs</t>
        </is>
      </c>
      <c r="F3823" s="227" t="inlineStr">
        <is>
          <t>LYSE</t>
        </is>
      </c>
    </row>
    <row r="3824">
      <c r="A3824" s="227">
        <f>TL[[#This Row],[Société]]&amp;" - "&amp;TL[[#This Row],[Compte]]</f>
        <v/>
      </c>
      <c r="B3824" s="233" t="inlineStr">
        <is>
          <t>409800</t>
        </is>
      </c>
      <c r="C3824" s="227" t="inlineStr">
        <is>
          <t>Rrr a obtenir  avr a recev.</t>
        </is>
      </c>
      <c r="F3824" s="227" t="inlineStr">
        <is>
          <t>LYSE</t>
        </is>
      </c>
    </row>
    <row r="3825">
      <c r="A3825" s="227">
        <f>TL[[#This Row],[Société]]&amp;" - "&amp;TL[[#This Row],[Compte]]</f>
        <v/>
      </c>
      <c r="B3825" s="233" t="inlineStr">
        <is>
          <t>411000</t>
        </is>
      </c>
      <c r="C3825" s="227" t="inlineStr">
        <is>
          <t>Clients</t>
        </is>
      </c>
      <c r="F3825" s="227" t="inlineStr">
        <is>
          <t>LYSE</t>
        </is>
      </c>
    </row>
    <row r="3826">
      <c r="A3826" s="227">
        <f>TL[[#This Row],[Société]]&amp;" - "&amp;TL[[#This Row],[Compte]]</f>
        <v/>
      </c>
      <c r="B3826" s="233" t="inlineStr">
        <is>
          <t>411001</t>
        </is>
      </c>
      <c r="C3826" s="227" t="inlineStr">
        <is>
          <t>Centralisateur crédit</t>
        </is>
      </c>
      <c r="F3826" s="227" t="inlineStr">
        <is>
          <t>LYSE</t>
        </is>
      </c>
    </row>
    <row r="3827">
      <c r="A3827" s="227">
        <f>TL[[#This Row],[Société]]&amp;" - "&amp;TL[[#This Row],[Compte]]</f>
        <v/>
      </c>
      <c r="B3827" s="233" t="inlineStr">
        <is>
          <t>411100</t>
        </is>
      </c>
      <c r="C3827" s="227" t="inlineStr">
        <is>
          <t>Clients</t>
        </is>
      </c>
      <c r="F3827" s="227" t="inlineStr">
        <is>
          <t>LYSE</t>
        </is>
      </c>
    </row>
    <row r="3828">
      <c r="A3828" s="227">
        <f>TL[[#This Row],[Société]]&amp;" - "&amp;TL[[#This Row],[Compte]]</f>
        <v/>
      </c>
      <c r="B3828" s="233" t="inlineStr">
        <is>
          <t>411999</t>
        </is>
      </c>
      <c r="C3828" s="227" t="inlineStr">
        <is>
          <t>Collectif client divers</t>
        </is>
      </c>
      <c r="F3828" s="227" t="inlineStr">
        <is>
          <t>LYSE</t>
        </is>
      </c>
    </row>
    <row r="3829">
      <c r="A3829" s="227">
        <f>TL[[#This Row],[Société]]&amp;" - "&amp;TL[[#This Row],[Compte]]</f>
        <v/>
      </c>
      <c r="B3829" s="233" t="inlineStr">
        <is>
          <t>416000</t>
        </is>
      </c>
      <c r="C3829" s="227" t="inlineStr">
        <is>
          <t>Clients douteux litigieux</t>
        </is>
      </c>
      <c r="F3829" s="227" t="inlineStr">
        <is>
          <t>LYSE</t>
        </is>
      </c>
    </row>
    <row r="3830">
      <c r="A3830" s="227">
        <f>TL[[#This Row],[Société]]&amp;" - "&amp;TL[[#This Row],[Compte]]</f>
        <v/>
      </c>
      <c r="B3830" s="233" t="inlineStr">
        <is>
          <t>418100</t>
        </is>
      </c>
      <c r="C3830" s="227" t="inlineStr">
        <is>
          <t>Clients fact. à établir</t>
        </is>
      </c>
      <c r="F3830" s="227" t="inlineStr">
        <is>
          <t>LYSE</t>
        </is>
      </c>
    </row>
    <row r="3831">
      <c r="A3831" s="227">
        <f>TL[[#This Row],[Société]]&amp;" - "&amp;TL[[#This Row],[Compte]]</f>
        <v/>
      </c>
      <c r="B3831" s="233" t="inlineStr">
        <is>
          <t>419100</t>
        </is>
      </c>
      <c r="C3831" s="227" t="inlineStr">
        <is>
          <t>Clients - acomptes sur commandes</t>
        </is>
      </c>
      <c r="F3831" s="227" t="inlineStr">
        <is>
          <t>LYSE</t>
        </is>
      </c>
    </row>
    <row r="3832">
      <c r="A3832" s="227">
        <f>TL[[#This Row],[Société]]&amp;" - "&amp;TL[[#This Row],[Compte]]</f>
        <v/>
      </c>
      <c r="B3832" s="233" t="inlineStr">
        <is>
          <t>419800</t>
        </is>
      </c>
      <c r="C3832" s="227" t="inlineStr">
        <is>
          <t>Clients - rrr à accorder</t>
        </is>
      </c>
      <c r="F3832" s="227" t="inlineStr">
        <is>
          <t>LYSE</t>
        </is>
      </c>
    </row>
    <row r="3833">
      <c r="A3833" s="227">
        <f>TL[[#This Row],[Société]]&amp;" - "&amp;TL[[#This Row],[Compte]]</f>
        <v/>
      </c>
      <c r="B3833" s="233" t="inlineStr">
        <is>
          <t>421000</t>
        </is>
      </c>
      <c r="C3833" s="227" t="inlineStr">
        <is>
          <t>Remuner.dues au personnel</t>
        </is>
      </c>
      <c r="F3833" s="227" t="inlineStr">
        <is>
          <t>LYSE</t>
        </is>
      </c>
    </row>
    <row r="3834">
      <c r="A3834" s="227">
        <f>TL[[#This Row],[Société]]&amp;" - "&amp;TL[[#This Row],[Compte]]</f>
        <v/>
      </c>
      <c r="B3834" s="233" t="inlineStr">
        <is>
          <t>421010</t>
        </is>
      </c>
      <c r="C3834" s="227" t="inlineStr">
        <is>
          <t>Soldes de tout compte</t>
        </is>
      </c>
      <c r="F3834" s="227" t="inlineStr">
        <is>
          <t>LYSE</t>
        </is>
      </c>
    </row>
    <row r="3835">
      <c r="A3835" s="227">
        <f>TL[[#This Row],[Société]]&amp;" - "&amp;TL[[#This Row],[Compte]]</f>
        <v/>
      </c>
      <c r="B3835" s="233" t="inlineStr">
        <is>
          <t>421444</t>
        </is>
      </c>
      <c r="C3835" s="227" t="inlineStr">
        <is>
          <t>Salariés</t>
        </is>
      </c>
      <c r="F3835" s="227" t="inlineStr">
        <is>
          <t>LYSE</t>
        </is>
      </c>
    </row>
    <row r="3836">
      <c r="A3836" s="227">
        <f>TL[[#This Row],[Société]]&amp;" - "&amp;TL[[#This Row],[Compte]]</f>
        <v/>
      </c>
      <c r="B3836" s="233" t="inlineStr">
        <is>
          <t>425000</t>
        </is>
      </c>
      <c r="C3836" s="227" t="inlineStr">
        <is>
          <t>Personnel avanc.et acptes</t>
        </is>
      </c>
      <c r="F3836" s="227" t="inlineStr">
        <is>
          <t>LYSE</t>
        </is>
      </c>
    </row>
    <row r="3837">
      <c r="A3837" s="227">
        <f>TL[[#This Row],[Société]]&amp;" - "&amp;TL[[#This Row],[Compte]]</f>
        <v/>
      </c>
      <c r="B3837" s="233" t="inlineStr">
        <is>
          <t>425100</t>
        </is>
      </c>
      <c r="C3837" s="227" t="inlineStr">
        <is>
          <t>Frais de personnel</t>
        </is>
      </c>
      <c r="F3837" s="227" t="inlineStr">
        <is>
          <t>LYSE</t>
        </is>
      </c>
    </row>
    <row r="3838">
      <c r="A3838" s="227">
        <f>TL[[#This Row],[Société]]&amp;" - "&amp;TL[[#This Row],[Compte]]</f>
        <v/>
      </c>
      <c r="B3838" s="233" t="inlineStr">
        <is>
          <t>427000</t>
        </is>
      </c>
      <c r="C3838" s="227" t="inlineStr">
        <is>
          <t>Personnel oppositions</t>
        </is>
      </c>
      <c r="F3838" s="227" t="inlineStr">
        <is>
          <t>LYSE</t>
        </is>
      </c>
    </row>
    <row r="3839">
      <c r="A3839" s="227">
        <f>TL[[#This Row],[Société]]&amp;" - "&amp;TL[[#This Row],[Compte]]</f>
        <v/>
      </c>
      <c r="B3839" s="233" t="inlineStr">
        <is>
          <t>428200</t>
        </is>
      </c>
      <c r="C3839" s="227" t="inlineStr">
        <is>
          <t>Dettes prov. congés payés</t>
        </is>
      </c>
      <c r="F3839" s="227" t="inlineStr">
        <is>
          <t>LYSE</t>
        </is>
      </c>
    </row>
    <row r="3840">
      <c r="A3840" s="227">
        <f>TL[[#This Row],[Société]]&amp;" - "&amp;TL[[#This Row],[Compte]]</f>
        <v/>
      </c>
      <c r="B3840" s="233" t="inlineStr">
        <is>
          <t>428600</t>
        </is>
      </c>
      <c r="C3840" s="227" t="inlineStr">
        <is>
          <t>Prov. pour gratifications</t>
        </is>
      </c>
      <c r="F3840" s="227" t="inlineStr">
        <is>
          <t>LYSE</t>
        </is>
      </c>
    </row>
    <row r="3841">
      <c r="A3841" s="227">
        <f>TL[[#This Row],[Société]]&amp;" - "&amp;TL[[#This Row],[Compte]]</f>
        <v/>
      </c>
      <c r="B3841" s="233" t="inlineStr">
        <is>
          <t>431000</t>
        </is>
      </c>
      <c r="C3841" s="227" t="inlineStr">
        <is>
          <t>Urssaf</t>
        </is>
      </c>
      <c r="F3841" s="227" t="inlineStr">
        <is>
          <t>LYSE</t>
        </is>
      </c>
    </row>
    <row r="3842">
      <c r="A3842" s="227">
        <f>TL[[#This Row],[Société]]&amp;" - "&amp;TL[[#This Row],[Compte]]</f>
        <v/>
      </c>
      <c r="B3842" s="233" t="inlineStr">
        <is>
          <t>433860</t>
        </is>
      </c>
      <c r="C3842" s="227" t="inlineStr">
        <is>
          <t>SALAIRES 04/2022</t>
        </is>
      </c>
      <c r="F3842" s="227" t="inlineStr">
        <is>
          <t>LYSE</t>
        </is>
      </c>
    </row>
    <row r="3843">
      <c r="A3843" s="227">
        <f>TL[[#This Row],[Société]]&amp;" - "&amp;TL[[#This Row],[Compte]]</f>
        <v/>
      </c>
      <c r="B3843" s="233" t="inlineStr">
        <is>
          <t>437000</t>
        </is>
      </c>
      <c r="C3843" s="227" t="inlineStr">
        <is>
          <t>Rsi</t>
        </is>
      </c>
      <c r="F3843" s="227" t="inlineStr">
        <is>
          <t>LYSE</t>
        </is>
      </c>
    </row>
    <row r="3844">
      <c r="A3844" s="227">
        <f>TL[[#This Row],[Société]]&amp;" - "&amp;TL[[#This Row],[Compte]]</f>
        <v/>
      </c>
      <c r="B3844" s="233" t="inlineStr">
        <is>
          <t>437010</t>
        </is>
      </c>
      <c r="C3844" s="227" t="inlineStr">
        <is>
          <t>La mondiale</t>
        </is>
      </c>
      <c r="F3844" s="227" t="inlineStr">
        <is>
          <t>LYSE</t>
        </is>
      </c>
    </row>
    <row r="3845">
      <c r="A3845" s="227">
        <f>TL[[#This Row],[Société]]&amp;" - "&amp;TL[[#This Row],[Compte]]</f>
        <v/>
      </c>
      <c r="B3845" s="233" t="inlineStr">
        <is>
          <t>437015</t>
        </is>
      </c>
      <c r="C3845" s="227" t="inlineStr">
        <is>
          <t>Malakoff retraite</t>
        </is>
      </c>
      <c r="F3845" s="227" t="inlineStr">
        <is>
          <t>LYSE</t>
        </is>
      </c>
    </row>
    <row r="3846">
      <c r="A3846" s="227">
        <f>TL[[#This Row],[Société]]&amp;" - "&amp;TL[[#This Row],[Compte]]</f>
        <v/>
      </c>
      <c r="B3846" s="233" t="inlineStr">
        <is>
          <t>437020</t>
        </is>
      </c>
      <c r="C3846" s="227" t="inlineStr">
        <is>
          <t>Klesia</t>
        </is>
      </c>
      <c r="F3846" s="227" t="inlineStr">
        <is>
          <t>LYSE</t>
        </is>
      </c>
    </row>
    <row r="3847">
      <c r="A3847" s="227">
        <f>TL[[#This Row],[Société]]&amp;" - "&amp;TL[[#This Row],[Compte]]</f>
        <v/>
      </c>
      <c r="B3847" s="233" t="inlineStr">
        <is>
          <t>437025</t>
        </is>
      </c>
      <c r="C3847" s="227" t="inlineStr">
        <is>
          <t>Groupe mornay npu</t>
        </is>
      </c>
      <c r="F3847" s="227" t="inlineStr">
        <is>
          <t>LYSE</t>
        </is>
      </c>
    </row>
    <row r="3848">
      <c r="A3848" s="227">
        <f>TL[[#This Row],[Société]]&amp;" - "&amp;TL[[#This Row],[Compte]]</f>
        <v/>
      </c>
      <c r="B3848" s="233" t="inlineStr">
        <is>
          <t>437026</t>
        </is>
      </c>
      <c r="C3848" s="227" t="inlineStr">
        <is>
          <t>Klesia</t>
        </is>
      </c>
      <c r="F3848" s="227" t="inlineStr">
        <is>
          <t>LYSE</t>
        </is>
      </c>
    </row>
    <row r="3849">
      <c r="A3849" s="227">
        <f>TL[[#This Row],[Société]]&amp;" - "&amp;TL[[#This Row],[Compte]]</f>
        <v/>
      </c>
      <c r="B3849" s="233" t="inlineStr">
        <is>
          <t>437030</t>
        </is>
      </c>
      <c r="C3849" s="227" t="inlineStr">
        <is>
          <t>Pole emploi</t>
        </is>
      </c>
      <c r="F3849" s="227" t="inlineStr">
        <is>
          <t>LYSE</t>
        </is>
      </c>
    </row>
    <row r="3850">
      <c r="A3850" s="227">
        <f>TL[[#This Row],[Société]]&amp;" - "&amp;TL[[#This Row],[Compte]]</f>
        <v/>
      </c>
      <c r="B3850" s="233" t="inlineStr">
        <is>
          <t>437040</t>
        </is>
      </c>
      <c r="C3850" s="227" t="inlineStr">
        <is>
          <t>Prédica</t>
        </is>
      </c>
      <c r="F3850" s="227" t="inlineStr">
        <is>
          <t>LYSE</t>
        </is>
      </c>
    </row>
    <row r="3851">
      <c r="A3851" s="227">
        <f>TL[[#This Row],[Société]]&amp;" - "&amp;TL[[#This Row],[Compte]]</f>
        <v/>
      </c>
      <c r="B3851" s="233" t="inlineStr">
        <is>
          <t>437060</t>
        </is>
      </c>
      <c r="C3851" s="227" t="inlineStr">
        <is>
          <t>PRELVT IMPOT SOURCE</t>
        </is>
      </c>
      <c r="F3851" s="227" t="inlineStr">
        <is>
          <t>LYSE</t>
        </is>
      </c>
    </row>
    <row r="3852">
      <c r="A3852" s="227">
        <f>TL[[#This Row],[Société]]&amp;" - "&amp;TL[[#This Row],[Compte]]</f>
        <v/>
      </c>
      <c r="B3852" s="233" t="inlineStr">
        <is>
          <t>438000</t>
        </is>
      </c>
      <c r="C3852" s="227" t="inlineStr">
        <is>
          <t>SALAIRES 04/2022</t>
        </is>
      </c>
      <c r="F3852" s="227" t="inlineStr">
        <is>
          <t>LYSE</t>
        </is>
      </c>
    </row>
    <row r="3853">
      <c r="A3853" s="227">
        <f>TL[[#This Row],[Société]]&amp;" - "&amp;TL[[#This Row],[Compte]]</f>
        <v/>
      </c>
      <c r="B3853" s="233" t="inlineStr">
        <is>
          <t>438200</t>
        </is>
      </c>
      <c r="C3853" s="227" t="inlineStr">
        <is>
          <t>Extourne Provision CP - mars 2022 (</t>
        </is>
      </c>
      <c r="F3853" s="227" t="inlineStr">
        <is>
          <t>LYSE</t>
        </is>
      </c>
    </row>
    <row r="3854">
      <c r="A3854" s="227">
        <f>TL[[#This Row],[Société]]&amp;" - "&amp;TL[[#This Row],[Compte]]</f>
        <v/>
      </c>
      <c r="B3854" s="233" t="inlineStr">
        <is>
          <t>438600</t>
        </is>
      </c>
      <c r="C3854" s="227" t="inlineStr">
        <is>
          <t>Charges sociales à payer</t>
        </is>
      </c>
      <c r="F3854" s="227" t="inlineStr">
        <is>
          <t>LYSE</t>
        </is>
      </c>
    </row>
    <row r="3855">
      <c r="A3855" s="227">
        <f>TL[[#This Row],[Société]]&amp;" - "&amp;TL[[#This Row],[Compte]]</f>
        <v/>
      </c>
      <c r="B3855" s="233" t="inlineStr">
        <is>
          <t>438610</t>
        </is>
      </c>
      <c r="C3855" s="227" t="inlineStr">
        <is>
          <t>Taxe d'apprentissage - VL</t>
        </is>
      </c>
      <c r="F3855" s="227" t="inlineStr">
        <is>
          <t>LYSE</t>
        </is>
      </c>
    </row>
    <row r="3856">
      <c r="A3856" s="227">
        <f>TL[[#This Row],[Société]]&amp;" - "&amp;TL[[#This Row],[Compte]]</f>
        <v/>
      </c>
      <c r="B3856" s="233" t="inlineStr">
        <is>
          <t>438620</t>
        </is>
      </c>
      <c r="C3856" s="227" t="inlineStr">
        <is>
          <t>Paritarisme - CF</t>
        </is>
      </c>
      <c r="F3856" s="227" t="inlineStr">
        <is>
          <t>LYSE</t>
        </is>
      </c>
    </row>
    <row r="3857">
      <c r="A3857" s="227">
        <f>TL[[#This Row],[Société]]&amp;" - "&amp;TL[[#This Row],[Compte]]</f>
        <v/>
      </c>
      <c r="B3857" s="233" t="inlineStr">
        <is>
          <t>438700</t>
        </is>
      </c>
      <c r="C3857" s="227" t="inlineStr">
        <is>
          <t>Charges sociales - produits à recev</t>
        </is>
      </c>
      <c r="F3857" s="227" t="inlineStr">
        <is>
          <t>LYSE</t>
        </is>
      </c>
    </row>
    <row r="3858">
      <c r="A3858" s="227">
        <f>TL[[#This Row],[Société]]&amp;" - "&amp;TL[[#This Row],[Compte]]</f>
        <v/>
      </c>
      <c r="B3858" s="233" t="inlineStr">
        <is>
          <t>442000</t>
        </is>
      </c>
      <c r="C3858" s="227" t="inlineStr">
        <is>
          <t>Prel.liberatoires fiscaux</t>
        </is>
      </c>
      <c r="F3858" s="227" t="inlineStr">
        <is>
          <t>LYSE</t>
        </is>
      </c>
    </row>
    <row r="3859">
      <c r="A3859" s="227">
        <f>TL[[#This Row],[Société]]&amp;" - "&amp;TL[[#This Row],[Compte]]</f>
        <v/>
      </c>
      <c r="B3859" s="233" t="inlineStr">
        <is>
          <t>442100</t>
        </is>
      </c>
      <c r="C3859" s="227" t="inlineStr">
        <is>
          <t>Prel.liberatoires sociaux</t>
        </is>
      </c>
      <c r="F3859" s="227" t="inlineStr">
        <is>
          <t>LYSE</t>
        </is>
      </c>
    </row>
    <row r="3860">
      <c r="A3860" s="227">
        <f>TL[[#This Row],[Société]]&amp;" - "&amp;TL[[#This Row],[Compte]]</f>
        <v/>
      </c>
      <c r="B3860" s="233" t="inlineStr">
        <is>
          <t>443200</t>
        </is>
      </c>
      <c r="C3860" s="227" t="inlineStr">
        <is>
          <t>Indemnités chomage partiel</t>
        </is>
      </c>
      <c r="F3860" s="227" t="inlineStr">
        <is>
          <t>LYSE</t>
        </is>
      </c>
    </row>
    <row r="3861">
      <c r="A3861" s="227">
        <f>TL[[#This Row],[Société]]&amp;" - "&amp;TL[[#This Row],[Compte]]</f>
        <v/>
      </c>
      <c r="B3861" s="233" t="inlineStr">
        <is>
          <t>444000</t>
        </is>
      </c>
      <c r="C3861" s="227" t="inlineStr">
        <is>
          <t>Impots sur les benefices</t>
        </is>
      </c>
      <c r="F3861" s="227" t="inlineStr">
        <is>
          <t>LYSE</t>
        </is>
      </c>
    </row>
    <row r="3862">
      <c r="A3862" s="227">
        <f>TL[[#This Row],[Société]]&amp;" - "&amp;TL[[#This Row],[Compte]]</f>
        <v/>
      </c>
      <c r="B3862" s="233" t="inlineStr">
        <is>
          <t>445200</t>
        </is>
      </c>
      <c r="C3862" s="227" t="inlineStr">
        <is>
          <t>Tva deduct.intracommunautaire</t>
        </is>
      </c>
      <c r="F3862" s="227" t="inlineStr">
        <is>
          <t>LYSE</t>
        </is>
      </c>
    </row>
    <row r="3863">
      <c r="A3863" s="227">
        <f>TL[[#This Row],[Société]]&amp;" - "&amp;TL[[#This Row],[Compte]]</f>
        <v/>
      </c>
      <c r="B3863" s="233" t="inlineStr">
        <is>
          <t>445510</t>
        </is>
      </c>
      <c r="C3863" s="227" t="inlineStr">
        <is>
          <t>Tva a decaisser</t>
        </is>
      </c>
      <c r="F3863" s="227" t="inlineStr">
        <is>
          <t>LYSE</t>
        </is>
      </c>
    </row>
    <row r="3864">
      <c r="A3864" s="227">
        <f>TL[[#This Row],[Société]]&amp;" - "&amp;TL[[#This Row],[Compte]]</f>
        <v/>
      </c>
      <c r="B3864" s="233" t="inlineStr">
        <is>
          <t>445620</t>
        </is>
      </c>
      <c r="C3864" s="227" t="inlineStr">
        <is>
          <t>Tva/immobilis.deductible</t>
        </is>
      </c>
      <c r="F3864" s="227" t="inlineStr">
        <is>
          <t>LYSE</t>
        </is>
      </c>
    </row>
    <row r="3865">
      <c r="A3865" s="227">
        <f>TL[[#This Row],[Société]]&amp;" - "&amp;TL[[#This Row],[Compte]]</f>
        <v/>
      </c>
      <c r="B3865" s="233" t="inlineStr">
        <is>
          <t>445621</t>
        </is>
      </c>
      <c r="C3865" s="227" t="inlineStr">
        <is>
          <t>Tva immo - encaissements</t>
        </is>
      </c>
      <c r="F3865" s="227" t="inlineStr">
        <is>
          <t>LYSE</t>
        </is>
      </c>
    </row>
    <row r="3866">
      <c r="A3866" s="227">
        <f>TL[[#This Row],[Société]]&amp;" - "&amp;TL[[#This Row],[Compte]]</f>
        <v/>
      </c>
      <c r="B3866" s="233" t="inlineStr">
        <is>
          <t>445660</t>
        </is>
      </c>
      <c r="C3866" s="227" t="inlineStr">
        <is>
          <t>Tva/abs</t>
        </is>
      </c>
      <c r="F3866" s="227" t="inlineStr">
        <is>
          <t>LYSE</t>
        </is>
      </c>
    </row>
    <row r="3867">
      <c r="A3867" s="227">
        <f>TL[[#This Row],[Société]]&amp;" - "&amp;TL[[#This Row],[Compte]]</f>
        <v/>
      </c>
      <c r="B3867" s="233" t="inlineStr">
        <is>
          <t>445661</t>
        </is>
      </c>
      <c r="C3867" s="227" t="inlineStr">
        <is>
          <t>Tva/prest.services</t>
        </is>
      </c>
      <c r="F3867" s="227" t="inlineStr">
        <is>
          <t>LYSE</t>
        </is>
      </c>
    </row>
    <row r="3868">
      <c r="A3868" s="227">
        <f>TL[[#This Row],[Société]]&amp;" - "&amp;TL[[#This Row],[Compte]]</f>
        <v/>
      </c>
      <c r="B3868" s="233" t="inlineStr">
        <is>
          <t>445662</t>
        </is>
      </c>
      <c r="C3868" s="227" t="inlineStr">
        <is>
          <t>Tva due intracommunautaire</t>
        </is>
      </c>
      <c r="F3868" s="227" t="inlineStr">
        <is>
          <t>LYSE</t>
        </is>
      </c>
    </row>
    <row r="3869">
      <c r="A3869" s="227">
        <f>TL[[#This Row],[Société]]&amp;" - "&amp;TL[[#This Row],[Compte]]</f>
        <v/>
      </c>
      <c r="B3869" s="233" t="inlineStr">
        <is>
          <t>445670</t>
        </is>
      </c>
      <c r="C3869" s="227" t="inlineStr">
        <is>
          <t>Credit de tva a reporte</t>
        </is>
      </c>
      <c r="F3869" s="227" t="inlineStr">
        <is>
          <t>LYSE</t>
        </is>
      </c>
    </row>
    <row r="3870">
      <c r="A3870" s="227">
        <f>TL[[#This Row],[Société]]&amp;" - "&amp;TL[[#This Row],[Compte]]</f>
        <v/>
      </c>
      <c r="B3870" s="233" t="inlineStr">
        <is>
          <t>445710</t>
        </is>
      </c>
      <c r="C3870" s="227" t="inlineStr">
        <is>
          <t>Tva a 5.5%</t>
        </is>
      </c>
      <c r="F3870" s="227" t="inlineStr">
        <is>
          <t>LYSE</t>
        </is>
      </c>
    </row>
    <row r="3871">
      <c r="A3871" s="227">
        <f>TL[[#This Row],[Société]]&amp;" - "&amp;TL[[#This Row],[Compte]]</f>
        <v/>
      </c>
      <c r="B3871" s="233" t="inlineStr">
        <is>
          <t>445711</t>
        </is>
      </c>
      <c r="C3871" s="227" t="inlineStr">
        <is>
          <t>Tva à 7 %</t>
        </is>
      </c>
      <c r="F3871" s="227" t="inlineStr">
        <is>
          <t>LYSE</t>
        </is>
      </c>
    </row>
    <row r="3872">
      <c r="A3872" s="227">
        <f>TL[[#This Row],[Société]]&amp;" - "&amp;TL[[#This Row],[Compte]]</f>
        <v/>
      </c>
      <c r="B3872" s="233" t="inlineStr">
        <is>
          <t>445713</t>
        </is>
      </c>
      <c r="C3872" s="227" t="inlineStr">
        <is>
          <t>Tva intra communautaire</t>
        </is>
      </c>
      <c r="F3872" s="227" t="inlineStr">
        <is>
          <t>LYSE</t>
        </is>
      </c>
    </row>
    <row r="3873">
      <c r="A3873" s="227">
        <f>TL[[#This Row],[Société]]&amp;" - "&amp;TL[[#This Row],[Compte]]</f>
        <v/>
      </c>
      <c r="B3873" s="233" t="inlineStr">
        <is>
          <t>445714</t>
        </is>
      </c>
      <c r="C3873" s="227" t="inlineStr">
        <is>
          <t>Tva a 19.6%</t>
        </is>
      </c>
      <c r="F3873" s="227" t="inlineStr">
        <is>
          <t>LYSE</t>
        </is>
      </c>
    </row>
    <row r="3874">
      <c r="A3874" s="227">
        <f>TL[[#This Row],[Société]]&amp;" - "&amp;TL[[#This Row],[Compte]]</f>
        <v/>
      </c>
      <c r="B3874" s="233" t="inlineStr">
        <is>
          <t>445715</t>
        </is>
      </c>
      <c r="C3874" s="227" t="inlineStr">
        <is>
          <t>Tva 19.6% lr service</t>
        </is>
      </c>
      <c r="F3874" s="227" t="inlineStr">
        <is>
          <t>LYSE</t>
        </is>
      </c>
    </row>
    <row r="3875">
      <c r="A3875" s="227">
        <f>TL[[#This Row],[Société]]&amp;" - "&amp;TL[[#This Row],[Compte]]</f>
        <v/>
      </c>
      <c r="B3875" s="233" t="inlineStr">
        <is>
          <t>445716</t>
        </is>
      </c>
      <c r="C3875" s="227" t="inlineStr">
        <is>
          <t>Tva à 10 %</t>
        </is>
      </c>
      <c r="F3875" s="227" t="inlineStr">
        <is>
          <t>LYSE</t>
        </is>
      </c>
    </row>
    <row r="3876">
      <c r="A3876" s="227">
        <f>TL[[#This Row],[Société]]&amp;" - "&amp;TL[[#This Row],[Compte]]</f>
        <v/>
      </c>
      <c r="B3876" s="233" t="inlineStr">
        <is>
          <t>445717</t>
        </is>
      </c>
      <c r="C3876" s="227" t="inlineStr">
        <is>
          <t>Tva lr service 20 %</t>
        </is>
      </c>
      <c r="F3876" s="227" t="inlineStr">
        <is>
          <t>LYSE</t>
        </is>
      </c>
    </row>
    <row r="3877">
      <c r="A3877" s="227">
        <f>TL[[#This Row],[Société]]&amp;" - "&amp;TL[[#This Row],[Compte]]</f>
        <v/>
      </c>
      <c r="B3877" s="233" t="inlineStr">
        <is>
          <t>445720</t>
        </is>
      </c>
      <c r="C3877" s="227" t="inlineStr">
        <is>
          <t>Tva à 20 %</t>
        </is>
      </c>
      <c r="F3877" s="227" t="inlineStr">
        <is>
          <t>LYSE</t>
        </is>
      </c>
    </row>
    <row r="3878">
      <c r="A3878" s="227">
        <f>TL[[#This Row],[Société]]&amp;" - "&amp;TL[[#This Row],[Compte]]</f>
        <v/>
      </c>
      <c r="B3878" s="233" t="inlineStr">
        <is>
          <t>445830</t>
        </is>
      </c>
      <c r="C3878" s="227" t="inlineStr">
        <is>
          <t>Remboursement tva demandé</t>
        </is>
      </c>
      <c r="F3878" s="227" t="inlineStr">
        <is>
          <t>LYSE</t>
        </is>
      </c>
    </row>
    <row r="3879">
      <c r="A3879" s="227">
        <f>TL[[#This Row],[Société]]&amp;" - "&amp;TL[[#This Row],[Compte]]</f>
        <v/>
      </c>
      <c r="B3879" s="233" t="inlineStr">
        <is>
          <t>445860</t>
        </is>
      </c>
      <c r="C3879" s="227" t="inlineStr">
        <is>
          <t>Tva s/fact. non parvenues</t>
        </is>
      </c>
      <c r="F3879" s="227" t="inlineStr">
        <is>
          <t>LYSE</t>
        </is>
      </c>
    </row>
    <row r="3880">
      <c r="A3880" s="227">
        <f>TL[[#This Row],[Société]]&amp;" - "&amp;TL[[#This Row],[Compte]]</f>
        <v/>
      </c>
      <c r="B3880" s="233" t="inlineStr">
        <is>
          <t>445865</t>
        </is>
      </c>
      <c r="C3880" s="227" t="inlineStr">
        <is>
          <t>Tca s/avoirs non parvenu.</t>
        </is>
      </c>
      <c r="F3880" s="227" t="inlineStr">
        <is>
          <t>LYSE</t>
        </is>
      </c>
    </row>
    <row r="3881">
      <c r="A3881" s="227">
        <f>TL[[#This Row],[Société]]&amp;" - "&amp;TL[[#This Row],[Compte]]</f>
        <v/>
      </c>
      <c r="B3881" s="233" t="inlineStr">
        <is>
          <t>445870</t>
        </is>
      </c>
      <c r="C3881" s="227" t="inlineStr">
        <is>
          <t>Tva sur factures à établir</t>
        </is>
      </c>
      <c r="F3881" s="227" t="inlineStr">
        <is>
          <t>LYSE</t>
        </is>
      </c>
    </row>
    <row r="3882">
      <c r="A3882" s="227">
        <f>TL[[#This Row],[Société]]&amp;" - "&amp;TL[[#This Row],[Compte]]</f>
        <v/>
      </c>
      <c r="B3882" s="233" t="inlineStr">
        <is>
          <t>445871</t>
        </is>
      </c>
      <c r="C3882" s="227" t="inlineStr">
        <is>
          <t>Tva sur avoir à établir</t>
        </is>
      </c>
      <c r="F3882" s="227" t="inlineStr">
        <is>
          <t>LYSE</t>
        </is>
      </c>
    </row>
    <row r="3883">
      <c r="A3883" s="227">
        <f>TL[[#This Row],[Société]]&amp;" - "&amp;TL[[#This Row],[Compte]]</f>
        <v/>
      </c>
      <c r="B3883" s="233" t="inlineStr">
        <is>
          <t>448600</t>
        </is>
      </c>
      <c r="C3883" s="227" t="inlineStr">
        <is>
          <t>Etat - charges à payer</t>
        </is>
      </c>
      <c r="F3883" s="227" t="inlineStr">
        <is>
          <t>LYSE</t>
        </is>
      </c>
    </row>
    <row r="3884">
      <c r="A3884" s="227">
        <f>TL[[#This Row],[Société]]&amp;" - "&amp;TL[[#This Row],[Compte]]</f>
        <v/>
      </c>
      <c r="B3884" s="233" t="inlineStr">
        <is>
          <t>448700</t>
        </is>
      </c>
      <c r="C3884" s="227" t="inlineStr">
        <is>
          <t>Etats produits à recevoir</t>
        </is>
      </c>
      <c r="F3884" s="227" t="inlineStr">
        <is>
          <t>LYSE</t>
        </is>
      </c>
    </row>
    <row r="3885">
      <c r="A3885" s="227">
        <f>TL[[#This Row],[Société]]&amp;" - "&amp;TL[[#This Row],[Compte]]</f>
        <v/>
      </c>
      <c r="B3885" s="233" t="inlineStr">
        <is>
          <t>455000</t>
        </is>
      </c>
      <c r="C3885" s="227" t="inlineStr">
        <is>
          <t>Cc régis rego</t>
        </is>
      </c>
      <c r="F3885" s="227" t="inlineStr">
        <is>
          <t>LYSE</t>
        </is>
      </c>
    </row>
    <row r="3886">
      <c r="A3886" s="227">
        <f>TL[[#This Row],[Société]]&amp;" - "&amp;TL[[#This Row],[Compte]]</f>
        <v/>
      </c>
      <c r="B3886" s="233" t="inlineStr">
        <is>
          <t>455020</t>
        </is>
      </c>
      <c r="C3886" s="227" t="inlineStr">
        <is>
          <t>Associes comptes courants</t>
        </is>
      </c>
      <c r="F3886" s="227" t="inlineStr">
        <is>
          <t>LYSE</t>
        </is>
      </c>
    </row>
    <row r="3887">
      <c r="A3887" s="227">
        <f>TL[[#This Row],[Société]]&amp;" - "&amp;TL[[#This Row],[Compte]]</f>
        <v/>
      </c>
      <c r="B3887" s="233" t="inlineStr">
        <is>
          <t>455100</t>
        </is>
      </c>
      <c r="C3887" s="227" t="inlineStr">
        <is>
          <t>Rth76 - convention trésorerie</t>
        </is>
      </c>
      <c r="F3887" s="227" t="inlineStr">
        <is>
          <t>LYSE</t>
        </is>
      </c>
    </row>
    <row r="3888">
      <c r="A3888" s="227">
        <f>TL[[#This Row],[Société]]&amp;" - "&amp;TL[[#This Row],[Compte]]</f>
        <v/>
      </c>
      <c r="B3888" s="233" t="inlineStr">
        <is>
          <t>455200</t>
        </is>
      </c>
      <c r="C3888" s="227" t="inlineStr">
        <is>
          <t>Mungu</t>
        </is>
      </c>
      <c r="F3888" s="227" t="inlineStr">
        <is>
          <t>LYSE</t>
        </is>
      </c>
    </row>
    <row r="3889">
      <c r="A3889" s="227">
        <f>TL[[#This Row],[Société]]&amp;" - "&amp;TL[[#This Row],[Compte]]</f>
        <v/>
      </c>
      <c r="B3889" s="233" t="inlineStr">
        <is>
          <t>455800</t>
        </is>
      </c>
      <c r="C3889" s="227" t="inlineStr">
        <is>
          <t>Associés - intérêts courus</t>
        </is>
      </c>
      <c r="F3889" s="227" t="inlineStr">
        <is>
          <t>LYSE</t>
        </is>
      </c>
    </row>
    <row r="3890">
      <c r="A3890" s="227">
        <f>TL[[#This Row],[Société]]&amp;" - "&amp;TL[[#This Row],[Compte]]</f>
        <v/>
      </c>
      <c r="B3890" s="233" t="inlineStr">
        <is>
          <t>457000</t>
        </is>
      </c>
      <c r="C3890" s="227" t="inlineStr">
        <is>
          <t>Assoc dividendes à payer</t>
        </is>
      </c>
      <c r="F3890" s="227" t="inlineStr">
        <is>
          <t>LYSE</t>
        </is>
      </c>
    </row>
    <row r="3891">
      <c r="A3891" s="227">
        <f>TL[[#This Row],[Société]]&amp;" - "&amp;TL[[#This Row],[Compte]]</f>
        <v/>
      </c>
      <c r="B3891" s="233" t="inlineStr">
        <is>
          <t>467000</t>
        </is>
      </c>
      <c r="C3891" s="227" t="inlineStr">
        <is>
          <t>Maison ronald</t>
        </is>
      </c>
      <c r="F3891" s="227" t="inlineStr">
        <is>
          <t>LYSE</t>
        </is>
      </c>
    </row>
    <row r="3892">
      <c r="A3892" s="227">
        <f>TL[[#This Row],[Société]]&amp;" - "&amp;TL[[#This Row],[Compte]]</f>
        <v/>
      </c>
      <c r="B3892" s="233" t="inlineStr">
        <is>
          <t>467100</t>
        </is>
      </c>
      <c r="C3892" s="227" t="inlineStr">
        <is>
          <t>R 3-14</t>
        </is>
      </c>
      <c r="F3892" s="227" t="inlineStr">
        <is>
          <t>LYSE</t>
        </is>
      </c>
    </row>
    <row r="3893">
      <c r="A3893" s="227">
        <f>TL[[#This Row],[Société]]&amp;" - "&amp;TL[[#This Row],[Compte]]</f>
        <v/>
      </c>
      <c r="B3893" s="233" t="inlineStr">
        <is>
          <t>467200</t>
        </is>
      </c>
      <c r="C3893" s="227" t="inlineStr">
        <is>
          <t>Tl dives</t>
        </is>
      </c>
      <c r="F3893" s="227" t="inlineStr">
        <is>
          <t>LYSE</t>
        </is>
      </c>
    </row>
    <row r="3894">
      <c r="A3894" s="227">
        <f>TL[[#This Row],[Société]]&amp;" - "&amp;TL[[#This Row],[Compte]]</f>
        <v/>
      </c>
      <c r="B3894" s="233" t="inlineStr">
        <is>
          <t>467210</t>
        </is>
      </c>
      <c r="C3894" s="227" t="inlineStr">
        <is>
          <t>Ecart sur remises cb</t>
        </is>
      </c>
      <c r="F3894" s="227" t="inlineStr">
        <is>
          <t>LYSE</t>
        </is>
      </c>
    </row>
    <row r="3895">
      <c r="A3895" s="227">
        <f>TL[[#This Row],[Société]]&amp;" - "&amp;TL[[#This Row],[Compte]]</f>
        <v/>
      </c>
      <c r="B3895" s="233" t="inlineStr">
        <is>
          <t>467220</t>
        </is>
      </c>
      <c r="C3895" s="227" t="inlineStr">
        <is>
          <t>Ecart sur remises tr</t>
        </is>
      </c>
      <c r="F3895" s="227" t="inlineStr">
        <is>
          <t>LYSE</t>
        </is>
      </c>
    </row>
    <row r="3896">
      <c r="A3896" s="227">
        <f>TL[[#This Row],[Société]]&amp;" - "&amp;TL[[#This Row],[Compte]]</f>
        <v/>
      </c>
      <c r="B3896" s="233" t="inlineStr">
        <is>
          <t>467230</t>
        </is>
      </c>
      <c r="C3896" s="227" t="inlineStr">
        <is>
          <t>Ecart sur remises cv</t>
        </is>
      </c>
      <c r="F3896" s="227" t="inlineStr">
        <is>
          <t>LYSE</t>
        </is>
      </c>
    </row>
    <row r="3897">
      <c r="A3897" s="227">
        <f>TL[[#This Row],[Société]]&amp;" - "&amp;TL[[#This Row],[Compte]]</f>
        <v/>
      </c>
      <c r="B3897" s="233" t="inlineStr">
        <is>
          <t>467240</t>
        </is>
      </c>
      <c r="C3897" s="227" t="inlineStr">
        <is>
          <t>Ecarts sur remises espèces</t>
        </is>
      </c>
      <c r="F3897" s="227" t="inlineStr">
        <is>
          <t>LYSE</t>
        </is>
      </c>
    </row>
    <row r="3898">
      <c r="A3898" s="227">
        <f>TL[[#This Row],[Société]]&amp;" - "&amp;TL[[#This Row],[Compte]]</f>
        <v/>
      </c>
      <c r="B3898" s="233" t="inlineStr">
        <is>
          <t>467250</t>
        </is>
      </c>
      <c r="C3898" s="227" t="inlineStr">
        <is>
          <t>Glr5</t>
        </is>
      </c>
      <c r="F3898" s="227" t="inlineStr">
        <is>
          <t>LYSE</t>
        </is>
      </c>
    </row>
    <row r="3899">
      <c r="A3899" s="227">
        <f>TL[[#This Row],[Société]]&amp;" - "&amp;TL[[#This Row],[Compte]]</f>
        <v/>
      </c>
      <c r="B3899" s="233" t="inlineStr">
        <is>
          <t>467260</t>
        </is>
      </c>
      <c r="C3899" s="227" t="inlineStr">
        <is>
          <t>Ecart rem cheque</t>
        </is>
      </c>
      <c r="F3899" s="227" t="inlineStr">
        <is>
          <t>LYSE</t>
        </is>
      </c>
    </row>
    <row r="3900">
      <c r="A3900" s="227">
        <f>TL[[#This Row],[Société]]&amp;" - "&amp;TL[[#This Row],[Compte]]</f>
        <v/>
      </c>
      <c r="B3900" s="233" t="inlineStr">
        <is>
          <t>467270</t>
        </is>
      </c>
      <c r="C3900" s="227" t="inlineStr">
        <is>
          <t>ecart uber</t>
        </is>
      </c>
      <c r="F3900" s="227" t="inlineStr">
        <is>
          <t>LYSE</t>
        </is>
      </c>
    </row>
    <row r="3901">
      <c r="A3901" s="227">
        <f>TL[[#This Row],[Société]]&amp;" - "&amp;TL[[#This Row],[Compte]]</f>
        <v/>
      </c>
      <c r="B3901" s="233" t="inlineStr">
        <is>
          <t>467300</t>
        </is>
      </c>
      <c r="C3901" s="227" t="inlineStr">
        <is>
          <t>Gth</t>
        </is>
      </c>
      <c r="F3901" s="227" t="inlineStr">
        <is>
          <t>LYSE</t>
        </is>
      </c>
    </row>
    <row r="3902">
      <c r="A3902" s="227">
        <f>TL[[#This Row],[Société]]&amp;" - "&amp;TL[[#This Row],[Compte]]</f>
        <v/>
      </c>
      <c r="B3902" s="233" t="inlineStr">
        <is>
          <t>467310</t>
        </is>
      </c>
      <c r="C3902" s="227" t="inlineStr">
        <is>
          <t>Vr7</t>
        </is>
      </c>
      <c r="F3902" s="227" t="inlineStr">
        <is>
          <t>LYSE</t>
        </is>
      </c>
    </row>
    <row r="3903">
      <c r="A3903" s="227">
        <f>TL[[#This Row],[Société]]&amp;" - "&amp;TL[[#This Row],[Compte]]</f>
        <v/>
      </c>
      <c r="B3903" s="233" t="inlineStr">
        <is>
          <t>467400</t>
        </is>
      </c>
      <c r="C3903" s="227" t="inlineStr">
        <is>
          <t>Th4</t>
        </is>
      </c>
      <c r="F3903" s="227" t="inlineStr">
        <is>
          <t>LYSE</t>
        </is>
      </c>
    </row>
    <row r="3904">
      <c r="A3904" s="227">
        <f>TL[[#This Row],[Société]]&amp;" - "&amp;TL[[#This Row],[Compte]]</f>
        <v/>
      </c>
      <c r="B3904" s="233" t="inlineStr">
        <is>
          <t>467410</t>
        </is>
      </c>
      <c r="C3904" s="227" t="inlineStr">
        <is>
          <t>Rth 76</t>
        </is>
      </c>
      <c r="F3904" s="227" t="inlineStr">
        <is>
          <t>LYSE</t>
        </is>
      </c>
    </row>
    <row r="3905">
      <c r="A3905" s="227">
        <f>TL[[#This Row],[Société]]&amp;" - "&amp;TL[[#This Row],[Compte]]</f>
        <v/>
      </c>
      <c r="B3905" s="233" t="inlineStr">
        <is>
          <t>467420</t>
        </is>
      </c>
      <c r="C3905" s="227" t="inlineStr">
        <is>
          <t>Rsi à recevoir</t>
        </is>
      </c>
      <c r="F3905" s="227" t="inlineStr">
        <is>
          <t>LYSE</t>
        </is>
      </c>
    </row>
    <row r="3906">
      <c r="A3906" s="227">
        <f>TL[[#This Row],[Société]]&amp;" - "&amp;TL[[#This Row],[Compte]]</f>
        <v/>
      </c>
      <c r="B3906" s="233" t="inlineStr">
        <is>
          <t>467444</t>
        </is>
      </c>
      <c r="C3906" s="227" t="inlineStr">
        <is>
          <t>Autres comptes débiteurs</t>
        </is>
      </c>
      <c r="F3906" s="227" t="inlineStr">
        <is>
          <t>LYSE</t>
        </is>
      </c>
    </row>
    <row r="3907">
      <c r="A3907" s="227">
        <f>TL[[#This Row],[Société]]&amp;" - "&amp;TL[[#This Row],[Compte]]</f>
        <v/>
      </c>
      <c r="B3907" s="233" t="inlineStr">
        <is>
          <t>467500</t>
        </is>
      </c>
      <c r="C3907" s="227" t="inlineStr">
        <is>
          <t>Sci villa rir</t>
        </is>
      </c>
      <c r="F3907" s="227" t="inlineStr">
        <is>
          <t>LYSE</t>
        </is>
      </c>
    </row>
    <row r="3908">
      <c r="A3908" s="227">
        <f>TL[[#This Row],[Société]]&amp;" - "&amp;TL[[#This Row],[Compte]]</f>
        <v/>
      </c>
      <c r="B3908" s="233" t="inlineStr">
        <is>
          <t>467555</t>
        </is>
      </c>
      <c r="C3908" s="227" t="inlineStr">
        <is>
          <t>Autres comptes créditeurs</t>
        </is>
      </c>
      <c r="F3908" s="227" t="inlineStr">
        <is>
          <t>LYSE</t>
        </is>
      </c>
    </row>
    <row r="3909">
      <c r="A3909" s="227">
        <f>TL[[#This Row],[Société]]&amp;" - "&amp;TL[[#This Row],[Compte]]</f>
        <v/>
      </c>
      <c r="B3909" s="233" t="inlineStr">
        <is>
          <t>467666</t>
        </is>
      </c>
      <c r="C3909" s="227" t="inlineStr">
        <is>
          <t>Autres comptes débiteurs/créditeurs</t>
        </is>
      </c>
      <c r="F3909" s="227" t="inlineStr">
        <is>
          <t>LYSE</t>
        </is>
      </c>
    </row>
    <row r="3910">
      <c r="A3910" s="227">
        <f>TL[[#This Row],[Société]]&amp;" - "&amp;TL[[#This Row],[Compte]]</f>
        <v/>
      </c>
      <c r="B3910" s="233" t="inlineStr">
        <is>
          <t>468600</t>
        </is>
      </c>
      <c r="C3910" s="227" t="inlineStr">
        <is>
          <t>Divers charges à payer</t>
        </is>
      </c>
      <c r="F3910" s="227" t="inlineStr">
        <is>
          <t>LYSE</t>
        </is>
      </c>
    </row>
    <row r="3911">
      <c r="A3911" s="227">
        <f>TL[[#This Row],[Société]]&amp;" - "&amp;TL[[#This Row],[Compte]]</f>
        <v/>
      </c>
      <c r="B3911" s="233" t="inlineStr">
        <is>
          <t>468700</t>
        </is>
      </c>
      <c r="C3911" s="227" t="inlineStr">
        <is>
          <t>Divers prod à recevoir</t>
        </is>
      </c>
      <c r="F3911" s="227" t="inlineStr">
        <is>
          <t>LYSE</t>
        </is>
      </c>
    </row>
    <row r="3912">
      <c r="A3912" s="227">
        <f>TL[[#This Row],[Société]]&amp;" - "&amp;TL[[#This Row],[Compte]]</f>
        <v/>
      </c>
      <c r="B3912" s="233" t="inlineStr">
        <is>
          <t>471000</t>
        </is>
      </c>
      <c r="C3912" s="227" t="inlineStr">
        <is>
          <t>Compte général d'attente</t>
        </is>
      </c>
      <c r="F3912" s="227" t="inlineStr">
        <is>
          <t>LYSE</t>
        </is>
      </c>
    </row>
    <row r="3913">
      <c r="A3913" s="227">
        <f>TL[[#This Row],[Société]]&amp;" - "&amp;TL[[#This Row],[Compte]]</f>
        <v/>
      </c>
      <c r="B3913" s="233" t="inlineStr">
        <is>
          <t>472000</t>
        </is>
      </c>
      <c r="C3913" s="227" t="inlineStr">
        <is>
          <t>Compte d attente</t>
        </is>
      </c>
      <c r="F3913" s="227" t="inlineStr">
        <is>
          <t>LYSE</t>
        </is>
      </c>
    </row>
    <row r="3914">
      <c r="A3914" s="227">
        <f>TL[[#This Row],[Société]]&amp;" - "&amp;TL[[#This Row],[Compte]]</f>
        <v/>
      </c>
      <c r="B3914" s="233" t="inlineStr">
        <is>
          <t>486000</t>
        </is>
      </c>
      <c r="C3914" s="227" t="inlineStr">
        <is>
          <t>Charges constatees d avance</t>
        </is>
      </c>
      <c r="F3914" s="227" t="inlineStr">
        <is>
          <t>LYSE</t>
        </is>
      </c>
    </row>
    <row r="3915">
      <c r="A3915" s="227">
        <f>TL[[#This Row],[Société]]&amp;" - "&amp;TL[[#This Row],[Compte]]</f>
        <v/>
      </c>
      <c r="B3915" s="233" t="inlineStr">
        <is>
          <t>487000</t>
        </is>
      </c>
      <c r="C3915" s="227" t="inlineStr">
        <is>
          <t>Produits constatés d'avance</t>
        </is>
      </c>
      <c r="F3915" s="227" t="inlineStr">
        <is>
          <t>LYSE</t>
        </is>
      </c>
    </row>
    <row r="3916">
      <c r="A3916" s="227">
        <f>TL[[#This Row],[Société]]&amp;" - "&amp;TL[[#This Row],[Compte]]</f>
        <v/>
      </c>
      <c r="B3916" s="233" t="inlineStr">
        <is>
          <t>503100</t>
        </is>
      </c>
      <c r="C3916" s="227" t="inlineStr">
        <is>
          <t>Actions</t>
        </is>
      </c>
      <c r="F3916" s="227" t="inlineStr">
        <is>
          <t>LYSE</t>
        </is>
      </c>
    </row>
    <row r="3917">
      <c r="A3917" s="227">
        <f>TL[[#This Row],[Société]]&amp;" - "&amp;TL[[#This Row],[Compte]]</f>
        <v/>
      </c>
      <c r="B3917" s="233" t="inlineStr">
        <is>
          <t>508000</t>
        </is>
      </c>
      <c r="C3917" s="227" t="inlineStr">
        <is>
          <t>Placements</t>
        </is>
      </c>
      <c r="F3917" s="227" t="inlineStr">
        <is>
          <t>LYSE</t>
        </is>
      </c>
    </row>
    <row r="3918">
      <c r="A3918" s="227">
        <f>TL[[#This Row],[Société]]&amp;" - "&amp;TL[[#This Row],[Compte]]</f>
        <v/>
      </c>
      <c r="B3918" s="233" t="inlineStr">
        <is>
          <t>508100</t>
        </is>
      </c>
      <c r="C3918" s="227" t="inlineStr">
        <is>
          <t>Dépôt à terme</t>
        </is>
      </c>
      <c r="F3918" s="227" t="inlineStr">
        <is>
          <t>LYSE</t>
        </is>
      </c>
    </row>
    <row r="3919">
      <c r="A3919" s="227">
        <f>TL[[#This Row],[Société]]&amp;" - "&amp;TL[[#This Row],[Compte]]</f>
        <v/>
      </c>
      <c r="B3919" s="233" t="inlineStr">
        <is>
          <t>508800</t>
        </is>
      </c>
      <c r="C3919" s="227" t="inlineStr">
        <is>
          <t>Int. courus s/dépôt à ter</t>
        </is>
      </c>
      <c r="F3919" s="227" t="inlineStr">
        <is>
          <t>LYSE</t>
        </is>
      </c>
    </row>
    <row r="3920">
      <c r="A3920" s="227">
        <f>TL[[#This Row],[Société]]&amp;" - "&amp;TL[[#This Row],[Compte]]</f>
        <v/>
      </c>
      <c r="B3920" s="233" t="inlineStr">
        <is>
          <t>511210</t>
        </is>
      </c>
      <c r="C3920" s="227" t="inlineStr">
        <is>
          <t>Cheques</t>
        </is>
      </c>
      <c r="F3920" s="227" t="inlineStr">
        <is>
          <t>LYSE</t>
        </is>
      </c>
    </row>
    <row r="3921">
      <c r="A3921" s="227">
        <f>TL[[#This Row],[Société]]&amp;" - "&amp;TL[[#This Row],[Compte]]</f>
        <v/>
      </c>
      <c r="B3921" s="233" t="inlineStr">
        <is>
          <t>511211</t>
        </is>
      </c>
      <c r="C3921" s="227" t="inlineStr">
        <is>
          <t>Cheques</t>
        </is>
      </c>
      <c r="F3921" s="227" t="inlineStr">
        <is>
          <t>LYSE</t>
        </is>
      </c>
    </row>
    <row r="3922">
      <c r="A3922" s="227">
        <f>TL[[#This Row],[Société]]&amp;" - "&amp;TL[[#This Row],[Compte]]</f>
        <v/>
      </c>
      <c r="B3922" s="233" t="inlineStr">
        <is>
          <t>511220</t>
        </is>
      </c>
      <c r="C3922" s="227" t="inlineStr">
        <is>
          <t>Carte bleue</t>
        </is>
      </c>
      <c r="F3922" s="227" t="inlineStr">
        <is>
          <t>LYSE</t>
        </is>
      </c>
    </row>
    <row r="3923">
      <c r="A3923" s="227">
        <f>TL[[#This Row],[Société]]&amp;" - "&amp;TL[[#This Row],[Compte]]</f>
        <v/>
      </c>
      <c r="B3923" s="233" t="inlineStr">
        <is>
          <t>511221</t>
        </is>
      </c>
      <c r="C3923" s="227" t="inlineStr">
        <is>
          <t>Carte bleue</t>
        </is>
      </c>
      <c r="F3923" s="227" t="inlineStr">
        <is>
          <t>LYSE</t>
        </is>
      </c>
    </row>
    <row r="3924">
      <c r="A3924" s="227">
        <f>TL[[#This Row],[Société]]&amp;" - "&amp;TL[[#This Row],[Compte]]</f>
        <v/>
      </c>
      <c r="B3924" s="233" t="inlineStr">
        <is>
          <t>511230</t>
        </is>
      </c>
      <c r="C3924" s="227" t="inlineStr">
        <is>
          <t>Tickets restaurants</t>
        </is>
      </c>
      <c r="F3924" s="227" t="inlineStr">
        <is>
          <t>LYSE</t>
        </is>
      </c>
    </row>
    <row r="3925">
      <c r="A3925" s="227">
        <f>TL[[#This Row],[Société]]&amp;" - "&amp;TL[[#This Row],[Compte]]</f>
        <v/>
      </c>
      <c r="B3925" s="233" t="inlineStr">
        <is>
          <t>511231</t>
        </is>
      </c>
      <c r="C3925" s="227" t="inlineStr">
        <is>
          <t>Tickets restaurant</t>
        </is>
      </c>
      <c r="F3925" s="227" t="inlineStr">
        <is>
          <t>LYSE</t>
        </is>
      </c>
    </row>
    <row r="3926">
      <c r="A3926" s="227">
        <f>TL[[#This Row],[Société]]&amp;" - "&amp;TL[[#This Row],[Compte]]</f>
        <v/>
      </c>
      <c r="B3926" s="233" t="inlineStr">
        <is>
          <t>511240</t>
        </is>
      </c>
      <c r="C3926" s="227" t="inlineStr">
        <is>
          <t>Bics</t>
        </is>
      </c>
      <c r="F3926" s="227" t="inlineStr">
        <is>
          <t>LYSE</t>
        </is>
      </c>
    </row>
    <row r="3927">
      <c r="A3927" s="227">
        <f>TL[[#This Row],[Société]]&amp;" - "&amp;TL[[#This Row],[Compte]]</f>
        <v/>
      </c>
      <c r="B3927" s="233" t="inlineStr">
        <is>
          <t>511250</t>
        </is>
      </c>
      <c r="C3927" s="227" t="inlineStr">
        <is>
          <t>Cheque vacance</t>
        </is>
      </c>
      <c r="F3927" s="227" t="inlineStr">
        <is>
          <t>LYSE</t>
        </is>
      </c>
    </row>
    <row r="3928">
      <c r="A3928" s="227">
        <f>TL[[#This Row],[Société]]&amp;" - "&amp;TL[[#This Row],[Compte]]</f>
        <v/>
      </c>
      <c r="B3928" s="233" t="inlineStr">
        <is>
          <t>511251</t>
        </is>
      </c>
      <c r="C3928" s="227" t="inlineStr">
        <is>
          <t>Cheques vacances</t>
        </is>
      </c>
      <c r="F3928" s="227" t="inlineStr">
        <is>
          <t>LYSE</t>
        </is>
      </c>
    </row>
    <row r="3929">
      <c r="A3929" s="227">
        <f>TL[[#This Row],[Société]]&amp;" - "&amp;TL[[#This Row],[Compte]]</f>
        <v/>
      </c>
      <c r="B3929" s="233" t="inlineStr">
        <is>
          <t>511252</t>
        </is>
      </c>
      <c r="C3929" s="227" t="inlineStr">
        <is>
          <t>vente 11/03</t>
        </is>
      </c>
      <c r="F3929" s="227" t="inlineStr">
        <is>
          <t>LYSE</t>
        </is>
      </c>
    </row>
    <row r="3930">
      <c r="A3930" s="227">
        <f>TL[[#This Row],[Société]]&amp;" - "&amp;TL[[#This Row],[Compte]]</f>
        <v/>
      </c>
      <c r="B3930" s="233" t="inlineStr">
        <is>
          <t>511260</t>
        </is>
      </c>
      <c r="C3930" s="227" t="inlineStr">
        <is>
          <t>Pre paiement</t>
        </is>
      </c>
      <c r="F3930" s="227" t="inlineStr">
        <is>
          <t>LYSE</t>
        </is>
      </c>
    </row>
    <row r="3931">
      <c r="A3931" s="227">
        <f>TL[[#This Row],[Société]]&amp;" - "&amp;TL[[#This Row],[Compte]]</f>
        <v/>
      </c>
      <c r="B3931" s="233" t="inlineStr">
        <is>
          <t>511261</t>
        </is>
      </c>
      <c r="C3931" s="227" t="inlineStr">
        <is>
          <t>Pay pal</t>
        </is>
      </c>
      <c r="F3931" s="227" t="inlineStr">
        <is>
          <t>LYSE</t>
        </is>
      </c>
    </row>
    <row r="3932">
      <c r="A3932" s="227">
        <f>TL[[#This Row],[Société]]&amp;" - "&amp;TL[[#This Row],[Compte]]</f>
        <v/>
      </c>
      <c r="B3932" s="233" t="inlineStr">
        <is>
          <t>511271</t>
        </is>
      </c>
      <c r="C3932" s="227" t="inlineStr">
        <is>
          <t>Uber</t>
        </is>
      </c>
      <c r="F3932" s="227" t="inlineStr">
        <is>
          <t>LYSE</t>
        </is>
      </c>
    </row>
    <row r="3933">
      <c r="A3933" s="227">
        <f>TL[[#This Row],[Société]]&amp;" - "&amp;TL[[#This Row],[Compte]]</f>
        <v/>
      </c>
      <c r="B3933" s="233" t="inlineStr">
        <is>
          <t>511700</t>
        </is>
      </c>
      <c r="C3933" s="227" t="inlineStr">
        <is>
          <t>Chèques émis</t>
        </is>
      </c>
      <c r="F3933" s="227" t="inlineStr">
        <is>
          <t>LYSE</t>
        </is>
      </c>
    </row>
    <row r="3934">
      <c r="A3934" s="227">
        <f>TL[[#This Row],[Société]]&amp;" - "&amp;TL[[#This Row],[Compte]]</f>
        <v/>
      </c>
      <c r="B3934" s="233" t="inlineStr">
        <is>
          <t>511701</t>
        </is>
      </c>
      <c r="C3934" s="227" t="inlineStr">
        <is>
          <t>Chèques émis intégrés</t>
        </is>
      </c>
      <c r="F3934" s="227" t="inlineStr">
        <is>
          <t>LYSE</t>
        </is>
      </c>
    </row>
    <row r="3935">
      <c r="A3935" s="227">
        <f>TL[[#This Row],[Société]]&amp;" - "&amp;TL[[#This Row],[Compte]]</f>
        <v/>
      </c>
      <c r="B3935" s="233" t="inlineStr">
        <is>
          <t>512000</t>
        </is>
      </c>
      <c r="C3935" s="227" t="inlineStr">
        <is>
          <t>Credit du nord</t>
        </is>
      </c>
      <c r="F3935" s="227" t="inlineStr">
        <is>
          <t>LYSE</t>
        </is>
      </c>
    </row>
    <row r="3936">
      <c r="A3936" s="227">
        <f>TL[[#This Row],[Société]]&amp;" - "&amp;TL[[#This Row],[Compte]]</f>
        <v/>
      </c>
      <c r="B3936" s="233" t="inlineStr">
        <is>
          <t>512100</t>
        </is>
      </c>
      <c r="C3936" s="227" t="inlineStr">
        <is>
          <t>Dépôts à termes</t>
        </is>
      </c>
      <c r="F3936" s="227" t="inlineStr">
        <is>
          <t>LYSE</t>
        </is>
      </c>
    </row>
    <row r="3937">
      <c r="A3937" s="227">
        <f>TL[[#This Row],[Société]]&amp;" - "&amp;TL[[#This Row],[Compte]]</f>
        <v/>
      </c>
      <c r="B3937" s="233" t="inlineStr">
        <is>
          <t>512300</t>
        </is>
      </c>
      <c r="C3937" s="227" t="inlineStr">
        <is>
          <t>Crédit agricole</t>
        </is>
      </c>
      <c r="F3937" s="227" t="inlineStr">
        <is>
          <t>LYSE</t>
        </is>
      </c>
    </row>
    <row r="3938">
      <c r="A3938" s="227">
        <f>TL[[#This Row],[Société]]&amp;" - "&amp;TL[[#This Row],[Compte]]</f>
        <v/>
      </c>
      <c r="B3938" s="233" t="inlineStr">
        <is>
          <t>512400</t>
        </is>
      </c>
      <c r="C3938" s="227" t="inlineStr">
        <is>
          <t>Société générale</t>
        </is>
      </c>
      <c r="F3938" s="227" t="inlineStr">
        <is>
          <t>LYSE</t>
        </is>
      </c>
    </row>
    <row r="3939">
      <c r="A3939" s="227">
        <f>TL[[#This Row],[Société]]&amp;" - "&amp;TL[[#This Row],[Compte]]</f>
        <v/>
      </c>
      <c r="B3939" s="233" t="inlineStr">
        <is>
          <t>518800</t>
        </is>
      </c>
      <c r="C3939" s="227" t="inlineStr">
        <is>
          <t>Int.courus à recevoir s/dat</t>
        </is>
      </c>
      <c r="F3939" s="227" t="inlineStr">
        <is>
          <t>LYSE</t>
        </is>
      </c>
    </row>
    <row r="3940">
      <c r="A3940" s="227">
        <f>TL[[#This Row],[Société]]&amp;" - "&amp;TL[[#This Row],[Compte]]</f>
        <v/>
      </c>
      <c r="B3940" s="233" t="inlineStr">
        <is>
          <t>519100</t>
        </is>
      </c>
      <c r="C3940" s="227" t="inlineStr">
        <is>
          <t>Billet a ordre</t>
        </is>
      </c>
      <c r="F3940" s="227" t="inlineStr">
        <is>
          <t>LYSE</t>
        </is>
      </c>
    </row>
    <row r="3941">
      <c r="A3941" s="227">
        <f>TL[[#This Row],[Société]]&amp;" - "&amp;TL[[#This Row],[Compte]]</f>
        <v/>
      </c>
      <c r="B3941" s="233" t="inlineStr">
        <is>
          <t>519200</t>
        </is>
      </c>
      <c r="C3941" s="227" t="inlineStr">
        <is>
          <t>Souscription dépôt à terme</t>
        </is>
      </c>
      <c r="F3941" s="227" t="inlineStr">
        <is>
          <t>LYSE</t>
        </is>
      </c>
    </row>
    <row r="3942">
      <c r="A3942" s="227">
        <f>TL[[#This Row],[Société]]&amp;" - "&amp;TL[[#This Row],[Compte]]</f>
        <v/>
      </c>
      <c r="B3942" s="233" t="inlineStr">
        <is>
          <t>530200</t>
        </is>
      </c>
      <c r="C3942" s="227" t="inlineStr">
        <is>
          <t>Caisse coffre</t>
        </is>
      </c>
      <c r="F3942" s="227" t="inlineStr">
        <is>
          <t>LYSE</t>
        </is>
      </c>
    </row>
    <row r="3943">
      <c r="A3943" s="227">
        <f>TL[[#This Row],[Société]]&amp;" - "&amp;TL[[#This Row],[Compte]]</f>
        <v/>
      </c>
      <c r="B3943" s="233" t="inlineStr">
        <is>
          <t>531000</t>
        </is>
      </c>
      <c r="C3943" s="227" t="inlineStr">
        <is>
          <t>Petite caisse</t>
        </is>
      </c>
      <c r="F3943" s="227" t="inlineStr">
        <is>
          <t>LYSE</t>
        </is>
      </c>
    </row>
    <row r="3944">
      <c r="A3944" s="227">
        <f>TL[[#This Row],[Société]]&amp;" - "&amp;TL[[#This Row],[Compte]]</f>
        <v/>
      </c>
      <c r="B3944" s="233" t="inlineStr">
        <is>
          <t>580000</t>
        </is>
      </c>
      <c r="C3944" s="227" t="inlineStr">
        <is>
          <t>Virements internes</t>
        </is>
      </c>
      <c r="F3944" s="227" t="inlineStr">
        <is>
          <t>LYSE</t>
        </is>
      </c>
    </row>
    <row r="3945">
      <c r="A3945" s="227">
        <f>TL[[#This Row],[Société]]&amp;" - "&amp;TL[[#This Row],[Compte]]</f>
        <v/>
      </c>
      <c r="B3945" s="233" t="inlineStr">
        <is>
          <t>581000</t>
        </is>
      </c>
      <c r="C3945" s="227" t="inlineStr">
        <is>
          <t>Especes NPU</t>
        </is>
      </c>
      <c r="F3945" s="227" t="inlineStr">
        <is>
          <t>LYSE</t>
        </is>
      </c>
    </row>
    <row r="3946">
      <c r="A3946" s="227">
        <f>TL[[#This Row],[Société]]&amp;" - "&amp;TL[[#This Row],[Compte]]</f>
        <v/>
      </c>
      <c r="B3946" s="233" t="inlineStr">
        <is>
          <t>581100</t>
        </is>
      </c>
      <c r="C3946" s="227" t="inlineStr">
        <is>
          <t>Especes</t>
        </is>
      </c>
      <c r="F3946" s="227" t="inlineStr">
        <is>
          <t>LYSE</t>
        </is>
      </c>
    </row>
    <row r="3947">
      <c r="A3947" s="227">
        <f>TL[[#This Row],[Société]]&amp;" - "&amp;TL[[#This Row],[Compte]]</f>
        <v/>
      </c>
      <c r="B3947" s="233" t="inlineStr">
        <is>
          <t>583000</t>
        </is>
      </c>
      <c r="C3947" s="227" t="inlineStr">
        <is>
          <t>Monnaie</t>
        </is>
      </c>
      <c r="F3947" s="227" t="inlineStr">
        <is>
          <t>LYSE</t>
        </is>
      </c>
    </row>
    <row r="3948">
      <c r="A3948" s="227">
        <f>TL[[#This Row],[Société]]&amp;" - "&amp;TL[[#This Row],[Compte]]</f>
        <v/>
      </c>
      <c r="B3948" s="233" t="inlineStr">
        <is>
          <t>583100</t>
        </is>
      </c>
      <c r="C3948" s="227" t="inlineStr">
        <is>
          <t>Monnaie</t>
        </is>
      </c>
      <c r="F3948" s="227" t="inlineStr">
        <is>
          <t>LYSE</t>
        </is>
      </c>
    </row>
    <row r="3949">
      <c r="A3949" s="227">
        <f>TL[[#This Row],[Société]]&amp;" - "&amp;TL[[#This Row],[Compte]]</f>
        <v/>
      </c>
      <c r="B3949" s="233" t="inlineStr">
        <is>
          <t>590300</t>
        </is>
      </c>
      <c r="C3949" s="227" t="inlineStr">
        <is>
          <t>Prov.depreciat.des actions</t>
        </is>
      </c>
      <c r="F3949" s="227" t="inlineStr">
        <is>
          <t>LYSE</t>
        </is>
      </c>
    </row>
    <row r="3950">
      <c r="A3950" s="227">
        <f>TL[[#This Row],[Société]]&amp;" - "&amp;TL[[#This Row],[Compte]]</f>
        <v/>
      </c>
      <c r="B3950" s="233" t="inlineStr">
        <is>
          <t>601000</t>
        </is>
      </c>
      <c r="C3950" s="227" t="inlineStr">
        <is>
          <t>Alimentaire + surgelés</t>
        </is>
      </c>
      <c r="D3950" s="233" t="inlineStr">
        <is>
          <t>99</t>
        </is>
      </c>
      <c r="E3950" s="233" t="inlineStr">
        <is>
          <t>03</t>
        </is>
      </c>
      <c r="F3950" s="227" t="inlineStr">
        <is>
          <t>LYSE</t>
        </is>
      </c>
    </row>
    <row r="3951">
      <c r="A3951" s="227">
        <f>TL[[#This Row],[Société]]&amp;" - "&amp;TL[[#This Row],[Compte]]</f>
        <v/>
      </c>
      <c r="B3951" s="233" t="inlineStr">
        <is>
          <t>601100</t>
        </is>
      </c>
      <c r="C3951" s="227" t="inlineStr">
        <is>
          <t>Achats nourriture</t>
        </is>
      </c>
      <c r="D3951" s="233" t="inlineStr">
        <is>
          <t>06</t>
        </is>
      </c>
      <c r="E3951" s="233" t="inlineStr">
        <is>
          <t>03</t>
        </is>
      </c>
      <c r="F3951" s="227" t="inlineStr">
        <is>
          <t>LYSE</t>
        </is>
      </c>
    </row>
    <row r="3952">
      <c r="A3952" s="227">
        <f>TL[[#This Row],[Société]]&amp;" - "&amp;TL[[#This Row],[Compte]]</f>
        <v/>
      </c>
      <c r="B3952" s="233" t="inlineStr">
        <is>
          <t>601102</t>
        </is>
      </c>
      <c r="C3952" s="227" t="inlineStr">
        <is>
          <t>Déchets</t>
        </is>
      </c>
      <c r="D3952" s="233" t="inlineStr">
        <is>
          <t>07</t>
        </is>
      </c>
      <c r="E3952" s="233" t="inlineStr">
        <is>
          <t>05</t>
        </is>
      </c>
      <c r="F3952" s="227" t="inlineStr">
        <is>
          <t>LYSE</t>
        </is>
      </c>
    </row>
    <row r="3953">
      <c r="A3953" s="227">
        <f>TL[[#This Row],[Société]]&amp;" - "&amp;TL[[#This Row],[Compte]]</f>
        <v/>
      </c>
      <c r="B3953" s="233" t="inlineStr">
        <is>
          <t>601103</t>
        </is>
      </c>
      <c r="C3953" s="227" t="inlineStr">
        <is>
          <t>Repas employés</t>
        </is>
      </c>
      <c r="D3953" s="233" t="inlineStr">
        <is>
          <t>08</t>
        </is>
      </c>
      <c r="E3953" s="233" t="inlineStr">
        <is>
          <t>04</t>
        </is>
      </c>
      <c r="F3953" s="227" t="inlineStr">
        <is>
          <t>LYSE</t>
        </is>
      </c>
    </row>
    <row r="3954">
      <c r="A3954" s="227">
        <f>TL[[#This Row],[Société]]&amp;" - "&amp;TL[[#This Row],[Compte]]</f>
        <v/>
      </c>
      <c r="B3954" s="233" t="inlineStr">
        <is>
          <t>602201</t>
        </is>
      </c>
      <c r="C3954" s="227" t="inlineStr">
        <is>
          <t>Achats emballages</t>
        </is>
      </c>
      <c r="D3954" s="233" t="inlineStr">
        <is>
          <t>03</t>
        </is>
      </c>
      <c r="E3954" s="233" t="inlineStr">
        <is>
          <t>06</t>
        </is>
      </c>
      <c r="F3954" s="227" t="inlineStr">
        <is>
          <t>LYSE</t>
        </is>
      </c>
    </row>
    <row r="3955">
      <c r="A3955" s="227">
        <f>TL[[#This Row],[Société]]&amp;" - "&amp;TL[[#This Row],[Compte]]</f>
        <v/>
      </c>
      <c r="B3955" s="233" t="inlineStr">
        <is>
          <t>602202</t>
        </is>
      </c>
      <c r="C3955" s="227" t="inlineStr">
        <is>
          <t>Achats hm</t>
        </is>
      </c>
      <c r="D3955" s="233" t="inlineStr">
        <is>
          <t>62</t>
        </is>
      </c>
      <c r="E3955" s="233" t="inlineStr">
        <is>
          <t>51</t>
        </is>
      </c>
      <c r="F3955" s="227" t="inlineStr">
        <is>
          <t>LYSE</t>
        </is>
      </c>
    </row>
    <row r="3956">
      <c r="A3956" s="227">
        <f>TL[[#This Row],[Société]]&amp;" - "&amp;TL[[#This Row],[Compte]]</f>
        <v/>
      </c>
      <c r="B3956" s="233" t="inlineStr">
        <is>
          <t>602610</t>
        </is>
      </c>
      <c r="C3956" s="227" t="inlineStr">
        <is>
          <t>Emballages perdus</t>
        </is>
      </c>
      <c r="D3956" s="233" t="inlineStr">
        <is>
          <t>18</t>
        </is>
      </c>
      <c r="E3956" s="233" t="inlineStr">
        <is>
          <t>25</t>
        </is>
      </c>
      <c r="F3956" s="227" t="inlineStr">
        <is>
          <t>LYSE</t>
        </is>
      </c>
    </row>
    <row r="3957">
      <c r="A3957" s="227">
        <f>TL[[#This Row],[Société]]&amp;" - "&amp;TL[[#This Row],[Compte]]</f>
        <v/>
      </c>
      <c r="B3957" s="233" t="inlineStr">
        <is>
          <t>603100</t>
        </is>
      </c>
      <c r="C3957" s="227" t="inlineStr">
        <is>
          <t>Var.stocks food</t>
        </is>
      </c>
      <c r="D3957" s="233" t="inlineStr">
        <is>
          <t>06</t>
        </is>
      </c>
      <c r="E3957" s="233" t="inlineStr">
        <is>
          <t>03</t>
        </is>
      </c>
      <c r="F3957" s="227" t="inlineStr">
        <is>
          <t>LYSE</t>
        </is>
      </c>
    </row>
    <row r="3958">
      <c r="A3958" s="227">
        <f>TL[[#This Row],[Société]]&amp;" - "&amp;TL[[#This Row],[Compte]]</f>
        <v/>
      </c>
      <c r="B3958" s="233" t="inlineStr">
        <is>
          <t>603200</t>
        </is>
      </c>
      <c r="C3958" s="227" t="inlineStr">
        <is>
          <t>Variat° stock paper</t>
        </is>
      </c>
      <c r="D3958" s="233" t="inlineStr">
        <is>
          <t>03</t>
        </is>
      </c>
      <c r="E3958" s="233" t="inlineStr">
        <is>
          <t>06</t>
        </is>
      </c>
      <c r="F3958" s="227" t="inlineStr">
        <is>
          <t>LYSE</t>
        </is>
      </c>
    </row>
    <row r="3959">
      <c r="A3959" s="227">
        <f>TL[[#This Row],[Société]]&amp;" - "&amp;TL[[#This Row],[Compte]]</f>
        <v/>
      </c>
      <c r="B3959" s="233" t="inlineStr">
        <is>
          <t>603201</t>
        </is>
      </c>
      <c r="C3959" s="227" t="inlineStr">
        <is>
          <t>Variation stock hm</t>
        </is>
      </c>
      <c r="D3959" s="233" t="inlineStr">
        <is>
          <t>62</t>
        </is>
      </c>
      <c r="E3959" s="233" t="inlineStr">
        <is>
          <t>51</t>
        </is>
      </c>
      <c r="F3959" s="227" t="inlineStr">
        <is>
          <t>LYSE</t>
        </is>
      </c>
    </row>
    <row r="3960">
      <c r="A3960" s="227">
        <f>TL[[#This Row],[Société]]&amp;" - "&amp;TL[[#This Row],[Compte]]</f>
        <v/>
      </c>
      <c r="B3960" s="233" t="inlineStr">
        <is>
          <t>603210</t>
        </is>
      </c>
      <c r="C3960" s="227" t="inlineStr">
        <is>
          <t>Var.stocks hm</t>
        </is>
      </c>
      <c r="D3960" s="233" t="inlineStr">
        <is>
          <t>06</t>
        </is>
      </c>
      <c r="E3960" s="233" t="inlineStr">
        <is>
          <t>03</t>
        </is>
      </c>
      <c r="F3960" s="227" t="inlineStr">
        <is>
          <t>LYSE</t>
        </is>
      </c>
    </row>
    <row r="3961">
      <c r="A3961" s="227">
        <f>TL[[#This Row],[Société]]&amp;" - "&amp;TL[[#This Row],[Compte]]</f>
        <v/>
      </c>
      <c r="B3961" s="233" t="inlineStr">
        <is>
          <t>606101</t>
        </is>
      </c>
      <c r="C3961" s="227" t="inlineStr">
        <is>
          <t>Eau restaurant</t>
        </is>
      </c>
      <c r="D3961" s="233" t="inlineStr">
        <is>
          <t>20</t>
        </is>
      </c>
      <c r="E3961" s="233" t="inlineStr">
        <is>
          <t>24</t>
        </is>
      </c>
      <c r="F3961" s="227" t="inlineStr">
        <is>
          <t>LYSE</t>
        </is>
      </c>
    </row>
    <row r="3962">
      <c r="A3962" s="227">
        <f>TL[[#This Row],[Société]]&amp;" - "&amp;TL[[#This Row],[Compte]]</f>
        <v/>
      </c>
      <c r="B3962" s="233" t="inlineStr">
        <is>
          <t>606103</t>
        </is>
      </c>
      <c r="C3962" s="227" t="inlineStr">
        <is>
          <t>Electricite restaurant</t>
        </is>
      </c>
      <c r="D3962" s="233" t="inlineStr">
        <is>
          <t>20</t>
        </is>
      </c>
      <c r="E3962" s="233" t="inlineStr">
        <is>
          <t>24</t>
        </is>
      </c>
      <c r="F3962" s="227" t="inlineStr">
        <is>
          <t>LYSE</t>
        </is>
      </c>
    </row>
    <row r="3963">
      <c r="A3963" s="227">
        <f>TL[[#This Row],[Société]]&amp;" - "&amp;TL[[#This Row],[Compte]]</f>
        <v/>
      </c>
      <c r="B3963" s="233" t="inlineStr">
        <is>
          <t>606105</t>
        </is>
      </c>
      <c r="C3963" s="227" t="inlineStr">
        <is>
          <t>Achats gaz</t>
        </is>
      </c>
      <c r="D3963" s="233" t="inlineStr">
        <is>
          <t>20</t>
        </is>
      </c>
      <c r="E3963" s="233" t="inlineStr">
        <is>
          <t>24</t>
        </is>
      </c>
      <c r="F3963" s="227" t="inlineStr">
        <is>
          <t>LYSE</t>
        </is>
      </c>
    </row>
    <row r="3964">
      <c r="A3964" s="227">
        <f>TL[[#This Row],[Société]]&amp;" - "&amp;TL[[#This Row],[Compte]]</f>
        <v/>
      </c>
      <c r="B3964" s="233" t="inlineStr">
        <is>
          <t>606300</t>
        </is>
      </c>
      <c r="C3964" s="227" t="inlineStr">
        <is>
          <t>Petit outillage</t>
        </is>
      </c>
      <c r="D3964" s="233" t="inlineStr">
        <is>
          <t>19</t>
        </is>
      </c>
      <c r="E3964" s="233" t="inlineStr">
        <is>
          <t>18</t>
        </is>
      </c>
      <c r="F3964" s="227" t="inlineStr">
        <is>
          <t>LYSE</t>
        </is>
      </c>
    </row>
    <row r="3965">
      <c r="A3965" s="227">
        <f>TL[[#This Row],[Société]]&amp;" - "&amp;TL[[#This Row],[Compte]]</f>
        <v/>
      </c>
      <c r="B3965" s="233" t="inlineStr">
        <is>
          <t>606301</t>
        </is>
      </c>
      <c r="C3965" s="227" t="inlineStr">
        <is>
          <t>Fourn exploitation</t>
        </is>
      </c>
      <c r="D3965" s="233" t="inlineStr">
        <is>
          <t>18</t>
        </is>
      </c>
      <c r="E3965" s="233" t="inlineStr">
        <is>
          <t>25</t>
        </is>
      </c>
      <c r="F3965" s="227" t="inlineStr">
        <is>
          <t>LYSE</t>
        </is>
      </c>
    </row>
    <row r="3966">
      <c r="A3966" s="227">
        <f>TL[[#This Row],[Société]]&amp;" - "&amp;TL[[#This Row],[Compte]]</f>
        <v/>
      </c>
      <c r="B3966" s="233" t="inlineStr">
        <is>
          <t>606302</t>
        </is>
      </c>
      <c r="C3966" s="227" t="inlineStr">
        <is>
          <t>Fourn exploitat° et pdts entretien</t>
        </is>
      </c>
      <c r="D3966" s="233" t="inlineStr">
        <is>
          <t>18</t>
        </is>
      </c>
      <c r="E3966" s="233" t="inlineStr">
        <is>
          <t>25</t>
        </is>
      </c>
      <c r="F3966" s="227" t="inlineStr">
        <is>
          <t>LYSE</t>
        </is>
      </c>
    </row>
    <row r="3967">
      <c r="A3967" s="227">
        <f>TL[[#This Row],[Société]]&amp;" - "&amp;TL[[#This Row],[Compte]]</f>
        <v/>
      </c>
      <c r="B3967" s="233" t="inlineStr">
        <is>
          <t>606303</t>
        </is>
      </c>
      <c r="C3967" s="227" t="inlineStr">
        <is>
          <t>Uniformes</t>
        </is>
      </c>
      <c r="D3967" s="233" t="inlineStr">
        <is>
          <t>17</t>
        </is>
      </c>
      <c r="E3967" s="233" t="inlineStr">
        <is>
          <t>27</t>
        </is>
      </c>
      <c r="F3967" s="227" t="inlineStr">
        <is>
          <t>LYSE</t>
        </is>
      </c>
    </row>
    <row r="3968">
      <c r="A3968" s="227">
        <f>TL[[#This Row],[Société]]&amp;" - "&amp;TL[[#This Row],[Compte]]</f>
        <v/>
      </c>
      <c r="B3968" s="233" t="inlineStr">
        <is>
          <t>606304</t>
        </is>
      </c>
      <c r="C3968" s="227" t="inlineStr">
        <is>
          <t>Petit outillage</t>
        </is>
      </c>
      <c r="F3968" s="227" t="inlineStr">
        <is>
          <t>LYSE</t>
        </is>
      </c>
    </row>
    <row r="3969">
      <c r="A3969" s="227">
        <f>TL[[#This Row],[Société]]&amp;" - "&amp;TL[[#This Row],[Compte]]</f>
        <v/>
      </c>
      <c r="B3969" s="233" t="inlineStr">
        <is>
          <t>606305</t>
        </is>
      </c>
      <c r="C3969" s="227" t="inlineStr">
        <is>
          <t>Achats protection COVID19</t>
        </is>
      </c>
      <c r="D3969" s="233" t="inlineStr">
        <is>
          <t>18</t>
        </is>
      </c>
      <c r="E3969" s="233" t="inlineStr">
        <is>
          <t>25</t>
        </is>
      </c>
      <c r="F3969" s="227" t="inlineStr">
        <is>
          <t>LYSE</t>
        </is>
      </c>
    </row>
    <row r="3970">
      <c r="A3970" s="227">
        <f>TL[[#This Row],[Société]]&amp;" - "&amp;TL[[#This Row],[Compte]]</f>
        <v/>
      </c>
      <c r="B3970" s="233" t="inlineStr">
        <is>
          <t>606400</t>
        </is>
      </c>
      <c r="C3970" s="227" t="inlineStr">
        <is>
          <t>Fourni admin</t>
        </is>
      </c>
      <c r="D3970" s="233" t="inlineStr">
        <is>
          <t>51</t>
        </is>
      </c>
      <c r="E3970" s="233" t="inlineStr">
        <is>
          <t>46</t>
        </is>
      </c>
      <c r="F3970" s="227" t="inlineStr">
        <is>
          <t>LYSE</t>
        </is>
      </c>
    </row>
    <row r="3971">
      <c r="A3971" s="227">
        <f>TL[[#This Row],[Société]]&amp;" - "&amp;TL[[#This Row],[Compte]]</f>
        <v/>
      </c>
      <c r="B3971" s="233" t="inlineStr">
        <is>
          <t>606401</t>
        </is>
      </c>
      <c r="C3971" s="227" t="inlineStr">
        <is>
          <t>Fourni bureau restaurant</t>
        </is>
      </c>
      <c r="D3971" s="233" t="inlineStr">
        <is>
          <t>21</t>
        </is>
      </c>
      <c r="E3971" s="233" t="inlineStr">
        <is>
          <t>25</t>
        </is>
      </c>
      <c r="F3971" s="227" t="inlineStr">
        <is>
          <t>LYSE</t>
        </is>
      </c>
    </row>
    <row r="3972">
      <c r="A3972" s="227">
        <f>TL[[#This Row],[Société]]&amp;" - "&amp;TL[[#This Row],[Compte]]</f>
        <v/>
      </c>
      <c r="B3972" s="233" t="inlineStr">
        <is>
          <t>606800</t>
        </is>
      </c>
      <c r="C3972" s="227" t="inlineStr">
        <is>
          <t>Carburant</t>
        </is>
      </c>
      <c r="D3972" s="233" t="inlineStr">
        <is>
          <t>13</t>
        </is>
      </c>
      <c r="E3972" s="233" t="inlineStr">
        <is>
          <t>40</t>
        </is>
      </c>
      <c r="F3972" s="227" t="inlineStr">
        <is>
          <t>LYSE</t>
        </is>
      </c>
    </row>
    <row r="3973">
      <c r="A3973" s="227">
        <f>TL[[#This Row],[Société]]&amp;" - "&amp;TL[[#This Row],[Compte]]</f>
        <v/>
      </c>
      <c r="B3973" s="233" t="inlineStr">
        <is>
          <t>609100</t>
        </is>
      </c>
      <c r="C3973" s="227" t="inlineStr">
        <is>
          <t>R.r.r.obtenus s/ach.mat.premières</t>
        </is>
      </c>
      <c r="D3973" s="233" t="inlineStr">
        <is>
          <t>06</t>
        </is>
      </c>
      <c r="E3973" s="233" t="inlineStr">
        <is>
          <t>03</t>
        </is>
      </c>
      <c r="F3973" s="227" t="inlineStr">
        <is>
          <t>LYSE</t>
        </is>
      </c>
    </row>
    <row r="3974">
      <c r="A3974" s="227">
        <f>TL[[#This Row],[Société]]&amp;" - "&amp;TL[[#This Row],[Compte]]</f>
        <v/>
      </c>
      <c r="B3974" s="233" t="inlineStr">
        <is>
          <t>611000</t>
        </is>
      </c>
      <c r="C3974" s="227" t="inlineStr">
        <is>
          <t>Sous-traitance générale</t>
        </is>
      </c>
      <c r="D3974" s="233" t="inlineStr">
        <is>
          <t>32</t>
        </is>
      </c>
      <c r="E3974" s="233" t="inlineStr">
        <is>
          <t>19</t>
        </is>
      </c>
      <c r="F3974" s="227" t="inlineStr">
        <is>
          <t>LYSE</t>
        </is>
      </c>
    </row>
    <row r="3975">
      <c r="A3975" s="227">
        <f>TL[[#This Row],[Société]]&amp;" - "&amp;TL[[#This Row],[Compte]]</f>
        <v/>
      </c>
      <c r="B3975" s="233" t="inlineStr">
        <is>
          <t>611001</t>
        </is>
      </c>
      <c r="C3975" s="227" t="inlineStr">
        <is>
          <t>Ramassage especes</t>
        </is>
      </c>
      <c r="D3975" s="233" t="inlineStr">
        <is>
          <t>16</t>
        </is>
      </c>
      <c r="E3975" s="233" t="inlineStr">
        <is>
          <t>19</t>
        </is>
      </c>
      <c r="F3975" s="227" t="inlineStr">
        <is>
          <t>LYSE</t>
        </is>
      </c>
    </row>
    <row r="3976">
      <c r="A3976" s="227">
        <f>TL[[#This Row],[Société]]&amp;" - "&amp;TL[[#This Row],[Compte]]</f>
        <v/>
      </c>
      <c r="B3976" s="233" t="inlineStr">
        <is>
          <t>611003</t>
        </is>
      </c>
      <c r="C3976" s="227" t="inlineStr">
        <is>
          <t>Sous-traitance generale</t>
        </is>
      </c>
      <c r="D3976" s="233" t="inlineStr">
        <is>
          <t>16</t>
        </is>
      </c>
      <c r="E3976" s="233" t="inlineStr">
        <is>
          <t>19</t>
        </is>
      </c>
      <c r="F3976" s="227" t="inlineStr">
        <is>
          <t>LYSE</t>
        </is>
      </c>
    </row>
    <row r="3977">
      <c r="A3977" s="227">
        <f>TL[[#This Row],[Société]]&amp;" - "&amp;TL[[#This Row],[Compte]]</f>
        <v/>
      </c>
      <c r="B3977" s="233" t="inlineStr">
        <is>
          <t>611005</t>
        </is>
      </c>
      <c r="C3977" s="227" t="inlineStr">
        <is>
          <t>Ent.fleurs</t>
        </is>
      </c>
      <c r="D3977" s="233" t="inlineStr">
        <is>
          <t>16</t>
        </is>
      </c>
      <c r="E3977" s="233" t="inlineStr">
        <is>
          <t>16</t>
        </is>
      </c>
      <c r="F3977" s="227" t="inlineStr">
        <is>
          <t>LYSE</t>
        </is>
      </c>
    </row>
    <row r="3978">
      <c r="A3978" s="227">
        <f>TL[[#This Row],[Société]]&amp;" - "&amp;TL[[#This Row],[Compte]]</f>
        <v/>
      </c>
      <c r="B3978" s="233" t="inlineStr">
        <is>
          <t>612200</t>
        </is>
      </c>
      <c r="C3978" s="227" t="inlineStr">
        <is>
          <t>Norbail location</t>
        </is>
      </c>
      <c r="D3978" s="233" t="inlineStr">
        <is>
          <t>16</t>
        </is>
      </c>
      <c r="E3978" s="233" t="inlineStr">
        <is>
          <t>19</t>
        </is>
      </c>
      <c r="F3978" s="227" t="inlineStr">
        <is>
          <t>LYSE</t>
        </is>
      </c>
    </row>
    <row r="3979">
      <c r="A3979" s="227">
        <f>TL[[#This Row],[Société]]&amp;" - "&amp;TL[[#This Row],[Compte]]</f>
        <v/>
      </c>
      <c r="B3979" s="233" t="inlineStr">
        <is>
          <t>613000</t>
        </is>
      </c>
      <c r="C3979" s="227" t="inlineStr">
        <is>
          <t>Locations</t>
        </is>
      </c>
      <c r="D3979" s="233" t="inlineStr">
        <is>
          <t>99</t>
        </is>
      </c>
      <c r="E3979" s="233" t="inlineStr">
        <is>
          <t>19</t>
        </is>
      </c>
      <c r="F3979" s="227" t="inlineStr">
        <is>
          <t>LYSE</t>
        </is>
      </c>
    </row>
    <row r="3980">
      <c r="A3980" s="227">
        <f>TL[[#This Row],[Société]]&amp;" - "&amp;TL[[#This Row],[Compte]]</f>
        <v/>
      </c>
      <c r="B3980" s="233" t="inlineStr">
        <is>
          <t>613003</t>
        </is>
      </c>
      <c r="C3980" s="227" t="inlineStr">
        <is>
          <t>Loc caisse palette biodechets</t>
        </is>
      </c>
      <c r="D3980" s="233" t="inlineStr">
        <is>
          <t>16</t>
        </is>
      </c>
      <c r="E3980" s="233" t="inlineStr">
        <is>
          <t>19</t>
        </is>
      </c>
      <c r="F3980" s="227" t="inlineStr">
        <is>
          <t>LYSE</t>
        </is>
      </c>
    </row>
    <row r="3981">
      <c r="A3981" s="227">
        <f>TL[[#This Row],[Société]]&amp;" - "&amp;TL[[#This Row],[Compte]]</f>
        <v/>
      </c>
      <c r="B3981" s="233" t="inlineStr">
        <is>
          <t>613004</t>
        </is>
      </c>
      <c r="C3981" s="227" t="inlineStr">
        <is>
          <t>Redevance stand</t>
        </is>
      </c>
      <c r="D3981" s="233" t="inlineStr">
        <is>
          <t>30</t>
        </is>
      </c>
      <c r="E3981" s="233" t="inlineStr">
        <is>
          <t>34</t>
        </is>
      </c>
      <c r="F3981" s="227" t="inlineStr">
        <is>
          <t>LYSE</t>
        </is>
      </c>
    </row>
    <row r="3982">
      <c r="A3982" s="227">
        <f>TL[[#This Row],[Société]]&amp;" - "&amp;TL[[#This Row],[Compte]]</f>
        <v/>
      </c>
      <c r="B3982" s="233" t="inlineStr">
        <is>
          <t>613005</t>
        </is>
      </c>
      <c r="C3982" s="227" t="inlineStr">
        <is>
          <t>Location 308 affaire</t>
        </is>
      </c>
      <c r="D3982" s="233" t="inlineStr">
        <is>
          <t>16</t>
        </is>
      </c>
      <c r="E3982" s="233" t="inlineStr">
        <is>
          <t>19</t>
        </is>
      </c>
      <c r="F3982" s="227" t="inlineStr">
        <is>
          <t>LYSE</t>
        </is>
      </c>
    </row>
    <row r="3983">
      <c r="A3983" s="227">
        <f>TL[[#This Row],[Société]]&amp;" - "&amp;TL[[#This Row],[Compte]]</f>
        <v/>
      </c>
      <c r="B3983" s="233" t="inlineStr">
        <is>
          <t>613006</t>
        </is>
      </c>
      <c r="C3983" s="227" t="inlineStr">
        <is>
          <t>Location sci</t>
        </is>
      </c>
      <c r="D3983" s="233" t="inlineStr">
        <is>
          <t>16</t>
        </is>
      </c>
      <c r="E3983" s="233" t="inlineStr">
        <is>
          <t>19</t>
        </is>
      </c>
      <c r="F3983" s="227" t="inlineStr">
        <is>
          <t>LYSE</t>
        </is>
      </c>
    </row>
    <row r="3984">
      <c r="A3984" s="227">
        <f>TL[[#This Row],[Société]]&amp;" - "&amp;TL[[#This Row],[Compte]]</f>
        <v/>
      </c>
      <c r="B3984" s="233" t="inlineStr">
        <is>
          <t>613007</t>
        </is>
      </c>
      <c r="C3984" s="227" t="inlineStr">
        <is>
          <t>Location polo</t>
        </is>
      </c>
      <c r="D3984" s="233" t="inlineStr">
        <is>
          <t>16</t>
        </is>
      </c>
      <c r="E3984" s="233" t="inlineStr">
        <is>
          <t>19</t>
        </is>
      </c>
      <c r="F3984" s="227" t="inlineStr">
        <is>
          <t>LYSE</t>
        </is>
      </c>
    </row>
    <row r="3985">
      <c r="A3985" s="227">
        <f>TL[[#This Row],[Société]]&amp;" - "&amp;TL[[#This Row],[Compte]]</f>
        <v/>
      </c>
      <c r="B3985" s="233" t="inlineStr">
        <is>
          <t>613008</t>
        </is>
      </c>
      <c r="C3985" s="227" t="inlineStr">
        <is>
          <t>Location véhicule société</t>
        </is>
      </c>
      <c r="D3985" s="233" t="inlineStr">
        <is>
          <t>16</t>
        </is>
      </c>
      <c r="E3985" s="233" t="inlineStr">
        <is>
          <t>19</t>
        </is>
      </c>
      <c r="F3985" s="227" t="inlineStr">
        <is>
          <t>LYSE</t>
        </is>
      </c>
    </row>
    <row r="3986">
      <c r="A3986" s="227">
        <f>TL[[#This Row],[Société]]&amp;" - "&amp;TL[[#This Row],[Compte]]</f>
        <v/>
      </c>
      <c r="B3986" s="233" t="inlineStr">
        <is>
          <t>613009</t>
        </is>
      </c>
      <c r="C3986" s="227" t="inlineStr">
        <is>
          <t>Loc.audi a1 DM146RF</t>
        </is>
      </c>
      <c r="D3986" s="233" t="inlineStr">
        <is>
          <t>39</t>
        </is>
      </c>
      <c r="E3986" s="233" t="inlineStr">
        <is>
          <t>39</t>
        </is>
      </c>
      <c r="F3986" s="227" t="inlineStr">
        <is>
          <t>LYSE</t>
        </is>
      </c>
    </row>
    <row r="3987">
      <c r="A3987" s="227">
        <f>TL[[#This Row],[Société]]&amp;" - "&amp;TL[[#This Row],[Compte]]</f>
        <v/>
      </c>
      <c r="B3987" s="233" t="inlineStr">
        <is>
          <t>613010</t>
        </is>
      </c>
      <c r="C3987" s="227" t="inlineStr">
        <is>
          <t>F 01/12 fact volswagen location pol</t>
        </is>
      </c>
      <c r="D3987" s="233" t="inlineStr">
        <is>
          <t>16</t>
        </is>
      </c>
      <c r="E3987" s="233" t="inlineStr">
        <is>
          <t>19</t>
        </is>
      </c>
      <c r="F3987" s="227" t="inlineStr">
        <is>
          <t>LYSE</t>
        </is>
      </c>
    </row>
    <row r="3988">
      <c r="A3988" s="227">
        <f>TL[[#This Row],[Société]]&amp;" - "&amp;TL[[#This Row],[Compte]]</f>
        <v/>
      </c>
      <c r="B3988" s="233" t="inlineStr">
        <is>
          <t>613011</t>
        </is>
      </c>
      <c r="C3988" s="227" t="inlineStr">
        <is>
          <t>Loc.audi a1 DZ351PW</t>
        </is>
      </c>
      <c r="D3988" s="233" t="inlineStr">
        <is>
          <t>39</t>
        </is>
      </c>
      <c r="E3988" s="233" t="inlineStr">
        <is>
          <t>39</t>
        </is>
      </c>
      <c r="F3988" s="227" t="inlineStr">
        <is>
          <t>LYSE</t>
        </is>
      </c>
    </row>
    <row r="3989">
      <c r="A3989" s="227">
        <f>TL[[#This Row],[Société]]&amp;" - "&amp;TL[[#This Row],[Compte]]</f>
        <v/>
      </c>
      <c r="B3989" s="233" t="inlineStr">
        <is>
          <t>613012</t>
        </is>
      </c>
      <c r="C3989" s="227" t="inlineStr">
        <is>
          <t>Loc.audi a1 ES829YE</t>
        </is>
      </c>
      <c r="D3989" s="233" t="inlineStr">
        <is>
          <t>39</t>
        </is>
      </c>
      <c r="E3989" s="233" t="inlineStr">
        <is>
          <t>39</t>
        </is>
      </c>
      <c r="F3989" s="227" t="inlineStr">
        <is>
          <t>LYSE</t>
        </is>
      </c>
    </row>
    <row r="3990">
      <c r="A3990" s="227">
        <f>TL[[#This Row],[Société]]&amp;" - "&amp;TL[[#This Row],[Compte]]</f>
        <v/>
      </c>
      <c r="B3990" s="233" t="inlineStr">
        <is>
          <t>613013</t>
        </is>
      </c>
      <c r="C3990" s="227" t="inlineStr">
        <is>
          <t>Loc audi a1 EZ613LE</t>
        </is>
      </c>
      <c r="D3990" s="233" t="inlineStr">
        <is>
          <t>39</t>
        </is>
      </c>
      <c r="E3990" s="233" t="inlineStr">
        <is>
          <t>39</t>
        </is>
      </c>
      <c r="F3990" s="227" t="inlineStr">
        <is>
          <t>LYSE</t>
        </is>
      </c>
    </row>
    <row r="3991">
      <c r="A3991" s="227">
        <f>TL[[#This Row],[Société]]&amp;" - "&amp;TL[[#This Row],[Compte]]</f>
        <v/>
      </c>
      <c r="B3991" s="233" t="inlineStr">
        <is>
          <t>613014</t>
        </is>
      </c>
      <c r="C3991" s="227" t="inlineStr">
        <is>
          <t>loyer vehicule thomas rego</t>
        </is>
      </c>
      <c r="D3991" s="233" t="inlineStr">
        <is>
          <t>39</t>
        </is>
      </c>
      <c r="E3991" s="233" t="inlineStr">
        <is>
          <t>40</t>
        </is>
      </c>
      <c r="F3991" s="227" t="inlineStr">
        <is>
          <t>LYSE</t>
        </is>
      </c>
    </row>
    <row r="3992">
      <c r="A3992" s="227">
        <f>TL[[#This Row],[Société]]&amp;" - "&amp;TL[[#This Row],[Compte]]</f>
        <v/>
      </c>
      <c r="B3992" s="233" t="inlineStr">
        <is>
          <t>613015</t>
        </is>
      </c>
      <c r="C3992" s="227" t="inlineStr">
        <is>
          <t>loyer vehicule marine de castro fer</t>
        </is>
      </c>
      <c r="D3992" s="233" t="inlineStr">
        <is>
          <t>39</t>
        </is>
      </c>
      <c r="E3992" s="233" t="inlineStr">
        <is>
          <t>39</t>
        </is>
      </c>
      <c r="F3992" s="227" t="inlineStr">
        <is>
          <t>LYSE</t>
        </is>
      </c>
    </row>
    <row r="3993">
      <c r="A3993" s="227">
        <f>TL[[#This Row],[Société]]&amp;" - "&amp;TL[[#This Row],[Compte]]</f>
        <v/>
      </c>
      <c r="B3993" s="233" t="inlineStr">
        <is>
          <t>613016</t>
        </is>
      </c>
      <c r="C3993" s="227" t="inlineStr">
        <is>
          <t>location polo FV935QN</t>
        </is>
      </c>
      <c r="D3993" s="233" t="inlineStr">
        <is>
          <t>39</t>
        </is>
      </c>
      <c r="E3993" s="233" t="inlineStr">
        <is>
          <t>40</t>
        </is>
      </c>
      <c r="F3993" s="227" t="inlineStr">
        <is>
          <t>LYSE</t>
        </is>
      </c>
    </row>
    <row r="3994">
      <c r="A3994" s="227">
        <f>TL[[#This Row],[Société]]&amp;" - "&amp;TL[[#This Row],[Compte]]</f>
        <v/>
      </c>
      <c r="B3994" s="233" t="inlineStr">
        <is>
          <t>613017</t>
        </is>
      </c>
      <c r="C3994" s="227" t="inlineStr">
        <is>
          <t>Loyer vehicule Wassa</t>
        </is>
      </c>
      <c r="D3994" s="233" t="inlineStr">
        <is>
          <t>39</t>
        </is>
      </c>
      <c r="E3994" s="233" t="inlineStr">
        <is>
          <t>40</t>
        </is>
      </c>
      <c r="F3994" s="227" t="inlineStr">
        <is>
          <t>LYSE</t>
        </is>
      </c>
    </row>
    <row r="3995">
      <c r="A3995" s="227">
        <f>TL[[#This Row],[Société]]&amp;" - "&amp;TL[[#This Row],[Compte]]</f>
        <v/>
      </c>
      <c r="B3995" s="233" t="inlineStr">
        <is>
          <t>613018</t>
        </is>
      </c>
      <c r="C3995" s="227" t="inlineStr">
        <is>
          <t>Loyer véhicule Rego</t>
        </is>
      </c>
      <c r="D3995" s="233" t="inlineStr">
        <is>
          <t>39</t>
        </is>
      </c>
      <c r="E3995" s="233" t="inlineStr">
        <is>
          <t>40</t>
        </is>
      </c>
      <c r="F3995" s="227" t="inlineStr">
        <is>
          <t>LYSE</t>
        </is>
      </c>
    </row>
    <row r="3996">
      <c r="A3996" s="227">
        <f>TL[[#This Row],[Société]]&amp;" - "&amp;TL[[#This Row],[Compte]]</f>
        <v/>
      </c>
      <c r="B3996" s="233" t="inlineStr">
        <is>
          <t>613019</t>
        </is>
      </c>
      <c r="C3996" s="227" t="inlineStr">
        <is>
          <t>Loyer véhicule Lanos</t>
        </is>
      </c>
      <c r="D3996" s="233" t="inlineStr">
        <is>
          <t>39</t>
        </is>
      </c>
      <c r="E3996" s="233" t="inlineStr">
        <is>
          <t>40</t>
        </is>
      </c>
      <c r="F3996" s="227" t="inlineStr">
        <is>
          <t>LYSE</t>
        </is>
      </c>
    </row>
    <row r="3997">
      <c r="A3997" s="227">
        <f>TL[[#This Row],[Société]]&amp;" - "&amp;TL[[#This Row],[Compte]]</f>
        <v/>
      </c>
      <c r="B3997" s="233" t="inlineStr">
        <is>
          <t>613020</t>
        </is>
      </c>
      <c r="C3997" s="227" t="inlineStr">
        <is>
          <t>Loyer véhicule Phoeuk</t>
        </is>
      </c>
      <c r="D3997" s="233" t="inlineStr">
        <is>
          <t>39</t>
        </is>
      </c>
      <c r="E3997" s="233" t="inlineStr">
        <is>
          <t>40</t>
        </is>
      </c>
      <c r="F3997" s="227" t="inlineStr">
        <is>
          <t>LYSE</t>
        </is>
      </c>
    </row>
    <row r="3998">
      <c r="A3998" s="227">
        <f>TL[[#This Row],[Société]]&amp;" - "&amp;TL[[#This Row],[Compte]]</f>
        <v/>
      </c>
      <c r="B3998" s="233" t="inlineStr">
        <is>
          <t>613100</t>
        </is>
      </c>
      <c r="C3998" s="227" t="inlineStr">
        <is>
          <t>Location vehicule</t>
        </is>
      </c>
      <c r="D3998" s="233" t="inlineStr">
        <is>
          <t>16</t>
        </is>
      </c>
      <c r="E3998" s="233" t="inlineStr">
        <is>
          <t>19</t>
        </is>
      </c>
      <c r="F3998" s="227" t="inlineStr">
        <is>
          <t>LYSE</t>
        </is>
      </c>
    </row>
    <row r="3999">
      <c r="A3999" s="227">
        <f>TL[[#This Row],[Société]]&amp;" - "&amp;TL[[#This Row],[Compte]]</f>
        <v/>
      </c>
      <c r="B3999" s="233" t="inlineStr">
        <is>
          <t>613110</t>
        </is>
      </c>
      <c r="C3999" s="227" t="inlineStr">
        <is>
          <t>loyer oeuvre d art</t>
        </is>
      </c>
      <c r="D3999" s="233" t="inlineStr">
        <is>
          <t>39</t>
        </is>
      </c>
      <c r="E3999" s="233" t="inlineStr">
        <is>
          <t>40</t>
        </is>
      </c>
      <c r="F3999" s="227" t="inlineStr">
        <is>
          <t>LYSE</t>
        </is>
      </c>
    </row>
    <row r="4000">
      <c r="A4000" s="227">
        <f>TL[[#This Row],[Société]]&amp;" - "&amp;TL[[#This Row],[Compte]]</f>
        <v/>
      </c>
      <c r="B4000" s="233" t="inlineStr">
        <is>
          <t>613120</t>
        </is>
      </c>
      <c r="C4000" s="227" t="inlineStr">
        <is>
          <t>location defibrillateur</t>
        </is>
      </c>
      <c r="D4000" s="233" t="inlineStr">
        <is>
          <t>16</t>
        </is>
      </c>
      <c r="E4000" s="233" t="inlineStr">
        <is>
          <t>19</t>
        </is>
      </c>
      <c r="F4000" s="227" t="inlineStr">
        <is>
          <t>LYSE</t>
        </is>
      </c>
    </row>
    <row r="4001">
      <c r="A4001" s="227">
        <f>TL[[#This Row],[Société]]&amp;" - "&amp;TL[[#This Row],[Compte]]</f>
        <v/>
      </c>
      <c r="B4001" s="233" t="inlineStr">
        <is>
          <t>613200</t>
        </is>
      </c>
      <c r="C4001" s="227" t="inlineStr">
        <is>
          <t>Redevance standard 14%</t>
        </is>
      </c>
      <c r="D4001" s="233" t="inlineStr">
        <is>
          <t>30</t>
        </is>
      </c>
      <c r="E4001" s="233" t="inlineStr">
        <is>
          <t>29</t>
        </is>
      </c>
      <c r="F4001" s="227" t="inlineStr">
        <is>
          <t>LYSE</t>
        </is>
      </c>
    </row>
    <row r="4002">
      <c r="A4002" s="227">
        <f>TL[[#This Row],[Société]]&amp;" - "&amp;TL[[#This Row],[Compte]]</f>
        <v/>
      </c>
      <c r="B4002" s="233" t="inlineStr">
        <is>
          <t>613500</t>
        </is>
      </c>
      <c r="C4002" s="227" t="inlineStr">
        <is>
          <t>Locations diverses</t>
        </is>
      </c>
      <c r="D4002" s="233" t="inlineStr">
        <is>
          <t>16</t>
        </is>
      </c>
      <c r="E4002" s="233" t="inlineStr">
        <is>
          <t>18</t>
        </is>
      </c>
      <c r="F4002" s="227" t="inlineStr">
        <is>
          <t>LYSE</t>
        </is>
      </c>
    </row>
    <row r="4003">
      <c r="A4003" s="227">
        <f>TL[[#This Row],[Société]]&amp;" - "&amp;TL[[#This Row],[Compte]]</f>
        <v/>
      </c>
      <c r="B4003" s="233" t="inlineStr">
        <is>
          <t>613501</t>
        </is>
      </c>
      <c r="C4003" s="227" t="inlineStr">
        <is>
          <t>Location copieur</t>
        </is>
      </c>
      <c r="D4003" s="233" t="inlineStr">
        <is>
          <t>16</t>
        </is>
      </c>
      <c r="E4003" s="233" t="inlineStr">
        <is>
          <t>19</t>
        </is>
      </c>
      <c r="F4003" s="227" t="inlineStr">
        <is>
          <t>LYSE</t>
        </is>
      </c>
    </row>
    <row r="4004">
      <c r="A4004" s="227">
        <f>TL[[#This Row],[Société]]&amp;" - "&amp;TL[[#This Row],[Compte]]</f>
        <v/>
      </c>
      <c r="B4004" s="233" t="inlineStr">
        <is>
          <t>613510</t>
        </is>
      </c>
      <c r="C4004" s="227" t="inlineStr">
        <is>
          <t>Locations interway</t>
        </is>
      </c>
      <c r="D4004" s="233" t="inlineStr">
        <is>
          <t>16</t>
        </is>
      </c>
      <c r="E4004" s="233" t="inlineStr">
        <is>
          <t>19</t>
        </is>
      </c>
      <c r="F4004" s="227" t="inlineStr">
        <is>
          <t>LYSE</t>
        </is>
      </c>
    </row>
    <row r="4005">
      <c r="A4005" s="227">
        <f>TL[[#This Row],[Société]]&amp;" - "&amp;TL[[#This Row],[Compte]]</f>
        <v/>
      </c>
      <c r="B4005" s="233" t="inlineStr">
        <is>
          <t>613520</t>
        </is>
      </c>
      <c r="C4005" s="227" t="inlineStr">
        <is>
          <t>Locations mat.inform.GRENKE</t>
        </is>
      </c>
      <c r="D4005" s="233" t="inlineStr">
        <is>
          <t>16</t>
        </is>
      </c>
      <c r="E4005" s="233" t="inlineStr">
        <is>
          <t>19</t>
        </is>
      </c>
      <c r="F4005" s="227" t="inlineStr">
        <is>
          <t>LYSE</t>
        </is>
      </c>
    </row>
    <row r="4006">
      <c r="A4006" s="227">
        <f>TL[[#This Row],[Société]]&amp;" - "&amp;TL[[#This Row],[Compte]]</f>
        <v/>
      </c>
      <c r="B4006" s="233" t="inlineStr">
        <is>
          <t>614000</t>
        </is>
      </c>
      <c r="C4006" s="227" t="inlineStr">
        <is>
          <t>Charges locatives</t>
        </is>
      </c>
      <c r="D4006" s="233" t="inlineStr">
        <is>
          <t>34</t>
        </is>
      </c>
      <c r="E4006" s="233" t="inlineStr">
        <is>
          <t>33</t>
        </is>
      </c>
      <c r="F4006" s="227" t="inlineStr">
        <is>
          <t>LYSE</t>
        </is>
      </c>
    </row>
    <row r="4007">
      <c r="A4007" s="227">
        <f>TL[[#This Row],[Société]]&amp;" - "&amp;TL[[#This Row],[Compte]]</f>
        <v/>
      </c>
      <c r="B4007" s="233" t="inlineStr">
        <is>
          <t>614100</t>
        </is>
      </c>
      <c r="C4007" s="227" t="inlineStr">
        <is>
          <t>Charges locatives mc do france</t>
        </is>
      </c>
      <c r="D4007" s="233" t="inlineStr">
        <is>
          <t>34</t>
        </is>
      </c>
      <c r="E4007" s="233" t="inlineStr">
        <is>
          <t>33</t>
        </is>
      </c>
      <c r="F4007" s="227" t="inlineStr">
        <is>
          <t>LYSE</t>
        </is>
      </c>
    </row>
    <row r="4008">
      <c r="A4008" s="227">
        <f>TL[[#This Row],[Société]]&amp;" - "&amp;TL[[#This Row],[Compte]]</f>
        <v/>
      </c>
      <c r="B4008" s="233" t="inlineStr">
        <is>
          <t>615001</t>
        </is>
      </c>
      <c r="C4008" s="227" t="inlineStr">
        <is>
          <t>Ent et rep equipement</t>
        </is>
      </c>
      <c r="D4008" s="233" t="inlineStr">
        <is>
          <t>19</t>
        </is>
      </c>
      <c r="E4008" s="233" t="inlineStr">
        <is>
          <t>18</t>
        </is>
      </c>
      <c r="F4008" s="227" t="inlineStr">
        <is>
          <t>LYSE</t>
        </is>
      </c>
    </row>
    <row r="4009">
      <c r="A4009" s="227">
        <f>TL[[#This Row],[Société]]&amp;" - "&amp;TL[[#This Row],[Compte]]</f>
        <v/>
      </c>
      <c r="B4009" s="233" t="inlineStr">
        <is>
          <t>615003</t>
        </is>
      </c>
      <c r="C4009" s="227" t="inlineStr">
        <is>
          <t>Cont. entret. linge</t>
        </is>
      </c>
      <c r="D4009" s="233" t="inlineStr">
        <is>
          <t>19</t>
        </is>
      </c>
      <c r="E4009" s="233" t="inlineStr">
        <is>
          <t>18</t>
        </is>
      </c>
      <c r="F4009" s="227" t="inlineStr">
        <is>
          <t>LYSE</t>
        </is>
      </c>
    </row>
    <row r="4010">
      <c r="A4010" s="227">
        <f>TL[[#This Row],[Société]]&amp;" - "&amp;TL[[#This Row],[Compte]]</f>
        <v/>
      </c>
      <c r="B4010" s="233" t="inlineStr">
        <is>
          <t>615004</t>
        </is>
      </c>
      <c r="C4010" s="227" t="inlineStr">
        <is>
          <t>Surveill. gardien.</t>
        </is>
      </c>
      <c r="D4010" s="233" t="inlineStr">
        <is>
          <t>16</t>
        </is>
      </c>
      <c r="E4010" s="233" t="inlineStr">
        <is>
          <t>16</t>
        </is>
      </c>
      <c r="F4010" s="227" t="inlineStr">
        <is>
          <t>LYSE</t>
        </is>
      </c>
    </row>
    <row r="4011">
      <c r="A4011" s="227">
        <f>TL[[#This Row],[Société]]&amp;" - "&amp;TL[[#This Row],[Compte]]</f>
        <v/>
      </c>
      <c r="B4011" s="233" t="inlineStr">
        <is>
          <t>615005</t>
        </is>
      </c>
      <c r="C4011" s="227" t="inlineStr">
        <is>
          <t>Contrat onyx</t>
        </is>
      </c>
      <c r="D4011" s="233" t="inlineStr">
        <is>
          <t>16</t>
        </is>
      </c>
      <c r="E4011" s="233" t="inlineStr">
        <is>
          <t>19</t>
        </is>
      </c>
      <c r="F4011" s="227" t="inlineStr">
        <is>
          <t>LYSE</t>
        </is>
      </c>
    </row>
    <row r="4012">
      <c r="A4012" s="227">
        <f>TL[[#This Row],[Société]]&amp;" - "&amp;TL[[#This Row],[Compte]]</f>
        <v/>
      </c>
      <c r="B4012" s="233" t="inlineStr">
        <is>
          <t>615006</t>
        </is>
      </c>
      <c r="C4012" s="227" t="inlineStr">
        <is>
          <t>Contrat ecogras</t>
        </is>
      </c>
      <c r="D4012" s="233" t="inlineStr">
        <is>
          <t>16</t>
        </is>
      </c>
      <c r="E4012" s="233" t="inlineStr">
        <is>
          <t>19</t>
        </is>
      </c>
      <c r="F4012" s="227" t="inlineStr">
        <is>
          <t>LYSE</t>
        </is>
      </c>
    </row>
    <row r="4013">
      <c r="A4013" s="227">
        <f>TL[[#This Row],[Société]]&amp;" - "&amp;TL[[#This Row],[Compte]]</f>
        <v/>
      </c>
      <c r="B4013" s="233" t="inlineStr">
        <is>
          <t>615009</t>
        </is>
      </c>
      <c r="C4013" s="227" t="inlineStr">
        <is>
          <t>Entretien cuisine</t>
        </is>
      </c>
      <c r="D4013" s="240" t="inlineStr">
        <is>
          <t>19</t>
        </is>
      </c>
      <c r="E4013" s="233" t="inlineStr">
        <is>
          <t>18</t>
        </is>
      </c>
      <c r="F4013" s="227" t="inlineStr">
        <is>
          <t>LYSE</t>
        </is>
      </c>
    </row>
    <row r="4014">
      <c r="A4014" s="227">
        <f>TL[[#This Row],[Société]]&amp;" - "&amp;TL[[#This Row],[Compte]]</f>
        <v/>
      </c>
      <c r="B4014" s="233" t="inlineStr">
        <is>
          <t>615011</t>
        </is>
      </c>
      <c r="C4014" s="227" t="inlineStr">
        <is>
          <t>Contrat j-normandie</t>
        </is>
      </c>
      <c r="D4014" s="233" t="inlineStr">
        <is>
          <t>16</t>
        </is>
      </c>
      <c r="E4014" s="233" t="inlineStr">
        <is>
          <t>19</t>
        </is>
      </c>
      <c r="F4014" s="227" t="inlineStr">
        <is>
          <t>LYSE</t>
        </is>
      </c>
    </row>
    <row r="4015">
      <c r="A4015" s="227">
        <f>TL[[#This Row],[Société]]&amp;" - "&amp;TL[[#This Row],[Compte]]</f>
        <v/>
      </c>
      <c r="B4015" s="233" t="inlineStr">
        <is>
          <t>615012</t>
        </is>
      </c>
      <c r="C4015" s="227" t="inlineStr">
        <is>
          <t>Contrat sir</t>
        </is>
      </c>
      <c r="D4015" s="233" t="inlineStr">
        <is>
          <t>16</t>
        </is>
      </c>
      <c r="E4015" s="233" t="inlineStr">
        <is>
          <t>19</t>
        </is>
      </c>
      <c r="F4015" s="227" t="inlineStr">
        <is>
          <t>LYSE</t>
        </is>
      </c>
    </row>
    <row r="4016">
      <c r="A4016" s="227">
        <f>TL[[#This Row],[Société]]&amp;" - "&amp;TL[[#This Row],[Compte]]</f>
        <v/>
      </c>
      <c r="B4016" s="233" t="inlineStr">
        <is>
          <t>615013</t>
        </is>
      </c>
      <c r="C4016" s="227" t="inlineStr">
        <is>
          <t>Entret. et repar.</t>
        </is>
      </c>
      <c r="F4016" s="227" t="inlineStr">
        <is>
          <t>LYSE</t>
        </is>
      </c>
    </row>
    <row r="4017">
      <c r="A4017" s="227">
        <f>TL[[#This Row],[Société]]&amp;" - "&amp;TL[[#This Row],[Compte]]</f>
        <v/>
      </c>
      <c r="B4017" s="233" t="inlineStr">
        <is>
          <t>615015</t>
        </is>
      </c>
      <c r="C4017" s="227" t="inlineStr">
        <is>
          <t>Entret. mat transp.</t>
        </is>
      </c>
      <c r="D4017" s="239" t="inlineStr">
        <is>
          <t>39</t>
        </is>
      </c>
      <c r="E4017" s="233" t="inlineStr">
        <is>
          <t>27</t>
        </is>
      </c>
      <c r="F4017" s="227" t="inlineStr">
        <is>
          <t>LYSE</t>
        </is>
      </c>
    </row>
    <row r="4018">
      <c r="A4018" s="227">
        <f>TL[[#This Row],[Société]]&amp;" - "&amp;TL[[#This Row],[Compte]]</f>
        <v/>
      </c>
      <c r="B4018" s="233" t="inlineStr">
        <is>
          <t>615016</t>
        </is>
      </c>
      <c r="C4018" s="227" t="inlineStr">
        <is>
          <t>Cont assist.servic</t>
        </is>
      </c>
      <c r="D4018" s="233" t="inlineStr">
        <is>
          <t>16</t>
        </is>
      </c>
      <c r="E4018" s="233" t="inlineStr">
        <is>
          <t>19</t>
        </is>
      </c>
      <c r="F4018" s="227" t="inlineStr">
        <is>
          <t>LYSE</t>
        </is>
      </c>
    </row>
    <row r="4019">
      <c r="A4019" s="227">
        <f>TL[[#This Row],[Société]]&amp;" - "&amp;TL[[#This Row],[Compte]]</f>
        <v/>
      </c>
      <c r="B4019" s="233" t="inlineStr">
        <is>
          <t>615017</t>
        </is>
      </c>
      <c r="C4019" s="227" t="inlineStr">
        <is>
          <t>Contrat musique</t>
        </is>
      </c>
      <c r="D4019" s="233" t="inlineStr">
        <is>
          <t>16</t>
        </is>
      </c>
      <c r="E4019" s="233" t="inlineStr">
        <is>
          <t>19</t>
        </is>
      </c>
      <c r="F4019" s="227" t="inlineStr">
        <is>
          <t>LYSE</t>
        </is>
      </c>
    </row>
    <row r="4020">
      <c r="A4020" s="227">
        <f>TL[[#This Row],[Société]]&amp;" - "&amp;TL[[#This Row],[Compte]]</f>
        <v/>
      </c>
      <c r="B4020" s="233" t="inlineStr">
        <is>
          <t>615200</t>
        </is>
      </c>
      <c r="C4020" s="227" t="inlineStr">
        <is>
          <t>Entretien espaces verts</t>
        </is>
      </c>
      <c r="D4020" s="233" t="inlineStr">
        <is>
          <t>16</t>
        </is>
      </c>
      <c r="E4020" s="233" t="inlineStr">
        <is>
          <t>19</t>
        </is>
      </c>
      <c r="F4020" s="227" t="inlineStr">
        <is>
          <t>LYSE</t>
        </is>
      </c>
    </row>
    <row r="4021">
      <c r="A4021" s="227">
        <f>TL[[#This Row],[Société]]&amp;" - "&amp;TL[[#This Row],[Compte]]</f>
        <v/>
      </c>
      <c r="B4021" s="233" t="inlineStr">
        <is>
          <t>615210</t>
        </is>
      </c>
      <c r="C4021" s="227" t="inlineStr">
        <is>
          <t>Entretien vitres</t>
        </is>
      </c>
      <c r="D4021" s="233" t="inlineStr">
        <is>
          <t>16</t>
        </is>
      </c>
      <c r="E4021" s="233" t="inlineStr">
        <is>
          <t>15</t>
        </is>
      </c>
      <c r="F4021" s="227" t="inlineStr">
        <is>
          <t>LYSE</t>
        </is>
      </c>
    </row>
    <row r="4022">
      <c r="A4022" s="227">
        <f>TL[[#This Row],[Société]]&amp;" - "&amp;TL[[#This Row],[Compte]]</f>
        <v/>
      </c>
      <c r="B4022" s="233" t="inlineStr">
        <is>
          <t>615211</t>
        </is>
      </c>
      <c r="C4022" s="227" t="inlineStr">
        <is>
          <t>F 17/09 fact silliker suite visite</t>
        </is>
      </c>
      <c r="D4022" s="233" t="inlineStr">
        <is>
          <t>16</t>
        </is>
      </c>
      <c r="E4022" s="233" t="inlineStr">
        <is>
          <t>19</t>
        </is>
      </c>
      <c r="F4022" s="227" t="inlineStr">
        <is>
          <t>LYSE</t>
        </is>
      </c>
    </row>
    <row r="4023">
      <c r="A4023" s="227">
        <f>TL[[#This Row],[Société]]&amp;" - "&amp;TL[[#This Row],[Compte]]</f>
        <v/>
      </c>
      <c r="B4023" s="233" t="inlineStr">
        <is>
          <t>615500</t>
        </is>
      </c>
      <c r="C4023" s="227" t="inlineStr">
        <is>
          <t>Entretien réparation matériel</t>
        </is>
      </c>
      <c r="D4023" s="233" t="inlineStr">
        <is>
          <t>19</t>
        </is>
      </c>
      <c r="E4023" s="233" t="inlineStr">
        <is>
          <t>18</t>
        </is>
      </c>
      <c r="F4023" s="227" t="inlineStr">
        <is>
          <t>LYSE</t>
        </is>
      </c>
    </row>
    <row r="4024">
      <c r="A4024" s="227">
        <f>TL[[#This Row],[Société]]&amp;" - "&amp;TL[[#This Row],[Compte]]</f>
        <v/>
      </c>
      <c r="B4024" s="233" t="inlineStr">
        <is>
          <t>615520</t>
        </is>
      </c>
      <c r="C4024" s="227" t="inlineStr">
        <is>
          <t>Entretien du mat. de transport</t>
        </is>
      </c>
      <c r="D4024" s="233" t="inlineStr">
        <is>
          <t>39</t>
        </is>
      </c>
      <c r="E4024" s="233" t="inlineStr">
        <is>
          <t>18</t>
        </is>
      </c>
      <c r="F4024" s="227" t="inlineStr">
        <is>
          <t>LYSE</t>
        </is>
      </c>
    </row>
    <row r="4025">
      <c r="A4025" s="227">
        <f>TL[[#This Row],[Société]]&amp;" - "&amp;TL[[#This Row],[Compte]]</f>
        <v/>
      </c>
      <c r="B4025" s="233" t="inlineStr">
        <is>
          <t>615600</t>
        </is>
      </c>
      <c r="C4025" s="227" t="inlineStr">
        <is>
          <t>Maintenance mc do</t>
        </is>
      </c>
      <c r="D4025" s="233" t="inlineStr">
        <is>
          <t>16</t>
        </is>
      </c>
      <c r="E4025" s="233" t="inlineStr">
        <is>
          <t>19</t>
        </is>
      </c>
      <c r="F4025" s="227" t="inlineStr">
        <is>
          <t>LYSE</t>
        </is>
      </c>
    </row>
    <row r="4026">
      <c r="A4026" s="227">
        <f>TL[[#This Row],[Société]]&amp;" - "&amp;TL[[#This Row],[Compte]]</f>
        <v/>
      </c>
      <c r="B4026" s="233" t="inlineStr">
        <is>
          <t>615610</t>
        </is>
      </c>
      <c r="C4026" s="227" t="inlineStr">
        <is>
          <t>Iron mountain</t>
        </is>
      </c>
      <c r="D4026" s="233" t="inlineStr">
        <is>
          <t>16</t>
        </is>
      </c>
      <c r="E4026" s="233" t="inlineStr">
        <is>
          <t>19</t>
        </is>
      </c>
      <c r="F4026" s="227" t="inlineStr">
        <is>
          <t>LYSE</t>
        </is>
      </c>
    </row>
    <row r="4027">
      <c r="A4027" s="227">
        <f>TL[[#This Row],[Société]]&amp;" - "&amp;TL[[#This Row],[Compte]]</f>
        <v/>
      </c>
      <c r="B4027" s="233" t="inlineStr">
        <is>
          <t>615611</t>
        </is>
      </c>
      <c r="C4027" s="227" t="inlineStr">
        <is>
          <t>Loomis</t>
        </is>
      </c>
      <c r="D4027" s="233" t="inlineStr">
        <is>
          <t>16</t>
        </is>
      </c>
      <c r="E4027" s="233" t="inlineStr">
        <is>
          <t>19</t>
        </is>
      </c>
      <c r="F4027" s="227" t="inlineStr">
        <is>
          <t>LYSE</t>
        </is>
      </c>
    </row>
    <row r="4028">
      <c r="A4028" s="227">
        <f>TL[[#This Row],[Société]]&amp;" - "&amp;TL[[#This Row],[Compte]]</f>
        <v/>
      </c>
      <c r="B4028" s="233" t="inlineStr">
        <is>
          <t>615612</t>
        </is>
      </c>
      <c r="C4028" s="227" t="inlineStr">
        <is>
          <t>Collecte huiles usagées</t>
        </is>
      </c>
      <c r="D4028" s="233" t="inlineStr">
        <is>
          <t>16</t>
        </is>
      </c>
      <c r="E4028" s="233" t="inlineStr">
        <is>
          <t>19</t>
        </is>
      </c>
      <c r="F4028" s="227" t="inlineStr">
        <is>
          <t>LYSE</t>
        </is>
      </c>
    </row>
    <row r="4029">
      <c r="A4029" s="227">
        <f>TL[[#This Row],[Société]]&amp;" - "&amp;TL[[#This Row],[Compte]]</f>
        <v/>
      </c>
      <c r="B4029" s="233" t="inlineStr">
        <is>
          <t>615613</t>
        </is>
      </c>
      <c r="C4029" s="227" t="inlineStr">
        <is>
          <t>Reflex services</t>
        </is>
      </c>
      <c r="D4029" s="233" t="inlineStr">
        <is>
          <t>16</t>
        </is>
      </c>
      <c r="E4029" s="233" t="inlineStr">
        <is>
          <t>19</t>
        </is>
      </c>
      <c r="F4029" s="227" t="inlineStr">
        <is>
          <t>LYSE</t>
        </is>
      </c>
    </row>
    <row r="4030">
      <c r="A4030" s="227">
        <f>TL[[#This Row],[Société]]&amp;" - "&amp;TL[[#This Row],[Compte]]</f>
        <v/>
      </c>
      <c r="B4030" s="233" t="inlineStr">
        <is>
          <t>615614</t>
        </is>
      </c>
      <c r="C4030" s="227" t="inlineStr">
        <is>
          <t>Ad hoc</t>
        </is>
      </c>
      <c r="D4030" s="233" t="inlineStr">
        <is>
          <t>16</t>
        </is>
      </c>
      <c r="E4030" s="233" t="inlineStr">
        <is>
          <t>19</t>
        </is>
      </c>
      <c r="F4030" s="227" t="inlineStr">
        <is>
          <t>LYSE</t>
        </is>
      </c>
    </row>
    <row r="4031">
      <c r="A4031" s="227">
        <f>TL[[#This Row],[Société]]&amp;" - "&amp;TL[[#This Row],[Compte]]</f>
        <v/>
      </c>
      <c r="B4031" s="233" t="inlineStr">
        <is>
          <t>615615</t>
        </is>
      </c>
      <c r="C4031" s="227" t="inlineStr">
        <is>
          <t>Rld - linge</t>
        </is>
      </c>
      <c r="D4031" s="233" t="inlineStr">
        <is>
          <t>16</t>
        </is>
      </c>
      <c r="E4031" s="233" t="inlineStr">
        <is>
          <t>15</t>
        </is>
      </c>
      <c r="F4031" s="227" t="inlineStr">
        <is>
          <t>LYSE</t>
        </is>
      </c>
    </row>
    <row r="4032">
      <c r="A4032" s="227">
        <f>TL[[#This Row],[Société]]&amp;" - "&amp;TL[[#This Row],[Compte]]</f>
        <v/>
      </c>
      <c r="B4032" s="233" t="inlineStr">
        <is>
          <t>615616</t>
        </is>
      </c>
      <c r="C4032" s="227" t="inlineStr">
        <is>
          <t>Acrelec</t>
        </is>
      </c>
      <c r="D4032" s="233" t="inlineStr">
        <is>
          <t>16</t>
        </is>
      </c>
      <c r="E4032" s="233" t="inlineStr">
        <is>
          <t>19</t>
        </is>
      </c>
      <c r="F4032" s="227" t="inlineStr">
        <is>
          <t>LYSE</t>
        </is>
      </c>
    </row>
    <row r="4033">
      <c r="A4033" s="227">
        <f>TL[[#This Row],[Société]]&amp;" - "&amp;TL[[#This Row],[Compte]]</f>
        <v/>
      </c>
      <c r="B4033" s="233" t="inlineStr">
        <is>
          <t>615617</t>
        </is>
      </c>
      <c r="C4033" s="227" t="inlineStr">
        <is>
          <t>Canal music</t>
        </is>
      </c>
      <c r="D4033" s="233" t="inlineStr">
        <is>
          <t>16</t>
        </is>
      </c>
      <c r="E4033" s="233" t="inlineStr">
        <is>
          <t>19</t>
        </is>
      </c>
      <c r="F4033" s="227" t="inlineStr">
        <is>
          <t>LYSE</t>
        </is>
      </c>
    </row>
    <row r="4034">
      <c r="A4034" s="227">
        <f>TL[[#This Row],[Société]]&amp;" - "&amp;TL[[#This Row],[Compte]]</f>
        <v/>
      </c>
      <c r="B4034" s="233" t="inlineStr">
        <is>
          <t>615618</t>
        </is>
      </c>
      <c r="C4034" s="227" t="inlineStr">
        <is>
          <t>Contrat wifi</t>
        </is>
      </c>
      <c r="D4034" s="233" t="inlineStr">
        <is>
          <t>16</t>
        </is>
      </c>
      <c r="E4034" s="233" t="inlineStr">
        <is>
          <t>19</t>
        </is>
      </c>
      <c r="F4034" s="227" t="inlineStr">
        <is>
          <t>LYSE</t>
        </is>
      </c>
    </row>
    <row r="4035">
      <c r="A4035" s="227">
        <f>TL[[#This Row],[Société]]&amp;" - "&amp;TL[[#This Row],[Compte]]</f>
        <v/>
      </c>
      <c r="B4035" s="233" t="inlineStr">
        <is>
          <t>615619</t>
        </is>
      </c>
      <c r="C4035" s="227" t="inlineStr">
        <is>
          <t>Nettoyage cuisine</t>
        </is>
      </c>
      <c r="D4035" s="233" t="inlineStr">
        <is>
          <t>16</t>
        </is>
      </c>
      <c r="E4035" s="233" t="inlineStr">
        <is>
          <t>15</t>
        </is>
      </c>
      <c r="F4035" s="227" t="inlineStr">
        <is>
          <t>LYSE</t>
        </is>
      </c>
    </row>
    <row r="4036">
      <c r="A4036" s="227">
        <f>TL[[#This Row],[Société]]&amp;" - "&amp;TL[[#This Row],[Compte]]</f>
        <v/>
      </c>
      <c r="B4036" s="233" t="inlineStr">
        <is>
          <t>615620</t>
        </is>
      </c>
      <c r="C4036" s="227" t="inlineStr">
        <is>
          <t>Télésurveillance</t>
        </is>
      </c>
      <c r="D4036" s="233" t="inlineStr">
        <is>
          <t>16</t>
        </is>
      </c>
      <c r="E4036" s="233" t="inlineStr">
        <is>
          <t>16</t>
        </is>
      </c>
      <c r="F4036" s="227" t="inlineStr">
        <is>
          <t>LYSE</t>
        </is>
      </c>
    </row>
    <row r="4037">
      <c r="A4037" s="227">
        <f>TL[[#This Row],[Société]]&amp;" - "&amp;TL[[#This Row],[Compte]]</f>
        <v/>
      </c>
      <c r="B4037" s="233" t="inlineStr">
        <is>
          <t>615621</t>
        </is>
      </c>
      <c r="C4037" s="227" t="inlineStr">
        <is>
          <t>Ramassage déchets</t>
        </is>
      </c>
      <c r="D4037" s="233" t="inlineStr">
        <is>
          <t>16</t>
        </is>
      </c>
      <c r="E4037" s="233" t="inlineStr">
        <is>
          <t>19</t>
        </is>
      </c>
      <c r="F4037" s="227" t="inlineStr">
        <is>
          <t>LYSE</t>
        </is>
      </c>
    </row>
    <row r="4038">
      <c r="A4038" s="227">
        <f>TL[[#This Row],[Société]]&amp;" - "&amp;TL[[#This Row],[Compte]]</f>
        <v/>
      </c>
      <c r="B4038" s="233" t="inlineStr">
        <is>
          <t>615622</t>
        </is>
      </c>
      <c r="C4038" s="227" t="inlineStr">
        <is>
          <t>Siliker</t>
        </is>
      </c>
      <c r="D4038" s="233" t="inlineStr">
        <is>
          <t>16</t>
        </is>
      </c>
      <c r="E4038" s="233" t="inlineStr">
        <is>
          <t>19</t>
        </is>
      </c>
      <c r="F4038" s="227" t="inlineStr">
        <is>
          <t>LYSE</t>
        </is>
      </c>
    </row>
    <row r="4039">
      <c r="A4039" s="227">
        <f>TL[[#This Row],[Société]]&amp;" - "&amp;TL[[#This Row],[Compte]]</f>
        <v/>
      </c>
      <c r="B4039" s="233" t="inlineStr">
        <is>
          <t>615623</t>
        </is>
      </c>
      <c r="C4039" s="227" t="inlineStr">
        <is>
          <t>Contrat helpline</t>
        </is>
      </c>
      <c r="D4039" s="233" t="inlineStr">
        <is>
          <t>16</t>
        </is>
      </c>
      <c r="E4039" s="233" t="inlineStr">
        <is>
          <t>19</t>
        </is>
      </c>
      <c r="F4039" s="227" t="inlineStr">
        <is>
          <t>LYSE</t>
        </is>
      </c>
    </row>
    <row r="4040">
      <c r="A4040" s="227">
        <f>TL[[#This Row],[Société]]&amp;" - "&amp;TL[[#This Row],[Compte]]</f>
        <v/>
      </c>
      <c r="B4040" s="233" t="inlineStr">
        <is>
          <t>615624</t>
        </is>
      </c>
      <c r="C4040" s="227" t="inlineStr">
        <is>
          <t>Mach.à affranchir</t>
        </is>
      </c>
      <c r="D4040" s="233" t="inlineStr">
        <is>
          <t>16</t>
        </is>
      </c>
      <c r="E4040" s="233" t="inlineStr">
        <is>
          <t>19</t>
        </is>
      </c>
      <c r="F4040" s="227" t="inlineStr">
        <is>
          <t>LYSE</t>
        </is>
      </c>
    </row>
    <row r="4041">
      <c r="A4041" s="227">
        <f>TL[[#This Row],[Société]]&amp;" - "&amp;TL[[#This Row],[Compte]]</f>
        <v/>
      </c>
      <c r="B4041" s="233" t="inlineStr">
        <is>
          <t>615625</t>
        </is>
      </c>
      <c r="C4041" s="227" t="inlineStr">
        <is>
          <t>Contrat melitta</t>
        </is>
      </c>
      <c r="D4041" s="233" t="inlineStr">
        <is>
          <t>16</t>
        </is>
      </c>
      <c r="E4041" s="233" t="inlineStr">
        <is>
          <t>19</t>
        </is>
      </c>
      <c r="F4041" s="227" t="inlineStr">
        <is>
          <t>LYSE</t>
        </is>
      </c>
    </row>
    <row r="4042">
      <c r="A4042" s="227">
        <f>TL[[#This Row],[Société]]&amp;" - "&amp;TL[[#This Row],[Compte]]</f>
        <v/>
      </c>
      <c r="B4042" s="233" t="inlineStr">
        <is>
          <t>615626</t>
        </is>
      </c>
      <c r="C4042" s="227" t="inlineStr">
        <is>
          <t>Tyco - protect° incendie</t>
        </is>
      </c>
      <c r="D4042" s="233" t="inlineStr">
        <is>
          <t>16</t>
        </is>
      </c>
      <c r="E4042" s="233" t="inlineStr">
        <is>
          <t>19</t>
        </is>
      </c>
      <c r="F4042" s="227" t="inlineStr">
        <is>
          <t>LYSE</t>
        </is>
      </c>
    </row>
    <row r="4043">
      <c r="A4043" s="227">
        <f>TL[[#This Row],[Société]]&amp;" - "&amp;TL[[#This Row],[Compte]]</f>
        <v/>
      </c>
      <c r="B4043" s="233" t="inlineStr">
        <is>
          <t>615627</t>
        </is>
      </c>
      <c r="C4043" s="227" t="inlineStr">
        <is>
          <t>Contrat cofely clim</t>
        </is>
      </c>
      <c r="D4043" s="233" t="inlineStr">
        <is>
          <t>16</t>
        </is>
      </c>
      <c r="E4043" s="233" t="inlineStr">
        <is>
          <t>19</t>
        </is>
      </c>
      <c r="F4043" s="227" t="inlineStr">
        <is>
          <t>LYSE</t>
        </is>
      </c>
    </row>
    <row r="4044">
      <c r="A4044" s="227">
        <f>TL[[#This Row],[Société]]&amp;" - "&amp;TL[[#This Row],[Compte]]</f>
        <v/>
      </c>
      <c r="B4044" s="233" t="inlineStr">
        <is>
          <t>615628</t>
        </is>
      </c>
      <c r="C4044" s="227" t="inlineStr">
        <is>
          <t>Contrat eryma alarme</t>
        </is>
      </c>
      <c r="D4044" s="233" t="inlineStr">
        <is>
          <t>16</t>
        </is>
      </c>
      <c r="E4044" s="233" t="inlineStr">
        <is>
          <t>16</t>
        </is>
      </c>
      <c r="F4044" s="227" t="inlineStr">
        <is>
          <t>LYSE</t>
        </is>
      </c>
    </row>
    <row r="4045">
      <c r="A4045" s="227">
        <f>TL[[#This Row],[Société]]&amp;" - "&amp;TL[[#This Row],[Compte]]</f>
        <v/>
      </c>
      <c r="B4045" s="233" t="inlineStr">
        <is>
          <t>615629</t>
        </is>
      </c>
      <c r="C4045" s="227" t="inlineStr">
        <is>
          <t>Full connection ews comptabilité</t>
        </is>
      </c>
      <c r="D4045" s="233" t="inlineStr">
        <is>
          <t>16</t>
        </is>
      </c>
      <c r="E4045" s="233" t="inlineStr">
        <is>
          <t>19</t>
        </is>
      </c>
      <c r="F4045" s="227" t="inlineStr">
        <is>
          <t>LYSE</t>
        </is>
      </c>
    </row>
    <row r="4046">
      <c r="A4046" s="227">
        <f>TL[[#This Row],[Société]]&amp;" - "&amp;TL[[#This Row],[Compte]]</f>
        <v/>
      </c>
      <c r="B4046" s="233" t="inlineStr">
        <is>
          <t>615630</t>
        </is>
      </c>
      <c r="C4046" s="227" t="inlineStr">
        <is>
          <t>Dégraissage - dératisation</t>
        </is>
      </c>
      <c r="D4046" s="233" t="inlineStr">
        <is>
          <t>16</t>
        </is>
      </c>
      <c r="E4046" s="233" t="inlineStr">
        <is>
          <t>19</t>
        </is>
      </c>
      <c r="F4046" s="227" t="inlineStr">
        <is>
          <t>LYSE</t>
        </is>
      </c>
    </row>
    <row r="4047">
      <c r="A4047" s="227">
        <f>TL[[#This Row],[Société]]&amp;" - "&amp;TL[[#This Row],[Compte]]</f>
        <v/>
      </c>
      <c r="B4047" s="233" t="inlineStr">
        <is>
          <t>615631</t>
        </is>
      </c>
      <c r="C4047" s="227" t="inlineStr">
        <is>
          <t>Cesbron</t>
        </is>
      </c>
      <c r="D4047" s="233" t="inlineStr">
        <is>
          <t>16</t>
        </is>
      </c>
      <c r="E4047" s="233" t="inlineStr">
        <is>
          <t>19</t>
        </is>
      </c>
      <c r="F4047" s="227" t="inlineStr">
        <is>
          <t>LYSE</t>
        </is>
      </c>
    </row>
    <row r="4048">
      <c r="A4048" s="227">
        <f>TL[[#This Row],[Société]]&amp;" - "&amp;TL[[#This Row],[Compte]]</f>
        <v/>
      </c>
      <c r="B4048" s="233" t="inlineStr">
        <is>
          <t>615632</t>
        </is>
      </c>
      <c r="C4048" s="227" t="inlineStr">
        <is>
          <t>Contrat coca cola</t>
        </is>
      </c>
      <c r="D4048" s="233" t="inlineStr">
        <is>
          <t>16</t>
        </is>
      </c>
      <c r="E4048" s="233" t="inlineStr">
        <is>
          <t>19</t>
        </is>
      </c>
      <c r="F4048" s="227" t="inlineStr">
        <is>
          <t>LYSE</t>
        </is>
      </c>
    </row>
    <row r="4049">
      <c r="A4049" s="227">
        <f>TL[[#This Row],[Société]]&amp;" - "&amp;TL[[#This Row],[Compte]]</f>
        <v/>
      </c>
      <c r="B4049" s="233" t="inlineStr">
        <is>
          <t>615633</t>
        </is>
      </c>
      <c r="C4049" s="227" t="inlineStr">
        <is>
          <t>Contrat nilfisk</t>
        </is>
      </c>
      <c r="D4049" s="233" t="inlineStr">
        <is>
          <t>16</t>
        </is>
      </c>
      <c r="E4049" s="233" t="inlineStr">
        <is>
          <t>19</t>
        </is>
      </c>
      <c r="F4049" s="227" t="inlineStr">
        <is>
          <t>LYSE</t>
        </is>
      </c>
    </row>
    <row r="4050">
      <c r="A4050" s="227">
        <f>TL[[#This Row],[Société]]&amp;" - "&amp;TL[[#This Row],[Compte]]</f>
        <v/>
      </c>
      <c r="B4050" s="233" t="inlineStr">
        <is>
          <t>615634</t>
        </is>
      </c>
      <c r="C4050" s="227" t="inlineStr">
        <is>
          <t>Contrat fabre eau</t>
        </is>
      </c>
      <c r="D4050" s="233" t="inlineStr">
        <is>
          <t>16</t>
        </is>
      </c>
      <c r="E4050" s="233" t="inlineStr">
        <is>
          <t>19</t>
        </is>
      </c>
      <c r="F4050" s="227" t="inlineStr">
        <is>
          <t>LYSE</t>
        </is>
      </c>
    </row>
    <row r="4051">
      <c r="A4051" s="227">
        <f>TL[[#This Row],[Société]]&amp;" - "&amp;TL[[#This Row],[Compte]]</f>
        <v/>
      </c>
      <c r="B4051" s="233" t="inlineStr">
        <is>
          <t>615635</t>
        </is>
      </c>
      <c r="C4051" s="227" t="inlineStr">
        <is>
          <t>Maint.licence syst.géolocalis°</t>
        </is>
      </c>
      <c r="D4051" s="233" t="inlineStr">
        <is>
          <t>16</t>
        </is>
      </c>
      <c r="E4051" s="233" t="inlineStr">
        <is>
          <t>18</t>
        </is>
      </c>
      <c r="F4051" s="227" t="inlineStr">
        <is>
          <t>LYSE</t>
        </is>
      </c>
    </row>
    <row r="4052">
      <c r="A4052" s="227">
        <f>TL[[#This Row],[Société]]&amp;" - "&amp;TL[[#This Row],[Compte]]</f>
        <v/>
      </c>
      <c r="B4052" s="233" t="inlineStr">
        <is>
          <t>615636</t>
        </is>
      </c>
      <c r="C4052" s="227" t="inlineStr">
        <is>
          <t>contrat jri</t>
        </is>
      </c>
      <c r="D4052" s="233" t="inlineStr">
        <is>
          <t>16</t>
        </is>
      </c>
      <c r="E4052" s="233" t="inlineStr">
        <is>
          <t>19</t>
        </is>
      </c>
      <c r="F4052" s="227" t="inlineStr">
        <is>
          <t>LYSE</t>
        </is>
      </c>
    </row>
    <row r="4053">
      <c r="A4053" s="227">
        <f>TL[[#This Row],[Société]]&amp;" - "&amp;TL[[#This Row],[Compte]]</f>
        <v/>
      </c>
      <c r="B4053" s="233" t="inlineStr">
        <is>
          <t>615637</t>
        </is>
      </c>
      <c r="C4053" s="227" t="inlineStr">
        <is>
          <t>contrat ats gie</t>
        </is>
      </c>
      <c r="D4053" s="233" t="inlineStr">
        <is>
          <t>16</t>
        </is>
      </c>
      <c r="E4053" s="233" t="inlineStr">
        <is>
          <t>19</t>
        </is>
      </c>
      <c r="F4053" s="227" t="inlineStr">
        <is>
          <t>LYSE</t>
        </is>
      </c>
    </row>
    <row r="4054">
      <c r="A4054" s="227">
        <f>TL[[#This Row],[Société]]&amp;" - "&amp;TL[[#This Row],[Compte]]</f>
        <v/>
      </c>
      <c r="B4054" s="233" t="inlineStr">
        <is>
          <t>615638</t>
        </is>
      </c>
      <c r="C4054" s="227" t="inlineStr">
        <is>
          <t>contrat grenke</t>
        </is>
      </c>
      <c r="D4054" s="233" t="inlineStr">
        <is>
          <t>16</t>
        </is>
      </c>
      <c r="E4054" s="233" t="inlineStr">
        <is>
          <t>19</t>
        </is>
      </c>
      <c r="F4054" s="227" t="inlineStr">
        <is>
          <t>LYSE</t>
        </is>
      </c>
    </row>
    <row r="4055">
      <c r="A4055" s="227">
        <f>TL[[#This Row],[Société]]&amp;" - "&amp;TL[[#This Row],[Compte]]</f>
        <v/>
      </c>
      <c r="B4055" s="233" t="inlineStr">
        <is>
          <t>615639</t>
        </is>
      </c>
      <c r="C4055" s="227" t="inlineStr">
        <is>
          <t>contrat socotec</t>
        </is>
      </c>
      <c r="D4055" s="233" t="inlineStr">
        <is>
          <t>16</t>
        </is>
      </c>
      <c r="E4055" s="233" t="inlineStr">
        <is>
          <t>19</t>
        </is>
      </c>
      <c r="F4055" s="227" t="inlineStr">
        <is>
          <t>LYSE</t>
        </is>
      </c>
    </row>
    <row r="4056">
      <c r="A4056" s="227">
        <f>TL[[#This Row],[Société]]&amp;" - "&amp;TL[[#This Row],[Compte]]</f>
        <v/>
      </c>
      <c r="B4056" s="233" t="inlineStr">
        <is>
          <t>615640</t>
        </is>
      </c>
      <c r="C4056" s="227" t="inlineStr">
        <is>
          <t>contrat steeple</t>
        </is>
      </c>
      <c r="D4056" s="233" t="inlineStr">
        <is>
          <t>16</t>
        </is>
      </c>
      <c r="E4056" s="233" t="inlineStr">
        <is>
          <t>19</t>
        </is>
      </c>
      <c r="F4056" s="227" t="inlineStr">
        <is>
          <t>LYSE</t>
        </is>
      </c>
    </row>
    <row r="4057">
      <c r="A4057" s="227">
        <f>TL[[#This Row],[Société]]&amp;" - "&amp;TL[[#This Row],[Compte]]</f>
        <v/>
      </c>
      <c r="B4057" s="233" t="inlineStr">
        <is>
          <t>615641</t>
        </is>
      </c>
      <c r="C4057" s="227" t="inlineStr">
        <is>
          <t>contrat chubb</t>
        </is>
      </c>
      <c r="D4057" s="233" t="inlineStr">
        <is>
          <t>16</t>
        </is>
      </c>
      <c r="E4057" s="233" t="inlineStr">
        <is>
          <t>19</t>
        </is>
      </c>
      <c r="F4057" s="227" t="inlineStr">
        <is>
          <t>LYSE</t>
        </is>
      </c>
    </row>
    <row r="4058">
      <c r="A4058" s="227">
        <f>TL[[#This Row],[Société]]&amp;" - "&amp;TL[[#This Row],[Compte]]</f>
        <v/>
      </c>
      <c r="B4058" s="233" t="inlineStr">
        <is>
          <t>615642</t>
        </is>
      </c>
      <c r="C4058" s="227" t="inlineStr">
        <is>
          <t>application suivi performance</t>
        </is>
      </c>
      <c r="D4058" s="233" t="inlineStr">
        <is>
          <t>16</t>
        </is>
      </c>
      <c r="E4058" s="233" t="inlineStr">
        <is>
          <t>19</t>
        </is>
      </c>
      <c r="F4058" s="227" t="inlineStr">
        <is>
          <t>LYSE</t>
        </is>
      </c>
    </row>
    <row r="4059">
      <c r="A4059" s="227">
        <f>TL[[#This Row],[Société]]&amp;" - "&amp;TL[[#This Row],[Compte]]</f>
        <v/>
      </c>
      <c r="B4059" s="233" t="inlineStr">
        <is>
          <t>616001</t>
        </is>
      </c>
      <c r="C4059" s="227" t="inlineStr">
        <is>
          <t>Assurance multirisque res</t>
        </is>
      </c>
      <c r="D4059" s="233" t="inlineStr">
        <is>
          <t>33</t>
        </is>
      </c>
      <c r="E4059" s="233" t="inlineStr">
        <is>
          <t>36</t>
        </is>
      </c>
      <c r="F4059" s="227" t="inlineStr">
        <is>
          <t>LYSE</t>
        </is>
      </c>
    </row>
    <row r="4060">
      <c r="A4060" s="227">
        <f>TL[[#This Row],[Société]]&amp;" - "&amp;TL[[#This Row],[Compte]]</f>
        <v/>
      </c>
      <c r="B4060" s="233" t="inlineStr">
        <is>
          <t>616002</t>
        </is>
      </c>
      <c r="C4060" s="227" t="inlineStr">
        <is>
          <t>Assurance carence fournisseurs</t>
        </is>
      </c>
      <c r="D4060" s="233" t="inlineStr">
        <is>
          <t>33</t>
        </is>
      </c>
      <c r="E4060" s="233" t="inlineStr">
        <is>
          <t>36</t>
        </is>
      </c>
      <c r="F4060" s="227" t="inlineStr">
        <is>
          <t>LYSE</t>
        </is>
      </c>
    </row>
    <row r="4061">
      <c r="A4061" s="227">
        <f>TL[[#This Row],[Société]]&amp;" - "&amp;TL[[#This Row],[Compte]]</f>
        <v/>
      </c>
      <c r="B4061" s="233" t="inlineStr">
        <is>
          <t>616003</t>
        </is>
      </c>
      <c r="C4061" s="227" t="inlineStr">
        <is>
          <t>Assurance auto-mission</t>
        </is>
      </c>
      <c r="D4061" s="233" t="inlineStr">
        <is>
          <t>33</t>
        </is>
      </c>
      <c r="E4061" s="233" t="inlineStr">
        <is>
          <t>36</t>
        </is>
      </c>
      <c r="F4061" s="227" t="inlineStr">
        <is>
          <t>LYSE</t>
        </is>
      </c>
    </row>
    <row r="4062">
      <c r="A4062" s="227">
        <f>TL[[#This Row],[Société]]&amp;" - "&amp;TL[[#This Row],[Compte]]</f>
        <v/>
      </c>
      <c r="B4062" s="233" t="inlineStr">
        <is>
          <t>616004</t>
        </is>
      </c>
      <c r="C4062" s="227" t="inlineStr">
        <is>
          <t>Assurance véhicule</t>
        </is>
      </c>
      <c r="D4062" s="233" t="inlineStr">
        <is>
          <t>39</t>
        </is>
      </c>
      <c r="E4062" s="233" t="inlineStr">
        <is>
          <t>40</t>
        </is>
      </c>
      <c r="F4062" s="227" t="inlineStr">
        <is>
          <t>LYSE</t>
        </is>
      </c>
    </row>
    <row r="4063">
      <c r="A4063" s="227">
        <f>TL[[#This Row],[Société]]&amp;" - "&amp;TL[[#This Row],[Compte]]</f>
        <v/>
      </c>
      <c r="B4063" s="233" t="inlineStr">
        <is>
          <t>616005</t>
        </is>
      </c>
      <c r="C4063" s="227" t="inlineStr">
        <is>
          <t>Assurance vehicule</t>
        </is>
      </c>
      <c r="D4063" s="233" t="inlineStr">
        <is>
          <t>33</t>
        </is>
      </c>
      <c r="E4063" s="233" t="inlineStr">
        <is>
          <t>36</t>
        </is>
      </c>
      <c r="F4063" s="227" t="inlineStr">
        <is>
          <t>LYSE</t>
        </is>
      </c>
    </row>
    <row r="4064">
      <c r="A4064" s="227">
        <f>TL[[#This Row],[Société]]&amp;" - "&amp;TL[[#This Row],[Compte]]</f>
        <v/>
      </c>
      <c r="B4064" s="233" t="inlineStr">
        <is>
          <t>616006</t>
        </is>
      </c>
      <c r="C4064" s="227" t="inlineStr">
        <is>
          <t>Assurances Cyber</t>
        </is>
      </c>
      <c r="D4064" s="233" t="inlineStr">
        <is>
          <t>33</t>
        </is>
      </c>
      <c r="E4064" s="233" t="inlineStr">
        <is>
          <t>36</t>
        </is>
      </c>
      <c r="F4064" s="227" t="inlineStr">
        <is>
          <t>LYSE</t>
        </is>
      </c>
    </row>
    <row r="4065">
      <c r="A4065" s="227">
        <f>TL[[#This Row],[Société]]&amp;" - "&amp;TL[[#This Row],[Compte]]</f>
        <v/>
      </c>
      <c r="B4065" s="233" t="inlineStr">
        <is>
          <t>616007</t>
        </is>
      </c>
      <c r="C4065" s="227" t="inlineStr">
        <is>
          <t>Assurance prêt COVID-19</t>
        </is>
      </c>
      <c r="D4065" s="233" t="inlineStr">
        <is>
          <t>33</t>
        </is>
      </c>
      <c r="E4065" s="233" t="inlineStr">
        <is>
          <t>36</t>
        </is>
      </c>
      <c r="F4065" s="227" t="inlineStr">
        <is>
          <t>LYSE</t>
        </is>
      </c>
    </row>
    <row r="4066">
      <c r="A4066" s="227">
        <f>TL[[#This Row],[Société]]&amp;" - "&amp;TL[[#This Row],[Compte]]</f>
        <v/>
      </c>
      <c r="B4066" s="233" t="inlineStr">
        <is>
          <t>618100</t>
        </is>
      </c>
      <c r="C4066" s="227" t="inlineStr">
        <is>
          <t>Services exterieurs div.</t>
        </is>
      </c>
      <c r="D4066" s="233" t="inlineStr">
        <is>
          <t>16</t>
        </is>
      </c>
      <c r="E4066" s="233" t="inlineStr">
        <is>
          <t>19</t>
        </is>
      </c>
      <c r="F4066" s="227" t="inlineStr">
        <is>
          <t>LYSE</t>
        </is>
      </c>
    </row>
    <row r="4067">
      <c r="A4067" s="227">
        <f>TL[[#This Row],[Société]]&amp;" - "&amp;TL[[#This Row],[Compte]]</f>
        <v/>
      </c>
      <c r="B4067" s="233" t="inlineStr">
        <is>
          <t>621000</t>
        </is>
      </c>
      <c r="C4067" s="227" t="inlineStr">
        <is>
          <t>Personnel ne pas utiliser</t>
        </is>
      </c>
      <c r="D4067" s="233" t="inlineStr">
        <is>
          <t>99</t>
        </is>
      </c>
      <c r="F4067" s="227" t="inlineStr">
        <is>
          <t>LYSE</t>
        </is>
      </c>
    </row>
    <row r="4068">
      <c r="A4068" s="227">
        <f>TL[[#This Row],[Société]]&amp;" - "&amp;TL[[#This Row],[Compte]]</f>
        <v/>
      </c>
      <c r="B4068" s="233" t="inlineStr">
        <is>
          <t>621400</t>
        </is>
      </c>
      <c r="C4068" s="227" t="inlineStr">
        <is>
          <t>Pret personnel equipiers npu</t>
        </is>
      </c>
      <c r="D4068" s="233" t="inlineStr">
        <is>
          <t>10</t>
        </is>
      </c>
      <c r="E4068" s="233" t="inlineStr">
        <is>
          <t>13</t>
        </is>
      </c>
      <c r="F4068" s="227" t="inlineStr">
        <is>
          <t>LYSE</t>
        </is>
      </c>
    </row>
    <row r="4069">
      <c r="A4069" s="227">
        <f>TL[[#This Row],[Société]]&amp;" - "&amp;TL[[#This Row],[Compte]]</f>
        <v/>
      </c>
      <c r="B4069" s="233" t="inlineStr">
        <is>
          <t>621401</t>
        </is>
      </c>
      <c r="C4069" s="227" t="inlineStr">
        <is>
          <t>Personnel prêté équipiers</t>
        </is>
      </c>
      <c r="D4069" s="233" t="inlineStr">
        <is>
          <t>10</t>
        </is>
      </c>
      <c r="E4069" s="233" t="inlineStr">
        <is>
          <t>13</t>
        </is>
      </c>
      <c r="F4069" s="227" t="inlineStr">
        <is>
          <t>LYSE</t>
        </is>
      </c>
    </row>
    <row r="4070">
      <c r="A4070" s="227">
        <f>TL[[#This Row],[Société]]&amp;" - "&amp;TL[[#This Row],[Compte]]</f>
        <v/>
      </c>
      <c r="B4070" s="233" t="inlineStr">
        <is>
          <t>621402</t>
        </is>
      </c>
      <c r="C4070" s="227" t="inlineStr">
        <is>
          <t>Prets personnel managers npu</t>
        </is>
      </c>
      <c r="D4070" s="233" t="inlineStr">
        <is>
          <t>11</t>
        </is>
      </c>
      <c r="E4070" s="233" t="inlineStr">
        <is>
          <t>13</t>
        </is>
      </c>
      <c r="F4070" s="227" t="inlineStr">
        <is>
          <t>LYSE</t>
        </is>
      </c>
    </row>
    <row r="4071">
      <c r="A4071" s="227">
        <f>TL[[#This Row],[Société]]&amp;" - "&amp;TL[[#This Row],[Compte]]</f>
        <v/>
      </c>
      <c r="B4071" s="233" t="inlineStr">
        <is>
          <t>621404</t>
        </is>
      </c>
      <c r="C4071" s="227" t="inlineStr">
        <is>
          <t>Personnel prêté managers</t>
        </is>
      </c>
      <c r="D4071" s="233" t="inlineStr">
        <is>
          <t>11</t>
        </is>
      </c>
      <c r="E4071" s="233" t="inlineStr">
        <is>
          <t>13</t>
        </is>
      </c>
      <c r="F4071" s="227" t="inlineStr">
        <is>
          <t>LYSE</t>
        </is>
      </c>
    </row>
    <row r="4072">
      <c r="A4072" s="227">
        <f>TL[[#This Row],[Société]]&amp;" - "&amp;TL[[#This Row],[Compte]]</f>
        <v/>
      </c>
      <c r="B4072" s="233" t="inlineStr">
        <is>
          <t>621405</t>
        </is>
      </c>
      <c r="C4072" s="227" t="inlineStr">
        <is>
          <t>salaires pers marketing</t>
        </is>
      </c>
      <c r="D4072" s="233" t="inlineStr">
        <is>
          <t>39</t>
        </is>
      </c>
      <c r="E4072" s="233" t="inlineStr">
        <is>
          <t>13</t>
        </is>
      </c>
      <c r="F4072" s="227" t="inlineStr">
        <is>
          <t>LYSE</t>
        </is>
      </c>
    </row>
    <row r="4073">
      <c r="A4073" s="227">
        <f>TL[[#This Row],[Société]]&amp;" - "&amp;TL[[#This Row],[Compte]]</f>
        <v/>
      </c>
      <c r="B4073" s="233" t="inlineStr">
        <is>
          <t>621406</t>
        </is>
      </c>
      <c r="C4073" s="227" t="inlineStr">
        <is>
          <t>Refac.pers.techniq.</t>
        </is>
      </c>
      <c r="D4073" s="233" t="inlineStr">
        <is>
          <t>39</t>
        </is>
      </c>
      <c r="E4073" s="233" t="inlineStr">
        <is>
          <t>13</t>
        </is>
      </c>
      <c r="F4073" s="227" t="inlineStr">
        <is>
          <t>LYSE</t>
        </is>
      </c>
    </row>
    <row r="4074">
      <c r="A4074" s="227">
        <f>TL[[#This Row],[Société]]&amp;" - "&amp;TL[[#This Row],[Compte]]</f>
        <v/>
      </c>
      <c r="B4074" s="233" t="inlineStr">
        <is>
          <t>621411</t>
        </is>
      </c>
      <c r="C4074" s="227" t="inlineStr">
        <is>
          <t>Hotesses ligne 39</t>
        </is>
      </c>
      <c r="D4074" s="233" t="inlineStr">
        <is>
          <t>39</t>
        </is>
      </c>
      <c r="E4074" s="233" t="inlineStr">
        <is>
          <t>40</t>
        </is>
      </c>
      <c r="F4074" s="227" t="inlineStr">
        <is>
          <t>LYSE</t>
        </is>
      </c>
    </row>
    <row r="4075">
      <c r="A4075" s="227">
        <f>TL[[#This Row],[Société]]&amp;" - "&amp;TL[[#This Row],[Compte]]</f>
        <v/>
      </c>
      <c r="B4075" s="233" t="inlineStr">
        <is>
          <t>621412</t>
        </is>
      </c>
      <c r="C4075" s="227" t="inlineStr">
        <is>
          <t>Salaire melinda lig 39</t>
        </is>
      </c>
      <c r="D4075" s="233" t="inlineStr">
        <is>
          <t>39</t>
        </is>
      </c>
      <c r="E4075" s="233" t="inlineStr">
        <is>
          <t>13</t>
        </is>
      </c>
      <c r="F4075" s="227" t="inlineStr">
        <is>
          <t>LYSE</t>
        </is>
      </c>
    </row>
    <row r="4076">
      <c r="A4076" s="227">
        <f>TL[[#This Row],[Société]]&amp;" - "&amp;TL[[#This Row],[Compte]]</f>
        <v/>
      </c>
      <c r="B4076" s="233" t="inlineStr">
        <is>
          <t>622000</t>
        </is>
      </c>
      <c r="C4076" s="227" t="inlineStr">
        <is>
          <t>Honoraire siliker</t>
        </is>
      </c>
      <c r="D4076" s="233" t="inlineStr">
        <is>
          <t>16</t>
        </is>
      </c>
      <c r="E4076" s="233" t="inlineStr">
        <is>
          <t>19</t>
        </is>
      </c>
      <c r="F4076" s="227" t="inlineStr">
        <is>
          <t>LYSE</t>
        </is>
      </c>
    </row>
    <row r="4077">
      <c r="A4077" s="227">
        <f>TL[[#This Row],[Société]]&amp;" - "&amp;TL[[#This Row],[Compte]]</f>
        <v/>
      </c>
      <c r="B4077" s="233" t="inlineStr">
        <is>
          <t>622600</t>
        </is>
      </c>
      <c r="C4077" s="227" t="inlineStr">
        <is>
          <t>Honoraire comptable</t>
        </is>
      </c>
      <c r="D4077" s="233" t="inlineStr">
        <is>
          <t>32</t>
        </is>
      </c>
      <c r="E4077" s="233" t="inlineStr">
        <is>
          <t>35</t>
        </is>
      </c>
      <c r="F4077" s="227" t="inlineStr">
        <is>
          <t>LYSE</t>
        </is>
      </c>
    </row>
    <row r="4078">
      <c r="A4078" s="227">
        <f>TL[[#This Row],[Société]]&amp;" - "&amp;TL[[#This Row],[Compte]]</f>
        <v/>
      </c>
      <c r="B4078" s="233" t="inlineStr">
        <is>
          <t>622610</t>
        </is>
      </c>
      <c r="C4078" s="227" t="inlineStr">
        <is>
          <t>Honoraire juridique</t>
        </is>
      </c>
      <c r="D4078" s="233" t="inlineStr">
        <is>
          <t>32</t>
        </is>
      </c>
      <c r="E4078" s="233" t="inlineStr">
        <is>
          <t>35</t>
        </is>
      </c>
      <c r="F4078" s="227" t="inlineStr">
        <is>
          <t>LYSE</t>
        </is>
      </c>
    </row>
    <row r="4079">
      <c r="A4079" s="227">
        <f>TL[[#This Row],[Société]]&amp;" - "&amp;TL[[#This Row],[Compte]]</f>
        <v/>
      </c>
      <c r="B4079" s="233" t="inlineStr">
        <is>
          <t>622620</t>
        </is>
      </c>
      <c r="C4079" s="227" t="inlineStr">
        <is>
          <t>Honoraires cac</t>
        </is>
      </c>
      <c r="D4079" s="233" t="inlineStr">
        <is>
          <t>32</t>
        </is>
      </c>
      <c r="E4079" s="233" t="inlineStr">
        <is>
          <t>35</t>
        </is>
      </c>
      <c r="F4079" s="227" t="inlineStr">
        <is>
          <t>LYSE</t>
        </is>
      </c>
    </row>
    <row r="4080">
      <c r="A4080" s="227">
        <f>TL[[#This Row],[Société]]&amp;" - "&amp;TL[[#This Row],[Compte]]</f>
        <v/>
      </c>
      <c r="B4080" s="233" t="inlineStr">
        <is>
          <t>622630</t>
        </is>
      </c>
      <c r="C4080" s="227" t="inlineStr">
        <is>
          <t>honoraires divers</t>
        </is>
      </c>
      <c r="D4080" s="233" t="inlineStr">
        <is>
          <t>32</t>
        </is>
      </c>
      <c r="E4080" s="233" t="inlineStr">
        <is>
          <t>35</t>
        </is>
      </c>
      <c r="F4080" s="227" t="inlineStr">
        <is>
          <t>LYSE</t>
        </is>
      </c>
    </row>
    <row r="4081">
      <c r="A4081" s="227">
        <f>TL[[#This Row],[Société]]&amp;" - "&amp;TL[[#This Row],[Compte]]</f>
        <v/>
      </c>
      <c r="B4081" s="233" t="inlineStr">
        <is>
          <t>622700</t>
        </is>
      </c>
      <c r="C4081" s="227" t="inlineStr">
        <is>
          <t>Frais acte et contentieux</t>
        </is>
      </c>
      <c r="D4081" s="233" t="inlineStr">
        <is>
          <t>32</t>
        </is>
      </c>
      <c r="E4081" s="233" t="inlineStr">
        <is>
          <t>35</t>
        </is>
      </c>
      <c r="F4081" s="227" t="inlineStr">
        <is>
          <t>LYSE</t>
        </is>
      </c>
    </row>
    <row r="4082">
      <c r="A4082" s="227">
        <f>TL[[#This Row],[Société]]&amp;" - "&amp;TL[[#This Row],[Compte]]</f>
        <v/>
      </c>
      <c r="B4082" s="233" t="inlineStr">
        <is>
          <t>622800</t>
        </is>
      </c>
      <c r="C4082" s="227" t="inlineStr">
        <is>
          <t>commissions uber</t>
        </is>
      </c>
      <c r="D4082" s="233" t="inlineStr">
        <is>
          <t>32</t>
        </is>
      </c>
      <c r="E4082" s="233" t="inlineStr">
        <is>
          <t>21</t>
        </is>
      </c>
      <c r="F4082" s="227" t="inlineStr">
        <is>
          <t>LYSE</t>
        </is>
      </c>
    </row>
    <row r="4083">
      <c r="A4083" s="227">
        <f>TL[[#This Row],[Société]]&amp;" - "&amp;TL[[#This Row],[Compte]]</f>
        <v/>
      </c>
      <c r="B4083" s="233" t="inlineStr">
        <is>
          <t>622900</t>
        </is>
      </c>
      <c r="C4083" s="227" t="inlineStr">
        <is>
          <t>Rétrocessions transport Uber</t>
        </is>
      </c>
      <c r="D4083" s="233" t="inlineStr">
        <is>
          <t>32</t>
        </is>
      </c>
      <c r="E4083" s="233" t="inlineStr">
        <is>
          <t>35</t>
        </is>
      </c>
      <c r="F4083" s="227" t="inlineStr">
        <is>
          <t>LYSE</t>
        </is>
      </c>
    </row>
    <row r="4084">
      <c r="A4084" s="227">
        <f>TL[[#This Row],[Société]]&amp;" - "&amp;TL[[#This Row],[Compte]]</f>
        <v/>
      </c>
      <c r="B4084" s="233" t="inlineStr">
        <is>
          <t>623000</t>
        </is>
      </c>
      <c r="C4084" s="227" t="inlineStr">
        <is>
          <t>Publicite gie</t>
        </is>
      </c>
      <c r="D4084" s="233" t="inlineStr">
        <is>
          <t>14</t>
        </is>
      </c>
      <c r="E4084" s="233" t="inlineStr">
        <is>
          <t>22</t>
        </is>
      </c>
      <c r="F4084" s="227" t="inlineStr">
        <is>
          <t>LYSE</t>
        </is>
      </c>
    </row>
    <row r="4085">
      <c r="A4085" s="227">
        <f>TL[[#This Row],[Société]]&amp;" - "&amp;TL[[#This Row],[Compte]]</f>
        <v/>
      </c>
      <c r="B4085" s="233" t="inlineStr">
        <is>
          <t>623002</t>
        </is>
      </c>
      <c r="C4085" s="227" t="inlineStr">
        <is>
          <t>Promot° locale</t>
        </is>
      </c>
      <c r="D4085" s="233" t="inlineStr">
        <is>
          <t>15</t>
        </is>
      </c>
      <c r="E4085" s="233" t="inlineStr">
        <is>
          <t>23</t>
        </is>
      </c>
      <c r="F4085" s="227" t="inlineStr">
        <is>
          <t>LYSE</t>
        </is>
      </c>
    </row>
    <row r="4086">
      <c r="A4086" s="227">
        <f>TL[[#This Row],[Société]]&amp;" - "&amp;TL[[#This Row],[Compte]]</f>
        <v/>
      </c>
      <c r="B4086" s="233" t="inlineStr">
        <is>
          <t>623100</t>
        </is>
      </c>
      <c r="C4086" s="227" t="inlineStr">
        <is>
          <t>Annonces et insertions</t>
        </is>
      </c>
      <c r="D4086" s="233" t="inlineStr">
        <is>
          <t>15</t>
        </is>
      </c>
      <c r="E4086" s="233" t="inlineStr">
        <is>
          <t>23</t>
        </is>
      </c>
      <c r="F4086" s="227" t="inlineStr">
        <is>
          <t>LYSE</t>
        </is>
      </c>
    </row>
    <row r="4087">
      <c r="A4087" s="227">
        <f>TL[[#This Row],[Société]]&amp;" - "&amp;TL[[#This Row],[Compte]]</f>
        <v/>
      </c>
      <c r="B4087" s="233" t="inlineStr">
        <is>
          <t>623200</t>
        </is>
      </c>
      <c r="C4087" s="227" t="inlineStr">
        <is>
          <t>Affichages et insertions</t>
        </is>
      </c>
      <c r="D4087" s="233" t="inlineStr">
        <is>
          <t>15</t>
        </is>
      </c>
      <c r="E4087" s="233" t="inlineStr">
        <is>
          <t>23</t>
        </is>
      </c>
      <c r="F4087" s="227" t="inlineStr">
        <is>
          <t>LYSE</t>
        </is>
      </c>
    </row>
    <row r="4088">
      <c r="A4088" s="227">
        <f>TL[[#This Row],[Société]]&amp;" - "&amp;TL[[#This Row],[Compte]]</f>
        <v/>
      </c>
      <c r="B4088" s="233" t="inlineStr">
        <is>
          <t>623400</t>
        </is>
      </c>
      <c r="C4088" s="227" t="inlineStr">
        <is>
          <t>Cadeaux</t>
        </is>
      </c>
      <c r="D4088" s="233" t="inlineStr">
        <is>
          <t>15</t>
        </is>
      </c>
      <c r="E4088" s="233" t="inlineStr">
        <is>
          <t>23</t>
        </is>
      </c>
      <c r="F4088" s="227" t="inlineStr">
        <is>
          <t>LYSE</t>
        </is>
      </c>
    </row>
    <row r="4089">
      <c r="A4089" s="227">
        <f>TL[[#This Row],[Société]]&amp;" - "&amp;TL[[#This Row],[Compte]]</f>
        <v/>
      </c>
      <c r="B4089" s="233" t="inlineStr">
        <is>
          <t>623401</t>
        </is>
      </c>
      <c r="C4089" s="227" t="inlineStr">
        <is>
          <t>Promotions</t>
        </is>
      </c>
      <c r="D4089" s="233" t="inlineStr">
        <is>
          <t>15</t>
        </is>
      </c>
      <c r="E4089" s="233" t="inlineStr">
        <is>
          <t>23</t>
        </is>
      </c>
      <c r="F4089" s="227" t="inlineStr">
        <is>
          <t>LYSE</t>
        </is>
      </c>
    </row>
    <row r="4090">
      <c r="A4090" s="227">
        <f>TL[[#This Row],[Société]]&amp;" - "&amp;TL[[#This Row],[Compte]]</f>
        <v/>
      </c>
      <c r="B4090" s="233" t="inlineStr">
        <is>
          <t>623415</t>
        </is>
      </c>
      <c r="C4090" s="227" t="inlineStr">
        <is>
          <t>Premium</t>
        </is>
      </c>
      <c r="D4090" s="233" t="inlineStr">
        <is>
          <t>15</t>
        </is>
      </c>
      <c r="E4090" s="233" t="inlineStr">
        <is>
          <t>23</t>
        </is>
      </c>
      <c r="F4090" s="227" t="inlineStr">
        <is>
          <t>LYSE</t>
        </is>
      </c>
    </row>
    <row r="4091">
      <c r="A4091" s="227">
        <f>TL[[#This Row],[Société]]&amp;" - "&amp;TL[[#This Row],[Compte]]</f>
        <v/>
      </c>
      <c r="B4091" s="233" t="inlineStr">
        <is>
          <t>623800</t>
        </is>
      </c>
      <c r="C4091" s="227" t="inlineStr">
        <is>
          <t>Dons et pourboires</t>
        </is>
      </c>
      <c r="D4091" s="233" t="inlineStr">
        <is>
          <t>15</t>
        </is>
      </c>
      <c r="E4091" s="233" t="inlineStr">
        <is>
          <t>23</t>
        </is>
      </c>
      <c r="F4091" s="227" t="inlineStr">
        <is>
          <t>LYSE</t>
        </is>
      </c>
    </row>
    <row r="4092">
      <c r="A4092" s="227">
        <f>TL[[#This Row],[Société]]&amp;" - "&amp;TL[[#This Row],[Compte]]</f>
        <v/>
      </c>
      <c r="B4092" s="233" t="inlineStr">
        <is>
          <t>624100</t>
        </is>
      </c>
      <c r="C4092" s="227" t="inlineStr">
        <is>
          <t>Transport</t>
        </is>
      </c>
      <c r="D4092" s="233" t="inlineStr">
        <is>
          <t>39</t>
        </is>
      </c>
      <c r="E4092" s="233" t="inlineStr">
        <is>
          <t>40</t>
        </is>
      </c>
      <c r="F4092" s="227" t="inlineStr">
        <is>
          <t>LYSE</t>
        </is>
      </c>
    </row>
    <row r="4093">
      <c r="A4093" s="227">
        <f>TL[[#This Row],[Société]]&amp;" - "&amp;TL[[#This Row],[Compte]]</f>
        <v/>
      </c>
      <c r="B4093" s="233" t="inlineStr">
        <is>
          <t>625000</t>
        </is>
      </c>
      <c r="C4093" s="227" t="inlineStr">
        <is>
          <t>SALAIRES 04/2022</t>
        </is>
      </c>
      <c r="F4093" s="227" t="inlineStr">
        <is>
          <t>LYSE</t>
        </is>
      </c>
    </row>
    <row r="4094">
      <c r="A4094" s="227">
        <f>TL[[#This Row],[Société]]&amp;" - "&amp;TL[[#This Row],[Compte]]</f>
        <v/>
      </c>
      <c r="B4094" s="233" t="inlineStr">
        <is>
          <t>625100</t>
        </is>
      </c>
      <c r="C4094" s="227" t="inlineStr">
        <is>
          <t>Frais deplacemts</t>
        </is>
      </c>
      <c r="D4094" s="239" t="inlineStr">
        <is>
          <t>13</t>
        </is>
      </c>
      <c r="E4094" s="233" t="inlineStr">
        <is>
          <t>27</t>
        </is>
      </c>
      <c r="F4094" s="227" t="inlineStr">
        <is>
          <t>LYSE</t>
        </is>
      </c>
    </row>
    <row r="4095">
      <c r="A4095" s="227">
        <f>TL[[#This Row],[Société]]&amp;" - "&amp;TL[[#This Row],[Compte]]</f>
        <v/>
      </c>
      <c r="B4095" s="233" t="inlineStr">
        <is>
          <t>625102</t>
        </is>
      </c>
      <c r="C4095" s="227" t="inlineStr">
        <is>
          <t>Voy et dep mgr NPU</t>
        </is>
      </c>
      <c r="D4095" s="233" t="inlineStr">
        <is>
          <t>13</t>
        </is>
      </c>
      <c r="E4095" s="233" t="inlineStr">
        <is>
          <t>26</t>
        </is>
      </c>
      <c r="F4095" s="227" t="inlineStr">
        <is>
          <t>LYSE</t>
        </is>
      </c>
    </row>
    <row r="4096">
      <c r="A4096" s="227">
        <f>TL[[#This Row],[Société]]&amp;" - "&amp;TL[[#This Row],[Compte]]</f>
        <v/>
      </c>
      <c r="B4096" s="233" t="inlineStr">
        <is>
          <t>625103</t>
        </is>
      </c>
      <c r="C4096" s="227" t="inlineStr">
        <is>
          <t>Voy et dep direct°</t>
        </is>
      </c>
      <c r="D4096" s="233" t="inlineStr">
        <is>
          <t>52</t>
        </is>
      </c>
      <c r="E4096" s="233" t="inlineStr">
        <is>
          <t>26</t>
        </is>
      </c>
      <c r="F4096" s="227" t="inlineStr">
        <is>
          <t>LYSE</t>
        </is>
      </c>
    </row>
    <row r="4097">
      <c r="A4097" s="227">
        <f>TL[[#This Row],[Société]]&amp;" - "&amp;TL[[#This Row],[Compte]]</f>
        <v/>
      </c>
      <c r="B4097" s="233" t="inlineStr">
        <is>
          <t>625201</t>
        </is>
      </c>
      <c r="C4097" s="227" t="inlineStr">
        <is>
          <t>Frais déplacement équipiers</t>
        </is>
      </c>
      <c r="D4097" s="233" t="inlineStr">
        <is>
          <t>13</t>
        </is>
      </c>
      <c r="E4097" s="233" t="inlineStr">
        <is>
          <t>26</t>
        </is>
      </c>
      <c r="F4097" s="227" t="inlineStr">
        <is>
          <t>LYSE</t>
        </is>
      </c>
    </row>
    <row r="4098">
      <c r="A4098" s="227">
        <f>TL[[#This Row],[Société]]&amp;" - "&amp;TL[[#This Row],[Compte]]</f>
        <v/>
      </c>
      <c r="B4098" s="233" t="inlineStr">
        <is>
          <t>625202</t>
        </is>
      </c>
      <c r="C4098" s="227" t="inlineStr">
        <is>
          <t>Frais equip lig 39</t>
        </is>
      </c>
      <c r="D4098" s="233" t="inlineStr">
        <is>
          <t>39</t>
        </is>
      </c>
      <c r="E4098" s="233" t="inlineStr">
        <is>
          <t>40</t>
        </is>
      </c>
      <c r="F4098" s="227" t="inlineStr">
        <is>
          <t>LYSE</t>
        </is>
      </c>
    </row>
    <row r="4099">
      <c r="A4099" s="227">
        <f>TL[[#This Row],[Société]]&amp;" - "&amp;TL[[#This Row],[Compte]]</f>
        <v/>
      </c>
      <c r="B4099" s="233" t="inlineStr">
        <is>
          <t>625203</t>
        </is>
      </c>
      <c r="C4099" s="227" t="inlineStr">
        <is>
          <t>Frais divers direct°</t>
        </is>
      </c>
      <c r="D4099" s="233" t="inlineStr">
        <is>
          <t>13</t>
        </is>
      </c>
      <c r="E4099" s="233" t="inlineStr">
        <is>
          <t>26</t>
        </is>
      </c>
      <c r="F4099" s="227" t="inlineStr">
        <is>
          <t>LYSE</t>
        </is>
      </c>
    </row>
    <row r="4100">
      <c r="A4100" s="227">
        <f>TL[[#This Row],[Société]]&amp;" - "&amp;TL[[#This Row],[Compte]]</f>
        <v/>
      </c>
      <c r="B4100" s="233" t="inlineStr">
        <is>
          <t>625204</t>
        </is>
      </c>
      <c r="C4100" s="227" t="inlineStr">
        <is>
          <t>Frais deplacement mgrs</t>
        </is>
      </c>
      <c r="D4100" s="233" t="inlineStr">
        <is>
          <t>13</t>
        </is>
      </c>
      <c r="E4100" s="233" t="inlineStr">
        <is>
          <t>27</t>
        </is>
      </c>
      <c r="F4100" s="227" t="inlineStr">
        <is>
          <t>LYSE</t>
        </is>
      </c>
    </row>
    <row r="4101">
      <c r="A4101" s="227">
        <f>TL[[#This Row],[Société]]&amp;" - "&amp;TL[[#This Row],[Compte]]</f>
        <v/>
      </c>
      <c r="B4101" s="233" t="inlineStr">
        <is>
          <t>625701</t>
        </is>
      </c>
      <c r="C4101" s="227" t="inlineStr">
        <is>
          <t>Recept° equi et mgr</t>
        </is>
      </c>
      <c r="D4101" s="233" t="inlineStr">
        <is>
          <t>13</t>
        </is>
      </c>
      <c r="E4101" s="233" t="inlineStr">
        <is>
          <t>27</t>
        </is>
      </c>
      <c r="F4101" s="227" t="inlineStr">
        <is>
          <t>LYSE</t>
        </is>
      </c>
    </row>
    <row r="4102">
      <c r="A4102" s="227">
        <f>TL[[#This Row],[Société]]&amp;" - "&amp;TL[[#This Row],[Compte]]</f>
        <v/>
      </c>
      <c r="B4102" s="233" t="inlineStr">
        <is>
          <t>626001</t>
        </is>
      </c>
      <c r="C4102" s="227" t="inlineStr">
        <is>
          <t>Ptt restaurant</t>
        </is>
      </c>
      <c r="D4102" s="233" t="inlineStr">
        <is>
          <t>20</t>
        </is>
      </c>
      <c r="E4102" s="233" t="inlineStr">
        <is>
          <t>24</t>
        </is>
      </c>
      <c r="F4102" s="227" t="inlineStr">
        <is>
          <t>LYSE</t>
        </is>
      </c>
    </row>
    <row r="4103">
      <c r="A4103" s="227">
        <f>TL[[#This Row],[Société]]&amp;" - "&amp;TL[[#This Row],[Compte]]</f>
        <v/>
      </c>
      <c r="B4103" s="233" t="inlineStr">
        <is>
          <t>626002</t>
        </is>
      </c>
      <c r="C4103" s="227" t="inlineStr">
        <is>
          <t>Ptt bureau</t>
        </is>
      </c>
      <c r="D4103" s="233" t="inlineStr">
        <is>
          <t>51</t>
        </is>
      </c>
      <c r="E4103" s="233" t="inlineStr">
        <is>
          <t>46</t>
        </is>
      </c>
      <c r="F4103" s="227" t="inlineStr">
        <is>
          <t>LYSE</t>
        </is>
      </c>
    </row>
    <row r="4104">
      <c r="A4104" s="227">
        <f>TL[[#This Row],[Société]]&amp;" - "&amp;TL[[#This Row],[Compte]]</f>
        <v/>
      </c>
      <c r="B4104" s="233" t="inlineStr">
        <is>
          <t>626003</t>
        </is>
      </c>
      <c r="C4104" s="227" t="inlineStr">
        <is>
          <t>Tel. restaurant</t>
        </is>
      </c>
      <c r="D4104" s="233" t="inlineStr">
        <is>
          <t>20</t>
        </is>
      </c>
      <c r="E4104" s="233" t="inlineStr">
        <is>
          <t>24</t>
        </is>
      </c>
      <c r="F4104" s="227" t="inlineStr">
        <is>
          <t>LYSE</t>
        </is>
      </c>
    </row>
    <row r="4105">
      <c r="A4105" s="227">
        <f>TL[[#This Row],[Société]]&amp;" - "&amp;TL[[#This Row],[Compte]]</f>
        <v/>
      </c>
      <c r="B4105" s="233" t="inlineStr">
        <is>
          <t>626004</t>
        </is>
      </c>
      <c r="C4105" s="227" t="inlineStr">
        <is>
          <t>Telephone bureau</t>
        </is>
      </c>
      <c r="F4105" s="227" t="inlineStr">
        <is>
          <t>LYSE</t>
        </is>
      </c>
    </row>
    <row r="4106">
      <c r="A4106" s="227">
        <f>TL[[#This Row],[Société]]&amp;" - "&amp;TL[[#This Row],[Compte]]</f>
        <v/>
      </c>
      <c r="B4106" s="233" t="inlineStr">
        <is>
          <t>626100</t>
        </is>
      </c>
      <c r="C4106" s="227" t="inlineStr">
        <is>
          <t>Ptt</t>
        </is>
      </c>
      <c r="D4106" s="233" t="inlineStr">
        <is>
          <t>20</t>
        </is>
      </c>
      <c r="E4106" s="233" t="inlineStr">
        <is>
          <t>24</t>
        </is>
      </c>
      <c r="F4106" s="227" t="inlineStr">
        <is>
          <t>LYSE</t>
        </is>
      </c>
    </row>
    <row r="4107">
      <c r="A4107" s="227">
        <f>TL[[#This Row],[Société]]&amp;" - "&amp;TL[[#This Row],[Compte]]</f>
        <v/>
      </c>
      <c r="B4107" s="233" t="inlineStr">
        <is>
          <t>626200</t>
        </is>
      </c>
      <c r="C4107" s="227" t="inlineStr">
        <is>
          <t>Téléphone</t>
        </is>
      </c>
      <c r="D4107" s="233" t="inlineStr">
        <is>
          <t>20</t>
        </is>
      </c>
      <c r="E4107" s="233" t="inlineStr">
        <is>
          <t>24</t>
        </is>
      </c>
      <c r="F4107" s="227" t="inlineStr">
        <is>
          <t>LYSE</t>
        </is>
      </c>
    </row>
    <row r="4108">
      <c r="A4108" s="227">
        <f>TL[[#This Row],[Société]]&amp;" - "&amp;TL[[#This Row],[Compte]]</f>
        <v/>
      </c>
      <c r="B4108" s="233" t="inlineStr">
        <is>
          <t>627001</t>
        </is>
      </c>
      <c r="C4108" s="227" t="inlineStr">
        <is>
          <t>Comm.bancaires npu</t>
        </is>
      </c>
      <c r="D4108" s="233" t="inlineStr">
        <is>
          <t>37</t>
        </is>
      </c>
      <c r="E4108" s="233" t="inlineStr">
        <is>
          <t>17</t>
        </is>
      </c>
      <c r="F4108" s="227" t="inlineStr">
        <is>
          <t>LYSE</t>
        </is>
      </c>
    </row>
    <row r="4109">
      <c r="A4109" s="227">
        <f>TL[[#This Row],[Société]]&amp;" - "&amp;TL[[#This Row],[Compte]]</f>
        <v/>
      </c>
      <c r="B4109" s="233" t="inlineStr">
        <is>
          <t>627002</t>
        </is>
      </c>
      <c r="C4109" s="227" t="inlineStr">
        <is>
          <t>Commission cb npu</t>
        </is>
      </c>
      <c r="D4109" s="233" t="inlineStr">
        <is>
          <t>37</t>
        </is>
      </c>
      <c r="E4109" s="233" t="inlineStr">
        <is>
          <t>17</t>
        </is>
      </c>
      <c r="F4109" s="227" t="inlineStr">
        <is>
          <t>LYSE</t>
        </is>
      </c>
    </row>
    <row r="4110">
      <c r="A4110" s="227">
        <f>TL[[#This Row],[Société]]&amp;" - "&amp;TL[[#This Row],[Compte]]</f>
        <v/>
      </c>
      <c r="B4110" s="233" t="inlineStr">
        <is>
          <t>627003</t>
        </is>
      </c>
      <c r="C4110" s="227" t="inlineStr">
        <is>
          <t>Comm tr npu</t>
        </is>
      </c>
      <c r="D4110" s="233" t="inlineStr">
        <is>
          <t>37</t>
        </is>
      </c>
      <c r="E4110" s="233" t="inlineStr">
        <is>
          <t>17</t>
        </is>
      </c>
      <c r="F4110" s="227" t="inlineStr">
        <is>
          <t>LYSE</t>
        </is>
      </c>
    </row>
    <row r="4111">
      <c r="A4111" s="227">
        <f>TL[[#This Row],[Société]]&amp;" - "&amp;TL[[#This Row],[Compte]]</f>
        <v/>
      </c>
      <c r="B4111" s="233" t="inlineStr">
        <is>
          <t>627004</t>
        </is>
      </c>
      <c r="C4111" s="227" t="inlineStr">
        <is>
          <t>Ne plus utiliser</t>
        </is>
      </c>
      <c r="F4111" s="227" t="inlineStr">
        <is>
          <t>LYSE</t>
        </is>
      </c>
    </row>
    <row r="4112">
      <c r="A4112" s="227">
        <f>TL[[#This Row],[Société]]&amp;" - "&amp;TL[[#This Row],[Compte]]</f>
        <v/>
      </c>
      <c r="B4112" s="233" t="inlineStr">
        <is>
          <t>627005</t>
        </is>
      </c>
      <c r="C4112" s="227" t="inlineStr">
        <is>
          <t>Comm cv npu</t>
        </is>
      </c>
      <c r="D4112" s="233" t="inlineStr">
        <is>
          <t>37</t>
        </is>
      </c>
      <c r="E4112" s="233" t="inlineStr">
        <is>
          <t>17</t>
        </is>
      </c>
      <c r="F4112" s="227" t="inlineStr">
        <is>
          <t>LYSE</t>
        </is>
      </c>
    </row>
    <row r="4113">
      <c r="A4113" s="227">
        <f>TL[[#This Row],[Société]]&amp;" - "&amp;TL[[#This Row],[Compte]]</f>
        <v/>
      </c>
      <c r="B4113" s="233" t="inlineStr">
        <is>
          <t>627007</t>
        </is>
      </c>
      <c r="C4113" s="227" t="inlineStr">
        <is>
          <t>Comm paypal npu</t>
        </is>
      </c>
      <c r="D4113" s="233" t="inlineStr">
        <is>
          <t>37</t>
        </is>
      </c>
      <c r="E4113" s="233" t="inlineStr">
        <is>
          <t>17</t>
        </is>
      </c>
      <c r="F4113" s="227" t="inlineStr">
        <is>
          <t>LYSE</t>
        </is>
      </c>
    </row>
    <row r="4114">
      <c r="A4114" s="227">
        <f>TL[[#This Row],[Société]]&amp;" - "&amp;TL[[#This Row],[Compte]]</f>
        <v/>
      </c>
      <c r="B4114" s="233" t="inlineStr">
        <is>
          <t>627200</t>
        </is>
      </c>
      <c r="C4114" s="227" t="inlineStr">
        <is>
          <t>Commissions sur emprunts</t>
        </is>
      </c>
      <c r="D4114" s="233" t="inlineStr">
        <is>
          <t>37</t>
        </is>
      </c>
      <c r="E4114" s="233" t="inlineStr">
        <is>
          <t>17</t>
        </is>
      </c>
      <c r="F4114" s="227" t="inlineStr">
        <is>
          <t>LYSE</t>
        </is>
      </c>
    </row>
    <row r="4115">
      <c r="A4115" s="227">
        <f>TL[[#This Row],[Société]]&amp;" - "&amp;TL[[#This Row],[Compte]]</f>
        <v/>
      </c>
      <c r="B4115" s="233" t="inlineStr">
        <is>
          <t>627801</t>
        </is>
      </c>
      <c r="C4115" s="227" t="inlineStr">
        <is>
          <t>Commissions bancaires</t>
        </is>
      </c>
      <c r="D4115" s="233" t="inlineStr">
        <is>
          <t>37</t>
        </is>
      </c>
      <c r="E4115" s="233" t="inlineStr">
        <is>
          <t>17</t>
        </is>
      </c>
      <c r="F4115" s="227" t="inlineStr">
        <is>
          <t>LYSE</t>
        </is>
      </c>
    </row>
    <row r="4116">
      <c r="A4116" s="227">
        <f>TL[[#This Row],[Société]]&amp;" - "&amp;TL[[#This Row],[Compte]]</f>
        <v/>
      </c>
      <c r="B4116" s="233" t="inlineStr">
        <is>
          <t>627802</t>
        </is>
      </c>
      <c r="C4116" s="227" t="inlineStr">
        <is>
          <t>Commissions cb</t>
        </is>
      </c>
      <c r="D4116" s="233" t="inlineStr">
        <is>
          <t>37</t>
        </is>
      </c>
      <c r="E4116" s="233" t="inlineStr">
        <is>
          <t>17</t>
        </is>
      </c>
      <c r="F4116" s="227" t="inlineStr">
        <is>
          <t>LYSE</t>
        </is>
      </c>
    </row>
    <row r="4117">
      <c r="A4117" s="227">
        <f>TL[[#This Row],[Société]]&amp;" - "&amp;TL[[#This Row],[Compte]]</f>
        <v/>
      </c>
      <c r="B4117" s="233" t="inlineStr">
        <is>
          <t>627803</t>
        </is>
      </c>
      <c r="C4117" s="227" t="inlineStr">
        <is>
          <t>Frais tr</t>
        </is>
      </c>
      <c r="D4117" s="233" t="inlineStr">
        <is>
          <t>37</t>
        </is>
      </c>
      <c r="E4117" s="233" t="inlineStr">
        <is>
          <t>17</t>
        </is>
      </c>
      <c r="F4117" s="227" t="inlineStr">
        <is>
          <t>LYSE</t>
        </is>
      </c>
    </row>
    <row r="4118">
      <c r="A4118" s="227">
        <f>TL[[#This Row],[Société]]&amp;" - "&amp;TL[[#This Row],[Compte]]</f>
        <v/>
      </c>
      <c r="B4118" s="233" t="inlineStr">
        <is>
          <t>627805</t>
        </is>
      </c>
      <c r="C4118" s="227" t="inlineStr">
        <is>
          <t>Frais cv</t>
        </is>
      </c>
      <c r="D4118" s="233" t="inlineStr">
        <is>
          <t>37</t>
        </is>
      </c>
      <c r="E4118" s="233" t="inlineStr">
        <is>
          <t>17</t>
        </is>
      </c>
      <c r="F4118" s="227" t="inlineStr">
        <is>
          <t>LYSE</t>
        </is>
      </c>
    </row>
    <row r="4119">
      <c r="A4119" s="227">
        <f>TL[[#This Row],[Société]]&amp;" - "&amp;TL[[#This Row],[Compte]]</f>
        <v/>
      </c>
      <c r="B4119" s="233" t="inlineStr">
        <is>
          <t>627807</t>
        </is>
      </c>
      <c r="C4119" s="227" t="inlineStr">
        <is>
          <t>Frais Paypal</t>
        </is>
      </c>
      <c r="D4119" s="233" t="inlineStr">
        <is>
          <t>37</t>
        </is>
      </c>
      <c r="E4119" s="233" t="inlineStr">
        <is>
          <t>17</t>
        </is>
      </c>
      <c r="F4119" s="227" t="inlineStr">
        <is>
          <t>LYSE</t>
        </is>
      </c>
    </row>
    <row r="4120">
      <c r="A4120" s="227">
        <f>TL[[#This Row],[Société]]&amp;" - "&amp;TL[[#This Row],[Compte]]</f>
        <v/>
      </c>
      <c r="B4120" s="233" t="inlineStr">
        <is>
          <t>628023</t>
        </is>
      </c>
      <c r="C4120" s="227" t="inlineStr">
        <is>
          <t>Divers</t>
        </is>
      </c>
      <c r="D4120" s="233" t="inlineStr">
        <is>
          <t>23</t>
        </is>
      </c>
      <c r="E4120" s="233" t="inlineStr">
        <is>
          <t>27</t>
        </is>
      </c>
      <c r="F4120" s="227" t="inlineStr">
        <is>
          <t>LYSE</t>
        </is>
      </c>
    </row>
    <row r="4121">
      <c r="A4121" s="227">
        <f>TL[[#This Row],[Société]]&amp;" - "&amp;TL[[#This Row],[Compte]]</f>
        <v/>
      </c>
      <c r="B4121" s="233" t="inlineStr">
        <is>
          <t>628200</t>
        </is>
      </c>
      <c r="C4121" s="227" t="inlineStr">
        <is>
          <t>Cotisations</t>
        </is>
      </c>
      <c r="D4121" s="233" t="inlineStr">
        <is>
          <t>23</t>
        </is>
      </c>
      <c r="E4121" s="233" t="inlineStr">
        <is>
          <t>27</t>
        </is>
      </c>
      <c r="F4121" s="227" t="inlineStr">
        <is>
          <t>LYSE</t>
        </is>
      </c>
    </row>
    <row r="4122">
      <c r="A4122" s="227">
        <f>TL[[#This Row],[Société]]&amp;" - "&amp;TL[[#This Row],[Compte]]</f>
        <v/>
      </c>
      <c r="B4122" s="233" t="inlineStr">
        <is>
          <t>628300</t>
        </is>
      </c>
      <c r="C4122" s="227" t="inlineStr">
        <is>
          <t>Frs fonctionnement gie</t>
        </is>
      </c>
      <c r="D4122" s="233" t="inlineStr">
        <is>
          <t>51</t>
        </is>
      </c>
      <c r="E4122" s="233" t="inlineStr">
        <is>
          <t>46</t>
        </is>
      </c>
      <c r="F4122" s="227" t="inlineStr">
        <is>
          <t>LYSE</t>
        </is>
      </c>
    </row>
    <row r="4123">
      <c r="A4123" s="227">
        <f>TL[[#This Row],[Société]]&amp;" - "&amp;TL[[#This Row],[Compte]]</f>
        <v/>
      </c>
      <c r="B4123" s="233" t="inlineStr">
        <is>
          <t>628310</t>
        </is>
      </c>
      <c r="C4123" s="227" t="inlineStr">
        <is>
          <t>Convention (ne pas utiliser)</t>
        </is>
      </c>
      <c r="D4123" s="233" t="inlineStr">
        <is>
          <t>51</t>
        </is>
      </c>
      <c r="E4123" s="233" t="inlineStr">
        <is>
          <t>46</t>
        </is>
      </c>
      <c r="F4123" s="227" t="inlineStr">
        <is>
          <t>LYSE</t>
        </is>
      </c>
    </row>
    <row r="4124">
      <c r="A4124" s="227">
        <f>TL[[#This Row],[Société]]&amp;" - "&amp;TL[[#This Row],[Compte]]</f>
        <v/>
      </c>
      <c r="B4124" s="233" t="inlineStr">
        <is>
          <t>628320</t>
        </is>
      </c>
      <c r="C4124" s="227" t="inlineStr">
        <is>
          <t>Redevance rth</t>
        </is>
      </c>
      <c r="D4124" s="233" t="inlineStr">
        <is>
          <t>51</t>
        </is>
      </c>
      <c r="E4124" s="233" t="inlineStr">
        <is>
          <t>46</t>
        </is>
      </c>
      <c r="F4124" s="227" t="inlineStr">
        <is>
          <t>LYSE</t>
        </is>
      </c>
    </row>
    <row r="4125">
      <c r="A4125" s="227">
        <f>TL[[#This Row],[Société]]&amp;" - "&amp;TL[[#This Row],[Compte]]</f>
        <v/>
      </c>
      <c r="B4125" s="233" t="inlineStr">
        <is>
          <t>628340</t>
        </is>
      </c>
      <c r="C4125" s="227" t="inlineStr">
        <is>
          <t>Redevance mungu</t>
        </is>
      </c>
      <c r="D4125" s="233" t="inlineStr">
        <is>
          <t>51</t>
        </is>
      </c>
      <c r="E4125" s="233" t="inlineStr">
        <is>
          <t>46</t>
        </is>
      </c>
      <c r="F4125" s="227" t="inlineStr">
        <is>
          <t>LYSE</t>
        </is>
      </c>
    </row>
    <row r="4126">
      <c r="A4126" s="227">
        <f>TL[[#This Row],[Société]]&amp;" - "&amp;TL[[#This Row],[Compte]]</f>
        <v/>
      </c>
      <c r="B4126" s="233" t="inlineStr">
        <is>
          <t>628400</t>
        </is>
      </c>
      <c r="C4126" s="227" t="inlineStr">
        <is>
          <t>Formations extérieures</t>
        </is>
      </c>
      <c r="D4126" s="233" t="inlineStr">
        <is>
          <t>34</t>
        </is>
      </c>
      <c r="E4126" s="233" t="inlineStr">
        <is>
          <t>19</t>
        </is>
      </c>
      <c r="F4126" s="227" t="inlineStr">
        <is>
          <t>LYSE</t>
        </is>
      </c>
    </row>
    <row r="4127">
      <c r="A4127" s="227">
        <f>TL[[#This Row],[Société]]&amp;" - "&amp;TL[[#This Row],[Compte]]</f>
        <v/>
      </c>
      <c r="B4127" s="233" t="inlineStr">
        <is>
          <t>633300</t>
        </is>
      </c>
      <c r="C4127" s="227" t="inlineStr">
        <is>
          <t>Format° pro.</t>
        </is>
      </c>
      <c r="D4127" s="233" t="inlineStr">
        <is>
          <t>34</t>
        </is>
      </c>
      <c r="E4127" s="233" t="inlineStr">
        <is>
          <t>37</t>
        </is>
      </c>
      <c r="F4127" s="227" t="inlineStr">
        <is>
          <t>LYSE</t>
        </is>
      </c>
    </row>
    <row r="4128">
      <c r="A4128" s="227">
        <f>TL[[#This Row],[Société]]&amp;" - "&amp;TL[[#This Row],[Compte]]</f>
        <v/>
      </c>
      <c r="B4128" s="233" t="inlineStr">
        <is>
          <t>633400</t>
        </is>
      </c>
      <c r="C4128" s="227" t="inlineStr">
        <is>
          <t>Effort construction</t>
        </is>
      </c>
      <c r="D4128" s="233" t="inlineStr">
        <is>
          <t>34</t>
        </is>
      </c>
      <c r="E4128" s="233" t="inlineStr">
        <is>
          <t>37</t>
        </is>
      </c>
      <c r="F4128" s="227" t="inlineStr">
        <is>
          <t>LYSE</t>
        </is>
      </c>
    </row>
    <row r="4129">
      <c r="A4129" s="227">
        <f>TL[[#This Row],[Société]]&amp;" - "&amp;TL[[#This Row],[Compte]]</f>
        <v/>
      </c>
      <c r="B4129" s="233" t="inlineStr">
        <is>
          <t>633500</t>
        </is>
      </c>
      <c r="C4129" s="227" t="inlineStr">
        <is>
          <t>Taxe apprentissage</t>
        </is>
      </c>
      <c r="D4129" s="233" t="inlineStr">
        <is>
          <t>34</t>
        </is>
      </c>
      <c r="E4129" s="233" t="inlineStr">
        <is>
          <t>37</t>
        </is>
      </c>
      <c r="F4129" s="227" t="inlineStr">
        <is>
          <t>LYSE</t>
        </is>
      </c>
    </row>
    <row r="4130">
      <c r="A4130" s="227">
        <f>TL[[#This Row],[Société]]&amp;" - "&amp;TL[[#This Row],[Compte]]</f>
        <v/>
      </c>
      <c r="B4130" s="233" t="inlineStr">
        <is>
          <t>635110</t>
        </is>
      </c>
      <c r="C4130" s="227" t="inlineStr">
        <is>
          <t>Taxe professionnelle</t>
        </is>
      </c>
      <c r="D4130" s="233" t="inlineStr">
        <is>
          <t>34</t>
        </is>
      </c>
      <c r="E4130" s="233" t="inlineStr">
        <is>
          <t>37</t>
        </is>
      </c>
      <c r="F4130" s="227" t="inlineStr">
        <is>
          <t>LYSE</t>
        </is>
      </c>
    </row>
    <row r="4131">
      <c r="A4131" s="227">
        <f>TL[[#This Row],[Société]]&amp;" - "&amp;TL[[#This Row],[Compte]]</f>
        <v/>
      </c>
      <c r="B4131" s="233" t="inlineStr">
        <is>
          <t>635111</t>
        </is>
      </c>
      <c r="C4131" s="227" t="inlineStr">
        <is>
          <t>Contrib.fonciere entreprise</t>
        </is>
      </c>
      <c r="D4131" s="233" t="inlineStr">
        <is>
          <t>34</t>
        </is>
      </c>
      <c r="E4131" s="233" t="inlineStr">
        <is>
          <t>37</t>
        </is>
      </c>
      <c r="F4131" s="227" t="inlineStr">
        <is>
          <t>LYSE</t>
        </is>
      </c>
    </row>
    <row r="4132">
      <c r="A4132" s="227">
        <f>TL[[#This Row],[Société]]&amp;" - "&amp;TL[[#This Row],[Compte]]</f>
        <v/>
      </c>
      <c r="B4132" s="233" t="inlineStr">
        <is>
          <t>635112</t>
        </is>
      </c>
      <c r="C4132" s="227" t="inlineStr">
        <is>
          <t>Contrib valeur ajoutee entrep.</t>
        </is>
      </c>
      <c r="D4132" s="233" t="inlineStr">
        <is>
          <t>34</t>
        </is>
      </c>
      <c r="E4132" s="233" t="inlineStr">
        <is>
          <t>37</t>
        </is>
      </c>
      <c r="F4132" s="227" t="inlineStr">
        <is>
          <t>LYSE</t>
        </is>
      </c>
    </row>
    <row r="4133">
      <c r="A4133" s="227">
        <f>TL[[#This Row],[Société]]&amp;" - "&amp;TL[[#This Row],[Compte]]</f>
        <v/>
      </c>
      <c r="B4133" s="233" t="inlineStr">
        <is>
          <t>635130</t>
        </is>
      </c>
      <c r="C4133" s="227" t="inlineStr">
        <is>
          <t>Taxe fonciere</t>
        </is>
      </c>
      <c r="D4133" s="233" t="inlineStr">
        <is>
          <t>34</t>
        </is>
      </c>
      <c r="E4133" s="233" t="inlineStr">
        <is>
          <t>37</t>
        </is>
      </c>
      <c r="F4133" s="227" t="inlineStr">
        <is>
          <t>LYSE</t>
        </is>
      </c>
    </row>
    <row r="4134">
      <c r="A4134" s="227">
        <f>TL[[#This Row],[Société]]&amp;" - "&amp;TL[[#This Row],[Compte]]</f>
        <v/>
      </c>
      <c r="B4134" s="233" t="inlineStr">
        <is>
          <t>635140</t>
        </is>
      </c>
      <c r="C4134" s="227" t="inlineStr">
        <is>
          <t>Taxes/vehicul.de societes</t>
        </is>
      </c>
      <c r="D4134" s="233" t="inlineStr">
        <is>
          <t>34</t>
        </is>
      </c>
      <c r="E4134" s="233" t="inlineStr">
        <is>
          <t>37</t>
        </is>
      </c>
      <c r="F4134" s="227" t="inlineStr">
        <is>
          <t>LYSE</t>
        </is>
      </c>
    </row>
    <row r="4135">
      <c r="A4135" s="227">
        <f>TL[[#This Row],[Société]]&amp;" - "&amp;TL[[#This Row],[Compte]]</f>
        <v/>
      </c>
      <c r="B4135" s="233" t="inlineStr">
        <is>
          <t>635300</t>
        </is>
      </c>
      <c r="C4135" s="227" t="inlineStr">
        <is>
          <t>Cartes grises</t>
        </is>
      </c>
      <c r="D4135" s="233" t="inlineStr">
        <is>
          <t>34</t>
        </is>
      </c>
      <c r="E4135" s="233" t="inlineStr">
        <is>
          <t>37</t>
        </is>
      </c>
      <c r="F4135" s="227" t="inlineStr">
        <is>
          <t>LYSE</t>
        </is>
      </c>
    </row>
    <row r="4136">
      <c r="A4136" s="227">
        <f>TL[[#This Row],[Société]]&amp;" - "&amp;TL[[#This Row],[Compte]]</f>
        <v/>
      </c>
      <c r="B4136" s="233" t="inlineStr">
        <is>
          <t>635500</t>
        </is>
      </c>
      <c r="C4136" s="227" t="inlineStr">
        <is>
          <t>Autr.imp.taxes (impots)</t>
        </is>
      </c>
      <c r="D4136" s="233" t="inlineStr">
        <is>
          <t>34</t>
        </is>
      </c>
      <c r="E4136" s="233" t="inlineStr">
        <is>
          <t>37</t>
        </is>
      </c>
      <c r="F4136" s="227" t="inlineStr">
        <is>
          <t>LYSE</t>
        </is>
      </c>
    </row>
    <row r="4137">
      <c r="A4137" s="227">
        <f>TL[[#This Row],[Société]]&amp;" - "&amp;TL[[#This Row],[Compte]]</f>
        <v/>
      </c>
      <c r="B4137" s="233" t="inlineStr">
        <is>
          <t>635510</t>
        </is>
      </c>
      <c r="C4137" s="227" t="inlineStr">
        <is>
          <t>Pêche</t>
        </is>
      </c>
      <c r="D4137" s="233" t="inlineStr">
        <is>
          <t>34</t>
        </is>
      </c>
      <c r="E4137" s="233" t="inlineStr">
        <is>
          <t>37</t>
        </is>
      </c>
      <c r="F4137" s="227" t="inlineStr">
        <is>
          <t>LYSE</t>
        </is>
      </c>
    </row>
    <row r="4138">
      <c r="A4138" s="227">
        <f>TL[[#This Row],[Société]]&amp;" - "&amp;TL[[#This Row],[Compte]]</f>
        <v/>
      </c>
      <c r="B4138" s="233" t="inlineStr">
        <is>
          <t>635511</t>
        </is>
      </c>
      <c r="C4138" s="227" t="inlineStr">
        <is>
          <t>Contribution sur boiss.sucrées</t>
        </is>
      </c>
      <c r="D4138" s="233" t="inlineStr">
        <is>
          <t>09</t>
        </is>
      </c>
      <c r="E4138" s="233" t="inlineStr">
        <is>
          <t>03</t>
        </is>
      </c>
      <c r="F4138" s="227" t="inlineStr">
        <is>
          <t>LYSE</t>
        </is>
      </c>
    </row>
    <row r="4139">
      <c r="A4139" s="227">
        <f>TL[[#This Row],[Société]]&amp;" - "&amp;TL[[#This Row],[Compte]]</f>
        <v/>
      </c>
      <c r="B4139" s="233" t="inlineStr">
        <is>
          <t>635520</t>
        </is>
      </c>
      <c r="C4139" s="227" t="inlineStr">
        <is>
          <t>Redevance audio</t>
        </is>
      </c>
      <c r="D4139" s="233" t="inlineStr">
        <is>
          <t>34</t>
        </is>
      </c>
      <c r="E4139" s="233" t="inlineStr">
        <is>
          <t>37</t>
        </is>
      </c>
      <c r="F4139" s="227" t="inlineStr">
        <is>
          <t>LYSE</t>
        </is>
      </c>
    </row>
    <row r="4140">
      <c r="A4140" s="227">
        <f>TL[[#This Row],[Société]]&amp;" - "&amp;TL[[#This Row],[Compte]]</f>
        <v/>
      </c>
      <c r="B4140" s="233" t="inlineStr">
        <is>
          <t>635530</t>
        </is>
      </c>
      <c r="C4140" s="227" t="inlineStr">
        <is>
          <t>Taxe sur la publicité extérieure</t>
        </is>
      </c>
      <c r="D4140" s="233" t="inlineStr">
        <is>
          <t>34</t>
        </is>
      </c>
      <c r="E4140" s="233" t="inlineStr">
        <is>
          <t>37</t>
        </is>
      </c>
      <c r="F4140" s="227" t="inlineStr">
        <is>
          <t>LYSE</t>
        </is>
      </c>
    </row>
    <row r="4141">
      <c r="A4141" s="227">
        <f>TL[[#This Row],[Société]]&amp;" - "&amp;TL[[#This Row],[Compte]]</f>
        <v/>
      </c>
      <c r="B4141" s="233" t="inlineStr">
        <is>
          <t>635540</t>
        </is>
      </c>
      <c r="C4141" s="227" t="inlineStr">
        <is>
          <t>Taxe 0.12% ca</t>
        </is>
      </c>
      <c r="D4141" s="233" t="inlineStr">
        <is>
          <t>34</t>
        </is>
      </c>
      <c r="E4141" s="233" t="inlineStr">
        <is>
          <t>37</t>
        </is>
      </c>
      <c r="F4141" s="227" t="inlineStr">
        <is>
          <t>LYSE</t>
        </is>
      </c>
    </row>
    <row r="4142">
      <c r="A4142" s="227">
        <f>TL[[#This Row],[Société]]&amp;" - "&amp;TL[[#This Row],[Compte]]</f>
        <v/>
      </c>
      <c r="B4142" s="233" t="inlineStr">
        <is>
          <t>635700</t>
        </is>
      </c>
      <c r="C4142" s="227" t="inlineStr">
        <is>
          <t>Ifa</t>
        </is>
      </c>
      <c r="D4142" s="233" t="inlineStr">
        <is>
          <t>34</t>
        </is>
      </c>
      <c r="E4142" s="233" t="inlineStr">
        <is>
          <t>37</t>
        </is>
      </c>
      <c r="F4142" s="227" t="inlineStr">
        <is>
          <t>LYSE</t>
        </is>
      </c>
    </row>
    <row r="4143">
      <c r="A4143" s="227">
        <f>TL[[#This Row],[Société]]&amp;" - "&amp;TL[[#This Row],[Compte]]</f>
        <v/>
      </c>
      <c r="B4143" s="233" t="inlineStr">
        <is>
          <t>635800</t>
        </is>
      </c>
      <c r="C4143" s="227" t="inlineStr">
        <is>
          <t>Autres droits</t>
        </is>
      </c>
      <c r="D4143" s="233" t="inlineStr">
        <is>
          <t>34</t>
        </is>
      </c>
      <c r="E4143" s="233" t="inlineStr">
        <is>
          <t>37</t>
        </is>
      </c>
      <c r="F4143" s="227" t="inlineStr">
        <is>
          <t>LYSE</t>
        </is>
      </c>
    </row>
    <row r="4144">
      <c r="A4144" s="227">
        <f>TL[[#This Row],[Société]]&amp;" - "&amp;TL[[#This Row],[Compte]]</f>
        <v/>
      </c>
      <c r="B4144" s="233" t="inlineStr">
        <is>
          <t>635810</t>
        </is>
      </c>
      <c r="C4144" s="227" t="inlineStr">
        <is>
          <t>Impôt forfaitaire annuel</t>
        </is>
      </c>
      <c r="D4144" s="233" t="inlineStr">
        <is>
          <t>34</t>
        </is>
      </c>
      <c r="E4144" s="233" t="inlineStr">
        <is>
          <t>37</t>
        </is>
      </c>
      <c r="F4144" s="227" t="inlineStr">
        <is>
          <t>LYSE</t>
        </is>
      </c>
    </row>
    <row r="4145">
      <c r="A4145" s="227">
        <f>TL[[#This Row],[Société]]&amp;" - "&amp;TL[[#This Row],[Compte]]</f>
        <v/>
      </c>
      <c r="B4145" s="233" t="inlineStr">
        <is>
          <t>637100</t>
        </is>
      </c>
      <c r="C4145" s="227" t="inlineStr">
        <is>
          <t>Organic</t>
        </is>
      </c>
      <c r="D4145" s="233" t="inlineStr">
        <is>
          <t>34</t>
        </is>
      </c>
      <c r="E4145" s="233" t="inlineStr">
        <is>
          <t>37</t>
        </is>
      </c>
      <c r="F4145" s="227" t="inlineStr">
        <is>
          <t>LYSE</t>
        </is>
      </c>
    </row>
    <row r="4146">
      <c r="A4146" s="227">
        <f>TL[[#This Row],[Société]]&amp;" - "&amp;TL[[#This Row],[Compte]]</f>
        <v/>
      </c>
      <c r="B4146" s="233" t="inlineStr">
        <is>
          <t>637300</t>
        </is>
      </c>
      <c r="C4146" s="227" t="inlineStr">
        <is>
          <t>Taxe s/ les handicapés</t>
        </is>
      </c>
      <c r="D4146" s="233" t="inlineStr">
        <is>
          <t>34</t>
        </is>
      </c>
      <c r="E4146" s="233" t="inlineStr">
        <is>
          <t>37</t>
        </is>
      </c>
      <c r="F4146" s="227" t="inlineStr">
        <is>
          <t>LYSE</t>
        </is>
      </c>
    </row>
    <row r="4147">
      <c r="A4147" s="227">
        <f>TL[[#This Row],[Société]]&amp;" - "&amp;TL[[#This Row],[Compte]]</f>
        <v/>
      </c>
      <c r="B4147" s="233" t="inlineStr">
        <is>
          <t>637800</t>
        </is>
      </c>
      <c r="C4147" s="227" t="inlineStr">
        <is>
          <t>Taxes diverses</t>
        </is>
      </c>
      <c r="D4147" s="233" t="inlineStr">
        <is>
          <t>34</t>
        </is>
      </c>
      <c r="E4147" s="233" t="inlineStr">
        <is>
          <t>37</t>
        </is>
      </c>
      <c r="F4147" s="227" t="inlineStr">
        <is>
          <t>LYSE</t>
        </is>
      </c>
    </row>
    <row r="4148">
      <c r="A4148" s="227">
        <f>TL[[#This Row],[Société]]&amp;" - "&amp;TL[[#This Row],[Compte]]</f>
        <v/>
      </c>
      <c r="B4148" s="233" t="inlineStr">
        <is>
          <t>641101</t>
        </is>
      </c>
      <c r="C4148" s="227" t="inlineStr">
        <is>
          <t>Salaire equipiers</t>
        </is>
      </c>
      <c r="D4148" s="233" t="inlineStr">
        <is>
          <t>10</t>
        </is>
      </c>
      <c r="E4148" s="233" t="inlineStr">
        <is>
          <t>08</t>
        </is>
      </c>
      <c r="F4148" s="227" t="inlineStr">
        <is>
          <t>LYSE</t>
        </is>
      </c>
    </row>
    <row r="4149">
      <c r="A4149" s="227">
        <f>TL[[#This Row],[Société]]&amp;" - "&amp;TL[[#This Row],[Compte]]</f>
        <v/>
      </c>
      <c r="B4149" s="233" t="inlineStr">
        <is>
          <t>641102</t>
        </is>
      </c>
      <c r="C4149" s="227" t="inlineStr">
        <is>
          <t>Salaire lg</t>
        </is>
      </c>
      <c r="D4149" s="233" t="inlineStr">
        <is>
          <t>99</t>
        </is>
      </c>
      <c r="E4149" s="233" t="inlineStr">
        <is>
          <t>10</t>
        </is>
      </c>
      <c r="F4149" s="227" t="inlineStr">
        <is>
          <t>LYSE</t>
        </is>
      </c>
    </row>
    <row r="4150">
      <c r="A4150" s="227">
        <f>TL[[#This Row],[Société]]&amp;" - "&amp;TL[[#This Row],[Compte]]</f>
        <v/>
      </c>
      <c r="B4150" s="233" t="inlineStr">
        <is>
          <t>641104</t>
        </is>
      </c>
      <c r="C4150" s="227" t="inlineStr">
        <is>
          <t>Salaire managers</t>
        </is>
      </c>
      <c r="D4150" s="233" t="inlineStr">
        <is>
          <t>11</t>
        </is>
      </c>
      <c r="E4150" s="233" t="inlineStr">
        <is>
          <t>10</t>
        </is>
      </c>
      <c r="F4150" s="227" t="inlineStr">
        <is>
          <t>LYSE</t>
        </is>
      </c>
    </row>
    <row r="4151">
      <c r="A4151" s="227">
        <f>TL[[#This Row],[Société]]&amp;" - "&amp;TL[[#This Row],[Compte]]</f>
        <v/>
      </c>
      <c r="B4151" s="233" t="inlineStr">
        <is>
          <t>641110</t>
        </is>
      </c>
      <c r="C4151" s="227" t="inlineStr">
        <is>
          <t>Indemn. licenciement equipiers</t>
        </is>
      </c>
      <c r="D4151" s="233" t="inlineStr">
        <is>
          <t>39</t>
        </is>
      </c>
      <c r="E4151" s="233" t="inlineStr">
        <is>
          <t>08</t>
        </is>
      </c>
      <c r="F4151" s="227" t="inlineStr">
        <is>
          <t>LYSE</t>
        </is>
      </c>
    </row>
    <row r="4152">
      <c r="A4152" s="227">
        <f>TL[[#This Row],[Société]]&amp;" - "&amp;TL[[#This Row],[Compte]]</f>
        <v/>
      </c>
      <c r="B4152" s="233" t="inlineStr">
        <is>
          <t>641111</t>
        </is>
      </c>
      <c r="C4152" s="227" t="inlineStr">
        <is>
          <t>Indemnités licenciement</t>
        </is>
      </c>
      <c r="D4152" s="233" t="inlineStr">
        <is>
          <t>10</t>
        </is>
      </c>
      <c r="E4152" s="233" t="inlineStr">
        <is>
          <t>08</t>
        </is>
      </c>
      <c r="F4152" s="227" t="inlineStr">
        <is>
          <t>LYSE</t>
        </is>
      </c>
    </row>
    <row r="4153">
      <c r="A4153" s="227">
        <f>TL[[#This Row],[Société]]&amp;" - "&amp;TL[[#This Row],[Compte]]</f>
        <v/>
      </c>
      <c r="B4153" s="233" t="inlineStr">
        <is>
          <t>641112</t>
        </is>
      </c>
      <c r="C4153" s="227" t="inlineStr">
        <is>
          <t>Indem rupture convent managers</t>
        </is>
      </c>
      <c r="D4153" s="233" t="inlineStr">
        <is>
          <t>39</t>
        </is>
      </c>
      <c r="E4153" s="233" t="inlineStr">
        <is>
          <t>10</t>
        </is>
      </c>
      <c r="F4153" s="227" t="inlineStr">
        <is>
          <t>LYSE</t>
        </is>
      </c>
    </row>
    <row r="4154">
      <c r="A4154" s="227">
        <f>TL[[#This Row],[Société]]&amp;" - "&amp;TL[[#This Row],[Compte]]</f>
        <v/>
      </c>
      <c r="B4154" s="233" t="inlineStr">
        <is>
          <t>641113</t>
        </is>
      </c>
      <c r="C4154" s="227" t="inlineStr">
        <is>
          <t>Indem rupture convent equip</t>
        </is>
      </c>
      <c r="D4154" s="233" t="inlineStr">
        <is>
          <t>39</t>
        </is>
      </c>
      <c r="E4154" s="233" t="inlineStr">
        <is>
          <t>08</t>
        </is>
      </c>
      <c r="F4154" s="227" t="inlineStr">
        <is>
          <t>LYSE</t>
        </is>
      </c>
    </row>
    <row r="4155">
      <c r="A4155" s="227">
        <f>TL[[#This Row],[Société]]&amp;" - "&amp;TL[[#This Row],[Compte]]</f>
        <v/>
      </c>
      <c r="B4155" s="233" t="inlineStr">
        <is>
          <t>641114</t>
        </is>
      </c>
      <c r="C4155" s="227" t="inlineStr">
        <is>
          <t>ind inflation equipiers</t>
        </is>
      </c>
      <c r="D4155" s="233" t="inlineStr">
        <is>
          <t>10</t>
        </is>
      </c>
      <c r="E4155" s="233" t="inlineStr">
        <is>
          <t>08</t>
        </is>
      </c>
      <c r="F4155" s="227" t="inlineStr">
        <is>
          <t>LYSE</t>
        </is>
      </c>
    </row>
    <row r="4156">
      <c r="A4156" s="227">
        <f>TL[[#This Row],[Société]]&amp;" - "&amp;TL[[#This Row],[Compte]]</f>
        <v/>
      </c>
      <c r="B4156" s="233" t="inlineStr">
        <is>
          <t>641115</t>
        </is>
      </c>
      <c r="C4156" s="227" t="inlineStr">
        <is>
          <t>ind inflation mgrs</t>
        </is>
      </c>
      <c r="D4156" s="233" t="inlineStr">
        <is>
          <t>11</t>
        </is>
      </c>
      <c r="E4156" s="233" t="inlineStr">
        <is>
          <t>10</t>
        </is>
      </c>
      <c r="F4156" s="227" t="inlineStr">
        <is>
          <t>LYSE</t>
        </is>
      </c>
    </row>
    <row r="4157">
      <c r="A4157" s="227">
        <f>TL[[#This Row],[Société]]&amp;" - "&amp;TL[[#This Row],[Compte]]</f>
        <v/>
      </c>
      <c r="B4157" s="233" t="inlineStr">
        <is>
          <t>641200</t>
        </is>
      </c>
      <c r="C4157" s="227" t="inlineStr">
        <is>
          <t>Prov conges payes equip</t>
        </is>
      </c>
      <c r="D4157" s="233" t="inlineStr">
        <is>
          <t>10</t>
        </is>
      </c>
      <c r="E4157" s="233" t="inlineStr">
        <is>
          <t>08</t>
        </is>
      </c>
      <c r="F4157" s="227" t="inlineStr">
        <is>
          <t>LYSE</t>
        </is>
      </c>
    </row>
    <row r="4158">
      <c r="A4158" s="227">
        <f>TL[[#This Row],[Société]]&amp;" - "&amp;TL[[#This Row],[Compte]]</f>
        <v/>
      </c>
      <c r="B4158" s="233" t="inlineStr">
        <is>
          <t>641210</t>
        </is>
      </c>
      <c r="C4158" s="227" t="inlineStr">
        <is>
          <t>Prov congés payés mgr</t>
        </is>
      </c>
      <c r="D4158" s="233" t="inlineStr">
        <is>
          <t>11</t>
        </is>
      </c>
      <c r="E4158" s="233" t="inlineStr">
        <is>
          <t>10</t>
        </is>
      </c>
      <c r="F4158" s="227" t="inlineStr">
        <is>
          <t>LYSE</t>
        </is>
      </c>
    </row>
    <row r="4159">
      <c r="A4159" s="227">
        <f>TL[[#This Row],[Société]]&amp;" - "&amp;TL[[#This Row],[Compte]]</f>
        <v/>
      </c>
      <c r="B4159" s="233" t="inlineStr">
        <is>
          <t>641220</t>
        </is>
      </c>
      <c r="C4159" s="227" t="inlineStr">
        <is>
          <t>Provis° cp mgr</t>
        </is>
      </c>
      <c r="D4159" s="233" t="inlineStr">
        <is>
          <t>11</t>
        </is>
      </c>
      <c r="E4159" s="233" t="inlineStr">
        <is>
          <t>10</t>
        </is>
      </c>
      <c r="F4159" s="227" t="inlineStr">
        <is>
          <t>LYSE</t>
        </is>
      </c>
    </row>
    <row r="4160">
      <c r="A4160" s="227">
        <f>TL[[#This Row],[Société]]&amp;" - "&amp;TL[[#This Row],[Compte]]</f>
        <v/>
      </c>
      <c r="B4160" s="233" t="inlineStr">
        <is>
          <t>641230</t>
        </is>
      </c>
      <c r="C4160" s="227" t="inlineStr">
        <is>
          <t>Prov cp equipiers</t>
        </is>
      </c>
      <c r="F4160" s="227" t="inlineStr">
        <is>
          <t>LYSE</t>
        </is>
      </c>
    </row>
    <row r="4161">
      <c r="A4161" s="227">
        <f>TL[[#This Row],[Société]]&amp;" - "&amp;TL[[#This Row],[Compte]]</f>
        <v/>
      </c>
      <c r="B4161" s="233" t="inlineStr">
        <is>
          <t>641300</t>
        </is>
      </c>
      <c r="C4161" s="227" t="inlineStr">
        <is>
          <t>Primes et gratifications</t>
        </is>
      </c>
      <c r="F4161" s="227" t="inlineStr">
        <is>
          <t>LYSE</t>
        </is>
      </c>
    </row>
    <row r="4162">
      <c r="A4162" s="227">
        <f>TL[[#This Row],[Société]]&amp;" - "&amp;TL[[#This Row],[Compte]]</f>
        <v/>
      </c>
      <c r="B4162" s="233" t="inlineStr">
        <is>
          <t>641333</t>
        </is>
      </c>
      <c r="C4162" s="227" t="inlineStr">
        <is>
          <t>Primes et licenciement p&amp;l</t>
        </is>
      </c>
      <c r="D4162" s="233" t="inlineStr">
        <is>
          <t>39</t>
        </is>
      </c>
      <c r="E4162" s="233" t="inlineStr">
        <is>
          <t>08</t>
        </is>
      </c>
      <c r="F4162" s="227" t="inlineStr">
        <is>
          <t>LYSE</t>
        </is>
      </c>
    </row>
    <row r="4163">
      <c r="A4163" s="227">
        <f>TL[[#This Row],[Société]]&amp;" - "&amp;TL[[#This Row],[Compte]]</f>
        <v/>
      </c>
      <c r="B4163" s="233" t="inlineStr">
        <is>
          <t>641401</t>
        </is>
      </c>
      <c r="C4163" s="227" t="inlineStr">
        <is>
          <t>A.n equipiers</t>
        </is>
      </c>
      <c r="D4163" s="233" t="inlineStr">
        <is>
          <t>10</t>
        </is>
      </c>
      <c r="E4163" s="233" t="inlineStr">
        <is>
          <t>08</t>
        </is>
      </c>
      <c r="F4163" s="227" t="inlineStr">
        <is>
          <t>LYSE</t>
        </is>
      </c>
    </row>
    <row r="4164">
      <c r="A4164" s="227">
        <f>TL[[#This Row],[Société]]&amp;" - "&amp;TL[[#This Row],[Compte]]</f>
        <v/>
      </c>
      <c r="B4164" s="233" t="inlineStr">
        <is>
          <t>641402</t>
        </is>
      </c>
      <c r="C4164" s="227" t="inlineStr">
        <is>
          <t>Avantages et indem.divers équip.</t>
        </is>
      </c>
      <c r="D4164" s="233" t="inlineStr">
        <is>
          <t>10</t>
        </is>
      </c>
      <c r="E4164" s="233" t="inlineStr">
        <is>
          <t>08</t>
        </is>
      </c>
      <c r="F4164" s="227" t="inlineStr">
        <is>
          <t>LYSE</t>
        </is>
      </c>
    </row>
    <row r="4165">
      <c r="A4165" s="227">
        <f>TL[[#This Row],[Société]]&amp;" - "&amp;TL[[#This Row],[Compte]]</f>
        <v/>
      </c>
      <c r="B4165" s="233" t="inlineStr">
        <is>
          <t>641403</t>
        </is>
      </c>
      <c r="C4165" s="227" t="inlineStr">
        <is>
          <t>Avantages et indem.divers managers</t>
        </is>
      </c>
      <c r="D4165" s="233" t="inlineStr">
        <is>
          <t>11</t>
        </is>
      </c>
      <c r="E4165" s="233" t="inlineStr">
        <is>
          <t>10</t>
        </is>
      </c>
      <c r="F4165" s="227" t="inlineStr">
        <is>
          <t>LYSE</t>
        </is>
      </c>
    </row>
    <row r="4166">
      <c r="A4166" s="227">
        <f>TL[[#This Row],[Société]]&amp;" - "&amp;TL[[#This Row],[Compte]]</f>
        <v/>
      </c>
      <c r="B4166" s="233" t="inlineStr">
        <is>
          <t>641404</t>
        </is>
      </c>
      <c r="C4166" s="227" t="inlineStr">
        <is>
          <t>A.n. managers</t>
        </is>
      </c>
      <c r="D4166" s="233" t="inlineStr">
        <is>
          <t>11</t>
        </is>
      </c>
      <c r="E4166" s="233" t="inlineStr">
        <is>
          <t>10</t>
        </is>
      </c>
      <c r="F4166" s="227" t="inlineStr">
        <is>
          <t>LYSE</t>
        </is>
      </c>
    </row>
    <row r="4167">
      <c r="A4167" s="227">
        <f>TL[[#This Row],[Société]]&amp;" - "&amp;TL[[#This Row],[Compte]]</f>
        <v/>
      </c>
      <c r="B4167" s="233" t="inlineStr">
        <is>
          <t>641405</t>
        </is>
      </c>
      <c r="C4167" s="227" t="inlineStr">
        <is>
          <t>Avantages et indem.divers managers</t>
        </is>
      </c>
      <c r="D4167" s="233" t="inlineStr">
        <is>
          <t>11</t>
        </is>
      </c>
      <c r="E4167" s="233" t="inlineStr">
        <is>
          <t>10</t>
        </is>
      </c>
      <c r="F4167" s="227" t="inlineStr">
        <is>
          <t>LYSE</t>
        </is>
      </c>
    </row>
    <row r="4168">
      <c r="A4168" s="227">
        <f>TL[[#This Row],[Société]]&amp;" - "&amp;TL[[#This Row],[Compte]]</f>
        <v/>
      </c>
      <c r="B4168" s="233" t="inlineStr">
        <is>
          <t>641411</t>
        </is>
      </c>
      <c r="C4168" s="227" t="inlineStr">
        <is>
          <t>Ind blanchi equipiers</t>
        </is>
      </c>
      <c r="D4168" s="233" t="inlineStr">
        <is>
          <t>10</t>
        </is>
      </c>
      <c r="E4168" s="233" t="inlineStr">
        <is>
          <t>08</t>
        </is>
      </c>
      <c r="F4168" s="227" t="inlineStr">
        <is>
          <t>LYSE</t>
        </is>
      </c>
    </row>
    <row r="4169">
      <c r="A4169" s="227">
        <f>TL[[#This Row],[Société]]&amp;" - "&amp;TL[[#This Row],[Compte]]</f>
        <v/>
      </c>
      <c r="B4169" s="233" t="inlineStr">
        <is>
          <t>641414</t>
        </is>
      </c>
      <c r="C4169" s="227" t="inlineStr">
        <is>
          <t>Ind blanchiss managers</t>
        </is>
      </c>
      <c r="D4169" s="233" t="inlineStr">
        <is>
          <t>11</t>
        </is>
      </c>
      <c r="E4169" s="233" t="inlineStr">
        <is>
          <t>10</t>
        </is>
      </c>
      <c r="F4169" s="227" t="inlineStr">
        <is>
          <t>LYSE</t>
        </is>
      </c>
    </row>
    <row r="4170">
      <c r="A4170" s="227">
        <f>TL[[#This Row],[Société]]&amp;" - "&amp;TL[[#This Row],[Compte]]</f>
        <v/>
      </c>
      <c r="B4170" s="233" t="inlineStr">
        <is>
          <t>645041</t>
        </is>
      </c>
      <c r="C4170" s="227" t="inlineStr">
        <is>
          <t>Mutuelle equipiers</t>
        </is>
      </c>
      <c r="D4170" s="233" t="inlineStr">
        <is>
          <t>10</t>
        </is>
      </c>
      <c r="E4170" s="233" t="inlineStr">
        <is>
          <t>09</t>
        </is>
      </c>
      <c r="F4170" s="227" t="inlineStr">
        <is>
          <t>LYSE</t>
        </is>
      </c>
    </row>
    <row r="4171">
      <c r="A4171" s="227">
        <f>TL[[#This Row],[Société]]&amp;" - "&amp;TL[[#This Row],[Compte]]</f>
        <v/>
      </c>
      <c r="B4171" s="233" t="inlineStr">
        <is>
          <t>645044</t>
        </is>
      </c>
      <c r="C4171" s="227" t="inlineStr">
        <is>
          <t>Mutuelle managers</t>
        </is>
      </c>
      <c r="D4171" s="233" t="inlineStr">
        <is>
          <t>12</t>
        </is>
      </c>
      <c r="E4171" s="233" t="inlineStr">
        <is>
          <t>11</t>
        </is>
      </c>
      <c r="F4171" s="227" t="inlineStr">
        <is>
          <t>LYSE</t>
        </is>
      </c>
    </row>
    <row r="4172">
      <c r="A4172" s="227">
        <f>TL[[#This Row],[Société]]&amp;" - "&amp;TL[[#This Row],[Compte]]</f>
        <v/>
      </c>
      <c r="B4172" s="233" t="inlineStr">
        <is>
          <t>645101</t>
        </is>
      </c>
      <c r="C4172" s="227" t="inlineStr">
        <is>
          <t>Urssaf equipiers</t>
        </is>
      </c>
      <c r="D4172" s="233" t="inlineStr">
        <is>
          <t>10</t>
        </is>
      </c>
      <c r="E4172" s="233" t="inlineStr">
        <is>
          <t>09</t>
        </is>
      </c>
      <c r="F4172" s="227" t="inlineStr">
        <is>
          <t>LYSE</t>
        </is>
      </c>
    </row>
    <row r="4173">
      <c r="A4173" s="227">
        <f>TL[[#This Row],[Société]]&amp;" - "&amp;TL[[#This Row],[Compte]]</f>
        <v/>
      </c>
      <c r="B4173" s="233" t="inlineStr">
        <is>
          <t>645102</t>
        </is>
      </c>
      <c r="C4173" s="227" t="inlineStr">
        <is>
          <t>Urssaf lg</t>
        </is>
      </c>
      <c r="D4173" s="233" t="inlineStr">
        <is>
          <t>99</t>
        </is>
      </c>
      <c r="E4173" s="233" t="inlineStr">
        <is>
          <t>11</t>
        </is>
      </c>
      <c r="F4173" s="227" t="inlineStr">
        <is>
          <t>LYSE</t>
        </is>
      </c>
    </row>
    <row r="4174">
      <c r="A4174" s="227">
        <f>TL[[#This Row],[Société]]&amp;" - "&amp;TL[[#This Row],[Compte]]</f>
        <v/>
      </c>
      <c r="B4174" s="233" t="inlineStr">
        <is>
          <t>645104</t>
        </is>
      </c>
      <c r="C4174" s="227" t="inlineStr">
        <is>
          <t>Urssaf mgr</t>
        </is>
      </c>
      <c r="D4174" s="233" t="inlineStr">
        <is>
          <t>12</t>
        </is>
      </c>
      <c r="E4174" s="233" t="inlineStr">
        <is>
          <t>11</t>
        </is>
      </c>
      <c r="F4174" s="227" t="inlineStr">
        <is>
          <t>LYSE</t>
        </is>
      </c>
    </row>
    <row r="4175">
      <c r="A4175" s="227">
        <f>TL[[#This Row],[Société]]&amp;" - "&amp;TL[[#This Row],[Compte]]</f>
        <v/>
      </c>
      <c r="B4175" s="233" t="inlineStr">
        <is>
          <t>645201</t>
        </is>
      </c>
      <c r="C4175" s="227" t="inlineStr">
        <is>
          <t>Mutuelle équipiers npu</t>
        </is>
      </c>
      <c r="D4175" s="233" t="inlineStr">
        <is>
          <t>10</t>
        </is>
      </c>
      <c r="E4175" s="233" t="inlineStr">
        <is>
          <t>09</t>
        </is>
      </c>
      <c r="F4175" s="227" t="inlineStr">
        <is>
          <t>LYSE</t>
        </is>
      </c>
    </row>
    <row r="4176">
      <c r="A4176" s="227">
        <f>TL[[#This Row],[Société]]&amp;" - "&amp;TL[[#This Row],[Compte]]</f>
        <v/>
      </c>
      <c r="B4176" s="233" t="inlineStr">
        <is>
          <t>645204</t>
        </is>
      </c>
      <c r="C4176" s="227" t="inlineStr">
        <is>
          <t>Mutuelle managers npu</t>
        </is>
      </c>
      <c r="D4176" s="233" t="inlineStr">
        <is>
          <t>12</t>
        </is>
      </c>
      <c r="E4176" s="233" t="inlineStr">
        <is>
          <t>11</t>
        </is>
      </c>
      <c r="F4176" s="227" t="inlineStr">
        <is>
          <t>LYSE</t>
        </is>
      </c>
    </row>
    <row r="4177">
      <c r="A4177" s="227">
        <f>TL[[#This Row],[Société]]&amp;" - "&amp;TL[[#This Row],[Compte]]</f>
        <v/>
      </c>
      <c r="B4177" s="233" t="inlineStr">
        <is>
          <t>645301</t>
        </is>
      </c>
      <c r="C4177" s="227" t="inlineStr">
        <is>
          <t>Retraite et prev equipiers</t>
        </is>
      </c>
      <c r="D4177" s="233" t="inlineStr">
        <is>
          <t>10</t>
        </is>
      </c>
      <c r="E4177" s="233" t="inlineStr">
        <is>
          <t>09</t>
        </is>
      </c>
      <c r="F4177" s="227" t="inlineStr">
        <is>
          <t>LYSE</t>
        </is>
      </c>
    </row>
    <row r="4178">
      <c r="A4178" s="227">
        <f>TL[[#This Row],[Société]]&amp;" - "&amp;TL[[#This Row],[Compte]]</f>
        <v/>
      </c>
      <c r="B4178" s="233" t="inlineStr">
        <is>
          <t>645302</t>
        </is>
      </c>
      <c r="C4178" s="227" t="inlineStr">
        <is>
          <t>Isica lg</t>
        </is>
      </c>
      <c r="D4178" s="233" t="inlineStr">
        <is>
          <t>99</t>
        </is>
      </c>
      <c r="E4178" s="233" t="inlineStr">
        <is>
          <t>11</t>
        </is>
      </c>
      <c r="F4178" s="227" t="inlineStr">
        <is>
          <t>LYSE</t>
        </is>
      </c>
    </row>
    <row r="4179">
      <c r="A4179" s="227">
        <f>TL[[#This Row],[Société]]&amp;" - "&amp;TL[[#This Row],[Compte]]</f>
        <v/>
      </c>
      <c r="B4179" s="233" t="inlineStr">
        <is>
          <t>645304</t>
        </is>
      </c>
      <c r="C4179" s="227" t="inlineStr">
        <is>
          <t>Retraite et prev managers</t>
        </is>
      </c>
      <c r="D4179" s="233" t="inlineStr">
        <is>
          <t>12</t>
        </is>
      </c>
      <c r="E4179" s="233" t="inlineStr">
        <is>
          <t>11</t>
        </is>
      </c>
      <c r="F4179" s="227" t="inlineStr">
        <is>
          <t>LYSE</t>
        </is>
      </c>
    </row>
    <row r="4180">
      <c r="A4180" s="227">
        <f>TL[[#This Row],[Société]]&amp;" - "&amp;TL[[#This Row],[Compte]]</f>
        <v/>
      </c>
      <c r="B4180" s="233" t="inlineStr">
        <is>
          <t>645305</t>
        </is>
      </c>
      <c r="C4180" s="227" t="inlineStr">
        <is>
          <t>Cotisations agirc</t>
        </is>
      </c>
      <c r="D4180" s="233" t="inlineStr">
        <is>
          <t>12</t>
        </is>
      </c>
      <c r="E4180" s="233" t="inlineStr">
        <is>
          <t>11</t>
        </is>
      </c>
      <c r="F4180" s="227" t="inlineStr">
        <is>
          <t>LYSE</t>
        </is>
      </c>
    </row>
    <row r="4181">
      <c r="A4181" s="227">
        <f>TL[[#This Row],[Société]]&amp;" - "&amp;TL[[#This Row],[Compte]]</f>
        <v/>
      </c>
      <c r="B4181" s="233" t="inlineStr">
        <is>
          <t>645306</t>
        </is>
      </c>
      <c r="C4181" s="227" t="inlineStr">
        <is>
          <t>Ret.supplem. Article 83</t>
        </is>
      </c>
      <c r="D4181" s="233" t="inlineStr">
        <is>
          <t>12</t>
        </is>
      </c>
      <c r="E4181" s="233" t="inlineStr">
        <is>
          <t>11</t>
        </is>
      </c>
      <c r="F4181" s="227" t="inlineStr">
        <is>
          <t>LYSE</t>
        </is>
      </c>
    </row>
    <row r="4182">
      <c r="A4182" s="227">
        <f>TL[[#This Row],[Société]]&amp;" - "&amp;TL[[#This Row],[Compte]]</f>
        <v/>
      </c>
      <c r="B4182" s="233" t="inlineStr">
        <is>
          <t>645401</t>
        </is>
      </c>
      <c r="C4182" s="227" t="inlineStr">
        <is>
          <t>Pole emploi equipiers</t>
        </is>
      </c>
      <c r="D4182" s="233" t="inlineStr">
        <is>
          <t>10</t>
        </is>
      </c>
      <c r="E4182" s="233" t="inlineStr">
        <is>
          <t>09</t>
        </is>
      </c>
      <c r="F4182" s="227" t="inlineStr">
        <is>
          <t>LYSE</t>
        </is>
      </c>
    </row>
    <row r="4183">
      <c r="A4183" s="227">
        <f>TL[[#This Row],[Société]]&amp;" - "&amp;TL[[#This Row],[Compte]]</f>
        <v/>
      </c>
      <c r="B4183" s="233" t="inlineStr">
        <is>
          <t>645402</t>
        </is>
      </c>
      <c r="C4183" s="227" t="inlineStr">
        <is>
          <t>Assedic lg</t>
        </is>
      </c>
      <c r="D4183" s="233" t="inlineStr">
        <is>
          <t>99</t>
        </is>
      </c>
      <c r="E4183" s="233" t="inlineStr">
        <is>
          <t>11</t>
        </is>
      </c>
      <c r="F4183" s="227" t="inlineStr">
        <is>
          <t>LYSE</t>
        </is>
      </c>
    </row>
    <row r="4184">
      <c r="A4184" s="227">
        <f>TL[[#This Row],[Société]]&amp;" - "&amp;TL[[#This Row],[Compte]]</f>
        <v/>
      </c>
      <c r="B4184" s="233" t="inlineStr">
        <is>
          <t>645404</t>
        </is>
      </c>
      <c r="C4184" s="227" t="inlineStr">
        <is>
          <t>Pole emploi mgr</t>
        </is>
      </c>
      <c r="D4184" s="233" t="inlineStr">
        <is>
          <t>12</t>
        </is>
      </c>
      <c r="E4184" s="233" t="inlineStr">
        <is>
          <t>11</t>
        </is>
      </c>
      <c r="F4184" s="227" t="inlineStr">
        <is>
          <t>LYSE</t>
        </is>
      </c>
    </row>
    <row r="4185">
      <c r="A4185" s="227">
        <f>TL[[#This Row],[Société]]&amp;" - "&amp;TL[[#This Row],[Compte]]</f>
        <v/>
      </c>
      <c r="B4185" s="233" t="inlineStr">
        <is>
          <t>645800</t>
        </is>
      </c>
      <c r="C4185" s="227" t="inlineStr">
        <is>
          <t>Ch.soc./cp equipiers</t>
        </is>
      </c>
      <c r="D4185" s="233" t="inlineStr">
        <is>
          <t>10</t>
        </is>
      </c>
      <c r="E4185" s="233" t="inlineStr">
        <is>
          <t>09</t>
        </is>
      </c>
      <c r="F4185" s="227" t="inlineStr">
        <is>
          <t>LYSE</t>
        </is>
      </c>
    </row>
    <row r="4186">
      <c r="A4186" s="227">
        <f>TL[[#This Row],[Société]]&amp;" - "&amp;TL[[#This Row],[Compte]]</f>
        <v/>
      </c>
      <c r="B4186" s="233" t="inlineStr">
        <is>
          <t>645810</t>
        </is>
      </c>
      <c r="C4186" s="227" t="inlineStr">
        <is>
          <t>Ch.soc./cp managers</t>
        </is>
      </c>
      <c r="D4186" s="233" t="inlineStr">
        <is>
          <t>12</t>
        </is>
      </c>
      <c r="E4186" s="233" t="inlineStr">
        <is>
          <t>11</t>
        </is>
      </c>
      <c r="F4186" s="227" t="inlineStr">
        <is>
          <t>LYSE</t>
        </is>
      </c>
    </row>
    <row r="4187">
      <c r="A4187" s="227">
        <f>TL[[#This Row],[Société]]&amp;" - "&amp;TL[[#This Row],[Compte]]</f>
        <v/>
      </c>
      <c r="B4187" s="233" t="inlineStr">
        <is>
          <t>645820</t>
        </is>
      </c>
      <c r="C4187" s="227" t="inlineStr">
        <is>
          <t>Chrges sociales/cp</t>
        </is>
      </c>
      <c r="D4187" s="233" t="inlineStr">
        <is>
          <t>10</t>
        </is>
      </c>
      <c r="E4187" s="233" t="inlineStr">
        <is>
          <t>09</t>
        </is>
      </c>
      <c r="F4187" s="227" t="inlineStr">
        <is>
          <t>LYSE</t>
        </is>
      </c>
    </row>
    <row r="4188">
      <c r="A4188" s="227">
        <f>TL[[#This Row],[Société]]&amp;" - "&amp;TL[[#This Row],[Compte]]</f>
        <v/>
      </c>
      <c r="B4188" s="233" t="inlineStr">
        <is>
          <t>645830</t>
        </is>
      </c>
      <c r="C4188" s="227" t="inlineStr">
        <is>
          <t>Ch.soc/primes</t>
        </is>
      </c>
      <c r="D4188" s="233" t="inlineStr">
        <is>
          <t>12</t>
        </is>
      </c>
      <c r="E4188" s="233" t="inlineStr">
        <is>
          <t>11</t>
        </is>
      </c>
      <c r="F4188" s="227" t="inlineStr">
        <is>
          <t>LYSE</t>
        </is>
      </c>
    </row>
    <row r="4189">
      <c r="A4189" s="227">
        <f>TL[[#This Row],[Société]]&amp;" - "&amp;TL[[#This Row],[Compte]]</f>
        <v/>
      </c>
      <c r="B4189" s="233" t="inlineStr">
        <is>
          <t>646000</t>
        </is>
      </c>
      <c r="C4189" s="227" t="inlineStr">
        <is>
          <t>Caisse de retraite</t>
        </is>
      </c>
      <c r="F4189" s="227" t="inlineStr">
        <is>
          <t>LYSE</t>
        </is>
      </c>
    </row>
    <row r="4190">
      <c r="A4190" s="227">
        <f>TL[[#This Row],[Société]]&amp;" - "&amp;TL[[#This Row],[Compte]]</f>
        <v/>
      </c>
      <c r="B4190" s="233" t="inlineStr">
        <is>
          <t>646300</t>
        </is>
      </c>
      <c r="C4190" s="227" t="inlineStr">
        <is>
          <t>Retraite r.rego</t>
        </is>
      </c>
      <c r="D4190" s="233" t="inlineStr">
        <is>
          <t>51</t>
        </is>
      </c>
      <c r="E4190" s="233" t="inlineStr">
        <is>
          <t>12</t>
        </is>
      </c>
      <c r="F4190" s="227" t="inlineStr">
        <is>
          <t>LYSE</t>
        </is>
      </c>
    </row>
    <row r="4191">
      <c r="A4191" s="227">
        <f>TL[[#This Row],[Société]]&amp;" - "&amp;TL[[#This Row],[Compte]]</f>
        <v/>
      </c>
      <c r="B4191" s="233" t="inlineStr">
        <is>
          <t>647500</t>
        </is>
      </c>
      <c r="C4191" s="227" t="inlineStr">
        <is>
          <t>Medecine du travail pharm</t>
        </is>
      </c>
      <c r="D4191" s="233" t="inlineStr">
        <is>
          <t>16</t>
        </is>
      </c>
      <c r="E4191" s="233" t="inlineStr">
        <is>
          <t>19</t>
        </is>
      </c>
      <c r="F4191" s="227" t="inlineStr">
        <is>
          <t>LYSE</t>
        </is>
      </c>
    </row>
    <row r="4192">
      <c r="A4192" s="227">
        <f>TL[[#This Row],[Société]]&amp;" - "&amp;TL[[#This Row],[Compte]]</f>
        <v/>
      </c>
      <c r="B4192" s="233" t="inlineStr">
        <is>
          <t>649000</t>
        </is>
      </c>
      <c r="C4192" s="227" t="inlineStr">
        <is>
          <t>Crédit d'impôt compétitiv.emp.</t>
        </is>
      </c>
      <c r="D4192" s="233" t="inlineStr">
        <is>
          <t>56</t>
        </is>
      </c>
      <c r="E4192" s="233" t="inlineStr">
        <is>
          <t>48</t>
        </is>
      </c>
      <c r="F4192" s="227" t="inlineStr">
        <is>
          <t>LYSE</t>
        </is>
      </c>
    </row>
    <row r="4193">
      <c r="A4193" s="227">
        <f>TL[[#This Row],[Société]]&amp;" - "&amp;TL[[#This Row],[Compte]]</f>
        <v/>
      </c>
      <c r="B4193" s="233" t="inlineStr">
        <is>
          <t>651001</t>
        </is>
      </c>
      <c r="C4193" s="227" t="inlineStr">
        <is>
          <t>Redevance service 5%</t>
        </is>
      </c>
      <c r="D4193" s="233" t="inlineStr">
        <is>
          <t>31</t>
        </is>
      </c>
      <c r="E4193" s="233" t="inlineStr">
        <is>
          <t>34</t>
        </is>
      </c>
      <c r="F4193" s="227" t="inlineStr">
        <is>
          <t>LYSE</t>
        </is>
      </c>
    </row>
    <row r="4194">
      <c r="A4194" s="227">
        <f>TL[[#This Row],[Société]]&amp;" - "&amp;TL[[#This Row],[Compte]]</f>
        <v/>
      </c>
      <c r="B4194" s="233" t="inlineStr">
        <is>
          <t>651003</t>
        </is>
      </c>
      <c r="C4194" s="227" t="inlineStr">
        <is>
          <t>Redevance sacem</t>
        </is>
      </c>
      <c r="D4194" s="233" t="inlineStr">
        <is>
          <t>16</t>
        </is>
      </c>
      <c r="E4194" s="233" t="inlineStr">
        <is>
          <t>19</t>
        </is>
      </c>
      <c r="F4194" s="227" t="inlineStr">
        <is>
          <t>LYSE</t>
        </is>
      </c>
    </row>
    <row r="4195">
      <c r="A4195" s="227">
        <f>TL[[#This Row],[Société]]&amp;" - "&amp;TL[[#This Row],[Compte]]</f>
        <v/>
      </c>
      <c r="B4195" s="233" t="inlineStr">
        <is>
          <t>651200</t>
        </is>
      </c>
      <c r="C4195" s="227" t="inlineStr">
        <is>
          <t>Avoir hm 14%</t>
        </is>
      </c>
      <c r="D4195" s="233" t="inlineStr">
        <is>
          <t>30</t>
        </is>
      </c>
      <c r="E4195" s="233" t="inlineStr">
        <is>
          <t>31</t>
        </is>
      </c>
      <c r="F4195" s="227" t="inlineStr">
        <is>
          <t>LYSE</t>
        </is>
      </c>
    </row>
    <row r="4196">
      <c r="A4196" s="227">
        <f>TL[[#This Row],[Société]]&amp;" - "&amp;TL[[#This Row],[Compte]]</f>
        <v/>
      </c>
      <c r="B4196" s="233" t="inlineStr">
        <is>
          <t>651210</t>
        </is>
      </c>
      <c r="C4196" s="227" t="inlineStr">
        <is>
          <t>Avoir hm 5%</t>
        </is>
      </c>
      <c r="D4196" s="233" t="inlineStr">
        <is>
          <t>31</t>
        </is>
      </c>
      <c r="E4196" s="233" t="inlineStr">
        <is>
          <t>31</t>
        </is>
      </c>
      <c r="F4196" s="227" t="inlineStr">
        <is>
          <t>LYSE</t>
        </is>
      </c>
    </row>
    <row r="4197">
      <c r="A4197" s="227">
        <f>TL[[#This Row],[Société]]&amp;" - "&amp;TL[[#This Row],[Compte]]</f>
        <v/>
      </c>
      <c r="B4197" s="233" t="inlineStr">
        <is>
          <t>654100</t>
        </is>
      </c>
      <c r="C4197" s="227" t="inlineStr">
        <is>
          <t>Créances irrécouvrables</t>
        </is>
      </c>
      <c r="D4197" s="233" t="inlineStr">
        <is>
          <t>99</t>
        </is>
      </c>
      <c r="E4197" s="233" t="inlineStr">
        <is>
          <t>40</t>
        </is>
      </c>
      <c r="F4197" s="227" t="inlineStr">
        <is>
          <t>LYSE</t>
        </is>
      </c>
    </row>
    <row r="4198">
      <c r="A4198" s="227">
        <f>TL[[#This Row],[Société]]&amp;" - "&amp;TL[[#This Row],[Compte]]</f>
        <v/>
      </c>
      <c r="B4198" s="233" t="inlineStr">
        <is>
          <t>655000</t>
        </is>
      </c>
      <c r="C4198" s="227" t="inlineStr">
        <is>
          <t>Ne pas utiliser</t>
        </is>
      </c>
      <c r="D4198" s="233" t="inlineStr">
        <is>
          <t>99</t>
        </is>
      </c>
      <c r="F4198" s="227" t="inlineStr">
        <is>
          <t>LYSE</t>
        </is>
      </c>
    </row>
    <row r="4199">
      <c r="A4199" s="227">
        <f>TL[[#This Row],[Société]]&amp;" - "&amp;TL[[#This Row],[Compte]]</f>
        <v/>
      </c>
      <c r="B4199" s="233" t="inlineStr">
        <is>
          <t>658000</t>
        </is>
      </c>
      <c r="C4199" s="227" t="inlineStr">
        <is>
          <t>Charges div.gest.courante</t>
        </is>
      </c>
      <c r="D4199" s="233" t="inlineStr">
        <is>
          <t>39</t>
        </is>
      </c>
      <c r="E4199" s="233" t="inlineStr">
        <is>
          <t>27</t>
        </is>
      </c>
      <c r="F4199" s="227" t="inlineStr">
        <is>
          <t>LYSE</t>
        </is>
      </c>
    </row>
    <row r="4200">
      <c r="A4200" s="227">
        <f>TL[[#This Row],[Société]]&amp;" - "&amp;TL[[#This Row],[Compte]]</f>
        <v/>
      </c>
      <c r="B4200" s="233" t="inlineStr">
        <is>
          <t>661100</t>
        </is>
      </c>
      <c r="C4200" s="227" t="inlineStr">
        <is>
          <t>Int. sur emprunt</t>
        </is>
      </c>
      <c r="D4200" s="233" t="inlineStr">
        <is>
          <t>37</t>
        </is>
      </c>
      <c r="E4200" s="233" t="inlineStr">
        <is>
          <t>42</t>
        </is>
      </c>
      <c r="F4200" s="227" t="inlineStr">
        <is>
          <t>LYSE</t>
        </is>
      </c>
    </row>
    <row r="4201">
      <c r="A4201" s="227">
        <f>TL[[#This Row],[Société]]&amp;" - "&amp;TL[[#This Row],[Compte]]</f>
        <v/>
      </c>
      <c r="B4201" s="233" t="inlineStr">
        <is>
          <t>661160</t>
        </is>
      </c>
      <c r="C4201" s="227" t="inlineStr">
        <is>
          <t>Intérêts sur emprunts</t>
        </is>
      </c>
      <c r="D4201" s="233" t="inlineStr">
        <is>
          <t>37</t>
        </is>
      </c>
      <c r="E4201" s="233" t="inlineStr">
        <is>
          <t>17</t>
        </is>
      </c>
      <c r="F4201" s="227" t="inlineStr">
        <is>
          <t>LYSE</t>
        </is>
      </c>
    </row>
    <row r="4202">
      <c r="A4202" s="227">
        <f>TL[[#This Row],[Société]]&amp;" - "&amp;TL[[#This Row],[Compte]]</f>
        <v/>
      </c>
      <c r="B4202" s="233" t="inlineStr">
        <is>
          <t>661600</t>
        </is>
      </c>
      <c r="C4202" s="227" t="inlineStr">
        <is>
          <t>Interets bancaires</t>
        </is>
      </c>
      <c r="D4202" s="233" t="inlineStr">
        <is>
          <t>37</t>
        </is>
      </c>
      <c r="E4202" s="233" t="inlineStr">
        <is>
          <t>17</t>
        </is>
      </c>
      <c r="F4202" s="227" t="inlineStr">
        <is>
          <t>LYSE</t>
        </is>
      </c>
    </row>
    <row r="4203">
      <c r="A4203" s="227">
        <f>TL[[#This Row],[Société]]&amp;" - "&amp;TL[[#This Row],[Compte]]</f>
        <v/>
      </c>
      <c r="B4203" s="233" t="inlineStr">
        <is>
          <t>666000</t>
        </is>
      </c>
      <c r="C4203" s="227" t="inlineStr">
        <is>
          <t>Pertes de change ne pas utiliser</t>
        </is>
      </c>
      <c r="D4203" s="233" t="inlineStr">
        <is>
          <t>37</t>
        </is>
      </c>
      <c r="E4203" s="233" t="inlineStr">
        <is>
          <t>17</t>
        </is>
      </c>
      <c r="F4203" s="227" t="inlineStr">
        <is>
          <t>LYSE</t>
        </is>
      </c>
    </row>
    <row r="4204">
      <c r="A4204" s="227">
        <f>TL[[#This Row],[Société]]&amp;" - "&amp;TL[[#This Row],[Compte]]</f>
        <v/>
      </c>
      <c r="B4204" s="233" t="inlineStr">
        <is>
          <t>667100</t>
        </is>
      </c>
      <c r="C4204" s="227" t="inlineStr">
        <is>
          <t>Charges nettes sur cession wmp</t>
        </is>
      </c>
      <c r="F4204" s="227" t="inlineStr">
        <is>
          <t>LYSE</t>
        </is>
      </c>
    </row>
    <row r="4205">
      <c r="A4205" s="227">
        <f>TL[[#This Row],[Société]]&amp;" - "&amp;TL[[#This Row],[Compte]]</f>
        <v/>
      </c>
      <c r="B4205" s="233" t="inlineStr">
        <is>
          <t>668800</t>
        </is>
      </c>
      <c r="C4205" s="227" t="inlineStr">
        <is>
          <t>Ne pas utiliser</t>
        </is>
      </c>
      <c r="D4205" s="233" t="inlineStr">
        <is>
          <t>37</t>
        </is>
      </c>
      <c r="F4205" s="227" t="inlineStr">
        <is>
          <t>LYSE</t>
        </is>
      </c>
    </row>
    <row r="4206">
      <c r="A4206" s="227">
        <f>TL[[#This Row],[Société]]&amp;" - "&amp;TL[[#This Row],[Compte]]</f>
        <v/>
      </c>
      <c r="B4206" s="233" t="inlineStr">
        <is>
          <t>671100</t>
        </is>
      </c>
      <c r="C4206" s="227" t="inlineStr">
        <is>
          <t>Ecarts caisse</t>
        </is>
      </c>
      <c r="D4206" s="233" t="inlineStr">
        <is>
          <t>22</t>
        </is>
      </c>
      <c r="E4206" s="233" t="inlineStr">
        <is>
          <t>27</t>
        </is>
      </c>
      <c r="F4206" s="227" t="inlineStr">
        <is>
          <t>LYSE</t>
        </is>
      </c>
    </row>
    <row r="4207">
      <c r="A4207" s="227">
        <f>TL[[#This Row],[Société]]&amp;" - "&amp;TL[[#This Row],[Compte]]</f>
        <v/>
      </c>
      <c r="B4207" s="233" t="inlineStr">
        <is>
          <t>671200</t>
        </is>
      </c>
      <c r="C4207" s="227" t="inlineStr">
        <is>
          <t>Pénalités et amendes</t>
        </is>
      </c>
      <c r="D4207" s="233" t="inlineStr">
        <is>
          <t>39</t>
        </is>
      </c>
      <c r="E4207" s="233" t="inlineStr">
        <is>
          <t>45</t>
        </is>
      </c>
      <c r="F4207" s="227" t="inlineStr">
        <is>
          <t>LYSE</t>
        </is>
      </c>
    </row>
    <row r="4208">
      <c r="A4208" s="227">
        <f>TL[[#This Row],[Société]]&amp;" - "&amp;TL[[#This Row],[Compte]]</f>
        <v/>
      </c>
      <c r="B4208" s="233" t="inlineStr">
        <is>
          <t>671300</t>
        </is>
      </c>
      <c r="C4208" s="227" t="inlineStr">
        <is>
          <t>Dons fondation de france</t>
        </is>
      </c>
      <c r="D4208" s="233" t="inlineStr">
        <is>
          <t>39</t>
        </is>
      </c>
      <c r="E4208" s="233" t="inlineStr">
        <is>
          <t>45</t>
        </is>
      </c>
      <c r="F4208" s="227" t="inlineStr">
        <is>
          <t>LYSE</t>
        </is>
      </c>
    </row>
    <row r="4209">
      <c r="A4209" s="227">
        <f>TL[[#This Row],[Société]]&amp;" - "&amp;TL[[#This Row],[Compte]]</f>
        <v/>
      </c>
      <c r="B4209" s="233" t="inlineStr">
        <is>
          <t>671310</t>
        </is>
      </c>
      <c r="C4209" s="227" t="inlineStr">
        <is>
          <t>Dons fondat.de fr.</t>
        </is>
      </c>
      <c r="D4209" s="233" t="inlineStr">
        <is>
          <t>39</t>
        </is>
      </c>
      <c r="E4209" s="233" t="inlineStr">
        <is>
          <t>45</t>
        </is>
      </c>
      <c r="F4209" s="227" t="inlineStr">
        <is>
          <t>LYSE</t>
        </is>
      </c>
    </row>
    <row r="4210">
      <c r="A4210" s="227">
        <f>TL[[#This Row],[Société]]&amp;" - "&amp;TL[[#This Row],[Compte]]</f>
        <v/>
      </c>
      <c r="B4210" s="233" t="inlineStr">
        <is>
          <t>671800</t>
        </is>
      </c>
      <c r="C4210" s="227" t="inlineStr">
        <is>
          <t>Charges excep.s/ope.gest.</t>
        </is>
      </c>
      <c r="F4210" s="227" t="inlineStr">
        <is>
          <t>LYSE</t>
        </is>
      </c>
    </row>
    <row r="4211">
      <c r="A4211" s="227">
        <f>TL[[#This Row],[Société]]&amp;" - "&amp;TL[[#This Row],[Compte]]</f>
        <v/>
      </c>
      <c r="B4211" s="233" t="inlineStr">
        <is>
          <t>672000</t>
        </is>
      </c>
      <c r="C4211" s="227" t="inlineStr">
        <is>
          <t>Charges s/ex. antérieurs</t>
        </is>
      </c>
      <c r="F4211" s="227" t="inlineStr">
        <is>
          <t>LYSE</t>
        </is>
      </c>
    </row>
    <row r="4212">
      <c r="A4212" s="227">
        <f>TL[[#This Row],[Société]]&amp;" - "&amp;TL[[#This Row],[Compte]]</f>
        <v/>
      </c>
      <c r="B4212" s="233" t="inlineStr">
        <is>
          <t>675100</t>
        </is>
      </c>
      <c r="C4212" s="227" t="inlineStr">
        <is>
          <t>Val.nette cptble immo.incorp.cédées</t>
        </is>
      </c>
      <c r="D4212" s="233" t="inlineStr">
        <is>
          <t>35</t>
        </is>
      </c>
      <c r="E4212" s="233" t="inlineStr">
        <is>
          <t>45</t>
        </is>
      </c>
      <c r="F4212" s="227" t="inlineStr">
        <is>
          <t>LYSE</t>
        </is>
      </c>
    </row>
    <row r="4213">
      <c r="A4213" s="227">
        <f>TL[[#This Row],[Société]]&amp;" - "&amp;TL[[#This Row],[Compte]]</f>
        <v/>
      </c>
      <c r="B4213" s="233" t="inlineStr">
        <is>
          <t>675200</t>
        </is>
      </c>
      <c r="C4213" s="227" t="inlineStr">
        <is>
          <t>Val.nette cptble immo.corpo.cédées</t>
        </is>
      </c>
      <c r="D4213" s="233" t="inlineStr">
        <is>
          <t>35</t>
        </is>
      </c>
      <c r="E4213" s="233" t="inlineStr">
        <is>
          <t>45</t>
        </is>
      </c>
      <c r="F4213" s="227" t="inlineStr">
        <is>
          <t>LYSE</t>
        </is>
      </c>
    </row>
    <row r="4214">
      <c r="A4214" s="227">
        <f>TL[[#This Row],[Société]]&amp;" - "&amp;TL[[#This Row],[Compte]]</f>
        <v/>
      </c>
      <c r="B4214" s="233" t="inlineStr">
        <is>
          <t>681110</t>
        </is>
      </c>
      <c r="C4214" s="227" t="inlineStr">
        <is>
          <t>Dot.amort.immo.incorpore.</t>
        </is>
      </c>
      <c r="D4214" s="233" t="inlineStr">
        <is>
          <t>36</t>
        </is>
      </c>
      <c r="E4214" s="233" t="inlineStr">
        <is>
          <t>38</t>
        </is>
      </c>
      <c r="F4214" s="227" t="inlineStr">
        <is>
          <t>LYSE</t>
        </is>
      </c>
    </row>
    <row r="4215">
      <c r="A4215" s="227">
        <f>TL[[#This Row],[Société]]&amp;" - "&amp;TL[[#This Row],[Compte]]</f>
        <v/>
      </c>
      <c r="B4215" s="233" t="inlineStr">
        <is>
          <t>681120</t>
        </is>
      </c>
      <c r="C4215" s="227" t="inlineStr">
        <is>
          <t>Dot.amort.immo.corporell.</t>
        </is>
      </c>
      <c r="D4215" s="233" t="inlineStr">
        <is>
          <t>36</t>
        </is>
      </c>
      <c r="E4215" s="233" t="inlineStr">
        <is>
          <t>38</t>
        </is>
      </c>
      <c r="F4215" s="227" t="inlineStr">
        <is>
          <t>LYSE</t>
        </is>
      </c>
    </row>
    <row r="4216">
      <c r="A4216" s="227">
        <f>TL[[#This Row],[Société]]&amp;" - "&amp;TL[[#This Row],[Compte]]</f>
        <v/>
      </c>
      <c r="B4216" s="233" t="inlineStr">
        <is>
          <t>681500</t>
        </is>
      </c>
      <c r="C4216" s="227" t="inlineStr">
        <is>
          <t>Dot prov risques&amp;charges</t>
        </is>
      </c>
      <c r="D4216" s="233" t="inlineStr">
        <is>
          <t>36</t>
        </is>
      </c>
      <c r="E4216" s="233" t="inlineStr">
        <is>
          <t>38</t>
        </is>
      </c>
      <c r="F4216" s="227" t="inlineStr">
        <is>
          <t>LYSE</t>
        </is>
      </c>
    </row>
    <row r="4217">
      <c r="A4217" s="227">
        <f>TL[[#This Row],[Société]]&amp;" - "&amp;TL[[#This Row],[Compte]]</f>
        <v/>
      </c>
      <c r="B4217" s="233" t="inlineStr">
        <is>
          <t>681520</t>
        </is>
      </c>
      <c r="C4217" s="227" t="inlineStr">
        <is>
          <t>Prov p&amp;l cs/cp mgr</t>
        </is>
      </c>
      <c r="F4217" s="227" t="inlineStr">
        <is>
          <t>LYSE</t>
        </is>
      </c>
    </row>
    <row r="4218">
      <c r="A4218" s="227">
        <f>TL[[#This Row],[Société]]&amp;" - "&amp;TL[[#This Row],[Compte]]</f>
        <v/>
      </c>
      <c r="B4218" s="233" t="inlineStr">
        <is>
          <t>681530</t>
        </is>
      </c>
      <c r="C4218" s="227" t="inlineStr">
        <is>
          <t>Prov p&amp;l cs/cp eq.</t>
        </is>
      </c>
      <c r="F4218" s="227" t="inlineStr">
        <is>
          <t>LYSE</t>
        </is>
      </c>
    </row>
    <row r="4219">
      <c r="A4219" s="227">
        <f>TL[[#This Row],[Société]]&amp;" - "&amp;TL[[#This Row],[Compte]]</f>
        <v/>
      </c>
      <c r="B4219" s="233" t="inlineStr">
        <is>
          <t>686620</t>
        </is>
      </c>
      <c r="C4219" s="227" t="inlineStr">
        <is>
          <t>Dot.prov.deprec.elts fin.</t>
        </is>
      </c>
      <c r="D4219" s="233" t="inlineStr">
        <is>
          <t>99</t>
        </is>
      </c>
      <c r="E4219" s="233" t="inlineStr">
        <is>
          <t>38</t>
        </is>
      </c>
      <c r="F4219" s="227" t="inlineStr">
        <is>
          <t>LYSE</t>
        </is>
      </c>
    </row>
    <row r="4220">
      <c r="A4220" s="227">
        <f>TL[[#This Row],[Société]]&amp;" - "&amp;TL[[#This Row],[Compte]]</f>
        <v/>
      </c>
      <c r="B4220" s="233" t="inlineStr">
        <is>
          <t>686650</t>
        </is>
      </c>
      <c r="C4220" s="227" t="inlineStr">
        <is>
          <t>Dot.prov.deprec.elts fin.</t>
        </is>
      </c>
      <c r="D4220" s="233" t="inlineStr">
        <is>
          <t>36</t>
        </is>
      </c>
      <c r="E4220" s="233" t="inlineStr">
        <is>
          <t>38</t>
        </is>
      </c>
      <c r="F4220" s="227" t="inlineStr">
        <is>
          <t>LYSE</t>
        </is>
      </c>
    </row>
    <row r="4221">
      <c r="A4221" s="227">
        <f>TL[[#This Row],[Société]]&amp;" - "&amp;TL[[#This Row],[Compte]]</f>
        <v/>
      </c>
      <c r="B4221" s="233" t="inlineStr">
        <is>
          <t>687100</t>
        </is>
      </c>
      <c r="C4221" s="227" t="inlineStr">
        <is>
          <t>Dot.amort.except.immobil.</t>
        </is>
      </c>
      <c r="D4221" s="233" t="inlineStr">
        <is>
          <t>36</t>
        </is>
      </c>
      <c r="E4221" s="233" t="inlineStr">
        <is>
          <t>38</t>
        </is>
      </c>
      <c r="F4221" s="227" t="inlineStr">
        <is>
          <t>LYSE</t>
        </is>
      </c>
    </row>
    <row r="4222">
      <c r="A4222" s="227">
        <f>TL[[#This Row],[Société]]&amp;" - "&amp;TL[[#This Row],[Compte]]</f>
        <v/>
      </c>
      <c r="B4222" s="233" t="inlineStr">
        <is>
          <t>687110</t>
        </is>
      </c>
      <c r="C4222" s="227" t="inlineStr">
        <is>
          <t>Dot. amort. exce s/immob incorpore.</t>
        </is>
      </c>
      <c r="D4222" s="233" t="inlineStr">
        <is>
          <t>36</t>
        </is>
      </c>
      <c r="E4222" s="233" t="inlineStr">
        <is>
          <t>38</t>
        </is>
      </c>
      <c r="F4222" s="227" t="inlineStr">
        <is>
          <t>LYSE</t>
        </is>
      </c>
    </row>
    <row r="4223">
      <c r="A4223" s="227">
        <f>TL[[#This Row],[Société]]&amp;" - "&amp;TL[[#This Row],[Compte]]</f>
        <v/>
      </c>
      <c r="B4223" s="233" t="inlineStr">
        <is>
          <t>687120</t>
        </is>
      </c>
      <c r="C4223" s="227" t="inlineStr">
        <is>
          <t>Dot. amort. exce s/immob corporel.</t>
        </is>
      </c>
      <c r="D4223" s="233" t="inlineStr">
        <is>
          <t>36</t>
        </is>
      </c>
      <c r="E4223" s="233" t="inlineStr">
        <is>
          <t>38</t>
        </is>
      </c>
      <c r="F4223" s="227" t="inlineStr">
        <is>
          <t>LYSE</t>
        </is>
      </c>
    </row>
    <row r="4224">
      <c r="A4224" s="227">
        <f>TL[[#This Row],[Société]]&amp;" - "&amp;TL[[#This Row],[Compte]]</f>
        <v/>
      </c>
      <c r="B4224" s="233" t="inlineStr">
        <is>
          <t>687250</t>
        </is>
      </c>
      <c r="C4224" s="227" t="inlineStr">
        <is>
          <t>Dot. amortissements dérogatoires</t>
        </is>
      </c>
      <c r="D4224" s="233" t="inlineStr">
        <is>
          <t>99</t>
        </is>
      </c>
      <c r="E4224" s="233" t="inlineStr">
        <is>
          <t>38</t>
        </is>
      </c>
      <c r="F4224" s="227" t="inlineStr">
        <is>
          <t>LYSE</t>
        </is>
      </c>
    </row>
    <row r="4225">
      <c r="A4225" s="227">
        <f>TL[[#This Row],[Société]]&amp;" - "&amp;TL[[#This Row],[Compte]]</f>
        <v/>
      </c>
      <c r="B4225" s="233" t="inlineStr">
        <is>
          <t>695000</t>
        </is>
      </c>
      <c r="C4225" s="227" t="inlineStr">
        <is>
          <t>Imp. sur les benef.</t>
        </is>
      </c>
      <c r="D4225" s="233" t="inlineStr">
        <is>
          <t>99</t>
        </is>
      </c>
      <c r="E4225" s="233" t="inlineStr">
        <is>
          <t>48</t>
        </is>
      </c>
      <c r="F4225" s="227" t="inlineStr">
        <is>
          <t>LYSE</t>
        </is>
      </c>
    </row>
    <row r="4226">
      <c r="A4226" s="227">
        <f>TL[[#This Row],[Société]]&amp;" - "&amp;TL[[#This Row],[Compte]]</f>
        <v/>
      </c>
      <c r="B4226" s="233" t="inlineStr">
        <is>
          <t>695100</t>
        </is>
      </c>
      <c r="C4226" s="227" t="inlineStr">
        <is>
          <t>Impôt sur les bénéfices</t>
        </is>
      </c>
      <c r="D4226" s="233" t="inlineStr">
        <is>
          <t>99</t>
        </is>
      </c>
      <c r="E4226" s="233" t="inlineStr">
        <is>
          <t>48</t>
        </is>
      </c>
      <c r="F4226" s="227" t="inlineStr">
        <is>
          <t>LYSE</t>
        </is>
      </c>
    </row>
    <row r="4227">
      <c r="A4227" s="227">
        <f>TL[[#This Row],[Société]]&amp;" - "&amp;TL[[#This Row],[Compte]]</f>
        <v/>
      </c>
      <c r="B4227" s="233" t="inlineStr">
        <is>
          <t>695110</t>
        </is>
      </c>
      <c r="C4227" s="227" t="inlineStr">
        <is>
          <t>Crédit mécénat</t>
        </is>
      </c>
      <c r="D4227" s="233" t="inlineStr">
        <is>
          <t>56</t>
        </is>
      </c>
      <c r="E4227" s="233" t="inlineStr">
        <is>
          <t>48</t>
        </is>
      </c>
      <c r="F4227" s="227" t="inlineStr">
        <is>
          <t>LYSE</t>
        </is>
      </c>
    </row>
    <row r="4228">
      <c r="A4228" s="227">
        <f>TL[[#This Row],[Société]]&amp;" - "&amp;TL[[#This Row],[Compte]]</f>
        <v/>
      </c>
      <c r="B4228" s="233" t="inlineStr">
        <is>
          <t>695120</t>
        </is>
      </c>
      <c r="C4228" s="227" t="inlineStr">
        <is>
          <t>Crédit mecenat</t>
        </is>
      </c>
      <c r="F4228" s="227" t="inlineStr">
        <is>
          <t>LYSE</t>
        </is>
      </c>
    </row>
    <row r="4229">
      <c r="A4229" s="227">
        <f>TL[[#This Row],[Société]]&amp;" - "&amp;TL[[#This Row],[Compte]]</f>
        <v/>
      </c>
      <c r="B4229" s="233" t="inlineStr">
        <is>
          <t>695200</t>
        </is>
      </c>
      <c r="C4229" s="227" t="inlineStr">
        <is>
          <t>Contr.add.impots.benef</t>
        </is>
      </c>
      <c r="D4229" s="233" t="inlineStr">
        <is>
          <t>99</t>
        </is>
      </c>
      <c r="E4229" s="233" t="inlineStr">
        <is>
          <t>48</t>
        </is>
      </c>
      <c r="F4229" s="227" t="inlineStr">
        <is>
          <t>LYSE</t>
        </is>
      </c>
    </row>
    <row r="4230">
      <c r="A4230" s="227">
        <f>TL[[#This Row],[Société]]&amp;" - "&amp;TL[[#This Row],[Compte]]</f>
        <v/>
      </c>
      <c r="B4230" s="233" t="inlineStr">
        <is>
          <t>698910</t>
        </is>
      </c>
      <c r="C4230" s="227" t="inlineStr">
        <is>
          <t>Crédit mecenat gie</t>
        </is>
      </c>
      <c r="F4230" s="227" t="inlineStr">
        <is>
          <t>LYSE</t>
        </is>
      </c>
    </row>
    <row r="4231">
      <c r="A4231" s="227">
        <f>TL[[#This Row],[Société]]&amp;" - "&amp;TL[[#This Row],[Compte]]</f>
        <v/>
      </c>
      <c r="B4231" s="233" t="inlineStr">
        <is>
          <t>698920</t>
        </is>
      </c>
      <c r="C4231" s="227" t="inlineStr">
        <is>
          <t>Cice gie</t>
        </is>
      </c>
      <c r="F4231" s="227" t="inlineStr">
        <is>
          <t>LYSE</t>
        </is>
      </c>
    </row>
    <row r="4232">
      <c r="A4232" s="227">
        <f>TL[[#This Row],[Société]]&amp;" - "&amp;TL[[#This Row],[Compte]]</f>
        <v/>
      </c>
      <c r="B4232" s="233" t="inlineStr">
        <is>
          <t>698999</t>
        </is>
      </c>
      <c r="C4232" s="227" t="inlineStr">
        <is>
          <t>Divers analytique ne pas utiliser</t>
        </is>
      </c>
      <c r="D4232" s="233" t="inlineStr">
        <is>
          <t>99</t>
        </is>
      </c>
      <c r="F4232" s="227" t="inlineStr">
        <is>
          <t>LYSE</t>
        </is>
      </c>
    </row>
    <row r="4233">
      <c r="A4233" s="227">
        <f>TL[[#This Row],[Société]]&amp;" - "&amp;TL[[#This Row],[Compte]]</f>
        <v/>
      </c>
      <c r="B4233" s="233" t="inlineStr">
        <is>
          <t>699100</t>
        </is>
      </c>
      <c r="C4233" s="227" t="inlineStr">
        <is>
          <t>Crédit mécénat</t>
        </is>
      </c>
      <c r="D4233" s="233" t="inlineStr">
        <is>
          <t>99</t>
        </is>
      </c>
      <c r="E4233" s="233" t="inlineStr">
        <is>
          <t>48</t>
        </is>
      </c>
      <c r="F4233" s="227" t="inlineStr">
        <is>
          <t>LYSE</t>
        </is>
      </c>
    </row>
    <row r="4234">
      <c r="A4234" s="227">
        <f>TL[[#This Row],[Société]]&amp;" - "&amp;TL[[#This Row],[Compte]]</f>
        <v/>
      </c>
      <c r="B4234" s="233" t="inlineStr">
        <is>
          <t>701001</t>
        </is>
      </c>
      <c r="C4234" s="227" t="inlineStr">
        <is>
          <t>Ventes de produits finis</t>
        </is>
      </c>
      <c r="D4234" s="233" t="inlineStr">
        <is>
          <t>01</t>
        </is>
      </c>
      <c r="E4234" s="233" t="inlineStr">
        <is>
          <t>02</t>
        </is>
      </c>
      <c r="F4234" s="227" t="inlineStr">
        <is>
          <t>LYSE</t>
        </is>
      </c>
    </row>
    <row r="4235">
      <c r="A4235" s="227">
        <f>TL[[#This Row],[Société]]&amp;" - "&amp;TL[[#This Row],[Compte]]</f>
        <v/>
      </c>
      <c r="B4235" s="233" t="inlineStr">
        <is>
          <t>701002</t>
        </is>
      </c>
      <c r="C4235" s="227" t="inlineStr">
        <is>
          <t>Ventes a 5.5%</t>
        </is>
      </c>
      <c r="D4235" s="233" t="inlineStr">
        <is>
          <t>01</t>
        </is>
      </c>
      <c r="E4235" s="233" t="inlineStr">
        <is>
          <t>02</t>
        </is>
      </c>
      <c r="F4235" s="227" t="inlineStr">
        <is>
          <t>LYSE</t>
        </is>
      </c>
    </row>
    <row r="4236">
      <c r="A4236" s="227">
        <f>TL[[#This Row],[Société]]&amp;" - "&amp;TL[[#This Row],[Compte]]</f>
        <v/>
      </c>
      <c r="B4236" s="233" t="inlineStr">
        <is>
          <t>701003</t>
        </is>
      </c>
      <c r="C4236" s="227" t="inlineStr">
        <is>
          <t>Ventes à 7 %</t>
        </is>
      </c>
      <c r="D4236" s="233" t="inlineStr">
        <is>
          <t>01</t>
        </is>
      </c>
      <c r="E4236" s="233" t="inlineStr">
        <is>
          <t>01</t>
        </is>
      </c>
      <c r="F4236" s="227" t="inlineStr">
        <is>
          <t>LYSE</t>
        </is>
      </c>
    </row>
    <row r="4237">
      <c r="A4237" s="227">
        <f>TL[[#This Row],[Société]]&amp;" - "&amp;TL[[#This Row],[Compte]]</f>
        <v/>
      </c>
      <c r="B4237" s="233" t="inlineStr">
        <is>
          <t>701004</t>
        </is>
      </c>
      <c r="C4237" s="227" t="inlineStr">
        <is>
          <t>Ventes a 19.6%</t>
        </is>
      </c>
      <c r="D4237" s="233" t="inlineStr">
        <is>
          <t>01</t>
        </is>
      </c>
      <c r="E4237" s="233" t="inlineStr">
        <is>
          <t>01</t>
        </is>
      </c>
      <c r="F4237" s="227" t="inlineStr">
        <is>
          <t>LYSE</t>
        </is>
      </c>
    </row>
    <row r="4238">
      <c r="A4238" s="227">
        <f>TL[[#This Row],[Société]]&amp;" - "&amp;TL[[#This Row],[Compte]]</f>
        <v/>
      </c>
      <c r="B4238" s="233" t="inlineStr">
        <is>
          <t>701005</t>
        </is>
      </c>
      <c r="C4238" s="227" t="inlineStr">
        <is>
          <t>Ventes à 10%</t>
        </is>
      </c>
      <c r="D4238" s="233" t="inlineStr">
        <is>
          <t>01</t>
        </is>
      </c>
      <c r="E4238" s="233" t="inlineStr">
        <is>
          <t>02</t>
        </is>
      </c>
      <c r="F4238" s="227" t="inlineStr">
        <is>
          <t>LYSE</t>
        </is>
      </c>
    </row>
    <row r="4239">
      <c r="A4239" s="227">
        <f>TL[[#This Row],[Société]]&amp;" - "&amp;TL[[#This Row],[Compte]]</f>
        <v/>
      </c>
      <c r="B4239" s="233" t="inlineStr">
        <is>
          <t>701006</t>
        </is>
      </c>
      <c r="C4239" s="227" t="inlineStr">
        <is>
          <t>Ventes à 20%</t>
        </is>
      </c>
      <c r="D4239" s="233" t="inlineStr">
        <is>
          <t>01</t>
        </is>
      </c>
      <c r="E4239" s="233" t="inlineStr">
        <is>
          <t>02</t>
        </is>
      </c>
      <c r="F4239" s="227" t="inlineStr">
        <is>
          <t>LYSE</t>
        </is>
      </c>
    </row>
    <row r="4240">
      <c r="A4240" s="227">
        <f>TL[[#This Row],[Société]]&amp;" - "&amp;TL[[#This Row],[Compte]]</f>
        <v/>
      </c>
      <c r="B4240" s="233" t="inlineStr">
        <is>
          <t>701010</t>
        </is>
      </c>
      <c r="C4240" s="227" t="inlineStr">
        <is>
          <t>Vente 01/07</t>
        </is>
      </c>
      <c r="F4240" s="227" t="inlineStr">
        <is>
          <t>LYSE</t>
        </is>
      </c>
    </row>
    <row r="4241">
      <c r="A4241" s="227">
        <f>TL[[#This Row],[Société]]&amp;" - "&amp;TL[[#This Row],[Compte]]</f>
        <v/>
      </c>
      <c r="B4241" s="233" t="inlineStr">
        <is>
          <t>701011</t>
        </is>
      </c>
      <c r="C4241" s="227" t="inlineStr">
        <is>
          <t>VENTES 07/06/2019</t>
        </is>
      </c>
      <c r="F4241" s="227" t="inlineStr">
        <is>
          <t>LYSE</t>
        </is>
      </c>
    </row>
    <row r="4242">
      <c r="A4242" s="227">
        <f>TL[[#This Row],[Société]]&amp;" - "&amp;TL[[#This Row],[Compte]]</f>
        <v/>
      </c>
      <c r="B4242" s="233" t="inlineStr">
        <is>
          <t>701020</t>
        </is>
      </c>
      <c r="C4242" s="227" t="inlineStr">
        <is>
          <t>Vente 01/07</t>
        </is>
      </c>
      <c r="F4242" s="227" t="inlineStr">
        <is>
          <t>LYSE</t>
        </is>
      </c>
    </row>
    <row r="4243">
      <c r="A4243" s="227">
        <f>TL[[#This Row],[Société]]&amp;" - "&amp;TL[[#This Row],[Compte]]</f>
        <v/>
      </c>
      <c r="B4243" s="233" t="inlineStr">
        <is>
          <t>701100</t>
        </is>
      </c>
      <c r="C4243" s="227" t="inlineStr">
        <is>
          <t>VENTES 07/06/2019</t>
        </is>
      </c>
      <c r="F4243" s="227" t="inlineStr">
        <is>
          <t>LYSE</t>
        </is>
      </c>
    </row>
    <row r="4244">
      <c r="A4244" s="227">
        <f>TL[[#This Row],[Société]]&amp;" - "&amp;TL[[#This Row],[Compte]]</f>
        <v/>
      </c>
      <c r="B4244" s="233" t="inlineStr">
        <is>
          <t>701220</t>
        </is>
      </c>
      <c r="C4244" s="227" t="inlineStr">
        <is>
          <t>VENTES 07/06/2019</t>
        </is>
      </c>
      <c r="F4244" s="227" t="inlineStr">
        <is>
          <t>LYSE</t>
        </is>
      </c>
    </row>
    <row r="4245">
      <c r="A4245" s="227">
        <f>TL[[#This Row],[Société]]&amp;" - "&amp;TL[[#This Row],[Compte]]</f>
        <v/>
      </c>
      <c r="B4245" s="233" t="inlineStr">
        <is>
          <t>702300</t>
        </is>
      </c>
      <c r="C4245" s="227" t="inlineStr">
        <is>
          <t>Ventes de produits interm</t>
        </is>
      </c>
      <c r="D4245" s="233" t="inlineStr">
        <is>
          <t>60</t>
        </is>
      </c>
      <c r="E4245" s="233" t="inlineStr">
        <is>
          <t>50</t>
        </is>
      </c>
      <c r="F4245" s="227" t="inlineStr">
        <is>
          <t>LYSE</t>
        </is>
      </c>
    </row>
    <row r="4246">
      <c r="A4246" s="227">
        <f>TL[[#This Row],[Société]]&amp;" - "&amp;TL[[#This Row],[Compte]]</f>
        <v/>
      </c>
      <c r="B4246" s="233" t="inlineStr">
        <is>
          <t>706005</t>
        </is>
      </c>
      <c r="C4246" s="227" t="inlineStr">
        <is>
          <t>transport uber</t>
        </is>
      </c>
      <c r="D4246" s="233" t="inlineStr">
        <is>
          <t>39</t>
        </is>
      </c>
      <c r="E4246" s="233" t="inlineStr">
        <is>
          <t>40</t>
        </is>
      </c>
      <c r="F4246" s="227" t="inlineStr">
        <is>
          <t>LYSE</t>
        </is>
      </c>
    </row>
    <row r="4247">
      <c r="A4247" s="227">
        <f>TL[[#This Row],[Société]]&amp;" - "&amp;TL[[#This Row],[Compte]]</f>
        <v/>
      </c>
      <c r="B4247" s="233" t="inlineStr">
        <is>
          <t>708000</t>
        </is>
      </c>
      <c r="C4247" s="227" t="inlineStr">
        <is>
          <t>Remise lr service</t>
        </is>
      </c>
      <c r="D4247" s="233" t="inlineStr">
        <is>
          <t>06</t>
        </is>
      </c>
      <c r="E4247" s="233" t="inlineStr">
        <is>
          <t>03</t>
        </is>
      </c>
      <c r="F4247" s="227" t="inlineStr">
        <is>
          <t>LYSE</t>
        </is>
      </c>
    </row>
    <row r="4248">
      <c r="A4248" s="227">
        <f>TL[[#This Row],[Société]]&amp;" - "&amp;TL[[#This Row],[Compte]]</f>
        <v/>
      </c>
      <c r="B4248" s="233" t="inlineStr">
        <is>
          <t>708100</t>
        </is>
      </c>
      <c r="C4248" s="227" t="inlineStr">
        <is>
          <t>Pret de personnel equip</t>
        </is>
      </c>
      <c r="D4248" s="233" t="inlineStr">
        <is>
          <t>10</t>
        </is>
      </c>
      <c r="E4248" s="233" t="inlineStr">
        <is>
          <t>13</t>
        </is>
      </c>
      <c r="F4248" s="227" t="inlineStr">
        <is>
          <t>LYSE</t>
        </is>
      </c>
    </row>
    <row r="4249">
      <c r="A4249" s="227">
        <f>TL[[#This Row],[Société]]&amp;" - "&amp;TL[[#This Row],[Compte]]</f>
        <v/>
      </c>
      <c r="B4249" s="233" t="inlineStr">
        <is>
          <t>708101</t>
        </is>
      </c>
      <c r="C4249" s="227" t="inlineStr">
        <is>
          <t>Pret de personnel equipiers</t>
        </is>
      </c>
      <c r="D4249" s="233" t="inlineStr">
        <is>
          <t>10</t>
        </is>
      </c>
      <c r="E4249" s="233" t="inlineStr">
        <is>
          <t>13</t>
        </is>
      </c>
      <c r="F4249" s="227" t="inlineStr">
        <is>
          <t>LYSE</t>
        </is>
      </c>
    </row>
    <row r="4250">
      <c r="A4250" s="227">
        <f>TL[[#This Row],[Société]]&amp;" - "&amp;TL[[#This Row],[Compte]]</f>
        <v/>
      </c>
      <c r="B4250" s="233" t="inlineStr">
        <is>
          <t>708104</t>
        </is>
      </c>
      <c r="C4250" s="227" t="inlineStr">
        <is>
          <t>Prêt de personnel managers</t>
        </is>
      </c>
      <c r="D4250" s="233" t="inlineStr">
        <is>
          <t>11</t>
        </is>
      </c>
      <c r="E4250" s="233" t="inlineStr">
        <is>
          <t>10</t>
        </is>
      </c>
      <c r="F4250" s="227" t="inlineStr">
        <is>
          <t>LYSE</t>
        </is>
      </c>
    </row>
    <row r="4251">
      <c r="A4251" s="227">
        <f>TL[[#This Row],[Société]]&amp;" - "&amp;TL[[#This Row],[Compte]]</f>
        <v/>
      </c>
      <c r="B4251" s="233" t="inlineStr">
        <is>
          <t>708200</t>
        </is>
      </c>
      <c r="C4251" s="227" t="inlineStr">
        <is>
          <t>Refacturation nourriture</t>
        </is>
      </c>
      <c r="D4251" s="233" t="inlineStr">
        <is>
          <t>06</t>
        </is>
      </c>
      <c r="E4251" s="233" t="inlineStr">
        <is>
          <t>03</t>
        </is>
      </c>
      <c r="F4251" s="227" t="inlineStr">
        <is>
          <t>LYSE</t>
        </is>
      </c>
    </row>
    <row r="4252">
      <c r="A4252" s="227">
        <f>TL[[#This Row],[Société]]&amp;" - "&amp;TL[[#This Row],[Compte]]</f>
        <v/>
      </c>
      <c r="B4252" s="233" t="inlineStr">
        <is>
          <t>708300</t>
        </is>
      </c>
      <c r="C4252" s="227" t="inlineStr">
        <is>
          <t>Refacturation papier</t>
        </is>
      </c>
      <c r="D4252" s="233" t="inlineStr">
        <is>
          <t>03</t>
        </is>
      </c>
      <c r="E4252" s="233" t="inlineStr">
        <is>
          <t>06</t>
        </is>
      </c>
      <c r="F4252" s="227" t="inlineStr">
        <is>
          <t>LYSE</t>
        </is>
      </c>
    </row>
    <row r="4253">
      <c r="A4253" s="227">
        <f>TL[[#This Row],[Société]]&amp;" - "&amp;TL[[#This Row],[Compte]]</f>
        <v/>
      </c>
      <c r="B4253" s="233" t="inlineStr">
        <is>
          <t>708400</t>
        </is>
      </c>
      <c r="C4253" s="227" t="inlineStr">
        <is>
          <t>Refacturation fourn exploitation</t>
        </is>
      </c>
      <c r="D4253" s="233" t="inlineStr">
        <is>
          <t>18</t>
        </is>
      </c>
      <c r="E4253" s="233" t="inlineStr">
        <is>
          <t>25</t>
        </is>
      </c>
      <c r="F4253" s="227" t="inlineStr">
        <is>
          <t>LYSE</t>
        </is>
      </c>
    </row>
    <row r="4254">
      <c r="A4254" s="227">
        <f>TL[[#This Row],[Société]]&amp;" - "&amp;TL[[#This Row],[Compte]]</f>
        <v/>
      </c>
      <c r="B4254" s="233" t="inlineStr">
        <is>
          <t>708600</t>
        </is>
      </c>
      <c r="C4254" s="227" t="inlineStr">
        <is>
          <t>Refacturation pub gie</t>
        </is>
      </c>
      <c r="D4254" s="233" t="inlineStr">
        <is>
          <t>99</t>
        </is>
      </c>
      <c r="E4254" s="233" t="inlineStr">
        <is>
          <t>22</t>
        </is>
      </c>
      <c r="F4254" s="227" t="inlineStr">
        <is>
          <t>LYSE</t>
        </is>
      </c>
    </row>
    <row r="4255">
      <c r="A4255" s="227">
        <f>TL[[#This Row],[Société]]&amp;" - "&amp;TL[[#This Row],[Compte]]</f>
        <v/>
      </c>
      <c r="B4255" s="233" t="inlineStr">
        <is>
          <t>708700</t>
        </is>
      </c>
      <c r="C4255" s="227" t="inlineStr">
        <is>
          <t>Refacturation cadeaux et promo</t>
        </is>
      </c>
      <c r="D4255" s="233" t="inlineStr">
        <is>
          <t>15</t>
        </is>
      </c>
      <c r="E4255" s="233" t="inlineStr">
        <is>
          <t>23</t>
        </is>
      </c>
      <c r="F4255" s="227" t="inlineStr">
        <is>
          <t>LYSE</t>
        </is>
      </c>
    </row>
    <row r="4256">
      <c r="A4256" s="227">
        <f>TL[[#This Row],[Société]]&amp;" - "&amp;TL[[#This Row],[Compte]]</f>
        <v/>
      </c>
      <c r="B4256" s="233" t="inlineStr">
        <is>
          <t>708710</t>
        </is>
      </c>
      <c r="C4256" s="227" t="inlineStr">
        <is>
          <t>Refacturation happy meal</t>
        </is>
      </c>
      <c r="D4256" s="233" t="inlineStr">
        <is>
          <t>62</t>
        </is>
      </c>
      <c r="E4256" s="233" t="inlineStr">
        <is>
          <t>41</t>
        </is>
      </c>
      <c r="F4256" s="227" t="inlineStr">
        <is>
          <t>LYSE</t>
        </is>
      </c>
    </row>
    <row r="4257">
      <c r="A4257" s="227">
        <f>TL[[#This Row],[Société]]&amp;" - "&amp;TL[[#This Row],[Compte]]</f>
        <v/>
      </c>
      <c r="B4257" s="233" t="inlineStr">
        <is>
          <t>708800</t>
        </is>
      </c>
      <c r="C4257" s="227" t="inlineStr">
        <is>
          <t>Refac huiles usagees</t>
        </is>
      </c>
      <c r="D4257" s="233" t="inlineStr">
        <is>
          <t>06</t>
        </is>
      </c>
      <c r="E4257" s="233" t="inlineStr">
        <is>
          <t>19</t>
        </is>
      </c>
      <c r="F4257" s="227" t="inlineStr">
        <is>
          <t>LYSE</t>
        </is>
      </c>
    </row>
    <row r="4258">
      <c r="A4258" s="227">
        <f>TL[[#This Row],[Société]]&amp;" - "&amp;TL[[#This Row],[Compte]]</f>
        <v/>
      </c>
      <c r="B4258" s="233" t="inlineStr">
        <is>
          <t>708810</t>
        </is>
      </c>
      <c r="C4258" s="227" t="inlineStr">
        <is>
          <t>Refacturation formations mgrs</t>
        </is>
      </c>
      <c r="D4258" s="233" t="inlineStr">
        <is>
          <t>11</t>
        </is>
      </c>
      <c r="E4258" s="233" t="inlineStr">
        <is>
          <t>10</t>
        </is>
      </c>
      <c r="F4258" s="227" t="inlineStr">
        <is>
          <t>LYSE</t>
        </is>
      </c>
    </row>
    <row r="4259">
      <c r="A4259" s="227">
        <f>TL[[#This Row],[Société]]&amp;" - "&amp;TL[[#This Row],[Compte]]</f>
        <v/>
      </c>
      <c r="B4259" s="233" t="inlineStr">
        <is>
          <t>708811</t>
        </is>
      </c>
      <c r="C4259" s="227" t="inlineStr">
        <is>
          <t>Refact formation équipiers</t>
        </is>
      </c>
      <c r="D4259" s="233" t="inlineStr">
        <is>
          <t>10</t>
        </is>
      </c>
      <c r="E4259" s="233" t="inlineStr">
        <is>
          <t>08</t>
        </is>
      </c>
      <c r="F4259" s="227" t="inlineStr">
        <is>
          <t>LYSE</t>
        </is>
      </c>
    </row>
    <row r="4260">
      <c r="A4260" s="227">
        <f>TL[[#This Row],[Société]]&amp;" - "&amp;TL[[#This Row],[Compte]]</f>
        <v/>
      </c>
      <c r="B4260" s="233" t="inlineStr">
        <is>
          <t>708812</t>
        </is>
      </c>
      <c r="C4260" s="227" t="inlineStr">
        <is>
          <t>Refacturation location véhicule</t>
        </is>
      </c>
      <c r="D4260" s="233" t="inlineStr">
        <is>
          <t>16</t>
        </is>
      </c>
      <c r="E4260" s="233" t="inlineStr">
        <is>
          <t>19</t>
        </is>
      </c>
      <c r="F4260" s="227" t="inlineStr">
        <is>
          <t>LYSE</t>
        </is>
      </c>
    </row>
    <row r="4261">
      <c r="A4261" s="227">
        <f>TL[[#This Row],[Société]]&amp;" - "&amp;TL[[#This Row],[Compte]]</f>
        <v/>
      </c>
      <c r="B4261" s="233" t="inlineStr">
        <is>
          <t>708813</t>
        </is>
      </c>
      <c r="C4261" s="227" t="inlineStr">
        <is>
          <t>Refacturation soiree -repas</t>
        </is>
      </c>
      <c r="D4261" s="233" t="inlineStr">
        <is>
          <t>13</t>
        </is>
      </c>
      <c r="E4261" s="233" t="inlineStr">
        <is>
          <t>26</t>
        </is>
      </c>
      <c r="F4261" s="227" t="inlineStr">
        <is>
          <t>LYSE</t>
        </is>
      </c>
    </row>
    <row r="4262">
      <c r="A4262" s="227">
        <f>TL[[#This Row],[Société]]&amp;" - "&amp;TL[[#This Row],[Compte]]</f>
        <v/>
      </c>
      <c r="B4262" s="233" t="inlineStr">
        <is>
          <t>726100</t>
        </is>
      </c>
      <c r="C4262" s="227" t="inlineStr">
        <is>
          <t>AN nourriture équipiers</t>
        </is>
      </c>
      <c r="D4262" s="233" t="inlineStr">
        <is>
          <t>10</t>
        </is>
      </c>
      <c r="E4262" s="233" t="inlineStr">
        <is>
          <t>08</t>
        </is>
      </c>
      <c r="F4262" s="227" t="inlineStr">
        <is>
          <t>LYSE</t>
        </is>
      </c>
    </row>
    <row r="4263">
      <c r="A4263" s="227">
        <f>TL[[#This Row],[Société]]&amp;" - "&amp;TL[[#This Row],[Compte]]</f>
        <v/>
      </c>
      <c r="B4263" s="233" t="inlineStr">
        <is>
          <t>726110</t>
        </is>
      </c>
      <c r="C4263" s="227" t="inlineStr">
        <is>
          <t>AN nourriture Managers</t>
        </is>
      </c>
      <c r="D4263" s="233" t="inlineStr">
        <is>
          <t>11</t>
        </is>
      </c>
      <c r="E4263" s="233" t="inlineStr">
        <is>
          <t>10</t>
        </is>
      </c>
      <c r="F4263" s="227" t="inlineStr">
        <is>
          <t>LYSE</t>
        </is>
      </c>
    </row>
    <row r="4264">
      <c r="A4264" s="227">
        <f>TL[[#This Row],[Société]]&amp;" - "&amp;TL[[#This Row],[Compte]]</f>
        <v/>
      </c>
      <c r="B4264" s="233" t="inlineStr">
        <is>
          <t>740100</t>
        </is>
      </c>
      <c r="C4264" s="227" t="inlineStr">
        <is>
          <t>Subventions d'exploitat.</t>
        </is>
      </c>
      <c r="D4264" s="233" t="inlineStr">
        <is>
          <t>39</t>
        </is>
      </c>
      <c r="E4264" s="233" t="inlineStr">
        <is>
          <t>09</t>
        </is>
      </c>
      <c r="F4264" s="227" t="inlineStr">
        <is>
          <t>LYSE</t>
        </is>
      </c>
    </row>
    <row r="4265">
      <c r="A4265" s="227">
        <f>TL[[#This Row],[Société]]&amp;" - "&amp;TL[[#This Row],[Compte]]</f>
        <v/>
      </c>
      <c r="B4265" s="233" t="inlineStr">
        <is>
          <t>740200</t>
        </is>
      </c>
      <c r="C4265" s="227" t="inlineStr">
        <is>
          <t>Subvention full image</t>
        </is>
      </c>
      <c r="D4265" s="236" t="inlineStr">
        <is>
          <t>10</t>
        </is>
      </c>
      <c r="E4265" s="233" t="inlineStr">
        <is>
          <t>45</t>
        </is>
      </c>
      <c r="F4265" s="227" t="inlineStr">
        <is>
          <t>LYSE</t>
        </is>
      </c>
    </row>
    <row r="4266">
      <c r="A4266" s="227">
        <f>TL[[#This Row],[Société]]&amp;" - "&amp;TL[[#This Row],[Compte]]</f>
        <v/>
      </c>
      <c r="B4266" s="233" t="inlineStr">
        <is>
          <t>740300</t>
        </is>
      </c>
      <c r="C4266" s="227" t="inlineStr">
        <is>
          <t>Subventions COVID</t>
        </is>
      </c>
      <c r="D4266" s="233" t="inlineStr">
        <is>
          <t>39</t>
        </is>
      </c>
      <c r="E4266" s="233" t="inlineStr">
        <is>
          <t>45</t>
        </is>
      </c>
      <c r="F4266" s="227" t="inlineStr">
        <is>
          <t>LYSE</t>
        </is>
      </c>
    </row>
    <row r="4267">
      <c r="A4267" s="227">
        <f>TL[[#This Row],[Société]]&amp;" - "&amp;TL[[#This Row],[Compte]]</f>
        <v/>
      </c>
      <c r="B4267" s="233" t="inlineStr">
        <is>
          <t>758000</t>
        </is>
      </c>
      <c r="C4267" s="227" t="inlineStr">
        <is>
          <t>Prod.divers de gest.cour.</t>
        </is>
      </c>
      <c r="D4267" s="233" t="inlineStr">
        <is>
          <t>39</t>
        </is>
      </c>
      <c r="E4267" s="233" t="inlineStr">
        <is>
          <t>27</t>
        </is>
      </c>
      <c r="F4267" s="227" t="inlineStr">
        <is>
          <t>LYSE</t>
        </is>
      </c>
    </row>
    <row r="4268">
      <c r="A4268" s="227">
        <f>TL[[#This Row],[Société]]&amp;" - "&amp;TL[[#This Row],[Compte]]</f>
        <v/>
      </c>
      <c r="B4268" s="233" t="inlineStr">
        <is>
          <t>763800</t>
        </is>
      </c>
      <c r="C4268" s="227" t="inlineStr">
        <is>
          <t>Revenus des autres créances</t>
        </is>
      </c>
      <c r="D4268" s="233" t="inlineStr">
        <is>
          <t>38</t>
        </is>
      </c>
      <c r="E4268" s="233" t="inlineStr">
        <is>
          <t>42</t>
        </is>
      </c>
      <c r="F4268" s="227" t="inlineStr">
        <is>
          <t>LYSE</t>
        </is>
      </c>
    </row>
    <row r="4269">
      <c r="A4269" s="227">
        <f>TL[[#This Row],[Société]]&amp;" - "&amp;TL[[#This Row],[Compte]]</f>
        <v/>
      </c>
      <c r="B4269" s="233" t="inlineStr">
        <is>
          <t>764000</t>
        </is>
      </c>
      <c r="C4269" s="227" t="inlineStr">
        <is>
          <t>Revenus des placements</t>
        </is>
      </c>
      <c r="D4269" s="233" t="inlineStr">
        <is>
          <t>99</t>
        </is>
      </c>
      <c r="E4269" s="233" t="inlineStr">
        <is>
          <t>42</t>
        </is>
      </c>
      <c r="F4269" s="227" t="inlineStr">
        <is>
          <t>LYSE</t>
        </is>
      </c>
    </row>
    <row r="4270">
      <c r="A4270" s="227">
        <f>TL[[#This Row],[Société]]&amp;" - "&amp;TL[[#This Row],[Compte]]</f>
        <v/>
      </c>
      <c r="B4270" s="233" t="inlineStr">
        <is>
          <t>764100</t>
        </is>
      </c>
      <c r="C4270" s="227" t="inlineStr">
        <is>
          <t>Coupons</t>
        </is>
      </c>
      <c r="D4270" s="233" t="inlineStr">
        <is>
          <t>99</t>
        </is>
      </c>
      <c r="E4270" s="233" t="inlineStr">
        <is>
          <t>42</t>
        </is>
      </c>
      <c r="F4270" s="227" t="inlineStr">
        <is>
          <t>LYSE</t>
        </is>
      </c>
    </row>
    <row r="4271">
      <c r="A4271" s="227">
        <f>TL[[#This Row],[Société]]&amp;" - "&amp;TL[[#This Row],[Compte]]</f>
        <v/>
      </c>
      <c r="B4271" s="233" t="inlineStr">
        <is>
          <t>766000</t>
        </is>
      </c>
      <c r="C4271" s="227" t="inlineStr">
        <is>
          <t>Ne pas utiliser</t>
        </is>
      </c>
      <c r="D4271" s="233" t="inlineStr">
        <is>
          <t>99</t>
        </is>
      </c>
      <c r="F4271" s="227" t="inlineStr">
        <is>
          <t>LYSE</t>
        </is>
      </c>
    </row>
    <row r="4272">
      <c r="A4272" s="227">
        <f>TL[[#This Row],[Société]]&amp;" - "&amp;TL[[#This Row],[Compte]]</f>
        <v/>
      </c>
      <c r="B4272" s="233" t="inlineStr">
        <is>
          <t>767000</t>
        </is>
      </c>
      <c r="C4272" s="227" t="inlineStr">
        <is>
          <t>Revenus du dépôt à terme</t>
        </is>
      </c>
      <c r="D4272" s="233" t="inlineStr">
        <is>
          <t>38</t>
        </is>
      </c>
      <c r="E4272" s="233" t="inlineStr">
        <is>
          <t>42</t>
        </is>
      </c>
      <c r="F4272" s="227" t="inlineStr">
        <is>
          <t>LYSE</t>
        </is>
      </c>
    </row>
    <row r="4273">
      <c r="A4273" s="227">
        <f>TL[[#This Row],[Société]]&amp;" - "&amp;TL[[#This Row],[Compte]]</f>
        <v/>
      </c>
      <c r="B4273" s="233" t="inlineStr">
        <is>
          <t>767100</t>
        </is>
      </c>
      <c r="C4273" s="227" t="inlineStr">
        <is>
          <t>Prdts nets sur cession vmp</t>
        </is>
      </c>
      <c r="D4273" s="233" t="inlineStr">
        <is>
          <t>99</t>
        </is>
      </c>
      <c r="E4273" s="233" t="inlineStr">
        <is>
          <t>42</t>
        </is>
      </c>
      <c r="F4273" s="227" t="inlineStr">
        <is>
          <t>LYSE</t>
        </is>
      </c>
    </row>
    <row r="4274">
      <c r="A4274" s="227">
        <f>TL[[#This Row],[Société]]&amp;" - "&amp;TL[[#This Row],[Compte]]</f>
        <v/>
      </c>
      <c r="B4274" s="233" t="inlineStr">
        <is>
          <t>768100</t>
        </is>
      </c>
      <c r="C4274" s="227" t="inlineStr">
        <is>
          <t>Produits s/placemt cpte à terme</t>
        </is>
      </c>
      <c r="D4274" s="233" t="inlineStr">
        <is>
          <t>37</t>
        </is>
      </c>
      <c r="E4274" s="233" t="inlineStr">
        <is>
          <t>42</t>
        </is>
      </c>
      <c r="F4274" s="227" t="inlineStr">
        <is>
          <t>LYSE</t>
        </is>
      </c>
    </row>
    <row r="4275">
      <c r="A4275" s="227">
        <f>TL[[#This Row],[Société]]&amp;" - "&amp;TL[[#This Row],[Compte]]</f>
        <v/>
      </c>
      <c r="B4275" s="233" t="inlineStr">
        <is>
          <t>768800</t>
        </is>
      </c>
      <c r="C4275" s="227" t="inlineStr">
        <is>
          <t>Ne pas utiliser</t>
        </is>
      </c>
      <c r="D4275" s="233" t="inlineStr">
        <is>
          <t>99</t>
        </is>
      </c>
      <c r="F4275" s="227" t="inlineStr">
        <is>
          <t>LYSE</t>
        </is>
      </c>
    </row>
    <row r="4276">
      <c r="A4276" s="227">
        <f>TL[[#This Row],[Société]]&amp;" - "&amp;TL[[#This Row],[Compte]]</f>
        <v/>
      </c>
      <c r="B4276" s="233" t="inlineStr">
        <is>
          <t>771100</t>
        </is>
      </c>
      <c r="C4276" s="227" t="inlineStr">
        <is>
          <t>Ecarts caisse</t>
        </is>
      </c>
      <c r="D4276" s="233" t="inlineStr">
        <is>
          <t>22</t>
        </is>
      </c>
      <c r="E4276" s="233" t="inlineStr">
        <is>
          <t>27</t>
        </is>
      </c>
      <c r="F4276" s="227" t="inlineStr">
        <is>
          <t>LYSE</t>
        </is>
      </c>
    </row>
    <row r="4277">
      <c r="A4277" s="227">
        <f>TL[[#This Row],[Société]]&amp;" - "&amp;TL[[#This Row],[Compte]]</f>
        <v/>
      </c>
      <c r="B4277" s="233" t="inlineStr">
        <is>
          <t>771800</t>
        </is>
      </c>
      <c r="C4277" s="227" t="inlineStr">
        <is>
          <t>Prdts excep.s/oper.gest</t>
        </is>
      </c>
      <c r="D4277" s="233" t="inlineStr">
        <is>
          <t>39</t>
        </is>
      </c>
      <c r="E4277" s="233" t="inlineStr">
        <is>
          <t>45</t>
        </is>
      </c>
      <c r="F4277" s="227" t="inlineStr">
        <is>
          <t>LYSE</t>
        </is>
      </c>
    </row>
    <row r="4278">
      <c r="A4278" s="227">
        <f>TL[[#This Row],[Société]]&amp;" - "&amp;TL[[#This Row],[Compte]]</f>
        <v/>
      </c>
      <c r="B4278" s="233" t="inlineStr">
        <is>
          <t>772000</t>
        </is>
      </c>
      <c r="C4278" s="227" t="inlineStr">
        <is>
          <t>Produits s/ex. antérieurs</t>
        </is>
      </c>
      <c r="D4278" s="233" t="inlineStr">
        <is>
          <t>39</t>
        </is>
      </c>
      <c r="E4278" s="233" t="inlineStr">
        <is>
          <t>45</t>
        </is>
      </c>
      <c r="F4278" s="227" t="inlineStr">
        <is>
          <t>LYSE</t>
        </is>
      </c>
    </row>
    <row r="4279">
      <c r="A4279" s="227">
        <f>TL[[#This Row],[Société]]&amp;" - "&amp;TL[[#This Row],[Compte]]</f>
        <v/>
      </c>
      <c r="B4279" s="233" t="inlineStr">
        <is>
          <t>775200</t>
        </is>
      </c>
      <c r="C4279" s="227" t="inlineStr">
        <is>
          <t>Produits cessions éléments d'actif</t>
        </is>
      </c>
      <c r="F4279" s="227" t="inlineStr">
        <is>
          <t>LYSE</t>
        </is>
      </c>
    </row>
    <row r="4280">
      <c r="A4280" s="227">
        <f>TL[[#This Row],[Société]]&amp;" - "&amp;TL[[#This Row],[Compte]]</f>
        <v/>
      </c>
      <c r="B4280" s="233" t="inlineStr">
        <is>
          <t>781110</t>
        </is>
      </c>
      <c r="C4280" s="227" t="inlineStr">
        <is>
          <t>Repris.s/amort. immob. incorporelle</t>
        </is>
      </c>
      <c r="D4280" s="233" t="inlineStr">
        <is>
          <t>36</t>
        </is>
      </c>
      <c r="E4280" s="233" t="inlineStr">
        <is>
          <t>38</t>
        </is>
      </c>
      <c r="F4280" s="227" t="inlineStr">
        <is>
          <t>LYSE</t>
        </is>
      </c>
    </row>
    <row r="4281">
      <c r="A4281" s="227">
        <f>TL[[#This Row],[Société]]&amp;" - "&amp;TL[[#This Row],[Compte]]</f>
        <v/>
      </c>
      <c r="B4281" s="233" t="inlineStr">
        <is>
          <t>781120</t>
        </is>
      </c>
      <c r="C4281" s="227" t="inlineStr">
        <is>
          <t>Repris.s/amort. immob. corporelle</t>
        </is>
      </c>
      <c r="D4281" s="233" t="inlineStr">
        <is>
          <t>36</t>
        </is>
      </c>
      <c r="E4281" s="233" t="inlineStr">
        <is>
          <t>38</t>
        </is>
      </c>
      <c r="F4281" s="227" t="inlineStr">
        <is>
          <t>LYSE</t>
        </is>
      </c>
    </row>
    <row r="4282">
      <c r="A4282" s="227">
        <f>TL[[#This Row],[Société]]&amp;" - "&amp;TL[[#This Row],[Compte]]</f>
        <v/>
      </c>
      <c r="B4282" s="233" t="inlineStr">
        <is>
          <t>781500</t>
        </is>
      </c>
      <c r="C4282" s="227" t="inlineStr">
        <is>
          <t>Rep prov risques&amp;charges</t>
        </is>
      </c>
      <c r="D4282" s="233" t="inlineStr">
        <is>
          <t>99</t>
        </is>
      </c>
      <c r="E4282" s="233" t="inlineStr">
        <is>
          <t>38</t>
        </is>
      </c>
      <c r="F4282" s="227" t="inlineStr">
        <is>
          <t>LYSE</t>
        </is>
      </c>
    </row>
    <row r="4283">
      <c r="A4283" s="227">
        <f>TL[[#This Row],[Société]]&amp;" - "&amp;TL[[#This Row],[Compte]]</f>
        <v/>
      </c>
      <c r="B4283" s="233" t="inlineStr">
        <is>
          <t>786650</t>
        </is>
      </c>
      <c r="C4283" s="227" t="inlineStr">
        <is>
          <t>Rep prov elemt financiers</t>
        </is>
      </c>
      <c r="D4283" s="233" t="inlineStr">
        <is>
          <t>99</t>
        </is>
      </c>
      <c r="E4283" s="233" t="inlineStr">
        <is>
          <t>38</t>
        </is>
      </c>
      <c r="F4283" s="227" t="inlineStr">
        <is>
          <t>LYSE</t>
        </is>
      </c>
    </row>
    <row r="4284">
      <c r="A4284" s="227">
        <f>TL[[#This Row],[Société]]&amp;" - "&amp;TL[[#This Row],[Compte]]</f>
        <v/>
      </c>
      <c r="B4284" s="233" t="inlineStr">
        <is>
          <t>787110</t>
        </is>
      </c>
      <c r="C4284" s="227" t="inlineStr">
        <is>
          <t>Repris.s/amort.immob.incorpo (exce)</t>
        </is>
      </c>
      <c r="F4284" s="227" t="inlineStr">
        <is>
          <t>LYSE</t>
        </is>
      </c>
    </row>
    <row r="4285">
      <c r="A4285" s="227">
        <f>TL[[#This Row],[Société]]&amp;" - "&amp;TL[[#This Row],[Compte]]</f>
        <v/>
      </c>
      <c r="B4285" s="233" t="inlineStr">
        <is>
          <t>787120</t>
        </is>
      </c>
      <c r="C4285" s="227" t="inlineStr">
        <is>
          <t>Repris.s/amort.immob.corpor. (exce)</t>
        </is>
      </c>
      <c r="F4285" s="227" t="inlineStr">
        <is>
          <t>LYSE</t>
        </is>
      </c>
    </row>
    <row r="4286">
      <c r="A4286" s="227">
        <f>TL[[#This Row],[Société]]&amp;" - "&amp;TL[[#This Row],[Compte]]</f>
        <v/>
      </c>
      <c r="B4286" s="233" t="inlineStr">
        <is>
          <t>787250</t>
        </is>
      </c>
      <c r="C4286" s="227" t="inlineStr">
        <is>
          <t>Reprises amortissements dérogatoire</t>
        </is>
      </c>
      <c r="D4286" s="233" t="inlineStr">
        <is>
          <t>36</t>
        </is>
      </c>
      <c r="E4286" s="233" t="inlineStr">
        <is>
          <t>38</t>
        </is>
      </c>
      <c r="F4286" s="227" t="inlineStr">
        <is>
          <t>LYSE</t>
        </is>
      </c>
    </row>
    <row r="4287">
      <c r="A4287" s="227">
        <f>TL[[#This Row],[Société]]&amp;" - "&amp;TL[[#This Row],[Compte]]</f>
        <v/>
      </c>
      <c r="B4287" s="233" t="inlineStr">
        <is>
          <t>791000</t>
        </is>
      </c>
      <c r="C4287" s="227" t="inlineStr">
        <is>
          <t>Transfert charges</t>
        </is>
      </c>
      <c r="D4287" s="233" t="inlineStr">
        <is>
          <t>39</t>
        </is>
      </c>
      <c r="E4287" s="233" t="inlineStr">
        <is>
          <t>40</t>
        </is>
      </c>
      <c r="F4287" s="227" t="inlineStr">
        <is>
          <t>LYSE</t>
        </is>
      </c>
    </row>
    <row r="4288">
      <c r="A4288" s="227">
        <f>TL[[#This Row],[Société]]&amp;" - "&amp;TL[[#This Row],[Compte]]</f>
        <v/>
      </c>
      <c r="B4288" s="233" t="inlineStr">
        <is>
          <t>791100</t>
        </is>
      </c>
      <c r="C4288" s="227" t="inlineStr">
        <is>
          <t>Avantages nature mgr</t>
        </is>
      </c>
      <c r="D4288" s="233" t="inlineStr">
        <is>
          <t>11</t>
        </is>
      </c>
      <c r="E4288" s="233" t="inlineStr">
        <is>
          <t>10</t>
        </is>
      </c>
      <c r="F4288" s="227" t="inlineStr">
        <is>
          <t>LYSE</t>
        </is>
      </c>
    </row>
    <row r="4289">
      <c r="A4289" s="227">
        <f>TL[[#This Row],[Société]]&amp;" - "&amp;TL[[#This Row],[Compte]]</f>
        <v/>
      </c>
      <c r="B4289" s="233" t="inlineStr">
        <is>
          <t>791101</t>
        </is>
      </c>
      <c r="C4289" s="227" t="inlineStr">
        <is>
          <t>Avantages en nat.equipiers</t>
        </is>
      </c>
      <c r="D4289" s="233" t="inlineStr">
        <is>
          <t>10</t>
        </is>
      </c>
      <c r="E4289" s="233" t="inlineStr">
        <is>
          <t>08</t>
        </is>
      </c>
      <c r="F4289" s="227" t="inlineStr">
        <is>
          <t>LYSE</t>
        </is>
      </c>
    </row>
    <row r="4290">
      <c r="A4290" s="227">
        <f>TL[[#This Row],[Société]]&amp;" - "&amp;TL[[#This Row],[Compte]]</f>
        <v/>
      </c>
      <c r="B4290" s="233" t="inlineStr">
        <is>
          <t>791104</t>
        </is>
      </c>
      <c r="C4290" s="227" t="inlineStr">
        <is>
          <t>Avantages en nature managers</t>
        </is>
      </c>
      <c r="D4290" s="233" t="inlineStr">
        <is>
          <t>11</t>
        </is>
      </c>
      <c r="E4290" s="233" t="inlineStr">
        <is>
          <t>10</t>
        </is>
      </c>
      <c r="F4290" s="227" t="inlineStr">
        <is>
          <t>LYSE</t>
        </is>
      </c>
    </row>
    <row r="4291">
      <c r="A4291" s="227">
        <f>TL[[#This Row],[Société]]&amp;" - "&amp;TL[[#This Row],[Compte]]</f>
        <v/>
      </c>
      <c r="B4291" s="233" t="inlineStr">
        <is>
          <t>791110</t>
        </is>
      </c>
      <c r="C4291" s="227" t="inlineStr">
        <is>
          <t>Avantages nature equipiers</t>
        </is>
      </c>
      <c r="D4291" s="233" t="inlineStr">
        <is>
          <t>10</t>
        </is>
      </c>
      <c r="E4291" s="233" t="inlineStr">
        <is>
          <t>08</t>
        </is>
      </c>
      <c r="F4291" s="227" t="inlineStr">
        <is>
          <t>LYSE</t>
        </is>
      </c>
    </row>
    <row r="4292">
      <c r="A4292" s="227">
        <f>TL[[#This Row],[Société]]&amp;" - "&amp;TL[[#This Row],[Compte]]</f>
        <v/>
      </c>
      <c r="B4292" s="233" t="inlineStr">
        <is>
          <t>791120</t>
        </is>
      </c>
      <c r="C4292" s="227" t="inlineStr">
        <is>
          <t>Trans chrg. d'exp.</t>
        </is>
      </c>
      <c r="F4292" s="227" t="inlineStr">
        <is>
          <t>LYSE</t>
        </is>
      </c>
    </row>
    <row r="4293">
      <c r="A4293" s="227">
        <f>TL[[#This Row],[Société]]&amp;" - "&amp;TL[[#This Row],[Compte]]</f>
        <v/>
      </c>
      <c r="B4293" s="233" t="inlineStr">
        <is>
          <t>791200</t>
        </is>
      </c>
      <c r="C4293" s="227" t="inlineStr">
        <is>
          <t>Transfert charges ac tva</t>
        </is>
      </c>
      <c r="D4293" s="233" t="inlineStr">
        <is>
          <t>99</t>
        </is>
      </c>
      <c r="E4293" s="233" t="inlineStr">
        <is>
          <t>40</t>
        </is>
      </c>
      <c r="F4293" s="227" t="inlineStr">
        <is>
          <t>LYSE</t>
        </is>
      </c>
    </row>
    <row r="4294">
      <c r="A4294" s="227">
        <f>TL[[#This Row],[Société]]&amp;" - "&amp;TL[[#This Row],[Compte]]</f>
        <v/>
      </c>
      <c r="B4294" s="233" t="inlineStr">
        <is>
          <t>791210</t>
        </is>
      </c>
      <c r="C4294" s="227" t="inlineStr">
        <is>
          <t>Transfert charges ss tva</t>
        </is>
      </c>
      <c r="F4294" s="227" t="inlineStr">
        <is>
          <t>LYSE</t>
        </is>
      </c>
    </row>
    <row r="4295">
      <c r="A4295" s="227">
        <f>TL[[#This Row],[Société]]&amp;" - "&amp;TL[[#This Row],[Compte]]</f>
        <v/>
      </c>
      <c r="B4295" s="233" t="inlineStr">
        <is>
          <t>797000</t>
        </is>
      </c>
      <c r="C4295" s="227" t="inlineStr">
        <is>
          <t>Transfert de ch.except.</t>
        </is>
      </c>
      <c r="F4295" s="227" t="inlineStr">
        <is>
          <t>LYSE</t>
        </is>
      </c>
    </row>
    <row r="4296">
      <c r="A4296" s="227">
        <f>TL[[#This Row],[Société]]&amp;" - "&amp;TL[[#This Row],[Compte]]</f>
        <v/>
      </c>
      <c r="B4296" s="233" t="inlineStr">
        <is>
          <t>890000</t>
        </is>
      </c>
      <c r="C4296" s="227" t="inlineStr">
        <is>
          <t>Compte de bilan</t>
        </is>
      </c>
      <c r="F4296" s="227" t="inlineStr">
        <is>
          <t>LYSE</t>
        </is>
      </c>
    </row>
    <row r="4297">
      <c r="A4297" s="227">
        <f>TL[[#This Row],[Société]]&amp;" - "&amp;TL[[#This Row],[Compte]]</f>
        <v/>
      </c>
      <c r="B4297" s="233" t="inlineStr">
        <is>
          <t>101300</t>
        </is>
      </c>
      <c r="C4297" s="227" t="inlineStr">
        <is>
          <t>Capital souscrit-appelé, versé</t>
        </is>
      </c>
      <c r="F4297" s="227" t="inlineStr">
        <is>
          <t>HART</t>
        </is>
      </c>
    </row>
    <row r="4298">
      <c r="A4298" s="227">
        <f>TL[[#This Row],[Société]]&amp;" - "&amp;TL[[#This Row],[Compte]]</f>
        <v/>
      </c>
      <c r="B4298" s="233" t="inlineStr">
        <is>
          <t>106100</t>
        </is>
      </c>
      <c r="C4298" s="227" t="inlineStr">
        <is>
          <t>Réserve légale</t>
        </is>
      </c>
      <c r="F4298" s="227" t="inlineStr">
        <is>
          <t>HART</t>
        </is>
      </c>
    </row>
    <row r="4299">
      <c r="A4299" s="227">
        <f>TL[[#This Row],[Société]]&amp;" - "&amp;TL[[#This Row],[Compte]]</f>
        <v/>
      </c>
      <c r="B4299" s="233" t="inlineStr">
        <is>
          <t>106300</t>
        </is>
      </c>
      <c r="C4299" s="227" t="inlineStr">
        <is>
          <t>Réserves statutaires ou contract.</t>
        </is>
      </c>
      <c r="F4299" s="227" t="inlineStr">
        <is>
          <t>HART</t>
        </is>
      </c>
    </row>
    <row r="4300">
      <c r="A4300" s="227">
        <f>TL[[#This Row],[Société]]&amp;" - "&amp;TL[[#This Row],[Compte]]</f>
        <v/>
      </c>
      <c r="B4300" s="233" t="inlineStr">
        <is>
          <t>106800</t>
        </is>
      </c>
      <c r="C4300" s="227" t="inlineStr">
        <is>
          <t>Autres réserves</t>
        </is>
      </c>
      <c r="F4300" s="227" t="inlineStr">
        <is>
          <t>HART</t>
        </is>
      </c>
    </row>
    <row r="4301">
      <c r="A4301" s="227">
        <f>TL[[#This Row],[Société]]&amp;" - "&amp;TL[[#This Row],[Compte]]</f>
        <v/>
      </c>
      <c r="B4301" s="233" t="inlineStr">
        <is>
          <t>120000</t>
        </is>
      </c>
      <c r="C4301" s="227" t="inlineStr">
        <is>
          <t>Bénéfice</t>
        </is>
      </c>
      <c r="F4301" s="227" t="inlineStr">
        <is>
          <t>HART</t>
        </is>
      </c>
    </row>
    <row r="4302">
      <c r="A4302" s="227">
        <f>TL[[#This Row],[Société]]&amp;" - "&amp;TL[[#This Row],[Compte]]</f>
        <v/>
      </c>
      <c r="B4302" s="233" t="inlineStr">
        <is>
          <t>129000</t>
        </is>
      </c>
      <c r="C4302" s="227" t="inlineStr">
        <is>
          <t>Perte</t>
        </is>
      </c>
      <c r="F4302" s="227" t="inlineStr">
        <is>
          <t>HART</t>
        </is>
      </c>
    </row>
    <row r="4303">
      <c r="A4303" s="227">
        <f>TL[[#This Row],[Société]]&amp;" - "&amp;TL[[#This Row],[Compte]]</f>
        <v/>
      </c>
      <c r="B4303" s="233" t="inlineStr">
        <is>
          <t>145000</t>
        </is>
      </c>
      <c r="C4303" s="227" t="inlineStr">
        <is>
          <t>Cree par cegid</t>
        </is>
      </c>
      <c r="F4303" s="227" t="inlineStr">
        <is>
          <t>HART</t>
        </is>
      </c>
    </row>
    <row r="4304">
      <c r="A4304" s="227">
        <f>TL[[#This Row],[Société]]&amp;" - "&amp;TL[[#This Row],[Compte]]</f>
        <v/>
      </c>
      <c r="B4304" s="233" t="inlineStr">
        <is>
          <t>158000</t>
        </is>
      </c>
      <c r="C4304" s="227" t="inlineStr">
        <is>
          <t>Autres provisions pour charges</t>
        </is>
      </c>
      <c r="F4304" s="227" t="inlineStr">
        <is>
          <t>HART</t>
        </is>
      </c>
    </row>
    <row r="4305">
      <c r="A4305" s="227">
        <f>TL[[#This Row],[Société]]&amp;" - "&amp;TL[[#This Row],[Compte]]</f>
        <v/>
      </c>
      <c r="B4305" s="233" t="inlineStr">
        <is>
          <t>164100</t>
        </is>
      </c>
      <c r="C4305" s="227" t="inlineStr">
        <is>
          <t>Emprunt SG 720 K€</t>
        </is>
      </c>
      <c r="F4305" s="227" t="inlineStr">
        <is>
          <t>HART</t>
        </is>
      </c>
    </row>
    <row r="4306">
      <c r="A4306" s="227">
        <f>TL[[#This Row],[Société]]&amp;" - "&amp;TL[[#This Row],[Compte]]</f>
        <v/>
      </c>
      <c r="B4306" s="233" t="inlineStr">
        <is>
          <t>168840</t>
        </is>
      </c>
      <c r="C4306" s="227" t="inlineStr">
        <is>
          <t>Intérets courus sur emprunt</t>
        </is>
      </c>
      <c r="F4306" s="227" t="inlineStr">
        <is>
          <t>HART</t>
        </is>
      </c>
    </row>
    <row r="4307">
      <c r="A4307" s="227">
        <f>TL[[#This Row],[Société]]&amp;" - "&amp;TL[[#This Row],[Compte]]</f>
        <v/>
      </c>
      <c r="B4307" s="233" t="inlineStr">
        <is>
          <t>205000</t>
        </is>
      </c>
      <c r="C4307" s="227" t="inlineStr">
        <is>
          <t>Concessions brevets licence</t>
        </is>
      </c>
      <c r="F4307" s="227" t="inlineStr">
        <is>
          <t>HART</t>
        </is>
      </c>
    </row>
    <row r="4308">
      <c r="A4308" s="227">
        <f>TL[[#This Row],[Société]]&amp;" - "&amp;TL[[#This Row],[Compte]]</f>
        <v/>
      </c>
      <c r="B4308" s="233" t="inlineStr">
        <is>
          <t>215400</t>
        </is>
      </c>
      <c r="C4308" s="227" t="inlineStr">
        <is>
          <t>Materiel industriel</t>
        </is>
      </c>
      <c r="F4308" s="227" t="inlineStr">
        <is>
          <t>HART</t>
        </is>
      </c>
    </row>
    <row r="4309">
      <c r="A4309" s="227">
        <f>TL[[#This Row],[Société]]&amp;" - "&amp;TL[[#This Row],[Compte]]</f>
        <v/>
      </c>
      <c r="B4309" s="233" t="inlineStr">
        <is>
          <t>218100</t>
        </is>
      </c>
      <c r="C4309" s="227" t="inlineStr">
        <is>
          <t>Instal.gales, agenct, aménagt.div.</t>
        </is>
      </c>
      <c r="F4309" s="227" t="inlineStr">
        <is>
          <t>HART</t>
        </is>
      </c>
    </row>
    <row r="4310">
      <c r="A4310" s="227">
        <f>TL[[#This Row],[Société]]&amp;" - "&amp;TL[[#This Row],[Compte]]</f>
        <v/>
      </c>
      <c r="B4310" s="233" t="inlineStr">
        <is>
          <t>218300</t>
        </is>
      </c>
      <c r="C4310" s="227" t="inlineStr">
        <is>
          <t>Mat.de bureau et informatiq</t>
        </is>
      </c>
      <c r="F4310" s="227" t="inlineStr">
        <is>
          <t>HART</t>
        </is>
      </c>
    </row>
    <row r="4311">
      <c r="A4311" s="227">
        <f>TL[[#This Row],[Société]]&amp;" - "&amp;TL[[#This Row],[Compte]]</f>
        <v/>
      </c>
      <c r="B4311" s="233" t="inlineStr">
        <is>
          <t>218400</t>
        </is>
      </c>
      <c r="C4311" s="227" t="inlineStr">
        <is>
          <t>Mobilier</t>
        </is>
      </c>
      <c r="F4311" s="227" t="inlineStr">
        <is>
          <t>HART</t>
        </is>
      </c>
    </row>
    <row r="4312">
      <c r="A4312" s="227">
        <f>TL[[#This Row],[Société]]&amp;" - "&amp;TL[[#This Row],[Compte]]</f>
        <v/>
      </c>
      <c r="B4312" s="233" t="inlineStr">
        <is>
          <t>275000</t>
        </is>
      </c>
      <c r="C4312" s="227" t="inlineStr">
        <is>
          <t>Dépôts et cautionnements</t>
        </is>
      </c>
      <c r="F4312" s="227" t="inlineStr">
        <is>
          <t>HART</t>
        </is>
      </c>
    </row>
    <row r="4313">
      <c r="A4313" s="227">
        <f>TL[[#This Row],[Société]]&amp;" - "&amp;TL[[#This Row],[Compte]]</f>
        <v/>
      </c>
      <c r="B4313" s="233" t="inlineStr">
        <is>
          <t>280500</t>
        </is>
      </c>
      <c r="C4313" s="227" t="inlineStr">
        <is>
          <t>Amort.concessions, brevets</t>
        </is>
      </c>
      <c r="F4313" s="227" t="inlineStr">
        <is>
          <t>HART</t>
        </is>
      </c>
    </row>
    <row r="4314">
      <c r="A4314" s="227">
        <f>TL[[#This Row],[Société]]&amp;" - "&amp;TL[[#This Row],[Compte]]</f>
        <v/>
      </c>
      <c r="B4314" s="233" t="inlineStr">
        <is>
          <t>281540</t>
        </is>
      </c>
      <c r="C4314" s="227" t="inlineStr">
        <is>
          <t>Amort.materiel industriel</t>
        </is>
      </c>
      <c r="F4314" s="227" t="inlineStr">
        <is>
          <t>HART</t>
        </is>
      </c>
    </row>
    <row r="4315">
      <c r="A4315" s="227">
        <f>TL[[#This Row],[Société]]&amp;" - "&amp;TL[[#This Row],[Compte]]</f>
        <v/>
      </c>
      <c r="B4315" s="233" t="inlineStr">
        <is>
          <t>281810</t>
        </is>
      </c>
      <c r="C4315" s="227" t="inlineStr">
        <is>
          <t>Amort.aai divers</t>
        </is>
      </c>
      <c r="F4315" s="227" t="inlineStr">
        <is>
          <t>HART</t>
        </is>
      </c>
    </row>
    <row r="4316">
      <c r="A4316" s="227">
        <f>TL[[#This Row],[Société]]&amp;" - "&amp;TL[[#This Row],[Compte]]</f>
        <v/>
      </c>
      <c r="B4316" s="233" t="inlineStr">
        <is>
          <t>281830</t>
        </is>
      </c>
      <c r="C4316" s="227" t="inlineStr">
        <is>
          <t>Amort.mat.bureau et inform.</t>
        </is>
      </c>
      <c r="F4316" s="227" t="inlineStr">
        <is>
          <t>HART</t>
        </is>
      </c>
    </row>
    <row r="4317">
      <c r="A4317" s="227">
        <f>TL[[#This Row],[Société]]&amp;" - "&amp;TL[[#This Row],[Compte]]</f>
        <v/>
      </c>
      <c r="B4317" s="233" t="inlineStr">
        <is>
          <t>281840</t>
        </is>
      </c>
      <c r="C4317" s="227" t="inlineStr">
        <is>
          <t>Amortissements mobilier</t>
        </is>
      </c>
      <c r="F4317" s="227" t="inlineStr">
        <is>
          <t>HART</t>
        </is>
      </c>
    </row>
    <row r="4318">
      <c r="A4318" s="227">
        <f>TL[[#This Row],[Société]]&amp;" - "&amp;TL[[#This Row],[Compte]]</f>
        <v/>
      </c>
      <c r="B4318" s="233" t="inlineStr">
        <is>
          <t>310000</t>
        </is>
      </c>
      <c r="C4318" s="227" t="inlineStr">
        <is>
          <t>Stocks food</t>
        </is>
      </c>
      <c r="F4318" s="227" t="inlineStr">
        <is>
          <t>HART</t>
        </is>
      </c>
    </row>
    <row r="4319">
      <c r="A4319" s="227">
        <f>TL[[#This Row],[Société]]&amp;" - "&amp;TL[[#This Row],[Compte]]</f>
        <v/>
      </c>
      <c r="B4319" s="233" t="inlineStr">
        <is>
          <t>320000</t>
        </is>
      </c>
      <c r="C4319" s="227" t="inlineStr">
        <is>
          <t>Stocks paper</t>
        </is>
      </c>
      <c r="F4319" s="227" t="inlineStr">
        <is>
          <t>HART</t>
        </is>
      </c>
    </row>
    <row r="4320">
      <c r="A4320" s="227">
        <f>TL[[#This Row],[Société]]&amp;" - "&amp;TL[[#This Row],[Compte]]</f>
        <v/>
      </c>
      <c r="B4320" s="233" t="inlineStr">
        <is>
          <t>321000</t>
        </is>
      </c>
      <c r="C4320" s="227" t="inlineStr">
        <is>
          <t>Stocks pdt non cost</t>
        </is>
      </c>
      <c r="F4320" s="227" t="inlineStr">
        <is>
          <t>HART</t>
        </is>
      </c>
    </row>
    <row r="4321">
      <c r="A4321" s="227">
        <f>TL[[#This Row],[Société]]&amp;" - "&amp;TL[[#This Row],[Compte]]</f>
        <v/>
      </c>
      <c r="B4321" s="233" t="inlineStr">
        <is>
          <t>323000</t>
        </is>
      </c>
      <c r="C4321" s="227" t="inlineStr">
        <is>
          <t>Stock fourniture</t>
        </is>
      </c>
      <c r="F4321" s="227" t="inlineStr">
        <is>
          <t>HART</t>
        </is>
      </c>
    </row>
    <row r="4322">
      <c r="A4322" s="227">
        <f>TL[[#This Row],[Société]]&amp;" - "&amp;TL[[#This Row],[Compte]]</f>
        <v/>
      </c>
      <c r="B4322" s="233" t="inlineStr">
        <is>
          <t>327000</t>
        </is>
      </c>
      <c r="C4322" s="227" t="inlineStr">
        <is>
          <t>Variation stock promo</t>
        </is>
      </c>
      <c r="F4322" s="227" t="inlineStr">
        <is>
          <t>HART</t>
        </is>
      </c>
    </row>
    <row r="4323">
      <c r="A4323" s="227">
        <f>TL[[#This Row],[Société]]&amp;" - "&amp;TL[[#This Row],[Compte]]</f>
        <v/>
      </c>
      <c r="B4323" s="233" t="inlineStr">
        <is>
          <t>401000</t>
        </is>
      </c>
      <c r="C4323" s="227" t="inlineStr">
        <is>
          <t>Fournisseurs</t>
        </is>
      </c>
      <c r="F4323" s="227" t="inlineStr">
        <is>
          <t>HART</t>
        </is>
      </c>
    </row>
    <row r="4324">
      <c r="A4324" s="227">
        <f>TL[[#This Row],[Société]]&amp;" - "&amp;TL[[#This Row],[Compte]]</f>
        <v/>
      </c>
      <c r="B4324" s="233" t="inlineStr">
        <is>
          <t>404000</t>
        </is>
      </c>
      <c r="C4324" s="227" t="inlineStr">
        <is>
          <t>Fournisseurs d'immo</t>
        </is>
      </c>
      <c r="F4324" s="227" t="inlineStr">
        <is>
          <t>HART</t>
        </is>
      </c>
    </row>
    <row r="4325">
      <c r="A4325" s="227">
        <f>TL[[#This Row],[Société]]&amp;" - "&amp;TL[[#This Row],[Compte]]</f>
        <v/>
      </c>
      <c r="B4325" s="233" t="inlineStr">
        <is>
          <t>408100</t>
        </is>
      </c>
      <c r="C4325" s="227" t="inlineStr">
        <is>
          <t>Fourniss.fact.non parvenues</t>
        </is>
      </c>
      <c r="F4325" s="227" t="inlineStr">
        <is>
          <t>HART</t>
        </is>
      </c>
    </row>
    <row r="4326">
      <c r="A4326" s="227">
        <f>TL[[#This Row],[Société]]&amp;" - "&amp;TL[[#This Row],[Compte]]</f>
        <v/>
      </c>
      <c r="B4326" s="233" t="inlineStr">
        <is>
          <t>409100</t>
        </is>
      </c>
      <c r="C4326" s="227" t="inlineStr">
        <is>
          <t>Fournisseurs - acomptes / acomptes</t>
        </is>
      </c>
      <c r="F4326" s="227" t="inlineStr">
        <is>
          <t>HART</t>
        </is>
      </c>
    </row>
    <row r="4327">
      <c r="A4327" s="227">
        <f>TL[[#This Row],[Société]]&amp;" - "&amp;TL[[#This Row],[Compte]]</f>
        <v/>
      </c>
      <c r="B4327" s="233" t="inlineStr">
        <is>
          <t>409600</t>
        </is>
      </c>
      <c r="C4327" s="227" t="inlineStr">
        <is>
          <t>Consignes emballages</t>
        </is>
      </c>
      <c r="F4327" s="227" t="inlineStr">
        <is>
          <t>HART</t>
        </is>
      </c>
    </row>
    <row r="4328">
      <c r="A4328" s="227">
        <f>TL[[#This Row],[Société]]&amp;" - "&amp;TL[[#This Row],[Compte]]</f>
        <v/>
      </c>
      <c r="B4328" s="233" t="inlineStr">
        <is>
          <t>409800</t>
        </is>
      </c>
      <c r="C4328" s="227" t="inlineStr">
        <is>
          <t>Rrr a obtenir  avr a recev.</t>
        </is>
      </c>
      <c r="F4328" s="227" t="inlineStr">
        <is>
          <t>HART</t>
        </is>
      </c>
    </row>
    <row r="4329">
      <c r="A4329" s="227">
        <f>TL[[#This Row],[Société]]&amp;" - "&amp;TL[[#This Row],[Compte]]</f>
        <v/>
      </c>
      <c r="B4329" s="233" t="inlineStr">
        <is>
          <t>411000</t>
        </is>
      </c>
      <c r="C4329" s="227" t="inlineStr">
        <is>
          <t>Clients</t>
        </is>
      </c>
      <c r="F4329" s="227" t="inlineStr">
        <is>
          <t>HART</t>
        </is>
      </c>
    </row>
    <row r="4330">
      <c r="A4330" s="227">
        <f>TL[[#This Row],[Société]]&amp;" - "&amp;TL[[#This Row],[Compte]]</f>
        <v/>
      </c>
      <c r="B4330" s="233" t="inlineStr">
        <is>
          <t>413000</t>
        </is>
      </c>
      <c r="C4330" s="227" t="inlineStr">
        <is>
          <t>Clients - effets à recevoir</t>
        </is>
      </c>
      <c r="F4330" s="227" t="inlineStr">
        <is>
          <t>HART</t>
        </is>
      </c>
    </row>
    <row r="4331">
      <c r="A4331" s="227">
        <f>TL[[#This Row],[Société]]&amp;" - "&amp;TL[[#This Row],[Compte]]</f>
        <v/>
      </c>
      <c r="B4331" s="233" t="inlineStr">
        <is>
          <t>418100</t>
        </is>
      </c>
      <c r="C4331" s="227" t="inlineStr">
        <is>
          <t>Clts factures a etablir</t>
        </is>
      </c>
      <c r="F4331" s="227" t="inlineStr">
        <is>
          <t>HART</t>
        </is>
      </c>
    </row>
    <row r="4332">
      <c r="A4332" s="227">
        <f>TL[[#This Row],[Société]]&amp;" - "&amp;TL[[#This Row],[Compte]]</f>
        <v/>
      </c>
      <c r="B4332" s="233" t="inlineStr">
        <is>
          <t>421000</t>
        </is>
      </c>
      <c r="C4332" s="227" t="inlineStr">
        <is>
          <t>Personnel - rémunérations dues</t>
        </is>
      </c>
      <c r="F4332" s="227" t="inlineStr">
        <is>
          <t>HART</t>
        </is>
      </c>
    </row>
    <row r="4333">
      <c r="A4333" s="227">
        <f>TL[[#This Row],[Société]]&amp;" - "&amp;TL[[#This Row],[Compte]]</f>
        <v/>
      </c>
      <c r="B4333" s="233" t="inlineStr">
        <is>
          <t>421100</t>
        </is>
      </c>
      <c r="C4333" s="227" t="inlineStr">
        <is>
          <t>Personnel - solde de tout compte</t>
        </is>
      </c>
      <c r="F4333" s="227" t="inlineStr">
        <is>
          <t>HART</t>
        </is>
      </c>
    </row>
    <row r="4334">
      <c r="A4334" s="227">
        <f>TL[[#This Row],[Société]]&amp;" - "&amp;TL[[#This Row],[Compte]]</f>
        <v/>
      </c>
      <c r="B4334" s="233" t="inlineStr">
        <is>
          <t>421200</t>
        </is>
      </c>
      <c r="C4334" s="227" t="inlineStr">
        <is>
          <t>Personnel - rémunérations dues</t>
        </is>
      </c>
      <c r="F4334" s="227" t="inlineStr">
        <is>
          <t>HART</t>
        </is>
      </c>
    </row>
    <row r="4335">
      <c r="A4335" s="227">
        <f>TL[[#This Row],[Société]]&amp;" - "&amp;TL[[#This Row],[Compte]]</f>
        <v/>
      </c>
      <c r="B4335" s="233" t="inlineStr">
        <is>
          <t>425000</t>
        </is>
      </c>
      <c r="C4335" s="227" t="inlineStr">
        <is>
          <t>Acomptes sur salaires</t>
        </is>
      </c>
      <c r="F4335" s="227" t="inlineStr">
        <is>
          <t>HART</t>
        </is>
      </c>
    </row>
    <row r="4336">
      <c r="A4336" s="227">
        <f>TL[[#This Row],[Société]]&amp;" - "&amp;TL[[#This Row],[Compte]]</f>
        <v/>
      </c>
      <c r="B4336" s="233" t="inlineStr">
        <is>
          <t>427000</t>
        </is>
      </c>
      <c r="C4336" s="227" t="inlineStr">
        <is>
          <t>Personnel - oppositions</t>
        </is>
      </c>
      <c r="F4336" s="227" t="inlineStr">
        <is>
          <t>HART</t>
        </is>
      </c>
    </row>
    <row r="4337">
      <c r="A4337" s="227">
        <f>TL[[#This Row],[Société]]&amp;" - "&amp;TL[[#This Row],[Compte]]</f>
        <v/>
      </c>
      <c r="B4337" s="233" t="inlineStr">
        <is>
          <t>428200</t>
        </is>
      </c>
      <c r="C4337" s="227" t="inlineStr">
        <is>
          <t>Dettes provis. pr congés à payer</t>
        </is>
      </c>
      <c r="F4337" s="227" t="inlineStr">
        <is>
          <t>HART</t>
        </is>
      </c>
    </row>
    <row r="4338">
      <c r="A4338" s="227">
        <f>TL[[#This Row],[Société]]&amp;" - "&amp;TL[[#This Row],[Compte]]</f>
        <v/>
      </c>
      <c r="B4338" s="233" t="inlineStr">
        <is>
          <t>428220</t>
        </is>
      </c>
      <c r="C4338" s="227" t="inlineStr">
        <is>
          <t>Prov c payes assistants</t>
        </is>
      </c>
      <c r="F4338" s="227" t="inlineStr">
        <is>
          <t>HART</t>
        </is>
      </c>
    </row>
    <row r="4339">
      <c r="A4339" s="227">
        <f>TL[[#This Row],[Société]]&amp;" - "&amp;TL[[#This Row],[Compte]]</f>
        <v/>
      </c>
      <c r="B4339" s="233" t="inlineStr">
        <is>
          <t>428230</t>
        </is>
      </c>
      <c r="C4339" s="227" t="inlineStr">
        <is>
          <t>Prov c payes equipiers</t>
        </is>
      </c>
      <c r="F4339" s="227" t="inlineStr">
        <is>
          <t>HART</t>
        </is>
      </c>
    </row>
    <row r="4340">
      <c r="A4340" s="227">
        <f>TL[[#This Row],[Société]]&amp;" - "&amp;TL[[#This Row],[Compte]]</f>
        <v/>
      </c>
      <c r="B4340" s="233" t="inlineStr">
        <is>
          <t>428300</t>
        </is>
      </c>
      <c r="C4340" s="227" t="inlineStr">
        <is>
          <t>Primes à payer</t>
        </is>
      </c>
      <c r="F4340" s="227" t="inlineStr">
        <is>
          <t>HART</t>
        </is>
      </c>
    </row>
    <row r="4341">
      <c r="A4341" s="227">
        <f>TL[[#This Row],[Société]]&amp;" - "&amp;TL[[#This Row],[Compte]]</f>
        <v/>
      </c>
      <c r="B4341" s="233" t="inlineStr">
        <is>
          <t>431000</t>
        </is>
      </c>
      <c r="C4341" s="227" t="inlineStr">
        <is>
          <t>Urssaf</t>
        </is>
      </c>
      <c r="F4341" s="227" t="inlineStr">
        <is>
          <t>HART</t>
        </is>
      </c>
    </row>
    <row r="4342">
      <c r="A4342" s="227">
        <f>TL[[#This Row],[Société]]&amp;" - "&amp;TL[[#This Row],[Compte]]</f>
        <v/>
      </c>
      <c r="B4342" s="233" t="inlineStr">
        <is>
          <t>437020</t>
        </is>
      </c>
      <c r="C4342" s="227" t="inlineStr">
        <is>
          <t>Klesia retraite prévoyance</t>
        </is>
      </c>
      <c r="F4342" s="227" t="inlineStr">
        <is>
          <t>HART</t>
        </is>
      </c>
    </row>
    <row r="4343">
      <c r="A4343" s="227">
        <f>TL[[#This Row],[Société]]&amp;" - "&amp;TL[[#This Row],[Compte]]</f>
        <v/>
      </c>
      <c r="B4343" s="233" t="inlineStr">
        <is>
          <t>437030</t>
        </is>
      </c>
      <c r="C4343" s="227" t="inlineStr">
        <is>
          <t>Klesia NPU</t>
        </is>
      </c>
      <c r="F4343" s="227" t="inlineStr">
        <is>
          <t>HART</t>
        </is>
      </c>
    </row>
    <row r="4344">
      <c r="A4344" s="227">
        <f>TL[[#This Row],[Société]]&amp;" - "&amp;TL[[#This Row],[Compte]]</f>
        <v/>
      </c>
      <c r="B4344" s="233" t="inlineStr">
        <is>
          <t>437080</t>
        </is>
      </c>
      <c r="C4344" s="227" t="inlineStr">
        <is>
          <t>Mutuelle</t>
        </is>
      </c>
      <c r="F4344" s="227" t="inlineStr">
        <is>
          <t>HART</t>
        </is>
      </c>
    </row>
    <row r="4345">
      <c r="A4345" s="227">
        <f>TL[[#This Row],[Société]]&amp;" - "&amp;TL[[#This Row],[Compte]]</f>
        <v/>
      </c>
      <c r="B4345" s="233" t="inlineStr">
        <is>
          <t>438000</t>
        </is>
      </c>
      <c r="C4345" s="227" t="inlineStr">
        <is>
          <t>Taxe app. vers. lib</t>
        </is>
      </c>
      <c r="F4345" s="227" t="inlineStr">
        <is>
          <t>HART</t>
        </is>
      </c>
    </row>
    <row r="4346">
      <c r="A4346" s="227">
        <f>TL[[#This Row],[Société]]&amp;" - "&amp;TL[[#This Row],[Compte]]</f>
        <v/>
      </c>
      <c r="B4346" s="233" t="inlineStr">
        <is>
          <t>438200</t>
        </is>
      </c>
      <c r="C4346" s="227" t="inlineStr">
        <is>
          <t>Charges sociales s/congés à payer</t>
        </is>
      </c>
      <c r="F4346" s="227" t="inlineStr">
        <is>
          <t>HART</t>
        </is>
      </c>
    </row>
    <row r="4347">
      <c r="A4347" s="227">
        <f>TL[[#This Row],[Société]]&amp;" - "&amp;TL[[#This Row],[Compte]]</f>
        <v/>
      </c>
      <c r="B4347" s="233" t="inlineStr">
        <is>
          <t>438300</t>
        </is>
      </c>
      <c r="C4347" s="227" t="inlineStr">
        <is>
          <t>Charges soc sur primes à payer</t>
        </is>
      </c>
      <c r="F4347" s="227" t="inlineStr">
        <is>
          <t>HART</t>
        </is>
      </c>
    </row>
    <row r="4348">
      <c r="A4348" s="227">
        <f>TL[[#This Row],[Société]]&amp;" - "&amp;TL[[#This Row],[Compte]]</f>
        <v/>
      </c>
      <c r="B4348" s="233" t="inlineStr">
        <is>
          <t>438600</t>
        </is>
      </c>
      <c r="C4348" s="227" t="inlineStr">
        <is>
          <t>Autr.charg.sociales a payer</t>
        </is>
      </c>
      <c r="F4348" s="227" t="inlineStr">
        <is>
          <t>HART</t>
        </is>
      </c>
    </row>
    <row r="4349">
      <c r="A4349" s="227">
        <f>TL[[#This Row],[Société]]&amp;" - "&amp;TL[[#This Row],[Compte]]</f>
        <v/>
      </c>
      <c r="B4349" s="233" t="inlineStr">
        <is>
          <t>442100</t>
        </is>
      </c>
      <c r="C4349" s="227" t="inlineStr">
        <is>
          <t>Prélèvements à la source (ir)</t>
        </is>
      </c>
      <c r="F4349" s="227" t="inlineStr">
        <is>
          <t>HART</t>
        </is>
      </c>
    </row>
    <row r="4350">
      <c r="A4350" s="227">
        <f>TL[[#This Row],[Société]]&amp;" - "&amp;TL[[#This Row],[Compte]]</f>
        <v/>
      </c>
      <c r="B4350" s="233" t="inlineStr">
        <is>
          <t>444000</t>
        </is>
      </c>
      <c r="C4350" s="227" t="inlineStr">
        <is>
          <t>Impots sur les benefices</t>
        </is>
      </c>
      <c r="F4350" s="227" t="inlineStr">
        <is>
          <t>HART</t>
        </is>
      </c>
    </row>
    <row r="4351">
      <c r="A4351" s="227">
        <f>TL[[#This Row],[Société]]&amp;" - "&amp;TL[[#This Row],[Compte]]</f>
        <v/>
      </c>
      <c r="B4351" s="233" t="inlineStr">
        <is>
          <t>445200</t>
        </is>
      </c>
      <c r="C4351" s="227" t="inlineStr">
        <is>
          <t>Tva due intracommunautaire</t>
        </is>
      </c>
      <c r="F4351" s="227" t="inlineStr">
        <is>
          <t>HART</t>
        </is>
      </c>
    </row>
    <row r="4352">
      <c r="A4352" s="227">
        <f>TL[[#This Row],[Société]]&amp;" - "&amp;TL[[#This Row],[Compte]]</f>
        <v/>
      </c>
      <c r="B4352" s="233" t="inlineStr">
        <is>
          <t>445500</t>
        </is>
      </c>
      <c r="C4352" s="227" t="inlineStr">
        <is>
          <t>Tva à décaisser</t>
        </is>
      </c>
      <c r="F4352" s="227" t="inlineStr">
        <is>
          <t>HART</t>
        </is>
      </c>
    </row>
    <row r="4353">
      <c r="A4353" s="227">
        <f>TL[[#This Row],[Société]]&amp;" - "&amp;TL[[#This Row],[Compte]]</f>
        <v/>
      </c>
      <c r="B4353" s="233" t="inlineStr">
        <is>
          <t>445620</t>
        </is>
      </c>
      <c r="C4353" s="227" t="inlineStr">
        <is>
          <t>Tva déductible s/immobilisations</t>
        </is>
      </c>
      <c r="F4353" s="227" t="inlineStr">
        <is>
          <t>HART</t>
        </is>
      </c>
    </row>
    <row r="4354">
      <c r="A4354" s="227">
        <f>TL[[#This Row],[Société]]&amp;" - "&amp;TL[[#This Row],[Compte]]</f>
        <v/>
      </c>
      <c r="B4354" s="233" t="inlineStr">
        <is>
          <t>445660</t>
        </is>
      </c>
      <c r="C4354" s="227" t="inlineStr">
        <is>
          <t>Tva déductible s/aut.biens et sces</t>
        </is>
      </c>
      <c r="F4354" s="227" t="inlineStr">
        <is>
          <t>HART</t>
        </is>
      </c>
    </row>
    <row r="4355">
      <c r="A4355" s="227">
        <f>TL[[#This Row],[Société]]&amp;" - "&amp;TL[[#This Row],[Compte]]</f>
        <v/>
      </c>
      <c r="B4355" s="233" t="inlineStr">
        <is>
          <t>445661</t>
        </is>
      </c>
      <c r="C4355" s="227" t="inlineStr">
        <is>
          <t>Tva s prest de services</t>
        </is>
      </c>
      <c r="F4355" s="227" t="inlineStr">
        <is>
          <t>HART</t>
        </is>
      </c>
    </row>
    <row r="4356">
      <c r="A4356" s="227">
        <f>TL[[#This Row],[Société]]&amp;" - "&amp;TL[[#This Row],[Compte]]</f>
        <v/>
      </c>
      <c r="B4356" s="233" t="inlineStr">
        <is>
          <t>445662</t>
        </is>
      </c>
      <c r="C4356" s="227" t="inlineStr">
        <is>
          <t>Tva ded. intracommunaut.</t>
        </is>
      </c>
      <c r="F4356" s="227" t="inlineStr">
        <is>
          <t>HART</t>
        </is>
      </c>
    </row>
    <row r="4357">
      <c r="A4357" s="227">
        <f>TL[[#This Row],[Société]]&amp;" - "&amp;TL[[#This Row],[Compte]]</f>
        <v/>
      </c>
      <c r="B4357" s="233" t="inlineStr">
        <is>
          <t>445670</t>
        </is>
      </c>
      <c r="C4357" s="227" t="inlineStr">
        <is>
          <t>Crédit de tva à reporter</t>
        </is>
      </c>
      <c r="F4357" s="227" t="inlineStr">
        <is>
          <t>HART</t>
        </is>
      </c>
    </row>
    <row r="4358">
      <c r="A4358" s="227">
        <f>TL[[#This Row],[Société]]&amp;" - "&amp;TL[[#This Row],[Compte]]</f>
        <v/>
      </c>
      <c r="B4358" s="233" t="inlineStr">
        <is>
          <t>445710</t>
        </is>
      </c>
      <c r="C4358" s="227" t="inlineStr">
        <is>
          <t>Tva collectee à 20%</t>
        </is>
      </c>
      <c r="F4358" s="227" t="inlineStr">
        <is>
          <t>HART</t>
        </is>
      </c>
    </row>
    <row r="4359">
      <c r="A4359" s="227">
        <f>TL[[#This Row],[Société]]&amp;" - "&amp;TL[[#This Row],[Compte]]</f>
        <v/>
      </c>
      <c r="B4359" s="233" t="inlineStr">
        <is>
          <t>445712</t>
        </is>
      </c>
      <c r="C4359" s="227" t="inlineStr">
        <is>
          <t>Tva intracommunaut.</t>
        </is>
      </c>
      <c r="F4359" s="227" t="inlineStr">
        <is>
          <t>HART</t>
        </is>
      </c>
    </row>
    <row r="4360">
      <c r="A4360" s="227">
        <f>TL[[#This Row],[Société]]&amp;" - "&amp;TL[[#This Row],[Compte]]</f>
        <v/>
      </c>
      <c r="B4360" s="233" t="inlineStr">
        <is>
          <t>445714</t>
        </is>
      </c>
      <c r="C4360" s="227" t="inlineStr">
        <is>
          <t>Tva collectee à 10%</t>
        </is>
      </c>
      <c r="F4360" s="227" t="inlineStr">
        <is>
          <t>HART</t>
        </is>
      </c>
    </row>
    <row r="4361">
      <c r="A4361" s="227">
        <f>TL[[#This Row],[Société]]&amp;" - "&amp;TL[[#This Row],[Compte]]</f>
        <v/>
      </c>
      <c r="B4361" s="233" t="inlineStr">
        <is>
          <t>445715</t>
        </is>
      </c>
      <c r="C4361" s="227" t="inlineStr">
        <is>
          <t>Tva collectee à 5.5%</t>
        </is>
      </c>
      <c r="F4361" s="227" t="inlineStr">
        <is>
          <t>HART</t>
        </is>
      </c>
    </row>
    <row r="4362">
      <c r="A4362" s="227">
        <f>TL[[#This Row],[Société]]&amp;" - "&amp;TL[[#This Row],[Compte]]</f>
        <v/>
      </c>
      <c r="B4362" s="233" t="inlineStr">
        <is>
          <t>445717</t>
        </is>
      </c>
      <c r="C4362" s="227" t="inlineStr">
        <is>
          <t>Tva lr service 20 %</t>
        </is>
      </c>
      <c r="F4362" s="227" t="inlineStr">
        <is>
          <t>HART</t>
        </is>
      </c>
    </row>
    <row r="4363">
      <c r="A4363" s="227">
        <f>TL[[#This Row],[Société]]&amp;" - "&amp;TL[[#This Row],[Compte]]</f>
        <v/>
      </c>
      <c r="B4363" s="233" t="inlineStr">
        <is>
          <t>445830</t>
        </is>
      </c>
      <c r="C4363" s="227" t="inlineStr">
        <is>
          <t>Remboursement de tva demandé</t>
        </is>
      </c>
      <c r="F4363" s="227" t="inlineStr">
        <is>
          <t>HART</t>
        </is>
      </c>
    </row>
    <row r="4364">
      <c r="A4364" s="227">
        <f>TL[[#This Row],[Société]]&amp;" - "&amp;TL[[#This Row],[Compte]]</f>
        <v/>
      </c>
      <c r="B4364" s="233" t="inlineStr">
        <is>
          <t>445860</t>
        </is>
      </c>
      <c r="C4364" s="227" t="inlineStr">
        <is>
          <t>Tca s/factures non parvenu.</t>
        </is>
      </c>
      <c r="F4364" s="227" t="inlineStr">
        <is>
          <t>HART</t>
        </is>
      </c>
    </row>
    <row r="4365">
      <c r="A4365" s="227">
        <f>TL[[#This Row],[Société]]&amp;" - "&amp;TL[[#This Row],[Compte]]</f>
        <v/>
      </c>
      <c r="B4365" s="233" t="inlineStr">
        <is>
          <t>445870</t>
        </is>
      </c>
      <c r="C4365" s="227" t="inlineStr">
        <is>
          <t>Tca/factures a etablir</t>
        </is>
      </c>
      <c r="F4365" s="227" t="inlineStr">
        <is>
          <t>HART</t>
        </is>
      </c>
    </row>
    <row r="4366">
      <c r="A4366" s="227">
        <f>TL[[#This Row],[Société]]&amp;" - "&amp;TL[[#This Row],[Compte]]</f>
        <v/>
      </c>
      <c r="B4366" s="233" t="inlineStr">
        <is>
          <t>448600</t>
        </is>
      </c>
      <c r="C4366" s="227" t="inlineStr">
        <is>
          <t>Autr.charg.fiscales a payer</t>
        </is>
      </c>
      <c r="F4366" s="227" t="inlineStr">
        <is>
          <t>HART</t>
        </is>
      </c>
    </row>
    <row r="4367">
      <c r="A4367" s="227">
        <f>TL[[#This Row],[Société]]&amp;" - "&amp;TL[[#This Row],[Compte]]</f>
        <v/>
      </c>
      <c r="B4367" s="233" t="inlineStr">
        <is>
          <t>448640</t>
        </is>
      </c>
      <c r="C4367" s="227" t="inlineStr">
        <is>
          <t>SALAIRES 11/2022</t>
        </is>
      </c>
      <c r="F4367" s="227" t="inlineStr">
        <is>
          <t>HART</t>
        </is>
      </c>
    </row>
    <row r="4368">
      <c r="A4368" s="227">
        <f>TL[[#This Row],[Société]]&amp;" - "&amp;TL[[#This Row],[Compte]]</f>
        <v/>
      </c>
      <c r="B4368" s="233" t="inlineStr">
        <is>
          <t>467000</t>
        </is>
      </c>
      <c r="C4368" s="227" t="inlineStr">
        <is>
          <t>Autres comptes débiteurs/créditeurs</t>
        </is>
      </c>
      <c r="F4368" s="227" t="inlineStr">
        <is>
          <t>HART</t>
        </is>
      </c>
    </row>
    <row r="4369">
      <c r="A4369" s="227">
        <f>TL[[#This Row],[Société]]&amp;" - "&amp;TL[[#This Row],[Compte]]</f>
        <v/>
      </c>
      <c r="B4369" s="233" t="inlineStr">
        <is>
          <t>467200</t>
        </is>
      </c>
      <c r="C4369" s="227" t="inlineStr">
        <is>
          <t>Trd</t>
        </is>
      </c>
      <c r="F4369" s="227" t="inlineStr">
        <is>
          <t>HART</t>
        </is>
      </c>
    </row>
    <row r="4370">
      <c r="A4370" s="227">
        <f>TL[[#This Row],[Société]]&amp;" - "&amp;TL[[#This Row],[Compte]]</f>
        <v/>
      </c>
      <c r="B4370" s="233" t="inlineStr">
        <is>
          <t>467220</t>
        </is>
      </c>
      <c r="C4370" s="227" t="inlineStr">
        <is>
          <t>Ecart cb</t>
        </is>
      </c>
      <c r="F4370" s="227" t="inlineStr">
        <is>
          <t>HART</t>
        </is>
      </c>
    </row>
    <row r="4371">
      <c r="A4371" s="227">
        <f>TL[[#This Row],[Société]]&amp;" - "&amp;TL[[#This Row],[Compte]]</f>
        <v/>
      </c>
      <c r="B4371" s="233" t="inlineStr">
        <is>
          <t>467230</t>
        </is>
      </c>
      <c r="C4371" s="227" t="inlineStr">
        <is>
          <t>Ecart s/ remise tr</t>
        </is>
      </c>
      <c r="F4371" s="227" t="inlineStr">
        <is>
          <t>HART</t>
        </is>
      </c>
    </row>
    <row r="4372">
      <c r="A4372" s="227">
        <f>TL[[#This Row],[Société]]&amp;" - "&amp;TL[[#This Row],[Compte]]</f>
        <v/>
      </c>
      <c r="B4372" s="233" t="inlineStr">
        <is>
          <t>467240</t>
        </is>
      </c>
      <c r="C4372" s="227" t="inlineStr">
        <is>
          <t>Ecart s/ remises especes</t>
        </is>
      </c>
      <c r="F4372" s="227" t="inlineStr">
        <is>
          <t>HART</t>
        </is>
      </c>
    </row>
    <row r="4373">
      <c r="A4373" s="227">
        <f>TL[[#This Row],[Société]]&amp;" - "&amp;TL[[#This Row],[Compte]]</f>
        <v/>
      </c>
      <c r="B4373" s="233" t="inlineStr">
        <is>
          <t>467250</t>
        </is>
      </c>
      <c r="C4373" s="227" t="inlineStr">
        <is>
          <t>Ecart s/remise cv</t>
        </is>
      </c>
      <c r="F4373" s="227" t="inlineStr">
        <is>
          <t>HART</t>
        </is>
      </c>
    </row>
    <row r="4374">
      <c r="A4374" s="227">
        <f>TL[[#This Row],[Société]]&amp;" - "&amp;TL[[#This Row],[Compte]]</f>
        <v/>
      </c>
      <c r="B4374" s="233" t="inlineStr">
        <is>
          <t>467444</t>
        </is>
      </c>
      <c r="C4374" s="227" t="inlineStr">
        <is>
          <t>Autres comptes débiteurs</t>
        </is>
      </c>
      <c r="F4374" s="227" t="inlineStr">
        <is>
          <t>HART</t>
        </is>
      </c>
    </row>
    <row r="4375">
      <c r="A4375" s="227">
        <f>TL[[#This Row],[Société]]&amp;" - "&amp;TL[[#This Row],[Compte]]</f>
        <v/>
      </c>
      <c r="B4375" s="233" t="inlineStr">
        <is>
          <t>467480</t>
        </is>
      </c>
      <c r="C4375" s="227" t="inlineStr">
        <is>
          <t>Turvilla</t>
        </is>
      </c>
      <c r="F4375" s="227" t="inlineStr">
        <is>
          <t>HART</t>
        </is>
      </c>
    </row>
    <row r="4376">
      <c r="A4376" s="227">
        <f>TL[[#This Row],[Société]]&amp;" - "&amp;TL[[#This Row],[Compte]]</f>
        <v/>
      </c>
      <c r="B4376" s="233" t="inlineStr">
        <is>
          <t>467490</t>
        </is>
      </c>
      <c r="C4376" s="227" t="inlineStr">
        <is>
          <t>VR7</t>
        </is>
      </c>
      <c r="F4376" s="227" t="inlineStr">
        <is>
          <t>HART</t>
        </is>
      </c>
    </row>
    <row r="4377">
      <c r="A4377" s="227">
        <f>TL[[#This Row],[Société]]&amp;" - "&amp;TL[[#This Row],[Compte]]</f>
        <v/>
      </c>
      <c r="B4377" s="233" t="inlineStr">
        <is>
          <t>467500</t>
        </is>
      </c>
      <c r="C4377" s="227" t="inlineStr">
        <is>
          <t>RTH 76</t>
        </is>
      </c>
      <c r="F4377" s="227" t="inlineStr">
        <is>
          <t>HART</t>
        </is>
      </c>
    </row>
    <row r="4378">
      <c r="A4378" s="227">
        <f>TL[[#This Row],[Société]]&amp;" - "&amp;TL[[#This Row],[Compte]]</f>
        <v/>
      </c>
      <c r="B4378" s="233" t="inlineStr">
        <is>
          <t>467555</t>
        </is>
      </c>
      <c r="C4378" s="227" t="inlineStr">
        <is>
          <t>Autres comptes créditeurs</t>
        </is>
      </c>
      <c r="F4378" s="227" t="inlineStr">
        <is>
          <t>HART</t>
        </is>
      </c>
    </row>
    <row r="4379">
      <c r="A4379" s="227">
        <f>TL[[#This Row],[Société]]&amp;" - "&amp;TL[[#This Row],[Compte]]</f>
        <v/>
      </c>
      <c r="B4379" s="233" t="inlineStr">
        <is>
          <t>467666</t>
        </is>
      </c>
      <c r="C4379" s="227" t="inlineStr">
        <is>
          <t>Autres comptes débiteurs/créditeurs</t>
        </is>
      </c>
      <c r="F4379" s="227" t="inlineStr">
        <is>
          <t>HART</t>
        </is>
      </c>
    </row>
    <row r="4380">
      <c r="A4380" s="227">
        <f>TL[[#This Row],[Société]]&amp;" - "&amp;TL[[#This Row],[Compte]]</f>
        <v/>
      </c>
      <c r="B4380" s="233" t="inlineStr">
        <is>
          <t>471000</t>
        </is>
      </c>
      <c r="C4380" s="227" t="inlineStr">
        <is>
          <t>Compte général d'attente</t>
        </is>
      </c>
      <c r="F4380" s="227" t="inlineStr">
        <is>
          <t>HART</t>
        </is>
      </c>
    </row>
    <row r="4381">
      <c r="A4381" s="227">
        <f>TL[[#This Row],[Société]]&amp;" - "&amp;TL[[#This Row],[Compte]]</f>
        <v/>
      </c>
      <c r="B4381" s="233" t="inlineStr">
        <is>
          <t>486000</t>
        </is>
      </c>
      <c r="C4381" s="227" t="inlineStr">
        <is>
          <t>Charges constatées d'avance</t>
        </is>
      </c>
      <c r="F4381" s="227" t="inlineStr">
        <is>
          <t>HART</t>
        </is>
      </c>
    </row>
    <row r="4382">
      <c r="A4382" s="227">
        <f>TL[[#This Row],[Société]]&amp;" - "&amp;TL[[#This Row],[Compte]]</f>
        <v/>
      </c>
      <c r="B4382" s="233" t="inlineStr">
        <is>
          <t>486001</t>
        </is>
      </c>
      <c r="C4382" s="227" t="inlineStr">
        <is>
          <t>Cca ami</t>
        </is>
      </c>
      <c r="F4382" s="227" t="inlineStr">
        <is>
          <t>HART</t>
        </is>
      </c>
    </row>
    <row r="4383">
      <c r="A4383" s="227">
        <f>TL[[#This Row],[Société]]&amp;" - "&amp;TL[[#This Row],[Compte]]</f>
        <v/>
      </c>
      <c r="B4383" s="233" t="inlineStr">
        <is>
          <t>486002</t>
        </is>
      </c>
      <c r="C4383" s="227" t="inlineStr">
        <is>
          <t>Cca gudalgil</t>
        </is>
      </c>
      <c r="F4383" s="227" t="inlineStr">
        <is>
          <t>HART</t>
        </is>
      </c>
    </row>
    <row r="4384">
      <c r="A4384" s="227">
        <f>TL[[#This Row],[Société]]&amp;" - "&amp;TL[[#This Row],[Compte]]</f>
        <v/>
      </c>
      <c r="B4384" s="233" t="inlineStr">
        <is>
          <t>486003</t>
        </is>
      </c>
      <c r="C4384" s="227" t="inlineStr">
        <is>
          <t>Cca interway</t>
        </is>
      </c>
      <c r="F4384" s="227" t="inlineStr">
        <is>
          <t>HART</t>
        </is>
      </c>
    </row>
    <row r="4385">
      <c r="A4385" s="227">
        <f>TL[[#This Row],[Société]]&amp;" - "&amp;TL[[#This Row],[Compte]]</f>
        <v/>
      </c>
      <c r="B4385" s="233" t="inlineStr">
        <is>
          <t>486004</t>
        </is>
      </c>
      <c r="C4385" s="227" t="inlineStr">
        <is>
          <t>Cca interway</t>
        </is>
      </c>
      <c r="F4385" s="227" t="inlineStr">
        <is>
          <t>HART</t>
        </is>
      </c>
    </row>
    <row r="4386">
      <c r="A4386" s="227">
        <f>TL[[#This Row],[Société]]&amp;" - "&amp;TL[[#This Row],[Compte]]</f>
        <v/>
      </c>
      <c r="B4386" s="233" t="inlineStr">
        <is>
          <t>486005</t>
        </is>
      </c>
      <c r="C4386" s="227" t="inlineStr">
        <is>
          <t>Cca interway</t>
        </is>
      </c>
      <c r="F4386" s="227" t="inlineStr">
        <is>
          <t>HART</t>
        </is>
      </c>
    </row>
    <row r="4387">
      <c r="A4387" s="227">
        <f>TL[[#This Row],[Société]]&amp;" - "&amp;TL[[#This Row],[Compte]]</f>
        <v/>
      </c>
      <c r="B4387" s="233" t="inlineStr">
        <is>
          <t>486006</t>
        </is>
      </c>
      <c r="C4387" s="227" t="inlineStr">
        <is>
          <t>Cca interway</t>
        </is>
      </c>
      <c r="F4387" s="227" t="inlineStr">
        <is>
          <t>HART</t>
        </is>
      </c>
    </row>
    <row r="4388">
      <c r="A4388" s="227">
        <f>TL[[#This Row],[Société]]&amp;" - "&amp;TL[[#This Row],[Compte]]</f>
        <v/>
      </c>
      <c r="B4388" s="233" t="inlineStr">
        <is>
          <t>486007</t>
        </is>
      </c>
      <c r="C4388" s="227" t="inlineStr">
        <is>
          <t>Cca sesam</t>
        </is>
      </c>
      <c r="F4388" s="227" t="inlineStr">
        <is>
          <t>HART</t>
        </is>
      </c>
    </row>
    <row r="4389">
      <c r="A4389" s="227">
        <f>TL[[#This Row],[Société]]&amp;" - "&amp;TL[[#This Row],[Compte]]</f>
        <v/>
      </c>
      <c r="B4389" s="233" t="inlineStr">
        <is>
          <t>486008</t>
        </is>
      </c>
      <c r="C4389" s="227" t="inlineStr">
        <is>
          <t>Cca radical</t>
        </is>
      </c>
      <c r="F4389" s="227" t="inlineStr">
        <is>
          <t>HART</t>
        </is>
      </c>
    </row>
    <row r="4390">
      <c r="A4390" s="227">
        <f>TL[[#This Row],[Société]]&amp;" - "&amp;TL[[#This Row],[Compte]]</f>
        <v/>
      </c>
      <c r="B4390" s="233" t="inlineStr">
        <is>
          <t>487000</t>
        </is>
      </c>
      <c r="C4390" s="227" t="inlineStr">
        <is>
          <t>Produits constatés d'avance</t>
        </is>
      </c>
      <c r="F4390" s="227" t="inlineStr">
        <is>
          <t>HART</t>
        </is>
      </c>
    </row>
    <row r="4391">
      <c r="A4391" s="227">
        <f>TL[[#This Row],[Société]]&amp;" - "&amp;TL[[#This Row],[Compte]]</f>
        <v/>
      </c>
      <c r="B4391" s="233" t="inlineStr">
        <is>
          <t>511200</t>
        </is>
      </c>
      <c r="C4391" s="227" t="inlineStr">
        <is>
          <t>Tickets restaurant</t>
        </is>
      </c>
      <c r="F4391" s="227" t="inlineStr">
        <is>
          <t>HART</t>
        </is>
      </c>
    </row>
    <row r="4392">
      <c r="A4392" s="227">
        <f>TL[[#This Row],[Société]]&amp;" - "&amp;TL[[#This Row],[Compte]]</f>
        <v/>
      </c>
      <c r="B4392" s="233" t="inlineStr">
        <is>
          <t>511210</t>
        </is>
      </c>
      <c r="C4392" s="227" t="inlineStr">
        <is>
          <t>Ticket restau demat</t>
        </is>
      </c>
      <c r="F4392" s="227" t="inlineStr">
        <is>
          <t>HART</t>
        </is>
      </c>
    </row>
    <row r="4393">
      <c r="A4393" s="227">
        <f>TL[[#This Row],[Société]]&amp;" - "&amp;TL[[#This Row],[Compte]]</f>
        <v/>
      </c>
      <c r="B4393" s="233" t="inlineStr">
        <is>
          <t>511250</t>
        </is>
      </c>
      <c r="C4393" s="227" t="inlineStr">
        <is>
          <t>Cartes bleues</t>
        </is>
      </c>
      <c r="F4393" s="227" t="inlineStr">
        <is>
          <t>HART</t>
        </is>
      </c>
    </row>
    <row r="4394">
      <c r="A4394" s="227">
        <f>TL[[#This Row],[Société]]&amp;" - "&amp;TL[[#This Row],[Compte]]</f>
        <v/>
      </c>
      <c r="B4394" s="233" t="inlineStr">
        <is>
          <t>511251</t>
        </is>
      </c>
      <c r="C4394" s="227" t="inlineStr">
        <is>
          <t>Paypal</t>
        </is>
      </c>
      <c r="F4394" s="227" t="inlineStr">
        <is>
          <t>HART</t>
        </is>
      </c>
    </row>
    <row r="4395">
      <c r="A4395" s="227">
        <f>TL[[#This Row],[Société]]&amp;" - "&amp;TL[[#This Row],[Compte]]</f>
        <v/>
      </c>
      <c r="B4395" s="233" t="inlineStr">
        <is>
          <t>511252</t>
        </is>
      </c>
      <c r="C4395" s="227" t="inlineStr">
        <is>
          <t>Livraison à domicile - uber</t>
        </is>
      </c>
      <c r="F4395" s="227" t="inlineStr">
        <is>
          <t>HART</t>
        </is>
      </c>
    </row>
    <row r="4396">
      <c r="A4396" s="227">
        <f>TL[[#This Row],[Société]]&amp;" - "&amp;TL[[#This Row],[Compte]]</f>
        <v/>
      </c>
      <c r="B4396" s="233" t="inlineStr">
        <is>
          <t>511260</t>
        </is>
      </c>
      <c r="C4396" s="227" t="inlineStr">
        <is>
          <t>Cheques vacances</t>
        </is>
      </c>
      <c r="F4396" s="227" t="inlineStr">
        <is>
          <t>HART</t>
        </is>
      </c>
    </row>
    <row r="4397">
      <c r="A4397" s="227">
        <f>TL[[#This Row],[Société]]&amp;" - "&amp;TL[[#This Row],[Compte]]</f>
        <v/>
      </c>
      <c r="B4397" s="233" t="inlineStr">
        <is>
          <t>511701</t>
        </is>
      </c>
      <c r="C4397" s="227" t="inlineStr">
        <is>
          <t>Chèques émis sg</t>
        </is>
      </c>
      <c r="F4397" s="227" t="inlineStr">
        <is>
          <t>HART</t>
        </is>
      </c>
    </row>
    <row r="4398">
      <c r="A4398" s="227">
        <f>TL[[#This Row],[Société]]&amp;" - "&amp;TL[[#This Row],[Compte]]</f>
        <v/>
      </c>
      <c r="B4398" s="233" t="inlineStr">
        <is>
          <t>512100</t>
        </is>
      </c>
      <c r="C4398" s="227" t="inlineStr">
        <is>
          <t>Comptes en monnaie nationale</t>
        </is>
      </c>
      <c r="F4398" s="227" t="inlineStr">
        <is>
          <t>HART</t>
        </is>
      </c>
    </row>
    <row r="4399">
      <c r="A4399" s="227">
        <f>TL[[#This Row],[Société]]&amp;" - "&amp;TL[[#This Row],[Compte]]</f>
        <v/>
      </c>
      <c r="B4399" s="233" t="inlineStr">
        <is>
          <t>512200</t>
        </is>
      </c>
      <c r="C4399" s="227" t="inlineStr">
        <is>
          <t>Societe generale</t>
        </is>
      </c>
      <c r="F4399" s="227" t="inlineStr">
        <is>
          <t>HART</t>
        </is>
      </c>
    </row>
    <row r="4400">
      <c r="A4400" s="227">
        <f>TL[[#This Row],[Société]]&amp;" - "&amp;TL[[#This Row],[Compte]]</f>
        <v/>
      </c>
      <c r="B4400" s="233" t="inlineStr">
        <is>
          <t>518600</t>
        </is>
      </c>
      <c r="C4400" s="227" t="inlineStr">
        <is>
          <t>Banques - charges à payer</t>
        </is>
      </c>
      <c r="F4400" s="227" t="inlineStr">
        <is>
          <t>HART</t>
        </is>
      </c>
    </row>
    <row r="4401">
      <c r="A4401" s="227">
        <f>TL[[#This Row],[Société]]&amp;" - "&amp;TL[[#This Row],[Compte]]</f>
        <v/>
      </c>
      <c r="B4401" s="233" t="inlineStr">
        <is>
          <t>530200</t>
        </is>
      </c>
      <c r="C4401" s="227" t="inlineStr">
        <is>
          <t>Caisse coffre</t>
        </is>
      </c>
      <c r="F4401" s="227" t="inlineStr">
        <is>
          <t>HART</t>
        </is>
      </c>
    </row>
    <row r="4402">
      <c r="A4402" s="227">
        <f>TL[[#This Row],[Société]]&amp;" - "&amp;TL[[#This Row],[Compte]]</f>
        <v/>
      </c>
      <c r="B4402" s="233" t="inlineStr">
        <is>
          <t>531000</t>
        </is>
      </c>
      <c r="C4402" s="227" t="inlineStr">
        <is>
          <t>Petite caisse</t>
        </is>
      </c>
      <c r="F4402" s="227" t="inlineStr">
        <is>
          <t>HART</t>
        </is>
      </c>
    </row>
    <row r="4403">
      <c r="A4403" s="227">
        <f>TL[[#This Row],[Société]]&amp;" - "&amp;TL[[#This Row],[Compte]]</f>
        <v/>
      </c>
      <c r="B4403" s="233" t="inlineStr">
        <is>
          <t>581000</t>
        </is>
      </c>
      <c r="C4403" s="227" t="inlineStr">
        <is>
          <t>Remise espèces</t>
        </is>
      </c>
      <c r="F4403" s="227" t="inlineStr">
        <is>
          <t>HART</t>
        </is>
      </c>
    </row>
    <row r="4404">
      <c r="A4404" s="227">
        <f>TL[[#This Row],[Société]]&amp;" - "&amp;TL[[#This Row],[Compte]]</f>
        <v/>
      </c>
      <c r="B4404" s="233" t="inlineStr">
        <is>
          <t>583000</t>
        </is>
      </c>
      <c r="C4404" s="227" t="inlineStr">
        <is>
          <t>Monnaie</t>
        </is>
      </c>
      <c r="F4404" s="227" t="inlineStr">
        <is>
          <t>HART</t>
        </is>
      </c>
    </row>
    <row r="4405">
      <c r="A4405" s="227">
        <f>TL[[#This Row],[Société]]&amp;" - "&amp;TL[[#This Row],[Compte]]</f>
        <v/>
      </c>
      <c r="B4405" s="233" t="inlineStr">
        <is>
          <t>601100</t>
        </is>
      </c>
      <c r="C4405" s="227" t="inlineStr">
        <is>
          <t>Achats alimentaires</t>
        </is>
      </c>
      <c r="D4405" s="233" t="inlineStr">
        <is>
          <t>06</t>
        </is>
      </c>
      <c r="E4405" s="233" t="inlineStr">
        <is>
          <t>03</t>
        </is>
      </c>
      <c r="F4405" s="227" t="inlineStr">
        <is>
          <t>HART</t>
        </is>
      </c>
    </row>
    <row r="4406">
      <c r="A4406" s="227">
        <f>TL[[#This Row],[Société]]&amp;" - "&amp;TL[[#This Row],[Compte]]</f>
        <v/>
      </c>
      <c r="B4406" s="233" t="inlineStr">
        <is>
          <t>601102</t>
        </is>
      </c>
      <c r="C4406" s="227" t="inlineStr">
        <is>
          <t>Dechets</t>
        </is>
      </c>
      <c r="D4406" s="233" t="inlineStr">
        <is>
          <t>07</t>
        </is>
      </c>
      <c r="E4406" s="233" t="inlineStr">
        <is>
          <t>05</t>
        </is>
      </c>
      <c r="F4406" s="227" t="inlineStr">
        <is>
          <t>HART</t>
        </is>
      </c>
    </row>
    <row r="4407">
      <c r="A4407" s="227">
        <f>TL[[#This Row],[Société]]&amp;" - "&amp;TL[[#This Row],[Compte]]</f>
        <v/>
      </c>
      <c r="B4407" s="233" t="inlineStr">
        <is>
          <t>601103</t>
        </is>
      </c>
      <c r="C4407" s="227" t="inlineStr">
        <is>
          <t>Repas employes</t>
        </is>
      </c>
      <c r="D4407" s="233" t="inlineStr">
        <is>
          <t>08</t>
        </is>
      </c>
      <c r="E4407" s="233" t="inlineStr">
        <is>
          <t>04</t>
        </is>
      </c>
      <c r="F4407" s="227" t="inlineStr">
        <is>
          <t>HART</t>
        </is>
      </c>
    </row>
    <row r="4408">
      <c r="A4408" s="227">
        <f>TL[[#This Row],[Société]]&amp;" - "&amp;TL[[#This Row],[Compte]]</f>
        <v/>
      </c>
      <c r="B4408" s="233" t="inlineStr">
        <is>
          <t>602201</t>
        </is>
      </c>
      <c r="C4408" s="227" t="inlineStr">
        <is>
          <t>Emballages</t>
        </is>
      </c>
      <c r="D4408" s="233" t="inlineStr">
        <is>
          <t>03</t>
        </is>
      </c>
      <c r="E4408" s="233" t="inlineStr">
        <is>
          <t>06</t>
        </is>
      </c>
      <c r="F4408" s="227" t="inlineStr">
        <is>
          <t>HART</t>
        </is>
      </c>
    </row>
    <row r="4409">
      <c r="A4409" s="227">
        <f>TL[[#This Row],[Société]]&amp;" - "&amp;TL[[#This Row],[Compte]]</f>
        <v/>
      </c>
      <c r="B4409" s="233" t="inlineStr">
        <is>
          <t>602202</t>
        </is>
      </c>
      <c r="C4409" s="227" t="inlineStr">
        <is>
          <t>Jouets</t>
        </is>
      </c>
      <c r="D4409" s="233" t="inlineStr">
        <is>
          <t>62</t>
        </is>
      </c>
      <c r="E4409" s="233" t="inlineStr">
        <is>
          <t>51</t>
        </is>
      </c>
      <c r="F4409" s="227" t="inlineStr">
        <is>
          <t>HART</t>
        </is>
      </c>
    </row>
    <row r="4410">
      <c r="A4410" s="227">
        <f>TL[[#This Row],[Société]]&amp;" - "&amp;TL[[#This Row],[Compte]]</f>
        <v/>
      </c>
      <c r="B4410" s="233" t="inlineStr">
        <is>
          <t>602600</t>
        </is>
      </c>
      <c r="C4410" s="227" t="inlineStr">
        <is>
          <t>Achats emballages</t>
        </is>
      </c>
      <c r="D4410" s="233" t="inlineStr">
        <is>
          <t>03</t>
        </is>
      </c>
      <c r="E4410" s="233" t="inlineStr">
        <is>
          <t>06</t>
        </is>
      </c>
      <c r="F4410" s="227" t="inlineStr">
        <is>
          <t>HART</t>
        </is>
      </c>
    </row>
    <row r="4411">
      <c r="A4411" s="227">
        <f>TL[[#This Row],[Société]]&amp;" - "&amp;TL[[#This Row],[Compte]]</f>
        <v/>
      </c>
      <c r="B4411" s="233" t="inlineStr">
        <is>
          <t>602610</t>
        </is>
      </c>
      <c r="C4411" s="227" t="inlineStr">
        <is>
          <t>Emballages perdus</t>
        </is>
      </c>
      <c r="D4411" s="233" t="inlineStr">
        <is>
          <t>18</t>
        </is>
      </c>
      <c r="E4411" s="233" t="inlineStr">
        <is>
          <t>25</t>
        </is>
      </c>
      <c r="F4411" s="227" t="inlineStr">
        <is>
          <t>HART</t>
        </is>
      </c>
    </row>
    <row r="4412">
      <c r="A4412" s="227">
        <f>TL[[#This Row],[Société]]&amp;" - "&amp;TL[[#This Row],[Compte]]</f>
        <v/>
      </c>
      <c r="B4412" s="233" t="inlineStr">
        <is>
          <t>603100</t>
        </is>
      </c>
      <c r="C4412" s="227" t="inlineStr">
        <is>
          <t>Variation stock food</t>
        </is>
      </c>
      <c r="D4412" s="233" t="inlineStr">
        <is>
          <t>06</t>
        </is>
      </c>
      <c r="E4412" s="233" t="inlineStr">
        <is>
          <t>03</t>
        </is>
      </c>
      <c r="F4412" s="227" t="inlineStr">
        <is>
          <t>HART</t>
        </is>
      </c>
    </row>
    <row r="4413">
      <c r="A4413" s="227">
        <f>TL[[#This Row],[Société]]&amp;" - "&amp;TL[[#This Row],[Compte]]</f>
        <v/>
      </c>
      <c r="B4413" s="233" t="inlineStr">
        <is>
          <t>603200</t>
        </is>
      </c>
      <c r="C4413" s="227" t="inlineStr">
        <is>
          <t>Variation stock paper</t>
        </is>
      </c>
      <c r="D4413" s="233" t="inlineStr">
        <is>
          <t>03</t>
        </is>
      </c>
      <c r="E4413" s="233" t="inlineStr">
        <is>
          <t>06</t>
        </is>
      </c>
      <c r="F4413" s="227" t="inlineStr">
        <is>
          <t>HART</t>
        </is>
      </c>
    </row>
    <row r="4414">
      <c r="A4414" s="227">
        <f>TL[[#This Row],[Société]]&amp;" - "&amp;TL[[#This Row],[Compte]]</f>
        <v/>
      </c>
      <c r="B4414" s="233" t="inlineStr">
        <is>
          <t>603202</t>
        </is>
      </c>
      <c r="C4414" s="227" t="inlineStr">
        <is>
          <t>Variation stock h.meal</t>
        </is>
      </c>
      <c r="D4414" s="233" t="inlineStr">
        <is>
          <t>62</t>
        </is>
      </c>
      <c r="E4414" s="233" t="inlineStr">
        <is>
          <t>51</t>
        </is>
      </c>
      <c r="F4414" s="227" t="inlineStr">
        <is>
          <t>HART</t>
        </is>
      </c>
    </row>
    <row r="4415">
      <c r="A4415" s="227">
        <f>TL[[#This Row],[Société]]&amp;" - "&amp;TL[[#This Row],[Compte]]</f>
        <v/>
      </c>
      <c r="B4415" s="233" t="inlineStr">
        <is>
          <t>603203</t>
        </is>
      </c>
      <c r="C4415" s="227" t="inlineStr">
        <is>
          <t>Variation stock fourniture exploita</t>
        </is>
      </c>
      <c r="D4415" s="233" t="inlineStr">
        <is>
          <t>18</t>
        </is>
      </c>
      <c r="E4415" s="233" t="inlineStr">
        <is>
          <t>25</t>
        </is>
      </c>
      <c r="F4415" s="227" t="inlineStr">
        <is>
          <t>HART</t>
        </is>
      </c>
    </row>
    <row r="4416">
      <c r="A4416" s="227">
        <f>TL[[#This Row],[Société]]&amp;" - "&amp;TL[[#This Row],[Compte]]</f>
        <v/>
      </c>
      <c r="B4416" s="233" t="inlineStr">
        <is>
          <t>603227</t>
        </is>
      </c>
      <c r="C4416" s="227" t="inlineStr">
        <is>
          <t>Variation stock promo</t>
        </is>
      </c>
      <c r="D4416" s="233" t="inlineStr">
        <is>
          <t>15</t>
        </is>
      </c>
      <c r="E4416" s="233" t="inlineStr">
        <is>
          <t>23</t>
        </is>
      </c>
      <c r="F4416" s="227" t="inlineStr">
        <is>
          <t>HART</t>
        </is>
      </c>
    </row>
    <row r="4417">
      <c r="A4417" s="227">
        <f>TL[[#This Row],[Société]]&amp;" - "&amp;TL[[#This Row],[Compte]]</f>
        <v/>
      </c>
      <c r="B4417" s="233" t="inlineStr">
        <is>
          <t>604000</t>
        </is>
      </c>
      <c r="C4417" s="227" t="inlineStr">
        <is>
          <t>Achats d'études et prestations</t>
        </is>
      </c>
      <c r="F4417" s="227" t="inlineStr">
        <is>
          <t>HART</t>
        </is>
      </c>
    </row>
    <row r="4418">
      <c r="A4418" s="227">
        <f>TL[[#This Row],[Société]]&amp;" - "&amp;TL[[#This Row],[Compte]]</f>
        <v/>
      </c>
      <c r="B4418" s="233" t="inlineStr">
        <is>
          <t>606110</t>
        </is>
      </c>
      <c r="C4418" s="227" t="inlineStr">
        <is>
          <t>Eau</t>
        </is>
      </c>
      <c r="D4418" s="233" t="inlineStr">
        <is>
          <t>20</t>
        </is>
      </c>
      <c r="E4418" s="233" t="inlineStr">
        <is>
          <t>24</t>
        </is>
      </c>
      <c r="F4418" s="227" t="inlineStr">
        <is>
          <t>HART</t>
        </is>
      </c>
    </row>
    <row r="4419">
      <c r="A4419" s="227">
        <f>TL[[#This Row],[Société]]&amp;" - "&amp;TL[[#This Row],[Compte]]</f>
        <v/>
      </c>
      <c r="B4419" s="233" t="inlineStr">
        <is>
          <t>606120</t>
        </is>
      </c>
      <c r="C4419" s="227" t="inlineStr">
        <is>
          <t>Edf - Gdf</t>
        </is>
      </c>
      <c r="D4419" s="233" t="inlineStr">
        <is>
          <t>20</t>
        </is>
      </c>
      <c r="E4419" s="233" t="inlineStr">
        <is>
          <t>24</t>
        </is>
      </c>
      <c r="F4419" s="227" t="inlineStr">
        <is>
          <t>HART</t>
        </is>
      </c>
    </row>
    <row r="4420">
      <c r="A4420" s="227">
        <f>TL[[#This Row],[Société]]&amp;" - "&amp;TL[[#This Row],[Compte]]</f>
        <v/>
      </c>
      <c r="B4420" s="233" t="inlineStr">
        <is>
          <t>606130</t>
        </is>
      </c>
      <c r="C4420" s="227" t="inlineStr">
        <is>
          <t>Carburants</t>
        </is>
      </c>
      <c r="D4420" s="239" t="inlineStr">
        <is>
          <t>39</t>
        </is>
      </c>
      <c r="E4420" s="233" t="inlineStr">
        <is>
          <t>40</t>
        </is>
      </c>
      <c r="F4420" s="227" t="inlineStr">
        <is>
          <t>HART</t>
        </is>
      </c>
    </row>
    <row r="4421">
      <c r="A4421" s="227">
        <f>TL[[#This Row],[Société]]&amp;" - "&amp;TL[[#This Row],[Compte]]</f>
        <v/>
      </c>
      <c r="B4421" s="233" t="inlineStr">
        <is>
          <t>606140</t>
        </is>
      </c>
      <c r="C4421" s="227" t="inlineStr">
        <is>
          <t>Eau - npu</t>
        </is>
      </c>
      <c r="D4421" s="233" t="inlineStr">
        <is>
          <t>20</t>
        </is>
      </c>
      <c r="E4421" s="233" t="inlineStr">
        <is>
          <t>24</t>
        </is>
      </c>
      <c r="F4421" s="227" t="inlineStr">
        <is>
          <t>HART</t>
        </is>
      </c>
    </row>
    <row r="4422">
      <c r="A4422" s="227">
        <f>TL[[#This Row],[Société]]&amp;" - "&amp;TL[[#This Row],[Compte]]</f>
        <v/>
      </c>
      <c r="B4422" s="233" t="inlineStr">
        <is>
          <t>606300</t>
        </is>
      </c>
      <c r="C4422" s="227" t="inlineStr">
        <is>
          <t>Petit outillage</t>
        </is>
      </c>
      <c r="D4422" s="233" t="inlineStr">
        <is>
          <t>19</t>
        </is>
      </c>
      <c r="E4422" s="233" t="inlineStr">
        <is>
          <t>18</t>
        </is>
      </c>
      <c r="F4422" s="227" t="inlineStr">
        <is>
          <t>HART</t>
        </is>
      </c>
    </row>
    <row r="4423">
      <c r="A4423" s="227">
        <f>TL[[#This Row],[Société]]&amp;" - "&amp;TL[[#This Row],[Compte]]</f>
        <v/>
      </c>
      <c r="B4423" s="233" t="inlineStr">
        <is>
          <t>606301</t>
        </is>
      </c>
      <c r="C4423" s="227" t="inlineStr">
        <is>
          <t>Fournitures diverses</t>
        </is>
      </c>
      <c r="D4423" s="233" t="inlineStr">
        <is>
          <t>19</t>
        </is>
      </c>
      <c r="E4423" s="233" t="inlineStr">
        <is>
          <t>25</t>
        </is>
      </c>
      <c r="F4423" s="227" t="inlineStr">
        <is>
          <t>HART</t>
        </is>
      </c>
    </row>
    <row r="4424">
      <c r="A4424" s="227">
        <f>TL[[#This Row],[Société]]&amp;" - "&amp;TL[[#This Row],[Compte]]</f>
        <v/>
      </c>
      <c r="B4424" s="233" t="inlineStr">
        <is>
          <t>606302</t>
        </is>
      </c>
      <c r="C4424" s="227" t="inlineStr">
        <is>
          <t>Produits entretien</t>
        </is>
      </c>
      <c r="D4424" s="233" t="inlineStr">
        <is>
          <t>18</t>
        </is>
      </c>
      <c r="E4424" s="233" t="inlineStr">
        <is>
          <t>25</t>
        </is>
      </c>
      <c r="F4424" s="227" t="inlineStr">
        <is>
          <t>HART</t>
        </is>
      </c>
    </row>
    <row r="4425">
      <c r="A4425" s="227">
        <f>TL[[#This Row],[Société]]&amp;" - "&amp;TL[[#This Row],[Compte]]</f>
        <v/>
      </c>
      <c r="B4425" s="233" t="inlineStr">
        <is>
          <t>606303</t>
        </is>
      </c>
      <c r="C4425" s="227" t="inlineStr">
        <is>
          <t>Uniformes</t>
        </is>
      </c>
      <c r="D4425" s="233" t="inlineStr">
        <is>
          <t>17</t>
        </is>
      </c>
      <c r="E4425" s="233" t="inlineStr">
        <is>
          <t>27</t>
        </is>
      </c>
      <c r="F4425" s="227" t="inlineStr">
        <is>
          <t>HART</t>
        </is>
      </c>
    </row>
    <row r="4426">
      <c r="A4426" s="227">
        <f>TL[[#This Row],[Société]]&amp;" - "&amp;TL[[#This Row],[Compte]]</f>
        <v/>
      </c>
      <c r="B4426" s="233" t="inlineStr">
        <is>
          <t>606320</t>
        </is>
      </c>
      <c r="C4426" s="227" t="inlineStr">
        <is>
          <t>Uniformes</t>
        </is>
      </c>
      <c r="D4426" s="233" t="inlineStr">
        <is>
          <t>17</t>
        </is>
      </c>
      <c r="E4426" s="233" t="inlineStr">
        <is>
          <t>27</t>
        </is>
      </c>
      <c r="F4426" s="227" t="inlineStr">
        <is>
          <t>HART</t>
        </is>
      </c>
    </row>
    <row r="4427">
      <c r="A4427" s="227">
        <f>TL[[#This Row],[Société]]&amp;" - "&amp;TL[[#This Row],[Compte]]</f>
        <v/>
      </c>
      <c r="B4427" s="233" t="inlineStr">
        <is>
          <t>606401</t>
        </is>
      </c>
      <c r="C4427" s="227" t="inlineStr">
        <is>
          <t>Fournitures de bureau</t>
        </is>
      </c>
      <c r="D4427" s="233" t="inlineStr">
        <is>
          <t>21</t>
        </is>
      </c>
      <c r="E4427" s="233" t="inlineStr">
        <is>
          <t>25</t>
        </is>
      </c>
      <c r="F4427" s="227" t="inlineStr">
        <is>
          <t>HART</t>
        </is>
      </c>
    </row>
    <row r="4428">
      <c r="A4428" s="227">
        <f>TL[[#This Row],[Société]]&amp;" - "&amp;TL[[#This Row],[Compte]]</f>
        <v/>
      </c>
      <c r="B4428" s="233" t="inlineStr">
        <is>
          <t>609100</t>
        </is>
      </c>
      <c r="C4428" s="227" t="inlineStr">
        <is>
          <t>R.r.r.obtenus s/ach.mat.premières</t>
        </is>
      </c>
      <c r="D4428" s="233" t="inlineStr">
        <is>
          <t>06</t>
        </is>
      </c>
      <c r="E4428" s="233" t="inlineStr">
        <is>
          <t>03</t>
        </is>
      </c>
      <c r="F4428" s="227" t="inlineStr">
        <is>
          <t>HART</t>
        </is>
      </c>
    </row>
    <row r="4429">
      <c r="A4429" s="227">
        <f>TL[[#This Row],[Société]]&amp;" - "&amp;TL[[#This Row],[Compte]]</f>
        <v/>
      </c>
      <c r="B4429" s="233" t="inlineStr">
        <is>
          <t>611007</t>
        </is>
      </c>
      <c r="C4429" s="227" t="inlineStr">
        <is>
          <t>CT MAGA GEST PLAINTE</t>
        </is>
      </c>
      <c r="D4429" s="233" t="inlineStr">
        <is>
          <t>16</t>
        </is>
      </c>
      <c r="E4429" s="233" t="inlineStr">
        <is>
          <t>19</t>
        </is>
      </c>
      <c r="F4429" s="227" t="inlineStr">
        <is>
          <t>HART</t>
        </is>
      </c>
    </row>
    <row r="4430">
      <c r="A4430" s="227">
        <f>TL[[#This Row],[Société]]&amp;" - "&amp;TL[[#This Row],[Compte]]</f>
        <v/>
      </c>
      <c r="B4430" s="233" t="inlineStr">
        <is>
          <t>611100</t>
        </is>
      </c>
      <c r="C4430" s="227" t="inlineStr">
        <is>
          <t>Sous-traitance comptable</t>
        </is>
      </c>
      <c r="D4430" s="233" t="inlineStr">
        <is>
          <t>32</t>
        </is>
      </c>
      <c r="E4430" s="233" t="inlineStr">
        <is>
          <t>19</t>
        </is>
      </c>
      <c r="F4430" s="227" t="inlineStr">
        <is>
          <t>HART</t>
        </is>
      </c>
    </row>
    <row r="4431">
      <c r="A4431" s="227">
        <f>TL[[#This Row],[Société]]&amp;" - "&amp;TL[[#This Row],[Compte]]</f>
        <v/>
      </c>
      <c r="B4431" s="233" t="inlineStr">
        <is>
          <t>613000</t>
        </is>
      </c>
      <c r="C4431" s="227" t="inlineStr">
        <is>
          <t>Locations</t>
        </is>
      </c>
      <c r="D4431" s="233" t="inlineStr">
        <is>
          <t>16</t>
        </is>
      </c>
      <c r="E4431" s="233" t="inlineStr">
        <is>
          <t>19</t>
        </is>
      </c>
      <c r="F4431" s="227" t="inlineStr">
        <is>
          <t>HART</t>
        </is>
      </c>
    </row>
    <row r="4432">
      <c r="A4432" s="227">
        <f>TL[[#This Row],[Société]]&amp;" - "&amp;TL[[#This Row],[Compte]]</f>
        <v/>
      </c>
      <c r="B4432" s="233" t="inlineStr">
        <is>
          <t>613200</t>
        </is>
      </c>
      <c r="C4432" s="227" t="inlineStr">
        <is>
          <t>Loyer redevance standard</t>
        </is>
      </c>
      <c r="D4432" s="233" t="inlineStr">
        <is>
          <t>30</t>
        </is>
      </c>
      <c r="E4432" s="233" t="inlineStr">
        <is>
          <t>29</t>
        </is>
      </c>
      <c r="F4432" s="227" t="inlineStr">
        <is>
          <t>HART</t>
        </is>
      </c>
    </row>
    <row r="4433">
      <c r="A4433" s="227">
        <f>TL[[#This Row],[Société]]&amp;" - "&amp;TL[[#This Row],[Compte]]</f>
        <v/>
      </c>
      <c r="B4433" s="233" t="inlineStr">
        <is>
          <t>613260</t>
        </is>
      </c>
      <c r="C4433" s="227" t="inlineStr">
        <is>
          <t>Locations véhicules</t>
        </is>
      </c>
      <c r="D4433" s="233" t="inlineStr">
        <is>
          <t>39</t>
        </is>
      </c>
      <c r="E4433" s="233" t="inlineStr">
        <is>
          <t>40</t>
        </is>
      </c>
      <c r="F4433" s="227" t="inlineStr">
        <is>
          <t>HART</t>
        </is>
      </c>
    </row>
    <row r="4434">
      <c r="A4434" s="227">
        <f>TL[[#This Row],[Société]]&amp;" - "&amp;TL[[#This Row],[Compte]]</f>
        <v/>
      </c>
      <c r="B4434" s="233" t="inlineStr">
        <is>
          <t>613261</t>
        </is>
      </c>
      <c r="C4434" s="227" t="inlineStr">
        <is>
          <t>Loyer clio wassa</t>
        </is>
      </c>
      <c r="D4434" s="233" t="inlineStr">
        <is>
          <t>39</t>
        </is>
      </c>
      <c r="E4434" s="233" t="inlineStr">
        <is>
          <t>40</t>
        </is>
      </c>
      <c r="F4434" s="227" t="inlineStr">
        <is>
          <t>HART</t>
        </is>
      </c>
    </row>
    <row r="4435">
      <c r="A4435" s="227">
        <f>TL[[#This Row],[Société]]&amp;" - "&amp;TL[[#This Row],[Compte]]</f>
        <v/>
      </c>
      <c r="B4435" s="233" t="inlineStr">
        <is>
          <t>613262</t>
        </is>
      </c>
      <c r="C4435" s="227" t="inlineStr">
        <is>
          <t>Location box</t>
        </is>
      </c>
      <c r="D4435" s="233" t="inlineStr">
        <is>
          <t>39</t>
        </is>
      </c>
      <c r="E4435" s="233" t="inlineStr">
        <is>
          <t>40</t>
        </is>
      </c>
      <c r="F4435" s="227" t="inlineStr">
        <is>
          <t>HART</t>
        </is>
      </c>
    </row>
    <row r="4436">
      <c r="A4436" s="227">
        <f>TL[[#This Row],[Société]]&amp;" - "&amp;TL[[#This Row],[Compte]]</f>
        <v/>
      </c>
      <c r="B4436" s="233" t="inlineStr">
        <is>
          <t>613263</t>
        </is>
      </c>
      <c r="C4436" s="227" t="inlineStr">
        <is>
          <t>Loyer voiture bun rath</t>
        </is>
      </c>
      <c r="D4436" s="233" t="inlineStr">
        <is>
          <t>39</t>
        </is>
      </c>
      <c r="E4436" s="233" t="inlineStr">
        <is>
          <t>40</t>
        </is>
      </c>
      <c r="F4436" s="227" t="inlineStr">
        <is>
          <t>HART</t>
        </is>
      </c>
    </row>
    <row r="4437">
      <c r="A4437" s="227">
        <f>TL[[#This Row],[Société]]&amp;" - "&amp;TL[[#This Row],[Compte]]</f>
        <v/>
      </c>
      <c r="B4437" s="233" t="inlineStr">
        <is>
          <t>613270</t>
        </is>
      </c>
      <c r="C4437" s="227" t="inlineStr">
        <is>
          <t>Location matériel technique</t>
        </is>
      </c>
      <c r="D4437" s="233" t="inlineStr">
        <is>
          <t>39</t>
        </is>
      </c>
      <c r="E4437" s="233" t="inlineStr">
        <is>
          <t>40</t>
        </is>
      </c>
      <c r="F4437" s="227" t="inlineStr">
        <is>
          <t>HART</t>
        </is>
      </c>
    </row>
    <row r="4438">
      <c r="A4438" s="227">
        <f>TL[[#This Row],[Société]]&amp;" - "&amp;TL[[#This Row],[Compte]]</f>
        <v/>
      </c>
      <c r="B4438" s="233" t="inlineStr">
        <is>
          <t>613285</t>
        </is>
      </c>
      <c r="C4438" s="227" t="inlineStr">
        <is>
          <t>Loy voiture marine</t>
        </is>
      </c>
      <c r="D4438" s="233" t="inlineStr">
        <is>
          <t>39</t>
        </is>
      </c>
      <c r="E4438" s="233" t="inlineStr">
        <is>
          <t>40</t>
        </is>
      </c>
      <c r="F4438" s="227" t="inlineStr">
        <is>
          <t>HART</t>
        </is>
      </c>
    </row>
    <row r="4439">
      <c r="A4439" s="227">
        <f>TL[[#This Row],[Société]]&amp;" - "&amp;TL[[#This Row],[Compte]]</f>
        <v/>
      </c>
      <c r="B4439" s="233" t="inlineStr">
        <is>
          <t>613286</t>
        </is>
      </c>
      <c r="C4439" s="227" t="inlineStr">
        <is>
          <t>Loy voiture lanos max</t>
        </is>
      </c>
      <c r="D4439" s="233" t="inlineStr">
        <is>
          <t>39</t>
        </is>
      </c>
      <c r="E4439" s="233" t="inlineStr">
        <is>
          <t>40</t>
        </is>
      </c>
      <c r="F4439" s="227" t="inlineStr">
        <is>
          <t>HART</t>
        </is>
      </c>
    </row>
    <row r="4440">
      <c r="A4440" s="227">
        <f>TL[[#This Row],[Société]]&amp;" - "&amp;TL[[#This Row],[Compte]]</f>
        <v/>
      </c>
      <c r="B4440" s="233" t="inlineStr">
        <is>
          <t>613288</t>
        </is>
      </c>
      <c r="C4440" s="227" t="inlineStr">
        <is>
          <t>Location veh. sandrine merced. tirr</t>
        </is>
      </c>
      <c r="D4440" s="233" t="inlineStr">
        <is>
          <t>39</t>
        </is>
      </c>
      <c r="E4440" s="233" t="inlineStr">
        <is>
          <t>40</t>
        </is>
      </c>
      <c r="F4440" s="227" t="inlineStr">
        <is>
          <t>HART</t>
        </is>
      </c>
    </row>
    <row r="4441">
      <c r="A4441" s="227">
        <f>TL[[#This Row],[Société]]&amp;" - "&amp;TL[[#This Row],[Compte]]</f>
        <v/>
      </c>
      <c r="B4441" s="233" t="inlineStr">
        <is>
          <t>613289</t>
        </is>
      </c>
      <c r="C4441" s="227" t="inlineStr">
        <is>
          <t>Location voiture Phoeuk</t>
        </is>
      </c>
      <c r="D4441" s="233" t="inlineStr">
        <is>
          <t>39</t>
        </is>
      </c>
      <c r="E4441" s="233" t="inlineStr">
        <is>
          <t>40</t>
        </is>
      </c>
      <c r="F4441" s="227" t="inlineStr">
        <is>
          <t>HART</t>
        </is>
      </c>
    </row>
    <row r="4442">
      <c r="A4442" s="227">
        <f>TL[[#This Row],[Société]]&amp;" - "&amp;TL[[#This Row],[Compte]]</f>
        <v/>
      </c>
      <c r="B4442" s="233" t="inlineStr">
        <is>
          <t>613290</t>
        </is>
      </c>
      <c r="C4442" s="227" t="inlineStr">
        <is>
          <t>Location veh. hugo</t>
        </is>
      </c>
      <c r="D4442" s="233" t="inlineStr">
        <is>
          <t>39</t>
        </is>
      </c>
      <c r="E4442" s="233" t="inlineStr">
        <is>
          <t>40</t>
        </is>
      </c>
      <c r="F4442" s="227" t="inlineStr">
        <is>
          <t>HART</t>
        </is>
      </c>
    </row>
    <row r="4443">
      <c r="A4443" s="227">
        <f>TL[[#This Row],[Société]]&amp;" - "&amp;TL[[#This Row],[Compte]]</f>
        <v/>
      </c>
      <c r="B4443" s="233" t="inlineStr">
        <is>
          <t>613292</t>
        </is>
      </c>
      <c r="C4443" s="227" t="inlineStr">
        <is>
          <t>loyer voiture yatera</t>
        </is>
      </c>
      <c r="D4443" s="233" t="inlineStr">
        <is>
          <t>39</t>
        </is>
      </c>
      <c r="E4443" s="233" t="inlineStr">
        <is>
          <t>40</t>
        </is>
      </c>
      <c r="F4443" s="227" t="inlineStr">
        <is>
          <t>HART</t>
        </is>
      </c>
    </row>
    <row r="4444">
      <c r="A4444" s="227">
        <f>TL[[#This Row],[Société]]&amp;" - "&amp;TL[[#This Row],[Compte]]</f>
        <v/>
      </c>
      <c r="B4444" s="233" t="inlineStr">
        <is>
          <t>613330</t>
        </is>
      </c>
      <c r="C4444" s="227" t="inlineStr">
        <is>
          <t>Location interway</t>
        </is>
      </c>
      <c r="D4444" s="233" t="inlineStr">
        <is>
          <t>16</t>
        </is>
      </c>
      <c r="E4444" s="233" t="inlineStr">
        <is>
          <t>19</t>
        </is>
      </c>
      <c r="F4444" s="227" t="inlineStr">
        <is>
          <t>HART</t>
        </is>
      </c>
    </row>
    <row r="4445">
      <c r="A4445" s="227">
        <f>TL[[#This Row],[Société]]&amp;" - "&amp;TL[[#This Row],[Compte]]</f>
        <v/>
      </c>
      <c r="B4445" s="233" t="inlineStr">
        <is>
          <t>613350</t>
        </is>
      </c>
      <c r="C4445" s="227" t="inlineStr">
        <is>
          <t>Location matériel informatique</t>
        </is>
      </c>
      <c r="D4445" s="233" t="inlineStr">
        <is>
          <t>16</t>
        </is>
      </c>
      <c r="E4445" s="233" t="inlineStr">
        <is>
          <t>19</t>
        </is>
      </c>
      <c r="F4445" s="227" t="inlineStr">
        <is>
          <t>HART</t>
        </is>
      </c>
    </row>
    <row r="4446">
      <c r="A4446" s="227">
        <f>TL[[#This Row],[Société]]&amp;" - "&amp;TL[[#This Row],[Compte]]</f>
        <v/>
      </c>
      <c r="B4446" s="233" t="inlineStr">
        <is>
          <t>613360</t>
        </is>
      </c>
      <c r="C4446" s="227" t="inlineStr">
        <is>
          <t>Location defibrillateur</t>
        </is>
      </c>
      <c r="D4446" s="233" t="inlineStr">
        <is>
          <t>16</t>
        </is>
      </c>
      <c r="E4446" s="233" t="inlineStr">
        <is>
          <t>19</t>
        </is>
      </c>
      <c r="F4446" s="227" t="inlineStr">
        <is>
          <t>HART</t>
        </is>
      </c>
    </row>
    <row r="4447">
      <c r="A4447" s="227">
        <f>TL[[#This Row],[Société]]&amp;" - "&amp;TL[[#This Row],[Compte]]</f>
        <v/>
      </c>
      <c r="B4447" s="233" t="inlineStr">
        <is>
          <t>614100</t>
        </is>
      </c>
      <c r="C4447" s="227" t="inlineStr">
        <is>
          <t>Taxe foncières</t>
        </is>
      </c>
      <c r="D4447" s="233" t="inlineStr">
        <is>
          <t>34</t>
        </is>
      </c>
      <c r="E4447" s="233" t="inlineStr">
        <is>
          <t>33</t>
        </is>
      </c>
      <c r="F4447" s="227" t="inlineStr">
        <is>
          <t>HART</t>
        </is>
      </c>
    </row>
    <row r="4448">
      <c r="A4448" s="227">
        <f>TL[[#This Row],[Société]]&amp;" - "&amp;TL[[#This Row],[Compte]]</f>
        <v/>
      </c>
      <c r="B4448" s="233" t="inlineStr">
        <is>
          <t>615200</t>
        </is>
      </c>
      <c r="C4448" s="227" t="inlineStr">
        <is>
          <t>Entretien espaces verts</t>
        </is>
      </c>
      <c r="D4448" s="233" t="inlineStr">
        <is>
          <t>16</t>
        </is>
      </c>
      <c r="E4448" s="233" t="inlineStr">
        <is>
          <t>19</t>
        </is>
      </c>
      <c r="F4448" s="227" t="inlineStr">
        <is>
          <t>HART</t>
        </is>
      </c>
    </row>
    <row r="4449">
      <c r="A4449" s="227">
        <f>TL[[#This Row],[Société]]&amp;" - "&amp;TL[[#This Row],[Compte]]</f>
        <v/>
      </c>
      <c r="B4449" s="233" t="inlineStr">
        <is>
          <t>615500</t>
        </is>
      </c>
      <c r="C4449" s="227" t="inlineStr">
        <is>
          <t>Entretien et rep divers</t>
        </is>
      </c>
      <c r="D4449" s="233" t="inlineStr">
        <is>
          <t>19</t>
        </is>
      </c>
      <c r="E4449" s="233" t="inlineStr">
        <is>
          <t>18</t>
        </is>
      </c>
      <c r="F4449" s="227" t="inlineStr">
        <is>
          <t>HART</t>
        </is>
      </c>
    </row>
    <row r="4450">
      <c r="A4450" s="227">
        <f>TL[[#This Row],[Société]]&amp;" - "&amp;TL[[#This Row],[Compte]]</f>
        <v/>
      </c>
      <c r="B4450" s="233" t="inlineStr">
        <is>
          <t>615600</t>
        </is>
      </c>
      <c r="C4450" s="227" t="inlineStr">
        <is>
          <t>Maintenance Mc Do</t>
        </is>
      </c>
      <c r="D4450" s="233" t="inlineStr">
        <is>
          <t>16</t>
        </is>
      </c>
      <c r="E4450" s="233" t="inlineStr">
        <is>
          <t>19</t>
        </is>
      </c>
      <c r="F4450" s="227" t="inlineStr">
        <is>
          <t>HART</t>
        </is>
      </c>
    </row>
    <row r="4451">
      <c r="A4451" s="227">
        <f>TL[[#This Row],[Société]]&amp;" - "&amp;TL[[#This Row],[Compte]]</f>
        <v/>
      </c>
      <c r="B4451" s="233" t="inlineStr">
        <is>
          <t>615609</t>
        </is>
      </c>
      <c r="C4451" s="227" t="inlineStr">
        <is>
          <t>Honoraires silliker</t>
        </is>
      </c>
      <c r="D4451" s="233" t="inlineStr">
        <is>
          <t>16</t>
        </is>
      </c>
      <c r="E4451" s="233" t="inlineStr">
        <is>
          <t>19</t>
        </is>
      </c>
      <c r="F4451" s="227" t="inlineStr">
        <is>
          <t>HART</t>
        </is>
      </c>
    </row>
    <row r="4452">
      <c r="A4452" s="227">
        <f>TL[[#This Row],[Société]]&amp;" - "&amp;TL[[#This Row],[Compte]]</f>
        <v/>
      </c>
      <c r="B4452" s="233" t="inlineStr">
        <is>
          <t>615610</t>
        </is>
      </c>
      <c r="C4452" s="227" t="inlineStr">
        <is>
          <t>Contrat iron mountain</t>
        </is>
      </c>
      <c r="D4452" s="233" t="inlineStr">
        <is>
          <t>16</t>
        </is>
      </c>
      <c r="E4452" s="233" t="inlineStr">
        <is>
          <t>19</t>
        </is>
      </c>
      <c r="F4452" s="227" t="inlineStr">
        <is>
          <t>HART</t>
        </is>
      </c>
    </row>
    <row r="4453">
      <c r="A4453" s="227">
        <f>TL[[#This Row],[Société]]&amp;" - "&amp;TL[[#This Row],[Compte]]</f>
        <v/>
      </c>
      <c r="B4453" s="233" t="inlineStr">
        <is>
          <t>615612</t>
        </is>
      </c>
      <c r="C4453" s="227" t="inlineStr">
        <is>
          <t>Contrat radical antiparasitaire</t>
        </is>
      </c>
      <c r="D4453" s="233" t="inlineStr">
        <is>
          <t>16</t>
        </is>
      </c>
      <c r="E4453" s="233" t="inlineStr">
        <is>
          <t>19</t>
        </is>
      </c>
      <c r="F4453" s="227" t="inlineStr">
        <is>
          <t>HART</t>
        </is>
      </c>
    </row>
    <row r="4454">
      <c r="A4454" s="227">
        <f>TL[[#This Row],[Société]]&amp;" - "&amp;TL[[#This Row],[Compte]]</f>
        <v/>
      </c>
      <c r="B4454" s="233" t="inlineStr">
        <is>
          <t>615615</t>
        </is>
      </c>
      <c r="C4454" s="227" t="inlineStr">
        <is>
          <t>Contrat entretien linge</t>
        </is>
      </c>
      <c r="D4454" s="233" t="inlineStr">
        <is>
          <t>16</t>
        </is>
      </c>
      <c r="E4454" s="233" t="inlineStr">
        <is>
          <t>19</t>
        </is>
      </c>
      <c r="F4454" s="227" t="inlineStr">
        <is>
          <t>HART</t>
        </is>
      </c>
    </row>
    <row r="4455">
      <c r="A4455" s="227">
        <f>TL[[#This Row],[Société]]&amp;" - "&amp;TL[[#This Row],[Compte]]</f>
        <v/>
      </c>
      <c r="B4455" s="233" t="inlineStr">
        <is>
          <t>615616</t>
        </is>
      </c>
      <c r="C4455" s="227" t="inlineStr">
        <is>
          <t>Contrat acrelec</t>
        </is>
      </c>
      <c r="D4455" s="233" t="inlineStr">
        <is>
          <t>16</t>
        </is>
      </c>
      <c r="E4455" s="233" t="inlineStr">
        <is>
          <t>19</t>
        </is>
      </c>
      <c r="F4455" s="227" t="inlineStr">
        <is>
          <t>HART</t>
        </is>
      </c>
    </row>
    <row r="4456">
      <c r="A4456" s="227">
        <f>TL[[#This Row],[Société]]&amp;" - "&amp;TL[[#This Row],[Compte]]</f>
        <v/>
      </c>
      <c r="B4456" s="233" t="inlineStr">
        <is>
          <t>615619</t>
        </is>
      </c>
      <c r="C4456" s="227" t="inlineStr">
        <is>
          <t>Contrat vitres</t>
        </is>
      </c>
      <c r="D4456" s="233" t="inlineStr">
        <is>
          <t>16</t>
        </is>
      </c>
      <c r="E4456" s="233" t="inlineStr">
        <is>
          <t>15</t>
        </is>
      </c>
      <c r="F4456" s="227" t="inlineStr">
        <is>
          <t>HART</t>
        </is>
      </c>
    </row>
    <row r="4457">
      <c r="A4457" s="227">
        <f>TL[[#This Row],[Société]]&amp;" - "&amp;TL[[#This Row],[Compte]]</f>
        <v/>
      </c>
      <c r="B4457" s="233" t="inlineStr">
        <is>
          <t>615621</t>
        </is>
      </c>
      <c r="C4457" s="227" t="inlineStr">
        <is>
          <t>Contrat ramassage espèces</t>
        </is>
      </c>
      <c r="D4457" s="233" t="inlineStr">
        <is>
          <t>16</t>
        </is>
      </c>
      <c r="E4457" s="233" t="inlineStr">
        <is>
          <t>19</t>
        </is>
      </c>
      <c r="F4457" s="227" t="inlineStr">
        <is>
          <t>HART</t>
        </is>
      </c>
    </row>
    <row r="4458">
      <c r="A4458" s="227">
        <f>TL[[#This Row],[Société]]&amp;" - "&amp;TL[[#This Row],[Compte]]</f>
        <v/>
      </c>
      <c r="B4458" s="233" t="inlineStr">
        <is>
          <t>615622</t>
        </is>
      </c>
      <c r="C4458" s="227" t="inlineStr">
        <is>
          <t>Contrat sesam</t>
        </is>
      </c>
      <c r="D4458" s="233" t="inlineStr">
        <is>
          <t>16</t>
        </is>
      </c>
      <c r="E4458" s="233" t="inlineStr">
        <is>
          <t>19</t>
        </is>
      </c>
      <c r="F4458" s="227" t="inlineStr">
        <is>
          <t>HART</t>
        </is>
      </c>
    </row>
    <row r="4459">
      <c r="A4459" s="227">
        <f>TL[[#This Row],[Société]]&amp;" - "&amp;TL[[#This Row],[Compte]]</f>
        <v/>
      </c>
      <c r="B4459" s="233" t="inlineStr">
        <is>
          <t>615624</t>
        </is>
      </c>
      <c r="C4459" s="227" t="inlineStr">
        <is>
          <t>Contrat sacem</t>
        </is>
      </c>
      <c r="D4459" s="233" t="inlineStr">
        <is>
          <t>16</t>
        </is>
      </c>
      <c r="E4459" s="233" t="inlineStr">
        <is>
          <t>19</t>
        </is>
      </c>
      <c r="F4459" s="227" t="inlineStr">
        <is>
          <t>HART</t>
        </is>
      </c>
    </row>
    <row r="4460">
      <c r="A4460" s="227">
        <f>TL[[#This Row],[Société]]&amp;" - "&amp;TL[[#This Row],[Compte]]</f>
        <v/>
      </c>
      <c r="B4460" s="233" t="inlineStr">
        <is>
          <t>615626</t>
        </is>
      </c>
      <c r="C4460" s="227" t="inlineStr">
        <is>
          <t>Contrat collecte huiles usagées</t>
        </is>
      </c>
      <c r="D4460" s="233" t="inlineStr">
        <is>
          <t>16</t>
        </is>
      </c>
      <c r="E4460" s="233" t="inlineStr">
        <is>
          <t>19</t>
        </is>
      </c>
      <c r="F4460" s="227" t="inlineStr">
        <is>
          <t>HART</t>
        </is>
      </c>
    </row>
    <row r="4461">
      <c r="A4461" s="227">
        <f>TL[[#This Row],[Société]]&amp;" - "&amp;TL[[#This Row],[Compte]]</f>
        <v/>
      </c>
      <c r="B4461" s="233" t="inlineStr">
        <is>
          <t>615629</t>
        </is>
      </c>
      <c r="C4461" s="227" t="inlineStr">
        <is>
          <t>Contrat alarme</t>
        </is>
      </c>
      <c r="D4461" s="233" t="inlineStr">
        <is>
          <t>16</t>
        </is>
      </c>
      <c r="E4461" s="233" t="inlineStr">
        <is>
          <t>16</t>
        </is>
      </c>
      <c r="F4461" s="227" t="inlineStr">
        <is>
          <t>HART</t>
        </is>
      </c>
    </row>
    <row r="4462">
      <c r="A4462" s="227">
        <f>TL[[#This Row],[Société]]&amp;" - "&amp;TL[[#This Row],[Compte]]</f>
        <v/>
      </c>
      <c r="B4462" s="233" t="inlineStr">
        <is>
          <t>615632</t>
        </is>
      </c>
      <c r="C4462" s="227" t="inlineStr">
        <is>
          <t>Contrat ecolab amboile</t>
        </is>
      </c>
      <c r="D4462" s="233" t="inlineStr">
        <is>
          <t>16</t>
        </is>
      </c>
      <c r="E4462" s="233" t="inlineStr">
        <is>
          <t>19</t>
        </is>
      </c>
      <c r="F4462" s="227" t="inlineStr">
        <is>
          <t>HART</t>
        </is>
      </c>
    </row>
    <row r="4463">
      <c r="A4463" s="227">
        <f>TL[[#This Row],[Société]]&amp;" - "&amp;TL[[#This Row],[Compte]]</f>
        <v/>
      </c>
      <c r="B4463" s="233" t="inlineStr">
        <is>
          <t>615633</t>
        </is>
      </c>
      <c r="C4463" s="227" t="inlineStr">
        <is>
          <t>Contrat télésurveillance</t>
        </is>
      </c>
      <c r="D4463" s="233" t="inlineStr">
        <is>
          <t>16</t>
        </is>
      </c>
      <c r="E4463" s="233" t="inlineStr">
        <is>
          <t>16</t>
        </is>
      </c>
      <c r="F4463" s="227" t="inlineStr">
        <is>
          <t>HART</t>
        </is>
      </c>
    </row>
    <row r="4464">
      <c r="A4464" s="227">
        <f>TL[[#This Row],[Société]]&amp;" - "&amp;TL[[#This Row],[Compte]]</f>
        <v/>
      </c>
      <c r="B4464" s="233" t="inlineStr">
        <is>
          <t>615634</t>
        </is>
      </c>
      <c r="C4464" s="227" t="inlineStr">
        <is>
          <t>Contrat wifi</t>
        </is>
      </c>
      <c r="D4464" s="233" t="inlineStr">
        <is>
          <t>16</t>
        </is>
      </c>
      <c r="E4464" s="233" t="inlineStr">
        <is>
          <t>19</t>
        </is>
      </c>
      <c r="F4464" s="227" t="inlineStr">
        <is>
          <t>HART</t>
        </is>
      </c>
    </row>
    <row r="4465">
      <c r="A4465" s="227">
        <f>TL[[#This Row],[Société]]&amp;" - "&amp;TL[[#This Row],[Compte]]</f>
        <v/>
      </c>
      <c r="B4465" s="233" t="inlineStr">
        <is>
          <t>615637</t>
        </is>
      </c>
      <c r="C4465" s="227" t="inlineStr">
        <is>
          <t>ContraIt Interway</t>
        </is>
      </c>
      <c r="D4465" s="233" t="inlineStr">
        <is>
          <t>16</t>
        </is>
      </c>
      <c r="E4465" s="233" t="inlineStr">
        <is>
          <t>19</t>
        </is>
      </c>
      <c r="F4465" s="227" t="inlineStr">
        <is>
          <t>HART</t>
        </is>
      </c>
    </row>
    <row r="4466">
      <c r="A4466" s="227">
        <f>TL[[#This Row],[Société]]&amp;" - "&amp;TL[[#This Row],[Compte]]</f>
        <v/>
      </c>
      <c r="B4466" s="233" t="inlineStr">
        <is>
          <t>615644</t>
        </is>
      </c>
      <c r="C4466" s="227" t="inlineStr">
        <is>
          <t>Contrat Steeple</t>
        </is>
      </c>
      <c r="D4466" s="233" t="inlineStr">
        <is>
          <t>16</t>
        </is>
      </c>
      <c r="E4466" s="233" t="inlineStr">
        <is>
          <t>19</t>
        </is>
      </c>
      <c r="F4466" s="227" t="inlineStr">
        <is>
          <t>HART</t>
        </is>
      </c>
    </row>
    <row r="4467">
      <c r="A4467" s="227">
        <f>TL[[#This Row],[Société]]&amp;" - "&amp;TL[[#This Row],[Compte]]</f>
        <v/>
      </c>
      <c r="B4467" s="233" t="inlineStr">
        <is>
          <t>615645</t>
        </is>
      </c>
      <c r="C4467" s="227" t="inlineStr">
        <is>
          <t>Contrat enlevt dechets</t>
        </is>
      </c>
      <c r="D4467" s="233" t="inlineStr">
        <is>
          <t>16</t>
        </is>
      </c>
      <c r="E4467" s="233" t="inlineStr">
        <is>
          <t>19</t>
        </is>
      </c>
      <c r="F4467" s="227" t="inlineStr">
        <is>
          <t>HART</t>
        </is>
      </c>
    </row>
    <row r="4468">
      <c r="A4468" s="227">
        <f>TL[[#This Row],[Société]]&amp;" - "&amp;TL[[#This Row],[Compte]]</f>
        <v/>
      </c>
      <c r="B4468" s="233" t="inlineStr">
        <is>
          <t>615647</t>
        </is>
      </c>
      <c r="C4468" s="227" t="inlineStr">
        <is>
          <t>Contrat coca maintenance</t>
        </is>
      </c>
      <c r="D4468" s="233" t="inlineStr">
        <is>
          <t>16</t>
        </is>
      </c>
      <c r="E4468" s="233" t="inlineStr">
        <is>
          <t>19</t>
        </is>
      </c>
      <c r="F4468" s="227" t="inlineStr">
        <is>
          <t>HART</t>
        </is>
      </c>
    </row>
    <row r="4469">
      <c r="A4469" s="227">
        <f>TL[[#This Row],[Société]]&amp;" - "&amp;TL[[#This Row],[Compte]]</f>
        <v/>
      </c>
      <c r="B4469" s="233" t="inlineStr">
        <is>
          <t>615648</t>
        </is>
      </c>
      <c r="C4469" s="227" t="inlineStr">
        <is>
          <t>Contrat Maje entretien aire jeux</t>
        </is>
      </c>
      <c r="D4469" s="233" t="inlineStr">
        <is>
          <t>16</t>
        </is>
      </c>
      <c r="E4469" s="233" t="inlineStr">
        <is>
          <t>19</t>
        </is>
      </c>
      <c r="F4469" s="227" t="inlineStr">
        <is>
          <t>HART</t>
        </is>
      </c>
    </row>
    <row r="4470">
      <c r="A4470" s="227">
        <f>TL[[#This Row],[Société]]&amp;" - "&amp;TL[[#This Row],[Compte]]</f>
        <v/>
      </c>
      <c r="B4470" s="233" t="inlineStr">
        <is>
          <t>615651</t>
        </is>
      </c>
      <c r="C4470" s="227" t="inlineStr">
        <is>
          <t>Abonnement recru net</t>
        </is>
      </c>
      <c r="D4470" s="233" t="inlineStr">
        <is>
          <t>16</t>
        </is>
      </c>
      <c r="E4470" s="233" t="inlineStr">
        <is>
          <t>19</t>
        </is>
      </c>
      <c r="F4470" s="227" t="inlineStr">
        <is>
          <t>HART</t>
        </is>
      </c>
    </row>
    <row r="4471">
      <c r="A4471" s="227">
        <f>TL[[#This Row],[Société]]&amp;" - "&amp;TL[[#This Row],[Compte]]</f>
        <v/>
      </c>
      <c r="B4471" s="233" t="inlineStr">
        <is>
          <t>615652</t>
        </is>
      </c>
      <c r="C4471" s="227" t="inlineStr">
        <is>
          <t>Contrat Guldagil</t>
        </is>
      </c>
      <c r="D4471" s="233" t="inlineStr">
        <is>
          <t>16</t>
        </is>
      </c>
      <c r="E4471" s="233" t="inlineStr">
        <is>
          <t>19</t>
        </is>
      </c>
      <c r="F4471" s="227" t="inlineStr">
        <is>
          <t>HART</t>
        </is>
      </c>
    </row>
    <row r="4472">
      <c r="A4472" s="227">
        <f>TL[[#This Row],[Société]]&amp;" - "&amp;TL[[#This Row],[Compte]]</f>
        <v/>
      </c>
      <c r="B4472" s="233" t="inlineStr">
        <is>
          <t>615653</t>
        </is>
      </c>
      <c r="C4472" s="227" t="inlineStr">
        <is>
          <t>Contrat réflex services</t>
        </is>
      </c>
      <c r="D4472" s="233" t="inlineStr">
        <is>
          <t>16</t>
        </is>
      </c>
      <c r="E4472" s="233" t="inlineStr">
        <is>
          <t>19</t>
        </is>
      </c>
      <c r="F4472" s="227" t="inlineStr">
        <is>
          <t>HART</t>
        </is>
      </c>
    </row>
    <row r="4473">
      <c r="A4473" s="227">
        <f>TL[[#This Row],[Société]]&amp;" - "&amp;TL[[#This Row],[Compte]]</f>
        <v/>
      </c>
      <c r="B4473" s="233" t="inlineStr">
        <is>
          <t>615654</t>
        </is>
      </c>
      <c r="C4473" s="227" t="inlineStr">
        <is>
          <t>Contrat jri</t>
        </is>
      </c>
      <c r="D4473" s="233" t="inlineStr">
        <is>
          <t>16</t>
        </is>
      </c>
      <c r="E4473" s="233" t="inlineStr">
        <is>
          <t>19</t>
        </is>
      </c>
      <c r="F4473" s="227" t="inlineStr">
        <is>
          <t>HART</t>
        </is>
      </c>
    </row>
    <row r="4474">
      <c r="A4474" s="227">
        <f>TL[[#This Row],[Société]]&amp;" - "&amp;TL[[#This Row],[Compte]]</f>
        <v/>
      </c>
      <c r="B4474" s="233" t="inlineStr">
        <is>
          <t>615655</t>
        </is>
      </c>
      <c r="C4474" s="227" t="inlineStr">
        <is>
          <t>Contrat socotec</t>
        </is>
      </c>
      <c r="D4474" s="233" t="inlineStr">
        <is>
          <t>16</t>
        </is>
      </c>
      <c r="E4474" s="233" t="inlineStr">
        <is>
          <t>19</t>
        </is>
      </c>
      <c r="F4474" s="227" t="inlineStr">
        <is>
          <t>HART</t>
        </is>
      </c>
    </row>
    <row r="4475">
      <c r="A4475" s="227">
        <f>TL[[#This Row],[Société]]&amp;" - "&amp;TL[[#This Row],[Compte]]</f>
        <v/>
      </c>
      <c r="B4475" s="233" t="inlineStr">
        <is>
          <t>615657</t>
        </is>
      </c>
      <c r="C4475" s="227" t="inlineStr">
        <is>
          <t>Contrat ISS</t>
        </is>
      </c>
      <c r="D4475" s="233" t="inlineStr">
        <is>
          <t>16</t>
        </is>
      </c>
      <c r="E4475" s="233" t="inlineStr">
        <is>
          <t>19</t>
        </is>
      </c>
      <c r="F4475" s="227" t="inlineStr">
        <is>
          <t>HART</t>
        </is>
      </c>
    </row>
    <row r="4476">
      <c r="A4476" s="227">
        <f>TL[[#This Row],[Société]]&amp;" - "&amp;TL[[#This Row],[Compte]]</f>
        <v/>
      </c>
      <c r="B4476" s="233" t="inlineStr">
        <is>
          <t>615658</t>
        </is>
      </c>
      <c r="C4476" s="227" t="inlineStr">
        <is>
          <t>Contrat Mood</t>
        </is>
      </c>
      <c r="D4476" s="233" t="inlineStr">
        <is>
          <t>16</t>
        </is>
      </c>
      <c r="E4476" s="233" t="inlineStr">
        <is>
          <t>19</t>
        </is>
      </c>
      <c r="F4476" s="227" t="inlineStr">
        <is>
          <t>HART</t>
        </is>
      </c>
    </row>
    <row r="4477">
      <c r="A4477" s="227">
        <f>TL[[#This Row],[Société]]&amp;" - "&amp;TL[[#This Row],[Compte]]</f>
        <v/>
      </c>
      <c r="B4477" s="233" t="inlineStr">
        <is>
          <t>615659</t>
        </is>
      </c>
      <c r="C4477" s="227" t="inlineStr">
        <is>
          <t>Ne pas utiliser</t>
        </is>
      </c>
      <c r="D4477" s="233" t="inlineStr">
        <is>
          <t>16</t>
        </is>
      </c>
      <c r="E4477" s="233" t="inlineStr">
        <is>
          <t>19</t>
        </is>
      </c>
      <c r="F4477" s="227" t="inlineStr">
        <is>
          <t>HART</t>
        </is>
      </c>
    </row>
    <row r="4478">
      <c r="A4478" s="227">
        <f>TL[[#This Row],[Société]]&amp;" - "&amp;TL[[#This Row],[Compte]]</f>
        <v/>
      </c>
      <c r="B4478" s="233" t="inlineStr">
        <is>
          <t>615661</t>
        </is>
      </c>
      <c r="C4478" s="227" t="inlineStr">
        <is>
          <t>application suivi perf</t>
        </is>
      </c>
      <c r="D4478" s="233" t="inlineStr">
        <is>
          <t>16</t>
        </is>
      </c>
      <c r="E4478" s="233" t="inlineStr">
        <is>
          <t>19</t>
        </is>
      </c>
      <c r="F4478" s="227" t="inlineStr">
        <is>
          <t>HART</t>
        </is>
      </c>
    </row>
    <row r="4479">
      <c r="A4479" s="227">
        <f>TL[[#This Row],[Société]]&amp;" - "&amp;TL[[#This Row],[Compte]]</f>
        <v/>
      </c>
      <c r="B4479" s="233" t="inlineStr">
        <is>
          <t>616001</t>
        </is>
      </c>
      <c r="C4479" s="227" t="inlineStr">
        <is>
          <t>Assurance multirisques</t>
        </is>
      </c>
      <c r="D4479" s="233" t="inlineStr">
        <is>
          <t>33</t>
        </is>
      </c>
      <c r="E4479" s="233" t="inlineStr">
        <is>
          <t>36</t>
        </is>
      </c>
      <c r="F4479" s="227" t="inlineStr">
        <is>
          <t>HART</t>
        </is>
      </c>
    </row>
    <row r="4480">
      <c r="A4480" s="227">
        <f>TL[[#This Row],[Société]]&amp;" - "&amp;TL[[#This Row],[Compte]]</f>
        <v/>
      </c>
      <c r="B4480" s="233" t="inlineStr">
        <is>
          <t>616002</t>
        </is>
      </c>
      <c r="C4480" s="227" t="inlineStr">
        <is>
          <t>Assurances diverses</t>
        </is>
      </c>
      <c r="D4480" s="233" t="inlineStr">
        <is>
          <t>33</t>
        </is>
      </c>
      <c r="E4480" s="233" t="inlineStr">
        <is>
          <t>36</t>
        </is>
      </c>
      <c r="F4480" s="227" t="inlineStr">
        <is>
          <t>HART</t>
        </is>
      </c>
    </row>
    <row r="4481">
      <c r="A4481" s="227">
        <f>TL[[#This Row],[Société]]&amp;" - "&amp;TL[[#This Row],[Compte]]</f>
        <v/>
      </c>
      <c r="B4481" s="233" t="inlineStr">
        <is>
          <t>616100</t>
        </is>
      </c>
      <c r="C4481" s="227" t="inlineStr">
        <is>
          <t>Assurances agf npu</t>
        </is>
      </c>
      <c r="D4481" s="233" t="inlineStr">
        <is>
          <t>33</t>
        </is>
      </c>
      <c r="E4481" s="233" t="inlineStr">
        <is>
          <t>36</t>
        </is>
      </c>
      <c r="F4481" s="227" t="inlineStr">
        <is>
          <t>HART</t>
        </is>
      </c>
    </row>
    <row r="4482">
      <c r="A4482" s="227">
        <f>TL[[#This Row],[Société]]&amp;" - "&amp;TL[[#This Row],[Compte]]</f>
        <v/>
      </c>
      <c r="B4482" s="233" t="inlineStr">
        <is>
          <t>616200</t>
        </is>
      </c>
      <c r="C4482" s="227" t="inlineStr">
        <is>
          <t>Assurances diverses npu</t>
        </is>
      </c>
      <c r="D4482" s="233" t="inlineStr">
        <is>
          <t>33</t>
        </is>
      </c>
      <c r="E4482" s="233" t="inlineStr">
        <is>
          <t>36</t>
        </is>
      </c>
      <c r="F4482" s="227" t="inlineStr">
        <is>
          <t>HART</t>
        </is>
      </c>
    </row>
    <row r="4483">
      <c r="A4483" s="227">
        <f>TL[[#This Row],[Société]]&amp;" - "&amp;TL[[#This Row],[Compte]]</f>
        <v/>
      </c>
      <c r="B4483" s="233" t="inlineStr">
        <is>
          <t>621013</t>
        </is>
      </c>
      <c r="C4483" s="227" t="inlineStr">
        <is>
          <t>Ne pas utiliser</t>
        </is>
      </c>
      <c r="D4483" s="233" t="inlineStr">
        <is>
          <t>39</t>
        </is>
      </c>
      <c r="F4483" s="227" t="inlineStr">
        <is>
          <t>HART</t>
        </is>
      </c>
    </row>
    <row r="4484">
      <c r="A4484" s="227">
        <f>TL[[#This Row],[Société]]&amp;" - "&amp;TL[[#This Row],[Compte]]</f>
        <v/>
      </c>
      <c r="B4484" s="233" t="inlineStr">
        <is>
          <t>621010</t>
        </is>
      </c>
      <c r="C4484" s="227" t="inlineStr">
        <is>
          <t>Prets de personnel</t>
        </is>
      </c>
      <c r="D4484" s="233" t="inlineStr">
        <is>
          <t>39</t>
        </is>
      </c>
      <c r="E4484" s="233" t="inlineStr">
        <is>
          <t>13</t>
        </is>
      </c>
      <c r="F4484" s="227" t="inlineStr">
        <is>
          <t>HART</t>
        </is>
      </c>
    </row>
    <row r="4485">
      <c r="A4485" s="227">
        <f>TL[[#This Row],[Société]]&amp;" - "&amp;TL[[#This Row],[Compte]]</f>
        <v/>
      </c>
      <c r="B4485" s="233" t="inlineStr">
        <is>
          <t>621012</t>
        </is>
      </c>
      <c r="C4485" s="227" t="inlineStr">
        <is>
          <t>Prets de personnel</t>
        </is>
      </c>
      <c r="D4485" s="233" t="inlineStr">
        <is>
          <t>39</t>
        </is>
      </c>
      <c r="E4485" s="233" t="inlineStr">
        <is>
          <t>13</t>
        </is>
      </c>
      <c r="F4485" s="227" t="inlineStr">
        <is>
          <t>HART</t>
        </is>
      </c>
    </row>
    <row r="4486">
      <c r="A4486" s="227">
        <f>TL[[#This Row],[Société]]&amp;" - "&amp;TL[[#This Row],[Compte]]</f>
        <v/>
      </c>
      <c r="B4486" s="233" t="inlineStr">
        <is>
          <t>641063</t>
        </is>
      </c>
      <c r="C4486" s="227" t="inlineStr">
        <is>
          <t>Divers</t>
        </is>
      </c>
      <c r="D4486" s="233" t="inlineStr">
        <is>
          <t>10</t>
        </is>
      </c>
      <c r="E4486" s="233" t="inlineStr">
        <is>
          <t>08</t>
        </is>
      </c>
      <c r="F4486" s="227" t="inlineStr">
        <is>
          <t>HART</t>
        </is>
      </c>
    </row>
    <row r="4487">
      <c r="A4487" s="227">
        <f>TL[[#This Row],[Société]]&amp;" - "&amp;TL[[#This Row],[Compte]]</f>
        <v/>
      </c>
      <c r="B4487" s="233" t="inlineStr">
        <is>
          <t>621401</t>
        </is>
      </c>
      <c r="C4487" s="227" t="inlineStr">
        <is>
          <t>Prêt personnel équipiers</t>
        </is>
      </c>
      <c r="D4487" s="233" t="inlineStr">
        <is>
          <t>10</t>
        </is>
      </c>
      <c r="E4487" s="233" t="inlineStr">
        <is>
          <t>08</t>
        </is>
      </c>
      <c r="F4487" s="227" t="inlineStr">
        <is>
          <t>HART</t>
        </is>
      </c>
    </row>
    <row r="4488">
      <c r="A4488" s="227">
        <f>TL[[#This Row],[Société]]&amp;" - "&amp;TL[[#This Row],[Compte]]</f>
        <v/>
      </c>
      <c r="B4488" s="233" t="inlineStr">
        <is>
          <t>621402</t>
        </is>
      </c>
      <c r="C4488" s="227" t="inlineStr">
        <is>
          <t>Ne pas utiliser</t>
        </is>
      </c>
      <c r="D4488" s="233" t="inlineStr">
        <is>
          <t>11</t>
        </is>
      </c>
      <c r="F4488" s="227" t="inlineStr">
        <is>
          <t>HART</t>
        </is>
      </c>
    </row>
    <row r="4489">
      <c r="A4489" s="227">
        <f>TL[[#This Row],[Société]]&amp;" - "&amp;TL[[#This Row],[Compte]]</f>
        <v/>
      </c>
      <c r="B4489" s="233" t="inlineStr">
        <is>
          <t>621404</t>
        </is>
      </c>
      <c r="C4489" s="227" t="inlineStr">
        <is>
          <t>Prêt personnel manager</t>
        </is>
      </c>
      <c r="D4489" s="233" t="inlineStr">
        <is>
          <t>11</t>
        </is>
      </c>
      <c r="E4489" s="233" t="inlineStr">
        <is>
          <t>10</t>
        </is>
      </c>
      <c r="F4489" s="227" t="inlineStr">
        <is>
          <t>HART</t>
        </is>
      </c>
    </row>
    <row r="4490">
      <c r="A4490" s="227">
        <f>TL[[#This Row],[Société]]&amp;" - "&amp;TL[[#This Row],[Compte]]</f>
        <v/>
      </c>
      <c r="B4490" s="233" t="inlineStr">
        <is>
          <t>621405</t>
        </is>
      </c>
      <c r="C4490" s="227" t="inlineStr">
        <is>
          <t>Prêt personnel technique</t>
        </is>
      </c>
      <c r="D4490" s="233" t="inlineStr">
        <is>
          <t>39</t>
        </is>
      </c>
      <c r="E4490" s="233" t="inlineStr">
        <is>
          <t>13</t>
        </is>
      </c>
      <c r="F4490" s="227" t="inlineStr">
        <is>
          <t>HART</t>
        </is>
      </c>
    </row>
    <row r="4491">
      <c r="A4491" s="227">
        <f>TL[[#This Row],[Société]]&amp;" - "&amp;TL[[#This Row],[Compte]]</f>
        <v/>
      </c>
      <c r="B4491" s="233" t="inlineStr">
        <is>
          <t>621406</t>
        </is>
      </c>
      <c r="C4491" s="227" t="inlineStr">
        <is>
          <t>Ne pas utiliser</t>
        </is>
      </c>
      <c r="D4491" s="233" t="inlineStr">
        <is>
          <t>39</t>
        </is>
      </c>
      <c r="E4491" s="240" t="inlineStr">
        <is>
          <t>13</t>
        </is>
      </c>
      <c r="F4491" s="227" t="inlineStr">
        <is>
          <t>HART</t>
        </is>
      </c>
    </row>
    <row r="4492">
      <c r="A4492" s="227">
        <f>TL[[#This Row],[Société]]&amp;" - "&amp;TL[[#This Row],[Compte]]</f>
        <v/>
      </c>
      <c r="B4492" s="233" t="inlineStr">
        <is>
          <t>621407</t>
        </is>
      </c>
      <c r="C4492" s="227" t="inlineStr">
        <is>
          <t>Ne pas utiliser</t>
        </is>
      </c>
      <c r="D4492" s="233" t="inlineStr">
        <is>
          <t>39</t>
        </is>
      </c>
      <c r="E4492" s="240" t="inlineStr">
        <is>
          <t>13</t>
        </is>
      </c>
      <c r="F4492" s="227" t="inlineStr">
        <is>
          <t>HART</t>
        </is>
      </c>
    </row>
    <row r="4493">
      <c r="A4493" s="227">
        <f>TL[[#This Row],[Société]]&amp;" - "&amp;TL[[#This Row],[Compte]]</f>
        <v/>
      </c>
      <c r="B4493" s="233" t="inlineStr">
        <is>
          <t>622600</t>
        </is>
      </c>
      <c r="C4493" s="227" t="inlineStr">
        <is>
          <t>Honoraires comptables</t>
        </is>
      </c>
      <c r="D4493" s="233" t="inlineStr">
        <is>
          <t>32</t>
        </is>
      </c>
      <c r="E4493" s="233" t="inlineStr">
        <is>
          <t>35</t>
        </is>
      </c>
      <c r="F4493" s="227" t="inlineStr">
        <is>
          <t>HART</t>
        </is>
      </c>
    </row>
    <row r="4494">
      <c r="A4494" s="227">
        <f>TL[[#This Row],[Société]]&amp;" - "&amp;TL[[#This Row],[Compte]]</f>
        <v/>
      </c>
      <c r="B4494" s="233" t="inlineStr">
        <is>
          <t>622660</t>
        </is>
      </c>
      <c r="C4494" s="227" t="inlineStr">
        <is>
          <t>Honoraires juridiques</t>
        </is>
      </c>
      <c r="D4494" s="233" t="inlineStr">
        <is>
          <t>32</t>
        </is>
      </c>
      <c r="E4494" s="233" t="inlineStr">
        <is>
          <t>35</t>
        </is>
      </c>
      <c r="F4494" s="227" t="inlineStr">
        <is>
          <t>HART</t>
        </is>
      </c>
    </row>
    <row r="4495">
      <c r="A4495" s="227">
        <f>TL[[#This Row],[Société]]&amp;" - "&amp;TL[[#This Row],[Compte]]</f>
        <v/>
      </c>
      <c r="B4495" s="233" t="inlineStr">
        <is>
          <t>622700</t>
        </is>
      </c>
      <c r="C4495" s="227" t="inlineStr">
        <is>
          <t>Frais d'actes/contentieux</t>
        </is>
      </c>
      <c r="D4495" s="233" t="inlineStr">
        <is>
          <t>32</t>
        </is>
      </c>
      <c r="E4495" s="233" t="inlineStr">
        <is>
          <t>35</t>
        </is>
      </c>
      <c r="F4495" s="227" t="inlineStr">
        <is>
          <t>HART</t>
        </is>
      </c>
    </row>
    <row r="4496">
      <c r="A4496" s="227">
        <f>TL[[#This Row],[Société]]&amp;" - "&amp;TL[[#This Row],[Compte]]</f>
        <v/>
      </c>
      <c r="B4496" s="233" t="inlineStr">
        <is>
          <t>622800</t>
        </is>
      </c>
      <c r="C4496" s="227" t="inlineStr">
        <is>
          <t>Rémun. &amp; honoraires divers</t>
        </is>
      </c>
      <c r="D4496" s="233" t="inlineStr">
        <is>
          <t>32</t>
        </is>
      </c>
      <c r="E4496" s="233" t="inlineStr">
        <is>
          <t>35</t>
        </is>
      </c>
      <c r="F4496" s="227" t="inlineStr">
        <is>
          <t>HART</t>
        </is>
      </c>
    </row>
    <row r="4497">
      <c r="A4497" s="227">
        <f>TL[[#This Row],[Société]]&amp;" - "&amp;TL[[#This Row],[Compte]]</f>
        <v/>
      </c>
      <c r="B4497" s="233" t="inlineStr">
        <is>
          <t>623000</t>
        </is>
      </c>
      <c r="C4497" s="227" t="inlineStr">
        <is>
          <t>Publicite gie</t>
        </is>
      </c>
      <c r="D4497" s="233" t="inlineStr">
        <is>
          <t>14</t>
        </is>
      </c>
      <c r="E4497" s="233" t="inlineStr">
        <is>
          <t>22</t>
        </is>
      </c>
      <c r="F4497" s="227" t="inlineStr">
        <is>
          <t>HART</t>
        </is>
      </c>
    </row>
    <row r="4498">
      <c r="A4498" s="227">
        <f>TL[[#This Row],[Société]]&amp;" - "&amp;TL[[#This Row],[Compte]]</f>
        <v/>
      </c>
      <c r="B4498" s="233" t="inlineStr">
        <is>
          <t>623002</t>
        </is>
      </c>
      <c r="C4498" s="227" t="inlineStr">
        <is>
          <t>Publicite locale</t>
        </is>
      </c>
      <c r="D4498" s="233" t="inlineStr">
        <is>
          <t>15</t>
        </is>
      </c>
      <c r="E4498" s="233" t="inlineStr">
        <is>
          <t>23</t>
        </is>
      </c>
      <c r="F4498" s="227" t="inlineStr">
        <is>
          <t>HART</t>
        </is>
      </c>
    </row>
    <row r="4499">
      <c r="A4499" s="227">
        <f>TL[[#This Row],[Société]]&amp;" - "&amp;TL[[#This Row],[Compte]]</f>
        <v/>
      </c>
      <c r="B4499" s="233" t="inlineStr">
        <is>
          <t>623050</t>
        </is>
      </c>
      <c r="C4499" s="227" t="inlineStr">
        <is>
          <t>Publicite promotion</t>
        </is>
      </c>
      <c r="D4499" s="233" t="inlineStr">
        <is>
          <t>15</t>
        </is>
      </c>
      <c r="E4499" s="233" t="inlineStr">
        <is>
          <t>23</t>
        </is>
      </c>
      <c r="F4499" s="227" t="inlineStr">
        <is>
          <t>HART</t>
        </is>
      </c>
    </row>
    <row r="4500">
      <c r="A4500" s="227">
        <f>TL[[#This Row],[Société]]&amp;" - "&amp;TL[[#This Row],[Compte]]</f>
        <v/>
      </c>
      <c r="B4500" s="233" t="inlineStr">
        <is>
          <t>623400</t>
        </is>
      </c>
      <c r="C4500" s="227" t="inlineStr">
        <is>
          <t>Cadeaux</t>
        </is>
      </c>
      <c r="D4500" s="233" t="inlineStr">
        <is>
          <t>15</t>
        </is>
      </c>
      <c r="E4500" s="233" t="inlineStr">
        <is>
          <t>23</t>
        </is>
      </c>
      <c r="F4500" s="227" t="inlineStr">
        <is>
          <t>HART</t>
        </is>
      </c>
    </row>
    <row r="4501">
      <c r="A4501" s="227">
        <f>TL[[#This Row],[Société]]&amp;" - "&amp;TL[[#This Row],[Compte]]</f>
        <v/>
      </c>
      <c r="B4501" s="233" t="inlineStr">
        <is>
          <t>623401</t>
        </is>
      </c>
      <c r="C4501" s="227" t="inlineStr">
        <is>
          <t>Promotions</t>
        </is>
      </c>
      <c r="D4501" s="233" t="inlineStr">
        <is>
          <t>15</t>
        </is>
      </c>
      <c r="E4501" s="233" t="inlineStr">
        <is>
          <t>23</t>
        </is>
      </c>
      <c r="F4501" s="227" t="inlineStr">
        <is>
          <t>HART</t>
        </is>
      </c>
    </row>
    <row r="4502">
      <c r="A4502" s="227">
        <f>TL[[#This Row],[Société]]&amp;" - "&amp;TL[[#This Row],[Compte]]</f>
        <v/>
      </c>
      <c r="B4502" s="233" t="inlineStr">
        <is>
          <t>623415</t>
        </is>
      </c>
      <c r="C4502" s="227" t="inlineStr">
        <is>
          <t>Premiums</t>
        </is>
      </c>
      <c r="D4502" s="233" t="inlineStr">
        <is>
          <t>15</t>
        </is>
      </c>
      <c r="E4502" s="233" t="inlineStr">
        <is>
          <t>23</t>
        </is>
      </c>
      <c r="F4502" s="227" t="inlineStr">
        <is>
          <t>HART</t>
        </is>
      </c>
    </row>
    <row r="4503">
      <c r="A4503" s="227">
        <f>TL[[#This Row],[Société]]&amp;" - "&amp;TL[[#This Row],[Compte]]</f>
        <v/>
      </c>
      <c r="B4503" s="233" t="inlineStr">
        <is>
          <t>625000</t>
        </is>
      </c>
      <c r="C4503" s="227" t="inlineStr">
        <is>
          <t>SALAIRES 09/2022</t>
        </is>
      </c>
      <c r="F4503" s="227" t="inlineStr">
        <is>
          <t>HART</t>
        </is>
      </c>
    </row>
    <row r="4504">
      <c r="A4504" s="227">
        <f>TL[[#This Row],[Société]]&amp;" - "&amp;TL[[#This Row],[Compte]]</f>
        <v/>
      </c>
      <c r="B4504" s="233" t="inlineStr">
        <is>
          <t>625200</t>
        </is>
      </c>
      <c r="C4504" s="227" t="inlineStr">
        <is>
          <t>Frais de déplacement</t>
        </is>
      </c>
      <c r="D4504" s="233" t="inlineStr">
        <is>
          <t>13</t>
        </is>
      </c>
      <c r="E4504" s="233" t="inlineStr">
        <is>
          <t>26</t>
        </is>
      </c>
      <c r="F4504" s="227" t="inlineStr">
        <is>
          <t>HART</t>
        </is>
      </c>
    </row>
    <row r="4505">
      <c r="A4505" s="227">
        <f>TL[[#This Row],[Société]]&amp;" - "&amp;TL[[#This Row],[Compte]]</f>
        <v/>
      </c>
      <c r="B4505" s="233" t="inlineStr">
        <is>
          <t>625210</t>
        </is>
      </c>
      <c r="C4505" s="227" t="inlineStr">
        <is>
          <t>Voy deplacement perso technique</t>
        </is>
      </c>
      <c r="D4505" s="233" t="inlineStr">
        <is>
          <t>39</t>
        </is>
      </c>
      <c r="E4505" s="233" t="inlineStr">
        <is>
          <t>40</t>
        </is>
      </c>
      <c r="F4505" s="227" t="inlineStr">
        <is>
          <t>HART</t>
        </is>
      </c>
    </row>
    <row r="4506">
      <c r="A4506" s="227">
        <f>TL[[#This Row],[Société]]&amp;" - "&amp;TL[[#This Row],[Compte]]</f>
        <v/>
      </c>
      <c r="B4506" s="233" t="inlineStr">
        <is>
          <t>625701</t>
        </is>
      </c>
      <c r="C4506" s="227" t="inlineStr">
        <is>
          <t>Frais de mission reception</t>
        </is>
      </c>
      <c r="D4506" s="239" t="inlineStr">
        <is>
          <t>23</t>
        </is>
      </c>
      <c r="E4506" s="233" t="inlineStr">
        <is>
          <t>27</t>
        </is>
      </c>
      <c r="F4506" s="227" t="inlineStr">
        <is>
          <t>HART</t>
        </is>
      </c>
    </row>
    <row r="4507">
      <c r="A4507" s="227">
        <f>TL[[#This Row],[Société]]&amp;" - "&amp;TL[[#This Row],[Compte]]</f>
        <v/>
      </c>
      <c r="B4507" s="233" t="inlineStr">
        <is>
          <t>626100</t>
        </is>
      </c>
      <c r="C4507" s="227" t="inlineStr">
        <is>
          <t>Frais postaux</t>
        </is>
      </c>
      <c r="D4507" s="233" t="inlineStr">
        <is>
          <t>20</t>
        </is>
      </c>
      <c r="E4507" s="233" t="inlineStr">
        <is>
          <t>24</t>
        </is>
      </c>
      <c r="F4507" s="227" t="inlineStr">
        <is>
          <t>HART</t>
        </is>
      </c>
    </row>
    <row r="4508">
      <c r="A4508" s="227">
        <f>TL[[#This Row],[Société]]&amp;" - "&amp;TL[[#This Row],[Compte]]</f>
        <v/>
      </c>
      <c r="B4508" s="233" t="inlineStr">
        <is>
          <t>626200</t>
        </is>
      </c>
      <c r="C4508" s="227" t="inlineStr">
        <is>
          <t>Téléphone</t>
        </is>
      </c>
      <c r="D4508" s="233" t="inlineStr">
        <is>
          <t>20</t>
        </is>
      </c>
      <c r="E4508" s="233" t="inlineStr">
        <is>
          <t>24</t>
        </is>
      </c>
      <c r="F4508" s="227" t="inlineStr">
        <is>
          <t>HART</t>
        </is>
      </c>
    </row>
    <row r="4509">
      <c r="A4509" s="227">
        <f>TL[[#This Row],[Société]]&amp;" - "&amp;TL[[#This Row],[Compte]]</f>
        <v/>
      </c>
      <c r="B4509" s="233" t="inlineStr">
        <is>
          <t>627801</t>
        </is>
      </c>
      <c r="C4509" s="227" t="inlineStr">
        <is>
          <t>Services bancaries et ass</t>
        </is>
      </c>
      <c r="D4509" s="233" t="inlineStr">
        <is>
          <t>37</t>
        </is>
      </c>
      <c r="E4509" s="233" t="inlineStr">
        <is>
          <t>17</t>
        </is>
      </c>
      <c r="F4509" s="227" t="inlineStr">
        <is>
          <t>HART</t>
        </is>
      </c>
    </row>
    <row r="4510">
      <c r="A4510" s="227">
        <f>TL[[#This Row],[Société]]&amp;" - "&amp;TL[[#This Row],[Compte]]</f>
        <v/>
      </c>
      <c r="B4510" s="233" t="inlineStr">
        <is>
          <t>627802</t>
        </is>
      </c>
      <c r="C4510" s="227" t="inlineStr">
        <is>
          <t>Commissions cb</t>
        </is>
      </c>
      <c r="D4510" s="233" t="inlineStr">
        <is>
          <t>37</t>
        </is>
      </c>
      <c r="E4510" s="233" t="inlineStr">
        <is>
          <t>17</t>
        </is>
      </c>
      <c r="F4510" s="227" t="inlineStr">
        <is>
          <t>HART</t>
        </is>
      </c>
    </row>
    <row r="4511">
      <c r="A4511" s="227">
        <f>TL[[#This Row],[Société]]&amp;" - "&amp;TL[[#This Row],[Compte]]</f>
        <v/>
      </c>
      <c r="B4511" s="233" t="inlineStr">
        <is>
          <t>627803</t>
        </is>
      </c>
      <c r="C4511" s="227" t="inlineStr">
        <is>
          <t>Commissions tr</t>
        </is>
      </c>
      <c r="D4511" s="233" t="inlineStr">
        <is>
          <t>37</t>
        </is>
      </c>
      <c r="E4511" s="233" t="inlineStr">
        <is>
          <t>17</t>
        </is>
      </c>
      <c r="F4511" s="227" t="inlineStr">
        <is>
          <t>HART</t>
        </is>
      </c>
    </row>
    <row r="4512">
      <c r="A4512" s="227">
        <f>TL[[#This Row],[Société]]&amp;" - "&amp;TL[[#This Row],[Compte]]</f>
        <v/>
      </c>
      <c r="B4512" s="233" t="inlineStr">
        <is>
          <t>627805</t>
        </is>
      </c>
      <c r="C4512" s="227" t="inlineStr">
        <is>
          <t>Commissions cv</t>
        </is>
      </c>
      <c r="D4512" s="233" t="inlineStr">
        <is>
          <t>37</t>
        </is>
      </c>
      <c r="E4512" s="233" t="inlineStr">
        <is>
          <t>17</t>
        </is>
      </c>
      <c r="F4512" s="227" t="inlineStr">
        <is>
          <t>HART</t>
        </is>
      </c>
    </row>
    <row r="4513">
      <c r="A4513" s="227">
        <f>TL[[#This Row],[Société]]&amp;" - "&amp;TL[[#This Row],[Compte]]</f>
        <v/>
      </c>
      <c r="B4513" s="233" t="inlineStr">
        <is>
          <t>628023</t>
        </is>
      </c>
      <c r="C4513" s="227" t="inlineStr">
        <is>
          <t>Frais divers</t>
        </is>
      </c>
      <c r="D4513" s="233" t="inlineStr">
        <is>
          <t>23</t>
        </is>
      </c>
      <c r="E4513" s="233" t="inlineStr">
        <is>
          <t>27</t>
        </is>
      </c>
      <c r="F4513" s="227" t="inlineStr">
        <is>
          <t>HART</t>
        </is>
      </c>
    </row>
    <row r="4514">
      <c r="A4514" s="227">
        <f>TL[[#This Row],[Société]]&amp;" - "&amp;TL[[#This Row],[Compte]]</f>
        <v/>
      </c>
      <c r="B4514" s="233" t="inlineStr">
        <is>
          <t>628220</t>
        </is>
      </c>
      <c r="C4514" s="227" t="inlineStr">
        <is>
          <t>Ne pas utiliser</t>
        </is>
      </c>
      <c r="D4514" s="233" t="inlineStr">
        <is>
          <t>51</t>
        </is>
      </c>
      <c r="E4514" s="240" t="inlineStr">
        <is>
          <t>46</t>
        </is>
      </c>
      <c r="F4514" s="227" t="inlineStr">
        <is>
          <t>HART</t>
        </is>
      </c>
    </row>
    <row r="4515">
      <c r="A4515" s="227">
        <f>TL[[#This Row],[Société]]&amp;" - "&amp;TL[[#This Row],[Compte]]</f>
        <v/>
      </c>
      <c r="B4515" s="233" t="inlineStr">
        <is>
          <t>628230</t>
        </is>
      </c>
      <c r="C4515" s="227" t="inlineStr">
        <is>
          <t>Redevance RTH</t>
        </is>
      </c>
      <c r="D4515" s="233" t="inlineStr">
        <is>
          <t>51</t>
        </is>
      </c>
      <c r="E4515" s="233" t="inlineStr">
        <is>
          <t>46</t>
        </is>
      </c>
      <c r="F4515" s="227" t="inlineStr">
        <is>
          <t>HART</t>
        </is>
      </c>
    </row>
    <row r="4516">
      <c r="A4516" s="227">
        <f>TL[[#This Row],[Société]]&amp;" - "&amp;TL[[#This Row],[Compte]]</f>
        <v/>
      </c>
      <c r="B4516" s="233" t="inlineStr">
        <is>
          <t>628300</t>
        </is>
      </c>
      <c r="C4516" s="227" t="inlineStr">
        <is>
          <t>Redevance GTH</t>
        </is>
      </c>
      <c r="D4516" s="233" t="inlineStr">
        <is>
          <t>51</t>
        </is>
      </c>
      <c r="E4516" s="233" t="inlineStr">
        <is>
          <t>46</t>
        </is>
      </c>
      <c r="F4516" s="227" t="inlineStr">
        <is>
          <t>HART</t>
        </is>
      </c>
    </row>
    <row r="4517">
      <c r="A4517" s="227">
        <f>TL[[#This Row],[Société]]&amp;" - "&amp;TL[[#This Row],[Compte]]</f>
        <v/>
      </c>
      <c r="B4517" s="233" t="inlineStr">
        <is>
          <t>628320</t>
        </is>
      </c>
      <c r="C4517" s="227" t="inlineStr">
        <is>
          <t>Redevance MUNGU</t>
        </is>
      </c>
      <c r="D4517" s="233" t="inlineStr">
        <is>
          <t>51</t>
        </is>
      </c>
      <c r="E4517" s="233" t="inlineStr">
        <is>
          <t>46</t>
        </is>
      </c>
      <c r="F4517" s="227" t="inlineStr">
        <is>
          <t>HART</t>
        </is>
      </c>
    </row>
    <row r="4518">
      <c r="A4518" s="227">
        <f>TL[[#This Row],[Société]]&amp;" - "&amp;TL[[#This Row],[Compte]]</f>
        <v/>
      </c>
      <c r="B4518" s="233" t="inlineStr">
        <is>
          <t>628400</t>
        </is>
      </c>
      <c r="C4518" s="227" t="inlineStr">
        <is>
          <t>Formations</t>
        </is>
      </c>
      <c r="D4518" s="233" t="inlineStr">
        <is>
          <t>13</t>
        </is>
      </c>
      <c r="E4518" s="233" t="inlineStr">
        <is>
          <t>19</t>
        </is>
      </c>
      <c r="F4518" s="227" t="inlineStr">
        <is>
          <t>HART</t>
        </is>
      </c>
    </row>
    <row r="4519">
      <c r="A4519" s="227">
        <f>TL[[#This Row],[Société]]&amp;" - "&amp;TL[[#This Row],[Compte]]</f>
        <v/>
      </c>
      <c r="B4519" s="233" t="inlineStr">
        <is>
          <t>631200</t>
        </is>
      </c>
      <c r="C4519" s="227" t="inlineStr">
        <is>
          <t>Ta</t>
        </is>
      </c>
      <c r="D4519" s="233" t="inlineStr">
        <is>
          <t>34</t>
        </is>
      </c>
      <c r="E4519" s="233" t="inlineStr">
        <is>
          <t>37</t>
        </is>
      </c>
      <c r="F4519" s="227" t="inlineStr">
        <is>
          <t>HART</t>
        </is>
      </c>
    </row>
    <row r="4520">
      <c r="A4520" s="227">
        <f>TL[[#This Row],[Société]]&amp;" - "&amp;TL[[#This Row],[Compte]]</f>
        <v/>
      </c>
      <c r="B4520" s="233" t="inlineStr">
        <is>
          <t>631310</t>
        </is>
      </c>
      <c r="C4520" s="227" t="inlineStr">
        <is>
          <t>Agefiph</t>
        </is>
      </c>
      <c r="D4520" s="233" t="inlineStr">
        <is>
          <t>34</t>
        </is>
      </c>
      <c r="E4520" s="233" t="inlineStr">
        <is>
          <t>37</t>
        </is>
      </c>
      <c r="F4520" s="227" t="inlineStr">
        <is>
          <t>HART</t>
        </is>
      </c>
    </row>
    <row r="4521">
      <c r="A4521" s="227">
        <f>TL[[#This Row],[Société]]&amp;" - "&amp;TL[[#This Row],[Compte]]</f>
        <v/>
      </c>
      <c r="B4521" s="233" t="inlineStr">
        <is>
          <t>633300</t>
        </is>
      </c>
      <c r="C4521" s="227" t="inlineStr">
        <is>
          <t>Formation continue</t>
        </is>
      </c>
      <c r="D4521" s="233" t="inlineStr">
        <is>
          <t>34</t>
        </is>
      </c>
      <c r="E4521" s="233" t="inlineStr">
        <is>
          <t>37</t>
        </is>
      </c>
      <c r="F4521" s="227" t="inlineStr">
        <is>
          <t>HART</t>
        </is>
      </c>
    </row>
    <row r="4522">
      <c r="A4522" s="227">
        <f>TL[[#This Row],[Société]]&amp;" - "&amp;TL[[#This Row],[Compte]]</f>
        <v/>
      </c>
      <c r="B4522" s="233" t="inlineStr">
        <is>
          <t>633400</t>
        </is>
      </c>
      <c r="C4522" s="227" t="inlineStr">
        <is>
          <t>Effort construction</t>
        </is>
      </c>
      <c r="D4522" s="233" t="inlineStr">
        <is>
          <t>34</t>
        </is>
      </c>
      <c r="E4522" s="233" t="inlineStr">
        <is>
          <t>37</t>
        </is>
      </c>
      <c r="F4522" s="227" t="inlineStr">
        <is>
          <t>HART</t>
        </is>
      </c>
    </row>
    <row r="4523">
      <c r="A4523" s="227">
        <f>TL[[#This Row],[Société]]&amp;" - "&amp;TL[[#This Row],[Compte]]</f>
        <v/>
      </c>
      <c r="B4523" s="233" t="inlineStr">
        <is>
          <t>633500</t>
        </is>
      </c>
      <c r="C4523" s="227" t="inlineStr">
        <is>
          <t>Taxe d'apprentissage</t>
        </is>
      </c>
      <c r="D4523" s="233" t="inlineStr">
        <is>
          <t>34</t>
        </is>
      </c>
      <c r="E4523" s="233" t="inlineStr">
        <is>
          <t>37</t>
        </is>
      </c>
      <c r="F4523" s="227" t="inlineStr">
        <is>
          <t>HART</t>
        </is>
      </c>
    </row>
    <row r="4524">
      <c r="A4524" s="227">
        <f>TL[[#This Row],[Société]]&amp;" - "&amp;TL[[#This Row],[Compte]]</f>
        <v/>
      </c>
      <c r="B4524" s="233" t="inlineStr">
        <is>
          <t>635111</t>
        </is>
      </c>
      <c r="C4524" s="227" t="inlineStr">
        <is>
          <t>Cfe</t>
        </is>
      </c>
      <c r="D4524" s="233" t="inlineStr">
        <is>
          <t>34</t>
        </is>
      </c>
      <c r="E4524" s="233" t="inlineStr">
        <is>
          <t>37</t>
        </is>
      </c>
      <c r="F4524" s="227" t="inlineStr">
        <is>
          <t>HART</t>
        </is>
      </c>
    </row>
    <row r="4525">
      <c r="A4525" s="227">
        <f>TL[[#This Row],[Société]]&amp;" - "&amp;TL[[#This Row],[Compte]]</f>
        <v/>
      </c>
      <c r="B4525" s="233" t="inlineStr">
        <is>
          <t>635112</t>
        </is>
      </c>
      <c r="C4525" s="227" t="inlineStr">
        <is>
          <t>Cvae</t>
        </is>
      </c>
      <c r="D4525" s="233" t="inlineStr">
        <is>
          <t>34</t>
        </is>
      </c>
      <c r="E4525" s="233" t="inlineStr">
        <is>
          <t>37</t>
        </is>
      </c>
      <c r="F4525" s="227" t="inlineStr">
        <is>
          <t>HART</t>
        </is>
      </c>
    </row>
    <row r="4526">
      <c r="A4526" s="227">
        <f>TL[[#This Row],[Société]]&amp;" - "&amp;TL[[#This Row],[Compte]]</f>
        <v/>
      </c>
      <c r="B4526" s="233" t="inlineStr">
        <is>
          <t>635120</t>
        </is>
      </c>
      <c r="C4526" s="227" t="inlineStr">
        <is>
          <t>Taxe fonciere</t>
        </is>
      </c>
      <c r="D4526" s="233" t="inlineStr">
        <is>
          <t>34</t>
        </is>
      </c>
      <c r="E4526" s="233" t="inlineStr">
        <is>
          <t>37</t>
        </is>
      </c>
      <c r="F4526" s="227" t="inlineStr">
        <is>
          <t>HART</t>
        </is>
      </c>
    </row>
    <row r="4527">
      <c r="A4527" s="227">
        <f>TL[[#This Row],[Société]]&amp;" - "&amp;TL[[#This Row],[Compte]]</f>
        <v/>
      </c>
      <c r="B4527" s="233" t="inlineStr">
        <is>
          <t>635210</t>
        </is>
      </c>
      <c r="C4527" s="227" t="inlineStr">
        <is>
          <t>Ne pas utiliser</t>
        </is>
      </c>
      <c r="D4527" s="233" t="inlineStr">
        <is>
          <t>09</t>
        </is>
      </c>
      <c r="E4527" s="233" t="inlineStr">
        <is>
          <t>37</t>
        </is>
      </c>
      <c r="F4527" s="227" t="inlineStr">
        <is>
          <t>HART</t>
        </is>
      </c>
    </row>
    <row r="4528">
      <c r="A4528" s="227">
        <f>TL[[#This Row],[Société]]&amp;" - "&amp;TL[[#This Row],[Compte]]</f>
        <v/>
      </c>
      <c r="B4528" s="233" t="inlineStr">
        <is>
          <t>635211</t>
        </is>
      </c>
      <c r="C4528" s="227" t="inlineStr">
        <is>
          <t>Taxe boissons sucrées</t>
        </is>
      </c>
      <c r="D4528" s="233" t="inlineStr">
        <is>
          <t>09</t>
        </is>
      </c>
      <c r="E4528" s="233" t="inlineStr">
        <is>
          <t>03</t>
        </is>
      </c>
      <c r="F4528" s="227" t="inlineStr">
        <is>
          <t>HART</t>
        </is>
      </c>
    </row>
    <row r="4529">
      <c r="A4529" s="227">
        <f>TL[[#This Row],[Société]]&amp;" - "&amp;TL[[#This Row],[Compte]]</f>
        <v/>
      </c>
      <c r="B4529" s="233" t="inlineStr">
        <is>
          <t>637300</t>
        </is>
      </c>
      <c r="C4529" s="227" t="inlineStr">
        <is>
          <t>Agefiph</t>
        </is>
      </c>
      <c r="D4529" s="233" t="inlineStr">
        <is>
          <t>34</t>
        </is>
      </c>
      <c r="E4529" s="233" t="inlineStr">
        <is>
          <t>37</t>
        </is>
      </c>
      <c r="F4529" s="227" t="inlineStr">
        <is>
          <t>HART</t>
        </is>
      </c>
    </row>
    <row r="4530">
      <c r="A4530" s="227">
        <f>TL[[#This Row],[Société]]&amp;" - "&amp;TL[[#This Row],[Compte]]</f>
        <v/>
      </c>
      <c r="B4530" s="233" t="inlineStr">
        <is>
          <t>637400</t>
        </is>
      </c>
      <c r="C4530" s="227" t="inlineStr">
        <is>
          <t>Taxe boissons sucrées</t>
        </is>
      </c>
      <c r="D4530" s="233" t="inlineStr">
        <is>
          <t>09</t>
        </is>
      </c>
      <c r="E4530" s="233" t="inlineStr">
        <is>
          <t>37</t>
        </is>
      </c>
      <c r="F4530" s="227" t="inlineStr">
        <is>
          <t>HART</t>
        </is>
      </c>
    </row>
    <row r="4531">
      <c r="A4531" s="227">
        <f>TL[[#This Row],[Société]]&amp;" - "&amp;TL[[#This Row],[Compte]]</f>
        <v/>
      </c>
      <c r="B4531" s="233" t="inlineStr">
        <is>
          <t>637800</t>
        </is>
      </c>
      <c r="C4531" s="227" t="inlineStr">
        <is>
          <t>Taxes diverses</t>
        </is>
      </c>
      <c r="F4531" s="227" t="inlineStr">
        <is>
          <t>HART</t>
        </is>
      </c>
    </row>
    <row r="4532">
      <c r="A4532" s="227">
        <f>TL[[#This Row],[Société]]&amp;" - "&amp;TL[[#This Row],[Compte]]</f>
        <v/>
      </c>
      <c r="B4532" s="233" t="inlineStr">
        <is>
          <t>641020</t>
        </is>
      </c>
      <c r="C4532" s="227" t="inlineStr">
        <is>
          <t>Remunerations assistants npu</t>
        </is>
      </c>
      <c r="D4532" s="233" t="inlineStr">
        <is>
          <t>11</t>
        </is>
      </c>
      <c r="E4532" s="233" t="inlineStr">
        <is>
          <t>10</t>
        </is>
      </c>
      <c r="F4532" s="227" t="inlineStr">
        <is>
          <t>HART</t>
        </is>
      </c>
    </row>
    <row r="4533">
      <c r="A4533" s="227">
        <f>TL[[#This Row],[Société]]&amp;" - "&amp;TL[[#This Row],[Compte]]</f>
        <v/>
      </c>
      <c r="B4533" s="233" t="inlineStr">
        <is>
          <t>641030</t>
        </is>
      </c>
      <c r="C4533" s="227" t="inlineStr">
        <is>
          <t>Remunerations equipiers npu</t>
        </is>
      </c>
      <c r="D4533" s="233" t="inlineStr">
        <is>
          <t>10</t>
        </is>
      </c>
      <c r="E4533" s="233" t="inlineStr">
        <is>
          <t>08</t>
        </is>
      </c>
      <c r="F4533" s="227" t="inlineStr">
        <is>
          <t>HART</t>
        </is>
      </c>
    </row>
    <row r="4534">
      <c r="A4534" s="227">
        <f>TL[[#This Row],[Société]]&amp;" - "&amp;TL[[#This Row],[Compte]]</f>
        <v/>
      </c>
      <c r="B4534" s="233" t="inlineStr">
        <is>
          <t>641100</t>
        </is>
      </c>
      <c r="C4534" s="227" t="inlineStr">
        <is>
          <t>SALAIRES 11/2022</t>
        </is>
      </c>
      <c r="F4534" s="227" t="inlineStr">
        <is>
          <t>HART</t>
        </is>
      </c>
    </row>
    <row r="4535">
      <c r="A4535" s="227">
        <f>TL[[#This Row],[Société]]&amp;" - "&amp;TL[[#This Row],[Compte]]</f>
        <v/>
      </c>
      <c r="B4535" s="233" t="inlineStr">
        <is>
          <t>641101</t>
        </is>
      </c>
      <c r="C4535" s="227" t="inlineStr">
        <is>
          <t>Rémunération équipiers</t>
        </is>
      </c>
      <c r="D4535" s="233" t="inlineStr">
        <is>
          <t>10</t>
        </is>
      </c>
      <c r="E4535" s="233" t="inlineStr">
        <is>
          <t>08</t>
        </is>
      </c>
      <c r="F4535" s="227" t="inlineStr">
        <is>
          <t>HART</t>
        </is>
      </c>
    </row>
    <row r="4536">
      <c r="A4536" s="227">
        <f>TL[[#This Row],[Société]]&amp;" - "&amp;TL[[#This Row],[Compte]]</f>
        <v/>
      </c>
      <c r="B4536" s="233" t="inlineStr">
        <is>
          <t>641104</t>
        </is>
      </c>
      <c r="C4536" s="227" t="inlineStr">
        <is>
          <t>Rémunération assistants</t>
        </is>
      </c>
      <c r="D4536" s="233" t="inlineStr">
        <is>
          <t>11</t>
        </is>
      </c>
      <c r="E4536" s="233" t="inlineStr">
        <is>
          <t>10</t>
        </is>
      </c>
      <c r="F4536" s="227" t="inlineStr">
        <is>
          <t>HART</t>
        </is>
      </c>
    </row>
    <row r="4537">
      <c r="A4537" s="227">
        <f>TL[[#This Row],[Société]]&amp;" - "&amp;TL[[#This Row],[Compte]]</f>
        <v/>
      </c>
      <c r="B4537" s="233" t="inlineStr">
        <is>
          <t>641150</t>
        </is>
      </c>
      <c r="C4537" s="227" t="inlineStr">
        <is>
          <t>SALAIRES 11/2022</t>
        </is>
      </c>
      <c r="F4537" s="227" t="inlineStr">
        <is>
          <t>HART</t>
        </is>
      </c>
    </row>
    <row r="4538">
      <c r="A4538" s="227">
        <f>TL[[#This Row],[Société]]&amp;" - "&amp;TL[[#This Row],[Compte]]</f>
        <v/>
      </c>
      <c r="B4538" s="233" t="inlineStr">
        <is>
          <t>641200</t>
        </is>
      </c>
      <c r="C4538" s="227" t="inlineStr">
        <is>
          <t>Provision CP - novembre 2022 (?)</t>
        </is>
      </c>
      <c r="F4538" s="227" t="inlineStr">
        <is>
          <t>HART</t>
        </is>
      </c>
    </row>
    <row r="4539">
      <c r="A4539" s="227">
        <f>TL[[#This Row],[Société]]&amp;" - "&amp;TL[[#This Row],[Compte]]</f>
        <v/>
      </c>
      <c r="B4539" s="233" t="inlineStr">
        <is>
          <t>641201</t>
        </is>
      </c>
      <c r="C4539" s="227" t="inlineStr">
        <is>
          <t>Provision congés payés équipiers</t>
        </is>
      </c>
      <c r="D4539" s="233" t="inlineStr">
        <is>
          <t>10</t>
        </is>
      </c>
      <c r="E4539" s="233" t="inlineStr">
        <is>
          <t>08</t>
        </is>
      </c>
      <c r="F4539" s="227" t="inlineStr">
        <is>
          <t>HART</t>
        </is>
      </c>
    </row>
    <row r="4540">
      <c r="A4540" s="227">
        <f>TL[[#This Row],[Société]]&amp;" - "&amp;TL[[#This Row],[Compte]]</f>
        <v/>
      </c>
      <c r="B4540" s="233" t="inlineStr">
        <is>
          <t>641204</t>
        </is>
      </c>
      <c r="C4540" s="227" t="inlineStr">
        <is>
          <t>Provision congés payés assistants</t>
        </is>
      </c>
      <c r="D4540" s="233" t="inlineStr">
        <is>
          <t>11</t>
        </is>
      </c>
      <c r="E4540" s="233" t="inlineStr">
        <is>
          <t>10</t>
        </is>
      </c>
      <c r="F4540" s="227" t="inlineStr">
        <is>
          <t>HART</t>
        </is>
      </c>
    </row>
    <row r="4541">
      <c r="A4541" s="227">
        <f>TL[[#This Row],[Société]]&amp;" - "&amp;TL[[#This Row],[Compte]]</f>
        <v/>
      </c>
      <c r="B4541" s="233" t="inlineStr">
        <is>
          <t>641220</t>
        </is>
      </c>
      <c r="C4541" s="227" t="inlineStr">
        <is>
          <t>Prov° c payes assistants npu</t>
        </is>
      </c>
      <c r="D4541" s="233" t="inlineStr">
        <is>
          <t>11</t>
        </is>
      </c>
      <c r="E4541" s="233" t="inlineStr">
        <is>
          <t>10</t>
        </is>
      </c>
      <c r="F4541" s="227" t="inlineStr">
        <is>
          <t>HART</t>
        </is>
      </c>
    </row>
    <row r="4542">
      <c r="A4542" s="227">
        <f>TL[[#This Row],[Société]]&amp;" - "&amp;TL[[#This Row],[Compte]]</f>
        <v/>
      </c>
      <c r="B4542" s="233" t="inlineStr">
        <is>
          <t>641230</t>
        </is>
      </c>
      <c r="C4542" s="227" t="inlineStr">
        <is>
          <t>Prov c payes equipiers npu</t>
        </is>
      </c>
      <c r="D4542" s="233" t="inlineStr">
        <is>
          <t>10</t>
        </is>
      </c>
      <c r="E4542" s="233" t="inlineStr">
        <is>
          <t>08</t>
        </is>
      </c>
      <c r="F4542" s="227" t="inlineStr">
        <is>
          <t>HART</t>
        </is>
      </c>
    </row>
    <row r="4543">
      <c r="A4543" s="227">
        <f>TL[[#This Row],[Société]]&amp;" - "&amp;TL[[#This Row],[Compte]]</f>
        <v/>
      </c>
      <c r="B4543" s="233" t="inlineStr">
        <is>
          <t>641300</t>
        </is>
      </c>
      <c r="C4543" s="227" t="inlineStr">
        <is>
          <t>Provision CP - novembre 2022 (?)</t>
        </is>
      </c>
      <c r="F4543" s="227" t="inlineStr">
        <is>
          <t>HART</t>
        </is>
      </c>
    </row>
    <row r="4544">
      <c r="A4544" s="227">
        <f>TL[[#This Row],[Société]]&amp;" - "&amp;TL[[#This Row],[Compte]]</f>
        <v/>
      </c>
      <c r="B4544" s="233" t="inlineStr">
        <is>
          <t>641400</t>
        </is>
      </c>
      <c r="C4544" s="227" t="inlineStr">
        <is>
          <t>SALAIRES 11/2022</t>
        </is>
      </c>
      <c r="F4544" s="227" t="inlineStr">
        <is>
          <t>HART</t>
        </is>
      </c>
    </row>
    <row r="4545">
      <c r="A4545" s="227">
        <f>TL[[#This Row],[Société]]&amp;" - "&amp;TL[[#This Row],[Compte]]</f>
        <v/>
      </c>
      <c r="B4545" s="233" t="inlineStr">
        <is>
          <t>641401</t>
        </is>
      </c>
      <c r="C4545" s="227" t="inlineStr">
        <is>
          <t>Avantage nature équipiers</t>
        </is>
      </c>
      <c r="D4545" s="233" t="inlineStr">
        <is>
          <t>10</t>
        </is>
      </c>
      <c r="E4545" s="233" t="inlineStr">
        <is>
          <t>08</t>
        </is>
      </c>
      <c r="F4545" s="227" t="inlineStr">
        <is>
          <t>HART</t>
        </is>
      </c>
    </row>
    <row r="4546">
      <c r="A4546" s="227">
        <f>TL[[#This Row],[Société]]&amp;" - "&amp;TL[[#This Row],[Compte]]</f>
        <v/>
      </c>
      <c r="B4546" s="233" t="inlineStr">
        <is>
          <t>641404</t>
        </is>
      </c>
      <c r="C4546" s="227" t="inlineStr">
        <is>
          <t>Avantage nature assistants</t>
        </is>
      </c>
      <c r="D4546" s="233" t="inlineStr">
        <is>
          <t>11</t>
        </is>
      </c>
      <c r="E4546" s="233" t="inlineStr">
        <is>
          <t>10</t>
        </is>
      </c>
      <c r="F4546" s="227" t="inlineStr">
        <is>
          <t>HART</t>
        </is>
      </c>
    </row>
    <row r="4547">
      <c r="A4547" s="227">
        <f>TL[[#This Row],[Société]]&amp;" - "&amp;TL[[#This Row],[Compte]]</f>
        <v/>
      </c>
      <c r="B4547" s="233" t="inlineStr">
        <is>
          <t>641410</t>
        </is>
      </c>
      <c r="C4547" s="227" t="inlineStr">
        <is>
          <t>Indemnites blanchissage équipiers n</t>
        </is>
      </c>
      <c r="D4547" s="233" t="inlineStr">
        <is>
          <t>10</t>
        </is>
      </c>
      <c r="E4547" s="233" t="inlineStr">
        <is>
          <t>08</t>
        </is>
      </c>
      <c r="F4547" s="227" t="inlineStr">
        <is>
          <t>HART</t>
        </is>
      </c>
    </row>
    <row r="4548">
      <c r="A4548" s="227">
        <f>TL[[#This Row],[Société]]&amp;" - "&amp;TL[[#This Row],[Compte]]</f>
        <v/>
      </c>
      <c r="B4548" s="233" t="inlineStr">
        <is>
          <t>641411</t>
        </is>
      </c>
      <c r="C4548" s="227" t="inlineStr">
        <is>
          <t>Indemnites blanchissage équipiers</t>
        </is>
      </c>
      <c r="D4548" s="233" t="inlineStr">
        <is>
          <t>10</t>
        </is>
      </c>
      <c r="E4548" s="233" t="inlineStr">
        <is>
          <t>08</t>
        </is>
      </c>
      <c r="F4548" s="227" t="inlineStr">
        <is>
          <t>HART</t>
        </is>
      </c>
    </row>
    <row r="4549">
      <c r="A4549" s="227">
        <f>TL[[#This Row],[Société]]&amp;" - "&amp;TL[[#This Row],[Compte]]</f>
        <v/>
      </c>
      <c r="B4549" s="233" t="inlineStr">
        <is>
          <t>641414</t>
        </is>
      </c>
      <c r="C4549" s="227" t="inlineStr">
        <is>
          <t>Indemnités blanchissage assistants</t>
        </is>
      </c>
      <c r="D4549" s="233" t="inlineStr">
        <is>
          <t>11</t>
        </is>
      </c>
      <c r="E4549" s="233" t="inlineStr">
        <is>
          <t>10</t>
        </is>
      </c>
      <c r="F4549" s="227" t="inlineStr">
        <is>
          <t>HART</t>
        </is>
      </c>
    </row>
    <row r="4550">
      <c r="A4550" s="227">
        <f>TL[[#This Row],[Société]]&amp;" - "&amp;TL[[#This Row],[Compte]]</f>
        <v/>
      </c>
      <c r="B4550" s="233" t="inlineStr">
        <is>
          <t>645100</t>
        </is>
      </c>
      <c r="C4550" s="227" t="inlineStr">
        <is>
          <t>SALAIRES 11/2022</t>
        </is>
      </c>
      <c r="F4550" s="227" t="inlineStr">
        <is>
          <t>HART</t>
        </is>
      </c>
    </row>
    <row r="4551">
      <c r="A4551" s="227">
        <f>TL[[#This Row],[Société]]&amp;" - "&amp;TL[[#This Row],[Compte]]</f>
        <v/>
      </c>
      <c r="B4551" s="233" t="inlineStr">
        <is>
          <t>645101</t>
        </is>
      </c>
      <c r="C4551" s="227" t="inlineStr">
        <is>
          <t>Urssaf équipiers</t>
        </is>
      </c>
      <c r="D4551" s="233" t="inlineStr">
        <is>
          <t>10</t>
        </is>
      </c>
      <c r="E4551" s="233" t="inlineStr">
        <is>
          <t>09</t>
        </is>
      </c>
      <c r="F4551" s="227" t="inlineStr">
        <is>
          <t>HART</t>
        </is>
      </c>
    </row>
    <row r="4552">
      <c r="A4552" s="227">
        <f>TL[[#This Row],[Société]]&amp;" - "&amp;TL[[#This Row],[Compte]]</f>
        <v/>
      </c>
      <c r="B4552" s="233" t="inlineStr">
        <is>
          <t>645104</t>
        </is>
      </c>
      <c r="C4552" s="227" t="inlineStr">
        <is>
          <t>Urssaf assistants</t>
        </is>
      </c>
      <c r="D4552" s="233" t="inlineStr">
        <is>
          <t>12</t>
        </is>
      </c>
      <c r="E4552" s="233" t="inlineStr">
        <is>
          <t>11</t>
        </is>
      </c>
      <c r="F4552" s="227" t="inlineStr">
        <is>
          <t>HART</t>
        </is>
      </c>
    </row>
    <row r="4553">
      <c r="A4553" s="227">
        <f>TL[[#This Row],[Société]]&amp;" - "&amp;TL[[#This Row],[Compte]]</f>
        <v/>
      </c>
      <c r="B4553" s="233" t="inlineStr">
        <is>
          <t>645120</t>
        </is>
      </c>
      <c r="C4553" s="227" t="inlineStr">
        <is>
          <t>Cotis urssaf assistants</t>
        </is>
      </c>
      <c r="D4553" s="233" t="inlineStr">
        <is>
          <t>12</t>
        </is>
      </c>
      <c r="E4553" s="233" t="inlineStr">
        <is>
          <t>11</t>
        </is>
      </c>
      <c r="F4553" s="227" t="inlineStr">
        <is>
          <t>HART</t>
        </is>
      </c>
    </row>
    <row r="4554">
      <c r="A4554" s="227">
        <f>TL[[#This Row],[Société]]&amp;" - "&amp;TL[[#This Row],[Compte]]</f>
        <v/>
      </c>
      <c r="B4554" s="233" t="inlineStr">
        <is>
          <t>645130</t>
        </is>
      </c>
      <c r="C4554" s="227" t="inlineStr">
        <is>
          <t>Cotis. urssaf equipiers npu</t>
        </is>
      </c>
      <c r="D4554" s="233" t="inlineStr">
        <is>
          <t>10</t>
        </is>
      </c>
      <c r="E4554" s="233" t="inlineStr">
        <is>
          <t>09</t>
        </is>
      </c>
      <c r="F4554" s="227" t="inlineStr">
        <is>
          <t>HART</t>
        </is>
      </c>
    </row>
    <row r="4555">
      <c r="A4555" s="227">
        <f>TL[[#This Row],[Société]]&amp;" - "&amp;TL[[#This Row],[Compte]]</f>
        <v/>
      </c>
      <c r="B4555" s="233" t="inlineStr">
        <is>
          <t>645200</t>
        </is>
      </c>
      <c r="C4555" s="227" t="inlineStr">
        <is>
          <t>SALAIRES 11/2022</t>
        </is>
      </c>
      <c r="F4555" s="227" t="inlineStr">
        <is>
          <t>HART</t>
        </is>
      </c>
    </row>
    <row r="4556">
      <c r="A4556" s="227">
        <f>TL[[#This Row],[Société]]&amp;" - "&amp;TL[[#This Row],[Compte]]</f>
        <v/>
      </c>
      <c r="B4556" s="233" t="inlineStr">
        <is>
          <t>645300</t>
        </is>
      </c>
      <c r="C4556" s="227" t="inlineStr">
        <is>
          <t>SALAIRES 11/2022</t>
        </is>
      </c>
      <c r="F4556" s="227" t="inlineStr">
        <is>
          <t>HART</t>
        </is>
      </c>
    </row>
    <row r="4557">
      <c r="A4557" s="227">
        <f>TL[[#This Row],[Société]]&amp;" - "&amp;TL[[#This Row],[Compte]]</f>
        <v/>
      </c>
      <c r="B4557" s="233" t="inlineStr">
        <is>
          <t>645301</t>
        </is>
      </c>
      <c r="C4557" s="227" t="inlineStr">
        <is>
          <t>Retraite et prev équipiers</t>
        </is>
      </c>
      <c r="D4557" s="233" t="inlineStr">
        <is>
          <t>10</t>
        </is>
      </c>
      <c r="E4557" s="233" t="inlineStr">
        <is>
          <t>09</t>
        </is>
      </c>
      <c r="F4557" s="227" t="inlineStr">
        <is>
          <t>HART</t>
        </is>
      </c>
    </row>
    <row r="4558">
      <c r="A4558" s="227">
        <f>TL[[#This Row],[Société]]&amp;" - "&amp;TL[[#This Row],[Compte]]</f>
        <v/>
      </c>
      <c r="B4558" s="233" t="inlineStr">
        <is>
          <t>645304</t>
        </is>
      </c>
      <c r="C4558" s="227" t="inlineStr">
        <is>
          <t>Retraite et prev assistants</t>
        </is>
      </c>
      <c r="D4558" s="233" t="inlineStr">
        <is>
          <t>12</t>
        </is>
      </c>
      <c r="E4558" s="233" t="inlineStr">
        <is>
          <t>11</t>
        </is>
      </c>
      <c r="F4558" s="227" t="inlineStr">
        <is>
          <t>HART</t>
        </is>
      </c>
    </row>
    <row r="4559">
      <c r="A4559" s="227">
        <f>TL[[#This Row],[Société]]&amp;" - "&amp;TL[[#This Row],[Compte]]</f>
        <v/>
      </c>
      <c r="B4559" s="233" t="inlineStr">
        <is>
          <t>645320</t>
        </is>
      </c>
      <c r="C4559" s="227" t="inlineStr">
        <is>
          <t>Retraite  assistants npu</t>
        </is>
      </c>
      <c r="D4559" s="233" t="inlineStr">
        <is>
          <t>12</t>
        </is>
      </c>
      <c r="E4559" s="233" t="inlineStr">
        <is>
          <t>11</t>
        </is>
      </c>
      <c r="F4559" s="227" t="inlineStr">
        <is>
          <t>HART</t>
        </is>
      </c>
    </row>
    <row r="4560">
      <c r="A4560" s="227">
        <f>TL[[#This Row],[Société]]&amp;" - "&amp;TL[[#This Row],[Compte]]</f>
        <v/>
      </c>
      <c r="B4560" s="233" t="inlineStr">
        <is>
          <t>645330</t>
        </is>
      </c>
      <c r="C4560" s="227" t="inlineStr">
        <is>
          <t>Retraite équipiers npu</t>
        </is>
      </c>
      <c r="D4560" s="233" t="inlineStr">
        <is>
          <t>10</t>
        </is>
      </c>
      <c r="E4560" s="233" t="inlineStr">
        <is>
          <t>09</t>
        </is>
      </c>
      <c r="F4560" s="227" t="inlineStr">
        <is>
          <t>HART</t>
        </is>
      </c>
    </row>
    <row r="4561">
      <c r="A4561" s="227">
        <f>TL[[#This Row],[Société]]&amp;" - "&amp;TL[[#This Row],[Compte]]</f>
        <v/>
      </c>
      <c r="B4561" s="233" t="inlineStr">
        <is>
          <t>645400</t>
        </is>
      </c>
      <c r="C4561" s="227" t="inlineStr">
        <is>
          <t>SALAIRES 11/2022</t>
        </is>
      </c>
      <c r="F4561" s="227" t="inlineStr">
        <is>
          <t>HART</t>
        </is>
      </c>
    </row>
    <row r="4562">
      <c r="A4562" s="227">
        <f>TL[[#This Row],[Société]]&amp;" - "&amp;TL[[#This Row],[Compte]]</f>
        <v/>
      </c>
      <c r="B4562" s="233" t="inlineStr">
        <is>
          <t>645401</t>
        </is>
      </c>
      <c r="C4562" s="227" t="inlineStr">
        <is>
          <t>Pôle emploi équipiers</t>
        </is>
      </c>
      <c r="D4562" s="233" t="inlineStr">
        <is>
          <t>10</t>
        </is>
      </c>
      <c r="E4562" s="233" t="inlineStr">
        <is>
          <t>09</t>
        </is>
      </c>
      <c r="F4562" s="227" t="inlineStr">
        <is>
          <t>HART</t>
        </is>
      </c>
    </row>
    <row r="4563">
      <c r="A4563" s="227">
        <f>TL[[#This Row],[Société]]&amp;" - "&amp;TL[[#This Row],[Compte]]</f>
        <v/>
      </c>
      <c r="B4563" s="233" t="inlineStr">
        <is>
          <t>645404</t>
        </is>
      </c>
      <c r="C4563" s="227" t="inlineStr">
        <is>
          <t>Pôle emploi assistants</t>
        </is>
      </c>
      <c r="D4563" s="233" t="inlineStr">
        <is>
          <t>12</t>
        </is>
      </c>
      <c r="E4563" s="233" t="inlineStr">
        <is>
          <t>11</t>
        </is>
      </c>
      <c r="F4563" s="227" t="inlineStr">
        <is>
          <t>HART</t>
        </is>
      </c>
    </row>
    <row r="4564">
      <c r="A4564" s="227">
        <f>TL[[#This Row],[Société]]&amp;" - "&amp;TL[[#This Row],[Compte]]</f>
        <v/>
      </c>
      <c r="B4564" s="233" t="inlineStr">
        <is>
          <t>645420</t>
        </is>
      </c>
      <c r="C4564" s="227" t="inlineStr">
        <is>
          <t>Assurance chômage assistants npu</t>
        </is>
      </c>
      <c r="D4564" s="233" t="inlineStr">
        <is>
          <t>12</t>
        </is>
      </c>
      <c r="E4564" s="233" t="inlineStr">
        <is>
          <t>11</t>
        </is>
      </c>
      <c r="F4564" s="227" t="inlineStr">
        <is>
          <t>HART</t>
        </is>
      </c>
    </row>
    <row r="4565">
      <c r="A4565" s="227">
        <f>TL[[#This Row],[Société]]&amp;" - "&amp;TL[[#This Row],[Compte]]</f>
        <v/>
      </c>
      <c r="B4565" s="233" t="inlineStr">
        <is>
          <t>645430</t>
        </is>
      </c>
      <c r="C4565" s="227" t="inlineStr">
        <is>
          <t>Assurance chômage equipiers npu</t>
        </is>
      </c>
      <c r="D4565" s="233" t="inlineStr">
        <is>
          <t>10</t>
        </is>
      </c>
      <c r="E4565" s="233" t="inlineStr">
        <is>
          <t>09</t>
        </is>
      </c>
      <c r="F4565" s="227" t="inlineStr">
        <is>
          <t>HART</t>
        </is>
      </c>
    </row>
    <row r="4566">
      <c r="A4566" s="227">
        <f>TL[[#This Row],[Société]]&amp;" - "&amp;TL[[#This Row],[Compte]]</f>
        <v/>
      </c>
      <c r="B4566" s="233" t="inlineStr">
        <is>
          <t>645501</t>
        </is>
      </c>
      <c r="C4566" s="227" t="inlineStr">
        <is>
          <t>Mutuelle équipiers</t>
        </is>
      </c>
      <c r="D4566" s="233" t="inlineStr">
        <is>
          <t>10</t>
        </is>
      </c>
      <c r="E4566" s="233" t="inlineStr">
        <is>
          <t>09</t>
        </is>
      </c>
      <c r="F4566" s="227" t="inlineStr">
        <is>
          <t>HART</t>
        </is>
      </c>
    </row>
    <row r="4567">
      <c r="A4567" s="227">
        <f>TL[[#This Row],[Société]]&amp;" - "&amp;TL[[#This Row],[Compte]]</f>
        <v/>
      </c>
      <c r="B4567" s="233" t="inlineStr">
        <is>
          <t>645504</t>
        </is>
      </c>
      <c r="C4567" s="227" t="inlineStr">
        <is>
          <t>Mutuelle assistants</t>
        </is>
      </c>
      <c r="D4567" s="233" t="inlineStr">
        <is>
          <t>12</t>
        </is>
      </c>
      <c r="E4567" s="233" t="inlineStr">
        <is>
          <t>11</t>
        </is>
      </c>
      <c r="F4567" s="227" t="inlineStr">
        <is>
          <t>HART</t>
        </is>
      </c>
    </row>
    <row r="4568">
      <c r="A4568" s="227">
        <f>TL[[#This Row],[Société]]&amp;" - "&amp;TL[[#This Row],[Compte]]</f>
        <v/>
      </c>
      <c r="B4568" s="233" t="inlineStr">
        <is>
          <t>645520</t>
        </is>
      </c>
      <c r="C4568" s="227" t="inlineStr">
        <is>
          <t>Mutuelle assistants npu</t>
        </is>
      </c>
      <c r="D4568" s="233" t="inlineStr">
        <is>
          <t>12</t>
        </is>
      </c>
      <c r="E4568" s="233" t="inlineStr">
        <is>
          <t>11</t>
        </is>
      </c>
      <c r="F4568" s="227" t="inlineStr">
        <is>
          <t>HART</t>
        </is>
      </c>
    </row>
    <row r="4569">
      <c r="A4569" s="227">
        <f>TL[[#This Row],[Société]]&amp;" - "&amp;TL[[#This Row],[Compte]]</f>
        <v/>
      </c>
      <c r="B4569" s="233" t="inlineStr">
        <is>
          <t>645530</t>
        </is>
      </c>
      <c r="C4569" s="227" t="inlineStr">
        <is>
          <t>Mutuelle équipiers npu</t>
        </is>
      </c>
      <c r="D4569" s="233" t="inlineStr">
        <is>
          <t>10</t>
        </is>
      </c>
      <c r="E4569" s="233" t="inlineStr">
        <is>
          <t>09</t>
        </is>
      </c>
      <c r="F4569" s="227" t="inlineStr">
        <is>
          <t>HART</t>
        </is>
      </c>
    </row>
    <row r="4570">
      <c r="A4570" s="227">
        <f>TL[[#This Row],[Société]]&amp;" - "&amp;TL[[#This Row],[Compte]]</f>
        <v/>
      </c>
      <c r="B4570" s="233" t="inlineStr">
        <is>
          <t>645800</t>
        </is>
      </c>
      <c r="C4570" s="227" t="inlineStr">
        <is>
          <t>Cotisations autres organism. socx</t>
        </is>
      </c>
      <c r="D4570" s="233" t="inlineStr">
        <is>
          <t>12</t>
        </is>
      </c>
      <c r="E4570" s="233" t="inlineStr">
        <is>
          <t>11</t>
        </is>
      </c>
      <c r="F4570" s="227" t="inlineStr">
        <is>
          <t>HART</t>
        </is>
      </c>
    </row>
    <row r="4571">
      <c r="A4571" s="227">
        <f>TL[[#This Row],[Société]]&amp;" - "&amp;TL[[#This Row],[Compte]]</f>
        <v/>
      </c>
      <c r="B4571" s="233" t="inlineStr">
        <is>
          <t>645801</t>
        </is>
      </c>
      <c r="C4571" s="227" t="inlineStr">
        <is>
          <t>Charges s/ congés à payer équipiers</t>
        </is>
      </c>
      <c r="D4571" s="233" t="inlineStr">
        <is>
          <t>10</t>
        </is>
      </c>
      <c r="E4571" s="233" t="inlineStr">
        <is>
          <t>09</t>
        </is>
      </c>
      <c r="F4571" s="227" t="inlineStr">
        <is>
          <t>HART</t>
        </is>
      </c>
    </row>
    <row r="4572">
      <c r="A4572" s="227">
        <f>TL[[#This Row],[Société]]&amp;" - "&amp;TL[[#This Row],[Compte]]</f>
        <v/>
      </c>
      <c r="B4572" s="233" t="inlineStr">
        <is>
          <t>645804</t>
        </is>
      </c>
      <c r="C4572" s="227" t="inlineStr">
        <is>
          <t>Charges s/ congés à payer assistant</t>
        </is>
      </c>
      <c r="D4572" s="233" t="inlineStr">
        <is>
          <t>12</t>
        </is>
      </c>
      <c r="E4572" s="233" t="inlineStr">
        <is>
          <t>11</t>
        </is>
      </c>
      <c r="F4572" s="227" t="inlineStr">
        <is>
          <t>HART</t>
        </is>
      </c>
    </row>
    <row r="4573">
      <c r="A4573" s="227">
        <f>TL[[#This Row],[Société]]&amp;" - "&amp;TL[[#This Row],[Compte]]</f>
        <v/>
      </c>
      <c r="B4573" s="233" t="inlineStr">
        <is>
          <t>645820</t>
        </is>
      </c>
      <c r="C4573" s="227" t="inlineStr">
        <is>
          <t>Ch soc  prov cp assistant npu</t>
        </is>
      </c>
      <c r="D4573" s="233" t="inlineStr">
        <is>
          <t>12</t>
        </is>
      </c>
      <c r="E4573" s="233" t="inlineStr">
        <is>
          <t>11</t>
        </is>
      </c>
      <c r="F4573" s="227" t="inlineStr">
        <is>
          <t>HART</t>
        </is>
      </c>
    </row>
    <row r="4574">
      <c r="A4574" s="227">
        <f>TL[[#This Row],[Société]]&amp;" - "&amp;TL[[#This Row],[Compte]]</f>
        <v/>
      </c>
      <c r="B4574" s="233" t="inlineStr">
        <is>
          <t>645830</t>
        </is>
      </c>
      <c r="C4574" s="227" t="inlineStr">
        <is>
          <t>Ch soc s prov cp equipier npu</t>
        </is>
      </c>
      <c r="D4574" s="233" t="inlineStr">
        <is>
          <t>10</t>
        </is>
      </c>
      <c r="E4574" s="233" t="inlineStr">
        <is>
          <t>09</t>
        </is>
      </c>
      <c r="F4574" s="227" t="inlineStr">
        <is>
          <t>HART</t>
        </is>
      </c>
    </row>
    <row r="4575">
      <c r="A4575" s="227">
        <f>TL[[#This Row],[Société]]&amp;" - "&amp;TL[[#This Row],[Compte]]</f>
        <v/>
      </c>
      <c r="B4575" s="233" t="inlineStr">
        <is>
          <t>645920</t>
        </is>
      </c>
      <c r="C4575" s="227" t="inlineStr">
        <is>
          <t>Prevoyance assistants npu</t>
        </is>
      </c>
      <c r="D4575" s="233" t="inlineStr">
        <is>
          <t>12</t>
        </is>
      </c>
      <c r="E4575" s="233" t="inlineStr">
        <is>
          <t>11</t>
        </is>
      </c>
      <c r="F4575" s="227" t="inlineStr">
        <is>
          <t>HART</t>
        </is>
      </c>
    </row>
    <row r="4576">
      <c r="A4576" s="227">
        <f>TL[[#This Row],[Société]]&amp;" - "&amp;TL[[#This Row],[Compte]]</f>
        <v/>
      </c>
      <c r="B4576" s="233" t="inlineStr">
        <is>
          <t>645930</t>
        </is>
      </c>
      <c r="C4576" s="227" t="inlineStr">
        <is>
          <t>Prevoyance equipiers npu</t>
        </is>
      </c>
      <c r="D4576" s="233" t="inlineStr">
        <is>
          <t>10</t>
        </is>
      </c>
      <c r="E4576" s="233" t="inlineStr">
        <is>
          <t>09</t>
        </is>
      </c>
      <c r="F4576" s="227" t="inlineStr">
        <is>
          <t>HART</t>
        </is>
      </c>
    </row>
    <row r="4577">
      <c r="A4577" s="227">
        <f>TL[[#This Row],[Société]]&amp;" - "&amp;TL[[#This Row],[Compte]]</f>
        <v/>
      </c>
      <c r="B4577" s="233" t="inlineStr">
        <is>
          <t>647516</t>
        </is>
      </c>
      <c r="C4577" s="227" t="inlineStr">
        <is>
          <t>Medecine du travail</t>
        </is>
      </c>
      <c r="D4577" s="233" t="inlineStr">
        <is>
          <t>16</t>
        </is>
      </c>
      <c r="E4577" s="233" t="inlineStr">
        <is>
          <t>19</t>
        </is>
      </c>
      <c r="F4577" s="227" t="inlineStr">
        <is>
          <t>HART</t>
        </is>
      </c>
    </row>
    <row r="4578">
      <c r="A4578" s="227">
        <f>TL[[#This Row],[Société]]&amp;" - "&amp;TL[[#This Row],[Compte]]</f>
        <v/>
      </c>
      <c r="B4578" s="233" t="inlineStr">
        <is>
          <t>651000</t>
        </is>
      </c>
      <c r="C4578" s="227" t="inlineStr">
        <is>
          <t>Redevance service 5%</t>
        </is>
      </c>
      <c r="D4578" s="233" t="inlineStr">
        <is>
          <t>31</t>
        </is>
      </c>
      <c r="E4578" s="233" t="inlineStr">
        <is>
          <t>34</t>
        </is>
      </c>
      <c r="F4578" s="227" t="inlineStr">
        <is>
          <t>HART</t>
        </is>
      </c>
    </row>
    <row r="4579">
      <c r="A4579" s="227">
        <f>TL[[#This Row],[Société]]&amp;" - "&amp;TL[[#This Row],[Compte]]</f>
        <v/>
      </c>
      <c r="B4579" s="233" t="inlineStr">
        <is>
          <t>651200</t>
        </is>
      </c>
      <c r="C4579" s="227" t="inlineStr">
        <is>
          <t>Avoirs happy meals (14,5%)</t>
        </is>
      </c>
      <c r="D4579" s="233" t="inlineStr">
        <is>
          <t>30</t>
        </is>
      </c>
      <c r="E4579" s="233" t="inlineStr">
        <is>
          <t>31</t>
        </is>
      </c>
      <c r="F4579" s="227" t="inlineStr">
        <is>
          <t>HART</t>
        </is>
      </c>
    </row>
    <row r="4580">
      <c r="A4580" s="227">
        <f>TL[[#This Row],[Société]]&amp;" - "&amp;TL[[#This Row],[Compte]]</f>
        <v/>
      </c>
      <c r="B4580" s="233" t="inlineStr">
        <is>
          <t>651210</t>
        </is>
      </c>
      <c r="C4580" s="227" t="inlineStr">
        <is>
          <t>Avoirs happy meals (5%)</t>
        </is>
      </c>
      <c r="D4580" s="233" t="inlineStr">
        <is>
          <t>31</t>
        </is>
      </c>
      <c r="E4580" s="233" t="inlineStr">
        <is>
          <t>31</t>
        </is>
      </c>
      <c r="F4580" s="227" t="inlineStr">
        <is>
          <t>HART</t>
        </is>
      </c>
    </row>
    <row r="4581">
      <c r="A4581" s="227">
        <f>TL[[#This Row],[Société]]&amp;" - "&amp;TL[[#This Row],[Compte]]</f>
        <v/>
      </c>
      <c r="B4581" s="233" t="inlineStr">
        <is>
          <t>658000</t>
        </is>
      </c>
      <c r="C4581" s="227" t="inlineStr">
        <is>
          <t>Charges diverses gestion courante</t>
        </is>
      </c>
      <c r="D4581" s="233" t="inlineStr">
        <is>
          <t>39</t>
        </is>
      </c>
      <c r="E4581" s="233" t="inlineStr">
        <is>
          <t>27</t>
        </is>
      </c>
      <c r="F4581" s="227" t="inlineStr">
        <is>
          <t>HART</t>
        </is>
      </c>
    </row>
    <row r="4582">
      <c r="A4582" s="227">
        <f>TL[[#This Row],[Société]]&amp;" - "&amp;TL[[#This Row],[Compte]]</f>
        <v/>
      </c>
      <c r="B4582" s="233" t="inlineStr">
        <is>
          <t>658100</t>
        </is>
      </c>
      <c r="C4582" s="227" t="inlineStr">
        <is>
          <t>Ecart de caisse negatif</t>
        </is>
      </c>
      <c r="D4582" s="233" t="inlineStr">
        <is>
          <t>22</t>
        </is>
      </c>
      <c r="E4582" s="233" t="inlineStr">
        <is>
          <t>27</t>
        </is>
      </c>
      <c r="F4582" s="227" t="inlineStr">
        <is>
          <t>HART</t>
        </is>
      </c>
    </row>
    <row r="4583">
      <c r="A4583" s="227">
        <f>TL[[#This Row],[Société]]&amp;" - "&amp;TL[[#This Row],[Compte]]</f>
        <v/>
      </c>
      <c r="B4583" s="233" t="inlineStr">
        <is>
          <t>661100</t>
        </is>
      </c>
      <c r="C4583" s="227" t="inlineStr">
        <is>
          <t>Charges d'interets</t>
        </is>
      </c>
      <c r="D4583" s="233" t="inlineStr">
        <is>
          <t>37</t>
        </is>
      </c>
      <c r="E4583" s="233" t="inlineStr">
        <is>
          <t>42</t>
        </is>
      </c>
      <c r="F4583" s="227" t="inlineStr">
        <is>
          <t>HART</t>
        </is>
      </c>
    </row>
    <row r="4584">
      <c r="A4584" s="227">
        <f>TL[[#This Row],[Société]]&amp;" - "&amp;TL[[#This Row],[Compte]]</f>
        <v/>
      </c>
      <c r="B4584" s="233" t="inlineStr">
        <is>
          <t>661600</t>
        </is>
      </c>
      <c r="C4584" s="227" t="inlineStr">
        <is>
          <t>Charges d'intérêts</t>
        </is>
      </c>
      <c r="D4584" s="233" t="inlineStr">
        <is>
          <t>37</t>
        </is>
      </c>
      <c r="E4584" s="233" t="inlineStr">
        <is>
          <t>42</t>
        </is>
      </c>
      <c r="F4584" s="227" t="inlineStr">
        <is>
          <t>HART</t>
        </is>
      </c>
    </row>
    <row r="4585">
      <c r="A4585" s="227">
        <f>TL[[#This Row],[Société]]&amp;" - "&amp;TL[[#This Row],[Compte]]</f>
        <v/>
      </c>
      <c r="B4585" s="233" t="inlineStr">
        <is>
          <t>666000</t>
        </is>
      </c>
      <c r="C4585" s="227" t="inlineStr">
        <is>
          <t>Pertes de change</t>
        </is>
      </c>
      <c r="F4585" s="227" t="inlineStr">
        <is>
          <t>HART</t>
        </is>
      </c>
    </row>
    <row r="4586">
      <c r="A4586" s="227">
        <f>TL[[#This Row],[Société]]&amp;" - "&amp;TL[[#This Row],[Compte]]</f>
        <v/>
      </c>
      <c r="B4586" s="233" t="inlineStr">
        <is>
          <t>671100</t>
        </is>
      </c>
      <c r="C4586" s="227" t="inlineStr">
        <is>
          <t>Ecarts de caisse</t>
        </is>
      </c>
      <c r="D4586" s="233" t="inlineStr">
        <is>
          <t>22</t>
        </is>
      </c>
      <c r="E4586" s="233" t="inlineStr">
        <is>
          <t>27</t>
        </is>
      </c>
      <c r="F4586" s="227" t="inlineStr">
        <is>
          <t>HART</t>
        </is>
      </c>
    </row>
    <row r="4587">
      <c r="A4587" s="227">
        <f>TL[[#This Row],[Société]]&amp;" - "&amp;TL[[#This Row],[Compte]]</f>
        <v/>
      </c>
      <c r="B4587" s="233" t="inlineStr">
        <is>
          <t>671310</t>
        </is>
      </c>
      <c r="C4587" s="227" t="inlineStr">
        <is>
          <t>Dons fondation de france</t>
        </is>
      </c>
      <c r="D4587" s="233" t="inlineStr">
        <is>
          <t>39</t>
        </is>
      </c>
      <c r="E4587" s="233" t="inlineStr">
        <is>
          <t>45</t>
        </is>
      </c>
      <c r="F4587" s="227" t="inlineStr">
        <is>
          <t>HART</t>
        </is>
      </c>
    </row>
    <row r="4588">
      <c r="A4588" s="227">
        <f>TL[[#This Row],[Société]]&amp;" - "&amp;TL[[#This Row],[Compte]]</f>
        <v/>
      </c>
      <c r="B4588" s="233" t="inlineStr">
        <is>
          <t>671320</t>
        </is>
      </c>
      <c r="C4588" s="227" t="inlineStr">
        <is>
          <t>Dons</t>
        </is>
      </c>
      <c r="D4588" s="233" t="inlineStr">
        <is>
          <t>39</t>
        </is>
      </c>
      <c r="E4588" s="233" t="inlineStr">
        <is>
          <t>45</t>
        </is>
      </c>
      <c r="F4588" s="227" t="inlineStr">
        <is>
          <t>HART</t>
        </is>
      </c>
    </row>
    <row r="4589">
      <c r="A4589" s="227">
        <f>TL[[#This Row],[Société]]&amp;" - "&amp;TL[[#This Row],[Compte]]</f>
        <v/>
      </c>
      <c r="B4589" s="233" t="inlineStr">
        <is>
          <t>675000</t>
        </is>
      </c>
      <c r="C4589" s="227" t="inlineStr">
        <is>
          <t>Valeurs compt. éléments actif cédés</t>
        </is>
      </c>
      <c r="D4589" s="233" t="inlineStr">
        <is>
          <t>35</t>
        </is>
      </c>
      <c r="E4589" s="233" t="inlineStr">
        <is>
          <t>45</t>
        </is>
      </c>
      <c r="F4589" s="227" t="inlineStr">
        <is>
          <t>HART</t>
        </is>
      </c>
    </row>
    <row r="4590">
      <c r="A4590" s="227">
        <f>TL[[#This Row],[Société]]&amp;" - "&amp;TL[[#This Row],[Compte]]</f>
        <v/>
      </c>
      <c r="B4590" s="233" t="inlineStr">
        <is>
          <t>681110</t>
        </is>
      </c>
      <c r="C4590" s="227" t="inlineStr">
        <is>
          <t>Dot.amort.immo.incorpore.</t>
        </is>
      </c>
      <c r="D4590" s="233" t="inlineStr">
        <is>
          <t>36</t>
        </is>
      </c>
      <c r="E4590" s="233" t="inlineStr">
        <is>
          <t>38</t>
        </is>
      </c>
      <c r="F4590" s="227" t="inlineStr">
        <is>
          <t>HART</t>
        </is>
      </c>
    </row>
    <row r="4591">
      <c r="A4591" s="227">
        <f>TL[[#This Row],[Société]]&amp;" - "&amp;TL[[#This Row],[Compte]]</f>
        <v/>
      </c>
      <c r="B4591" s="233" t="inlineStr">
        <is>
          <t>681120</t>
        </is>
      </c>
      <c r="C4591" s="227" t="inlineStr">
        <is>
          <t>Dot.amort.s/immo.corporell.</t>
        </is>
      </c>
      <c r="D4591" s="233" t="inlineStr">
        <is>
          <t>36</t>
        </is>
      </c>
      <c r="E4591" s="233" t="inlineStr">
        <is>
          <t>38</t>
        </is>
      </c>
      <c r="F4591" s="227" t="inlineStr">
        <is>
          <t>HART</t>
        </is>
      </c>
    </row>
    <row r="4592">
      <c r="A4592" s="227">
        <f>TL[[#This Row],[Société]]&amp;" - "&amp;TL[[#This Row],[Compte]]</f>
        <v/>
      </c>
      <c r="B4592" s="233" t="inlineStr">
        <is>
          <t>681500</t>
        </is>
      </c>
      <c r="C4592" s="227" t="inlineStr">
        <is>
          <t>Dot. prov.risq. ch. expl.</t>
        </is>
      </c>
      <c r="D4592" s="233" t="inlineStr">
        <is>
          <t>36</t>
        </is>
      </c>
      <c r="E4592" s="233" t="inlineStr">
        <is>
          <t>38</t>
        </is>
      </c>
      <c r="F4592" s="227" t="inlineStr">
        <is>
          <t>HART</t>
        </is>
      </c>
    </row>
    <row r="4593">
      <c r="A4593" s="227">
        <f>TL[[#This Row],[Société]]&amp;" - "&amp;TL[[#This Row],[Compte]]</f>
        <v/>
      </c>
      <c r="B4593" s="233" t="inlineStr">
        <is>
          <t>687110</t>
        </is>
      </c>
      <c r="C4593" s="227" t="inlineStr">
        <is>
          <t>Cree par cegid</t>
        </is>
      </c>
      <c r="F4593" s="227" t="inlineStr">
        <is>
          <t>HART</t>
        </is>
      </c>
    </row>
    <row r="4594">
      <c r="A4594" s="227">
        <f>TL[[#This Row],[Société]]&amp;" - "&amp;TL[[#This Row],[Compte]]</f>
        <v/>
      </c>
      <c r="B4594" s="233" t="inlineStr">
        <is>
          <t>687120</t>
        </is>
      </c>
      <c r="C4594" s="227" t="inlineStr">
        <is>
          <t>Dot. amort. except. immo.</t>
        </is>
      </c>
      <c r="D4594" s="233" t="inlineStr">
        <is>
          <t>36</t>
        </is>
      </c>
      <c r="E4594" s="233" t="inlineStr">
        <is>
          <t>38</t>
        </is>
      </c>
      <c r="F4594" s="227" t="inlineStr">
        <is>
          <t>HART</t>
        </is>
      </c>
    </row>
    <row r="4595">
      <c r="A4595" s="227">
        <f>TL[[#This Row],[Société]]&amp;" - "&amp;TL[[#This Row],[Compte]]</f>
        <v/>
      </c>
      <c r="B4595" s="233" t="inlineStr">
        <is>
          <t>687250</t>
        </is>
      </c>
      <c r="C4595" s="227" t="inlineStr">
        <is>
          <t>Cree par cegid</t>
        </is>
      </c>
      <c r="F4595" s="227" t="inlineStr">
        <is>
          <t>HART</t>
        </is>
      </c>
    </row>
    <row r="4596">
      <c r="A4596" s="227">
        <f>TL[[#This Row],[Société]]&amp;" - "&amp;TL[[#This Row],[Compte]]</f>
        <v/>
      </c>
      <c r="B4596" s="233" t="inlineStr">
        <is>
          <t>695000</t>
        </is>
      </c>
      <c r="C4596" s="227" t="inlineStr">
        <is>
          <t>Impots sur les benefices</t>
        </is>
      </c>
      <c r="D4596" s="233" t="inlineStr">
        <is>
          <t>99</t>
        </is>
      </c>
      <c r="E4596" s="233" t="inlineStr">
        <is>
          <t>48</t>
        </is>
      </c>
      <c r="F4596" s="227" t="inlineStr">
        <is>
          <t>HART</t>
        </is>
      </c>
    </row>
    <row r="4597">
      <c r="A4597" s="227">
        <f>TL[[#This Row],[Société]]&amp;" - "&amp;TL[[#This Row],[Compte]]</f>
        <v/>
      </c>
      <c r="B4597" s="233" t="inlineStr">
        <is>
          <t>695110</t>
        </is>
      </c>
      <c r="C4597" s="227" t="inlineStr">
        <is>
          <t>Crédit impôt mecénat</t>
        </is>
      </c>
      <c r="D4597" s="233" t="inlineStr">
        <is>
          <t>99</t>
        </is>
      </c>
      <c r="E4597" s="233" t="inlineStr">
        <is>
          <t>48</t>
        </is>
      </c>
      <c r="F4597" s="227" t="inlineStr">
        <is>
          <t>HART</t>
        </is>
      </c>
    </row>
    <row r="4598">
      <c r="A4598" s="227">
        <f>TL[[#This Row],[Société]]&amp;" - "&amp;TL[[#This Row],[Compte]]</f>
        <v/>
      </c>
      <c r="B4598" s="233" t="inlineStr">
        <is>
          <t>701001</t>
        </is>
      </c>
      <c r="C4598" s="227" t="inlineStr">
        <is>
          <t>Ventes non alimentaires</t>
        </is>
      </c>
      <c r="D4598" s="233" t="inlineStr">
        <is>
          <t>01</t>
        </is>
      </c>
      <c r="E4598" s="233" t="inlineStr">
        <is>
          <t>02</t>
        </is>
      </c>
      <c r="F4598" s="227" t="inlineStr">
        <is>
          <t>HART</t>
        </is>
      </c>
    </row>
    <row r="4599">
      <c r="A4599" s="227">
        <f>TL[[#This Row],[Société]]&amp;" - "&amp;TL[[#This Row],[Compte]]</f>
        <v/>
      </c>
      <c r="B4599" s="233" t="inlineStr">
        <is>
          <t>701004</t>
        </is>
      </c>
      <c r="C4599" s="227" t="inlineStr">
        <is>
          <t>Ventes  à 20% NPU</t>
        </is>
      </c>
      <c r="D4599" s="233" t="inlineStr">
        <is>
          <t>01</t>
        </is>
      </c>
      <c r="E4599" s="239" t="inlineStr">
        <is>
          <t>02</t>
        </is>
      </c>
      <c r="F4599" s="227" t="inlineStr">
        <is>
          <t>HART</t>
        </is>
      </c>
    </row>
    <row r="4600">
      <c r="A4600" s="227">
        <f>TL[[#This Row],[Société]]&amp;" - "&amp;TL[[#This Row],[Compte]]</f>
        <v/>
      </c>
      <c r="B4600" s="233" t="inlineStr">
        <is>
          <t>701005</t>
        </is>
      </c>
      <c r="C4600" s="227" t="inlineStr">
        <is>
          <t>Ventes  à 10% NPU</t>
        </is>
      </c>
      <c r="D4600" s="233" t="inlineStr">
        <is>
          <t>01</t>
        </is>
      </c>
      <c r="E4600" s="233" t="inlineStr">
        <is>
          <t>02</t>
        </is>
      </c>
      <c r="F4600" s="227" t="inlineStr">
        <is>
          <t>HART</t>
        </is>
      </c>
    </row>
    <row r="4601">
      <c r="A4601" s="227">
        <f>TL[[#This Row],[Société]]&amp;" - "&amp;TL[[#This Row],[Compte]]</f>
        <v/>
      </c>
      <c r="B4601" s="233" t="inlineStr">
        <is>
          <t>701006</t>
        </is>
      </c>
      <c r="C4601" s="227" t="inlineStr">
        <is>
          <t>Ventes  à 5.5% NPU</t>
        </is>
      </c>
      <c r="D4601" s="233" t="inlineStr">
        <is>
          <t>01</t>
        </is>
      </c>
      <c r="E4601" s="233" t="inlineStr">
        <is>
          <t>02</t>
        </is>
      </c>
      <c r="F4601" s="227" t="inlineStr">
        <is>
          <t>HART</t>
        </is>
      </c>
    </row>
    <row r="4602">
      <c r="A4602" s="227">
        <f>TL[[#This Row],[Société]]&amp;" - "&amp;TL[[#This Row],[Compte]]</f>
        <v/>
      </c>
      <c r="B4602" s="233" t="inlineStr">
        <is>
          <t>701040</t>
        </is>
      </c>
      <c r="C4602" s="227" t="inlineStr">
        <is>
          <t>Ventes à 20%</t>
        </is>
      </c>
      <c r="D4602" s="233" t="inlineStr">
        <is>
          <t>01</t>
        </is>
      </c>
      <c r="E4602" s="233" t="inlineStr">
        <is>
          <t>02</t>
        </is>
      </c>
      <c r="F4602" s="227" t="inlineStr">
        <is>
          <t>HART</t>
        </is>
      </c>
    </row>
    <row r="4603">
      <c r="A4603" s="227">
        <f>TL[[#This Row],[Société]]&amp;" - "&amp;TL[[#This Row],[Compte]]</f>
        <v/>
      </c>
      <c r="B4603" s="233" t="inlineStr">
        <is>
          <t>701100</t>
        </is>
      </c>
      <c r="C4603" s="227" t="inlineStr">
        <is>
          <t>Ventes à 5.50 %</t>
        </is>
      </c>
      <c r="D4603" s="233" t="inlineStr">
        <is>
          <t>01</t>
        </is>
      </c>
      <c r="E4603" s="233" t="inlineStr">
        <is>
          <t>02</t>
        </is>
      </c>
      <c r="F4603" s="227" t="inlineStr">
        <is>
          <t>HART</t>
        </is>
      </c>
    </row>
    <row r="4604">
      <c r="A4604" s="227">
        <f>TL[[#This Row],[Société]]&amp;" - "&amp;TL[[#This Row],[Compte]]</f>
        <v/>
      </c>
      <c r="B4604" s="233" t="inlineStr">
        <is>
          <t>701200</t>
        </is>
      </c>
      <c r="C4604" s="227" t="inlineStr">
        <is>
          <t>Ventes à 10 %</t>
        </is>
      </c>
      <c r="D4604" s="233" t="inlineStr">
        <is>
          <t>01</t>
        </is>
      </c>
      <c r="E4604" s="233" t="inlineStr">
        <is>
          <t>02</t>
        </is>
      </c>
      <c r="F4604" s="227" t="inlineStr">
        <is>
          <t>HART</t>
        </is>
      </c>
    </row>
    <row r="4605">
      <c r="A4605" s="227">
        <f>TL[[#This Row],[Société]]&amp;" - "&amp;TL[[#This Row],[Compte]]</f>
        <v/>
      </c>
      <c r="B4605" s="233" t="inlineStr">
        <is>
          <t>702300</t>
        </is>
      </c>
      <c r="C4605" s="227" t="inlineStr">
        <is>
          <t>Ventes non alimentaires</t>
        </is>
      </c>
      <c r="D4605" s="233" t="inlineStr">
        <is>
          <t>60</t>
        </is>
      </c>
      <c r="E4605" s="233" t="inlineStr">
        <is>
          <t>50</t>
        </is>
      </c>
      <c r="F4605" s="227" t="inlineStr">
        <is>
          <t>HART</t>
        </is>
      </c>
    </row>
    <row r="4606">
      <c r="A4606" s="227">
        <f>TL[[#This Row],[Société]]&amp;" - "&amp;TL[[#This Row],[Compte]]</f>
        <v/>
      </c>
      <c r="B4606" s="233" t="inlineStr">
        <is>
          <t>703100</t>
        </is>
      </c>
      <c r="C4606" s="227" t="inlineStr">
        <is>
          <t>Refacturation huiles usagées</t>
        </is>
      </c>
      <c r="D4606" s="233" t="inlineStr">
        <is>
          <t>06</t>
        </is>
      </c>
      <c r="E4606" s="233" t="inlineStr">
        <is>
          <t>19</t>
        </is>
      </c>
      <c r="F4606" s="227" t="inlineStr">
        <is>
          <t>HART</t>
        </is>
      </c>
    </row>
    <row r="4607">
      <c r="A4607" s="227">
        <f>TL[[#This Row],[Société]]&amp;" - "&amp;TL[[#This Row],[Compte]]</f>
        <v/>
      </c>
      <c r="B4607" s="233" t="inlineStr">
        <is>
          <t>708000</t>
        </is>
      </c>
      <c r="C4607" s="227" t="inlineStr">
        <is>
          <t>Remise martin brower</t>
        </is>
      </c>
      <c r="D4607" s="233" t="inlineStr">
        <is>
          <t>06</t>
        </is>
      </c>
      <c r="E4607" s="233" t="inlineStr">
        <is>
          <t>03</t>
        </is>
      </c>
      <c r="F4607" s="227" t="inlineStr">
        <is>
          <t>HART</t>
        </is>
      </c>
    </row>
    <row r="4608">
      <c r="A4608" s="227">
        <f>TL[[#This Row],[Société]]&amp;" - "&amp;TL[[#This Row],[Compte]]</f>
        <v/>
      </c>
      <c r="B4608" s="233" t="inlineStr">
        <is>
          <t>708200</t>
        </is>
      </c>
      <c r="C4608" s="227" t="inlineStr">
        <is>
          <t>Refacturations diverses</t>
        </is>
      </c>
      <c r="D4608" s="233" t="inlineStr">
        <is>
          <t>39</t>
        </is>
      </c>
      <c r="E4608" s="233" t="inlineStr">
        <is>
          <t>19</t>
        </is>
      </c>
      <c r="F4608" s="227" t="inlineStr">
        <is>
          <t>HART</t>
        </is>
      </c>
    </row>
    <row r="4609">
      <c r="A4609" s="227">
        <f>TL[[#This Row],[Société]]&amp;" - "&amp;TL[[#This Row],[Compte]]</f>
        <v/>
      </c>
      <c r="B4609" s="233" t="inlineStr">
        <is>
          <t>708600</t>
        </is>
      </c>
      <c r="C4609" s="227" t="inlineStr">
        <is>
          <t>Refacturation budget pub</t>
        </is>
      </c>
      <c r="D4609" s="233" t="inlineStr">
        <is>
          <t>15</t>
        </is>
      </c>
      <c r="E4609" s="233" t="inlineStr">
        <is>
          <t>23</t>
        </is>
      </c>
      <c r="F4609" s="227" t="inlineStr">
        <is>
          <t>HART</t>
        </is>
      </c>
    </row>
    <row r="4610">
      <c r="A4610" s="227">
        <f>TL[[#This Row],[Société]]&amp;" - "&amp;TL[[#This Row],[Compte]]</f>
        <v/>
      </c>
      <c r="B4610" s="233" t="inlineStr">
        <is>
          <t>708830</t>
        </is>
      </c>
      <c r="C4610" s="227" t="inlineStr">
        <is>
          <t>Refactur sal cs managers</t>
        </is>
      </c>
      <c r="D4610" s="233" t="inlineStr">
        <is>
          <t>12</t>
        </is>
      </c>
      <c r="E4610" s="233" t="inlineStr">
        <is>
          <t>11</t>
        </is>
      </c>
      <c r="F4610" s="227" t="inlineStr">
        <is>
          <t>HART</t>
        </is>
      </c>
    </row>
    <row r="4611">
      <c r="A4611" s="227">
        <f>TL[[#This Row],[Société]]&amp;" - "&amp;TL[[#This Row],[Compte]]</f>
        <v/>
      </c>
      <c r="B4611" s="233" t="inlineStr">
        <is>
          <t>708840</t>
        </is>
      </c>
      <c r="C4611" s="227" t="inlineStr">
        <is>
          <t>Refact salaires managers</t>
        </is>
      </c>
      <c r="D4611" s="233" t="inlineStr">
        <is>
          <t>11</t>
        </is>
      </c>
      <c r="E4611" s="233" t="inlineStr">
        <is>
          <t>10</t>
        </is>
      </c>
      <c r="F4611" s="227" t="inlineStr">
        <is>
          <t>HART</t>
        </is>
      </c>
    </row>
    <row r="4612">
      <c r="A4612" s="227">
        <f>TL[[#This Row],[Société]]&amp;" - "&amp;TL[[#This Row],[Compte]]</f>
        <v/>
      </c>
      <c r="B4612" s="233" t="inlineStr">
        <is>
          <t>708850</t>
        </is>
      </c>
      <c r="C4612" s="227" t="inlineStr">
        <is>
          <t>Refact salaires equipiers</t>
        </is>
      </c>
      <c r="D4612" s="233" t="inlineStr">
        <is>
          <t>10</t>
        </is>
      </c>
      <c r="E4612" s="233" t="inlineStr">
        <is>
          <t>08</t>
        </is>
      </c>
      <c r="F4612" s="227" t="inlineStr">
        <is>
          <t>HART</t>
        </is>
      </c>
    </row>
    <row r="4613">
      <c r="A4613" s="227">
        <f>TL[[#This Row],[Société]]&amp;" - "&amp;TL[[#This Row],[Compte]]</f>
        <v/>
      </c>
      <c r="B4613" s="233" t="inlineStr">
        <is>
          <t>708862</t>
        </is>
      </c>
      <c r="C4613" s="227" t="inlineStr">
        <is>
          <t>Refacturation frais de deplacements</t>
        </is>
      </c>
      <c r="D4613" s="233" t="inlineStr">
        <is>
          <t>13</t>
        </is>
      </c>
      <c r="E4613" s="233" t="inlineStr">
        <is>
          <t>26</t>
        </is>
      </c>
      <c r="F4613" s="227" t="inlineStr">
        <is>
          <t>HART</t>
        </is>
      </c>
    </row>
    <row r="4614">
      <c r="A4614" s="227">
        <f>TL[[#This Row],[Société]]&amp;" - "&amp;TL[[#This Row],[Compte]]</f>
        <v/>
      </c>
      <c r="B4614" s="233" t="inlineStr">
        <is>
          <t>708870</t>
        </is>
      </c>
      <c r="C4614" s="227" t="inlineStr">
        <is>
          <t>Gie opération de marché</t>
        </is>
      </c>
      <c r="D4614" s="233" t="inlineStr">
        <is>
          <t>15</t>
        </is>
      </c>
      <c r="E4614" s="233" t="inlineStr">
        <is>
          <t>23</t>
        </is>
      </c>
      <c r="F4614" s="227" t="inlineStr">
        <is>
          <t>HART</t>
        </is>
      </c>
    </row>
    <row r="4615">
      <c r="A4615" s="227">
        <f>TL[[#This Row],[Société]]&amp;" - "&amp;TL[[#This Row],[Compte]]</f>
        <v/>
      </c>
      <c r="B4615" s="233" t="inlineStr">
        <is>
          <t>726100</t>
        </is>
      </c>
      <c r="C4615" s="227" t="inlineStr">
        <is>
          <t>Avantage en nature equipiers</t>
        </is>
      </c>
      <c r="D4615" s="233" t="inlineStr">
        <is>
          <t>10</t>
        </is>
      </c>
      <c r="E4615" s="233" t="inlineStr">
        <is>
          <t>08</t>
        </is>
      </c>
      <c r="F4615" s="227" t="inlineStr">
        <is>
          <t>HART</t>
        </is>
      </c>
    </row>
    <row r="4616">
      <c r="A4616" s="227">
        <f>TL[[#This Row],[Société]]&amp;" - "&amp;TL[[#This Row],[Compte]]</f>
        <v/>
      </c>
      <c r="B4616" s="233" t="inlineStr">
        <is>
          <t>726110</t>
        </is>
      </c>
      <c r="C4616" s="227" t="inlineStr">
        <is>
          <t>Avantage en nature managers</t>
        </is>
      </c>
      <c r="D4616" s="233" t="inlineStr">
        <is>
          <t>11</t>
        </is>
      </c>
      <c r="E4616" s="233" t="inlineStr">
        <is>
          <t>10</t>
        </is>
      </c>
      <c r="F4616" s="227" t="inlineStr">
        <is>
          <t>HART</t>
        </is>
      </c>
    </row>
    <row r="4617">
      <c r="A4617" s="227">
        <f>TL[[#This Row],[Société]]&amp;" - "&amp;TL[[#This Row],[Compte]]</f>
        <v/>
      </c>
      <c r="B4617" s="233" t="inlineStr">
        <is>
          <t>740100</t>
        </is>
      </c>
      <c r="C4617" s="227" t="inlineStr">
        <is>
          <t>Subvention emploi</t>
        </is>
      </c>
      <c r="D4617" s="233" t="inlineStr">
        <is>
          <t>39</t>
        </is>
      </c>
      <c r="E4617" s="233" t="inlineStr">
        <is>
          <t>45</t>
        </is>
      </c>
      <c r="F4617" s="227" t="inlineStr">
        <is>
          <t>HART</t>
        </is>
      </c>
    </row>
    <row r="4618">
      <c r="A4618" s="227">
        <f>TL[[#This Row],[Société]]&amp;" - "&amp;TL[[#This Row],[Compte]]</f>
        <v/>
      </c>
      <c r="B4618" s="233" t="inlineStr">
        <is>
          <t>740200</t>
        </is>
      </c>
      <c r="C4618" s="227" t="inlineStr">
        <is>
          <t>Subvention equipement</t>
        </is>
      </c>
      <c r="D4618" s="233" t="inlineStr">
        <is>
          <t>39</t>
        </is>
      </c>
      <c r="E4618" s="233" t="inlineStr">
        <is>
          <t>45</t>
        </is>
      </c>
      <c r="F4618" s="227" t="inlineStr">
        <is>
          <t>HART</t>
        </is>
      </c>
    </row>
    <row r="4619">
      <c r="A4619" s="227">
        <f>TL[[#This Row],[Société]]&amp;" - "&amp;TL[[#This Row],[Compte]]</f>
        <v/>
      </c>
      <c r="B4619" s="233" t="inlineStr">
        <is>
          <t>758000</t>
        </is>
      </c>
      <c r="C4619" s="227" t="inlineStr">
        <is>
          <t>Produits divers gestion courante</t>
        </is>
      </c>
      <c r="D4619" s="233" t="inlineStr">
        <is>
          <t>39</t>
        </is>
      </c>
      <c r="E4619" s="233" t="inlineStr">
        <is>
          <t>27</t>
        </is>
      </c>
      <c r="F4619" s="227" t="inlineStr">
        <is>
          <t>HART</t>
        </is>
      </c>
    </row>
    <row r="4620">
      <c r="A4620" s="227">
        <f>TL[[#This Row],[Société]]&amp;" - "&amp;TL[[#This Row],[Compte]]</f>
        <v/>
      </c>
      <c r="B4620" s="233" t="inlineStr">
        <is>
          <t>758100</t>
        </is>
      </c>
      <c r="C4620" s="227" t="inlineStr">
        <is>
          <t>Ecart de caisse positif</t>
        </is>
      </c>
      <c r="D4620" s="233" t="inlineStr">
        <is>
          <t>22</t>
        </is>
      </c>
      <c r="E4620" s="233" t="inlineStr">
        <is>
          <t>27</t>
        </is>
      </c>
      <c r="F4620" s="227" t="inlineStr">
        <is>
          <t>HART</t>
        </is>
      </c>
    </row>
    <row r="4621">
      <c r="A4621" s="227">
        <f>TL[[#This Row],[Société]]&amp;" - "&amp;TL[[#This Row],[Compte]]</f>
        <v/>
      </c>
      <c r="B4621" s="233" t="inlineStr">
        <is>
          <t>766000</t>
        </is>
      </c>
      <c r="C4621" s="227" t="inlineStr">
        <is>
          <t>Gains de change</t>
        </is>
      </c>
      <c r="F4621" s="227" t="inlineStr">
        <is>
          <t>HART</t>
        </is>
      </c>
    </row>
    <row r="4622">
      <c r="A4622" s="227">
        <f>TL[[#This Row],[Société]]&amp;" - "&amp;TL[[#This Row],[Compte]]</f>
        <v/>
      </c>
      <c r="B4622" s="233" t="inlineStr">
        <is>
          <t>771100</t>
        </is>
      </c>
      <c r="C4622" s="227" t="inlineStr">
        <is>
          <t>Ecarts de caisse</t>
        </is>
      </c>
      <c r="D4622" s="233" t="inlineStr">
        <is>
          <t>22</t>
        </is>
      </c>
      <c r="E4622" s="233" t="inlineStr">
        <is>
          <t>27</t>
        </is>
      </c>
      <c r="F4622" s="227" t="inlineStr">
        <is>
          <t>HART</t>
        </is>
      </c>
    </row>
    <row r="4623">
      <c r="A4623" s="227">
        <f>TL[[#This Row],[Société]]&amp;" - "&amp;TL[[#This Row],[Compte]]</f>
        <v/>
      </c>
      <c r="B4623" s="233" t="inlineStr">
        <is>
          <t>775200</t>
        </is>
      </c>
      <c r="C4623" s="227" t="inlineStr">
        <is>
          <t>Prod cessions actifs - Immo corp</t>
        </is>
      </c>
      <c r="F4623" s="227" t="inlineStr">
        <is>
          <t>HART</t>
        </is>
      </c>
    </row>
    <row r="4624">
      <c r="A4624" s="227">
        <f>TL[[#This Row],[Société]]&amp;" - "&amp;TL[[#This Row],[Compte]]</f>
        <v/>
      </c>
      <c r="B4624" s="233" t="inlineStr">
        <is>
          <t>781110</t>
        </is>
      </c>
      <c r="C4624" s="227" t="inlineStr">
        <is>
          <t>Cree par cegid</t>
        </is>
      </c>
      <c r="F4624" s="227" t="inlineStr">
        <is>
          <t>HART</t>
        </is>
      </c>
    </row>
    <row r="4625">
      <c r="A4625" s="227">
        <f>TL[[#This Row],[Société]]&amp;" - "&amp;TL[[#This Row],[Compte]]</f>
        <v/>
      </c>
      <c r="B4625" s="233" t="inlineStr">
        <is>
          <t>781120</t>
        </is>
      </c>
      <c r="C4625" s="227" t="inlineStr">
        <is>
          <t>Reprises sur amort. immo. corpo.</t>
        </is>
      </c>
      <c r="F4625" s="227" t="inlineStr">
        <is>
          <t>HART</t>
        </is>
      </c>
    </row>
    <row r="4626">
      <c r="A4626" s="227">
        <f>TL[[#This Row],[Société]]&amp;" - "&amp;TL[[#This Row],[Compte]]</f>
        <v/>
      </c>
      <c r="B4626" s="233" t="inlineStr">
        <is>
          <t>787250</t>
        </is>
      </c>
      <c r="C4626" s="227" t="inlineStr">
        <is>
          <t>Reprises amortissements dérogatoire</t>
        </is>
      </c>
      <c r="F4626" s="227" t="inlineStr">
        <is>
          <t>HART</t>
        </is>
      </c>
    </row>
    <row r="4627">
      <c r="A4627" s="227">
        <f>TL[[#This Row],[Société]]&amp;" - "&amp;TL[[#This Row],[Compte]]</f>
        <v/>
      </c>
      <c r="B4627" s="233" t="inlineStr">
        <is>
          <t>791000</t>
        </is>
      </c>
      <c r="C4627" s="227" t="inlineStr">
        <is>
          <t>SALAIRES 11/2022</t>
        </is>
      </c>
      <c r="F4627" s="227" t="inlineStr">
        <is>
          <t>HART</t>
        </is>
      </c>
    </row>
    <row r="4628">
      <c r="A4628" s="227">
        <f>TL[[#This Row],[Société]]&amp;" - "&amp;TL[[#This Row],[Compte]]</f>
        <v/>
      </c>
      <c r="B4628" s="233" t="inlineStr">
        <is>
          <t>890000</t>
        </is>
      </c>
      <c r="C4628" s="227" t="inlineStr">
        <is>
          <t>Compte de bilan</t>
        </is>
      </c>
      <c r="F4628" s="227" t="inlineStr">
        <is>
          <t>HART</t>
        </is>
      </c>
    </row>
    <row r="4629">
      <c r="A4629" s="227">
        <f>TL[[#This Row],[Société]]&amp;" - "&amp;TL[[#This Row],[Compte]]</f>
        <v/>
      </c>
      <c r="B4629" s="233" t="inlineStr">
        <is>
          <t>10130000</t>
        </is>
      </c>
      <c r="C4629" s="227" t="inlineStr">
        <is>
          <t>Capital</t>
        </is>
      </c>
      <c r="F4629" s="227" t="inlineStr">
        <is>
          <t>HTR8</t>
        </is>
      </c>
    </row>
    <row r="4630">
      <c r="A4630" s="227">
        <f>TL[[#This Row],[Société]]&amp;" - "&amp;TL[[#This Row],[Compte]]</f>
        <v/>
      </c>
      <c r="B4630" s="233" t="inlineStr">
        <is>
          <t>10510000</t>
        </is>
      </c>
      <c r="C4630" s="227" t="inlineStr">
        <is>
          <t>Réserve spéciale</t>
        </is>
      </c>
      <c r="F4630" s="227" t="inlineStr">
        <is>
          <t>HTR8</t>
        </is>
      </c>
    </row>
    <row r="4631">
      <c r="A4631" s="227">
        <f>TL[[#This Row],[Société]]&amp;" - "&amp;TL[[#This Row],[Compte]]</f>
        <v/>
      </c>
      <c r="B4631" s="233" t="inlineStr">
        <is>
          <t>10610000</t>
        </is>
      </c>
      <c r="C4631" s="227" t="inlineStr">
        <is>
          <t>Réserve légale</t>
        </is>
      </c>
      <c r="F4631" s="227" t="inlineStr">
        <is>
          <t>HTR8</t>
        </is>
      </c>
    </row>
    <row r="4632">
      <c r="A4632" s="227">
        <f>TL[[#This Row],[Société]]&amp;" - "&amp;TL[[#This Row],[Compte]]</f>
        <v/>
      </c>
      <c r="B4632" s="233" t="inlineStr">
        <is>
          <t>10630000</t>
        </is>
      </c>
      <c r="C4632" s="227" t="inlineStr">
        <is>
          <t>Réserves statutaires ou contract.</t>
        </is>
      </c>
      <c r="F4632" s="227" t="inlineStr">
        <is>
          <t>HTR8</t>
        </is>
      </c>
    </row>
    <row r="4633">
      <c r="A4633" s="227">
        <f>TL[[#This Row],[Société]]&amp;" - "&amp;TL[[#This Row],[Compte]]</f>
        <v/>
      </c>
      <c r="B4633" s="233" t="inlineStr">
        <is>
          <t>10680000</t>
        </is>
      </c>
      <c r="C4633" s="227" t="inlineStr">
        <is>
          <t>Autres réserves</t>
        </is>
      </c>
      <c r="F4633" s="227" t="inlineStr">
        <is>
          <t>HTR8</t>
        </is>
      </c>
    </row>
    <row r="4634">
      <c r="A4634" s="227">
        <f>TL[[#This Row],[Société]]&amp;" - "&amp;TL[[#This Row],[Compte]]</f>
        <v/>
      </c>
      <c r="B4634" s="233" t="inlineStr">
        <is>
          <t>10681000</t>
        </is>
      </c>
      <c r="C4634" s="227" t="inlineStr">
        <is>
          <t>Réserve spéciale</t>
        </is>
      </c>
      <c r="F4634" s="227" t="inlineStr">
        <is>
          <t>HTR8</t>
        </is>
      </c>
    </row>
    <row r="4635">
      <c r="A4635" s="227">
        <f>TL[[#This Row],[Société]]&amp;" - "&amp;TL[[#This Row],[Compte]]</f>
        <v/>
      </c>
      <c r="B4635" s="233" t="inlineStr">
        <is>
          <t>11900000</t>
        </is>
      </c>
      <c r="C4635" s="227" t="inlineStr">
        <is>
          <t>Report à nouveau (solde débiteur)</t>
        </is>
      </c>
      <c r="F4635" s="227" t="inlineStr">
        <is>
          <t>HTR8</t>
        </is>
      </c>
    </row>
    <row r="4636">
      <c r="A4636" s="227">
        <f>TL[[#This Row],[Société]]&amp;" - "&amp;TL[[#This Row],[Compte]]</f>
        <v/>
      </c>
      <c r="B4636" s="233" t="inlineStr">
        <is>
          <t>12000000</t>
        </is>
      </c>
      <c r="C4636" s="227" t="inlineStr">
        <is>
          <t>Résultat</t>
        </is>
      </c>
      <c r="F4636" s="227" t="inlineStr">
        <is>
          <t>HTR8</t>
        </is>
      </c>
    </row>
    <row r="4637">
      <c r="A4637" s="227">
        <f>TL[[#This Row],[Société]]&amp;" - "&amp;TL[[#This Row],[Compte]]</f>
        <v/>
      </c>
      <c r="B4637" s="233" t="inlineStr">
        <is>
          <t>12900000</t>
        </is>
      </c>
      <c r="C4637" s="227" t="inlineStr">
        <is>
          <t>Résultat</t>
        </is>
      </c>
      <c r="F4637" s="227" t="inlineStr">
        <is>
          <t>HTR8</t>
        </is>
      </c>
    </row>
    <row r="4638">
      <c r="A4638" s="227">
        <f>TL[[#This Row],[Société]]&amp;" - "&amp;TL[[#This Row],[Compte]]</f>
        <v/>
      </c>
      <c r="B4638" s="233" t="inlineStr">
        <is>
          <t>14500000</t>
        </is>
      </c>
      <c r="C4638" s="227" t="inlineStr">
        <is>
          <t>Amortissements dérogatoires</t>
        </is>
      </c>
      <c r="F4638" s="227" t="inlineStr">
        <is>
          <t>HTR8</t>
        </is>
      </c>
    </row>
    <row r="4639">
      <c r="A4639" s="227">
        <f>TL[[#This Row],[Société]]&amp;" - "&amp;TL[[#This Row],[Compte]]</f>
        <v/>
      </c>
      <c r="B4639" s="233" t="inlineStr">
        <is>
          <t>15180000</t>
        </is>
      </c>
      <c r="C4639" s="227" t="inlineStr">
        <is>
          <t>Autres provisions pour risques</t>
        </is>
      </c>
      <c r="F4639" s="227" t="inlineStr">
        <is>
          <t>HTR8</t>
        </is>
      </c>
    </row>
    <row r="4640">
      <c r="A4640" s="227">
        <f>TL[[#This Row],[Société]]&amp;" - "&amp;TL[[#This Row],[Compte]]</f>
        <v/>
      </c>
      <c r="B4640" s="233" t="inlineStr">
        <is>
          <t>15300000</t>
        </is>
      </c>
      <c r="C4640" s="227" t="inlineStr">
        <is>
          <t>Provisions pensions &amp; obligat.simil</t>
        </is>
      </c>
      <c r="F4640" s="227" t="inlineStr">
        <is>
          <t>HTR8</t>
        </is>
      </c>
    </row>
    <row r="4641">
      <c r="A4641" s="227">
        <f>TL[[#This Row],[Société]]&amp;" - "&amp;TL[[#This Row],[Compte]]</f>
        <v/>
      </c>
      <c r="B4641" s="233" t="inlineStr">
        <is>
          <t>15800000</t>
        </is>
      </c>
      <c r="C4641" s="227" t="inlineStr">
        <is>
          <t>Autres provisions pour charges</t>
        </is>
      </c>
      <c r="F4641" s="227" t="inlineStr">
        <is>
          <t>HTR8</t>
        </is>
      </c>
    </row>
    <row r="4642">
      <c r="A4642" s="227">
        <f>TL[[#This Row],[Société]]&amp;" - "&amp;TL[[#This Row],[Compte]]</f>
        <v/>
      </c>
      <c r="B4642" s="233" t="inlineStr">
        <is>
          <t>16400000</t>
        </is>
      </c>
      <c r="C4642" s="227" t="inlineStr">
        <is>
          <t>Emprunt CA 750 000 €</t>
        </is>
      </c>
      <c r="F4642" s="227" t="inlineStr">
        <is>
          <t>HTR8</t>
        </is>
      </c>
    </row>
    <row r="4643">
      <c r="A4643" s="227">
        <f>TL[[#This Row],[Société]]&amp;" - "&amp;TL[[#This Row],[Compte]]</f>
        <v/>
      </c>
      <c r="B4643" s="233" t="inlineStr">
        <is>
          <t>16410000</t>
        </is>
      </c>
      <c r="C4643" s="227" t="inlineStr">
        <is>
          <t>Emprunt PGE 100 000 €</t>
        </is>
      </c>
      <c r="F4643" s="227" t="inlineStr">
        <is>
          <t>HTR8</t>
        </is>
      </c>
    </row>
    <row r="4644">
      <c r="A4644" s="227">
        <f>TL[[#This Row],[Société]]&amp;" - "&amp;TL[[#This Row],[Compte]]</f>
        <v/>
      </c>
      <c r="B4644" s="233" t="inlineStr">
        <is>
          <t>16420000</t>
        </is>
      </c>
      <c r="C4644" s="227" t="inlineStr">
        <is>
          <t>Emprunt PGE 350 000 €</t>
        </is>
      </c>
      <c r="F4644" s="227" t="inlineStr">
        <is>
          <t>HTR8</t>
        </is>
      </c>
    </row>
    <row r="4645">
      <c r="A4645" s="227">
        <f>TL[[#This Row],[Société]]&amp;" - "&amp;TL[[#This Row],[Compte]]</f>
        <v/>
      </c>
      <c r="B4645" s="233" t="inlineStr">
        <is>
          <t>16880000</t>
        </is>
      </c>
      <c r="C4645" s="227" t="inlineStr">
        <is>
          <t>Intérêts courus</t>
        </is>
      </c>
      <c r="F4645" s="227" t="inlineStr">
        <is>
          <t>HTR8</t>
        </is>
      </c>
    </row>
    <row r="4646">
      <c r="A4646" s="227">
        <f>TL[[#This Row],[Société]]&amp;" - "&amp;TL[[#This Row],[Compte]]</f>
        <v/>
      </c>
      <c r="B4646" s="233" t="inlineStr">
        <is>
          <t>20500000</t>
        </is>
      </c>
      <c r="C4646" s="227" t="inlineStr">
        <is>
          <t>Logiciels informatiques</t>
        </is>
      </c>
      <c r="F4646" s="227" t="inlineStr">
        <is>
          <t>HTR8</t>
        </is>
      </c>
    </row>
    <row r="4647">
      <c r="A4647" s="227">
        <f>TL[[#This Row],[Société]]&amp;" - "&amp;TL[[#This Row],[Compte]]</f>
        <v/>
      </c>
      <c r="B4647" s="233" t="inlineStr">
        <is>
          <t>21540000</t>
        </is>
      </c>
      <c r="C4647" s="227" t="inlineStr">
        <is>
          <t>Materiel de cuisine</t>
        </is>
      </c>
      <c r="F4647" s="227" t="inlineStr">
        <is>
          <t>HTR8</t>
        </is>
      </c>
    </row>
    <row r="4648">
      <c r="A4648" s="227">
        <f>TL[[#This Row],[Société]]&amp;" - "&amp;TL[[#This Row],[Compte]]</f>
        <v/>
      </c>
      <c r="B4648" s="233" t="inlineStr">
        <is>
          <t>21550000</t>
        </is>
      </c>
      <c r="C4648" s="227" t="inlineStr">
        <is>
          <t>Outillage industriel</t>
        </is>
      </c>
      <c r="F4648" s="227" t="inlineStr">
        <is>
          <t>HTR8</t>
        </is>
      </c>
    </row>
    <row r="4649">
      <c r="A4649" s="227">
        <f>TL[[#This Row],[Société]]&amp;" - "&amp;TL[[#This Row],[Compte]]</f>
        <v/>
      </c>
      <c r="B4649" s="233" t="inlineStr">
        <is>
          <t>21810000</t>
        </is>
      </c>
      <c r="C4649" s="227" t="inlineStr">
        <is>
          <t>Aai divers</t>
        </is>
      </c>
      <c r="F4649" s="227" t="inlineStr">
        <is>
          <t>HTR8</t>
        </is>
      </c>
    </row>
    <row r="4650">
      <c r="A4650" s="227">
        <f>TL[[#This Row],[Société]]&amp;" - "&amp;TL[[#This Row],[Compte]]</f>
        <v/>
      </c>
      <c r="B4650" s="233" t="inlineStr">
        <is>
          <t>21820000</t>
        </is>
      </c>
      <c r="C4650" s="227" t="inlineStr">
        <is>
          <t>Matériel de transport</t>
        </is>
      </c>
      <c r="F4650" s="227" t="inlineStr">
        <is>
          <t>HTR8</t>
        </is>
      </c>
    </row>
    <row r="4651">
      <c r="A4651" s="227">
        <f>TL[[#This Row],[Société]]&amp;" - "&amp;TL[[#This Row],[Compte]]</f>
        <v/>
      </c>
      <c r="B4651" s="233" t="inlineStr">
        <is>
          <t>21830000</t>
        </is>
      </c>
      <c r="C4651" s="227" t="inlineStr">
        <is>
          <t>Matériel de bureau</t>
        </is>
      </c>
      <c r="F4651" s="227" t="inlineStr">
        <is>
          <t>HTR8</t>
        </is>
      </c>
    </row>
    <row r="4652">
      <c r="A4652" s="227">
        <f>TL[[#This Row],[Société]]&amp;" - "&amp;TL[[#This Row],[Compte]]</f>
        <v/>
      </c>
      <c r="B4652" s="233" t="inlineStr">
        <is>
          <t>21840000</t>
        </is>
      </c>
      <c r="C4652" s="227" t="inlineStr">
        <is>
          <t>Mobilier de restaurant</t>
        </is>
      </c>
      <c r="F4652" s="227" t="inlineStr">
        <is>
          <t>HTR8</t>
        </is>
      </c>
    </row>
    <row r="4653">
      <c r="A4653" s="227">
        <f>TL[[#This Row],[Société]]&amp;" - "&amp;TL[[#This Row],[Compte]]</f>
        <v/>
      </c>
      <c r="B4653" s="233" t="inlineStr">
        <is>
          <t>21850000</t>
        </is>
      </c>
      <c r="C4653" s="227" t="inlineStr">
        <is>
          <t>Oeuvre d art</t>
        </is>
      </c>
      <c r="F4653" s="227" t="inlineStr">
        <is>
          <t>HTR8</t>
        </is>
      </c>
    </row>
    <row r="4654">
      <c r="A4654" s="227">
        <f>TL[[#This Row],[Société]]&amp;" - "&amp;TL[[#This Row],[Compte]]</f>
        <v/>
      </c>
      <c r="B4654" s="233" t="inlineStr">
        <is>
          <t>27110000</t>
        </is>
      </c>
      <c r="C4654" s="227" t="inlineStr">
        <is>
          <t>Actions</t>
        </is>
      </c>
      <c r="F4654" s="227" t="inlineStr">
        <is>
          <t>HTR8</t>
        </is>
      </c>
    </row>
    <row r="4655">
      <c r="A4655" s="227">
        <f>TL[[#This Row],[Société]]&amp;" - "&amp;TL[[#This Row],[Compte]]</f>
        <v/>
      </c>
      <c r="B4655" s="233" t="inlineStr">
        <is>
          <t>27500000</t>
        </is>
      </c>
      <c r="C4655" s="227" t="inlineStr">
        <is>
          <t>depot cautionnement</t>
        </is>
      </c>
      <c r="F4655" s="227" t="inlineStr">
        <is>
          <t>HTR8</t>
        </is>
      </c>
    </row>
    <row r="4656">
      <c r="A4656" s="227">
        <f>TL[[#This Row],[Société]]&amp;" - "&amp;TL[[#This Row],[Compte]]</f>
        <v/>
      </c>
      <c r="B4656" s="233" t="inlineStr">
        <is>
          <t>27510000</t>
        </is>
      </c>
      <c r="C4656" s="227" t="inlineStr">
        <is>
          <t>Dépots</t>
        </is>
      </c>
      <c r="F4656" s="227" t="inlineStr">
        <is>
          <t>HTR8</t>
        </is>
      </c>
    </row>
    <row r="4657">
      <c r="A4657" s="227">
        <f>TL[[#This Row],[Société]]&amp;" - "&amp;TL[[#This Row],[Compte]]</f>
        <v/>
      </c>
      <c r="B4657" s="233" t="inlineStr">
        <is>
          <t>28050000</t>
        </is>
      </c>
      <c r="C4657" s="227" t="inlineStr">
        <is>
          <t>Amortis. concess. &amp; droits simil.</t>
        </is>
      </c>
      <c r="F4657" s="227" t="inlineStr">
        <is>
          <t>HTR8</t>
        </is>
      </c>
    </row>
    <row r="4658">
      <c r="A4658" s="227">
        <f>TL[[#This Row],[Société]]&amp;" - "&amp;TL[[#This Row],[Compte]]</f>
        <v/>
      </c>
      <c r="B4658" s="233" t="inlineStr">
        <is>
          <t>28154000</t>
        </is>
      </c>
      <c r="C4658" s="227" t="inlineStr">
        <is>
          <t>Amortissement matériel de cuisine</t>
        </is>
      </c>
      <c r="F4658" s="227" t="inlineStr">
        <is>
          <t>HTR8</t>
        </is>
      </c>
    </row>
    <row r="4659">
      <c r="A4659" s="227">
        <f>TL[[#This Row],[Société]]&amp;" - "&amp;TL[[#This Row],[Compte]]</f>
        <v/>
      </c>
      <c r="B4659" s="233" t="inlineStr">
        <is>
          <t>28155000</t>
        </is>
      </c>
      <c r="C4659" s="227" t="inlineStr">
        <is>
          <t>Amortissements outillage industriel</t>
        </is>
      </c>
      <c r="F4659" s="227" t="inlineStr">
        <is>
          <t>HTR8</t>
        </is>
      </c>
    </row>
    <row r="4660">
      <c r="A4660" s="227">
        <f>TL[[#This Row],[Société]]&amp;" - "&amp;TL[[#This Row],[Compte]]</f>
        <v/>
      </c>
      <c r="B4660" s="233" t="inlineStr">
        <is>
          <t>28181000</t>
        </is>
      </c>
      <c r="C4660" s="227" t="inlineStr">
        <is>
          <t>Amortis. instal. gales, agenct. div</t>
        </is>
      </c>
      <c r="F4660" s="227" t="inlineStr">
        <is>
          <t>HTR8</t>
        </is>
      </c>
    </row>
    <row r="4661">
      <c r="A4661" s="227">
        <f>TL[[#This Row],[Société]]&amp;" - "&amp;TL[[#This Row],[Compte]]</f>
        <v/>
      </c>
      <c r="B4661" s="233" t="inlineStr">
        <is>
          <t>28183000</t>
        </is>
      </c>
      <c r="C4661" s="227" t="inlineStr">
        <is>
          <t>Amortis. matér.bureau et informat.</t>
        </is>
      </c>
      <c r="F4661" s="227" t="inlineStr">
        <is>
          <t>HTR8</t>
        </is>
      </c>
    </row>
    <row r="4662">
      <c r="A4662" s="227">
        <f>TL[[#This Row],[Société]]&amp;" - "&amp;TL[[#This Row],[Compte]]</f>
        <v/>
      </c>
      <c r="B4662" s="233" t="inlineStr">
        <is>
          <t>28184000</t>
        </is>
      </c>
      <c r="C4662" s="227" t="inlineStr">
        <is>
          <t>Amortis. mobilier</t>
        </is>
      </c>
      <c r="F4662" s="227" t="inlineStr">
        <is>
          <t>HTR8</t>
        </is>
      </c>
    </row>
    <row r="4663">
      <c r="A4663" s="227">
        <f>TL[[#This Row],[Société]]&amp;" - "&amp;TL[[#This Row],[Compte]]</f>
        <v/>
      </c>
      <c r="B4663" s="233" t="inlineStr">
        <is>
          <t>31000000</t>
        </is>
      </c>
      <c r="C4663" s="227" t="inlineStr">
        <is>
          <t>Stocks food</t>
        </is>
      </c>
      <c r="F4663" s="227" t="inlineStr">
        <is>
          <t>HTR8</t>
        </is>
      </c>
    </row>
    <row r="4664">
      <c r="A4664" s="227">
        <f>TL[[#This Row],[Société]]&amp;" - "&amp;TL[[#This Row],[Compte]]</f>
        <v/>
      </c>
      <c r="B4664" s="233" t="inlineStr">
        <is>
          <t>32000000</t>
        </is>
      </c>
      <c r="C4664" s="227" t="inlineStr">
        <is>
          <t>Stocks emballages</t>
        </is>
      </c>
      <c r="F4664" s="227" t="inlineStr">
        <is>
          <t>HTR8</t>
        </is>
      </c>
    </row>
    <row r="4665">
      <c r="A4665" s="227">
        <f>TL[[#This Row],[Société]]&amp;" - "&amp;TL[[#This Row],[Compte]]</f>
        <v/>
      </c>
      <c r="B4665" s="233" t="inlineStr">
        <is>
          <t>32100000</t>
        </is>
      </c>
      <c r="C4665" s="227" t="inlineStr">
        <is>
          <t>Stocks pdts non aliment.</t>
        </is>
      </c>
      <c r="F4665" s="227" t="inlineStr">
        <is>
          <t>HTR8</t>
        </is>
      </c>
    </row>
    <row r="4666">
      <c r="A4666" s="227">
        <f>TL[[#This Row],[Société]]&amp;" - "&amp;TL[[#This Row],[Compte]]</f>
        <v/>
      </c>
      <c r="B4666" s="233" t="inlineStr">
        <is>
          <t>40100000</t>
        </is>
      </c>
      <c r="C4666" s="227" t="inlineStr">
        <is>
          <t>Fournisseurs</t>
        </is>
      </c>
      <c r="F4666" s="227" t="inlineStr">
        <is>
          <t>HTR8</t>
        </is>
      </c>
    </row>
    <row r="4667">
      <c r="A4667" s="227">
        <f>TL[[#This Row],[Société]]&amp;" - "&amp;TL[[#This Row],[Compte]]</f>
        <v/>
      </c>
      <c r="B4667" s="233" t="inlineStr">
        <is>
          <t>40410000</t>
        </is>
      </c>
      <c r="C4667" s="227" t="inlineStr">
        <is>
          <t>Fournisseurs d'immobilisations</t>
        </is>
      </c>
      <c r="F4667" s="227" t="inlineStr">
        <is>
          <t>HTR8</t>
        </is>
      </c>
    </row>
    <row r="4668">
      <c r="A4668" s="227">
        <f>TL[[#This Row],[Société]]&amp;" - "&amp;TL[[#This Row],[Compte]]</f>
        <v/>
      </c>
      <c r="B4668" s="233" t="inlineStr">
        <is>
          <t>40810000</t>
        </is>
      </c>
      <c r="C4668" s="227" t="inlineStr">
        <is>
          <t>Fournisseurs - fact. non parvenues</t>
        </is>
      </c>
      <c r="F4668" s="227" t="inlineStr">
        <is>
          <t>HTR8</t>
        </is>
      </c>
    </row>
    <row r="4669">
      <c r="A4669" s="227">
        <f>TL[[#This Row],[Société]]&amp;" - "&amp;TL[[#This Row],[Compte]]</f>
        <v/>
      </c>
      <c r="B4669" s="233" t="inlineStr">
        <is>
          <t>40910000</t>
        </is>
      </c>
      <c r="C4669" s="227" t="inlineStr">
        <is>
          <t>Fournisseurs - acomptes s/commandes</t>
        </is>
      </c>
      <c r="F4669" s="227" t="inlineStr">
        <is>
          <t>HTR8</t>
        </is>
      </c>
    </row>
    <row r="4670">
      <c r="A4670" s="227">
        <f>TL[[#This Row],[Société]]&amp;" - "&amp;TL[[#This Row],[Compte]]</f>
        <v/>
      </c>
      <c r="B4670" s="233" t="inlineStr">
        <is>
          <t>40960000</t>
        </is>
      </c>
      <c r="C4670" s="227" t="inlineStr">
        <is>
          <t>Frs.crea./emb.mat.a rendr</t>
        </is>
      </c>
      <c r="F4670" s="227" t="inlineStr">
        <is>
          <t>HTR8</t>
        </is>
      </c>
    </row>
    <row r="4671">
      <c r="A4671" s="227">
        <f>TL[[#This Row],[Société]]&amp;" - "&amp;TL[[#This Row],[Compte]]</f>
        <v/>
      </c>
      <c r="B4671" s="233" t="inlineStr">
        <is>
          <t>40970000</t>
        </is>
      </c>
      <c r="C4671" s="227" t="inlineStr">
        <is>
          <t>Fournisseurs débiteurs</t>
        </is>
      </c>
      <c r="F4671" s="227" t="inlineStr">
        <is>
          <t>HTR8</t>
        </is>
      </c>
    </row>
    <row r="4672">
      <c r="A4672" s="227">
        <f>TL[[#This Row],[Société]]&amp;" - "&amp;TL[[#This Row],[Compte]]</f>
        <v/>
      </c>
      <c r="B4672" s="233" t="inlineStr">
        <is>
          <t>40970400</t>
        </is>
      </c>
      <c r="C4672" s="227" t="inlineStr">
        <is>
          <t>Fournisseurs d'immo débiteurs</t>
        </is>
      </c>
      <c r="F4672" s="227" t="inlineStr">
        <is>
          <t>HTR8</t>
        </is>
      </c>
    </row>
    <row r="4673">
      <c r="A4673" s="227">
        <f>TL[[#This Row],[Société]]&amp;" - "&amp;TL[[#This Row],[Compte]]</f>
        <v/>
      </c>
      <c r="B4673" s="233" t="inlineStr">
        <is>
          <t>40980000</t>
        </is>
      </c>
      <c r="C4673" s="227" t="inlineStr">
        <is>
          <t>Fournisseurs - rrr à obtenir</t>
        </is>
      </c>
      <c r="F4673" s="227" t="inlineStr">
        <is>
          <t>HTR8</t>
        </is>
      </c>
    </row>
    <row r="4674">
      <c r="A4674" s="227">
        <f>TL[[#This Row],[Société]]&amp;" - "&amp;TL[[#This Row],[Compte]]</f>
        <v/>
      </c>
      <c r="B4674" s="233" t="inlineStr">
        <is>
          <t>41100000</t>
        </is>
      </c>
      <c r="C4674" s="227" t="inlineStr">
        <is>
          <t>Clients</t>
        </is>
      </c>
      <c r="F4674" s="227" t="inlineStr">
        <is>
          <t>HTR8</t>
        </is>
      </c>
    </row>
    <row r="4675">
      <c r="A4675" s="227">
        <f>TL[[#This Row],[Société]]&amp;" - "&amp;TL[[#This Row],[Compte]]</f>
        <v/>
      </c>
      <c r="B4675" s="233" t="inlineStr">
        <is>
          <t>41110000</t>
        </is>
      </c>
      <c r="C4675" s="227" t="inlineStr">
        <is>
          <t>Clients</t>
        </is>
      </c>
      <c r="F4675" s="227" t="inlineStr">
        <is>
          <t>HTR8</t>
        </is>
      </c>
    </row>
    <row r="4676">
      <c r="A4676" s="227">
        <f>TL[[#This Row],[Société]]&amp;" - "&amp;TL[[#This Row],[Compte]]</f>
        <v/>
      </c>
      <c r="B4676" s="233" t="inlineStr">
        <is>
          <t>41300000</t>
        </is>
      </c>
      <c r="C4676" s="227" t="inlineStr">
        <is>
          <t>Clients - effets à recevoir</t>
        </is>
      </c>
      <c r="F4676" s="227" t="inlineStr">
        <is>
          <t>HTR8</t>
        </is>
      </c>
    </row>
    <row r="4677">
      <c r="A4677" s="227">
        <f>TL[[#This Row],[Société]]&amp;" - "&amp;TL[[#This Row],[Compte]]</f>
        <v/>
      </c>
      <c r="B4677" s="233" t="inlineStr">
        <is>
          <t>41810000</t>
        </is>
      </c>
      <c r="C4677" s="227" t="inlineStr">
        <is>
          <t>Clients - factures à établir</t>
        </is>
      </c>
      <c r="F4677" s="227" t="inlineStr">
        <is>
          <t>HTR8</t>
        </is>
      </c>
    </row>
    <row r="4678">
      <c r="A4678" s="227">
        <f>TL[[#This Row],[Société]]&amp;" - "&amp;TL[[#This Row],[Compte]]</f>
        <v/>
      </c>
      <c r="B4678" s="233" t="inlineStr">
        <is>
          <t>41980000</t>
        </is>
      </c>
      <c r="C4678" s="227" t="inlineStr">
        <is>
          <t>Clients - RRR à accorder</t>
        </is>
      </c>
      <c r="F4678" s="227" t="inlineStr">
        <is>
          <t>HTR8</t>
        </is>
      </c>
    </row>
    <row r="4679">
      <c r="A4679" s="227">
        <f>TL[[#This Row],[Société]]&amp;" - "&amp;TL[[#This Row],[Compte]]</f>
        <v/>
      </c>
      <c r="B4679" s="233" t="inlineStr">
        <is>
          <t>42100000</t>
        </is>
      </c>
      <c r="C4679" s="227" t="inlineStr">
        <is>
          <t>Personnel - rémunérations dues</t>
        </is>
      </c>
      <c r="F4679" s="227" t="inlineStr">
        <is>
          <t>HTR8</t>
        </is>
      </c>
    </row>
    <row r="4680">
      <c r="A4680" s="227">
        <f>TL[[#This Row],[Société]]&amp;" - "&amp;TL[[#This Row],[Compte]]</f>
        <v/>
      </c>
      <c r="B4680" s="233" t="inlineStr">
        <is>
          <t>42101000</t>
        </is>
      </c>
      <c r="C4680" s="227" t="inlineStr">
        <is>
          <t>Solde de tout compte</t>
        </is>
      </c>
      <c r="F4680" s="227" t="inlineStr">
        <is>
          <t>HTR8</t>
        </is>
      </c>
    </row>
    <row r="4681">
      <c r="A4681" s="227">
        <f>TL[[#This Row],[Société]]&amp;" - "&amp;TL[[#This Row],[Compte]]</f>
        <v/>
      </c>
      <c r="B4681" s="233" t="inlineStr">
        <is>
          <t>42110000</t>
        </is>
      </c>
      <c r="C4681" s="227" t="inlineStr">
        <is>
          <t>Remunerations dues</t>
        </is>
      </c>
      <c r="F4681" s="227" t="inlineStr">
        <is>
          <t>HTR8</t>
        </is>
      </c>
    </row>
    <row r="4682">
      <c r="A4682" s="227">
        <f>TL[[#This Row],[Société]]&amp;" - "&amp;TL[[#This Row],[Compte]]</f>
        <v/>
      </c>
      <c r="B4682" s="233" t="inlineStr">
        <is>
          <t>42500000</t>
        </is>
      </c>
      <c r="C4682" s="227" t="inlineStr">
        <is>
          <t>Personnel - avances et acomptes</t>
        </is>
      </c>
      <c r="F4682" s="227" t="inlineStr">
        <is>
          <t>HTR8</t>
        </is>
      </c>
    </row>
    <row r="4683">
      <c r="A4683" s="227">
        <f>TL[[#This Row],[Société]]&amp;" - "&amp;TL[[#This Row],[Compte]]</f>
        <v/>
      </c>
      <c r="B4683" s="233" t="inlineStr">
        <is>
          <t>42700000</t>
        </is>
      </c>
      <c r="C4683" s="227" t="inlineStr">
        <is>
          <t>Personnel - oppositions</t>
        </is>
      </c>
      <c r="F4683" s="227" t="inlineStr">
        <is>
          <t>HTR8</t>
        </is>
      </c>
    </row>
    <row r="4684">
      <c r="A4684" s="227">
        <f>TL[[#This Row],[Société]]&amp;" - "&amp;TL[[#This Row],[Compte]]</f>
        <v/>
      </c>
      <c r="B4684" s="233" t="inlineStr">
        <is>
          <t>42820000</t>
        </is>
      </c>
      <c r="C4684" s="227" t="inlineStr">
        <is>
          <t>Dettes provis. pr congés à payer</t>
        </is>
      </c>
      <c r="F4684" s="227" t="inlineStr">
        <is>
          <t>HTR8</t>
        </is>
      </c>
    </row>
    <row r="4685">
      <c r="A4685" s="227">
        <f>TL[[#This Row],[Société]]&amp;" - "&amp;TL[[#This Row],[Compte]]</f>
        <v/>
      </c>
      <c r="B4685" s="233" t="inlineStr">
        <is>
          <t>42830000</t>
        </is>
      </c>
      <c r="C4685" s="227" t="inlineStr">
        <is>
          <t>Dettes provis.pr primes à payer</t>
        </is>
      </c>
      <c r="F4685" s="227" t="inlineStr">
        <is>
          <t>HTR8</t>
        </is>
      </c>
    </row>
    <row r="4686">
      <c r="A4686" s="227">
        <f>TL[[#This Row],[Société]]&amp;" - "&amp;TL[[#This Row],[Compte]]</f>
        <v/>
      </c>
      <c r="B4686" s="233" t="inlineStr">
        <is>
          <t>43100000</t>
        </is>
      </c>
      <c r="C4686" s="227" t="inlineStr">
        <is>
          <t>Sécurité sociale</t>
        </is>
      </c>
      <c r="F4686" s="227" t="inlineStr">
        <is>
          <t>HTR8</t>
        </is>
      </c>
    </row>
    <row r="4687">
      <c r="A4687" s="227">
        <f>TL[[#This Row],[Société]]&amp;" - "&amp;TL[[#This Row],[Compte]]</f>
        <v/>
      </c>
      <c r="B4687" s="233" t="inlineStr">
        <is>
          <t>43701000</t>
        </is>
      </c>
      <c r="C4687" s="227" t="inlineStr">
        <is>
          <t>Indemnisation activité partielle</t>
        </is>
      </c>
      <c r="F4687" s="227" t="inlineStr">
        <is>
          <t>HTR8</t>
        </is>
      </c>
    </row>
    <row r="4688">
      <c r="A4688" s="227">
        <f>TL[[#This Row],[Société]]&amp;" - "&amp;TL[[#This Row],[Compte]]</f>
        <v/>
      </c>
      <c r="B4688" s="233" t="inlineStr">
        <is>
          <t>43702000</t>
        </is>
      </c>
      <c r="C4688" s="227" t="inlineStr">
        <is>
          <t>Agirc-arco klésia</t>
        </is>
      </c>
      <c r="F4688" s="227" t="inlineStr">
        <is>
          <t>HTR8</t>
        </is>
      </c>
    </row>
    <row r="4689">
      <c r="A4689" s="227">
        <f>TL[[#This Row],[Société]]&amp;" - "&amp;TL[[#This Row],[Compte]]</f>
        <v/>
      </c>
      <c r="B4689" s="233" t="inlineStr">
        <is>
          <t>43703000</t>
        </is>
      </c>
      <c r="C4689" s="227" t="inlineStr">
        <is>
          <t>Pole emploi</t>
        </is>
      </c>
      <c r="F4689" s="227" t="inlineStr">
        <is>
          <t>HTR8</t>
        </is>
      </c>
    </row>
    <row r="4690">
      <c r="A4690" s="227">
        <f>TL[[#This Row],[Société]]&amp;" - "&amp;TL[[#This Row],[Compte]]</f>
        <v/>
      </c>
      <c r="B4690" s="233" t="inlineStr">
        <is>
          <t>43704000</t>
        </is>
      </c>
      <c r="C4690" s="227" t="inlineStr">
        <is>
          <t>Mutuelle cerap</t>
        </is>
      </c>
      <c r="F4690" s="227" t="inlineStr">
        <is>
          <t>HTR8</t>
        </is>
      </c>
    </row>
    <row r="4691">
      <c r="A4691" s="227">
        <f>TL[[#This Row],[Société]]&amp;" - "&amp;TL[[#This Row],[Compte]]</f>
        <v/>
      </c>
      <c r="B4691" s="233" t="inlineStr">
        <is>
          <t>43705000</t>
        </is>
      </c>
      <c r="C4691" s="227" t="inlineStr">
        <is>
          <t>Prevoyance</t>
        </is>
      </c>
      <c r="F4691" s="227" t="inlineStr">
        <is>
          <t>HTR8</t>
        </is>
      </c>
    </row>
    <row r="4692">
      <c r="A4692" s="227">
        <f>TL[[#This Row],[Société]]&amp;" - "&amp;TL[[#This Row],[Compte]]</f>
        <v/>
      </c>
      <c r="B4692" s="233" t="inlineStr">
        <is>
          <t>43706000</t>
        </is>
      </c>
      <c r="C4692" s="227" t="inlineStr">
        <is>
          <t>Malakoff mederic</t>
        </is>
      </c>
      <c r="F4692" s="227" t="inlineStr">
        <is>
          <t>HTR8</t>
        </is>
      </c>
    </row>
    <row r="4693">
      <c r="A4693" s="227">
        <f>TL[[#This Row],[Société]]&amp;" - "&amp;TL[[#This Row],[Compte]]</f>
        <v/>
      </c>
      <c r="B4693" s="233" t="inlineStr">
        <is>
          <t>43707000</t>
        </is>
      </c>
      <c r="C4693" s="227" t="inlineStr">
        <is>
          <t>Agirc - npu</t>
        </is>
      </c>
      <c r="F4693" s="227" t="inlineStr">
        <is>
          <t>HTR8</t>
        </is>
      </c>
    </row>
    <row r="4694">
      <c r="A4694" s="227">
        <f>TL[[#This Row],[Société]]&amp;" - "&amp;TL[[#This Row],[Compte]]</f>
        <v/>
      </c>
      <c r="B4694" s="233" t="inlineStr">
        <is>
          <t>43708000</t>
        </is>
      </c>
      <c r="C4694" s="227" t="inlineStr">
        <is>
          <t>Predica</t>
        </is>
      </c>
      <c r="F4694" s="227" t="inlineStr">
        <is>
          <t>HTR8</t>
        </is>
      </c>
    </row>
    <row r="4695">
      <c r="A4695" s="227">
        <f>TL[[#This Row],[Société]]&amp;" - "&amp;TL[[#This Row],[Compte]]</f>
        <v/>
      </c>
      <c r="B4695" s="233" t="inlineStr">
        <is>
          <t>43709000</t>
        </is>
      </c>
      <c r="C4695" s="227" t="inlineStr">
        <is>
          <t>PRLVT SOURCE</t>
        </is>
      </c>
      <c r="F4695" s="227" t="inlineStr">
        <is>
          <t>HTR8</t>
        </is>
      </c>
    </row>
    <row r="4696">
      <c r="A4696" s="227">
        <f>TL[[#This Row],[Société]]&amp;" - "&amp;TL[[#This Row],[Compte]]</f>
        <v/>
      </c>
      <c r="B4696" s="233" t="inlineStr">
        <is>
          <t>43820000</t>
        </is>
      </c>
      <c r="C4696" s="227" t="inlineStr">
        <is>
          <t>Charges sociales s/congés à payer</t>
        </is>
      </c>
      <c r="F4696" s="227" t="inlineStr">
        <is>
          <t>HTR8</t>
        </is>
      </c>
    </row>
    <row r="4697">
      <c r="A4697" s="227">
        <f>TL[[#This Row],[Société]]&amp;" - "&amp;TL[[#This Row],[Compte]]</f>
        <v/>
      </c>
      <c r="B4697" s="233" t="inlineStr">
        <is>
          <t>43830000</t>
        </is>
      </c>
      <c r="C4697" s="227" t="inlineStr">
        <is>
          <t>Charges sociales s/primes à payer</t>
        </is>
      </c>
      <c r="F4697" s="227" t="inlineStr">
        <is>
          <t>HTR8</t>
        </is>
      </c>
    </row>
    <row r="4698">
      <c r="A4698" s="227">
        <f>TL[[#This Row],[Société]]&amp;" - "&amp;TL[[#This Row],[Compte]]</f>
        <v/>
      </c>
      <c r="B4698" s="233" t="inlineStr">
        <is>
          <t>43860000</t>
        </is>
      </c>
      <c r="C4698" s="227" t="inlineStr">
        <is>
          <t>Charges sociales - charges à payer</t>
        </is>
      </c>
      <c r="F4698" s="227" t="inlineStr">
        <is>
          <t>HTR8</t>
        </is>
      </c>
    </row>
    <row r="4699">
      <c r="A4699" s="227">
        <f>TL[[#This Row],[Société]]&amp;" - "&amp;TL[[#This Row],[Compte]]</f>
        <v/>
      </c>
      <c r="B4699" s="233" t="inlineStr">
        <is>
          <t>43861000</t>
        </is>
      </c>
      <c r="C4699" s="227" t="inlineStr">
        <is>
          <t>Taxe d'apprentissage - VL</t>
        </is>
      </c>
      <c r="F4699" s="227" t="inlineStr">
        <is>
          <t>HTR8</t>
        </is>
      </c>
    </row>
    <row r="4700">
      <c r="A4700" s="227">
        <f>TL[[#This Row],[Société]]&amp;" - "&amp;TL[[#This Row],[Compte]]</f>
        <v/>
      </c>
      <c r="B4700" s="233" t="inlineStr">
        <is>
          <t>43862000</t>
        </is>
      </c>
      <c r="C4700" s="227" t="inlineStr">
        <is>
          <t>Paritarisme - FC</t>
        </is>
      </c>
      <c r="F4700" s="227" t="inlineStr">
        <is>
          <t>HTR8</t>
        </is>
      </c>
    </row>
    <row r="4701">
      <c r="A4701" s="227">
        <f>TL[[#This Row],[Société]]&amp;" - "&amp;TL[[#This Row],[Compte]]</f>
        <v/>
      </c>
      <c r="B4701" s="233" t="inlineStr">
        <is>
          <t>44200000</t>
        </is>
      </c>
      <c r="C4701" s="227" t="inlineStr">
        <is>
          <t>Etat - impôts et taxes recouv.s/tie</t>
        </is>
      </c>
      <c r="F4701" s="227" t="inlineStr">
        <is>
          <t>HTR8</t>
        </is>
      </c>
    </row>
    <row r="4702">
      <c r="A4702" s="227">
        <f>TL[[#This Row],[Société]]&amp;" - "&amp;TL[[#This Row],[Compte]]</f>
        <v/>
      </c>
      <c r="B4702" s="233" t="inlineStr">
        <is>
          <t>44400000</t>
        </is>
      </c>
      <c r="C4702" s="227" t="inlineStr">
        <is>
          <t>Etat - impôts sur les bénéfices</t>
        </is>
      </c>
      <c r="F4702" s="227" t="inlineStr">
        <is>
          <t>HTR8</t>
        </is>
      </c>
    </row>
    <row r="4703">
      <c r="A4703" s="227">
        <f>TL[[#This Row],[Société]]&amp;" - "&amp;TL[[#This Row],[Compte]]</f>
        <v/>
      </c>
      <c r="B4703" s="233" t="inlineStr">
        <is>
          <t>44520000</t>
        </is>
      </c>
      <c r="C4703" s="227" t="inlineStr">
        <is>
          <t>Tva due intracommunautaire</t>
        </is>
      </c>
      <c r="F4703" s="227" t="inlineStr">
        <is>
          <t>HTR8</t>
        </is>
      </c>
    </row>
    <row r="4704">
      <c r="A4704" s="227">
        <f>TL[[#This Row],[Société]]&amp;" - "&amp;TL[[#This Row],[Compte]]</f>
        <v/>
      </c>
      <c r="B4704" s="233" t="inlineStr">
        <is>
          <t>44551000</t>
        </is>
      </c>
      <c r="C4704" s="227" t="inlineStr">
        <is>
          <t>Tva à décaisser</t>
        </is>
      </c>
      <c r="F4704" s="227" t="inlineStr">
        <is>
          <t>HTR8</t>
        </is>
      </c>
    </row>
    <row r="4705">
      <c r="A4705" s="227">
        <f>TL[[#This Row],[Société]]&amp;" - "&amp;TL[[#This Row],[Compte]]</f>
        <v/>
      </c>
      <c r="B4705" s="233" t="inlineStr">
        <is>
          <t>44562000</t>
        </is>
      </c>
      <c r="C4705" s="227" t="inlineStr">
        <is>
          <t>Tva déductible s/immobilisations</t>
        </is>
      </c>
      <c r="F4705" s="227" t="inlineStr">
        <is>
          <t>HTR8</t>
        </is>
      </c>
    </row>
    <row r="4706">
      <c r="A4706" s="227">
        <f>TL[[#This Row],[Société]]&amp;" - "&amp;TL[[#This Row],[Compte]]</f>
        <v/>
      </c>
      <c r="B4706" s="233" t="inlineStr">
        <is>
          <t>44562100</t>
        </is>
      </c>
      <c r="C4706" s="227" t="inlineStr">
        <is>
          <t>Tva s/ immo encaissements</t>
        </is>
      </c>
      <c r="F4706" s="227" t="inlineStr">
        <is>
          <t>HTR8</t>
        </is>
      </c>
    </row>
    <row r="4707">
      <c r="A4707" s="227">
        <f>TL[[#This Row],[Société]]&amp;" - "&amp;TL[[#This Row],[Compte]]</f>
        <v/>
      </c>
      <c r="B4707" s="233" t="inlineStr">
        <is>
          <t>44566000</t>
        </is>
      </c>
      <c r="C4707" s="227" t="inlineStr">
        <is>
          <t>Tva déductible s/aut.biens et sces</t>
        </is>
      </c>
      <c r="F4707" s="227" t="inlineStr">
        <is>
          <t>HTR8</t>
        </is>
      </c>
    </row>
    <row r="4708">
      <c r="A4708" s="227">
        <f>TL[[#This Row],[Société]]&amp;" - "&amp;TL[[#This Row],[Compte]]</f>
        <v/>
      </c>
      <c r="B4708" s="233" t="inlineStr">
        <is>
          <t>44566100</t>
        </is>
      </c>
      <c r="C4708" s="227" t="inlineStr">
        <is>
          <t>Tva déductible sur achats</t>
        </is>
      </c>
      <c r="F4708" s="227" t="inlineStr">
        <is>
          <t>HTR8</t>
        </is>
      </c>
    </row>
    <row r="4709">
      <c r="A4709" s="227">
        <f>TL[[#This Row],[Société]]&amp;" - "&amp;TL[[#This Row],[Compte]]</f>
        <v/>
      </c>
      <c r="B4709" s="233" t="inlineStr">
        <is>
          <t>44566200</t>
        </is>
      </c>
      <c r="C4709" s="227" t="inlineStr">
        <is>
          <t>Tva déd intracomm</t>
        </is>
      </c>
      <c r="F4709" s="227" t="inlineStr">
        <is>
          <t>HTR8</t>
        </is>
      </c>
    </row>
    <row r="4710">
      <c r="A4710" s="227">
        <f>TL[[#This Row],[Société]]&amp;" - "&amp;TL[[#This Row],[Compte]]</f>
        <v/>
      </c>
      <c r="B4710" s="233" t="inlineStr">
        <is>
          <t>44567000</t>
        </is>
      </c>
      <c r="C4710" s="227" t="inlineStr">
        <is>
          <t>Crédit de tva à reporter</t>
        </is>
      </c>
      <c r="F4710" s="227" t="inlineStr">
        <is>
          <t>HTR8</t>
        </is>
      </c>
    </row>
    <row r="4711">
      <c r="A4711" s="227">
        <f>TL[[#This Row],[Société]]&amp;" - "&amp;TL[[#This Row],[Compte]]</f>
        <v/>
      </c>
      <c r="B4711" s="233" t="inlineStr">
        <is>
          <t>44571000</t>
        </is>
      </c>
      <c r="C4711" s="227" t="inlineStr">
        <is>
          <t>Tva à 5,5 %</t>
        </is>
      </c>
      <c r="F4711" s="227" t="inlineStr">
        <is>
          <t>HTR8</t>
        </is>
      </c>
    </row>
    <row r="4712">
      <c r="A4712" s="227">
        <f>TL[[#This Row],[Société]]&amp;" - "&amp;TL[[#This Row],[Compte]]</f>
        <v/>
      </c>
      <c r="B4712" s="233" t="inlineStr">
        <is>
          <t>44571100</t>
        </is>
      </c>
      <c r="C4712" s="227" t="inlineStr">
        <is>
          <t>Tva a 7 %</t>
        </is>
      </c>
      <c r="F4712" s="227" t="inlineStr">
        <is>
          <t>HTR8</t>
        </is>
      </c>
    </row>
    <row r="4713">
      <c r="A4713" s="227">
        <f>TL[[#This Row],[Société]]&amp;" - "&amp;TL[[#This Row],[Compte]]</f>
        <v/>
      </c>
      <c r="B4713" s="233" t="inlineStr">
        <is>
          <t>44571600</t>
        </is>
      </c>
      <c r="C4713" s="227" t="inlineStr">
        <is>
          <t>Tva à 10%</t>
        </is>
      </c>
      <c r="F4713" s="227" t="inlineStr">
        <is>
          <t>HTR8</t>
        </is>
      </c>
    </row>
    <row r="4714">
      <c r="A4714" s="227">
        <f>TL[[#This Row],[Société]]&amp;" - "&amp;TL[[#This Row],[Compte]]</f>
        <v/>
      </c>
      <c r="B4714" s="233" t="inlineStr">
        <is>
          <t>44571700</t>
        </is>
      </c>
      <c r="C4714" s="227" t="inlineStr">
        <is>
          <t>Tva lr service 20 %</t>
        </is>
      </c>
      <c r="F4714" s="227" t="inlineStr">
        <is>
          <t>HTR8</t>
        </is>
      </c>
    </row>
    <row r="4715">
      <c r="A4715" s="227">
        <f>TL[[#This Row],[Société]]&amp;" - "&amp;TL[[#This Row],[Compte]]</f>
        <v/>
      </c>
      <c r="B4715" s="233" t="inlineStr">
        <is>
          <t>44572000</t>
        </is>
      </c>
      <c r="C4715" s="227" t="inlineStr">
        <is>
          <t>Tva à 20%</t>
        </is>
      </c>
      <c r="F4715" s="227" t="inlineStr">
        <is>
          <t>HTR8</t>
        </is>
      </c>
    </row>
    <row r="4716">
      <c r="A4716" s="227">
        <f>TL[[#This Row],[Société]]&amp;" - "&amp;TL[[#This Row],[Compte]]</f>
        <v/>
      </c>
      <c r="B4716" s="233" t="inlineStr">
        <is>
          <t>44573000</t>
        </is>
      </c>
      <c r="C4716" s="227" t="inlineStr">
        <is>
          <t>Ventes 09/01</t>
        </is>
      </c>
      <c r="F4716" s="227" t="inlineStr">
        <is>
          <t>HTR8</t>
        </is>
      </c>
    </row>
    <row r="4717">
      <c r="A4717" s="227">
        <f>TL[[#This Row],[Société]]&amp;" - "&amp;TL[[#This Row],[Compte]]</f>
        <v/>
      </c>
      <c r="B4717" s="233" t="inlineStr">
        <is>
          <t>44583000</t>
        </is>
      </c>
      <c r="C4717" s="227" t="inlineStr">
        <is>
          <t>Remboursement de tva demandé</t>
        </is>
      </c>
      <c r="F4717" s="227" t="inlineStr">
        <is>
          <t>HTR8</t>
        </is>
      </c>
    </row>
    <row r="4718">
      <c r="A4718" s="227">
        <f>TL[[#This Row],[Société]]&amp;" - "&amp;TL[[#This Row],[Compte]]</f>
        <v/>
      </c>
      <c r="B4718" s="233" t="inlineStr">
        <is>
          <t>44586000</t>
        </is>
      </c>
      <c r="C4718" s="227" t="inlineStr">
        <is>
          <t>Tva sur factures non parvenues</t>
        </is>
      </c>
      <c r="F4718" s="227" t="inlineStr">
        <is>
          <t>HTR8</t>
        </is>
      </c>
    </row>
    <row r="4719">
      <c r="A4719" s="227">
        <f>TL[[#This Row],[Société]]&amp;" - "&amp;TL[[#This Row],[Compte]]</f>
        <v/>
      </c>
      <c r="B4719" s="233" t="inlineStr">
        <is>
          <t>44586100</t>
        </is>
      </c>
      <c r="C4719" s="227" t="inlineStr">
        <is>
          <t>Tva sur avoirs à recevoir</t>
        </is>
      </c>
      <c r="F4719" s="227" t="inlineStr">
        <is>
          <t>HTR8</t>
        </is>
      </c>
    </row>
    <row r="4720">
      <c r="A4720" s="227">
        <f>TL[[#This Row],[Société]]&amp;" - "&amp;TL[[#This Row],[Compte]]</f>
        <v/>
      </c>
      <c r="B4720" s="233" t="inlineStr">
        <is>
          <t>44587000</t>
        </is>
      </c>
      <c r="C4720" s="227" t="inlineStr">
        <is>
          <t>Tva sur factures à établir</t>
        </is>
      </c>
      <c r="F4720" s="227" t="inlineStr">
        <is>
          <t>HTR8</t>
        </is>
      </c>
    </row>
    <row r="4721">
      <c r="A4721" s="227">
        <f>TL[[#This Row],[Société]]&amp;" - "&amp;TL[[#This Row],[Compte]]</f>
        <v/>
      </c>
      <c r="B4721" s="233" t="inlineStr">
        <is>
          <t>44587100</t>
        </is>
      </c>
      <c r="C4721" s="227" t="inlineStr">
        <is>
          <t>Tva sur avoir à établir</t>
        </is>
      </c>
      <c r="F4721" s="227" t="inlineStr">
        <is>
          <t>HTR8</t>
        </is>
      </c>
    </row>
    <row r="4722">
      <c r="A4722" s="227">
        <f>TL[[#This Row],[Société]]&amp;" - "&amp;TL[[#This Row],[Compte]]</f>
        <v/>
      </c>
      <c r="B4722" s="233" t="inlineStr">
        <is>
          <t>44860000</t>
        </is>
      </c>
      <c r="C4722" s="227" t="inlineStr">
        <is>
          <t>Etat - autres charges à payer</t>
        </is>
      </c>
      <c r="F4722" s="227" t="inlineStr">
        <is>
          <t>HTR8</t>
        </is>
      </c>
    </row>
    <row r="4723">
      <c r="A4723" s="227">
        <f>TL[[#This Row],[Société]]&amp;" - "&amp;TL[[#This Row],[Compte]]</f>
        <v/>
      </c>
      <c r="B4723" s="233" t="inlineStr">
        <is>
          <t>44870000</t>
        </is>
      </c>
      <c r="C4723" s="227" t="inlineStr">
        <is>
          <t>Etat - produits à recevoir</t>
        </is>
      </c>
      <c r="F4723" s="227" t="inlineStr">
        <is>
          <t>HTR8</t>
        </is>
      </c>
    </row>
    <row r="4724">
      <c r="A4724" s="227">
        <f>TL[[#This Row],[Société]]&amp;" - "&amp;TL[[#This Row],[Compte]]</f>
        <v/>
      </c>
      <c r="B4724" s="233" t="inlineStr">
        <is>
          <t>45500000</t>
        </is>
      </c>
      <c r="C4724" s="227" t="inlineStr">
        <is>
          <t>Associés</t>
        </is>
      </c>
      <c r="F4724" s="227" t="inlineStr">
        <is>
          <t>HTR8</t>
        </is>
      </c>
    </row>
    <row r="4725">
      <c r="A4725" s="227">
        <f>TL[[#This Row],[Société]]&amp;" - "&amp;TL[[#This Row],[Compte]]</f>
        <v/>
      </c>
      <c r="B4725" s="233" t="inlineStr">
        <is>
          <t>45510000</t>
        </is>
      </c>
      <c r="C4725" s="227" t="inlineStr">
        <is>
          <t>Associé rth76</t>
        </is>
      </c>
      <c r="F4725" s="227" t="inlineStr">
        <is>
          <t>HTR8</t>
        </is>
      </c>
    </row>
    <row r="4726">
      <c r="A4726" s="227">
        <f>TL[[#This Row],[Société]]&amp;" - "&amp;TL[[#This Row],[Compte]]</f>
        <v/>
      </c>
      <c r="B4726" s="233" t="inlineStr">
        <is>
          <t>45520000</t>
        </is>
      </c>
      <c r="C4726" s="227" t="inlineStr">
        <is>
          <t>Mungu</t>
        </is>
      </c>
      <c r="F4726" s="227" t="inlineStr">
        <is>
          <t>HTR8</t>
        </is>
      </c>
    </row>
    <row r="4727">
      <c r="A4727" s="227">
        <f>TL[[#This Row],[Société]]&amp;" - "&amp;TL[[#This Row],[Compte]]</f>
        <v/>
      </c>
      <c r="B4727" s="233" t="inlineStr">
        <is>
          <t>45880000</t>
        </is>
      </c>
      <c r="C4727" s="227" t="inlineStr">
        <is>
          <t>Associés - intérêts courus</t>
        </is>
      </c>
      <c r="F4727" s="227" t="inlineStr">
        <is>
          <t>HTR8</t>
        </is>
      </c>
    </row>
    <row r="4728">
      <c r="A4728" s="227">
        <f>TL[[#This Row],[Société]]&amp;" - "&amp;TL[[#This Row],[Compte]]</f>
        <v/>
      </c>
      <c r="B4728" s="233" t="inlineStr">
        <is>
          <t>46700000</t>
        </is>
      </c>
      <c r="C4728" s="227" t="inlineStr">
        <is>
          <t>Autres comptes débiteurs/créditeurs</t>
        </is>
      </c>
      <c r="F4728" s="227" t="inlineStr">
        <is>
          <t>HTR8</t>
        </is>
      </c>
    </row>
    <row r="4729">
      <c r="A4729" s="227">
        <f>TL[[#This Row],[Société]]&amp;" - "&amp;TL[[#This Row],[Compte]]</f>
        <v/>
      </c>
      <c r="B4729" s="233" t="inlineStr">
        <is>
          <t>46710000</t>
        </is>
      </c>
      <c r="C4729" s="227" t="inlineStr">
        <is>
          <t>Mc donald's lisieux</t>
        </is>
      </c>
      <c r="F4729" s="227" t="inlineStr">
        <is>
          <t>HTR8</t>
        </is>
      </c>
    </row>
    <row r="4730">
      <c r="A4730" s="227">
        <f>TL[[#This Row],[Société]]&amp;" - "&amp;TL[[#This Row],[Compte]]</f>
        <v/>
      </c>
      <c r="B4730" s="233" t="inlineStr">
        <is>
          <t>46720000</t>
        </is>
      </c>
      <c r="C4730" s="227" t="inlineStr">
        <is>
          <t>Glr5</t>
        </is>
      </c>
      <c r="F4730" s="227" t="inlineStr">
        <is>
          <t>HTR8</t>
        </is>
      </c>
    </row>
    <row r="4731">
      <c r="A4731" s="227">
        <f>TL[[#This Row],[Société]]&amp;" - "&amp;TL[[#This Row],[Compte]]</f>
        <v/>
      </c>
      <c r="B4731" s="233" t="inlineStr">
        <is>
          <t>46721000</t>
        </is>
      </c>
      <c r="C4731" s="227" t="inlineStr">
        <is>
          <t>Ecart sur remise cb</t>
        </is>
      </c>
      <c r="F4731" s="227" t="inlineStr">
        <is>
          <t>HTR8</t>
        </is>
      </c>
    </row>
    <row r="4732">
      <c r="A4732" s="227">
        <f>TL[[#This Row],[Société]]&amp;" - "&amp;TL[[#This Row],[Compte]]</f>
        <v/>
      </c>
      <c r="B4732" s="233" t="inlineStr">
        <is>
          <t>46722000</t>
        </is>
      </c>
      <c r="C4732" s="227" t="inlineStr">
        <is>
          <t>Ecart sur remise tr/ancv</t>
        </is>
      </c>
      <c r="F4732" s="227" t="inlineStr">
        <is>
          <t>HTR8</t>
        </is>
      </c>
    </row>
    <row r="4733">
      <c r="A4733" s="227">
        <f>TL[[#This Row],[Société]]&amp;" - "&amp;TL[[#This Row],[Compte]]</f>
        <v/>
      </c>
      <c r="B4733" s="233" t="inlineStr">
        <is>
          <t>46724000</t>
        </is>
      </c>
      <c r="C4733" s="227" t="inlineStr">
        <is>
          <t>Ecart sur remises especes</t>
        </is>
      </c>
      <c r="F4733" s="227" t="inlineStr">
        <is>
          <t>HTR8</t>
        </is>
      </c>
    </row>
    <row r="4734">
      <c r="A4734" s="227">
        <f>TL[[#This Row],[Société]]&amp;" - "&amp;TL[[#This Row],[Compte]]</f>
        <v/>
      </c>
      <c r="B4734" s="233" t="inlineStr">
        <is>
          <t>46725000</t>
        </is>
      </c>
      <c r="C4734" s="227" t="inlineStr">
        <is>
          <t>Ecart sur remise cheques</t>
        </is>
      </c>
      <c r="F4734" s="227" t="inlineStr">
        <is>
          <t>HTR8</t>
        </is>
      </c>
    </row>
    <row r="4735">
      <c r="A4735" s="227">
        <f>TL[[#This Row],[Société]]&amp;" - "&amp;TL[[#This Row],[Compte]]</f>
        <v/>
      </c>
      <c r="B4735" s="233" t="inlineStr">
        <is>
          <t>46726000</t>
        </is>
      </c>
      <c r="C4735" s="227" t="inlineStr">
        <is>
          <t>Ecart UBER</t>
        </is>
      </c>
      <c r="F4735" s="227" t="inlineStr">
        <is>
          <t>HTR8</t>
        </is>
      </c>
    </row>
    <row r="4736">
      <c r="A4736" s="227">
        <f>TL[[#This Row],[Société]]&amp;" - "&amp;TL[[#This Row],[Compte]]</f>
        <v/>
      </c>
      <c r="B4736" s="233" t="inlineStr">
        <is>
          <t>46727000</t>
        </is>
      </c>
      <c r="C4736" s="227" t="inlineStr">
        <is>
          <t>Ecart paypal</t>
        </is>
      </c>
      <c r="F4736" s="227" t="inlineStr">
        <is>
          <t>HTR8</t>
        </is>
      </c>
    </row>
    <row r="4737">
      <c r="A4737" s="227">
        <f>TL[[#This Row],[Société]]&amp;" - "&amp;TL[[#This Row],[Compte]]</f>
        <v/>
      </c>
      <c r="B4737" s="233" t="inlineStr">
        <is>
          <t>46728000</t>
        </is>
      </c>
      <c r="C4737" s="227" t="inlineStr">
        <is>
          <t>Ecart deliveroo</t>
        </is>
      </c>
      <c r="F4737" s="227" t="inlineStr">
        <is>
          <t>HTR8</t>
        </is>
      </c>
    </row>
    <row r="4738">
      <c r="A4738" s="227">
        <f>TL[[#This Row],[Société]]&amp;" - "&amp;TL[[#This Row],[Compte]]</f>
        <v/>
      </c>
      <c r="B4738" s="233" t="inlineStr">
        <is>
          <t>46741000</t>
        </is>
      </c>
      <c r="C4738" s="227" t="inlineStr">
        <is>
          <t>Rth 76</t>
        </is>
      </c>
      <c r="F4738" s="227" t="inlineStr">
        <is>
          <t>HTR8</t>
        </is>
      </c>
    </row>
    <row r="4739">
      <c r="A4739" s="227">
        <f>TL[[#This Row],[Société]]&amp;" - "&amp;TL[[#This Row],[Compte]]</f>
        <v/>
      </c>
      <c r="B4739" s="233" t="inlineStr">
        <is>
          <t>46766600</t>
        </is>
      </c>
      <c r="C4739" s="227" t="inlineStr">
        <is>
          <t>Autres comptes débiteurs/créditeurs</t>
        </is>
      </c>
      <c r="F4739" s="227" t="inlineStr">
        <is>
          <t>HTR8</t>
        </is>
      </c>
    </row>
    <row r="4740">
      <c r="A4740" s="227">
        <f>TL[[#This Row],[Société]]&amp;" - "&amp;TL[[#This Row],[Compte]]</f>
        <v/>
      </c>
      <c r="B4740" s="233" t="inlineStr">
        <is>
          <t>46860000</t>
        </is>
      </c>
      <c r="C4740" s="227" t="inlineStr">
        <is>
          <t>Divers - charges à payer</t>
        </is>
      </c>
      <c r="F4740" s="227" t="inlineStr">
        <is>
          <t>HTR8</t>
        </is>
      </c>
    </row>
    <row r="4741">
      <c r="A4741" s="227">
        <f>TL[[#This Row],[Société]]&amp;" - "&amp;TL[[#This Row],[Compte]]</f>
        <v/>
      </c>
      <c r="B4741" s="233" t="inlineStr">
        <is>
          <t>46870000</t>
        </is>
      </c>
      <c r="C4741" s="227" t="inlineStr">
        <is>
          <t>Divers - produits à recevoir</t>
        </is>
      </c>
      <c r="F4741" s="227" t="inlineStr">
        <is>
          <t>HTR8</t>
        </is>
      </c>
    </row>
    <row r="4742">
      <c r="A4742" s="227">
        <f>TL[[#This Row],[Société]]&amp;" - "&amp;TL[[#This Row],[Compte]]</f>
        <v/>
      </c>
      <c r="B4742" s="233" t="inlineStr">
        <is>
          <t>47100000</t>
        </is>
      </c>
      <c r="C4742" s="227" t="inlineStr">
        <is>
          <t>Compte général d'attente</t>
        </is>
      </c>
      <c r="F4742" s="227" t="inlineStr">
        <is>
          <t>HTR8</t>
        </is>
      </c>
    </row>
    <row r="4743">
      <c r="A4743" s="227">
        <f>TL[[#This Row],[Société]]&amp;" - "&amp;TL[[#This Row],[Compte]]</f>
        <v/>
      </c>
      <c r="B4743" s="233" t="inlineStr">
        <is>
          <t>48600000</t>
        </is>
      </c>
      <c r="C4743" s="227" t="inlineStr">
        <is>
          <t>Charges constatées d'avance</t>
        </is>
      </c>
      <c r="F4743" s="227" t="inlineStr">
        <is>
          <t>HTR8</t>
        </is>
      </c>
    </row>
    <row r="4744">
      <c r="A4744" s="227">
        <f>TL[[#This Row],[Société]]&amp;" - "&amp;TL[[#This Row],[Compte]]</f>
        <v/>
      </c>
      <c r="B4744" s="233" t="inlineStr">
        <is>
          <t>48700000</t>
        </is>
      </c>
      <c r="C4744" s="227" t="inlineStr">
        <is>
          <t>Produits constatés d'avance</t>
        </is>
      </c>
      <c r="F4744" s="227" t="inlineStr">
        <is>
          <t>HTR8</t>
        </is>
      </c>
    </row>
    <row r="4745">
      <c r="A4745" s="227">
        <f>TL[[#This Row],[Société]]&amp;" - "&amp;TL[[#This Row],[Compte]]</f>
        <v/>
      </c>
      <c r="B4745" s="233" t="inlineStr">
        <is>
          <t>51120000</t>
        </is>
      </c>
      <c r="C4745" s="227" t="inlineStr">
        <is>
          <t>Chèques à encaisser</t>
        </is>
      </c>
      <c r="F4745" s="227" t="inlineStr">
        <is>
          <t>HTR8</t>
        </is>
      </c>
    </row>
    <row r="4746">
      <c r="A4746" s="227">
        <f>TL[[#This Row],[Société]]&amp;" - "&amp;TL[[#This Row],[Compte]]</f>
        <v/>
      </c>
      <c r="B4746" s="233" t="inlineStr">
        <is>
          <t>51121100</t>
        </is>
      </c>
      <c r="C4746" s="227" t="inlineStr">
        <is>
          <t>ventes 03/10</t>
        </is>
      </c>
      <c r="F4746" s="227" t="inlineStr">
        <is>
          <t>HTR8</t>
        </is>
      </c>
    </row>
    <row r="4747">
      <c r="A4747" s="227">
        <f>TL[[#This Row],[Société]]&amp;" - "&amp;TL[[#This Row],[Compte]]</f>
        <v/>
      </c>
      <c r="B4747" s="233" t="inlineStr">
        <is>
          <t>51122100</t>
        </is>
      </c>
      <c r="C4747" s="227" t="inlineStr">
        <is>
          <t>Cartes bancaires</t>
        </is>
      </c>
      <c r="F4747" s="227" t="inlineStr">
        <is>
          <t>HTR8</t>
        </is>
      </c>
    </row>
    <row r="4748">
      <c r="A4748" s="227">
        <f>TL[[#This Row],[Société]]&amp;" - "&amp;TL[[#This Row],[Compte]]</f>
        <v/>
      </c>
      <c r="B4748" s="233" t="inlineStr">
        <is>
          <t>51123000</t>
        </is>
      </c>
      <c r="C4748" s="227" t="inlineStr">
        <is>
          <t>Ventes 16/01</t>
        </is>
      </c>
      <c r="F4748" s="227" t="inlineStr">
        <is>
          <t>HTR8</t>
        </is>
      </c>
    </row>
    <row r="4749">
      <c r="A4749" s="227">
        <f>TL[[#This Row],[Société]]&amp;" - "&amp;TL[[#This Row],[Compte]]</f>
        <v/>
      </c>
      <c r="B4749" s="233" t="inlineStr">
        <is>
          <t>51123100</t>
        </is>
      </c>
      <c r="C4749" s="227" t="inlineStr">
        <is>
          <t>Tickets restaurants</t>
        </is>
      </c>
      <c r="F4749" s="227" t="inlineStr">
        <is>
          <t>HTR8</t>
        </is>
      </c>
    </row>
    <row r="4750">
      <c r="A4750" s="227">
        <f>TL[[#This Row],[Société]]&amp;" - "&amp;TL[[#This Row],[Compte]]</f>
        <v/>
      </c>
      <c r="B4750" s="233" t="inlineStr">
        <is>
          <t>51125000</t>
        </is>
      </c>
      <c r="C4750" s="227" t="inlineStr">
        <is>
          <t>Ventes 09/01</t>
        </is>
      </c>
      <c r="F4750" s="227" t="inlineStr">
        <is>
          <t>HTR8</t>
        </is>
      </c>
    </row>
    <row r="4751">
      <c r="A4751" s="227">
        <f>TL[[#This Row],[Société]]&amp;" - "&amp;TL[[#This Row],[Compte]]</f>
        <v/>
      </c>
      <c r="B4751" s="233" t="inlineStr">
        <is>
          <t>51125100</t>
        </is>
      </c>
      <c r="C4751" s="227" t="inlineStr">
        <is>
          <t>Chèques vacances</t>
        </is>
      </c>
      <c r="F4751" s="227" t="inlineStr">
        <is>
          <t>HTR8</t>
        </is>
      </c>
    </row>
    <row r="4752">
      <c r="A4752" s="227">
        <f>TL[[#This Row],[Société]]&amp;" - "&amp;TL[[#This Row],[Compte]]</f>
        <v/>
      </c>
      <c r="B4752" s="233" t="inlineStr">
        <is>
          <t>51125200</t>
        </is>
      </c>
      <c r="C4752" s="227" t="inlineStr">
        <is>
          <t>uber</t>
        </is>
      </c>
      <c r="F4752" s="227" t="inlineStr">
        <is>
          <t>HTR8</t>
        </is>
      </c>
    </row>
    <row r="4753">
      <c r="A4753" s="227">
        <f>TL[[#This Row],[Société]]&amp;" - "&amp;TL[[#This Row],[Compte]]</f>
        <v/>
      </c>
      <c r="B4753" s="233" t="inlineStr">
        <is>
          <t>51125300</t>
        </is>
      </c>
      <c r="C4753" s="227" t="inlineStr">
        <is>
          <t>DELIVEROO</t>
        </is>
      </c>
      <c r="F4753" s="227" t="inlineStr">
        <is>
          <t>HTR8</t>
        </is>
      </c>
    </row>
    <row r="4754">
      <c r="A4754" s="227">
        <f>TL[[#This Row],[Société]]&amp;" - "&amp;TL[[#This Row],[Compte]]</f>
        <v/>
      </c>
      <c r="B4754" s="233" t="inlineStr">
        <is>
          <t>51126000</t>
        </is>
      </c>
      <c r="C4754" s="227" t="inlineStr">
        <is>
          <t>Ventes 09/01</t>
        </is>
      </c>
      <c r="F4754" s="227" t="inlineStr">
        <is>
          <t>HTR8</t>
        </is>
      </c>
    </row>
    <row r="4755">
      <c r="A4755" s="227">
        <f>TL[[#This Row],[Société]]&amp;" - "&amp;TL[[#This Row],[Compte]]</f>
        <v/>
      </c>
      <c r="B4755" s="233" t="inlineStr">
        <is>
          <t>51126100</t>
        </is>
      </c>
      <c r="C4755" s="227" t="inlineStr">
        <is>
          <t>Pay pal</t>
        </is>
      </c>
      <c r="F4755" s="227" t="inlineStr">
        <is>
          <t>HTR8</t>
        </is>
      </c>
    </row>
    <row r="4756">
      <c r="A4756" s="227">
        <f>TL[[#This Row],[Société]]&amp;" - "&amp;TL[[#This Row],[Compte]]</f>
        <v/>
      </c>
      <c r="B4756" s="233" t="inlineStr">
        <is>
          <t>51126200</t>
        </is>
      </c>
      <c r="C4756" s="227" t="inlineStr">
        <is>
          <t>Espèces à remettre</t>
        </is>
      </c>
      <c r="F4756" s="227" t="inlineStr">
        <is>
          <t>HTR8</t>
        </is>
      </c>
    </row>
    <row r="4757">
      <c r="A4757" s="227">
        <f>TL[[#This Row],[Société]]&amp;" - "&amp;TL[[#This Row],[Compte]]</f>
        <v/>
      </c>
      <c r="B4757" s="233" t="inlineStr">
        <is>
          <t>51170000</t>
        </is>
      </c>
      <c r="C4757" s="227" t="inlineStr">
        <is>
          <t>Chèques émis</t>
        </is>
      </c>
      <c r="F4757" s="227" t="inlineStr">
        <is>
          <t>HTR8</t>
        </is>
      </c>
    </row>
    <row r="4758">
      <c r="A4758" s="227">
        <f>TL[[#This Row],[Société]]&amp;" - "&amp;TL[[#This Row],[Compte]]</f>
        <v/>
      </c>
      <c r="B4758" s="233" t="inlineStr">
        <is>
          <t>51170100</t>
        </is>
      </c>
      <c r="C4758" s="227" t="inlineStr">
        <is>
          <t>Chèques émis intégrés</t>
        </is>
      </c>
      <c r="F4758" s="227" t="inlineStr">
        <is>
          <t>HTR8</t>
        </is>
      </c>
    </row>
    <row r="4759">
      <c r="A4759" s="227">
        <f>TL[[#This Row],[Société]]&amp;" - "&amp;TL[[#This Row],[Compte]]</f>
        <v/>
      </c>
      <c r="B4759" s="233" t="inlineStr">
        <is>
          <t>51200000</t>
        </is>
      </c>
      <c r="C4759" s="227" t="inlineStr">
        <is>
          <t>Crédit agricole</t>
        </is>
      </c>
      <c r="F4759" s="227" t="inlineStr">
        <is>
          <t>HTR8</t>
        </is>
      </c>
    </row>
    <row r="4760">
      <c r="A4760" s="227">
        <f>TL[[#This Row],[Société]]&amp;" - "&amp;TL[[#This Row],[Compte]]</f>
        <v/>
      </c>
      <c r="B4760" s="233" t="inlineStr">
        <is>
          <t>51210000</t>
        </is>
      </c>
      <c r="C4760" s="227" t="inlineStr">
        <is>
          <t>Comptes en monnaie nationale</t>
        </is>
      </c>
      <c r="F4760" s="227" t="inlineStr">
        <is>
          <t>HTR8</t>
        </is>
      </c>
    </row>
    <row r="4761">
      <c r="A4761" s="227">
        <f>TL[[#This Row],[Société]]&amp;" - "&amp;TL[[#This Row],[Compte]]</f>
        <v/>
      </c>
      <c r="B4761" s="233" t="inlineStr">
        <is>
          <t>51240000</t>
        </is>
      </c>
      <c r="C4761" s="227" t="inlineStr">
        <is>
          <t>Comptes en devises</t>
        </is>
      </c>
      <c r="F4761" s="227" t="inlineStr">
        <is>
          <t>HTR8</t>
        </is>
      </c>
    </row>
    <row r="4762">
      <c r="A4762" s="227">
        <f>TL[[#This Row],[Société]]&amp;" - "&amp;TL[[#This Row],[Compte]]</f>
        <v/>
      </c>
      <c r="B4762" s="233" t="inlineStr">
        <is>
          <t>51810000</t>
        </is>
      </c>
      <c r="C4762" s="227" t="inlineStr">
        <is>
          <t>Banque - intérets courus à payer</t>
        </is>
      </c>
      <c r="F4762" s="227" t="inlineStr">
        <is>
          <t>HTR8</t>
        </is>
      </c>
    </row>
    <row r="4763">
      <c r="A4763" s="227">
        <f>TL[[#This Row],[Société]]&amp;" - "&amp;TL[[#This Row],[Compte]]</f>
        <v/>
      </c>
      <c r="B4763" s="233" t="inlineStr">
        <is>
          <t>51880000</t>
        </is>
      </c>
      <c r="C4763" s="227" t="inlineStr">
        <is>
          <t>Banque - intérêts courus à recevoir</t>
        </is>
      </c>
      <c r="F4763" s="227" t="inlineStr">
        <is>
          <t>HTR8</t>
        </is>
      </c>
    </row>
    <row r="4764">
      <c r="A4764" s="227">
        <f>TL[[#This Row],[Société]]&amp;" - "&amp;TL[[#This Row],[Compte]]</f>
        <v/>
      </c>
      <c r="B4764" s="233" t="inlineStr">
        <is>
          <t>51910000</t>
        </is>
      </c>
      <c r="C4764" s="227" t="inlineStr">
        <is>
          <t>Crédit mobilis.créanc.ciales (cmcc)</t>
        </is>
      </c>
      <c r="F4764" s="227" t="inlineStr">
        <is>
          <t>HTR8</t>
        </is>
      </c>
    </row>
    <row r="4765">
      <c r="A4765" s="227">
        <f>TL[[#This Row],[Société]]&amp;" - "&amp;TL[[#This Row],[Compte]]</f>
        <v/>
      </c>
      <c r="B4765" s="233" t="inlineStr">
        <is>
          <t>51920000</t>
        </is>
      </c>
      <c r="C4765" s="227" t="inlineStr">
        <is>
          <t>Souscription dépôt à terme</t>
        </is>
      </c>
      <c r="F4765" s="227" t="inlineStr">
        <is>
          <t>HTR8</t>
        </is>
      </c>
    </row>
    <row r="4766">
      <c r="A4766" s="227">
        <f>TL[[#This Row],[Société]]&amp;" - "&amp;TL[[#This Row],[Compte]]</f>
        <v/>
      </c>
      <c r="B4766" s="233" t="inlineStr">
        <is>
          <t>53020100</t>
        </is>
      </c>
      <c r="C4766" s="227" t="inlineStr">
        <is>
          <t>Fonds de coffre</t>
        </is>
      </c>
      <c r="F4766" s="227" t="inlineStr">
        <is>
          <t>HTR8</t>
        </is>
      </c>
    </row>
    <row r="4767">
      <c r="A4767" s="227">
        <f>TL[[#This Row],[Société]]&amp;" - "&amp;TL[[#This Row],[Compte]]</f>
        <v/>
      </c>
      <c r="B4767" s="233" t="inlineStr">
        <is>
          <t>53100000</t>
        </is>
      </c>
      <c r="C4767" s="227" t="inlineStr">
        <is>
          <t>Ventes du 01/08</t>
        </is>
      </c>
      <c r="F4767" s="227" t="inlineStr">
        <is>
          <t>HTR8</t>
        </is>
      </c>
    </row>
    <row r="4768">
      <c r="A4768" s="227">
        <f>TL[[#This Row],[Société]]&amp;" - "&amp;TL[[#This Row],[Compte]]</f>
        <v/>
      </c>
      <c r="B4768" s="233" t="inlineStr">
        <is>
          <t>58100000</t>
        </is>
      </c>
      <c r="C4768" s="227" t="inlineStr">
        <is>
          <t>Espèces</t>
        </is>
      </c>
      <c r="F4768" s="227" t="inlineStr">
        <is>
          <t>HTR8</t>
        </is>
      </c>
    </row>
    <row r="4769">
      <c r="A4769" s="227">
        <f>TL[[#This Row],[Société]]&amp;" - "&amp;TL[[#This Row],[Compte]]</f>
        <v/>
      </c>
      <c r="B4769" s="233" t="inlineStr">
        <is>
          <t>58300000</t>
        </is>
      </c>
      <c r="C4769" s="227" t="inlineStr">
        <is>
          <t>Approv.monnaie</t>
        </is>
      </c>
      <c r="F4769" s="227" t="inlineStr">
        <is>
          <t>HTR8</t>
        </is>
      </c>
    </row>
    <row r="4770">
      <c r="A4770" s="227">
        <f>TL[[#This Row],[Société]]&amp;" - "&amp;TL[[#This Row],[Compte]]</f>
        <v/>
      </c>
      <c r="B4770" s="233" t="inlineStr">
        <is>
          <t>60110000</t>
        </is>
      </c>
      <c r="C4770" s="227" t="inlineStr">
        <is>
          <t>Achats nourriture</t>
        </is>
      </c>
      <c r="D4770" s="233" t="inlineStr">
        <is>
          <t>06</t>
        </is>
      </c>
      <c r="E4770" s="233" t="inlineStr">
        <is>
          <t>03</t>
        </is>
      </c>
      <c r="F4770" s="227" t="inlineStr">
        <is>
          <t>HTR8</t>
        </is>
      </c>
    </row>
    <row r="4771">
      <c r="A4771" s="227">
        <f>TL[[#This Row],[Société]]&amp;" - "&amp;TL[[#This Row],[Compte]]</f>
        <v/>
      </c>
      <c r="B4771" s="233" t="inlineStr">
        <is>
          <t>60110200</t>
        </is>
      </c>
      <c r="C4771" s="227" t="inlineStr">
        <is>
          <t>Dechets</t>
        </is>
      </c>
      <c r="D4771" s="233" t="inlineStr">
        <is>
          <t>07</t>
        </is>
      </c>
      <c r="E4771" s="233" t="inlineStr">
        <is>
          <t>05</t>
        </is>
      </c>
      <c r="F4771" s="227" t="inlineStr">
        <is>
          <t>HTR8</t>
        </is>
      </c>
    </row>
    <row r="4772">
      <c r="A4772" s="227">
        <f>TL[[#This Row],[Société]]&amp;" - "&amp;TL[[#This Row],[Compte]]</f>
        <v/>
      </c>
      <c r="B4772" s="233" t="inlineStr">
        <is>
          <t>60110300</t>
        </is>
      </c>
      <c r="C4772" s="227" t="inlineStr">
        <is>
          <t>Repas employes</t>
        </is>
      </c>
      <c r="D4772" s="233" t="inlineStr">
        <is>
          <t>08</t>
        </is>
      </c>
      <c r="E4772" s="233" t="inlineStr">
        <is>
          <t>04</t>
        </is>
      </c>
      <c r="F4772" s="227" t="inlineStr">
        <is>
          <t>HTR8</t>
        </is>
      </c>
    </row>
    <row r="4773">
      <c r="A4773" s="227">
        <f>TL[[#This Row],[Société]]&amp;" - "&amp;TL[[#This Row],[Compte]]</f>
        <v/>
      </c>
      <c r="B4773" s="233" t="inlineStr">
        <is>
          <t>60220100</t>
        </is>
      </c>
      <c r="C4773" s="227" t="inlineStr">
        <is>
          <t>Achats emballage</t>
        </is>
      </c>
      <c r="D4773" s="233" t="inlineStr">
        <is>
          <t>03</t>
        </is>
      </c>
      <c r="E4773" s="233" t="inlineStr">
        <is>
          <t>06</t>
        </is>
      </c>
      <c r="F4773" s="227" t="inlineStr">
        <is>
          <t>HTR8</t>
        </is>
      </c>
    </row>
    <row r="4774">
      <c r="A4774" s="227">
        <f>TL[[#This Row],[Société]]&amp;" - "&amp;TL[[#This Row],[Compte]]</f>
        <v/>
      </c>
      <c r="B4774" s="233" t="inlineStr">
        <is>
          <t>60220200</t>
        </is>
      </c>
      <c r="C4774" s="227" t="inlineStr">
        <is>
          <t>Achats happy meal</t>
        </is>
      </c>
      <c r="D4774" s="233" t="inlineStr">
        <is>
          <t>62</t>
        </is>
      </c>
      <c r="E4774" s="233" t="inlineStr">
        <is>
          <t>51</t>
        </is>
      </c>
      <c r="F4774" s="227" t="inlineStr">
        <is>
          <t>HTR8</t>
        </is>
      </c>
    </row>
    <row r="4775">
      <c r="A4775" s="227">
        <f>TL[[#This Row],[Société]]&amp;" - "&amp;TL[[#This Row],[Compte]]</f>
        <v/>
      </c>
      <c r="B4775" s="233" t="inlineStr">
        <is>
          <t>60261000</t>
        </is>
      </c>
      <c r="C4775" s="227" t="inlineStr">
        <is>
          <t>Cartons collectes</t>
        </is>
      </c>
      <c r="D4775" s="233" t="inlineStr">
        <is>
          <t>18</t>
        </is>
      </c>
      <c r="E4775" s="233" t="inlineStr">
        <is>
          <t>25</t>
        </is>
      </c>
      <c r="F4775" s="227" t="inlineStr">
        <is>
          <t>HTR8</t>
        </is>
      </c>
    </row>
    <row r="4776">
      <c r="A4776" s="227">
        <f>TL[[#This Row],[Société]]&amp;" - "&amp;TL[[#This Row],[Compte]]</f>
        <v/>
      </c>
      <c r="B4776" s="233" t="inlineStr">
        <is>
          <t>60261200</t>
        </is>
      </c>
      <c r="C4776" s="227" t="inlineStr">
        <is>
          <t>Vaisselle</t>
        </is>
      </c>
      <c r="D4776" s="235" t="inlineStr">
        <is>
          <t>06</t>
        </is>
      </c>
      <c r="E4776" s="233" t="inlineStr">
        <is>
          <t>6.1</t>
        </is>
      </c>
      <c r="F4776" s="227" t="inlineStr">
        <is>
          <t>HTR8</t>
        </is>
      </c>
    </row>
    <row r="4777">
      <c r="A4777" s="227">
        <f>TL[[#This Row],[Société]]&amp;" - "&amp;TL[[#This Row],[Compte]]</f>
        <v/>
      </c>
      <c r="B4777" s="233" t="inlineStr">
        <is>
          <t>60310000</t>
        </is>
      </c>
      <c r="C4777" s="227" t="inlineStr">
        <is>
          <t>Variat. stocks mat. premières/fourn</t>
        </is>
      </c>
      <c r="D4777" s="233" t="inlineStr">
        <is>
          <t>06</t>
        </is>
      </c>
      <c r="E4777" s="233" t="inlineStr">
        <is>
          <t>03</t>
        </is>
      </c>
      <c r="F4777" s="227" t="inlineStr">
        <is>
          <t>HTR8</t>
        </is>
      </c>
    </row>
    <row r="4778">
      <c r="A4778" s="227">
        <f>TL[[#This Row],[Société]]&amp;" - "&amp;TL[[#This Row],[Compte]]</f>
        <v/>
      </c>
      <c r="B4778" s="233" t="inlineStr">
        <is>
          <t>60320000</t>
        </is>
      </c>
      <c r="C4778" s="227" t="inlineStr">
        <is>
          <t>Variat. stocks autres approvist.</t>
        </is>
      </c>
      <c r="D4778" s="233" t="inlineStr">
        <is>
          <t>03</t>
        </is>
      </c>
      <c r="E4778" s="233" t="inlineStr">
        <is>
          <t>06</t>
        </is>
      </c>
      <c r="F4778" s="227" t="inlineStr">
        <is>
          <t>HTR8</t>
        </is>
      </c>
    </row>
    <row r="4779">
      <c r="A4779" s="227">
        <f>TL[[#This Row],[Société]]&amp;" - "&amp;TL[[#This Row],[Compte]]</f>
        <v/>
      </c>
      <c r="B4779" s="233" t="inlineStr">
        <is>
          <t>60320100</t>
        </is>
      </c>
      <c r="C4779" s="227" t="inlineStr">
        <is>
          <t>Variat° stock hm</t>
        </is>
      </c>
      <c r="D4779" s="233" t="inlineStr">
        <is>
          <t>62</t>
        </is>
      </c>
      <c r="E4779" s="233" t="inlineStr">
        <is>
          <t>51</t>
        </is>
      </c>
      <c r="F4779" s="227" t="inlineStr">
        <is>
          <t>HTR8</t>
        </is>
      </c>
    </row>
    <row r="4780">
      <c r="A4780" s="227">
        <f>TL[[#This Row],[Société]]&amp;" - "&amp;TL[[#This Row],[Compte]]</f>
        <v/>
      </c>
      <c r="B4780" s="233" t="inlineStr">
        <is>
          <t>60600000</t>
        </is>
      </c>
      <c r="C4780" s="227" t="inlineStr">
        <is>
          <t>Total glr5</t>
        </is>
      </c>
      <c r="F4780" s="227" t="inlineStr">
        <is>
          <t>HTR8</t>
        </is>
      </c>
    </row>
    <row r="4781">
      <c r="A4781" s="227">
        <f>TL[[#This Row],[Société]]&amp;" - "&amp;TL[[#This Row],[Compte]]</f>
        <v/>
      </c>
      <c r="B4781" s="233" t="inlineStr">
        <is>
          <t>60610100</t>
        </is>
      </c>
      <c r="C4781" s="227" t="inlineStr">
        <is>
          <t>Eau restaurant</t>
        </is>
      </c>
      <c r="D4781" s="233" t="inlineStr">
        <is>
          <t>20</t>
        </is>
      </c>
      <c r="E4781" s="233" t="inlineStr">
        <is>
          <t>24</t>
        </is>
      </c>
      <c r="F4781" s="227" t="inlineStr">
        <is>
          <t>HTR8</t>
        </is>
      </c>
    </row>
    <row r="4782">
      <c r="A4782" s="227">
        <f>TL[[#This Row],[Société]]&amp;" - "&amp;TL[[#This Row],[Compte]]</f>
        <v/>
      </c>
      <c r="B4782" s="233" t="inlineStr">
        <is>
          <t>60610300</t>
        </is>
      </c>
      <c r="C4782" s="227" t="inlineStr">
        <is>
          <t>Electricite restaurant</t>
        </is>
      </c>
      <c r="D4782" s="233" t="inlineStr">
        <is>
          <t>20</t>
        </is>
      </c>
      <c r="E4782" s="233" t="inlineStr">
        <is>
          <t>24</t>
        </is>
      </c>
      <c r="F4782" s="227" t="inlineStr">
        <is>
          <t>HTR8</t>
        </is>
      </c>
    </row>
    <row r="4783">
      <c r="A4783" s="227">
        <f>TL[[#This Row],[Société]]&amp;" - "&amp;TL[[#This Row],[Compte]]</f>
        <v/>
      </c>
      <c r="B4783" s="233" t="inlineStr">
        <is>
          <t>60610500</t>
        </is>
      </c>
      <c r="C4783" s="227" t="inlineStr">
        <is>
          <t>Achats  gaz</t>
        </is>
      </c>
      <c r="D4783" s="233" t="inlineStr">
        <is>
          <t>20</t>
        </is>
      </c>
      <c r="E4783" s="233" t="inlineStr">
        <is>
          <t>24</t>
        </is>
      </c>
      <c r="F4783" s="227" t="inlineStr">
        <is>
          <t>HTR8</t>
        </is>
      </c>
    </row>
    <row r="4784">
      <c r="A4784" s="227">
        <f>TL[[#This Row],[Société]]&amp;" - "&amp;TL[[#This Row],[Compte]]</f>
        <v/>
      </c>
      <c r="B4784" s="233" t="inlineStr">
        <is>
          <t>60630000</t>
        </is>
      </c>
      <c r="C4784" s="227" t="inlineStr">
        <is>
          <t>Petit outillage</t>
        </is>
      </c>
      <c r="D4784" s="233" t="inlineStr">
        <is>
          <t>19</t>
        </is>
      </c>
      <c r="E4784" s="233" t="inlineStr">
        <is>
          <t>18</t>
        </is>
      </c>
      <c r="F4784" s="227" t="inlineStr">
        <is>
          <t>HTR8</t>
        </is>
      </c>
    </row>
    <row r="4785">
      <c r="A4785" s="227">
        <f>TL[[#This Row],[Société]]&amp;" - "&amp;TL[[#This Row],[Compte]]</f>
        <v/>
      </c>
      <c r="B4785" s="233" t="inlineStr">
        <is>
          <t>60630100</t>
        </is>
      </c>
      <c r="C4785" s="227" t="inlineStr">
        <is>
          <t>Fact jcs paradox-aero polish-disque</t>
        </is>
      </c>
      <c r="F4785" s="227" t="inlineStr">
        <is>
          <t>HTR8</t>
        </is>
      </c>
    </row>
    <row r="4786">
      <c r="A4786" s="227">
        <f>TL[[#This Row],[Société]]&amp;" - "&amp;TL[[#This Row],[Compte]]</f>
        <v/>
      </c>
      <c r="B4786" s="233" t="inlineStr">
        <is>
          <t>60630200</t>
        </is>
      </c>
      <c r="C4786" s="227" t="inlineStr">
        <is>
          <t>Fournit d'exploit et pdts entretien</t>
        </is>
      </c>
      <c r="D4786" s="233" t="inlineStr">
        <is>
          <t>18</t>
        </is>
      </c>
      <c r="E4786" s="233" t="inlineStr">
        <is>
          <t>25</t>
        </is>
      </c>
      <c r="F4786" s="227" t="inlineStr">
        <is>
          <t>HTR8</t>
        </is>
      </c>
    </row>
    <row r="4787">
      <c r="A4787" s="227">
        <f>TL[[#This Row],[Société]]&amp;" - "&amp;TL[[#This Row],[Compte]]</f>
        <v/>
      </c>
      <c r="B4787" s="233" t="inlineStr">
        <is>
          <t>60630300</t>
        </is>
      </c>
      <c r="C4787" s="227" t="inlineStr">
        <is>
          <t>Uniformes</t>
        </is>
      </c>
      <c r="D4787" s="233" t="inlineStr">
        <is>
          <t>17</t>
        </is>
      </c>
      <c r="E4787" s="233" t="inlineStr">
        <is>
          <t>27</t>
        </is>
      </c>
      <c r="F4787" s="227" t="inlineStr">
        <is>
          <t>HTR8</t>
        </is>
      </c>
    </row>
    <row r="4788">
      <c r="A4788" s="227">
        <f>TL[[#This Row],[Société]]&amp;" - "&amp;TL[[#This Row],[Compte]]</f>
        <v/>
      </c>
      <c r="B4788" s="233" t="inlineStr">
        <is>
          <t>60630500</t>
        </is>
      </c>
      <c r="C4788" s="227" t="inlineStr">
        <is>
          <t>Petit équipement COVID-19</t>
        </is>
      </c>
      <c r="F4788" s="227" t="inlineStr">
        <is>
          <t>HTR8</t>
        </is>
      </c>
    </row>
    <row r="4789">
      <c r="A4789" s="227">
        <f>TL[[#This Row],[Société]]&amp;" - "&amp;TL[[#This Row],[Compte]]</f>
        <v/>
      </c>
      <c r="B4789" s="233" t="inlineStr">
        <is>
          <t>60640100</t>
        </is>
      </c>
      <c r="C4789" s="227" t="inlineStr">
        <is>
          <t>Fourni. bureau restaurant</t>
        </is>
      </c>
      <c r="D4789" s="233" t="inlineStr">
        <is>
          <t>21</t>
        </is>
      </c>
      <c r="E4789" s="233" t="inlineStr">
        <is>
          <t>25</t>
        </is>
      </c>
      <c r="F4789" s="227" t="inlineStr">
        <is>
          <t>HTR8</t>
        </is>
      </c>
    </row>
    <row r="4790">
      <c r="A4790" s="227">
        <f>TL[[#This Row],[Société]]&amp;" - "&amp;TL[[#This Row],[Compte]]</f>
        <v/>
      </c>
      <c r="B4790" s="233" t="inlineStr">
        <is>
          <t>60661300</t>
        </is>
      </c>
      <c r="C4790" s="227" t="inlineStr">
        <is>
          <t>Carburant</t>
        </is>
      </c>
      <c r="D4790" s="233" t="inlineStr">
        <is>
          <t>39</t>
        </is>
      </c>
      <c r="E4790" s="233" t="inlineStr">
        <is>
          <t>40</t>
        </is>
      </c>
      <c r="F4790" s="227" t="inlineStr">
        <is>
          <t>HTR8</t>
        </is>
      </c>
    </row>
    <row r="4791">
      <c r="A4791" s="227">
        <f>TL[[#This Row],[Société]]&amp;" - "&amp;TL[[#This Row],[Compte]]</f>
        <v/>
      </c>
      <c r="B4791" s="233" t="inlineStr">
        <is>
          <t>60680000</t>
        </is>
      </c>
      <c r="C4791" s="227" t="inlineStr">
        <is>
          <t>Autres matières et fournitures</t>
        </is>
      </c>
      <c r="D4791" s="233" t="inlineStr">
        <is>
          <t>13</t>
        </is>
      </c>
      <c r="E4791" s="233" t="inlineStr">
        <is>
          <t>26</t>
        </is>
      </c>
      <c r="F4791" s="227" t="inlineStr">
        <is>
          <t>HTR8</t>
        </is>
      </c>
    </row>
    <row r="4792">
      <c r="A4792" s="227">
        <f>TL[[#This Row],[Société]]&amp;" - "&amp;TL[[#This Row],[Compte]]</f>
        <v/>
      </c>
      <c r="B4792" s="233" t="inlineStr">
        <is>
          <t>60910000</t>
        </is>
      </c>
      <c r="C4792" s="227" t="inlineStr">
        <is>
          <t>R.r.r.obtenus s/ach.mat.premières</t>
        </is>
      </c>
      <c r="D4792" s="233" t="inlineStr">
        <is>
          <t>06</t>
        </is>
      </c>
      <c r="E4792" s="233" t="inlineStr">
        <is>
          <t>03</t>
        </is>
      </c>
      <c r="F4792" s="227" t="inlineStr">
        <is>
          <t>HTR8</t>
        </is>
      </c>
    </row>
    <row r="4793">
      <c r="A4793" s="227">
        <f>TL[[#This Row],[Société]]&amp;" - "&amp;TL[[#This Row],[Compte]]</f>
        <v/>
      </c>
      <c r="B4793" s="233" t="inlineStr">
        <is>
          <t>61101200</t>
        </is>
      </c>
      <c r="C4793" s="227" t="inlineStr">
        <is>
          <t>Contrat d'accès Sylae</t>
        </is>
      </c>
      <c r="D4793" s="233" t="inlineStr">
        <is>
          <t>32</t>
        </is>
      </c>
      <c r="E4793" s="233" t="inlineStr">
        <is>
          <t>19</t>
        </is>
      </c>
      <c r="F4793" s="227" t="inlineStr">
        <is>
          <t>HTR8</t>
        </is>
      </c>
    </row>
    <row r="4794">
      <c r="A4794" s="227">
        <f>TL[[#This Row],[Société]]&amp;" - "&amp;TL[[#This Row],[Compte]]</f>
        <v/>
      </c>
      <c r="B4794" s="233" t="inlineStr">
        <is>
          <t>61300200</t>
        </is>
      </c>
      <c r="C4794" s="227" t="inlineStr">
        <is>
          <t>Location caisse palette bio dechets</t>
        </is>
      </c>
      <c r="D4794" s="233" t="inlineStr">
        <is>
          <t>16</t>
        </is>
      </c>
      <c r="E4794" s="233" t="inlineStr">
        <is>
          <t>19</t>
        </is>
      </c>
      <c r="F4794" s="227" t="inlineStr">
        <is>
          <t>HTR8</t>
        </is>
      </c>
    </row>
    <row r="4795">
      <c r="A4795" s="227">
        <f>TL[[#This Row],[Société]]&amp;" - "&amp;TL[[#This Row],[Compte]]</f>
        <v/>
      </c>
      <c r="B4795" s="233" t="inlineStr">
        <is>
          <t>61300400</t>
        </is>
      </c>
      <c r="C4795" s="227" t="inlineStr">
        <is>
          <t>Fac tmcdonalds redevance standard s</t>
        </is>
      </c>
      <c r="F4795" s="227" t="inlineStr">
        <is>
          <t>HTR8</t>
        </is>
      </c>
    </row>
    <row r="4796">
      <c r="A4796" s="227">
        <f>TL[[#This Row],[Société]]&amp;" - "&amp;TL[[#This Row],[Compte]]</f>
        <v/>
      </c>
      <c r="B4796" s="233" t="inlineStr">
        <is>
          <t>61300500</t>
        </is>
      </c>
      <c r="C4796" s="227" t="inlineStr">
        <is>
          <t>Location camion</t>
        </is>
      </c>
      <c r="D4796" s="233" t="inlineStr">
        <is>
          <t>16</t>
        </is>
      </c>
      <c r="E4796" s="233" t="inlineStr">
        <is>
          <t>19</t>
        </is>
      </c>
      <c r="F4796" s="227" t="inlineStr">
        <is>
          <t>HTR8</t>
        </is>
      </c>
    </row>
    <row r="4797">
      <c r="A4797" s="227">
        <f>TL[[#This Row],[Société]]&amp;" - "&amp;TL[[#This Row],[Compte]]</f>
        <v/>
      </c>
      <c r="B4797" s="233" t="inlineStr">
        <is>
          <t>61300600</t>
        </is>
      </c>
      <c r="C4797" s="227" t="inlineStr">
        <is>
          <t>Loyer mercedes classe a dn 822 gt</t>
        </is>
      </c>
      <c r="D4797" s="233" t="inlineStr">
        <is>
          <t>39</t>
        </is>
      </c>
      <c r="E4797" s="233" t="inlineStr">
        <is>
          <t>40</t>
        </is>
      </c>
      <c r="F4797" s="227" t="inlineStr">
        <is>
          <t>HTR8</t>
        </is>
      </c>
    </row>
    <row r="4798">
      <c r="A4798" s="227">
        <f>TL[[#This Row],[Société]]&amp;" - "&amp;TL[[#This Row],[Compte]]</f>
        <v/>
      </c>
      <c r="B4798" s="233" t="inlineStr">
        <is>
          <t>61300700</t>
        </is>
      </c>
      <c r="C4798" s="227" t="inlineStr">
        <is>
          <t>Loyer mercedes a - dl 595 sq</t>
        </is>
      </c>
      <c r="F4798" s="227" t="inlineStr">
        <is>
          <t>HTR8</t>
        </is>
      </c>
    </row>
    <row r="4799">
      <c r="A4799" s="227">
        <f>TL[[#This Row],[Société]]&amp;" - "&amp;TL[[#This Row],[Compte]]</f>
        <v/>
      </c>
      <c r="B4799" s="233" t="inlineStr">
        <is>
          <t>61300800</t>
        </is>
      </c>
      <c r="C4799" s="227" t="inlineStr">
        <is>
          <t>Loyer veh ea-962-jf</t>
        </is>
      </c>
      <c r="D4799" s="233" t="inlineStr">
        <is>
          <t>39</t>
        </is>
      </c>
      <c r="E4799" s="233" t="inlineStr">
        <is>
          <t>40</t>
        </is>
      </c>
      <c r="F4799" s="227" t="inlineStr">
        <is>
          <t>HTR8</t>
        </is>
      </c>
    </row>
    <row r="4800">
      <c r="A4800" s="227">
        <f>TL[[#This Row],[Société]]&amp;" - "&amp;TL[[#This Row],[Compte]]</f>
        <v/>
      </c>
      <c r="B4800" s="233" t="inlineStr">
        <is>
          <t>61300900</t>
        </is>
      </c>
      <c r="C4800" s="227" t="inlineStr">
        <is>
          <t>Loyer veh tirr mercedes</t>
        </is>
      </c>
      <c r="D4800" s="233" t="inlineStr">
        <is>
          <t>39</t>
        </is>
      </c>
      <c r="E4800" s="233" t="inlineStr">
        <is>
          <t>40</t>
        </is>
      </c>
      <c r="F4800" s="227" t="inlineStr">
        <is>
          <t>HTR8</t>
        </is>
      </c>
    </row>
    <row r="4801">
      <c r="A4801" s="227">
        <f>TL[[#This Row],[Société]]&amp;" - "&amp;TL[[#This Row],[Compte]]</f>
        <v/>
      </c>
      <c r="B4801" s="233" t="inlineStr">
        <is>
          <t>61301000</t>
        </is>
      </c>
      <c r="C4801" s="227" t="inlineStr">
        <is>
          <t>Location diac clio</t>
        </is>
      </c>
      <c r="D4801" s="233" t="inlineStr">
        <is>
          <t>39</t>
        </is>
      </c>
      <c r="E4801" s="233" t="inlineStr">
        <is>
          <t>40</t>
        </is>
      </c>
      <c r="F4801" s="227" t="inlineStr">
        <is>
          <t>HTR8</t>
        </is>
      </c>
    </row>
    <row r="4802">
      <c r="A4802" s="227">
        <f>TL[[#This Row],[Société]]&amp;" - "&amp;TL[[#This Row],[Compte]]</f>
        <v/>
      </c>
      <c r="B4802" s="233" t="inlineStr">
        <is>
          <t>61301100</t>
        </is>
      </c>
      <c r="C4802" s="227" t="inlineStr">
        <is>
          <t>Loyer EV-769-NG M. Lanos</t>
        </is>
      </c>
      <c r="D4802" s="233" t="inlineStr">
        <is>
          <t>39</t>
        </is>
      </c>
      <c r="E4802" s="233" t="inlineStr">
        <is>
          <t>40</t>
        </is>
      </c>
      <c r="F4802" s="227" t="inlineStr">
        <is>
          <t>HTR8</t>
        </is>
      </c>
    </row>
    <row r="4803">
      <c r="A4803" s="227">
        <f>TL[[#This Row],[Société]]&amp;" - "&amp;TL[[#This Row],[Compte]]</f>
        <v/>
      </c>
      <c r="B4803" s="233" t="inlineStr">
        <is>
          <t>61301200</t>
        </is>
      </c>
      <c r="C4803" s="227" t="inlineStr">
        <is>
          <t>Loyer audi a3 ev 182 ts</t>
        </is>
      </c>
      <c r="D4803" s="233" t="inlineStr">
        <is>
          <t>39</t>
        </is>
      </c>
      <c r="E4803" s="233" t="inlineStr">
        <is>
          <t>40</t>
        </is>
      </c>
      <c r="F4803" s="227" t="inlineStr">
        <is>
          <t>HTR8</t>
        </is>
      </c>
    </row>
    <row r="4804">
      <c r="A4804" s="227">
        <f>TL[[#This Row],[Société]]&amp;" - "&amp;TL[[#This Row],[Compte]]</f>
        <v/>
      </c>
      <c r="B4804" s="233" t="inlineStr">
        <is>
          <t>61301300</t>
        </is>
      </c>
      <c r="C4804" s="227" t="inlineStr">
        <is>
          <t>Loyer mercedes glr5 sabrina</t>
        </is>
      </c>
      <c r="D4804" s="233" t="inlineStr">
        <is>
          <t>39</t>
        </is>
      </c>
      <c r="E4804" s="233" t="inlineStr">
        <is>
          <t>40</t>
        </is>
      </c>
      <c r="F4804" s="227" t="inlineStr">
        <is>
          <t>HTR8</t>
        </is>
      </c>
    </row>
    <row r="4805">
      <c r="A4805" s="227">
        <f>TL[[#This Row],[Société]]&amp;" - "&amp;TL[[#This Row],[Compte]]</f>
        <v/>
      </c>
      <c r="B4805" s="233" t="inlineStr">
        <is>
          <t>61301400</t>
        </is>
      </c>
      <c r="C4805" s="227" t="inlineStr">
        <is>
          <t>Loyer FG-329-YA - B. Wassa</t>
        </is>
      </c>
      <c r="D4805" s="233" t="inlineStr">
        <is>
          <t>39</t>
        </is>
      </c>
      <c r="E4805" s="233" t="inlineStr">
        <is>
          <t>40</t>
        </is>
      </c>
      <c r="F4805" s="227" t="inlineStr">
        <is>
          <t>HTR8</t>
        </is>
      </c>
    </row>
    <row r="4806">
      <c r="A4806" s="227">
        <f>TL[[#This Row],[Société]]&amp;" - "&amp;TL[[#This Row],[Compte]]</f>
        <v/>
      </c>
      <c r="B4806" s="233" t="inlineStr">
        <is>
          <t>61301500</t>
        </is>
      </c>
      <c r="C4806" s="227" t="inlineStr">
        <is>
          <t>Loyer FN-451-MV - M. F. De Castro</t>
        </is>
      </c>
      <c r="D4806" s="233" t="inlineStr">
        <is>
          <t>39</t>
        </is>
      </c>
      <c r="E4806" s="233" t="inlineStr">
        <is>
          <t>40</t>
        </is>
      </c>
      <c r="F4806" s="227" t="inlineStr">
        <is>
          <t>HTR8</t>
        </is>
      </c>
    </row>
    <row r="4807">
      <c r="A4807" s="227">
        <f>TL[[#This Row],[Société]]&amp;" - "&amp;TL[[#This Row],[Compte]]</f>
        <v/>
      </c>
      <c r="B4807" s="233" t="inlineStr">
        <is>
          <t>61301600</t>
        </is>
      </c>
      <c r="C4807" s="227" t="inlineStr">
        <is>
          <t>Loyer FP-303-XZ - T. Rego</t>
        </is>
      </c>
      <c r="D4807" s="233" t="inlineStr">
        <is>
          <t>39</t>
        </is>
      </c>
      <c r="E4807" s="233" t="inlineStr">
        <is>
          <t>40</t>
        </is>
      </c>
      <c r="F4807" s="227" t="inlineStr">
        <is>
          <t>HTR8</t>
        </is>
      </c>
    </row>
    <row r="4808">
      <c r="A4808" s="227">
        <f>TL[[#This Row],[Société]]&amp;" - "&amp;TL[[#This Row],[Compte]]</f>
        <v/>
      </c>
      <c r="B4808" s="233" t="inlineStr">
        <is>
          <t>61301700</t>
        </is>
      </c>
      <c r="C4808" s="227" t="inlineStr">
        <is>
          <t>Loyer FS-149-CP - B. Rath</t>
        </is>
      </c>
      <c r="D4808" s="233" t="inlineStr">
        <is>
          <t>39</t>
        </is>
      </c>
      <c r="E4808" s="233" t="inlineStr">
        <is>
          <t>40</t>
        </is>
      </c>
      <c r="F4808" s="227" t="inlineStr">
        <is>
          <t>HTR8</t>
        </is>
      </c>
    </row>
    <row r="4809">
      <c r="A4809" s="227">
        <f>TL[[#This Row],[Société]]&amp;" - "&amp;TL[[#This Row],[Compte]]</f>
        <v/>
      </c>
      <c r="B4809" s="233" t="inlineStr">
        <is>
          <t>61301800</t>
        </is>
      </c>
      <c r="C4809" s="227" t="inlineStr">
        <is>
          <t>Loyer FZ-994-AV - S. Raffray</t>
        </is>
      </c>
      <c r="D4809" s="233" t="inlineStr">
        <is>
          <t>39</t>
        </is>
      </c>
      <c r="E4809" s="233" t="inlineStr">
        <is>
          <t>40</t>
        </is>
      </c>
      <c r="F4809" s="227" t="inlineStr">
        <is>
          <t>HTR8</t>
        </is>
      </c>
    </row>
    <row r="4810">
      <c r="A4810" s="227">
        <f>TL[[#This Row],[Société]]&amp;" - "&amp;TL[[#This Row],[Compte]]</f>
        <v/>
      </c>
      <c r="B4810" s="233" t="inlineStr">
        <is>
          <t>61301900</t>
        </is>
      </c>
      <c r="C4810" s="227" t="inlineStr">
        <is>
          <t>Location grenke</t>
        </is>
      </c>
      <c r="D4810" s="233" t="inlineStr">
        <is>
          <t>16</t>
        </is>
      </c>
      <c r="E4810" s="233" t="inlineStr">
        <is>
          <t>19</t>
        </is>
      </c>
      <c r="F4810" s="227" t="inlineStr">
        <is>
          <t>HTR8</t>
        </is>
      </c>
    </row>
    <row r="4811">
      <c r="A4811" s="227">
        <f>TL[[#This Row],[Société]]&amp;" - "&amp;TL[[#This Row],[Compte]]</f>
        <v/>
      </c>
      <c r="B4811" s="233" t="inlineStr">
        <is>
          <t>61302000</t>
        </is>
      </c>
      <c r="C4811" s="227" t="inlineStr">
        <is>
          <t>Loyer FZ-768-AV - S. Laturaze</t>
        </is>
      </c>
      <c r="D4811" s="233" t="inlineStr">
        <is>
          <t>39</t>
        </is>
      </c>
      <c r="E4811" s="233" t="inlineStr">
        <is>
          <t>40</t>
        </is>
      </c>
      <c r="F4811" s="227" t="inlineStr">
        <is>
          <t>HTR8</t>
        </is>
      </c>
    </row>
    <row r="4812">
      <c r="A4812" s="227">
        <f>TL[[#This Row],[Société]]&amp;" - "&amp;TL[[#This Row],[Compte]]</f>
        <v/>
      </c>
      <c r="B4812" s="233" t="inlineStr">
        <is>
          <t>61302100</t>
        </is>
      </c>
      <c r="C4812" s="227" t="inlineStr">
        <is>
          <t>Loyer GA-768-QK - B. Wassa</t>
        </is>
      </c>
      <c r="D4812" s="233" t="inlineStr">
        <is>
          <t>39</t>
        </is>
      </c>
      <c r="E4812" s="233" t="inlineStr">
        <is>
          <t>40</t>
        </is>
      </c>
      <c r="F4812" s="227" t="inlineStr">
        <is>
          <t>HTR8</t>
        </is>
      </c>
    </row>
    <row r="4813">
      <c r="A4813" s="227">
        <f>TL[[#This Row],[Société]]&amp;" - "&amp;TL[[#This Row],[Compte]]</f>
        <v/>
      </c>
      <c r="B4813" s="233" t="inlineStr">
        <is>
          <t>61302200</t>
        </is>
      </c>
      <c r="C4813" s="227" t="inlineStr">
        <is>
          <t>loyer caddy5 van business</t>
        </is>
      </c>
      <c r="D4813" s="233" t="inlineStr">
        <is>
          <t>39</t>
        </is>
      </c>
      <c r="E4813" s="233" t="inlineStr">
        <is>
          <t>40</t>
        </is>
      </c>
      <c r="F4813" s="227" t="inlineStr">
        <is>
          <t>HTR8</t>
        </is>
      </c>
    </row>
    <row r="4814">
      <c r="A4814" s="227">
        <f>TL[[#This Row],[Société]]&amp;" - "&amp;TL[[#This Row],[Compte]]</f>
        <v/>
      </c>
      <c r="B4814" s="233" t="inlineStr">
        <is>
          <t>61302300</t>
        </is>
      </c>
      <c r="C4814" s="227" t="inlineStr">
        <is>
          <t>Loyer GG-369-GZ -T. Rego</t>
        </is>
      </c>
      <c r="D4814" s="233" t="inlineStr">
        <is>
          <t>39</t>
        </is>
      </c>
      <c r="E4814" s="233" t="inlineStr">
        <is>
          <t>40</t>
        </is>
      </c>
      <c r="F4814" s="227" t="inlineStr">
        <is>
          <t>HTR8</t>
        </is>
      </c>
    </row>
    <row r="4815">
      <c r="A4815" s="227">
        <f>TL[[#This Row],[Société]]&amp;" - "&amp;TL[[#This Row],[Compte]]</f>
        <v/>
      </c>
      <c r="B4815" s="233" t="inlineStr">
        <is>
          <t>61320000</t>
        </is>
      </c>
      <c r="C4815" s="227" t="inlineStr">
        <is>
          <t>Loyer 16.50%</t>
        </is>
      </c>
      <c r="D4815" s="233" t="inlineStr">
        <is>
          <t>30</t>
        </is>
      </c>
      <c r="E4815" s="233" t="inlineStr">
        <is>
          <t>29</t>
        </is>
      </c>
      <c r="F4815" s="227" t="inlineStr">
        <is>
          <t>HTR8</t>
        </is>
      </c>
    </row>
    <row r="4816">
      <c r="A4816" s="227">
        <f>TL[[#This Row],[Société]]&amp;" - "&amp;TL[[#This Row],[Compte]]</f>
        <v/>
      </c>
      <c r="B4816" s="233" t="inlineStr">
        <is>
          <t>61320500</t>
        </is>
      </c>
      <c r="C4816" s="227" t="inlineStr">
        <is>
          <t>Location - ouverture mc do</t>
        </is>
      </c>
      <c r="F4816" s="227" t="inlineStr">
        <is>
          <t>HTR8</t>
        </is>
      </c>
    </row>
    <row r="4817">
      <c r="A4817" s="227">
        <f>TL[[#This Row],[Société]]&amp;" - "&amp;TL[[#This Row],[Compte]]</f>
        <v/>
      </c>
      <c r="B4817" s="233" t="inlineStr">
        <is>
          <t>61321000</t>
        </is>
      </c>
      <c r="C4817" s="227" t="inlineStr">
        <is>
          <t>Locations interway</t>
        </is>
      </c>
      <c r="D4817" s="233" t="inlineStr">
        <is>
          <t>16</t>
        </is>
      </c>
      <c r="E4817" s="233" t="inlineStr">
        <is>
          <t>19</t>
        </is>
      </c>
      <c r="F4817" s="227" t="inlineStr">
        <is>
          <t>HTR8</t>
        </is>
      </c>
    </row>
    <row r="4818">
      <c r="A4818" s="227">
        <f>TL[[#This Row],[Société]]&amp;" - "&amp;TL[[#This Row],[Compte]]</f>
        <v/>
      </c>
      <c r="B4818" s="233" t="inlineStr">
        <is>
          <t>61322000</t>
        </is>
      </c>
      <c r="C4818" s="227" t="inlineStr">
        <is>
          <t>Location vehicule ponctuelle</t>
        </is>
      </c>
      <c r="D4818" s="233" t="inlineStr">
        <is>
          <t>39</t>
        </is>
      </c>
      <c r="E4818" s="233" t="inlineStr">
        <is>
          <t>19</t>
        </is>
      </c>
      <c r="F4818" s="227" t="inlineStr">
        <is>
          <t>HTR8</t>
        </is>
      </c>
    </row>
    <row r="4819">
      <c r="A4819" s="227">
        <f>TL[[#This Row],[Société]]&amp;" - "&amp;TL[[#This Row],[Compte]]</f>
        <v/>
      </c>
      <c r="B4819" s="233" t="inlineStr">
        <is>
          <t>61323000</t>
        </is>
      </c>
      <c r="C4819" s="227" t="inlineStr">
        <is>
          <t>Location paritel</t>
        </is>
      </c>
      <c r="D4819" s="233" t="inlineStr">
        <is>
          <t>16</t>
        </is>
      </c>
      <c r="E4819" s="233" t="inlineStr">
        <is>
          <t>19</t>
        </is>
      </c>
      <c r="F4819" s="227" t="inlineStr">
        <is>
          <t>HTR8</t>
        </is>
      </c>
    </row>
    <row r="4820">
      <c r="A4820" s="227">
        <f>TL[[#This Row],[Société]]&amp;" - "&amp;TL[[#This Row],[Compte]]</f>
        <v/>
      </c>
      <c r="B4820" s="233" t="inlineStr">
        <is>
          <t>61324000</t>
        </is>
      </c>
      <c r="C4820" s="227" t="inlineStr">
        <is>
          <t>Location defibrillateur</t>
        </is>
      </c>
      <c r="D4820" s="233" t="inlineStr">
        <is>
          <t>16</t>
        </is>
      </c>
      <c r="E4820" s="233" t="inlineStr">
        <is>
          <t>19</t>
        </is>
      </c>
      <c r="F4820" s="227" t="inlineStr">
        <is>
          <t>HTR8</t>
        </is>
      </c>
    </row>
    <row r="4821">
      <c r="A4821" s="227">
        <f>TL[[#This Row],[Société]]&amp;" - "&amp;TL[[#This Row],[Compte]]</f>
        <v/>
      </c>
      <c r="B4821" s="233" t="inlineStr">
        <is>
          <t>61410000</t>
        </is>
      </c>
      <c r="C4821" s="227" t="inlineStr">
        <is>
          <t>Charges locat.mc do france</t>
        </is>
      </c>
      <c r="D4821" s="233" t="inlineStr">
        <is>
          <t>34</t>
        </is>
      </c>
      <c r="E4821" s="233" t="inlineStr">
        <is>
          <t>33</t>
        </is>
      </c>
      <c r="F4821" s="227" t="inlineStr">
        <is>
          <t>HTR8</t>
        </is>
      </c>
    </row>
    <row r="4822">
      <c r="A4822" s="227">
        <f>TL[[#This Row],[Société]]&amp;" - "&amp;TL[[#This Row],[Compte]]</f>
        <v/>
      </c>
      <c r="B4822" s="233" t="inlineStr">
        <is>
          <t>61500000</t>
        </is>
      </c>
      <c r="C4822" s="227" t="inlineStr">
        <is>
          <t>Entretien et réparations</t>
        </is>
      </c>
      <c r="F4822" s="227" t="inlineStr">
        <is>
          <t>HTR8</t>
        </is>
      </c>
    </row>
    <row r="4823">
      <c r="A4823" s="227">
        <f>TL[[#This Row],[Société]]&amp;" - "&amp;TL[[#This Row],[Compte]]</f>
        <v/>
      </c>
      <c r="B4823" s="233" t="inlineStr">
        <is>
          <t>61520000</t>
        </is>
      </c>
      <c r="C4823" s="227" t="inlineStr">
        <is>
          <t>Entretien immobilier</t>
        </is>
      </c>
      <c r="F4823" s="227" t="inlineStr">
        <is>
          <t>HTR8</t>
        </is>
      </c>
    </row>
    <row r="4824">
      <c r="A4824" s="227">
        <f>TL[[#This Row],[Société]]&amp;" - "&amp;TL[[#This Row],[Compte]]</f>
        <v/>
      </c>
      <c r="B4824" s="233" t="inlineStr">
        <is>
          <t>61521000</t>
        </is>
      </c>
      <c r="C4824" s="227" t="inlineStr">
        <is>
          <t>Entretien vitres</t>
        </is>
      </c>
      <c r="D4824" s="233" t="inlineStr">
        <is>
          <t>16</t>
        </is>
      </c>
      <c r="E4824" s="233" t="inlineStr">
        <is>
          <t>15</t>
        </is>
      </c>
      <c r="F4824" s="227" t="inlineStr">
        <is>
          <t>HTR8</t>
        </is>
      </c>
    </row>
    <row r="4825">
      <c r="A4825" s="227">
        <f>TL[[#This Row],[Société]]&amp;" - "&amp;TL[[#This Row],[Compte]]</f>
        <v/>
      </c>
      <c r="B4825" s="233" t="inlineStr">
        <is>
          <t>61550000</t>
        </is>
      </c>
      <c r="C4825" s="227" t="inlineStr">
        <is>
          <t>Entretien et réparations diverses</t>
        </is>
      </c>
      <c r="D4825" s="233" t="inlineStr">
        <is>
          <t>19</t>
        </is>
      </c>
      <c r="E4825" s="233" t="inlineStr">
        <is>
          <t>18</t>
        </is>
      </c>
      <c r="F4825" s="227" t="inlineStr">
        <is>
          <t>HTR8</t>
        </is>
      </c>
    </row>
    <row r="4826">
      <c r="A4826" s="227">
        <f>TL[[#This Row],[Société]]&amp;" - "&amp;TL[[#This Row],[Compte]]</f>
        <v/>
      </c>
      <c r="B4826" s="233" t="inlineStr">
        <is>
          <t>61552000</t>
        </is>
      </c>
      <c r="C4826" s="227" t="inlineStr">
        <is>
          <t>Entretien vehicule</t>
        </is>
      </c>
      <c r="D4826" s="233" t="inlineStr">
        <is>
          <t>39</t>
        </is>
      </c>
      <c r="E4826" s="233" t="inlineStr">
        <is>
          <t>40</t>
        </is>
      </c>
      <c r="F4826" s="227" t="inlineStr">
        <is>
          <t>HTR8</t>
        </is>
      </c>
    </row>
    <row r="4827">
      <c r="A4827" s="227">
        <f>TL[[#This Row],[Société]]&amp;" - "&amp;TL[[#This Row],[Compte]]</f>
        <v/>
      </c>
      <c r="B4827" s="233" t="inlineStr">
        <is>
          <t>61560000</t>
        </is>
      </c>
      <c r="C4827" s="227" t="inlineStr">
        <is>
          <t>Maintenance mc do</t>
        </is>
      </c>
      <c r="D4827" s="233" t="inlineStr">
        <is>
          <t>16</t>
        </is>
      </c>
      <c r="E4827" s="233" t="inlineStr">
        <is>
          <t>19</t>
        </is>
      </c>
      <c r="F4827" s="227" t="inlineStr">
        <is>
          <t>HTR8</t>
        </is>
      </c>
    </row>
    <row r="4828">
      <c r="A4828" s="227">
        <f>TL[[#This Row],[Société]]&amp;" - "&amp;TL[[#This Row],[Compte]]</f>
        <v/>
      </c>
      <c r="B4828" s="233" t="inlineStr">
        <is>
          <t>61560900</t>
        </is>
      </c>
      <c r="C4828" s="227" t="inlineStr">
        <is>
          <t>contrat halbourg</t>
        </is>
      </c>
      <c r="D4828" s="233" t="inlineStr">
        <is>
          <t>16</t>
        </is>
      </c>
      <c r="E4828" s="233" t="inlineStr">
        <is>
          <t>19</t>
        </is>
      </c>
      <c r="F4828" s="227" t="inlineStr">
        <is>
          <t>HTR8</t>
        </is>
      </c>
    </row>
    <row r="4829">
      <c r="A4829" s="227">
        <f>TL[[#This Row],[Société]]&amp;" - "&amp;TL[[#This Row],[Compte]]</f>
        <v/>
      </c>
      <c r="B4829" s="233" t="inlineStr">
        <is>
          <t>61561000</t>
        </is>
      </c>
      <c r="C4829" s="227" t="inlineStr">
        <is>
          <t>Contrat iron mountain</t>
        </is>
      </c>
      <c r="D4829" s="233" t="inlineStr">
        <is>
          <t>16</t>
        </is>
      </c>
      <c r="E4829" s="233" t="inlineStr">
        <is>
          <t>19</t>
        </is>
      </c>
      <c r="F4829" s="227" t="inlineStr">
        <is>
          <t>HTR8</t>
        </is>
      </c>
    </row>
    <row r="4830">
      <c r="A4830" s="227">
        <f>TL[[#This Row],[Société]]&amp;" - "&amp;TL[[#This Row],[Compte]]</f>
        <v/>
      </c>
      <c r="B4830" s="233" t="inlineStr">
        <is>
          <t>61561100</t>
        </is>
      </c>
      <c r="C4830" s="227" t="inlineStr">
        <is>
          <t>Contrat ramassage espèces</t>
        </is>
      </c>
      <c r="D4830" s="233" t="inlineStr">
        <is>
          <t>16</t>
        </is>
      </c>
      <c r="E4830" s="233" t="inlineStr">
        <is>
          <t>19</t>
        </is>
      </c>
      <c r="F4830" s="227" t="inlineStr">
        <is>
          <t>HTR8</t>
        </is>
      </c>
    </row>
    <row r="4831">
      <c r="A4831" s="227">
        <f>TL[[#This Row],[Société]]&amp;" - "&amp;TL[[#This Row],[Compte]]</f>
        <v/>
      </c>
      <c r="B4831" s="233" t="inlineStr">
        <is>
          <t>61561200</t>
        </is>
      </c>
      <c r="C4831" s="227" t="inlineStr">
        <is>
          <t>Contrat ramassage huiles usagées</t>
        </is>
      </c>
      <c r="D4831" s="233" t="inlineStr">
        <is>
          <t>16</t>
        </is>
      </c>
      <c r="E4831" s="233" t="inlineStr">
        <is>
          <t>19</t>
        </is>
      </c>
      <c r="F4831" s="227" t="inlineStr">
        <is>
          <t>HTR8</t>
        </is>
      </c>
    </row>
    <row r="4832">
      <c r="A4832" s="227">
        <f>TL[[#This Row],[Société]]&amp;" - "&amp;TL[[#This Row],[Compte]]</f>
        <v/>
      </c>
      <c r="B4832" s="233" t="inlineStr">
        <is>
          <t>61561300</t>
        </is>
      </c>
      <c r="C4832" s="227" t="inlineStr">
        <is>
          <t>Contrat reflex services</t>
        </is>
      </c>
      <c r="D4832" s="233" t="inlineStr">
        <is>
          <t>16</t>
        </is>
      </c>
      <c r="E4832" s="233" t="inlineStr">
        <is>
          <t>19</t>
        </is>
      </c>
      <c r="F4832" s="227" t="inlineStr">
        <is>
          <t>HTR8</t>
        </is>
      </c>
    </row>
    <row r="4833">
      <c r="A4833" s="227">
        <f>TL[[#This Row],[Société]]&amp;" - "&amp;TL[[#This Row],[Compte]]</f>
        <v/>
      </c>
      <c r="B4833" s="233" t="inlineStr">
        <is>
          <t>61561400</t>
        </is>
      </c>
      <c r="C4833" s="227" t="inlineStr">
        <is>
          <t>Contrat entretien aire de jeux</t>
        </is>
      </c>
      <c r="D4833" s="233" t="inlineStr">
        <is>
          <t>16</t>
        </is>
      </c>
      <c r="E4833" s="233" t="inlineStr">
        <is>
          <t>19</t>
        </is>
      </c>
      <c r="F4833" s="227" t="inlineStr">
        <is>
          <t>HTR8</t>
        </is>
      </c>
    </row>
    <row r="4834">
      <c r="A4834" s="227">
        <f>TL[[#This Row],[Société]]&amp;" - "&amp;TL[[#This Row],[Compte]]</f>
        <v/>
      </c>
      <c r="B4834" s="233" t="inlineStr">
        <is>
          <t>61561500</t>
        </is>
      </c>
      <c r="C4834" s="227" t="inlineStr">
        <is>
          <t>Contrat entretien linge</t>
        </is>
      </c>
      <c r="D4834" s="233" t="inlineStr">
        <is>
          <t>16</t>
        </is>
      </c>
      <c r="E4834" s="233" t="inlineStr">
        <is>
          <t>15</t>
        </is>
      </c>
      <c r="F4834" s="227" t="inlineStr">
        <is>
          <t>HTR8</t>
        </is>
      </c>
    </row>
    <row r="4835">
      <c r="A4835" s="227">
        <f>TL[[#This Row],[Société]]&amp;" - "&amp;TL[[#This Row],[Compte]]</f>
        <v/>
      </c>
      <c r="B4835" s="233" t="inlineStr">
        <is>
          <t>61561600</t>
        </is>
      </c>
      <c r="C4835" s="227" t="inlineStr">
        <is>
          <t>Contrat acrelec</t>
        </is>
      </c>
      <c r="D4835" s="233" t="inlineStr">
        <is>
          <t>16</t>
        </is>
      </c>
      <c r="E4835" s="233" t="inlineStr">
        <is>
          <t>19</t>
        </is>
      </c>
      <c r="F4835" s="227" t="inlineStr">
        <is>
          <t>HTR8</t>
        </is>
      </c>
    </row>
    <row r="4836">
      <c r="A4836" s="227">
        <f>TL[[#This Row],[Société]]&amp;" - "&amp;TL[[#This Row],[Compte]]</f>
        <v/>
      </c>
      <c r="B4836" s="233" t="inlineStr">
        <is>
          <t>61561700</t>
        </is>
      </c>
      <c r="C4836" s="227" t="inlineStr">
        <is>
          <t>Contrat canal music</t>
        </is>
      </c>
      <c r="D4836" s="233" t="inlineStr">
        <is>
          <t>16</t>
        </is>
      </c>
      <c r="E4836" s="233" t="inlineStr">
        <is>
          <t>19</t>
        </is>
      </c>
      <c r="F4836" s="227" t="inlineStr">
        <is>
          <t>HTR8</t>
        </is>
      </c>
    </row>
    <row r="4837">
      <c r="A4837" s="227">
        <f>TL[[#This Row],[Société]]&amp;" - "&amp;TL[[#This Row],[Compte]]</f>
        <v/>
      </c>
      <c r="B4837" s="233" t="inlineStr">
        <is>
          <t>61561800</t>
        </is>
      </c>
      <c r="C4837" s="227" t="inlineStr">
        <is>
          <t>Contrat wifi</t>
        </is>
      </c>
      <c r="D4837" s="233" t="inlineStr">
        <is>
          <t>16</t>
        </is>
      </c>
      <c r="E4837" s="233" t="inlineStr">
        <is>
          <t>19</t>
        </is>
      </c>
      <c r="F4837" s="227" t="inlineStr">
        <is>
          <t>HTR8</t>
        </is>
      </c>
    </row>
    <row r="4838">
      <c r="A4838" s="227">
        <f>TL[[#This Row],[Société]]&amp;" - "&amp;TL[[#This Row],[Compte]]</f>
        <v/>
      </c>
      <c r="B4838" s="233" t="inlineStr">
        <is>
          <t>61562000</t>
        </is>
      </c>
      <c r="C4838" s="227" t="inlineStr">
        <is>
          <t>Contrat telesurveillance</t>
        </is>
      </c>
      <c r="D4838" s="233" t="inlineStr">
        <is>
          <t>16</t>
        </is>
      </c>
      <c r="E4838" s="233" t="inlineStr">
        <is>
          <t>16</t>
        </is>
      </c>
      <c r="F4838" s="227" t="inlineStr">
        <is>
          <t>HTR8</t>
        </is>
      </c>
    </row>
    <row r="4839">
      <c r="A4839" s="227">
        <f>TL[[#This Row],[Société]]&amp;" - "&amp;TL[[#This Row],[Compte]]</f>
        <v/>
      </c>
      <c r="B4839" s="233" t="inlineStr">
        <is>
          <t>61562100</t>
        </is>
      </c>
      <c r="C4839" s="227" t="inlineStr">
        <is>
          <t>Contrat suez</t>
        </is>
      </c>
      <c r="D4839" s="233" t="inlineStr">
        <is>
          <t>16</t>
        </is>
      </c>
      <c r="E4839" s="233" t="inlineStr">
        <is>
          <t>19</t>
        </is>
      </c>
      <c r="F4839" s="227" t="inlineStr">
        <is>
          <t>HTR8</t>
        </is>
      </c>
    </row>
    <row r="4840">
      <c r="A4840" s="227">
        <f>TL[[#This Row],[Société]]&amp;" - "&amp;TL[[#This Row],[Compte]]</f>
        <v/>
      </c>
      <c r="B4840" s="233" t="inlineStr">
        <is>
          <t>61562200</t>
        </is>
      </c>
      <c r="C4840" s="227" t="inlineStr">
        <is>
          <t>Contrat silliker</t>
        </is>
      </c>
      <c r="D4840" s="233" t="inlineStr">
        <is>
          <t>16</t>
        </is>
      </c>
      <c r="E4840" s="233" t="inlineStr">
        <is>
          <t>19</t>
        </is>
      </c>
      <c r="F4840" s="227" t="inlineStr">
        <is>
          <t>HTR8</t>
        </is>
      </c>
    </row>
    <row r="4841">
      <c r="A4841" s="227">
        <f>TL[[#This Row],[Société]]&amp;" - "&amp;TL[[#This Row],[Compte]]</f>
        <v/>
      </c>
      <c r="B4841" s="233" t="inlineStr">
        <is>
          <t>61562300</t>
        </is>
      </c>
      <c r="C4841" s="227" t="inlineStr">
        <is>
          <t>Contrat maint.caisses</t>
        </is>
      </c>
      <c r="D4841" s="233" t="inlineStr">
        <is>
          <t>16</t>
        </is>
      </c>
      <c r="E4841" s="233" t="inlineStr">
        <is>
          <t>19</t>
        </is>
      </c>
      <c r="F4841" s="227" t="inlineStr">
        <is>
          <t>HTR8</t>
        </is>
      </c>
    </row>
    <row r="4842">
      <c r="A4842" s="227">
        <f>TL[[#This Row],[Société]]&amp;" - "&amp;TL[[#This Row],[Compte]]</f>
        <v/>
      </c>
      <c r="B4842" s="233" t="inlineStr">
        <is>
          <t>61562400</t>
        </is>
      </c>
      <c r="C4842" s="227" t="inlineStr">
        <is>
          <t>Contrat atral alarme</t>
        </is>
      </c>
      <c r="D4842" s="233" t="inlineStr">
        <is>
          <t>16</t>
        </is>
      </c>
      <c r="E4842" s="233" t="inlineStr">
        <is>
          <t>16</t>
        </is>
      </c>
      <c r="F4842" s="227" t="inlineStr">
        <is>
          <t>HTR8</t>
        </is>
      </c>
    </row>
    <row r="4843">
      <c r="A4843" s="227">
        <f>TL[[#This Row],[Société]]&amp;" - "&amp;TL[[#This Row],[Compte]]</f>
        <v/>
      </c>
      <c r="B4843" s="233" t="inlineStr">
        <is>
          <t>61562500</t>
        </is>
      </c>
      <c r="C4843" s="227" t="inlineStr">
        <is>
          <t>Contrat guldagil (adoucisseur)</t>
        </is>
      </c>
      <c r="D4843" s="233" t="inlineStr">
        <is>
          <t>16</t>
        </is>
      </c>
      <c r="E4843" s="233" t="inlineStr">
        <is>
          <t>19</t>
        </is>
      </c>
      <c r="F4843" s="227" t="inlineStr">
        <is>
          <t>HTR8</t>
        </is>
      </c>
    </row>
    <row r="4844">
      <c r="A4844" s="227">
        <f>TL[[#This Row],[Société]]&amp;" - "&amp;TL[[#This Row],[Compte]]</f>
        <v/>
      </c>
      <c r="B4844" s="233" t="inlineStr">
        <is>
          <t>61562600</t>
        </is>
      </c>
      <c r="C4844" s="227" t="inlineStr">
        <is>
          <t>Contrat tyco</t>
        </is>
      </c>
      <c r="D4844" s="233" t="inlineStr">
        <is>
          <t>16</t>
        </is>
      </c>
      <c r="E4844" s="233" t="inlineStr">
        <is>
          <t>19</t>
        </is>
      </c>
      <c r="F4844" s="227" t="inlineStr">
        <is>
          <t>HTR8</t>
        </is>
      </c>
    </row>
    <row r="4845">
      <c r="A4845" s="227">
        <f>TL[[#This Row],[Société]]&amp;" - "&amp;TL[[#This Row],[Compte]]</f>
        <v/>
      </c>
      <c r="B4845" s="233" t="inlineStr">
        <is>
          <t>61562700</t>
        </is>
      </c>
      <c r="C4845" s="227" t="inlineStr">
        <is>
          <t>Contrat entretien clim</t>
        </is>
      </c>
      <c r="D4845" s="233" t="inlineStr">
        <is>
          <t>16</t>
        </is>
      </c>
      <c r="E4845" s="233" t="inlineStr">
        <is>
          <t>19</t>
        </is>
      </c>
      <c r="F4845" s="227" t="inlineStr">
        <is>
          <t>HTR8</t>
        </is>
      </c>
    </row>
    <row r="4846">
      <c r="A4846" s="227">
        <f>TL[[#This Row],[Société]]&amp;" - "&amp;TL[[#This Row],[Compte]]</f>
        <v/>
      </c>
      <c r="B4846" s="233" t="inlineStr">
        <is>
          <t>61562800</t>
        </is>
      </c>
      <c r="C4846" s="227" t="inlineStr">
        <is>
          <t>Contrat dégraissage dératisation</t>
        </is>
      </c>
      <c r="D4846" s="233" t="inlineStr">
        <is>
          <t>16</t>
        </is>
      </c>
      <c r="E4846" s="233" t="inlineStr">
        <is>
          <t>19</t>
        </is>
      </c>
      <c r="F4846" s="227" t="inlineStr">
        <is>
          <t>HTR8</t>
        </is>
      </c>
    </row>
    <row r="4847">
      <c r="A4847" s="227">
        <f>TL[[#This Row],[Société]]&amp;" - "&amp;TL[[#This Row],[Compte]]</f>
        <v/>
      </c>
      <c r="B4847" s="233" t="inlineStr">
        <is>
          <t>61563000</t>
        </is>
      </c>
      <c r="C4847" s="227" t="inlineStr">
        <is>
          <t>Contrat maintenace coca</t>
        </is>
      </c>
      <c r="D4847" s="233" t="inlineStr">
        <is>
          <t>16</t>
        </is>
      </c>
      <c r="E4847" s="233" t="inlineStr">
        <is>
          <t>19</t>
        </is>
      </c>
      <c r="F4847" s="227" t="inlineStr">
        <is>
          <t>HTR8</t>
        </is>
      </c>
    </row>
    <row r="4848">
      <c r="A4848" s="227">
        <f>TL[[#This Row],[Société]]&amp;" - "&amp;TL[[#This Row],[Compte]]</f>
        <v/>
      </c>
      <c r="B4848" s="233" t="inlineStr">
        <is>
          <t>61563200</t>
        </is>
      </c>
      <c r="C4848" s="227" t="inlineStr">
        <is>
          <t>Contrat abo recru net</t>
        </is>
      </c>
      <c r="D4848" s="233" t="inlineStr">
        <is>
          <t>16</t>
        </is>
      </c>
      <c r="E4848" s="233" t="inlineStr">
        <is>
          <t>19</t>
        </is>
      </c>
      <c r="F4848" s="227" t="inlineStr">
        <is>
          <t>HTR8</t>
        </is>
      </c>
    </row>
    <row r="4849">
      <c r="A4849" s="227">
        <f>TL[[#This Row],[Société]]&amp;" - "&amp;TL[[#This Row],[Compte]]</f>
        <v/>
      </c>
      <c r="B4849" s="233" t="inlineStr">
        <is>
          <t>61563400</t>
        </is>
      </c>
      <c r="C4849" s="227" t="inlineStr">
        <is>
          <t>Contrat technivap</t>
        </is>
      </c>
      <c r="D4849" s="233" t="inlineStr">
        <is>
          <t>16</t>
        </is>
      </c>
      <c r="E4849" s="233" t="inlineStr">
        <is>
          <t>19</t>
        </is>
      </c>
      <c r="F4849" s="227" t="inlineStr">
        <is>
          <t>HTR8</t>
        </is>
      </c>
    </row>
    <row r="4850">
      <c r="A4850" s="227">
        <f>TL[[#This Row],[Société]]&amp;" - "&amp;TL[[#This Row],[Compte]]</f>
        <v/>
      </c>
      <c r="B4850" s="233" t="inlineStr">
        <is>
          <t>61563500</t>
        </is>
      </c>
      <c r="C4850" s="227" t="inlineStr">
        <is>
          <t>Contrat majie</t>
        </is>
      </c>
      <c r="D4850" s="233" t="inlineStr">
        <is>
          <t>16</t>
        </is>
      </c>
      <c r="E4850" s="233" t="inlineStr">
        <is>
          <t>19</t>
        </is>
      </c>
      <c r="F4850" s="227" t="inlineStr">
        <is>
          <t>HTR8</t>
        </is>
      </c>
    </row>
    <row r="4851">
      <c r="A4851" s="227">
        <f>TL[[#This Row],[Société]]&amp;" - "&amp;TL[[#This Row],[Compte]]</f>
        <v/>
      </c>
      <c r="B4851" s="233" t="inlineStr">
        <is>
          <t>61563600</t>
        </is>
      </c>
      <c r="C4851" s="227" t="inlineStr">
        <is>
          <t>Contrat arrosea - entretien jardin</t>
        </is>
      </c>
      <c r="D4851" s="233" t="inlineStr">
        <is>
          <t>16</t>
        </is>
      </c>
      <c r="E4851" s="233" t="inlineStr">
        <is>
          <t>19</t>
        </is>
      </c>
      <c r="F4851" s="227" t="inlineStr">
        <is>
          <t>HTR8</t>
        </is>
      </c>
    </row>
    <row r="4852">
      <c r="A4852" s="227">
        <f>TL[[#This Row],[Société]]&amp;" - "&amp;TL[[#This Row],[Compte]]</f>
        <v/>
      </c>
      <c r="B4852" s="233" t="inlineStr">
        <is>
          <t>61563700</t>
        </is>
      </c>
      <c r="C4852" s="227" t="inlineStr">
        <is>
          <t>Contrat iss - entretien installat°</t>
        </is>
      </c>
      <c r="D4852" s="233" t="inlineStr">
        <is>
          <t>16</t>
        </is>
      </c>
      <c r="E4852" s="233" t="inlineStr">
        <is>
          <t>19</t>
        </is>
      </c>
      <c r="F4852" s="227" t="inlineStr">
        <is>
          <t>HTR8</t>
        </is>
      </c>
    </row>
    <row r="4853">
      <c r="A4853" s="227">
        <f>TL[[#This Row],[Société]]&amp;" - "&amp;TL[[#This Row],[Compte]]</f>
        <v/>
      </c>
      <c r="B4853" s="233" t="inlineStr">
        <is>
          <t>61563800</t>
        </is>
      </c>
      <c r="C4853" s="227" t="inlineStr">
        <is>
          <t>Abonnement bornes recharge</t>
        </is>
      </c>
      <c r="D4853" s="233" t="inlineStr">
        <is>
          <t>16</t>
        </is>
      </c>
      <c r="E4853" s="233" t="inlineStr">
        <is>
          <t>19</t>
        </is>
      </c>
      <c r="F4853" s="227" t="inlineStr">
        <is>
          <t>HTR8</t>
        </is>
      </c>
    </row>
    <row r="4854">
      <c r="A4854" s="227">
        <f>TL[[#This Row],[Société]]&amp;" - "&amp;TL[[#This Row],[Compte]]</f>
        <v/>
      </c>
      <c r="B4854" s="233" t="inlineStr">
        <is>
          <t>61564100</t>
        </is>
      </c>
      <c r="C4854" s="227" t="inlineStr">
        <is>
          <t>Contrat jri</t>
        </is>
      </c>
      <c r="D4854" s="233" t="inlineStr">
        <is>
          <t>16</t>
        </is>
      </c>
      <c r="E4854" s="233" t="inlineStr">
        <is>
          <t>19</t>
        </is>
      </c>
      <c r="F4854" s="227" t="inlineStr">
        <is>
          <t>HTR8</t>
        </is>
      </c>
    </row>
    <row r="4855">
      <c r="A4855" s="227">
        <f>TL[[#This Row],[Société]]&amp;" - "&amp;TL[[#This Row],[Compte]]</f>
        <v/>
      </c>
      <c r="B4855" s="233" t="inlineStr">
        <is>
          <t>61564200</t>
        </is>
      </c>
      <c r="C4855" s="227" t="inlineStr">
        <is>
          <t>Contrat ac froid</t>
        </is>
      </c>
      <c r="D4855" s="233" t="inlineStr">
        <is>
          <t>16</t>
        </is>
      </c>
      <c r="E4855" s="233" t="inlineStr">
        <is>
          <t>19</t>
        </is>
      </c>
      <c r="F4855" s="227" t="inlineStr">
        <is>
          <t>HTR8</t>
        </is>
      </c>
    </row>
    <row r="4856">
      <c r="A4856" s="227">
        <f>TL[[#This Row],[Société]]&amp;" - "&amp;TL[[#This Row],[Compte]]</f>
        <v/>
      </c>
      <c r="B4856" s="233" t="inlineStr">
        <is>
          <t>61564300</t>
        </is>
      </c>
      <c r="C4856" s="227" t="inlineStr">
        <is>
          <t>Contrat socotec</t>
        </is>
      </c>
      <c r="D4856" s="233" t="inlineStr">
        <is>
          <t>16</t>
        </is>
      </c>
      <c r="E4856" s="233" t="inlineStr">
        <is>
          <t>19</t>
        </is>
      </c>
      <c r="F4856" s="227" t="inlineStr">
        <is>
          <t>HTR8</t>
        </is>
      </c>
    </row>
    <row r="4857">
      <c r="A4857" s="227">
        <f>TL[[#This Row],[Société]]&amp;" - "&amp;TL[[#This Row],[Compte]]</f>
        <v/>
      </c>
      <c r="B4857" s="233" t="inlineStr">
        <is>
          <t>61564400</t>
        </is>
      </c>
      <c r="C4857" s="227" t="inlineStr">
        <is>
          <t>Contrat wmf</t>
        </is>
      </c>
      <c r="D4857" s="233" t="inlineStr">
        <is>
          <t>16</t>
        </is>
      </c>
      <c r="E4857" s="233" t="inlineStr">
        <is>
          <t>19</t>
        </is>
      </c>
      <c r="F4857" s="227" t="inlineStr">
        <is>
          <t>HTR8</t>
        </is>
      </c>
    </row>
    <row r="4858">
      <c r="A4858" s="227">
        <f>TL[[#This Row],[Société]]&amp;" - "&amp;TL[[#This Row],[Compte]]</f>
        <v/>
      </c>
      <c r="B4858" s="233" t="inlineStr">
        <is>
          <t>61564500</t>
        </is>
      </c>
      <c r="C4858" s="227" t="inlineStr">
        <is>
          <t>Contrat wifi</t>
        </is>
      </c>
      <c r="D4858" s="233" t="inlineStr">
        <is>
          <t>16</t>
        </is>
      </c>
      <c r="E4858" s="233" t="inlineStr">
        <is>
          <t>19</t>
        </is>
      </c>
      <c r="F4858" s="227" t="inlineStr">
        <is>
          <t>HTR8</t>
        </is>
      </c>
    </row>
    <row r="4859">
      <c r="A4859" s="227">
        <f>TL[[#This Row],[Société]]&amp;" - "&amp;TL[[#This Row],[Compte]]</f>
        <v/>
      </c>
      <c r="B4859" s="233" t="inlineStr">
        <is>
          <t>61564600</t>
        </is>
      </c>
      <c r="C4859" s="227" t="inlineStr">
        <is>
          <t>Contrat mood</t>
        </is>
      </c>
      <c r="D4859" s="233" t="inlineStr">
        <is>
          <t>16</t>
        </is>
      </c>
      <c r="E4859" s="233" t="inlineStr">
        <is>
          <t>19</t>
        </is>
      </c>
      <c r="F4859" s="227" t="inlineStr">
        <is>
          <t>HTR8</t>
        </is>
      </c>
    </row>
    <row r="4860">
      <c r="A4860" s="227">
        <f>TL[[#This Row],[Société]]&amp;" - "&amp;TL[[#This Row],[Compte]]</f>
        <v/>
      </c>
      <c r="B4860" s="233" t="inlineStr">
        <is>
          <t>61564700</t>
        </is>
      </c>
      <c r="C4860" s="227" t="inlineStr">
        <is>
          <t>contrat steeple</t>
        </is>
      </c>
      <c r="D4860" s="233" t="inlineStr">
        <is>
          <t>16</t>
        </is>
      </c>
      <c r="E4860" s="233" t="inlineStr">
        <is>
          <t>19</t>
        </is>
      </c>
      <c r="F4860" s="227" t="inlineStr">
        <is>
          <t>HTR8</t>
        </is>
      </c>
    </row>
    <row r="4861">
      <c r="A4861" s="227">
        <f>TL[[#This Row],[Société]]&amp;" - "&amp;TL[[#This Row],[Compte]]</f>
        <v/>
      </c>
      <c r="B4861" s="233" t="inlineStr">
        <is>
          <t>61564800</t>
        </is>
      </c>
      <c r="C4861" s="227" t="inlineStr">
        <is>
          <t>contrat perf mgr</t>
        </is>
      </c>
      <c r="D4861" s="233" t="inlineStr">
        <is>
          <t>16</t>
        </is>
      </c>
      <c r="E4861" s="233" t="inlineStr">
        <is>
          <t>19</t>
        </is>
      </c>
      <c r="F4861" s="227" t="inlineStr">
        <is>
          <t>HTR8</t>
        </is>
      </c>
    </row>
    <row r="4862">
      <c r="A4862" s="227">
        <f>TL[[#This Row],[Société]]&amp;" - "&amp;TL[[#This Row],[Compte]]</f>
        <v/>
      </c>
      <c r="B4862" s="233" t="inlineStr">
        <is>
          <t>61564900</t>
        </is>
      </c>
      <c r="C4862" s="227" t="inlineStr">
        <is>
          <t>Contrat Incendie</t>
        </is>
      </c>
      <c r="D4862" s="233" t="inlineStr">
        <is>
          <t>16</t>
        </is>
      </c>
      <c r="E4862" s="233" t="inlineStr">
        <is>
          <t>19</t>
        </is>
      </c>
      <c r="F4862" s="227" t="inlineStr">
        <is>
          <t>HTR8</t>
        </is>
      </c>
    </row>
    <row r="4863">
      <c r="A4863" s="227">
        <f>TL[[#This Row],[Société]]&amp;" - "&amp;TL[[#This Row],[Compte]]</f>
        <v/>
      </c>
      <c r="B4863" s="233" t="inlineStr">
        <is>
          <t>61600100</t>
        </is>
      </c>
      <c r="C4863" s="227" t="inlineStr">
        <is>
          <t>Assurances restaurant</t>
        </is>
      </c>
      <c r="D4863" s="233" t="inlineStr">
        <is>
          <t>33</t>
        </is>
      </c>
      <c r="E4863" s="233" t="inlineStr">
        <is>
          <t>36</t>
        </is>
      </c>
      <c r="F4863" s="227" t="inlineStr">
        <is>
          <t>HTR8</t>
        </is>
      </c>
    </row>
    <row r="4864">
      <c r="A4864" s="227">
        <f>TL[[#This Row],[Société]]&amp;" - "&amp;TL[[#This Row],[Compte]]</f>
        <v/>
      </c>
      <c r="B4864" s="233" t="inlineStr">
        <is>
          <t>61600200</t>
        </is>
      </c>
      <c r="C4864" s="227" t="inlineStr">
        <is>
          <t>Assurances voitures</t>
        </is>
      </c>
      <c r="D4864" s="233" t="inlineStr">
        <is>
          <t>39</t>
        </is>
      </c>
      <c r="E4864" s="233" t="inlineStr">
        <is>
          <t>40</t>
        </is>
      </c>
      <c r="F4864" s="227" t="inlineStr">
        <is>
          <t>HTR8</t>
        </is>
      </c>
    </row>
    <row r="4865">
      <c r="A4865" s="227">
        <f>TL[[#This Row],[Société]]&amp;" - "&amp;TL[[#This Row],[Compte]]</f>
        <v/>
      </c>
      <c r="B4865" s="233" t="inlineStr">
        <is>
          <t>61600300</t>
        </is>
      </c>
      <c r="C4865" s="227" t="inlineStr">
        <is>
          <t>Assurance cyber</t>
        </is>
      </c>
      <c r="D4865" s="233" t="inlineStr">
        <is>
          <t>33</t>
        </is>
      </c>
      <c r="E4865" s="233" t="inlineStr">
        <is>
          <t>36</t>
        </is>
      </c>
      <c r="F4865" s="227" t="inlineStr">
        <is>
          <t>HTR8</t>
        </is>
      </c>
    </row>
    <row r="4866">
      <c r="A4866" s="227">
        <f>TL[[#This Row],[Société]]&amp;" - "&amp;TL[[#This Row],[Compte]]</f>
        <v/>
      </c>
      <c r="B4866" s="233" t="inlineStr">
        <is>
          <t>61810000</t>
        </is>
      </c>
      <c r="C4866" s="227" t="inlineStr">
        <is>
          <t>Documentation générale</t>
        </is>
      </c>
      <c r="D4866" s="240" t="inlineStr">
        <is>
          <t>16</t>
        </is>
      </c>
      <c r="E4866" s="233" t="inlineStr">
        <is>
          <t>27</t>
        </is>
      </c>
      <c r="F4866" s="227" t="inlineStr">
        <is>
          <t>HTR8</t>
        </is>
      </c>
    </row>
    <row r="4867">
      <c r="A4867" s="227">
        <f>TL[[#This Row],[Société]]&amp;" - "&amp;TL[[#This Row],[Compte]]</f>
        <v/>
      </c>
      <c r="B4867" s="233" t="inlineStr">
        <is>
          <t>61811000</t>
        </is>
      </c>
      <c r="C4867" s="227" t="inlineStr">
        <is>
          <t>Journal ouest france</t>
        </is>
      </c>
      <c r="D4867" s="233" t="inlineStr">
        <is>
          <t>23</t>
        </is>
      </c>
      <c r="E4867" s="233" t="inlineStr">
        <is>
          <t>27</t>
        </is>
      </c>
      <c r="F4867" s="227" t="inlineStr">
        <is>
          <t>HTR8</t>
        </is>
      </c>
    </row>
    <row r="4868">
      <c r="A4868" s="227">
        <f>TL[[#This Row],[Société]]&amp;" - "&amp;TL[[#This Row],[Compte]]</f>
        <v/>
      </c>
      <c r="B4868" s="233" t="inlineStr">
        <is>
          <t>62140100</t>
        </is>
      </c>
      <c r="C4868" s="227" t="inlineStr">
        <is>
          <t>Prêt personnel équipiers</t>
        </is>
      </c>
      <c r="D4868" s="233" t="inlineStr">
        <is>
          <t>10</t>
        </is>
      </c>
      <c r="E4868" s="233" t="inlineStr">
        <is>
          <t>08</t>
        </is>
      </c>
      <c r="F4868" s="227" t="inlineStr">
        <is>
          <t>HTR8</t>
        </is>
      </c>
    </row>
    <row r="4869">
      <c r="A4869" s="227">
        <f>TL[[#This Row],[Société]]&amp;" - "&amp;TL[[#This Row],[Compte]]</f>
        <v/>
      </c>
      <c r="B4869" s="233" t="inlineStr">
        <is>
          <t>62140200</t>
        </is>
      </c>
      <c r="C4869" s="227" t="inlineStr">
        <is>
          <t>Prêt personnel manager</t>
        </is>
      </c>
      <c r="D4869" s="233" t="inlineStr">
        <is>
          <t>11</t>
        </is>
      </c>
      <c r="E4869" s="233" t="inlineStr">
        <is>
          <t>10</t>
        </is>
      </c>
      <c r="F4869" s="227" t="inlineStr">
        <is>
          <t>HTR8</t>
        </is>
      </c>
    </row>
    <row r="4870">
      <c r="A4870" s="227">
        <f>TL[[#This Row],[Société]]&amp;" - "&amp;TL[[#This Row],[Compte]]</f>
        <v/>
      </c>
      <c r="B4870" s="233" t="inlineStr">
        <is>
          <t>62140300</t>
        </is>
      </c>
      <c r="C4870" s="227" t="inlineStr">
        <is>
          <t>Sal brahim ligne 39</t>
        </is>
      </c>
      <c r="D4870" s="233" t="inlineStr">
        <is>
          <t>39</t>
        </is>
      </c>
      <c r="E4870" s="233" t="inlineStr">
        <is>
          <t>13</t>
        </is>
      </c>
      <c r="F4870" s="227" t="inlineStr">
        <is>
          <t>HTR8</t>
        </is>
      </c>
    </row>
    <row r="4871">
      <c r="A4871" s="227">
        <f>TL[[#This Row],[Société]]&amp;" - "&amp;TL[[#This Row],[Compte]]</f>
        <v/>
      </c>
      <c r="B4871" s="233" t="inlineStr">
        <is>
          <t>62140400</t>
        </is>
      </c>
      <c r="C4871" s="227" t="inlineStr">
        <is>
          <t>Prêt personnel resp formation</t>
        </is>
      </c>
      <c r="D4871" s="233" t="inlineStr">
        <is>
          <t>39</t>
        </is>
      </c>
      <c r="E4871" s="233" t="inlineStr">
        <is>
          <t>13</t>
        </is>
      </c>
      <c r="F4871" s="227" t="inlineStr">
        <is>
          <t>HTR8</t>
        </is>
      </c>
    </row>
    <row r="4872">
      <c r="A4872" s="227">
        <f>TL[[#This Row],[Société]]&amp;" - "&amp;TL[[#This Row],[Compte]]</f>
        <v/>
      </c>
      <c r="B4872" s="233" t="inlineStr">
        <is>
          <t>62140500</t>
        </is>
      </c>
      <c r="C4872" s="227" t="inlineStr">
        <is>
          <t>Prêt personnel technique</t>
        </is>
      </c>
      <c r="D4872" s="233" t="inlineStr">
        <is>
          <t>39</t>
        </is>
      </c>
      <c r="E4872" s="233" t="inlineStr">
        <is>
          <t>13</t>
        </is>
      </c>
      <c r="F4872" s="227" t="inlineStr">
        <is>
          <t>HTR8</t>
        </is>
      </c>
    </row>
    <row r="4873">
      <c r="A4873" s="227">
        <f>TL[[#This Row],[Société]]&amp;" - "&amp;TL[[#This Row],[Compte]]</f>
        <v/>
      </c>
      <c r="B4873" s="233" t="inlineStr">
        <is>
          <t>62140600</t>
        </is>
      </c>
      <c r="C4873" s="227" t="inlineStr">
        <is>
          <t>Prêt personnel marketing</t>
        </is>
      </c>
      <c r="D4873" s="233" t="inlineStr">
        <is>
          <t>39</t>
        </is>
      </c>
      <c r="E4873" s="233" t="inlineStr">
        <is>
          <t>13</t>
        </is>
      </c>
      <c r="F4873" s="227" t="inlineStr">
        <is>
          <t>HTR8</t>
        </is>
      </c>
    </row>
    <row r="4874">
      <c r="A4874" s="227">
        <f>TL[[#This Row],[Société]]&amp;" - "&amp;TL[[#This Row],[Compte]]</f>
        <v/>
      </c>
      <c r="B4874" s="233" t="inlineStr">
        <is>
          <t>62140700</t>
        </is>
      </c>
      <c r="C4874" s="227" t="inlineStr">
        <is>
          <t>Prêt pers.manag.charges</t>
        </is>
      </c>
      <c r="D4874" s="239" t="inlineStr">
        <is>
          <t>39</t>
        </is>
      </c>
      <c r="E4874" s="233" t="inlineStr">
        <is>
          <t>11</t>
        </is>
      </c>
      <c r="F4874" s="227" t="inlineStr">
        <is>
          <t>HTR8</t>
        </is>
      </c>
    </row>
    <row r="4875">
      <c r="A4875" s="227">
        <f>TL[[#This Row],[Société]]&amp;" - "&amp;TL[[#This Row],[Compte]]</f>
        <v/>
      </c>
      <c r="B4875" s="233" t="inlineStr">
        <is>
          <t>62260000</t>
        </is>
      </c>
      <c r="C4875" s="227" t="inlineStr">
        <is>
          <t>Honoraires comptables</t>
        </is>
      </c>
      <c r="D4875" s="233" t="inlineStr">
        <is>
          <t>32</t>
        </is>
      </c>
      <c r="E4875" s="233" t="inlineStr">
        <is>
          <t>35</t>
        </is>
      </c>
      <c r="F4875" s="227" t="inlineStr">
        <is>
          <t>HTR8</t>
        </is>
      </c>
    </row>
    <row r="4876">
      <c r="A4876" s="227">
        <f>TL[[#This Row],[Société]]&amp;" - "&amp;TL[[#This Row],[Compte]]</f>
        <v/>
      </c>
      <c r="B4876" s="233" t="inlineStr">
        <is>
          <t>62261000</t>
        </is>
      </c>
      <c r="C4876" s="227" t="inlineStr">
        <is>
          <t>Honoraires juridiques</t>
        </is>
      </c>
      <c r="D4876" s="233" t="inlineStr">
        <is>
          <t>32</t>
        </is>
      </c>
      <c r="E4876" s="233" t="inlineStr">
        <is>
          <t>35</t>
        </is>
      </c>
      <c r="F4876" s="227" t="inlineStr">
        <is>
          <t>HTR8</t>
        </is>
      </c>
    </row>
    <row r="4877">
      <c r="A4877" s="227">
        <f>TL[[#This Row],[Société]]&amp;" - "&amp;TL[[#This Row],[Compte]]</f>
        <v/>
      </c>
      <c r="B4877" s="233" t="inlineStr">
        <is>
          <t>62262000</t>
        </is>
      </c>
      <c r="C4877" s="227" t="inlineStr">
        <is>
          <t>Honoraires commissaire aux comptes</t>
        </is>
      </c>
      <c r="D4877" s="233" t="inlineStr">
        <is>
          <t>32</t>
        </is>
      </c>
      <c r="E4877" s="233" t="inlineStr">
        <is>
          <t>35</t>
        </is>
      </c>
      <c r="F4877" s="227" t="inlineStr">
        <is>
          <t>HTR8</t>
        </is>
      </c>
    </row>
    <row r="4878">
      <c r="A4878" s="227">
        <f>TL[[#This Row],[Société]]&amp;" - "&amp;TL[[#This Row],[Compte]]</f>
        <v/>
      </c>
      <c r="B4878" s="233" t="inlineStr">
        <is>
          <t>62263000</t>
        </is>
      </c>
      <c r="C4878" s="227" t="inlineStr">
        <is>
          <t>Honoraires divers</t>
        </is>
      </c>
      <c r="D4878" s="233" t="inlineStr">
        <is>
          <t>32</t>
        </is>
      </c>
      <c r="E4878" s="233" t="inlineStr">
        <is>
          <t>35</t>
        </is>
      </c>
      <c r="F4878" s="227" t="inlineStr">
        <is>
          <t>HTR8</t>
        </is>
      </c>
    </row>
    <row r="4879">
      <c r="A4879" s="227">
        <f>TL[[#This Row],[Société]]&amp;" - "&amp;TL[[#This Row],[Compte]]</f>
        <v/>
      </c>
      <c r="B4879" s="233" t="inlineStr">
        <is>
          <t>62270000</t>
        </is>
      </c>
      <c r="C4879" s="227" t="inlineStr">
        <is>
          <t>Frais d'actes et contentieux</t>
        </is>
      </c>
      <c r="D4879" s="233" t="inlineStr">
        <is>
          <t>32</t>
        </is>
      </c>
      <c r="E4879" s="233" t="inlineStr">
        <is>
          <t>35</t>
        </is>
      </c>
      <c r="F4879" s="227" t="inlineStr">
        <is>
          <t>HTR8</t>
        </is>
      </c>
    </row>
    <row r="4880">
      <c r="A4880" s="227">
        <f>TL[[#This Row],[Société]]&amp;" - "&amp;TL[[#This Row],[Compte]]</f>
        <v/>
      </c>
      <c r="B4880" s="233" t="inlineStr">
        <is>
          <t>62280000</t>
        </is>
      </c>
      <c r="C4880" s="227" t="inlineStr">
        <is>
          <t>Commissions UBER</t>
        </is>
      </c>
      <c r="D4880" s="233" t="inlineStr">
        <is>
          <t>32</t>
        </is>
      </c>
      <c r="E4880" s="233" t="inlineStr">
        <is>
          <t>21</t>
        </is>
      </c>
      <c r="F4880" s="227" t="inlineStr">
        <is>
          <t>HTR8</t>
        </is>
      </c>
    </row>
    <row r="4881">
      <c r="A4881" s="227">
        <f>TL[[#This Row],[Société]]&amp;" - "&amp;TL[[#This Row],[Compte]]</f>
        <v/>
      </c>
      <c r="B4881" s="233" t="inlineStr">
        <is>
          <t>62281000</t>
        </is>
      </c>
      <c r="C4881" s="227" t="inlineStr">
        <is>
          <t>Commissions DELIVEROO</t>
        </is>
      </c>
      <c r="D4881" s="233" t="inlineStr">
        <is>
          <t>32</t>
        </is>
      </c>
      <c r="E4881" s="233" t="inlineStr">
        <is>
          <t>21</t>
        </is>
      </c>
      <c r="F4881" s="227" t="inlineStr">
        <is>
          <t>HTR8</t>
        </is>
      </c>
    </row>
    <row r="4882">
      <c r="A4882" s="227">
        <f>TL[[#This Row],[Société]]&amp;" - "&amp;TL[[#This Row],[Compte]]</f>
        <v/>
      </c>
      <c r="B4882" s="233" t="inlineStr">
        <is>
          <t>62300000</t>
        </is>
      </c>
      <c r="C4882" s="227" t="inlineStr">
        <is>
          <t>Publicité gie mc do force</t>
        </is>
      </c>
      <c r="D4882" s="233" t="inlineStr">
        <is>
          <t>14</t>
        </is>
      </c>
      <c r="E4882" s="233" t="inlineStr">
        <is>
          <t>22</t>
        </is>
      </c>
      <c r="F4882" s="227" t="inlineStr">
        <is>
          <t>HTR8</t>
        </is>
      </c>
    </row>
    <row r="4883">
      <c r="A4883" s="227">
        <f>TL[[#This Row],[Société]]&amp;" - "&amp;TL[[#This Row],[Compte]]</f>
        <v/>
      </c>
      <c r="B4883" s="233" t="inlineStr">
        <is>
          <t>62300200</t>
        </is>
      </c>
      <c r="C4883" s="227" t="inlineStr">
        <is>
          <t>Promotion locale</t>
        </is>
      </c>
      <c r="D4883" s="233" t="inlineStr">
        <is>
          <t>15</t>
        </is>
      </c>
      <c r="E4883" s="233" t="inlineStr">
        <is>
          <t>23</t>
        </is>
      </c>
      <c r="F4883" s="227" t="inlineStr">
        <is>
          <t>HTR8</t>
        </is>
      </c>
    </row>
    <row r="4884">
      <c r="A4884" s="227">
        <f>TL[[#This Row],[Société]]&amp;" - "&amp;TL[[#This Row],[Compte]]</f>
        <v/>
      </c>
      <c r="B4884" s="233" t="inlineStr">
        <is>
          <t>62320000</t>
        </is>
      </c>
      <c r="C4884" s="227" t="inlineStr">
        <is>
          <t>Echantillons</t>
        </is>
      </c>
      <c r="F4884" s="227" t="inlineStr">
        <is>
          <t>HTR8</t>
        </is>
      </c>
    </row>
    <row r="4885">
      <c r="A4885" s="227">
        <f>TL[[#This Row],[Société]]&amp;" - "&amp;TL[[#This Row],[Compte]]</f>
        <v/>
      </c>
      <c r="B4885" s="233" t="inlineStr">
        <is>
          <t>62340000</t>
        </is>
      </c>
      <c r="C4885" s="227" t="inlineStr">
        <is>
          <t>Cadeaux</t>
        </is>
      </c>
      <c r="D4885" s="233" t="inlineStr">
        <is>
          <t>23</t>
        </is>
      </c>
      <c r="E4885" s="233" t="inlineStr">
        <is>
          <t>23</t>
        </is>
      </c>
      <c r="F4885" s="227" t="inlineStr">
        <is>
          <t>HTR8</t>
        </is>
      </c>
    </row>
    <row r="4886">
      <c r="A4886" s="227">
        <f>TL[[#This Row],[Société]]&amp;" - "&amp;TL[[#This Row],[Compte]]</f>
        <v/>
      </c>
      <c r="B4886" s="233" t="inlineStr">
        <is>
          <t>62340100</t>
        </is>
      </c>
      <c r="C4886" s="227" t="inlineStr">
        <is>
          <t>Promotions</t>
        </is>
      </c>
      <c r="D4886" s="233" t="inlineStr">
        <is>
          <t>15</t>
        </is>
      </c>
      <c r="E4886" s="233" t="inlineStr">
        <is>
          <t>23</t>
        </is>
      </c>
      <c r="F4886" s="227" t="inlineStr">
        <is>
          <t>HTR8</t>
        </is>
      </c>
    </row>
    <row r="4887">
      <c r="A4887" s="227">
        <f>TL[[#This Row],[Société]]&amp;" - "&amp;TL[[#This Row],[Compte]]</f>
        <v/>
      </c>
      <c r="B4887" s="233" t="inlineStr">
        <is>
          <t>62341500</t>
        </is>
      </c>
      <c r="C4887" s="227" t="inlineStr">
        <is>
          <t>Premium</t>
        </is>
      </c>
      <c r="D4887" s="233" t="inlineStr">
        <is>
          <t>15</t>
        </is>
      </c>
      <c r="E4887" s="233" t="inlineStr">
        <is>
          <t>23</t>
        </is>
      </c>
      <c r="F4887" s="227" t="inlineStr">
        <is>
          <t>HTR8</t>
        </is>
      </c>
    </row>
    <row r="4888">
      <c r="A4888" s="227">
        <f>TL[[#This Row],[Société]]&amp;" - "&amp;TL[[#This Row],[Compte]]</f>
        <v/>
      </c>
      <c r="B4888" s="233" t="inlineStr">
        <is>
          <t>62410000</t>
        </is>
      </c>
      <c r="C4888" s="227" t="inlineStr">
        <is>
          <t>Transports sur achats</t>
        </is>
      </c>
      <c r="D4888" s="233" t="inlineStr">
        <is>
          <t>06</t>
        </is>
      </c>
      <c r="E4888" s="233" t="inlineStr">
        <is>
          <t>40</t>
        </is>
      </c>
      <c r="F4888" s="227" t="inlineStr">
        <is>
          <t>HTR8</t>
        </is>
      </c>
    </row>
    <row r="4889">
      <c r="A4889" s="227">
        <f>TL[[#This Row],[Société]]&amp;" - "&amp;TL[[#This Row],[Compte]]</f>
        <v/>
      </c>
      <c r="B4889" s="233" t="inlineStr">
        <is>
          <t>62510000</t>
        </is>
      </c>
      <c r="C4889" s="227" t="inlineStr">
        <is>
          <t>Voyages et deplacements</t>
        </is>
      </c>
      <c r="D4889" s="233" t="inlineStr">
        <is>
          <t>13</t>
        </is>
      </c>
      <c r="E4889" s="233" t="inlineStr">
        <is>
          <t>27</t>
        </is>
      </c>
      <c r="F4889" s="227" t="inlineStr">
        <is>
          <t>HTR8</t>
        </is>
      </c>
    </row>
    <row r="4890">
      <c r="A4890" s="227">
        <f>TL[[#This Row],[Société]]&amp;" - "&amp;TL[[#This Row],[Compte]]</f>
        <v/>
      </c>
      <c r="B4890" s="233" t="inlineStr">
        <is>
          <t>62520100</t>
        </is>
      </c>
      <c r="C4890" s="227" t="inlineStr">
        <is>
          <t>Frais déplacement équipiers</t>
        </is>
      </c>
      <c r="D4890" s="233" t="inlineStr">
        <is>
          <t>13</t>
        </is>
      </c>
      <c r="E4890" s="233" t="inlineStr">
        <is>
          <t>26</t>
        </is>
      </c>
      <c r="F4890" s="227" t="inlineStr">
        <is>
          <t>HTR8</t>
        </is>
      </c>
    </row>
    <row r="4891">
      <c r="A4891" s="227">
        <f>TL[[#This Row],[Société]]&amp;" - "&amp;TL[[#This Row],[Compte]]</f>
        <v/>
      </c>
      <c r="B4891" s="233" t="inlineStr">
        <is>
          <t>62520400</t>
        </is>
      </c>
      <c r="C4891" s="227" t="inlineStr">
        <is>
          <t>Frais de deplacement mgrs</t>
        </is>
      </c>
      <c r="D4891" s="233" t="inlineStr">
        <is>
          <t>13</t>
        </is>
      </c>
      <c r="E4891" s="233" t="inlineStr">
        <is>
          <t>26</t>
        </is>
      </c>
      <c r="F4891" s="227" t="inlineStr">
        <is>
          <t>HTR8</t>
        </is>
      </c>
    </row>
    <row r="4892">
      <c r="A4892" s="227">
        <f>TL[[#This Row],[Société]]&amp;" - "&amp;TL[[#This Row],[Compte]]</f>
        <v/>
      </c>
      <c r="B4892" s="233" t="inlineStr">
        <is>
          <t>62520500</t>
        </is>
      </c>
      <c r="C4892" s="227" t="inlineStr">
        <is>
          <t>Frais phoeuk bun rath</t>
        </is>
      </c>
      <c r="D4892" s="233" t="inlineStr">
        <is>
          <t>39</t>
        </is>
      </c>
      <c r="E4892" s="233" t="inlineStr">
        <is>
          <t>40</t>
        </is>
      </c>
      <c r="F4892" s="227" t="inlineStr">
        <is>
          <t>HTR8</t>
        </is>
      </c>
    </row>
    <row r="4893">
      <c r="A4893" s="227">
        <f>TL[[#This Row],[Société]]&amp;" - "&amp;TL[[#This Row],[Compte]]</f>
        <v/>
      </c>
      <c r="B4893" s="233" t="inlineStr">
        <is>
          <t>62570000</t>
        </is>
      </c>
      <c r="C4893" s="227" t="inlineStr">
        <is>
          <t>Receptions</t>
        </is>
      </c>
      <c r="D4893" s="233" t="inlineStr">
        <is>
          <t>13</t>
        </is>
      </c>
      <c r="E4893" s="233" t="inlineStr">
        <is>
          <t>26</t>
        </is>
      </c>
      <c r="F4893" s="227" t="inlineStr">
        <is>
          <t>HTR8</t>
        </is>
      </c>
    </row>
    <row r="4894">
      <c r="A4894" s="227">
        <f>TL[[#This Row],[Société]]&amp;" - "&amp;TL[[#This Row],[Compte]]</f>
        <v/>
      </c>
      <c r="B4894" s="233" t="inlineStr">
        <is>
          <t>62610000</t>
        </is>
      </c>
      <c r="C4894" s="227" t="inlineStr">
        <is>
          <t>Frais postaux</t>
        </is>
      </c>
      <c r="D4894" s="233" t="inlineStr">
        <is>
          <t>21</t>
        </is>
      </c>
      <c r="E4894" s="233" t="inlineStr">
        <is>
          <t>27</t>
        </is>
      </c>
      <c r="F4894" s="227" t="inlineStr">
        <is>
          <t>HTR8</t>
        </is>
      </c>
    </row>
    <row r="4895">
      <c r="A4895" s="227">
        <f>TL[[#This Row],[Société]]&amp;" - "&amp;TL[[#This Row],[Compte]]</f>
        <v/>
      </c>
      <c r="B4895" s="233" t="inlineStr">
        <is>
          <t>62620000</t>
        </is>
      </c>
      <c r="C4895" s="227" t="inlineStr">
        <is>
          <t>Telephone</t>
        </is>
      </c>
      <c r="D4895" s="233" t="inlineStr">
        <is>
          <t>20</t>
        </is>
      </c>
      <c r="E4895" s="233" t="inlineStr">
        <is>
          <t>24</t>
        </is>
      </c>
      <c r="F4895" s="227" t="inlineStr">
        <is>
          <t>HTR8</t>
        </is>
      </c>
    </row>
    <row r="4896">
      <c r="A4896" s="227">
        <f>TL[[#This Row],[Société]]&amp;" - "&amp;TL[[#This Row],[Compte]]</f>
        <v/>
      </c>
      <c r="B4896" s="233" t="inlineStr">
        <is>
          <t>62700100</t>
        </is>
      </c>
      <c r="C4896" s="227" t="inlineStr">
        <is>
          <t>Comm.bancaire npu</t>
        </is>
      </c>
      <c r="D4896" s="233" t="inlineStr">
        <is>
          <t>37</t>
        </is>
      </c>
      <c r="E4896" s="233" t="inlineStr">
        <is>
          <t>17</t>
        </is>
      </c>
      <c r="F4896" s="227" t="inlineStr">
        <is>
          <t>HTR8</t>
        </is>
      </c>
    </row>
    <row r="4897">
      <c r="A4897" s="227">
        <f>TL[[#This Row],[Société]]&amp;" - "&amp;TL[[#This Row],[Compte]]</f>
        <v/>
      </c>
      <c r="B4897" s="233" t="inlineStr">
        <is>
          <t>62700200</t>
        </is>
      </c>
      <c r="C4897" s="227" t="inlineStr">
        <is>
          <t>Comm. cb npu</t>
        </is>
      </c>
      <c r="D4897" s="233" t="inlineStr">
        <is>
          <t>37</t>
        </is>
      </c>
      <c r="E4897" s="233" t="inlineStr">
        <is>
          <t>17</t>
        </is>
      </c>
      <c r="F4897" s="227" t="inlineStr">
        <is>
          <t>HTR8</t>
        </is>
      </c>
    </row>
    <row r="4898">
      <c r="A4898" s="227">
        <f>TL[[#This Row],[Société]]&amp;" - "&amp;TL[[#This Row],[Compte]]</f>
        <v/>
      </c>
      <c r="B4898" s="233" t="inlineStr">
        <is>
          <t>62720000</t>
        </is>
      </c>
      <c r="C4898" s="227" t="inlineStr">
        <is>
          <t>Commissions sur emprunts</t>
        </is>
      </c>
      <c r="D4898" s="233" t="inlineStr">
        <is>
          <t>37</t>
        </is>
      </c>
      <c r="E4898" s="233" t="inlineStr">
        <is>
          <t>17</t>
        </is>
      </c>
      <c r="F4898" s="227" t="inlineStr">
        <is>
          <t>HTR8</t>
        </is>
      </c>
    </row>
    <row r="4899">
      <c r="A4899" s="227">
        <f>TL[[#This Row],[Société]]&amp;" - "&amp;TL[[#This Row],[Compte]]</f>
        <v/>
      </c>
      <c r="B4899" s="233" t="inlineStr">
        <is>
          <t>62780100</t>
        </is>
      </c>
      <c r="C4899" s="227" t="inlineStr">
        <is>
          <t>Frais et services bancaires</t>
        </is>
      </c>
      <c r="D4899" s="233" t="inlineStr">
        <is>
          <t>37</t>
        </is>
      </c>
      <c r="E4899" s="233" t="inlineStr">
        <is>
          <t>17</t>
        </is>
      </c>
      <c r="F4899" s="227" t="inlineStr">
        <is>
          <t>HTR8</t>
        </is>
      </c>
    </row>
    <row r="4900">
      <c r="A4900" s="227">
        <f>TL[[#This Row],[Société]]&amp;" - "&amp;TL[[#This Row],[Compte]]</f>
        <v/>
      </c>
      <c r="B4900" s="233" t="inlineStr">
        <is>
          <t>62780200</t>
        </is>
      </c>
      <c r="C4900" s="227" t="inlineStr">
        <is>
          <t>Commissions cartes bleues</t>
        </is>
      </c>
      <c r="D4900" s="233" t="inlineStr">
        <is>
          <t>37</t>
        </is>
      </c>
      <c r="E4900" s="233" t="inlineStr">
        <is>
          <t>17</t>
        </is>
      </c>
      <c r="F4900" s="227" t="inlineStr">
        <is>
          <t>HTR8</t>
        </is>
      </c>
    </row>
    <row r="4901">
      <c r="A4901" s="227">
        <f>TL[[#This Row],[Société]]&amp;" - "&amp;TL[[#This Row],[Compte]]</f>
        <v/>
      </c>
      <c r="B4901" s="233" t="inlineStr">
        <is>
          <t>62780300</t>
        </is>
      </c>
      <c r="C4901" s="227" t="inlineStr">
        <is>
          <t>Commissions tr</t>
        </is>
      </c>
      <c r="D4901" s="233" t="inlineStr">
        <is>
          <t>37</t>
        </is>
      </c>
      <c r="E4901" s="233" t="inlineStr">
        <is>
          <t>17</t>
        </is>
      </c>
      <c r="F4901" s="227" t="inlineStr">
        <is>
          <t>HTR8</t>
        </is>
      </c>
    </row>
    <row r="4902">
      <c r="A4902" s="227">
        <f>TL[[#This Row],[Société]]&amp;" - "&amp;TL[[#This Row],[Compte]]</f>
        <v/>
      </c>
      <c r="B4902" s="233" t="inlineStr">
        <is>
          <t>62780400</t>
        </is>
      </c>
      <c r="C4902" s="227" t="inlineStr">
        <is>
          <t>Commissions cv</t>
        </is>
      </c>
      <c r="D4902" s="233" t="inlineStr">
        <is>
          <t>37</t>
        </is>
      </c>
      <c r="E4902" s="233" t="inlineStr">
        <is>
          <t>17</t>
        </is>
      </c>
      <c r="F4902" s="227" t="inlineStr">
        <is>
          <t>HTR8</t>
        </is>
      </c>
    </row>
    <row r="4903">
      <c r="A4903" s="227">
        <f>TL[[#This Row],[Société]]&amp;" - "&amp;TL[[#This Row],[Compte]]</f>
        <v/>
      </c>
      <c r="B4903" s="233" t="inlineStr">
        <is>
          <t>62780600</t>
        </is>
      </c>
      <c r="C4903" s="227" t="inlineStr">
        <is>
          <t>Commissions paypal</t>
        </is>
      </c>
      <c r="D4903" s="233" t="inlineStr">
        <is>
          <t>37</t>
        </is>
      </c>
      <c r="E4903" s="233" t="inlineStr">
        <is>
          <t>17</t>
        </is>
      </c>
      <c r="F4903" s="227" t="inlineStr">
        <is>
          <t>HTR8</t>
        </is>
      </c>
    </row>
    <row r="4904">
      <c r="A4904" s="227">
        <f>TL[[#This Row],[Société]]&amp;" - "&amp;TL[[#This Row],[Compte]]</f>
        <v/>
      </c>
      <c r="B4904" s="233" t="inlineStr">
        <is>
          <t>62802300</t>
        </is>
      </c>
      <c r="C4904" s="227" t="inlineStr">
        <is>
          <t>Divers</t>
        </is>
      </c>
      <c r="D4904" s="233" t="inlineStr">
        <is>
          <t>23</t>
        </is>
      </c>
      <c r="E4904" s="233" t="inlineStr">
        <is>
          <t>27</t>
        </is>
      </c>
      <c r="F4904" s="227" t="inlineStr">
        <is>
          <t>HTR8</t>
        </is>
      </c>
    </row>
    <row r="4905">
      <c r="A4905" s="227">
        <f>TL[[#This Row],[Société]]&amp;" - "&amp;TL[[#This Row],[Compte]]</f>
        <v/>
      </c>
      <c r="B4905" s="233" t="inlineStr">
        <is>
          <t>62802400</t>
        </is>
      </c>
      <c r="C4905" s="227" t="inlineStr">
        <is>
          <t>Achat coupons cinema</t>
        </is>
      </c>
      <c r="D4905" s="233" t="inlineStr">
        <is>
          <t>62</t>
        </is>
      </c>
      <c r="E4905" s="233" t="inlineStr">
        <is>
          <t>51</t>
        </is>
      </c>
      <c r="F4905" s="227" t="inlineStr">
        <is>
          <t>HTR8</t>
        </is>
      </c>
    </row>
    <row r="4906">
      <c r="A4906" s="227">
        <f>TL[[#This Row],[Société]]&amp;" - "&amp;TL[[#This Row],[Compte]]</f>
        <v/>
      </c>
      <c r="B4906" s="233" t="inlineStr">
        <is>
          <t>62820000</t>
        </is>
      </c>
      <c r="C4906" s="227" t="inlineStr">
        <is>
          <t>Sous-traitance comptable</t>
        </is>
      </c>
      <c r="F4906" s="227" t="inlineStr">
        <is>
          <t>HTR8</t>
        </is>
      </c>
    </row>
    <row r="4907">
      <c r="A4907" s="227">
        <f>TL[[#This Row],[Société]]&amp;" - "&amp;TL[[#This Row],[Compte]]</f>
        <v/>
      </c>
      <c r="B4907" s="233" t="inlineStr">
        <is>
          <t>62821000</t>
        </is>
      </c>
      <c r="C4907" s="227" t="inlineStr">
        <is>
          <t>Fact gth 14 frais fonctionnement gt</t>
        </is>
      </c>
      <c r="D4907" s="233" t="inlineStr">
        <is>
          <t>51</t>
        </is>
      </c>
      <c r="E4907" s="233" t="inlineStr">
        <is>
          <t>46</t>
        </is>
      </c>
      <c r="F4907" s="227" t="inlineStr">
        <is>
          <t>HTR8</t>
        </is>
      </c>
    </row>
    <row r="4908">
      <c r="A4908" s="227">
        <f>TL[[#This Row],[Société]]&amp;" - "&amp;TL[[#This Row],[Compte]]</f>
        <v/>
      </c>
      <c r="B4908" s="233" t="inlineStr">
        <is>
          <t>62822000</t>
        </is>
      </c>
      <c r="C4908" s="227" t="inlineStr">
        <is>
          <t>Assistance financiere rth 76</t>
        </is>
      </c>
      <c r="D4908" s="233" t="inlineStr">
        <is>
          <t>51</t>
        </is>
      </c>
      <c r="E4908" s="233" t="inlineStr">
        <is>
          <t>46</t>
        </is>
      </c>
      <c r="F4908" s="227" t="inlineStr">
        <is>
          <t>HTR8</t>
        </is>
      </c>
    </row>
    <row r="4909">
      <c r="A4909" s="227">
        <f>TL[[#This Row],[Société]]&amp;" - "&amp;TL[[#This Row],[Compte]]</f>
        <v/>
      </c>
      <c r="B4909" s="233" t="inlineStr">
        <is>
          <t>62830000</t>
        </is>
      </c>
      <c r="C4909" s="227" t="inlineStr">
        <is>
          <t>Travaux de gardiennage</t>
        </is>
      </c>
      <c r="F4909" s="227" t="inlineStr">
        <is>
          <t>HTR8</t>
        </is>
      </c>
    </row>
    <row r="4910">
      <c r="A4910" s="227">
        <f>TL[[#This Row],[Société]]&amp;" - "&amp;TL[[#This Row],[Compte]]</f>
        <v/>
      </c>
      <c r="B4910" s="233" t="inlineStr">
        <is>
          <t>62840000</t>
        </is>
      </c>
      <c r="C4910" s="227" t="inlineStr">
        <is>
          <t>Formations extérieures</t>
        </is>
      </c>
      <c r="D4910" s="233" t="inlineStr">
        <is>
          <t>34</t>
        </is>
      </c>
      <c r="E4910" s="233" t="inlineStr">
        <is>
          <t>19</t>
        </is>
      </c>
      <c r="F4910" s="227" t="inlineStr">
        <is>
          <t>HTR8</t>
        </is>
      </c>
    </row>
    <row r="4911">
      <c r="A4911" s="227">
        <f>TL[[#This Row],[Société]]&amp;" - "&amp;TL[[#This Row],[Compte]]</f>
        <v/>
      </c>
      <c r="B4911" s="233" t="inlineStr">
        <is>
          <t>62850000</t>
        </is>
      </c>
      <c r="C4911" s="227" t="inlineStr">
        <is>
          <t>Redevance Mungu</t>
        </is>
      </c>
      <c r="D4911" s="233" t="inlineStr">
        <is>
          <t>51</t>
        </is>
      </c>
      <c r="E4911" s="233" t="inlineStr">
        <is>
          <t>46</t>
        </is>
      </c>
      <c r="F4911" s="227" t="inlineStr">
        <is>
          <t>HTR8</t>
        </is>
      </c>
    </row>
    <row r="4912">
      <c r="A4912" s="227">
        <f>TL[[#This Row],[Société]]&amp;" - "&amp;TL[[#This Row],[Compte]]</f>
        <v/>
      </c>
      <c r="B4912" s="233" t="inlineStr">
        <is>
          <t>63120000</t>
        </is>
      </c>
      <c r="C4912" s="227" t="inlineStr">
        <is>
          <t>SALAIRES 10/2022</t>
        </is>
      </c>
      <c r="F4912" s="227" t="inlineStr">
        <is>
          <t>HTR8</t>
        </is>
      </c>
    </row>
    <row r="4913">
      <c r="A4913" s="227">
        <f>TL[[#This Row],[Société]]&amp;" - "&amp;TL[[#This Row],[Compte]]</f>
        <v/>
      </c>
      <c r="B4913" s="233" t="inlineStr">
        <is>
          <t>63330000</t>
        </is>
      </c>
      <c r="C4913" s="227" t="inlineStr">
        <is>
          <t>Formation continue</t>
        </is>
      </c>
      <c r="D4913" s="233" t="inlineStr">
        <is>
          <t>34</t>
        </is>
      </c>
      <c r="E4913" s="233" t="inlineStr">
        <is>
          <t>37</t>
        </is>
      </c>
      <c r="F4913" s="227" t="inlineStr">
        <is>
          <t>HTR8</t>
        </is>
      </c>
    </row>
    <row r="4914">
      <c r="A4914" s="227">
        <f>TL[[#This Row],[Société]]&amp;" - "&amp;TL[[#This Row],[Compte]]</f>
        <v/>
      </c>
      <c r="B4914" s="233" t="inlineStr">
        <is>
          <t>63340000</t>
        </is>
      </c>
      <c r="C4914" s="227" t="inlineStr">
        <is>
          <t>Effort de construction</t>
        </is>
      </c>
      <c r="D4914" s="233" t="inlineStr">
        <is>
          <t>34</t>
        </is>
      </c>
      <c r="E4914" s="233" t="inlineStr">
        <is>
          <t>37</t>
        </is>
      </c>
      <c r="F4914" s="227" t="inlineStr">
        <is>
          <t>HTR8</t>
        </is>
      </c>
    </row>
    <row r="4915">
      <c r="A4915" s="227">
        <f>TL[[#This Row],[Société]]&amp;" - "&amp;TL[[#This Row],[Compte]]</f>
        <v/>
      </c>
      <c r="B4915" s="233" t="inlineStr">
        <is>
          <t>63350000</t>
        </is>
      </c>
      <c r="C4915" s="227" t="inlineStr">
        <is>
          <t>Taxe d'apprentissage</t>
        </is>
      </c>
      <c r="D4915" s="233" t="inlineStr">
        <is>
          <t>34</t>
        </is>
      </c>
      <c r="E4915" s="233" t="inlineStr">
        <is>
          <t>37</t>
        </is>
      </c>
      <c r="F4915" s="227" t="inlineStr">
        <is>
          <t>HTR8</t>
        </is>
      </c>
    </row>
    <row r="4916">
      <c r="A4916" s="227">
        <f>TL[[#This Row],[Société]]&amp;" - "&amp;TL[[#This Row],[Compte]]</f>
        <v/>
      </c>
      <c r="B4916" s="233" t="inlineStr">
        <is>
          <t>63511100</t>
        </is>
      </c>
      <c r="C4916" s="227" t="inlineStr">
        <is>
          <t>Contribution foncière entreprises</t>
        </is>
      </c>
      <c r="D4916" s="233" t="inlineStr">
        <is>
          <t>34</t>
        </is>
      </c>
      <c r="E4916" s="233" t="inlineStr">
        <is>
          <t>37</t>
        </is>
      </c>
      <c r="F4916" s="227" t="inlineStr">
        <is>
          <t>HTR8</t>
        </is>
      </c>
    </row>
    <row r="4917">
      <c r="A4917" s="227">
        <f>TL[[#This Row],[Société]]&amp;" - "&amp;TL[[#This Row],[Compte]]</f>
        <v/>
      </c>
      <c r="B4917" s="233" t="inlineStr">
        <is>
          <t>63511200</t>
        </is>
      </c>
      <c r="C4917" s="227" t="inlineStr">
        <is>
          <t>Contrib. valeur ajoutée entreprises</t>
        </is>
      </c>
      <c r="D4917" s="233" t="inlineStr">
        <is>
          <t>34</t>
        </is>
      </c>
      <c r="E4917" s="233" t="inlineStr">
        <is>
          <t>37</t>
        </is>
      </c>
      <c r="F4917" s="227" t="inlineStr">
        <is>
          <t>HTR8</t>
        </is>
      </c>
    </row>
    <row r="4918">
      <c r="A4918" s="227">
        <f>TL[[#This Row],[Société]]&amp;" - "&amp;TL[[#This Row],[Compte]]</f>
        <v/>
      </c>
      <c r="B4918" s="233" t="inlineStr">
        <is>
          <t>63514000</t>
        </is>
      </c>
      <c r="C4918" s="227" t="inlineStr">
        <is>
          <t>Taxes sur les véhicules sociétés</t>
        </is>
      </c>
      <c r="D4918" s="233" t="inlineStr">
        <is>
          <t>34</t>
        </is>
      </c>
      <c r="E4918" s="233" t="inlineStr">
        <is>
          <t>37</t>
        </is>
      </c>
      <c r="F4918" s="227" t="inlineStr">
        <is>
          <t>HTR8</t>
        </is>
      </c>
    </row>
    <row r="4919">
      <c r="A4919" s="227">
        <f>TL[[#This Row],[Société]]&amp;" - "&amp;TL[[#This Row],[Compte]]</f>
        <v/>
      </c>
      <c r="B4919" s="233" t="inlineStr">
        <is>
          <t>63551100</t>
        </is>
      </c>
      <c r="C4919" s="227" t="inlineStr">
        <is>
          <t>Contribution sur boissons sucrées</t>
        </is>
      </c>
      <c r="D4919" s="233" t="inlineStr">
        <is>
          <t>09</t>
        </is>
      </c>
      <c r="E4919" s="233" t="inlineStr">
        <is>
          <t>03</t>
        </is>
      </c>
      <c r="F4919" s="227" t="inlineStr">
        <is>
          <t>HTR8</t>
        </is>
      </c>
    </row>
    <row r="4920">
      <c r="A4920" s="227">
        <f>TL[[#This Row],[Société]]&amp;" - "&amp;TL[[#This Row],[Compte]]</f>
        <v/>
      </c>
      <c r="B4920" s="233" t="inlineStr">
        <is>
          <t>63553000</t>
        </is>
      </c>
      <c r="C4920" s="227" t="inlineStr">
        <is>
          <t>Taxe publicite exterieure</t>
        </is>
      </c>
      <c r="D4920" s="233" t="inlineStr">
        <is>
          <t>34</t>
        </is>
      </c>
      <c r="E4920" s="233" t="inlineStr">
        <is>
          <t>37</t>
        </is>
      </c>
      <c r="F4920" s="227" t="inlineStr">
        <is>
          <t>HTR8</t>
        </is>
      </c>
    </row>
    <row r="4921">
      <c r="A4921" s="227">
        <f>TL[[#This Row],[Société]]&amp;" - "&amp;TL[[#This Row],[Compte]]</f>
        <v/>
      </c>
      <c r="B4921" s="233" t="inlineStr">
        <is>
          <t>63710000</t>
        </is>
      </c>
      <c r="C4921" s="227" t="inlineStr">
        <is>
          <t>Contribution sociale de solidarité</t>
        </is>
      </c>
      <c r="D4921" s="233" t="inlineStr">
        <is>
          <t>34</t>
        </is>
      </c>
      <c r="E4921" s="233" t="inlineStr">
        <is>
          <t>37</t>
        </is>
      </c>
      <c r="F4921" s="227" t="inlineStr">
        <is>
          <t>HTR8</t>
        </is>
      </c>
    </row>
    <row r="4922">
      <c r="A4922" s="227">
        <f>TL[[#This Row],[Société]]&amp;" - "&amp;TL[[#This Row],[Compte]]</f>
        <v/>
      </c>
      <c r="B4922" s="233" t="inlineStr">
        <is>
          <t>63730000</t>
        </is>
      </c>
      <c r="C4922" s="227" t="inlineStr">
        <is>
          <t>Agefiph</t>
        </is>
      </c>
      <c r="D4922" s="233" t="inlineStr">
        <is>
          <t>34</t>
        </is>
      </c>
      <c r="E4922" s="233" t="inlineStr">
        <is>
          <t>37</t>
        </is>
      </c>
      <c r="F4922" s="227" t="inlineStr">
        <is>
          <t>HTR8</t>
        </is>
      </c>
    </row>
    <row r="4923">
      <c r="A4923" s="227">
        <f>TL[[#This Row],[Société]]&amp;" - "&amp;TL[[#This Row],[Compte]]</f>
        <v/>
      </c>
      <c r="B4923" s="233" t="inlineStr">
        <is>
          <t>63780000</t>
        </is>
      </c>
      <c r="C4923" s="227" t="inlineStr">
        <is>
          <t>Taxes diverses</t>
        </is>
      </c>
      <c r="D4923" s="233" t="inlineStr">
        <is>
          <t>34</t>
        </is>
      </c>
      <c r="E4923" s="233" t="inlineStr">
        <is>
          <t>37</t>
        </is>
      </c>
      <c r="F4923" s="227" t="inlineStr">
        <is>
          <t>HTR8</t>
        </is>
      </c>
    </row>
    <row r="4924">
      <c r="A4924" s="227">
        <f>TL[[#This Row],[Société]]&amp;" - "&amp;TL[[#This Row],[Compte]]</f>
        <v/>
      </c>
      <c r="B4924" s="233" t="inlineStr">
        <is>
          <t>64110000</t>
        </is>
      </c>
      <c r="C4924" s="227" t="inlineStr">
        <is>
          <t>SALAIRES 10/2022</t>
        </is>
      </c>
      <c r="F4924" s="227" t="inlineStr">
        <is>
          <t>HTR8</t>
        </is>
      </c>
    </row>
    <row r="4925">
      <c r="A4925" s="227">
        <f>TL[[#This Row],[Société]]&amp;" - "&amp;TL[[#This Row],[Compte]]</f>
        <v/>
      </c>
      <c r="B4925" s="233" t="inlineStr">
        <is>
          <t>64110100</t>
        </is>
      </c>
      <c r="C4925" s="227" t="inlineStr">
        <is>
          <t>Salaires equipiers</t>
        </is>
      </c>
      <c r="D4925" s="233" t="inlineStr">
        <is>
          <t>10</t>
        </is>
      </c>
      <c r="E4925" s="233" t="inlineStr">
        <is>
          <t>08</t>
        </is>
      </c>
      <c r="F4925" s="227" t="inlineStr">
        <is>
          <t>HTR8</t>
        </is>
      </c>
    </row>
    <row r="4926">
      <c r="A4926" s="227">
        <f>TL[[#This Row],[Société]]&amp;" - "&amp;TL[[#This Row],[Compte]]</f>
        <v/>
      </c>
      <c r="B4926" s="233" t="inlineStr">
        <is>
          <t>64110400</t>
        </is>
      </c>
      <c r="C4926" s="227" t="inlineStr">
        <is>
          <t>Salaires managers</t>
        </is>
      </c>
      <c r="D4926" s="233" t="inlineStr">
        <is>
          <t>11</t>
        </is>
      </c>
      <c r="E4926" s="233" t="inlineStr">
        <is>
          <t>10</t>
        </is>
      </c>
      <c r="F4926" s="227" t="inlineStr">
        <is>
          <t>HTR8</t>
        </is>
      </c>
    </row>
    <row r="4927">
      <c r="A4927" s="227">
        <f>TL[[#This Row],[Société]]&amp;" - "&amp;TL[[#This Row],[Compte]]</f>
        <v/>
      </c>
      <c r="B4927" s="233" t="inlineStr">
        <is>
          <t>64120000</t>
        </is>
      </c>
      <c r="C4927" s="227" t="inlineStr">
        <is>
          <t>Prov congés payés équipiers</t>
        </is>
      </c>
      <c r="D4927" s="233" t="inlineStr">
        <is>
          <t>10</t>
        </is>
      </c>
      <c r="E4927" s="233" t="inlineStr">
        <is>
          <t>08</t>
        </is>
      </c>
      <c r="F4927" s="227" t="inlineStr">
        <is>
          <t>HTR8</t>
        </is>
      </c>
    </row>
    <row r="4928">
      <c r="A4928" s="227">
        <f>TL[[#This Row],[Société]]&amp;" - "&amp;TL[[#This Row],[Compte]]</f>
        <v/>
      </c>
      <c r="B4928" s="233" t="inlineStr">
        <is>
          <t>64121000</t>
        </is>
      </c>
      <c r="C4928" s="227" t="inlineStr">
        <is>
          <t>Prov conges managers</t>
        </is>
      </c>
      <c r="D4928" s="233" t="inlineStr">
        <is>
          <t>11</t>
        </is>
      </c>
      <c r="E4928" s="233" t="inlineStr">
        <is>
          <t>10</t>
        </is>
      </c>
      <c r="F4928" s="227" t="inlineStr">
        <is>
          <t>HTR8</t>
        </is>
      </c>
    </row>
    <row r="4929">
      <c r="A4929" s="227">
        <f>TL[[#This Row],[Société]]&amp;" - "&amp;TL[[#This Row],[Compte]]</f>
        <v/>
      </c>
      <c r="B4929" s="233" t="inlineStr">
        <is>
          <t>64130000</t>
        </is>
      </c>
      <c r="C4929" s="227" t="inlineStr">
        <is>
          <t>Primes et gratifications</t>
        </is>
      </c>
      <c r="D4929" s="233" t="inlineStr">
        <is>
          <t>10</t>
        </is>
      </c>
      <c r="E4929" s="233" t="inlineStr">
        <is>
          <t>08</t>
        </is>
      </c>
      <c r="F4929" s="227" t="inlineStr">
        <is>
          <t>HTR8</t>
        </is>
      </c>
    </row>
    <row r="4930">
      <c r="A4930" s="227">
        <f>TL[[#This Row],[Société]]&amp;" - "&amp;TL[[#This Row],[Compte]]</f>
        <v/>
      </c>
      <c r="B4930" s="233" t="inlineStr">
        <is>
          <t>64140000</t>
        </is>
      </c>
      <c r="C4930" s="227" t="inlineStr">
        <is>
          <t>SALAIRES 10/2022</t>
        </is>
      </c>
      <c r="F4930" s="227" t="inlineStr">
        <is>
          <t>HTR8</t>
        </is>
      </c>
    </row>
    <row r="4931">
      <c r="A4931" s="227">
        <f>TL[[#This Row],[Société]]&amp;" - "&amp;TL[[#This Row],[Compte]]</f>
        <v/>
      </c>
      <c r="B4931" s="233" t="inlineStr">
        <is>
          <t>64140100</t>
        </is>
      </c>
      <c r="C4931" s="227" t="inlineStr">
        <is>
          <t>A.n equipiers</t>
        </is>
      </c>
      <c r="D4931" s="233" t="inlineStr">
        <is>
          <t>10</t>
        </is>
      </c>
      <c r="E4931" s="233" t="inlineStr">
        <is>
          <t>08</t>
        </is>
      </c>
      <c r="F4931" s="227" t="inlineStr">
        <is>
          <t>HTR8</t>
        </is>
      </c>
    </row>
    <row r="4932">
      <c r="A4932" s="227">
        <f>TL[[#This Row],[Société]]&amp;" - "&amp;TL[[#This Row],[Compte]]</f>
        <v/>
      </c>
      <c r="B4932" s="233" t="inlineStr">
        <is>
          <t>64140400</t>
        </is>
      </c>
      <c r="C4932" s="227" t="inlineStr">
        <is>
          <t>A.n. managers</t>
        </is>
      </c>
      <c r="D4932" s="233" t="inlineStr">
        <is>
          <t>11</t>
        </is>
      </c>
      <c r="E4932" s="233" t="inlineStr">
        <is>
          <t>10</t>
        </is>
      </c>
      <c r="F4932" s="227" t="inlineStr">
        <is>
          <t>HTR8</t>
        </is>
      </c>
    </row>
    <row r="4933">
      <c r="A4933" s="227">
        <f>TL[[#This Row],[Société]]&amp;" - "&amp;TL[[#This Row],[Compte]]</f>
        <v/>
      </c>
      <c r="B4933" s="233" t="inlineStr">
        <is>
          <t>64140500</t>
        </is>
      </c>
      <c r="C4933" s="227" t="inlineStr">
        <is>
          <t>An voiture</t>
        </is>
      </c>
      <c r="D4933" s="233" t="inlineStr">
        <is>
          <t>11</t>
        </is>
      </c>
      <c r="E4933" s="233" t="inlineStr">
        <is>
          <t>10</t>
        </is>
      </c>
      <c r="F4933" s="227" t="inlineStr">
        <is>
          <t>HTR8</t>
        </is>
      </c>
    </row>
    <row r="4934">
      <c r="A4934" s="227">
        <f>TL[[#This Row],[Société]]&amp;" - "&amp;TL[[#This Row],[Compte]]</f>
        <v/>
      </c>
      <c r="B4934" s="233" t="inlineStr">
        <is>
          <t>64141100</t>
        </is>
      </c>
      <c r="C4934" s="227" t="inlineStr">
        <is>
          <t>Ind. blanchis equipiers</t>
        </is>
      </c>
      <c r="D4934" s="233" t="inlineStr">
        <is>
          <t>10</t>
        </is>
      </c>
      <c r="E4934" s="233" t="inlineStr">
        <is>
          <t>08</t>
        </is>
      </c>
      <c r="F4934" s="227" t="inlineStr">
        <is>
          <t>HTR8</t>
        </is>
      </c>
    </row>
    <row r="4935">
      <c r="A4935" s="227">
        <f>TL[[#This Row],[Société]]&amp;" - "&amp;TL[[#This Row],[Compte]]</f>
        <v/>
      </c>
      <c r="B4935" s="233" t="inlineStr">
        <is>
          <t>64141200</t>
        </is>
      </c>
      <c r="C4935" s="227" t="inlineStr">
        <is>
          <t>Indem transport equipiers</t>
        </is>
      </c>
      <c r="D4935" s="233" t="inlineStr">
        <is>
          <t>10</t>
        </is>
      </c>
      <c r="E4935" s="233" t="inlineStr">
        <is>
          <t>08</t>
        </is>
      </c>
      <c r="F4935" s="227" t="inlineStr">
        <is>
          <t>HTR8</t>
        </is>
      </c>
    </row>
    <row r="4936">
      <c r="A4936" s="227">
        <f>TL[[#This Row],[Société]]&amp;" - "&amp;TL[[#This Row],[Compte]]</f>
        <v/>
      </c>
      <c r="B4936" s="233" t="inlineStr">
        <is>
          <t>64141400</t>
        </is>
      </c>
      <c r="C4936" s="227" t="inlineStr">
        <is>
          <t>Ind. blanchissage managers</t>
        </is>
      </c>
      <c r="D4936" s="233" t="inlineStr">
        <is>
          <t>11</t>
        </is>
      </c>
      <c r="E4936" s="233" t="inlineStr">
        <is>
          <t>10</t>
        </is>
      </c>
      <c r="F4936" s="227" t="inlineStr">
        <is>
          <t>HTR8</t>
        </is>
      </c>
    </row>
    <row r="4937">
      <c r="A4937" s="227">
        <f>TL[[#This Row],[Société]]&amp;" - "&amp;TL[[#This Row],[Compte]]</f>
        <v/>
      </c>
      <c r="B4937" s="233" t="inlineStr">
        <is>
          <t>64141500</t>
        </is>
      </c>
      <c r="C4937" s="227" t="inlineStr">
        <is>
          <t>Indem transport manager</t>
        </is>
      </c>
      <c r="D4937" s="233" t="inlineStr">
        <is>
          <t>11</t>
        </is>
      </c>
      <c r="E4937" s="233" t="inlineStr">
        <is>
          <t>10</t>
        </is>
      </c>
      <c r="F4937" s="227" t="inlineStr">
        <is>
          <t>HTR8</t>
        </is>
      </c>
    </row>
    <row r="4938">
      <c r="A4938" s="227">
        <f>TL[[#This Row],[Société]]&amp;" - "&amp;TL[[#This Row],[Compte]]</f>
        <v/>
      </c>
      <c r="B4938" s="233" t="inlineStr">
        <is>
          <t>64141600</t>
        </is>
      </c>
      <c r="C4938" s="227" t="inlineStr">
        <is>
          <t>Indem licenciement equipiers</t>
        </is>
      </c>
      <c r="D4938" s="233" t="inlineStr">
        <is>
          <t>10</t>
        </is>
      </c>
      <c r="E4938" s="233" t="inlineStr">
        <is>
          <t>08</t>
        </is>
      </c>
      <c r="F4938" s="227" t="inlineStr">
        <is>
          <t>HTR8</t>
        </is>
      </c>
    </row>
    <row r="4939">
      <c r="A4939" s="227">
        <f>TL[[#This Row],[Société]]&amp;" - "&amp;TL[[#This Row],[Compte]]</f>
        <v/>
      </c>
      <c r="B4939" s="233" t="inlineStr">
        <is>
          <t>64141700</t>
        </is>
      </c>
      <c r="C4939" s="227" t="inlineStr">
        <is>
          <t>Indem licenciement managers</t>
        </is>
      </c>
      <c r="D4939" s="233" t="inlineStr">
        <is>
          <t>39</t>
        </is>
      </c>
      <c r="E4939" s="233" t="inlineStr">
        <is>
          <t>10</t>
        </is>
      </c>
      <c r="F4939" s="227" t="inlineStr">
        <is>
          <t>HTR8</t>
        </is>
      </c>
    </row>
    <row r="4940">
      <c r="A4940" s="227">
        <f>TL[[#This Row],[Société]]&amp;" - "&amp;TL[[#This Row],[Compte]]</f>
        <v/>
      </c>
      <c r="B4940" s="233" t="inlineStr">
        <is>
          <t>64141800</t>
        </is>
      </c>
      <c r="C4940" s="227" t="inlineStr">
        <is>
          <t>ind inflation equipiers</t>
        </is>
      </c>
      <c r="D4940" s="233" t="inlineStr">
        <is>
          <t>10</t>
        </is>
      </c>
      <c r="E4940" s="233" t="inlineStr">
        <is>
          <t>08</t>
        </is>
      </c>
      <c r="F4940" s="227" t="inlineStr">
        <is>
          <t>HTR8</t>
        </is>
      </c>
    </row>
    <row r="4941">
      <c r="A4941" s="227">
        <f>TL[[#This Row],[Société]]&amp;" - "&amp;TL[[#This Row],[Compte]]</f>
        <v/>
      </c>
      <c r="B4941" s="233" t="inlineStr">
        <is>
          <t>64141900</t>
        </is>
      </c>
      <c r="C4941" s="227" t="inlineStr">
        <is>
          <t>ind inflation mgrs</t>
        </is>
      </c>
      <c r="D4941" s="233" t="inlineStr">
        <is>
          <t>11</t>
        </is>
      </c>
      <c r="E4941" s="233" t="inlineStr">
        <is>
          <t>10</t>
        </is>
      </c>
      <c r="F4941" s="227" t="inlineStr">
        <is>
          <t>HTR8</t>
        </is>
      </c>
    </row>
    <row r="4942">
      <c r="A4942" s="227">
        <f>TL[[#This Row],[Société]]&amp;" - "&amp;TL[[#This Row],[Compte]]</f>
        <v/>
      </c>
      <c r="B4942" s="233" t="inlineStr">
        <is>
          <t>64504100</t>
        </is>
      </c>
      <c r="C4942" s="227" t="inlineStr">
        <is>
          <t>Mutuelle equipiers npu</t>
        </is>
      </c>
      <c r="D4942" s="233" t="inlineStr">
        <is>
          <t>10</t>
        </is>
      </c>
      <c r="E4942" s="233" t="inlineStr">
        <is>
          <t>09</t>
        </is>
      </c>
      <c r="F4942" s="227" t="inlineStr">
        <is>
          <t>HTR8</t>
        </is>
      </c>
    </row>
    <row r="4943">
      <c r="A4943" s="227">
        <f>TL[[#This Row],[Société]]&amp;" - "&amp;TL[[#This Row],[Compte]]</f>
        <v/>
      </c>
      <c r="B4943" s="233" t="inlineStr">
        <is>
          <t>64504400</t>
        </is>
      </c>
      <c r="C4943" s="227" t="inlineStr">
        <is>
          <t>Mutuelle managers npu</t>
        </is>
      </c>
      <c r="D4943" s="233" t="inlineStr">
        <is>
          <t>12</t>
        </is>
      </c>
      <c r="E4943" s="233" t="inlineStr">
        <is>
          <t>11</t>
        </is>
      </c>
      <c r="F4943" s="227" t="inlineStr">
        <is>
          <t>HTR8</t>
        </is>
      </c>
    </row>
    <row r="4944">
      <c r="A4944" s="227">
        <f>TL[[#This Row],[Société]]&amp;" - "&amp;TL[[#This Row],[Compte]]</f>
        <v/>
      </c>
      <c r="B4944" s="233" t="inlineStr">
        <is>
          <t>64510000</t>
        </is>
      </c>
      <c r="C4944" s="227" t="inlineStr">
        <is>
          <t>SALAIRES 10/2022</t>
        </is>
      </c>
      <c r="E4944" s="250" t="inlineStr">
        <is>
          <t>13</t>
        </is>
      </c>
      <c r="F4944" s="227" t="inlineStr">
        <is>
          <t>HTR8</t>
        </is>
      </c>
    </row>
    <row r="4945">
      <c r="A4945" s="227">
        <f>TL[[#This Row],[Société]]&amp;" - "&amp;TL[[#This Row],[Compte]]</f>
        <v/>
      </c>
      <c r="B4945" s="233" t="inlineStr">
        <is>
          <t>64510100</t>
        </is>
      </c>
      <c r="C4945" s="227" t="inlineStr">
        <is>
          <t>Urssaf equipiers</t>
        </is>
      </c>
      <c r="D4945" s="233" t="inlineStr">
        <is>
          <t>10</t>
        </is>
      </c>
      <c r="E4945" s="233" t="inlineStr">
        <is>
          <t>09</t>
        </is>
      </c>
      <c r="F4945" s="227" t="inlineStr">
        <is>
          <t>HTR8</t>
        </is>
      </c>
    </row>
    <row r="4946">
      <c r="A4946" s="227">
        <f>TL[[#This Row],[Société]]&amp;" - "&amp;TL[[#This Row],[Compte]]</f>
        <v/>
      </c>
      <c r="B4946" s="233" t="inlineStr">
        <is>
          <t>64510400</t>
        </is>
      </c>
      <c r="C4946" s="227" t="inlineStr">
        <is>
          <t>Urssaf mgrs</t>
        </is>
      </c>
      <c r="D4946" s="233" t="inlineStr">
        <is>
          <t>12</t>
        </is>
      </c>
      <c r="E4946" s="233" t="inlineStr">
        <is>
          <t>11</t>
        </is>
      </c>
      <c r="F4946" s="227" t="inlineStr">
        <is>
          <t>HTR8</t>
        </is>
      </c>
    </row>
    <row r="4947">
      <c r="A4947" s="227">
        <f>TL[[#This Row],[Société]]&amp;" - "&amp;TL[[#This Row],[Compte]]</f>
        <v/>
      </c>
      <c r="B4947" s="233" t="inlineStr">
        <is>
          <t>64520000</t>
        </is>
      </c>
      <c r="C4947" s="227" t="inlineStr">
        <is>
          <t>SALAIRES 10/2022</t>
        </is>
      </c>
      <c r="F4947" s="227" t="inlineStr">
        <is>
          <t>HTR8</t>
        </is>
      </c>
    </row>
    <row r="4948">
      <c r="A4948" s="227">
        <f>TL[[#This Row],[Société]]&amp;" - "&amp;TL[[#This Row],[Compte]]</f>
        <v/>
      </c>
      <c r="B4948" s="233" t="inlineStr">
        <is>
          <t>64520100</t>
        </is>
      </c>
      <c r="C4948" s="227" t="inlineStr">
        <is>
          <t>Mutuelle equipiers</t>
        </is>
      </c>
      <c r="D4948" s="233" t="inlineStr">
        <is>
          <t>10</t>
        </is>
      </c>
      <c r="E4948" s="233" t="inlineStr">
        <is>
          <t>09</t>
        </is>
      </c>
      <c r="F4948" s="227" t="inlineStr">
        <is>
          <t>HTR8</t>
        </is>
      </c>
    </row>
    <row r="4949">
      <c r="A4949" s="227">
        <f>TL[[#This Row],[Société]]&amp;" - "&amp;TL[[#This Row],[Compte]]</f>
        <v/>
      </c>
      <c r="B4949" s="233" t="inlineStr">
        <is>
          <t>64520400</t>
        </is>
      </c>
      <c r="C4949" s="227" t="inlineStr">
        <is>
          <t>Mutuelle managers</t>
        </is>
      </c>
      <c r="D4949" s="233" t="inlineStr">
        <is>
          <t>12</t>
        </is>
      </c>
      <c r="E4949" s="233" t="inlineStr">
        <is>
          <t>11</t>
        </is>
      </c>
      <c r="F4949" s="227" t="inlineStr">
        <is>
          <t>HTR8</t>
        </is>
      </c>
    </row>
    <row r="4950">
      <c r="A4950" s="227">
        <f>TL[[#This Row],[Société]]&amp;" - "&amp;TL[[#This Row],[Compte]]</f>
        <v/>
      </c>
      <c r="B4950" s="233" t="inlineStr">
        <is>
          <t>64530000</t>
        </is>
      </c>
      <c r="C4950" s="227" t="inlineStr">
        <is>
          <t>SALAIRES 10/2022</t>
        </is>
      </c>
      <c r="F4950" s="227" t="inlineStr">
        <is>
          <t>HTR8</t>
        </is>
      </c>
    </row>
    <row r="4951">
      <c r="A4951" s="227">
        <f>TL[[#This Row],[Société]]&amp;" - "&amp;TL[[#This Row],[Compte]]</f>
        <v/>
      </c>
      <c r="B4951" s="233" t="inlineStr">
        <is>
          <t>64530100</t>
        </is>
      </c>
      <c r="C4951" s="227" t="inlineStr">
        <is>
          <t>Retraite et prev equipiers</t>
        </is>
      </c>
      <c r="D4951" s="233" t="inlineStr">
        <is>
          <t>10</t>
        </is>
      </c>
      <c r="E4951" s="233" t="inlineStr">
        <is>
          <t>09</t>
        </is>
      </c>
      <c r="F4951" s="227" t="inlineStr">
        <is>
          <t>HTR8</t>
        </is>
      </c>
    </row>
    <row r="4952">
      <c r="A4952" s="227">
        <f>TL[[#This Row],[Société]]&amp;" - "&amp;TL[[#This Row],[Compte]]</f>
        <v/>
      </c>
      <c r="B4952" s="233" t="inlineStr">
        <is>
          <t>64530400</t>
        </is>
      </c>
      <c r="C4952" s="227" t="inlineStr">
        <is>
          <t>Retraite et prev managers</t>
        </is>
      </c>
      <c r="D4952" s="233" t="inlineStr">
        <is>
          <t>12</t>
        </is>
      </c>
      <c r="E4952" s="233" t="inlineStr">
        <is>
          <t>11</t>
        </is>
      </c>
      <c r="F4952" s="227" t="inlineStr">
        <is>
          <t>HTR8</t>
        </is>
      </c>
    </row>
    <row r="4953">
      <c r="A4953" s="227">
        <f>TL[[#This Row],[Société]]&amp;" - "&amp;TL[[#This Row],[Compte]]</f>
        <v/>
      </c>
      <c r="B4953" s="233" t="inlineStr">
        <is>
          <t>64540000</t>
        </is>
      </c>
      <c r="C4953" s="227" t="inlineStr">
        <is>
          <t>SALAIRES 10/2022</t>
        </is>
      </c>
      <c r="F4953" s="227" t="inlineStr">
        <is>
          <t>HTR8</t>
        </is>
      </c>
    </row>
    <row r="4954">
      <c r="A4954" s="227">
        <f>TL[[#This Row],[Société]]&amp;" - "&amp;TL[[#This Row],[Compte]]</f>
        <v/>
      </c>
      <c r="B4954" s="233" t="inlineStr">
        <is>
          <t>64540100</t>
        </is>
      </c>
      <c r="C4954" s="227" t="inlineStr">
        <is>
          <t>Pole emploi equipiers</t>
        </is>
      </c>
      <c r="D4954" s="233" t="inlineStr">
        <is>
          <t>10</t>
        </is>
      </c>
      <c r="E4954" s="233" t="inlineStr">
        <is>
          <t>09</t>
        </is>
      </c>
      <c r="F4954" s="227" t="inlineStr">
        <is>
          <t>HTR8</t>
        </is>
      </c>
    </row>
    <row r="4955">
      <c r="A4955" s="227">
        <f>TL[[#This Row],[Société]]&amp;" - "&amp;TL[[#This Row],[Compte]]</f>
        <v/>
      </c>
      <c r="B4955" s="233" t="inlineStr">
        <is>
          <t>64540400</t>
        </is>
      </c>
      <c r="C4955" s="227" t="inlineStr">
        <is>
          <t>Pole emploi managers</t>
        </is>
      </c>
      <c r="D4955" s="233" t="inlineStr">
        <is>
          <t>12</t>
        </is>
      </c>
      <c r="E4955" s="233" t="inlineStr">
        <is>
          <t>11</t>
        </is>
      </c>
      <c r="F4955" s="227" t="inlineStr">
        <is>
          <t>HTR8</t>
        </is>
      </c>
    </row>
    <row r="4956">
      <c r="A4956" s="227">
        <f>TL[[#This Row],[Société]]&amp;" - "&amp;TL[[#This Row],[Compte]]</f>
        <v/>
      </c>
      <c r="B4956" s="233" t="inlineStr">
        <is>
          <t>64550400</t>
        </is>
      </c>
      <c r="C4956" s="227" t="inlineStr">
        <is>
          <t>Cotisations agirc assistant npu</t>
        </is>
      </c>
      <c r="D4956" s="233" t="inlineStr">
        <is>
          <t>12</t>
        </is>
      </c>
      <c r="E4956" s="233" t="inlineStr">
        <is>
          <t>11</t>
        </is>
      </c>
      <c r="F4956" s="227" t="inlineStr">
        <is>
          <t>HTR8</t>
        </is>
      </c>
    </row>
    <row r="4957">
      <c r="A4957" s="227">
        <f>TL[[#This Row],[Société]]&amp;" - "&amp;TL[[#This Row],[Compte]]</f>
        <v/>
      </c>
      <c r="B4957" s="233" t="inlineStr">
        <is>
          <t>64580000</t>
        </is>
      </c>
      <c r="C4957" s="227" t="inlineStr">
        <is>
          <t>Cs/ cp équipiers</t>
        </is>
      </c>
      <c r="D4957" s="233" t="inlineStr">
        <is>
          <t>10</t>
        </is>
      </c>
      <c r="E4957" s="233" t="inlineStr">
        <is>
          <t>09</t>
        </is>
      </c>
      <c r="F4957" s="227" t="inlineStr">
        <is>
          <t>HTR8</t>
        </is>
      </c>
    </row>
    <row r="4958">
      <c r="A4958" s="227">
        <f>TL[[#This Row],[Société]]&amp;" - "&amp;TL[[#This Row],[Compte]]</f>
        <v/>
      </c>
      <c r="B4958" s="233" t="inlineStr">
        <is>
          <t>64580100</t>
        </is>
      </c>
      <c r="C4958" s="227" t="inlineStr">
        <is>
          <t>Cs/ primes équipiers</t>
        </is>
      </c>
      <c r="D4958" s="233" t="inlineStr">
        <is>
          <t>10</t>
        </is>
      </c>
      <c r="E4958" s="233" t="inlineStr">
        <is>
          <t>09</t>
        </is>
      </c>
      <c r="F4958" s="227" t="inlineStr">
        <is>
          <t>HTR8</t>
        </is>
      </c>
    </row>
    <row r="4959">
      <c r="A4959" s="227">
        <f>TL[[#This Row],[Société]]&amp;" - "&amp;TL[[#This Row],[Compte]]</f>
        <v/>
      </c>
      <c r="B4959" s="233" t="inlineStr">
        <is>
          <t>64581000</t>
        </is>
      </c>
      <c r="C4959" s="227" t="inlineStr">
        <is>
          <t>Cs/cp managers</t>
        </is>
      </c>
      <c r="D4959" s="233" t="inlineStr">
        <is>
          <t>12</t>
        </is>
      </c>
      <c r="E4959" s="233" t="inlineStr">
        <is>
          <t>11</t>
        </is>
      </c>
      <c r="F4959" s="227" t="inlineStr">
        <is>
          <t>HTR8</t>
        </is>
      </c>
    </row>
    <row r="4960">
      <c r="A4960" s="227">
        <f>TL[[#This Row],[Société]]&amp;" - "&amp;TL[[#This Row],[Compte]]</f>
        <v/>
      </c>
      <c r="B4960" s="233" t="inlineStr">
        <is>
          <t>64581100</t>
        </is>
      </c>
      <c r="C4960" s="227" t="inlineStr">
        <is>
          <t>Cs/ primes managers</t>
        </is>
      </c>
      <c r="D4960" s="233" t="inlineStr">
        <is>
          <t>12</t>
        </is>
      </c>
      <c r="E4960" s="233" t="inlineStr">
        <is>
          <t>11</t>
        </is>
      </c>
      <c r="F4960" s="227" t="inlineStr">
        <is>
          <t>HTR8</t>
        </is>
      </c>
    </row>
    <row r="4961">
      <c r="A4961" s="227">
        <f>TL[[#This Row],[Société]]&amp;" - "&amp;TL[[#This Row],[Compte]]</f>
        <v/>
      </c>
      <c r="B4961" s="233" t="inlineStr">
        <is>
          <t>64582000</t>
        </is>
      </c>
      <c r="C4961" s="227" t="inlineStr">
        <is>
          <t>Charges sociales sur conges payes</t>
        </is>
      </c>
      <c r="D4961" s="233" t="inlineStr">
        <is>
          <t>10</t>
        </is>
      </c>
      <c r="E4961" s="233" t="inlineStr">
        <is>
          <t>09</t>
        </is>
      </c>
      <c r="F4961" s="227" t="inlineStr">
        <is>
          <t>HTR8</t>
        </is>
      </c>
    </row>
    <row r="4962">
      <c r="A4962" s="227">
        <f>TL[[#This Row],[Société]]&amp;" - "&amp;TL[[#This Row],[Compte]]</f>
        <v/>
      </c>
      <c r="B4962" s="233" t="inlineStr">
        <is>
          <t>64750000</t>
        </is>
      </c>
      <c r="C4962" s="227" t="inlineStr">
        <is>
          <t>Médecine du travail et pharmacie</t>
        </is>
      </c>
      <c r="D4962" s="233" t="inlineStr">
        <is>
          <t>16</t>
        </is>
      </c>
      <c r="E4962" s="233" t="inlineStr">
        <is>
          <t>19</t>
        </is>
      </c>
      <c r="F4962" s="227" t="inlineStr">
        <is>
          <t>HTR8</t>
        </is>
      </c>
    </row>
    <row r="4963">
      <c r="A4963" s="227">
        <f>TL[[#This Row],[Société]]&amp;" - "&amp;TL[[#This Row],[Compte]]</f>
        <v/>
      </c>
      <c r="B4963" s="233" t="inlineStr">
        <is>
          <t>64900000</t>
        </is>
      </c>
      <c r="C4963" s="227" t="inlineStr">
        <is>
          <t>Crédit d'impôt compétitivité entrep</t>
        </is>
      </c>
      <c r="F4963" s="227" t="inlineStr">
        <is>
          <t>HTR8</t>
        </is>
      </c>
    </row>
    <row r="4964">
      <c r="A4964" s="227">
        <f>TL[[#This Row],[Société]]&amp;" - "&amp;TL[[#This Row],[Compte]]</f>
        <v/>
      </c>
      <c r="B4964" s="233" t="inlineStr">
        <is>
          <t>65100100</t>
        </is>
      </c>
      <c r="C4964" s="227" t="inlineStr">
        <is>
          <t>Redevance service 5%</t>
        </is>
      </c>
      <c r="D4964" s="233" t="inlineStr">
        <is>
          <t>31</t>
        </is>
      </c>
      <c r="E4964" s="233" t="inlineStr">
        <is>
          <t>34</t>
        </is>
      </c>
      <c r="F4964" s="227" t="inlineStr">
        <is>
          <t>HTR8</t>
        </is>
      </c>
    </row>
    <row r="4965">
      <c r="A4965" s="227">
        <f>TL[[#This Row],[Société]]&amp;" - "&amp;TL[[#This Row],[Compte]]</f>
        <v/>
      </c>
      <c r="B4965" s="233" t="inlineStr">
        <is>
          <t>65100300</t>
        </is>
      </c>
      <c r="C4965" s="227" t="inlineStr">
        <is>
          <t>Redevance sacem</t>
        </is>
      </c>
      <c r="D4965" s="233" t="inlineStr">
        <is>
          <t>16</t>
        </is>
      </c>
      <c r="E4965" s="233" t="inlineStr">
        <is>
          <t>19</t>
        </is>
      </c>
      <c r="F4965" s="227" t="inlineStr">
        <is>
          <t>HTR8</t>
        </is>
      </c>
    </row>
    <row r="4966">
      <c r="A4966" s="227">
        <f>TL[[#This Row],[Société]]&amp;" - "&amp;TL[[#This Row],[Compte]]</f>
        <v/>
      </c>
      <c r="B4966" s="233" t="inlineStr">
        <is>
          <t>65120000</t>
        </is>
      </c>
      <c r="C4966" s="227" t="inlineStr">
        <is>
          <t>Avoir hm 16.50 %</t>
        </is>
      </c>
      <c r="D4966" s="233" t="inlineStr">
        <is>
          <t>30</t>
        </is>
      </c>
      <c r="E4966" s="233" t="inlineStr">
        <is>
          <t>31</t>
        </is>
      </c>
      <c r="F4966" s="227" t="inlineStr">
        <is>
          <t>HTR8</t>
        </is>
      </c>
    </row>
    <row r="4967">
      <c r="A4967" s="227">
        <f>TL[[#This Row],[Société]]&amp;" - "&amp;TL[[#This Row],[Compte]]</f>
        <v/>
      </c>
      <c r="B4967" s="233" t="inlineStr">
        <is>
          <t>65121000</t>
        </is>
      </c>
      <c r="C4967" s="227" t="inlineStr">
        <is>
          <t>Avoir hm 5%</t>
        </is>
      </c>
      <c r="D4967" s="233" t="inlineStr">
        <is>
          <t>31</t>
        </is>
      </c>
      <c r="E4967" s="233" t="inlineStr">
        <is>
          <t>31</t>
        </is>
      </c>
      <c r="F4967" s="227" t="inlineStr">
        <is>
          <t>HTR8</t>
        </is>
      </c>
    </row>
    <row r="4968">
      <c r="A4968" s="227">
        <f>TL[[#This Row],[Société]]&amp;" - "&amp;TL[[#This Row],[Compte]]</f>
        <v/>
      </c>
      <c r="B4968" s="233" t="inlineStr">
        <is>
          <t>65130000</t>
        </is>
      </c>
      <c r="C4968" s="227" t="inlineStr">
        <is>
          <t>Avoir menu cine</t>
        </is>
      </c>
      <c r="D4968" s="233" t="inlineStr">
        <is>
          <t>30</t>
        </is>
      </c>
      <c r="E4968" s="233" t="inlineStr">
        <is>
          <t>31</t>
        </is>
      </c>
      <c r="F4968" s="227" t="inlineStr">
        <is>
          <t>HTR8</t>
        </is>
      </c>
    </row>
    <row r="4969">
      <c r="A4969" s="227">
        <f>TL[[#This Row],[Société]]&amp;" - "&amp;TL[[#This Row],[Compte]]</f>
        <v/>
      </c>
      <c r="B4969" s="233" t="inlineStr">
        <is>
          <t>65131000</t>
        </is>
      </c>
      <c r="C4969" s="227" t="inlineStr">
        <is>
          <t>Avoir menu cinema 5%</t>
        </is>
      </c>
      <c r="D4969" s="233" t="inlineStr">
        <is>
          <t>31</t>
        </is>
      </c>
      <c r="E4969" s="233" t="inlineStr">
        <is>
          <t>31</t>
        </is>
      </c>
      <c r="F4969" s="227" t="inlineStr">
        <is>
          <t>HTR8</t>
        </is>
      </c>
    </row>
    <row r="4970">
      <c r="A4970" s="227">
        <f>TL[[#This Row],[Société]]&amp;" - "&amp;TL[[#This Row],[Compte]]</f>
        <v/>
      </c>
      <c r="B4970" s="233" t="inlineStr">
        <is>
          <t>65800000</t>
        </is>
      </c>
      <c r="C4970" s="227" t="inlineStr">
        <is>
          <t>Charges diverses gestion courante</t>
        </is>
      </c>
      <c r="D4970" s="233" t="inlineStr">
        <is>
          <t>39</t>
        </is>
      </c>
      <c r="E4970" s="233" t="inlineStr">
        <is>
          <t>40</t>
        </is>
      </c>
      <c r="F4970" s="227" t="inlineStr">
        <is>
          <t>HTR8</t>
        </is>
      </c>
    </row>
    <row r="4971">
      <c r="A4971" s="227">
        <f>TL[[#This Row],[Société]]&amp;" - "&amp;TL[[#This Row],[Compte]]</f>
        <v/>
      </c>
      <c r="B4971" s="233" t="inlineStr">
        <is>
          <t>66110000</t>
        </is>
      </c>
      <c r="C4971" s="227" t="inlineStr">
        <is>
          <t>Intérêts des emprunts et dettes</t>
        </is>
      </c>
      <c r="D4971" s="233" t="inlineStr">
        <is>
          <t>37</t>
        </is>
      </c>
      <c r="E4971" s="233" t="inlineStr">
        <is>
          <t>42</t>
        </is>
      </c>
      <c r="F4971" s="227" t="inlineStr">
        <is>
          <t>HTR8</t>
        </is>
      </c>
    </row>
    <row r="4972">
      <c r="A4972" s="227">
        <f>TL[[#This Row],[Société]]&amp;" - "&amp;TL[[#This Row],[Compte]]</f>
        <v/>
      </c>
      <c r="B4972" s="233" t="inlineStr">
        <is>
          <t>66150000</t>
        </is>
      </c>
      <c r="C4972" s="227" t="inlineStr">
        <is>
          <t>Intérêts comptes courants dépôts cr</t>
        </is>
      </c>
      <c r="D4972" s="233" t="inlineStr">
        <is>
          <t>37</t>
        </is>
      </c>
      <c r="E4972" s="233" t="inlineStr">
        <is>
          <t>42</t>
        </is>
      </c>
      <c r="F4972" s="227" t="inlineStr">
        <is>
          <t>HTR8</t>
        </is>
      </c>
    </row>
    <row r="4973">
      <c r="A4973" s="227">
        <f>TL[[#This Row],[Société]]&amp;" - "&amp;TL[[#This Row],[Compte]]</f>
        <v/>
      </c>
      <c r="B4973" s="233" t="inlineStr">
        <is>
          <t>66160000</t>
        </is>
      </c>
      <c r="C4973" s="227" t="inlineStr">
        <is>
          <t>Interets debiteurs</t>
        </is>
      </c>
      <c r="D4973" s="233" t="inlineStr">
        <is>
          <t>37</t>
        </is>
      </c>
      <c r="E4973" s="233" t="inlineStr">
        <is>
          <t>42</t>
        </is>
      </c>
      <c r="F4973" s="227" t="inlineStr">
        <is>
          <t>HTR8</t>
        </is>
      </c>
    </row>
    <row r="4974">
      <c r="A4974" s="227">
        <f>TL[[#This Row],[Société]]&amp;" - "&amp;TL[[#This Row],[Compte]]</f>
        <v/>
      </c>
      <c r="B4974" s="233" t="inlineStr">
        <is>
          <t>67100000</t>
        </is>
      </c>
      <c r="C4974" s="227" t="inlineStr">
        <is>
          <t>Charges exceptionnelles</t>
        </is>
      </c>
      <c r="D4974" s="233" t="inlineStr">
        <is>
          <t>39</t>
        </is>
      </c>
      <c r="E4974" s="233" t="inlineStr">
        <is>
          <t>45</t>
        </is>
      </c>
      <c r="F4974" s="227" t="inlineStr">
        <is>
          <t>HTR8</t>
        </is>
      </c>
    </row>
    <row r="4975">
      <c r="A4975" s="227">
        <f>TL[[#This Row],[Société]]&amp;" - "&amp;TL[[#This Row],[Compte]]</f>
        <v/>
      </c>
      <c r="B4975" s="233" t="inlineStr">
        <is>
          <t>67110000</t>
        </is>
      </c>
      <c r="C4975" s="227" t="inlineStr">
        <is>
          <t>Ecart caisse</t>
        </is>
      </c>
      <c r="D4975" s="233" t="inlineStr">
        <is>
          <t>22</t>
        </is>
      </c>
      <c r="E4975" s="233" t="inlineStr">
        <is>
          <t>27</t>
        </is>
      </c>
      <c r="F4975" s="227" t="inlineStr">
        <is>
          <t>HTR8</t>
        </is>
      </c>
    </row>
    <row r="4976">
      <c r="A4976" s="227">
        <f>TL[[#This Row],[Société]]&amp;" - "&amp;TL[[#This Row],[Compte]]</f>
        <v/>
      </c>
      <c r="B4976" s="233" t="inlineStr">
        <is>
          <t>67130000</t>
        </is>
      </c>
      <c r="C4976" s="227" t="inlineStr">
        <is>
          <t>Dons</t>
        </is>
      </c>
      <c r="D4976" s="233" t="inlineStr">
        <is>
          <t>39</t>
        </is>
      </c>
      <c r="E4976" s="233" t="inlineStr">
        <is>
          <t>45</t>
        </is>
      </c>
      <c r="F4976" s="227" t="inlineStr">
        <is>
          <t>HTR8</t>
        </is>
      </c>
    </row>
    <row r="4977">
      <c r="A4977" s="227">
        <f>TL[[#This Row],[Société]]&amp;" - "&amp;TL[[#This Row],[Compte]]</f>
        <v/>
      </c>
      <c r="B4977" s="233" t="inlineStr">
        <is>
          <t>67140000</t>
        </is>
      </c>
      <c r="C4977" s="227" t="inlineStr">
        <is>
          <t>Amendes</t>
        </is>
      </c>
      <c r="D4977" s="233" t="inlineStr">
        <is>
          <t>39</t>
        </is>
      </c>
      <c r="E4977" s="233" t="inlineStr">
        <is>
          <t>45</t>
        </is>
      </c>
      <c r="F4977" s="227" t="inlineStr">
        <is>
          <t>HTR8</t>
        </is>
      </c>
    </row>
    <row r="4978">
      <c r="A4978" s="227">
        <f>TL[[#This Row],[Société]]&amp;" - "&amp;TL[[#This Row],[Compte]]</f>
        <v/>
      </c>
      <c r="B4978" s="233" t="inlineStr">
        <is>
          <t>67500000</t>
        </is>
      </c>
      <c r="C4978" s="227" t="inlineStr">
        <is>
          <t>Valeurs compt. éléments actif cédés</t>
        </is>
      </c>
      <c r="F4978" s="227" t="inlineStr">
        <is>
          <t>HTR8</t>
        </is>
      </c>
    </row>
    <row r="4979">
      <c r="A4979" s="227">
        <f>TL[[#This Row],[Société]]&amp;" - "&amp;TL[[#This Row],[Compte]]</f>
        <v/>
      </c>
      <c r="B4979" s="233" t="inlineStr">
        <is>
          <t>67520000</t>
        </is>
      </c>
      <c r="C4979" s="227" t="inlineStr">
        <is>
          <t>Vnc actifs cédés - immo corporelles</t>
        </is>
      </c>
      <c r="F4979" s="227" t="inlineStr">
        <is>
          <t>HTR8</t>
        </is>
      </c>
    </row>
    <row r="4980">
      <c r="A4980" s="227">
        <f>TL[[#This Row],[Société]]&amp;" - "&amp;TL[[#This Row],[Compte]]</f>
        <v/>
      </c>
      <c r="B4980" s="233" t="inlineStr">
        <is>
          <t>67560000</t>
        </is>
      </c>
      <c r="C4980" s="227" t="inlineStr">
        <is>
          <t>VNC actifs cédés - Immo financières</t>
        </is>
      </c>
      <c r="F4980" s="227" t="inlineStr">
        <is>
          <t>HTR8</t>
        </is>
      </c>
    </row>
    <row r="4981">
      <c r="A4981" s="227">
        <f>TL[[#This Row],[Société]]&amp;" - "&amp;TL[[#This Row],[Compte]]</f>
        <v/>
      </c>
      <c r="B4981" s="233" t="inlineStr">
        <is>
          <t>68111000</t>
        </is>
      </c>
      <c r="C4981" s="227" t="inlineStr">
        <is>
          <t>Dot. amort. s/immobil. incorporel.</t>
        </is>
      </c>
      <c r="D4981" s="233" t="inlineStr">
        <is>
          <t>36</t>
        </is>
      </c>
      <c r="E4981" s="233" t="inlineStr">
        <is>
          <t>38</t>
        </is>
      </c>
      <c r="F4981" s="227" t="inlineStr">
        <is>
          <t>HTR8</t>
        </is>
      </c>
    </row>
    <row r="4982">
      <c r="A4982" s="227">
        <f>TL[[#This Row],[Société]]&amp;" - "&amp;TL[[#This Row],[Compte]]</f>
        <v/>
      </c>
      <c r="B4982" s="233" t="inlineStr">
        <is>
          <t>68112000</t>
        </is>
      </c>
      <c r="C4982" s="227" t="inlineStr">
        <is>
          <t>Dot. amort. s/immobil. corporel.</t>
        </is>
      </c>
      <c r="D4982" s="233" t="inlineStr">
        <is>
          <t>36</t>
        </is>
      </c>
      <c r="E4982" s="233" t="inlineStr">
        <is>
          <t>38</t>
        </is>
      </c>
      <c r="F4982" s="227" t="inlineStr">
        <is>
          <t>HTR8</t>
        </is>
      </c>
    </row>
    <row r="4983">
      <c r="A4983" s="227">
        <f>TL[[#This Row],[Société]]&amp;" - "&amp;TL[[#This Row],[Compte]]</f>
        <v/>
      </c>
      <c r="B4983" s="233" t="inlineStr">
        <is>
          <t>68150000</t>
        </is>
      </c>
      <c r="C4983" s="227" t="inlineStr">
        <is>
          <t>Dot. prov. risques &amp; ch. exploit.</t>
        </is>
      </c>
      <c r="D4983" s="233" t="inlineStr">
        <is>
          <t>36</t>
        </is>
      </c>
      <c r="E4983" s="233" t="inlineStr">
        <is>
          <t>38</t>
        </is>
      </c>
      <c r="F4983" s="227" t="inlineStr">
        <is>
          <t>HTR8</t>
        </is>
      </c>
    </row>
    <row r="4984">
      <c r="A4984" s="227">
        <f>TL[[#This Row],[Société]]&amp;" - "&amp;TL[[#This Row],[Compte]]</f>
        <v/>
      </c>
      <c r="B4984" s="233" t="inlineStr">
        <is>
          <t>68711000</t>
        </is>
      </c>
      <c r="C4984" s="227" t="inlineStr">
        <is>
          <t>Dot. amort. exce s/immob incorpore.</t>
        </is>
      </c>
      <c r="F4984" s="227" t="inlineStr">
        <is>
          <t>HTR8</t>
        </is>
      </c>
    </row>
    <row r="4985">
      <c r="A4985" s="227">
        <f>TL[[#This Row],[Société]]&amp;" - "&amp;TL[[#This Row],[Compte]]</f>
        <v/>
      </c>
      <c r="B4985" s="233" t="inlineStr">
        <is>
          <t>68712000</t>
        </is>
      </c>
      <c r="C4985" s="227" t="inlineStr">
        <is>
          <t>Dot. amort. exce s/immob corporel.</t>
        </is>
      </c>
      <c r="F4985" s="227" t="inlineStr">
        <is>
          <t>HTR8</t>
        </is>
      </c>
    </row>
    <row r="4986">
      <c r="A4986" s="227">
        <f>TL[[#This Row],[Société]]&amp;" - "&amp;TL[[#This Row],[Compte]]</f>
        <v/>
      </c>
      <c r="B4986" s="233" t="inlineStr">
        <is>
          <t>68725000</t>
        </is>
      </c>
      <c r="C4986" s="227" t="inlineStr">
        <is>
          <t>Dot. amortissements dérogatoires</t>
        </is>
      </c>
      <c r="D4986" s="233" t="inlineStr">
        <is>
          <t>01</t>
        </is>
      </c>
      <c r="E4986" s="233" t="inlineStr">
        <is>
          <t>38</t>
        </is>
      </c>
      <c r="F4986" s="227" t="inlineStr">
        <is>
          <t>HTR8</t>
        </is>
      </c>
    </row>
    <row r="4987">
      <c r="A4987" s="227">
        <f>TL[[#This Row],[Société]]&amp;" - "&amp;TL[[#This Row],[Compte]]</f>
        <v/>
      </c>
      <c r="B4987" s="233" t="inlineStr">
        <is>
          <t>69500000</t>
        </is>
      </c>
      <c r="C4987" s="227" t="inlineStr">
        <is>
          <t>Impôts sur les bénéfices</t>
        </is>
      </c>
      <c r="F4987" s="227" t="inlineStr">
        <is>
          <t>HTR8</t>
        </is>
      </c>
    </row>
    <row r="4988">
      <c r="A4988" s="227">
        <f>TL[[#This Row],[Société]]&amp;" - "&amp;TL[[#This Row],[Compte]]</f>
        <v/>
      </c>
      <c r="B4988" s="233" t="inlineStr">
        <is>
          <t>69511000</t>
        </is>
      </c>
      <c r="C4988" s="227" t="inlineStr">
        <is>
          <t>Mecenat htr8</t>
        </is>
      </c>
      <c r="D4988" s="233" t="inlineStr">
        <is>
          <t>56</t>
        </is>
      </c>
      <c r="E4988" s="233" t="inlineStr">
        <is>
          <t>48</t>
        </is>
      </c>
      <c r="F4988" s="227" t="inlineStr">
        <is>
          <t>HTR8</t>
        </is>
      </c>
    </row>
    <row r="4989">
      <c r="A4989" s="227">
        <f>TL[[#This Row],[Société]]&amp;" - "&amp;TL[[#This Row],[Compte]]</f>
        <v/>
      </c>
      <c r="B4989" s="233" t="inlineStr">
        <is>
          <t>69890000</t>
        </is>
      </c>
      <c r="C4989" s="227" t="inlineStr">
        <is>
          <t>Mecenat gie</t>
        </is>
      </c>
      <c r="D4989" s="233" t="inlineStr">
        <is>
          <t>56</t>
        </is>
      </c>
      <c r="E4989" s="233" t="inlineStr">
        <is>
          <t>48</t>
        </is>
      </c>
      <c r="F4989" s="227" t="inlineStr">
        <is>
          <t>HTR8</t>
        </is>
      </c>
    </row>
    <row r="4990">
      <c r="A4990" s="227">
        <f>TL[[#This Row],[Société]]&amp;" - "&amp;TL[[#This Row],[Compte]]</f>
        <v/>
      </c>
      <c r="B4990" s="233" t="inlineStr">
        <is>
          <t>69891000</t>
        </is>
      </c>
      <c r="C4990" s="227" t="inlineStr">
        <is>
          <t>Cice gie</t>
        </is>
      </c>
      <c r="D4990" s="233" t="inlineStr">
        <is>
          <t>56</t>
        </is>
      </c>
      <c r="E4990" s="233" t="inlineStr">
        <is>
          <t>48</t>
        </is>
      </c>
      <c r="F4990" s="227" t="inlineStr">
        <is>
          <t>HTR8</t>
        </is>
      </c>
    </row>
    <row r="4991">
      <c r="A4991" s="227">
        <f>TL[[#This Row],[Société]]&amp;" - "&amp;TL[[#This Row],[Compte]]</f>
        <v/>
      </c>
      <c r="B4991" s="233" t="inlineStr">
        <is>
          <t>70100100</t>
        </is>
      </c>
      <c r="C4991" s="227" t="inlineStr">
        <is>
          <t>Ventes de produits finis</t>
        </is>
      </c>
      <c r="D4991" s="233" t="inlineStr">
        <is>
          <t>01</t>
        </is>
      </c>
      <c r="E4991" s="233" t="inlineStr">
        <is>
          <t>02</t>
        </is>
      </c>
      <c r="F4991" s="227" t="inlineStr">
        <is>
          <t>HTR8</t>
        </is>
      </c>
    </row>
    <row r="4992">
      <c r="A4992" s="227">
        <f>TL[[#This Row],[Société]]&amp;" - "&amp;TL[[#This Row],[Compte]]</f>
        <v/>
      </c>
      <c r="B4992" s="233" t="inlineStr">
        <is>
          <t>70100200</t>
        </is>
      </c>
      <c r="C4992" s="227" t="inlineStr">
        <is>
          <t>Ventes a 5.5%</t>
        </is>
      </c>
      <c r="D4992" s="233" t="inlineStr">
        <is>
          <t>01</t>
        </is>
      </c>
      <c r="E4992" s="233" t="inlineStr">
        <is>
          <t>02</t>
        </is>
      </c>
      <c r="F4992" s="227" t="inlineStr">
        <is>
          <t>HTR8</t>
        </is>
      </c>
    </row>
    <row r="4993">
      <c r="A4993" s="227">
        <f>TL[[#This Row],[Société]]&amp;" - "&amp;TL[[#This Row],[Compte]]</f>
        <v/>
      </c>
      <c r="B4993" s="233" t="inlineStr">
        <is>
          <t>70101000</t>
        </is>
      </c>
      <c r="C4993" s="227" t="inlineStr">
        <is>
          <t>Ventes à 10%</t>
        </is>
      </c>
      <c r="D4993" s="233" t="inlineStr">
        <is>
          <t>01</t>
        </is>
      </c>
      <c r="E4993" s="233" t="inlineStr">
        <is>
          <t>02</t>
        </is>
      </c>
      <c r="F4993" s="227" t="inlineStr">
        <is>
          <t>HTR8</t>
        </is>
      </c>
    </row>
    <row r="4994">
      <c r="A4994" s="227">
        <f>TL[[#This Row],[Société]]&amp;" - "&amp;TL[[#This Row],[Compte]]</f>
        <v/>
      </c>
      <c r="B4994" s="233" t="inlineStr">
        <is>
          <t>70101100</t>
        </is>
      </c>
      <c r="C4994" s="227" t="inlineStr">
        <is>
          <t>Ventes 09/01</t>
        </is>
      </c>
      <c r="F4994" s="227" t="inlineStr">
        <is>
          <t>HTR8</t>
        </is>
      </c>
    </row>
    <row r="4995">
      <c r="A4995" s="227">
        <f>TL[[#This Row],[Société]]&amp;" - "&amp;TL[[#This Row],[Compte]]</f>
        <v/>
      </c>
      <c r="B4995" s="233" t="inlineStr">
        <is>
          <t>70101500</t>
        </is>
      </c>
      <c r="C4995" s="227" t="inlineStr">
        <is>
          <t>Ventes 09/01</t>
        </is>
      </c>
      <c r="F4995" s="227" t="inlineStr">
        <is>
          <t>HTR8</t>
        </is>
      </c>
    </row>
    <row r="4996">
      <c r="A4996" s="227">
        <f>TL[[#This Row],[Société]]&amp;" - "&amp;TL[[#This Row],[Compte]]</f>
        <v/>
      </c>
      <c r="B4996" s="233" t="inlineStr">
        <is>
          <t>70102000</t>
        </is>
      </c>
      <c r="C4996" s="227" t="inlineStr">
        <is>
          <t>Ventes à 20%</t>
        </is>
      </c>
      <c r="D4996" s="233" t="inlineStr">
        <is>
          <t>01</t>
        </is>
      </c>
      <c r="E4996" s="233" t="inlineStr">
        <is>
          <t>02</t>
        </is>
      </c>
      <c r="F4996" s="227" t="inlineStr">
        <is>
          <t>HTR8</t>
        </is>
      </c>
    </row>
    <row r="4997">
      <c r="A4997" s="227">
        <f>TL[[#This Row],[Société]]&amp;" - "&amp;TL[[#This Row],[Compte]]</f>
        <v/>
      </c>
      <c r="B4997" s="233" t="inlineStr">
        <is>
          <t>70110000</t>
        </is>
      </c>
      <c r="C4997" s="227" t="inlineStr">
        <is>
          <t>Ventes 09/01</t>
        </is>
      </c>
      <c r="F4997" s="227" t="inlineStr">
        <is>
          <t>HTR8</t>
        </is>
      </c>
    </row>
    <row r="4998">
      <c r="A4998" s="227">
        <f>TL[[#This Row],[Société]]&amp;" - "&amp;TL[[#This Row],[Compte]]</f>
        <v/>
      </c>
      <c r="B4998" s="233" t="inlineStr">
        <is>
          <t>70230000</t>
        </is>
      </c>
      <c r="C4998" s="227" t="inlineStr">
        <is>
          <t>Ventes de produits interm</t>
        </is>
      </c>
      <c r="D4998" s="233" t="inlineStr">
        <is>
          <t>60</t>
        </is>
      </c>
      <c r="E4998" s="233" t="inlineStr">
        <is>
          <t>50</t>
        </is>
      </c>
      <c r="F4998" s="227" t="inlineStr">
        <is>
          <t>HTR8</t>
        </is>
      </c>
    </row>
    <row r="4999">
      <c r="A4999" s="227">
        <f>TL[[#This Row],[Société]]&amp;" - "&amp;TL[[#This Row],[Compte]]</f>
        <v/>
      </c>
      <c r="B4999" s="233" t="inlineStr">
        <is>
          <t>70600500</t>
        </is>
      </c>
      <c r="C4999" s="227" t="inlineStr">
        <is>
          <t>Transport Uber</t>
        </is>
      </c>
      <c r="D4999" s="233" t="inlineStr">
        <is>
          <t>60</t>
        </is>
      </c>
      <c r="E4999" s="233" t="inlineStr">
        <is>
          <t>35</t>
        </is>
      </c>
      <c r="F4999" s="227" t="inlineStr">
        <is>
          <t>HTR8</t>
        </is>
      </c>
    </row>
    <row r="5000">
      <c r="A5000" s="227">
        <f>TL[[#This Row],[Société]]&amp;" - "&amp;TL[[#This Row],[Compte]]</f>
        <v/>
      </c>
      <c r="B5000" s="233" t="inlineStr">
        <is>
          <t>70800000</t>
        </is>
      </c>
      <c r="C5000" s="227" t="inlineStr">
        <is>
          <t>Remise martin brower</t>
        </is>
      </c>
      <c r="D5000" s="233" t="inlineStr">
        <is>
          <t>06</t>
        </is>
      </c>
      <c r="E5000" s="233" t="inlineStr">
        <is>
          <t>03</t>
        </is>
      </c>
      <c r="F5000" s="227" t="inlineStr">
        <is>
          <t>HTR8</t>
        </is>
      </c>
    </row>
    <row r="5001">
      <c r="A5001" s="227">
        <f>TL[[#This Row],[Société]]&amp;" - "&amp;TL[[#This Row],[Compte]]</f>
        <v/>
      </c>
      <c r="B5001" s="233" t="inlineStr">
        <is>
          <t>70810000</t>
        </is>
      </c>
      <c r="C5001" s="227" t="inlineStr">
        <is>
          <t>Formation agefos</t>
        </is>
      </c>
      <c r="D5001" s="233" t="inlineStr">
        <is>
          <t>11</t>
        </is>
      </c>
      <c r="E5001" s="233" t="inlineStr">
        <is>
          <t>13</t>
        </is>
      </c>
      <c r="F5001" s="227" t="inlineStr">
        <is>
          <t>HTR8</t>
        </is>
      </c>
    </row>
    <row r="5002">
      <c r="A5002" s="227">
        <f>TL[[#This Row],[Société]]&amp;" - "&amp;TL[[#This Row],[Compte]]</f>
        <v/>
      </c>
      <c r="B5002" s="233" t="inlineStr">
        <is>
          <t>70810200</t>
        </is>
      </c>
      <c r="C5002" s="227" t="inlineStr">
        <is>
          <t>refacturation paper</t>
        </is>
      </c>
      <c r="D5002" s="233" t="inlineStr">
        <is>
          <t>03</t>
        </is>
      </c>
      <c r="E5002" s="233" t="inlineStr">
        <is>
          <t>06</t>
        </is>
      </c>
      <c r="F5002" s="227" t="inlineStr">
        <is>
          <t>HTR8</t>
        </is>
      </c>
    </row>
    <row r="5003">
      <c r="A5003" s="227">
        <f>TL[[#This Row],[Société]]&amp;" - "&amp;TL[[#This Row],[Compte]]</f>
        <v/>
      </c>
      <c r="B5003" s="233" t="inlineStr">
        <is>
          <t>70810300</t>
        </is>
      </c>
      <c r="C5003" s="227" t="inlineStr">
        <is>
          <t>Refacturation nourriture</t>
        </is>
      </c>
      <c r="D5003" s="233" t="inlineStr">
        <is>
          <t>06</t>
        </is>
      </c>
      <c r="E5003" s="233" t="inlineStr">
        <is>
          <t>03</t>
        </is>
      </c>
      <c r="F5003" s="227" t="inlineStr">
        <is>
          <t>HTR8</t>
        </is>
      </c>
    </row>
    <row r="5004">
      <c r="A5004" s="227">
        <f>TL[[#This Row],[Société]]&amp;" - "&amp;TL[[#This Row],[Compte]]</f>
        <v/>
      </c>
      <c r="B5004" s="233" t="inlineStr">
        <is>
          <t>70810400</t>
        </is>
      </c>
      <c r="C5004" s="227" t="inlineStr">
        <is>
          <t>Prêt de personnel managers</t>
        </is>
      </c>
      <c r="D5004" s="233" t="inlineStr">
        <is>
          <t>11</t>
        </is>
      </c>
      <c r="E5004" s="233" t="inlineStr">
        <is>
          <t>10</t>
        </is>
      </c>
      <c r="F5004" s="227" t="inlineStr">
        <is>
          <t>HTR8</t>
        </is>
      </c>
    </row>
    <row r="5005">
      <c r="A5005" s="227">
        <f>TL[[#This Row],[Société]]&amp;" - "&amp;TL[[#This Row],[Compte]]</f>
        <v/>
      </c>
      <c r="B5005" s="233" t="inlineStr">
        <is>
          <t>70810500</t>
        </is>
      </c>
      <c r="C5005" s="227" t="inlineStr">
        <is>
          <t>Refact outillage</t>
        </is>
      </c>
      <c r="D5005" s="233" t="inlineStr">
        <is>
          <t>19</t>
        </is>
      </c>
      <c r="E5005" s="233" t="inlineStr">
        <is>
          <t>18</t>
        </is>
      </c>
      <c r="F5005" s="227" t="inlineStr">
        <is>
          <t>HTR8</t>
        </is>
      </c>
    </row>
    <row r="5006">
      <c r="A5006" s="227">
        <f>TL[[#This Row],[Société]]&amp;" - "&amp;TL[[#This Row],[Compte]]</f>
        <v/>
      </c>
      <c r="B5006" s="233" t="inlineStr">
        <is>
          <t>70810600</t>
        </is>
      </c>
      <c r="C5006" s="227" t="inlineStr">
        <is>
          <t>Refact telephone wassa</t>
        </is>
      </c>
      <c r="D5006" s="233" t="inlineStr">
        <is>
          <t>20</t>
        </is>
      </c>
      <c r="E5006" s="233" t="inlineStr">
        <is>
          <t>24</t>
        </is>
      </c>
      <c r="F5006" s="227" t="inlineStr">
        <is>
          <t>HTR8</t>
        </is>
      </c>
    </row>
    <row r="5007">
      <c r="A5007" s="227">
        <f>TL[[#This Row],[Société]]&amp;" - "&amp;TL[[#This Row],[Compte]]</f>
        <v/>
      </c>
      <c r="B5007" s="233" t="inlineStr">
        <is>
          <t>70810700</t>
        </is>
      </c>
      <c r="C5007" s="227" t="inlineStr">
        <is>
          <t>Refacturation loyer mercedes wassa</t>
        </is>
      </c>
      <c r="D5007" s="233" t="inlineStr">
        <is>
          <t>39</t>
        </is>
      </c>
      <c r="E5007" s="233" t="inlineStr">
        <is>
          <t>40</t>
        </is>
      </c>
      <c r="F5007" s="227" t="inlineStr">
        <is>
          <t>HTR8</t>
        </is>
      </c>
    </row>
    <row r="5008">
      <c r="A5008" s="227">
        <f>TL[[#This Row],[Société]]&amp;" - "&amp;TL[[#This Row],[Compte]]</f>
        <v/>
      </c>
      <c r="B5008" s="233" t="inlineStr">
        <is>
          <t>70810800</t>
        </is>
      </c>
      <c r="C5008" s="227" t="inlineStr">
        <is>
          <t>Refacturation taxe vehicule ste</t>
        </is>
      </c>
      <c r="D5008" s="233" t="inlineStr">
        <is>
          <t>34</t>
        </is>
      </c>
      <c r="E5008" s="233" t="inlineStr">
        <is>
          <t>37</t>
        </is>
      </c>
      <c r="F5008" s="227" t="inlineStr">
        <is>
          <t>HTR8</t>
        </is>
      </c>
    </row>
    <row r="5009">
      <c r="A5009" s="227">
        <f>TL[[#This Row],[Société]]&amp;" - "&amp;TL[[#This Row],[Compte]]</f>
        <v/>
      </c>
      <c r="B5009" s="233" t="inlineStr">
        <is>
          <t>70810900</t>
        </is>
      </c>
      <c r="C5009" s="227" t="inlineStr">
        <is>
          <t>Refacturation assurance vehicule</t>
        </is>
      </c>
      <c r="D5009" s="233" t="inlineStr">
        <is>
          <t>39</t>
        </is>
      </c>
      <c r="E5009" s="233" t="inlineStr">
        <is>
          <t>40</t>
        </is>
      </c>
      <c r="F5009" s="227" t="inlineStr">
        <is>
          <t>HTR8</t>
        </is>
      </c>
    </row>
    <row r="5010">
      <c r="A5010" s="227">
        <f>TL[[#This Row],[Société]]&amp;" - "&amp;TL[[#This Row],[Compte]]</f>
        <v/>
      </c>
      <c r="B5010" s="233" t="inlineStr">
        <is>
          <t>70811000</t>
        </is>
      </c>
      <c r="C5010" s="227" t="inlineStr">
        <is>
          <t>Refacturations huiles</t>
        </is>
      </c>
      <c r="D5010" s="233" t="inlineStr">
        <is>
          <t>06</t>
        </is>
      </c>
      <c r="E5010" s="233" t="inlineStr">
        <is>
          <t>19</t>
        </is>
      </c>
      <c r="F5010" s="227" t="inlineStr">
        <is>
          <t>HTR8</t>
        </is>
      </c>
    </row>
    <row r="5011">
      <c r="A5011" s="227">
        <f>TL[[#This Row],[Société]]&amp;" - "&amp;TL[[#This Row],[Compte]]</f>
        <v/>
      </c>
      <c r="B5011" s="233" t="inlineStr">
        <is>
          <t>70811100</t>
        </is>
      </c>
      <c r="C5011" s="227" t="inlineStr">
        <is>
          <t>Refacturations travaux divers</t>
        </is>
      </c>
      <c r="D5011" s="233" t="inlineStr">
        <is>
          <t>19</t>
        </is>
      </c>
      <c r="E5011" s="233" t="inlineStr">
        <is>
          <t>19</t>
        </is>
      </c>
      <c r="F5011" s="227" t="inlineStr">
        <is>
          <t>HTR8</t>
        </is>
      </c>
    </row>
    <row r="5012">
      <c r="A5012" s="227">
        <f>TL[[#This Row],[Société]]&amp;" - "&amp;TL[[#This Row],[Compte]]</f>
        <v/>
      </c>
      <c r="B5012" s="233" t="inlineStr">
        <is>
          <t>70811200</t>
        </is>
      </c>
      <c r="C5012" s="227" t="inlineStr">
        <is>
          <t>Refacturation vehicule</t>
        </is>
      </c>
      <c r="D5012" s="233" t="inlineStr">
        <is>
          <t>39</t>
        </is>
      </c>
      <c r="E5012" s="233" t="inlineStr">
        <is>
          <t>40</t>
        </is>
      </c>
      <c r="F5012" s="227" t="inlineStr">
        <is>
          <t>HTR8</t>
        </is>
      </c>
    </row>
    <row r="5013">
      <c r="A5013" s="227">
        <f>TL[[#This Row],[Société]]&amp;" - "&amp;TL[[#This Row],[Compte]]</f>
        <v/>
      </c>
      <c r="B5013" s="233" t="inlineStr">
        <is>
          <t>70811300</t>
        </is>
      </c>
      <c r="C5013" s="227" t="inlineStr">
        <is>
          <t>refacturation entretien</t>
        </is>
      </c>
      <c r="D5013" s="233" t="inlineStr">
        <is>
          <t>19</t>
        </is>
      </c>
      <c r="E5013" s="233" t="inlineStr">
        <is>
          <t>18</t>
        </is>
      </c>
      <c r="F5013" s="227" t="inlineStr">
        <is>
          <t>HTR8</t>
        </is>
      </c>
    </row>
    <row r="5014">
      <c r="A5014" s="227">
        <f>TL[[#This Row],[Société]]&amp;" - "&amp;TL[[#This Row],[Compte]]</f>
        <v/>
      </c>
      <c r="B5014" s="233" t="inlineStr">
        <is>
          <t>70811400</t>
        </is>
      </c>
      <c r="C5014" s="227" t="inlineStr">
        <is>
          <t>refacturation entretien vehicule</t>
        </is>
      </c>
      <c r="D5014" s="233" t="inlineStr">
        <is>
          <t>39</t>
        </is>
      </c>
      <c r="E5014" s="233" t="inlineStr">
        <is>
          <t>40</t>
        </is>
      </c>
      <c r="F5014" s="227" t="inlineStr">
        <is>
          <t>HTR8</t>
        </is>
      </c>
    </row>
    <row r="5015">
      <c r="A5015" s="227">
        <f>TL[[#This Row],[Société]]&amp;" - "&amp;TL[[#This Row],[Compte]]</f>
        <v/>
      </c>
      <c r="B5015" s="233" t="inlineStr">
        <is>
          <t>70812000</t>
        </is>
      </c>
      <c r="C5015" s="227" t="inlineStr">
        <is>
          <t>Refacturation gie mcdonalds</t>
        </is>
      </c>
      <c r="D5015" s="233" t="inlineStr">
        <is>
          <t>15</t>
        </is>
      </c>
      <c r="E5015" s="233" t="inlineStr">
        <is>
          <t>22</t>
        </is>
      </c>
      <c r="F5015" s="227" t="inlineStr">
        <is>
          <t>HTR8</t>
        </is>
      </c>
    </row>
    <row r="5016">
      <c r="A5016" s="227">
        <f>TL[[#This Row],[Société]]&amp;" - "&amp;TL[[#This Row],[Compte]]</f>
        <v/>
      </c>
      <c r="B5016" s="233" t="inlineStr">
        <is>
          <t>70813000</t>
        </is>
      </c>
      <c r="C5016" s="227" t="inlineStr">
        <is>
          <t>Mise a disposition jnal ouest franc</t>
        </is>
      </c>
      <c r="D5016" s="233" t="inlineStr">
        <is>
          <t>23</t>
        </is>
      </c>
      <c r="E5016" s="233" t="inlineStr">
        <is>
          <t>27</t>
        </is>
      </c>
      <c r="F5016" s="227" t="inlineStr">
        <is>
          <t>HTR8</t>
        </is>
      </c>
    </row>
    <row r="5017">
      <c r="A5017" s="227">
        <f>TL[[#This Row],[Société]]&amp;" - "&amp;TL[[#This Row],[Compte]]</f>
        <v/>
      </c>
      <c r="B5017" s="233" t="inlineStr">
        <is>
          <t>70814000</t>
        </is>
      </c>
      <c r="C5017" s="227" t="inlineStr">
        <is>
          <t>Refacturation cadeaux anniv</t>
        </is>
      </c>
      <c r="D5017" s="233" t="inlineStr">
        <is>
          <t>15</t>
        </is>
      </c>
      <c r="E5017" s="233" t="inlineStr">
        <is>
          <t>23</t>
        </is>
      </c>
      <c r="F5017" s="227" t="inlineStr">
        <is>
          <t>HTR8</t>
        </is>
      </c>
    </row>
    <row r="5018">
      <c r="A5018" s="227">
        <f>TL[[#This Row],[Société]]&amp;" - "&amp;TL[[#This Row],[Compte]]</f>
        <v/>
      </c>
      <c r="B5018" s="233" t="inlineStr">
        <is>
          <t>70815000</t>
        </is>
      </c>
      <c r="C5018" s="227" t="inlineStr">
        <is>
          <t>Refact salaire equipiers</t>
        </is>
      </c>
      <c r="D5018" s="233" t="inlineStr">
        <is>
          <t>10</t>
        </is>
      </c>
      <c r="E5018" s="233" t="inlineStr">
        <is>
          <t>08</t>
        </is>
      </c>
      <c r="F5018" s="227" t="inlineStr">
        <is>
          <t>HTR8</t>
        </is>
      </c>
    </row>
    <row r="5019">
      <c r="A5019" s="227">
        <f>TL[[#This Row],[Société]]&amp;" - "&amp;TL[[#This Row],[Compte]]</f>
        <v/>
      </c>
      <c r="B5019" s="233" t="inlineStr">
        <is>
          <t>70816000</t>
        </is>
      </c>
      <c r="C5019" s="227" t="inlineStr">
        <is>
          <t>Refacturation publicite</t>
        </is>
      </c>
      <c r="D5019" s="233" t="inlineStr">
        <is>
          <t>15</t>
        </is>
      </c>
      <c r="E5019" s="233" t="inlineStr">
        <is>
          <t>22</t>
        </is>
      </c>
      <c r="F5019" s="227" t="inlineStr">
        <is>
          <t>HTR8</t>
        </is>
      </c>
    </row>
    <row r="5020">
      <c r="A5020" s="227">
        <f>TL[[#This Row],[Société]]&amp;" - "&amp;TL[[#This Row],[Compte]]</f>
        <v/>
      </c>
      <c r="B5020" s="233" t="inlineStr">
        <is>
          <t>70817000</t>
        </is>
      </c>
      <c r="C5020" s="227" t="inlineStr">
        <is>
          <t>Refacturation loyer clio wassa</t>
        </is>
      </c>
      <c r="D5020" s="233" t="inlineStr">
        <is>
          <t>39</t>
        </is>
      </c>
      <c r="E5020" s="233" t="inlineStr">
        <is>
          <t>40</t>
        </is>
      </c>
      <c r="F5020" s="227" t="inlineStr">
        <is>
          <t>HTR8</t>
        </is>
      </c>
    </row>
    <row r="5021">
      <c r="A5021" s="227">
        <f>TL[[#This Row],[Société]]&amp;" - "&amp;TL[[#This Row],[Compte]]</f>
        <v/>
      </c>
      <c r="B5021" s="233" t="inlineStr">
        <is>
          <t>70817100</t>
        </is>
      </c>
      <c r="C5021" s="227" t="inlineStr">
        <is>
          <t>Refact voiture bun rath</t>
        </is>
      </c>
      <c r="D5021" s="233" t="inlineStr">
        <is>
          <t>39</t>
        </is>
      </c>
      <c r="E5021" s="233" t="inlineStr">
        <is>
          <t>40</t>
        </is>
      </c>
      <c r="F5021" s="227" t="inlineStr">
        <is>
          <t>HTR8</t>
        </is>
      </c>
    </row>
    <row r="5022">
      <c r="A5022" s="227">
        <f>TL[[#This Row],[Société]]&amp;" - "&amp;TL[[#This Row],[Compte]]</f>
        <v/>
      </c>
      <c r="B5022" s="233" t="inlineStr">
        <is>
          <t>70817200</t>
        </is>
      </c>
      <c r="C5022" s="227" t="inlineStr">
        <is>
          <t>refacturation fourn bureau</t>
        </is>
      </c>
      <c r="D5022" s="233" t="inlineStr">
        <is>
          <t>21</t>
        </is>
      </c>
      <c r="E5022" s="233" t="inlineStr">
        <is>
          <t>25</t>
        </is>
      </c>
      <c r="F5022" s="227" t="inlineStr">
        <is>
          <t>HTR8</t>
        </is>
      </c>
    </row>
    <row r="5023">
      <c r="A5023" s="227">
        <f>TL[[#This Row],[Société]]&amp;" - "&amp;TL[[#This Row],[Compte]]</f>
        <v/>
      </c>
      <c r="B5023" s="233" t="inlineStr">
        <is>
          <t>70817300</t>
        </is>
      </c>
      <c r="C5023" s="227" t="inlineStr">
        <is>
          <t>Refacturation loy veh marine a1</t>
        </is>
      </c>
      <c r="D5023" s="233" t="inlineStr">
        <is>
          <t>39</t>
        </is>
      </c>
      <c r="E5023" s="233" t="inlineStr">
        <is>
          <t>40</t>
        </is>
      </c>
      <c r="F5023" s="227" t="inlineStr">
        <is>
          <t>HTR8</t>
        </is>
      </c>
    </row>
    <row r="5024">
      <c r="A5024" s="227">
        <f>TL[[#This Row],[Société]]&amp;" - "&amp;TL[[#This Row],[Compte]]</f>
        <v/>
      </c>
      <c r="B5024" s="233" t="inlineStr">
        <is>
          <t>70817400</t>
        </is>
      </c>
      <c r="C5024" s="227" t="inlineStr">
        <is>
          <t>refacturation vetements</t>
        </is>
      </c>
      <c r="D5024" s="233" t="inlineStr">
        <is>
          <t>17</t>
        </is>
      </c>
      <c r="E5024" s="233" t="inlineStr">
        <is>
          <t>27</t>
        </is>
      </c>
      <c r="F5024" s="227" t="inlineStr">
        <is>
          <t>HTR8</t>
        </is>
      </c>
    </row>
    <row r="5025">
      <c r="A5025" s="227">
        <f>TL[[#This Row],[Société]]&amp;" - "&amp;TL[[#This Row],[Compte]]</f>
        <v/>
      </c>
      <c r="B5025" s="233" t="inlineStr">
        <is>
          <t>70817500</t>
        </is>
      </c>
      <c r="C5025" s="227" t="inlineStr">
        <is>
          <t>Refacturation restaurant</t>
        </is>
      </c>
      <c r="D5025" s="233" t="inlineStr">
        <is>
          <t>13</t>
        </is>
      </c>
      <c r="E5025" s="233" t="inlineStr">
        <is>
          <t>26</t>
        </is>
      </c>
      <c r="F5025" s="227" t="inlineStr">
        <is>
          <t>HTR8</t>
        </is>
      </c>
    </row>
    <row r="5026">
      <c r="A5026" s="227">
        <f>TL[[#This Row],[Société]]&amp;" - "&amp;TL[[#This Row],[Compte]]</f>
        <v/>
      </c>
      <c r="B5026" s="233" t="inlineStr">
        <is>
          <t>70817600</t>
        </is>
      </c>
      <c r="C5026" s="227" t="inlineStr">
        <is>
          <t>Refatcuration carburant</t>
        </is>
      </c>
      <c r="D5026" s="233" t="inlineStr">
        <is>
          <t>39</t>
        </is>
      </c>
      <c r="E5026" s="233" t="inlineStr">
        <is>
          <t>40</t>
        </is>
      </c>
      <c r="F5026" s="227" t="inlineStr">
        <is>
          <t>HTR8</t>
        </is>
      </c>
    </row>
    <row r="5027">
      <c r="A5027" s="227">
        <f>TL[[#This Row],[Société]]&amp;" - "&amp;TL[[#This Row],[Compte]]</f>
        <v/>
      </c>
      <c r="B5027" s="233" t="inlineStr">
        <is>
          <t>70817700</t>
        </is>
      </c>
      <c r="C5027" s="227" t="inlineStr">
        <is>
          <t>refacturation jouets hm</t>
        </is>
      </c>
      <c r="D5027" s="233" t="inlineStr">
        <is>
          <t>62</t>
        </is>
      </c>
      <c r="E5027" s="233" t="inlineStr">
        <is>
          <t>50</t>
        </is>
      </c>
      <c r="F5027" s="227" t="inlineStr">
        <is>
          <t>HTR8</t>
        </is>
      </c>
    </row>
    <row r="5028">
      <c r="A5028" s="227">
        <f>TL[[#This Row],[Société]]&amp;" - "&amp;TL[[#This Row],[Compte]]</f>
        <v/>
      </c>
      <c r="B5028" s="233" t="inlineStr">
        <is>
          <t>70818000</t>
        </is>
      </c>
      <c r="C5028" s="227" t="inlineStr">
        <is>
          <t>Refact frais profes</t>
        </is>
      </c>
      <c r="D5028" s="233" t="inlineStr">
        <is>
          <t>13</t>
        </is>
      </c>
      <c r="E5028" s="233" t="inlineStr">
        <is>
          <t>26</t>
        </is>
      </c>
      <c r="F5028" s="227" t="inlineStr">
        <is>
          <t>HTR8</t>
        </is>
      </c>
    </row>
    <row r="5029">
      <c r="A5029" s="227">
        <f>TL[[#This Row],[Société]]&amp;" - "&amp;TL[[#This Row],[Compte]]</f>
        <v/>
      </c>
      <c r="B5029" s="233" t="inlineStr">
        <is>
          <t>70819000</t>
        </is>
      </c>
      <c r="C5029" s="227" t="inlineStr">
        <is>
          <t>Refact entretien vehicule</t>
        </is>
      </c>
      <c r="D5029" s="233" t="inlineStr">
        <is>
          <t>39</t>
        </is>
      </c>
      <c r="E5029" s="233" t="inlineStr">
        <is>
          <t>40</t>
        </is>
      </c>
      <c r="F5029" s="227" t="inlineStr">
        <is>
          <t>HTR8</t>
        </is>
      </c>
    </row>
    <row r="5030">
      <c r="A5030" s="227">
        <f>TL[[#This Row],[Société]]&amp;" - "&amp;TL[[#This Row],[Compte]]</f>
        <v/>
      </c>
      <c r="B5030" s="233" t="inlineStr">
        <is>
          <t>70819100</t>
        </is>
      </c>
      <c r="C5030" s="227" t="inlineStr">
        <is>
          <t>Refact véhicule Rego</t>
        </is>
      </c>
      <c r="D5030" s="233" t="inlineStr">
        <is>
          <t>39</t>
        </is>
      </c>
      <c r="E5030" s="233" t="inlineStr">
        <is>
          <t>40</t>
        </is>
      </c>
      <c r="F5030" s="227" t="inlineStr">
        <is>
          <t>HTR8</t>
        </is>
      </c>
    </row>
    <row r="5031">
      <c r="A5031" s="227">
        <f>TL[[#This Row],[Société]]&amp;" - "&amp;TL[[#This Row],[Compte]]</f>
        <v/>
      </c>
      <c r="B5031" s="233" t="inlineStr">
        <is>
          <t>70819200</t>
        </is>
      </c>
      <c r="C5031" s="227" t="inlineStr">
        <is>
          <t>Refact véhicule Fernandez</t>
        </is>
      </c>
      <c r="D5031" s="233" t="inlineStr">
        <is>
          <t>39</t>
        </is>
      </c>
      <c r="E5031" s="233" t="inlineStr">
        <is>
          <t>40</t>
        </is>
      </c>
      <c r="F5031" s="227" t="inlineStr">
        <is>
          <t>HTR8</t>
        </is>
      </c>
    </row>
    <row r="5032">
      <c r="A5032" s="227">
        <f>TL[[#This Row],[Société]]&amp;" - "&amp;TL[[#This Row],[Compte]]</f>
        <v/>
      </c>
      <c r="B5032" s="233" t="inlineStr">
        <is>
          <t>70819300</t>
        </is>
      </c>
      <c r="C5032" s="227" t="inlineStr">
        <is>
          <t>Refact véhicule Lanos</t>
        </is>
      </c>
      <c r="D5032" s="233" t="inlineStr">
        <is>
          <t>39</t>
        </is>
      </c>
      <c r="E5032" s="233" t="inlineStr">
        <is>
          <t>40</t>
        </is>
      </c>
      <c r="F5032" s="227" t="inlineStr">
        <is>
          <t>HTR8</t>
        </is>
      </c>
    </row>
    <row r="5033">
      <c r="A5033" s="227">
        <f>TL[[#This Row],[Société]]&amp;" - "&amp;TL[[#This Row],[Compte]]</f>
        <v/>
      </c>
      <c r="B5033" s="233" t="inlineStr">
        <is>
          <t>70819400</t>
        </is>
      </c>
      <c r="C5033" s="227" t="inlineStr">
        <is>
          <t>Refact véhicule Phoeuk</t>
        </is>
      </c>
      <c r="D5033" s="233" t="inlineStr">
        <is>
          <t>39</t>
        </is>
      </c>
      <c r="E5033" s="233" t="inlineStr">
        <is>
          <t>40</t>
        </is>
      </c>
      <c r="F5033" s="227" t="inlineStr">
        <is>
          <t>HTR8</t>
        </is>
      </c>
    </row>
    <row r="5034">
      <c r="A5034" s="227">
        <f>TL[[#This Row],[Société]]&amp;" - "&amp;TL[[#This Row],[Compte]]</f>
        <v/>
      </c>
      <c r="B5034" s="233" t="inlineStr">
        <is>
          <t>72610000</t>
        </is>
      </c>
      <c r="C5034" s="227" t="inlineStr">
        <is>
          <t>Avantages en nature équipier</t>
        </is>
      </c>
      <c r="D5034" s="233" t="inlineStr">
        <is>
          <t>10</t>
        </is>
      </c>
      <c r="E5034" s="233" t="inlineStr">
        <is>
          <t>08</t>
        </is>
      </c>
      <c r="F5034" s="227" t="inlineStr">
        <is>
          <t>HTR8</t>
        </is>
      </c>
    </row>
    <row r="5035">
      <c r="A5035" s="227">
        <f>TL[[#This Row],[Société]]&amp;" - "&amp;TL[[#This Row],[Compte]]</f>
        <v/>
      </c>
      <c r="B5035" s="233" t="inlineStr">
        <is>
          <t>72611000</t>
        </is>
      </c>
      <c r="C5035" s="227" t="inlineStr">
        <is>
          <t>Avantage en nature managers</t>
        </is>
      </c>
      <c r="D5035" s="233" t="inlineStr">
        <is>
          <t>11</t>
        </is>
      </c>
      <c r="E5035" s="233" t="inlineStr">
        <is>
          <t>10</t>
        </is>
      </c>
      <c r="F5035" s="227" t="inlineStr">
        <is>
          <t>HTR8</t>
        </is>
      </c>
    </row>
    <row r="5036">
      <c r="A5036" s="227">
        <f>TL[[#This Row],[Société]]&amp;" - "&amp;TL[[#This Row],[Compte]]</f>
        <v/>
      </c>
      <c r="B5036" s="233" t="inlineStr">
        <is>
          <t>74000000</t>
        </is>
      </c>
      <c r="C5036" s="227" t="inlineStr">
        <is>
          <t>Contrat aide drfip</t>
        </is>
      </c>
      <c r="D5036" s="233" t="inlineStr">
        <is>
          <t>39</t>
        </is>
      </c>
      <c r="E5036" s="233" t="inlineStr">
        <is>
          <t>45</t>
        </is>
      </c>
      <c r="F5036" s="227" t="inlineStr">
        <is>
          <t>HTR8</t>
        </is>
      </c>
    </row>
    <row r="5037">
      <c r="A5037" s="227">
        <f>TL[[#This Row],[Société]]&amp;" - "&amp;TL[[#This Row],[Compte]]</f>
        <v/>
      </c>
      <c r="B5037" s="233" t="inlineStr">
        <is>
          <t>74010000</t>
        </is>
      </c>
      <c r="C5037" s="227" t="inlineStr">
        <is>
          <t>Subvention exploitation</t>
        </is>
      </c>
      <c r="D5037" s="233" t="inlineStr">
        <is>
          <t>39</t>
        </is>
      </c>
      <c r="E5037" s="233" t="inlineStr">
        <is>
          <t>45</t>
        </is>
      </c>
      <c r="F5037" s="227" t="inlineStr">
        <is>
          <t>HTR8</t>
        </is>
      </c>
    </row>
    <row r="5038">
      <c r="A5038" s="227">
        <f>TL[[#This Row],[Société]]&amp;" - "&amp;TL[[#This Row],[Compte]]</f>
        <v/>
      </c>
      <c r="B5038" s="233" t="inlineStr">
        <is>
          <t>74041000</t>
        </is>
      </c>
      <c r="C5038" s="227" t="inlineStr">
        <is>
          <t>aide fonds solidarité</t>
        </is>
      </c>
      <c r="D5038" s="233" t="inlineStr">
        <is>
          <t>39</t>
        </is>
      </c>
      <c r="E5038" s="233" t="inlineStr">
        <is>
          <t>45</t>
        </is>
      </c>
      <c r="F5038" s="227" t="inlineStr">
        <is>
          <t>HTR8</t>
        </is>
      </c>
    </row>
    <row r="5039">
      <c r="A5039" s="227">
        <f>TL[[#This Row],[Société]]&amp;" - "&amp;TL[[#This Row],[Compte]]</f>
        <v/>
      </c>
      <c r="B5039" s="233" t="inlineStr">
        <is>
          <t>75800000</t>
        </is>
      </c>
      <c r="C5039" s="227" t="inlineStr">
        <is>
          <t>Produits divers gestion courante</t>
        </is>
      </c>
      <c r="D5039" s="233" t="inlineStr">
        <is>
          <t>39</t>
        </is>
      </c>
      <c r="E5039" s="233" t="inlineStr">
        <is>
          <t>27</t>
        </is>
      </c>
      <c r="F5039" s="227" t="inlineStr">
        <is>
          <t>HTR8</t>
        </is>
      </c>
    </row>
    <row r="5040">
      <c r="A5040" s="227">
        <f>TL[[#This Row],[Société]]&amp;" - "&amp;TL[[#This Row],[Compte]]</f>
        <v/>
      </c>
      <c r="B5040" s="233" t="inlineStr">
        <is>
          <t>76150000</t>
        </is>
      </c>
      <c r="C5040" s="227" t="inlineStr">
        <is>
          <t>Intérêts des comptes courants</t>
        </is>
      </c>
      <c r="D5040" s="240" t="inlineStr">
        <is>
          <t>38</t>
        </is>
      </c>
      <c r="E5040" s="240" t="inlineStr">
        <is>
          <t>42</t>
        </is>
      </c>
      <c r="F5040" s="227" t="inlineStr">
        <is>
          <t>HTR8</t>
        </is>
      </c>
    </row>
    <row r="5041">
      <c r="A5041" s="227">
        <f>TL[[#This Row],[Société]]&amp;" - "&amp;TL[[#This Row],[Compte]]</f>
        <v/>
      </c>
      <c r="B5041" s="233" t="inlineStr">
        <is>
          <t>76400000</t>
        </is>
      </c>
      <c r="C5041" s="227" t="inlineStr">
        <is>
          <t>Revenus des vmp</t>
        </is>
      </c>
      <c r="F5041" s="227" t="inlineStr">
        <is>
          <t>HTR8</t>
        </is>
      </c>
    </row>
    <row r="5042">
      <c r="A5042" s="227">
        <f>TL[[#This Row],[Société]]&amp;" - "&amp;TL[[#This Row],[Compte]]</f>
        <v/>
      </c>
      <c r="B5042" s="233" t="inlineStr">
        <is>
          <t>76700000</t>
        </is>
      </c>
      <c r="C5042" s="227" t="inlineStr">
        <is>
          <t>Revenus financiers</t>
        </is>
      </c>
      <c r="D5042" s="233" t="inlineStr">
        <is>
          <t>38</t>
        </is>
      </c>
      <c r="E5042" s="233" t="inlineStr">
        <is>
          <t>42</t>
        </is>
      </c>
      <c r="F5042" s="227" t="inlineStr">
        <is>
          <t>HTR8</t>
        </is>
      </c>
    </row>
    <row r="5043">
      <c r="A5043" s="227">
        <f>TL[[#This Row],[Société]]&amp;" - "&amp;TL[[#This Row],[Compte]]</f>
        <v/>
      </c>
      <c r="B5043" s="233" t="inlineStr">
        <is>
          <t>76810000</t>
        </is>
      </c>
      <c r="C5043" s="227" t="inlineStr">
        <is>
          <t>Produits s/placement cpte à terme</t>
        </is>
      </c>
      <c r="D5043" s="233" t="inlineStr">
        <is>
          <t>38</t>
        </is>
      </c>
      <c r="E5043" s="233" t="inlineStr">
        <is>
          <t>42</t>
        </is>
      </c>
      <c r="F5043" s="227" t="inlineStr">
        <is>
          <t>HTR8</t>
        </is>
      </c>
    </row>
    <row r="5044">
      <c r="A5044" s="227">
        <f>TL[[#This Row],[Société]]&amp;" - "&amp;TL[[#This Row],[Compte]]</f>
        <v/>
      </c>
      <c r="B5044" s="233" t="inlineStr">
        <is>
          <t>77100000</t>
        </is>
      </c>
      <c r="C5044" s="227" t="inlineStr">
        <is>
          <t>Produits exceptionnels</t>
        </is>
      </c>
      <c r="D5044" s="233" t="inlineStr">
        <is>
          <t>39</t>
        </is>
      </c>
      <c r="E5044" s="233" t="inlineStr">
        <is>
          <t>45</t>
        </is>
      </c>
      <c r="F5044" s="227" t="inlineStr">
        <is>
          <t>HTR8</t>
        </is>
      </c>
    </row>
    <row r="5045">
      <c r="A5045" s="227">
        <f>TL[[#This Row],[Société]]&amp;" - "&amp;TL[[#This Row],[Compte]]</f>
        <v/>
      </c>
      <c r="B5045" s="233" t="inlineStr">
        <is>
          <t>77110000</t>
        </is>
      </c>
      <c r="C5045" s="227" t="inlineStr">
        <is>
          <t>Ecarts de caisse</t>
        </is>
      </c>
      <c r="D5045" s="233" t="inlineStr">
        <is>
          <t>22</t>
        </is>
      </c>
      <c r="E5045" s="233" t="inlineStr">
        <is>
          <t>27</t>
        </is>
      </c>
      <c r="F5045" s="227" t="inlineStr">
        <is>
          <t>HTR8</t>
        </is>
      </c>
    </row>
    <row r="5046">
      <c r="A5046" s="227">
        <f>TL[[#This Row],[Société]]&amp;" - "&amp;TL[[#This Row],[Compte]]</f>
        <v/>
      </c>
      <c r="B5046" s="233" t="inlineStr">
        <is>
          <t>77500000</t>
        </is>
      </c>
      <c r="C5046" s="227" t="inlineStr">
        <is>
          <t>Produit de cession d'element d'acti</t>
        </is>
      </c>
      <c r="F5046" s="227" t="inlineStr">
        <is>
          <t>HTR8</t>
        </is>
      </c>
    </row>
    <row r="5047">
      <c r="A5047" s="227">
        <f>TL[[#This Row],[Société]]&amp;" - "&amp;TL[[#This Row],[Compte]]</f>
        <v/>
      </c>
      <c r="B5047" s="233" t="inlineStr">
        <is>
          <t>78111000</t>
        </is>
      </c>
      <c r="C5047" s="227" t="inlineStr">
        <is>
          <t>Repris.s/amort. immob. incorporelle</t>
        </is>
      </c>
      <c r="F5047" s="227" t="inlineStr">
        <is>
          <t>HTR8</t>
        </is>
      </c>
    </row>
    <row r="5048">
      <c r="A5048" s="227">
        <f>TL[[#This Row],[Société]]&amp;" - "&amp;TL[[#This Row],[Compte]]</f>
        <v/>
      </c>
      <c r="B5048" s="233" t="inlineStr">
        <is>
          <t>78112000</t>
        </is>
      </c>
      <c r="C5048" s="227" t="inlineStr">
        <is>
          <t>Repris.s/amort. immob. corporelle</t>
        </is>
      </c>
      <c r="F5048" s="227" t="inlineStr">
        <is>
          <t>HTR8</t>
        </is>
      </c>
    </row>
    <row r="5049">
      <c r="A5049" s="227">
        <f>TL[[#This Row],[Société]]&amp;" - "&amp;TL[[#This Row],[Compte]]</f>
        <v/>
      </c>
      <c r="B5049" s="233" t="inlineStr">
        <is>
          <t>78150000</t>
        </is>
      </c>
      <c r="C5049" s="227" t="inlineStr">
        <is>
          <t>Repris.s/provis.risques &amp; charges</t>
        </is>
      </c>
      <c r="D5049" s="233" t="inlineStr">
        <is>
          <t>36</t>
        </is>
      </c>
      <c r="E5049" s="233" t="inlineStr">
        <is>
          <t>38</t>
        </is>
      </c>
      <c r="F5049" s="227" t="inlineStr">
        <is>
          <t>HTR8</t>
        </is>
      </c>
    </row>
    <row r="5050">
      <c r="A5050" s="227">
        <f>TL[[#This Row],[Société]]&amp;" - "&amp;TL[[#This Row],[Compte]]</f>
        <v/>
      </c>
      <c r="B5050" s="233" t="inlineStr">
        <is>
          <t>78725000</t>
        </is>
      </c>
      <c r="C5050" s="227" t="inlineStr">
        <is>
          <t>Reprises amortissements dérogatoire</t>
        </is>
      </c>
      <c r="F5050" s="227" t="inlineStr">
        <is>
          <t>HTR8</t>
        </is>
      </c>
    </row>
    <row r="5051">
      <c r="A5051" s="227">
        <f>TL[[#This Row],[Société]]&amp;" - "&amp;TL[[#This Row],[Compte]]</f>
        <v/>
      </c>
      <c r="B5051" s="233" t="inlineStr">
        <is>
          <t>79100000</t>
        </is>
      </c>
      <c r="C5051" s="227" t="inlineStr">
        <is>
          <t>Transfert charges</t>
        </is>
      </c>
      <c r="D5051" s="233" t="inlineStr">
        <is>
          <t>10</t>
        </is>
      </c>
      <c r="E5051" s="233" t="inlineStr">
        <is>
          <t>08</t>
        </is>
      </c>
      <c r="F5051" s="227" t="inlineStr">
        <is>
          <t>HTR8</t>
        </is>
      </c>
    </row>
    <row r="5052">
      <c r="A5052" s="227">
        <f>TL[[#This Row],[Société]]&amp;" - "&amp;TL[[#This Row],[Compte]]</f>
        <v/>
      </c>
      <c r="B5052" s="233" t="inlineStr">
        <is>
          <t>79110000</t>
        </is>
      </c>
      <c r="C5052" s="227" t="inlineStr">
        <is>
          <t>Transfert affectant marge comm.</t>
        </is>
      </c>
      <c r="F5052" s="227" t="inlineStr">
        <is>
          <t>HTR8</t>
        </is>
      </c>
    </row>
    <row r="5053">
      <c r="A5053" s="227">
        <f>TL[[#This Row],[Société]]&amp;" - "&amp;TL[[#This Row],[Compte]]</f>
        <v/>
      </c>
      <c r="B5053" s="233" t="inlineStr">
        <is>
          <t>79110100</t>
        </is>
      </c>
      <c r="C5053" s="227" t="inlineStr">
        <is>
          <t>Avantages en nat.equipiers</t>
        </is>
      </c>
      <c r="D5053" s="233" t="inlineStr">
        <is>
          <t>10</t>
        </is>
      </c>
      <c r="E5053" s="233" t="inlineStr">
        <is>
          <t>08</t>
        </is>
      </c>
      <c r="F5053" s="227" t="inlineStr">
        <is>
          <t>HTR8</t>
        </is>
      </c>
    </row>
    <row r="5054">
      <c r="A5054" s="227">
        <f>TL[[#This Row],[Société]]&amp;" - "&amp;TL[[#This Row],[Compte]]</f>
        <v/>
      </c>
      <c r="B5054" s="233" t="inlineStr">
        <is>
          <t>79110400</t>
        </is>
      </c>
      <c r="C5054" s="227" t="inlineStr">
        <is>
          <t>Avantages en nat.managers</t>
        </is>
      </c>
      <c r="D5054" s="233" t="inlineStr">
        <is>
          <t>11</t>
        </is>
      </c>
      <c r="E5054" s="233" t="inlineStr">
        <is>
          <t>10</t>
        </is>
      </c>
      <c r="F5054" s="227" t="inlineStr">
        <is>
          <t>HTR8</t>
        </is>
      </c>
    </row>
    <row r="5055">
      <c r="A5055" s="227">
        <f>TL[[#This Row],[Société]]&amp;" - "&amp;TL[[#This Row],[Compte]]</f>
        <v/>
      </c>
      <c r="B5055" s="233" t="inlineStr">
        <is>
          <t>79110500</t>
        </is>
      </c>
      <c r="C5055" s="227" t="inlineStr">
        <is>
          <t>Avantage en nature voiture</t>
        </is>
      </c>
      <c r="D5055" s="233" t="inlineStr">
        <is>
          <t>11</t>
        </is>
      </c>
      <c r="E5055" s="233" t="inlineStr">
        <is>
          <t>10</t>
        </is>
      </c>
      <c r="F5055" s="227" t="inlineStr">
        <is>
          <t>HTR8</t>
        </is>
      </c>
    </row>
    <row r="5056">
      <c r="A5056" s="227">
        <f>TL[[#This Row],[Société]]&amp;" - "&amp;TL[[#This Row],[Compte]]</f>
        <v/>
      </c>
      <c r="B5056" s="233" t="inlineStr">
        <is>
          <t>79111000</t>
        </is>
      </c>
      <c r="C5056" s="227" t="inlineStr">
        <is>
          <t>Avantage nature equipiers</t>
        </is>
      </c>
      <c r="D5056" s="233" t="inlineStr">
        <is>
          <t>10</t>
        </is>
      </c>
      <c r="E5056" s="233" t="inlineStr">
        <is>
          <t>08</t>
        </is>
      </c>
      <c r="F5056" s="227" t="inlineStr">
        <is>
          <t>HTR8</t>
        </is>
      </c>
    </row>
    <row r="5057">
      <c r="A5057" s="227">
        <f>TL[[#This Row],[Société]]&amp;" - "&amp;TL[[#This Row],[Compte]]</f>
        <v/>
      </c>
      <c r="B5057" s="233" t="inlineStr">
        <is>
          <t>89000000</t>
        </is>
      </c>
      <c r="C5057" s="227" t="inlineStr">
        <is>
          <t>Compte de bilan</t>
        </is>
      </c>
      <c r="F5057" s="227" t="inlineStr">
        <is>
          <t>HTR8</t>
        </is>
      </c>
    </row>
    <row r="5058">
      <c r="A5058" s="227">
        <f>TL[[#This Row],[Société]]&amp;" - "&amp;TL[[#This Row],[Compte]]</f>
        <v/>
      </c>
      <c r="B5058" s="233" t="inlineStr">
        <is>
          <t>101300</t>
        </is>
      </c>
      <c r="C5058" s="227" t="inlineStr">
        <is>
          <t>Capit.souscrit appele verse</t>
        </is>
      </c>
      <c r="F5058" s="227" t="inlineStr">
        <is>
          <t>GLR5</t>
        </is>
      </c>
    </row>
    <row r="5059">
      <c r="A5059" s="227">
        <f>TL[[#This Row],[Société]]&amp;" - "&amp;TL[[#This Row],[Compte]]</f>
        <v/>
      </c>
      <c r="B5059" s="233" t="inlineStr">
        <is>
          <t>106100</t>
        </is>
      </c>
      <c r="C5059" s="227" t="inlineStr">
        <is>
          <t>Reserve legale</t>
        </is>
      </c>
      <c r="F5059" s="227" t="inlineStr">
        <is>
          <t>GLR5</t>
        </is>
      </c>
    </row>
    <row r="5060">
      <c r="A5060" s="227">
        <f>TL[[#This Row],[Société]]&amp;" - "&amp;TL[[#This Row],[Compte]]</f>
        <v/>
      </c>
      <c r="B5060" s="233" t="inlineStr">
        <is>
          <t>106800</t>
        </is>
      </c>
      <c r="C5060" s="227" t="inlineStr">
        <is>
          <t>Autres reserves</t>
        </is>
      </c>
      <c r="F5060" s="227" t="inlineStr">
        <is>
          <t>GLR5</t>
        </is>
      </c>
    </row>
    <row r="5061">
      <c r="A5061" s="227">
        <f>TL[[#This Row],[Société]]&amp;" - "&amp;TL[[#This Row],[Compte]]</f>
        <v/>
      </c>
      <c r="B5061" s="233" t="inlineStr">
        <is>
          <t>120000</t>
        </is>
      </c>
      <c r="C5061" s="227" t="inlineStr">
        <is>
          <t>Bénéfice</t>
        </is>
      </c>
      <c r="F5061" s="227" t="inlineStr">
        <is>
          <t>GLR5</t>
        </is>
      </c>
    </row>
    <row r="5062">
      <c r="A5062" s="227">
        <f>TL[[#This Row],[Société]]&amp;" - "&amp;TL[[#This Row],[Compte]]</f>
        <v/>
      </c>
      <c r="B5062" s="233" t="inlineStr">
        <is>
          <t>129000</t>
        </is>
      </c>
      <c r="C5062" s="227" t="inlineStr">
        <is>
          <t>Resultat exercice perte</t>
        </is>
      </c>
      <c r="F5062" s="227" t="inlineStr">
        <is>
          <t>GLR5</t>
        </is>
      </c>
    </row>
    <row r="5063">
      <c r="A5063" s="227">
        <f>TL[[#This Row],[Société]]&amp;" - "&amp;TL[[#This Row],[Compte]]</f>
        <v/>
      </c>
      <c r="B5063" s="233" t="inlineStr">
        <is>
          <t>129600</t>
        </is>
      </c>
      <c r="C5063" s="227" t="inlineStr">
        <is>
          <t>.</t>
        </is>
      </c>
      <c r="F5063" s="227" t="inlineStr">
        <is>
          <t>GLR5</t>
        </is>
      </c>
    </row>
    <row r="5064">
      <c r="A5064" s="227">
        <f>TL[[#This Row],[Société]]&amp;" - "&amp;TL[[#This Row],[Compte]]</f>
        <v/>
      </c>
      <c r="B5064" s="233" t="inlineStr">
        <is>
          <t>131700</t>
        </is>
      </c>
      <c r="C5064" s="227" t="inlineStr">
        <is>
          <t>Subventions d'investissements</t>
        </is>
      </c>
      <c r="F5064" s="227" t="inlineStr">
        <is>
          <t>GLR5</t>
        </is>
      </c>
    </row>
    <row r="5065">
      <c r="A5065" s="227">
        <f>TL[[#This Row],[Société]]&amp;" - "&amp;TL[[#This Row],[Compte]]</f>
        <v/>
      </c>
      <c r="B5065" s="233" t="inlineStr">
        <is>
          <t>139170</t>
        </is>
      </c>
      <c r="C5065" s="227" t="inlineStr">
        <is>
          <t>Subv. inscrites au cpte resultat</t>
        </is>
      </c>
      <c r="F5065" s="227" t="inlineStr">
        <is>
          <t>GLR5</t>
        </is>
      </c>
    </row>
    <row r="5066">
      <c r="A5066" s="227">
        <f>TL[[#This Row],[Société]]&amp;" - "&amp;TL[[#This Row],[Compte]]</f>
        <v/>
      </c>
      <c r="B5066" s="233" t="inlineStr">
        <is>
          <t>145000</t>
        </is>
      </c>
      <c r="C5066" s="227" t="inlineStr">
        <is>
          <t>Cree par cegid</t>
        </is>
      </c>
      <c r="F5066" s="227" t="inlineStr">
        <is>
          <t>GLR5</t>
        </is>
      </c>
    </row>
    <row r="5067">
      <c r="A5067" s="227">
        <f>TL[[#This Row],[Société]]&amp;" - "&amp;TL[[#This Row],[Compte]]</f>
        <v/>
      </c>
      <c r="B5067" s="233" t="inlineStr">
        <is>
          <t>153000</t>
        </is>
      </c>
      <c r="C5067" s="227" t="inlineStr">
        <is>
          <t>Provision ifc salaries</t>
        </is>
      </c>
      <c r="F5067" s="227" t="inlineStr">
        <is>
          <t>GLR5</t>
        </is>
      </c>
    </row>
    <row r="5068">
      <c r="A5068" s="227">
        <f>TL[[#This Row],[Société]]&amp;" - "&amp;TL[[#This Row],[Compte]]</f>
        <v/>
      </c>
      <c r="B5068" s="233" t="inlineStr">
        <is>
          <t>158000</t>
        </is>
      </c>
      <c r="C5068" s="227" t="inlineStr">
        <is>
          <t>Autres provisions pour charges</t>
        </is>
      </c>
      <c r="F5068" s="227" t="inlineStr">
        <is>
          <t>GLR5</t>
        </is>
      </c>
    </row>
    <row r="5069">
      <c r="A5069" s="227">
        <f>TL[[#This Row],[Société]]&amp;" - "&amp;TL[[#This Row],[Compte]]</f>
        <v/>
      </c>
      <c r="B5069" s="233" t="inlineStr">
        <is>
          <t>164000</t>
        </is>
      </c>
      <c r="C5069" s="227" t="inlineStr">
        <is>
          <t>Emprunt crca 200 k€</t>
        </is>
      </c>
      <c r="F5069" s="227" t="inlineStr">
        <is>
          <t>GLR5</t>
        </is>
      </c>
    </row>
    <row r="5070">
      <c r="A5070" s="227">
        <f>TL[[#This Row],[Société]]&amp;" - "&amp;TL[[#This Row],[Compte]]</f>
        <v/>
      </c>
      <c r="B5070" s="233" t="inlineStr">
        <is>
          <t>164300</t>
        </is>
      </c>
      <c r="C5070" s="227" t="inlineStr">
        <is>
          <t>Emprunt crca 150 k€</t>
        </is>
      </c>
      <c r="F5070" s="227" t="inlineStr">
        <is>
          <t>GLR5</t>
        </is>
      </c>
    </row>
    <row r="5071">
      <c r="A5071" s="227">
        <f>TL[[#This Row],[Société]]&amp;" - "&amp;TL[[#This Row],[Compte]]</f>
        <v/>
      </c>
      <c r="B5071" s="233" t="inlineStr">
        <is>
          <t>164400</t>
        </is>
      </c>
      <c r="C5071" s="227" t="inlineStr">
        <is>
          <t>Emprunt crca 225 k€</t>
        </is>
      </c>
      <c r="F5071" s="227" t="inlineStr">
        <is>
          <t>GLR5</t>
        </is>
      </c>
    </row>
    <row r="5072">
      <c r="A5072" s="227">
        <f>TL[[#This Row],[Société]]&amp;" - "&amp;TL[[#This Row],[Compte]]</f>
        <v/>
      </c>
      <c r="B5072" s="233" t="inlineStr">
        <is>
          <t>164500</t>
        </is>
      </c>
      <c r="C5072" s="227" t="inlineStr">
        <is>
          <t>Emprunt PGE 150 k€</t>
        </is>
      </c>
      <c r="F5072" s="227" t="inlineStr">
        <is>
          <t>GLR5</t>
        </is>
      </c>
    </row>
    <row r="5073">
      <c r="A5073" s="227">
        <f>TL[[#This Row],[Société]]&amp;" - "&amp;TL[[#This Row],[Compte]]</f>
        <v/>
      </c>
      <c r="B5073" s="233" t="inlineStr">
        <is>
          <t>164800</t>
        </is>
      </c>
      <c r="C5073" s="227" t="inlineStr">
        <is>
          <t>Emprunts ets de crédit à - 1 an</t>
        </is>
      </c>
      <c r="F5073" s="227" t="inlineStr">
        <is>
          <t>GLR5</t>
        </is>
      </c>
    </row>
    <row r="5074">
      <c r="A5074" s="227">
        <f>TL[[#This Row],[Société]]&amp;" - "&amp;TL[[#This Row],[Compte]]</f>
        <v/>
      </c>
      <c r="B5074" s="233" t="inlineStr">
        <is>
          <t>168840</t>
        </is>
      </c>
      <c r="C5074" s="227" t="inlineStr">
        <is>
          <t>Intérets courus sur emprunt</t>
        </is>
      </c>
      <c r="F5074" s="227" t="inlineStr">
        <is>
          <t>GLR5</t>
        </is>
      </c>
    </row>
    <row r="5075">
      <c r="A5075" s="227">
        <f>TL[[#This Row],[Société]]&amp;" - "&amp;TL[[#This Row],[Compte]]</f>
        <v/>
      </c>
      <c r="B5075" s="233" t="inlineStr">
        <is>
          <t>205000</t>
        </is>
      </c>
      <c r="C5075" s="227" t="inlineStr">
        <is>
          <t>Concessions brevets licence</t>
        </is>
      </c>
      <c r="F5075" s="227" t="inlineStr">
        <is>
          <t>GLR5</t>
        </is>
      </c>
    </row>
    <row r="5076">
      <c r="A5076" s="227">
        <f>TL[[#This Row],[Société]]&amp;" - "&amp;TL[[#This Row],[Compte]]</f>
        <v/>
      </c>
      <c r="B5076" s="233" t="inlineStr">
        <is>
          <t>215100</t>
        </is>
      </c>
      <c r="C5076" s="227" t="inlineStr">
        <is>
          <t>Materiel de cuisine</t>
        </is>
      </c>
      <c r="F5076" s="227" t="inlineStr">
        <is>
          <t>GLR5</t>
        </is>
      </c>
    </row>
    <row r="5077">
      <c r="A5077" s="227">
        <f>TL[[#This Row],[Société]]&amp;" - "&amp;TL[[#This Row],[Compte]]</f>
        <v/>
      </c>
      <c r="B5077" s="233" t="inlineStr">
        <is>
          <t>215400</t>
        </is>
      </c>
      <c r="C5077" s="227" t="inlineStr">
        <is>
          <t>Materiel industriel</t>
        </is>
      </c>
      <c r="F5077" s="227" t="inlineStr">
        <is>
          <t>GLR5</t>
        </is>
      </c>
    </row>
    <row r="5078">
      <c r="A5078" s="227">
        <f>TL[[#This Row],[Société]]&amp;" - "&amp;TL[[#This Row],[Compte]]</f>
        <v/>
      </c>
      <c r="B5078" s="233" t="inlineStr">
        <is>
          <t>218100</t>
        </is>
      </c>
      <c r="C5078" s="227" t="inlineStr">
        <is>
          <t>Aai divers</t>
        </is>
      </c>
      <c r="F5078" s="227" t="inlineStr">
        <is>
          <t>GLR5</t>
        </is>
      </c>
    </row>
    <row r="5079">
      <c r="A5079" s="227">
        <f>TL[[#This Row],[Société]]&amp;" - "&amp;TL[[#This Row],[Compte]]</f>
        <v/>
      </c>
      <c r="B5079" s="233" t="inlineStr">
        <is>
          <t>218200</t>
        </is>
      </c>
      <c r="C5079" s="227" t="inlineStr">
        <is>
          <t>Matériel de transport</t>
        </is>
      </c>
      <c r="F5079" s="227" t="inlineStr">
        <is>
          <t>GLR5</t>
        </is>
      </c>
    </row>
    <row r="5080">
      <c r="A5080" s="227">
        <f>TL[[#This Row],[Société]]&amp;" - "&amp;TL[[#This Row],[Compte]]</f>
        <v/>
      </c>
      <c r="B5080" s="233" t="inlineStr">
        <is>
          <t>218300</t>
        </is>
      </c>
      <c r="C5080" s="227" t="inlineStr">
        <is>
          <t>Mat.de bureau et informatiq</t>
        </is>
      </c>
      <c r="F5080" s="227" t="inlineStr">
        <is>
          <t>GLR5</t>
        </is>
      </c>
    </row>
    <row r="5081">
      <c r="A5081" s="227">
        <f>TL[[#This Row],[Société]]&amp;" - "&amp;TL[[#This Row],[Compte]]</f>
        <v/>
      </c>
      <c r="B5081" s="233" t="inlineStr">
        <is>
          <t>218400</t>
        </is>
      </c>
      <c r="C5081" s="227" t="inlineStr">
        <is>
          <t>Mobilier</t>
        </is>
      </c>
      <c r="F5081" s="227" t="inlineStr">
        <is>
          <t>GLR5</t>
        </is>
      </c>
    </row>
    <row r="5082">
      <c r="A5082" s="227">
        <f>TL[[#This Row],[Société]]&amp;" - "&amp;TL[[#This Row],[Compte]]</f>
        <v/>
      </c>
      <c r="B5082" s="233" t="inlineStr">
        <is>
          <t>231000</t>
        </is>
      </c>
      <c r="C5082" s="227" t="inlineStr">
        <is>
          <t>Immo en cours</t>
        </is>
      </c>
      <c r="F5082" s="227" t="inlineStr">
        <is>
          <t>GLR5</t>
        </is>
      </c>
    </row>
    <row r="5083">
      <c r="A5083" s="227">
        <f>TL[[#This Row],[Société]]&amp;" - "&amp;TL[[#This Row],[Compte]]</f>
        <v/>
      </c>
      <c r="B5083" s="233" t="inlineStr">
        <is>
          <t>275000</t>
        </is>
      </c>
      <c r="C5083" s="227" t="inlineStr">
        <is>
          <t>Depots et cautionnem.verses</t>
        </is>
      </c>
      <c r="F5083" s="227" t="inlineStr">
        <is>
          <t>GLR5</t>
        </is>
      </c>
    </row>
    <row r="5084">
      <c r="A5084" s="227">
        <f>TL[[#This Row],[Société]]&amp;" - "&amp;TL[[#This Row],[Compte]]</f>
        <v/>
      </c>
      <c r="B5084" s="233" t="inlineStr">
        <is>
          <t>280500</t>
        </is>
      </c>
      <c r="C5084" s="227" t="inlineStr">
        <is>
          <t>Amort.concessions, brevets</t>
        </is>
      </c>
      <c r="F5084" s="227" t="inlineStr">
        <is>
          <t>GLR5</t>
        </is>
      </c>
    </row>
    <row r="5085">
      <c r="A5085" s="227">
        <f>TL[[#This Row],[Société]]&amp;" - "&amp;TL[[#This Row],[Compte]]</f>
        <v/>
      </c>
      <c r="B5085" s="233" t="inlineStr">
        <is>
          <t>281510</t>
        </is>
      </c>
      <c r="C5085" s="227" t="inlineStr">
        <is>
          <t>Amort.inst.compl.special.</t>
        </is>
      </c>
      <c r="F5085" s="227" t="inlineStr">
        <is>
          <t>GLR5</t>
        </is>
      </c>
    </row>
    <row r="5086">
      <c r="A5086" s="227">
        <f>TL[[#This Row],[Société]]&amp;" - "&amp;TL[[#This Row],[Compte]]</f>
        <v/>
      </c>
      <c r="B5086" s="233" t="inlineStr">
        <is>
          <t>281540</t>
        </is>
      </c>
      <c r="C5086" s="227" t="inlineStr">
        <is>
          <t>Amort.materiel industriel</t>
        </is>
      </c>
      <c r="F5086" s="227" t="inlineStr">
        <is>
          <t>GLR5</t>
        </is>
      </c>
    </row>
    <row r="5087">
      <c r="A5087" s="227">
        <f>TL[[#This Row],[Société]]&amp;" - "&amp;TL[[#This Row],[Compte]]</f>
        <v/>
      </c>
      <c r="B5087" s="233" t="inlineStr">
        <is>
          <t>281810</t>
        </is>
      </c>
      <c r="C5087" s="227" t="inlineStr">
        <is>
          <t>Amort.aai divers</t>
        </is>
      </c>
      <c r="F5087" s="227" t="inlineStr">
        <is>
          <t>GLR5</t>
        </is>
      </c>
    </row>
    <row r="5088">
      <c r="A5088" s="227">
        <f>TL[[#This Row],[Société]]&amp;" - "&amp;TL[[#This Row],[Compte]]</f>
        <v/>
      </c>
      <c r="B5088" s="233" t="inlineStr">
        <is>
          <t>281830</t>
        </is>
      </c>
      <c r="C5088" s="227" t="inlineStr">
        <is>
          <t>Amort.mat.bureau et inform.</t>
        </is>
      </c>
      <c r="F5088" s="227" t="inlineStr">
        <is>
          <t>GLR5</t>
        </is>
      </c>
    </row>
    <row r="5089">
      <c r="A5089" s="227">
        <f>TL[[#This Row],[Société]]&amp;" - "&amp;TL[[#This Row],[Compte]]</f>
        <v/>
      </c>
      <c r="B5089" s="233" t="inlineStr">
        <is>
          <t>281840</t>
        </is>
      </c>
      <c r="C5089" s="227" t="inlineStr">
        <is>
          <t>Amortissements mobilier</t>
        </is>
      </c>
      <c r="F5089" s="227" t="inlineStr">
        <is>
          <t>GLR5</t>
        </is>
      </c>
    </row>
    <row r="5090">
      <c r="A5090" s="227">
        <f>TL[[#This Row],[Société]]&amp;" - "&amp;TL[[#This Row],[Compte]]</f>
        <v/>
      </c>
      <c r="B5090" s="233" t="inlineStr">
        <is>
          <t>283100</t>
        </is>
      </c>
      <c r="C5090" s="227" t="inlineStr">
        <is>
          <t>Cree par cegid</t>
        </is>
      </c>
      <c r="F5090" s="227" t="inlineStr">
        <is>
          <t>GLR5</t>
        </is>
      </c>
    </row>
    <row r="5091">
      <c r="A5091" s="227">
        <f>TL[[#This Row],[Société]]&amp;" - "&amp;TL[[#This Row],[Compte]]</f>
        <v/>
      </c>
      <c r="B5091" s="233" t="inlineStr">
        <is>
          <t>310000</t>
        </is>
      </c>
      <c r="C5091" s="227" t="inlineStr">
        <is>
          <t>Stocks food</t>
        </is>
      </c>
      <c r="F5091" s="227" t="inlineStr">
        <is>
          <t>GLR5</t>
        </is>
      </c>
    </row>
    <row r="5092">
      <c r="A5092" s="227">
        <f>TL[[#This Row],[Société]]&amp;" - "&amp;TL[[#This Row],[Compte]]</f>
        <v/>
      </c>
      <c r="B5092" s="233" t="inlineStr">
        <is>
          <t>320000</t>
        </is>
      </c>
      <c r="C5092" s="227" t="inlineStr">
        <is>
          <t>Stocks paper</t>
        </is>
      </c>
      <c r="F5092" s="227" t="inlineStr">
        <is>
          <t>GLR5</t>
        </is>
      </c>
    </row>
    <row r="5093">
      <c r="A5093" s="227">
        <f>TL[[#This Row],[Société]]&amp;" - "&amp;TL[[#This Row],[Compte]]</f>
        <v/>
      </c>
      <c r="B5093" s="233" t="inlineStr">
        <is>
          <t>321000</t>
        </is>
      </c>
      <c r="C5093" s="227" t="inlineStr">
        <is>
          <t>Stocks pdt non cost</t>
        </is>
      </c>
      <c r="F5093" s="227" t="inlineStr">
        <is>
          <t>GLR5</t>
        </is>
      </c>
    </row>
    <row r="5094">
      <c r="A5094" s="227">
        <f>TL[[#This Row],[Société]]&amp;" - "&amp;TL[[#This Row],[Compte]]</f>
        <v/>
      </c>
      <c r="B5094" s="233" t="inlineStr">
        <is>
          <t>401000</t>
        </is>
      </c>
      <c r="C5094" s="227" t="inlineStr">
        <is>
          <t>Fournisseurs</t>
        </is>
      </c>
      <c r="F5094" s="227" t="inlineStr">
        <is>
          <t>GLR5</t>
        </is>
      </c>
    </row>
    <row r="5095">
      <c r="A5095" s="227">
        <f>TL[[#This Row],[Société]]&amp;" - "&amp;TL[[#This Row],[Compte]]</f>
        <v/>
      </c>
      <c r="B5095" s="233" t="inlineStr">
        <is>
          <t>401104</t>
        </is>
      </c>
      <c r="C5095" s="227" t="inlineStr">
        <is>
          <t>Rr racing</t>
        </is>
      </c>
      <c r="F5095" s="227" t="inlineStr">
        <is>
          <t>GLR5</t>
        </is>
      </c>
    </row>
    <row r="5096">
      <c r="A5096" s="227">
        <f>TL[[#This Row],[Société]]&amp;" - "&amp;TL[[#This Row],[Compte]]</f>
        <v/>
      </c>
      <c r="B5096" s="233" t="inlineStr">
        <is>
          <t>401120</t>
        </is>
      </c>
      <c r="C5096" s="227" t="inlineStr">
        <is>
          <t>Fournisseurs</t>
        </is>
      </c>
      <c r="F5096" s="227" t="inlineStr">
        <is>
          <t>GLR5</t>
        </is>
      </c>
    </row>
    <row r="5097">
      <c r="A5097" s="227">
        <f>TL[[#This Row],[Société]]&amp;" - "&amp;TL[[#This Row],[Compte]]</f>
        <v/>
      </c>
      <c r="B5097" s="233" t="inlineStr">
        <is>
          <t>401999</t>
        </is>
      </c>
      <c r="C5097" s="227" t="inlineStr">
        <is>
          <t>Fournisseurs débiteurs</t>
        </is>
      </c>
      <c r="F5097" s="227" t="inlineStr">
        <is>
          <t>GLR5</t>
        </is>
      </c>
    </row>
    <row r="5098">
      <c r="A5098" s="227">
        <f>TL[[#This Row],[Société]]&amp;" - "&amp;TL[[#This Row],[Compte]]</f>
        <v/>
      </c>
      <c r="B5098" s="233" t="inlineStr">
        <is>
          <t>404000</t>
        </is>
      </c>
      <c r="C5098" s="227" t="inlineStr">
        <is>
          <t>Fournisseurs d'immo</t>
        </is>
      </c>
      <c r="F5098" s="227" t="inlineStr">
        <is>
          <t>GLR5</t>
        </is>
      </c>
    </row>
    <row r="5099">
      <c r="A5099" s="227">
        <f>TL[[#This Row],[Société]]&amp;" - "&amp;TL[[#This Row],[Compte]]</f>
        <v/>
      </c>
      <c r="B5099" s="233" t="inlineStr">
        <is>
          <t>408100</t>
        </is>
      </c>
      <c r="C5099" s="227" t="inlineStr">
        <is>
          <t>Fourniss.fact.non parvenues</t>
        </is>
      </c>
      <c r="F5099" s="227" t="inlineStr">
        <is>
          <t>GLR5</t>
        </is>
      </c>
    </row>
    <row r="5100">
      <c r="A5100" s="227">
        <f>TL[[#This Row],[Société]]&amp;" - "&amp;TL[[#This Row],[Compte]]</f>
        <v/>
      </c>
      <c r="B5100" s="233" t="inlineStr">
        <is>
          <t>408400</t>
        </is>
      </c>
      <c r="C5100" s="227" t="inlineStr">
        <is>
          <t>Frs immobil. - fact. non parvenues</t>
        </is>
      </c>
      <c r="F5100" s="227" t="inlineStr">
        <is>
          <t>GLR5</t>
        </is>
      </c>
    </row>
    <row r="5101">
      <c r="A5101" s="227">
        <f>TL[[#This Row],[Société]]&amp;" - "&amp;TL[[#This Row],[Compte]]</f>
        <v/>
      </c>
      <c r="B5101" s="233" t="inlineStr">
        <is>
          <t>409100</t>
        </is>
      </c>
      <c r="C5101" s="227" t="inlineStr">
        <is>
          <t>Fournisseurs - acomptes / acomptes</t>
        </is>
      </c>
      <c r="F5101" s="227" t="inlineStr">
        <is>
          <t>GLR5</t>
        </is>
      </c>
    </row>
    <row r="5102">
      <c r="A5102" s="227">
        <f>TL[[#This Row],[Société]]&amp;" - "&amp;TL[[#This Row],[Compte]]</f>
        <v/>
      </c>
      <c r="B5102" s="233" t="inlineStr">
        <is>
          <t>409600</t>
        </is>
      </c>
      <c r="C5102" s="227" t="inlineStr">
        <is>
          <t>Consignes emballages</t>
        </is>
      </c>
      <c r="F5102" s="227" t="inlineStr">
        <is>
          <t>GLR5</t>
        </is>
      </c>
    </row>
    <row r="5103">
      <c r="A5103" s="227">
        <f>TL[[#This Row],[Société]]&amp;" - "&amp;TL[[#This Row],[Compte]]</f>
        <v/>
      </c>
      <c r="B5103" s="233" t="inlineStr">
        <is>
          <t>409700</t>
        </is>
      </c>
      <c r="C5103" s="227" t="inlineStr">
        <is>
          <t>Fournisseurs avoirs</t>
        </is>
      </c>
      <c r="F5103" s="227" t="inlineStr">
        <is>
          <t>GLR5</t>
        </is>
      </c>
    </row>
    <row r="5104">
      <c r="A5104" s="227">
        <f>TL[[#This Row],[Société]]&amp;" - "&amp;TL[[#This Row],[Compte]]</f>
        <v/>
      </c>
      <c r="B5104" s="233" t="inlineStr">
        <is>
          <t>409800</t>
        </is>
      </c>
      <c r="C5104" s="227" t="inlineStr">
        <is>
          <t>Rrr a obtenir  avr a recev.</t>
        </is>
      </c>
      <c r="F5104" s="227" t="inlineStr">
        <is>
          <t>GLR5</t>
        </is>
      </c>
    </row>
    <row r="5105">
      <c r="A5105" s="227">
        <f>TL[[#This Row],[Société]]&amp;" - "&amp;TL[[#This Row],[Compte]]</f>
        <v/>
      </c>
      <c r="B5105" s="233" t="inlineStr">
        <is>
          <t>411001</t>
        </is>
      </c>
      <c r="C5105" s="227" t="inlineStr">
        <is>
          <t>Oleo</t>
        </is>
      </c>
      <c r="F5105" s="227" t="inlineStr">
        <is>
          <t>GLR5</t>
        </is>
      </c>
    </row>
    <row r="5106">
      <c r="A5106" s="227">
        <f>TL[[#This Row],[Société]]&amp;" - "&amp;TL[[#This Row],[Compte]]</f>
        <v/>
      </c>
      <c r="B5106" s="233" t="inlineStr">
        <is>
          <t>411444</t>
        </is>
      </c>
      <c r="C5106" s="227" t="inlineStr">
        <is>
          <t>Clients</t>
        </is>
      </c>
      <c r="F5106" s="227" t="inlineStr">
        <is>
          <t>GLR5</t>
        </is>
      </c>
    </row>
    <row r="5107">
      <c r="A5107" s="227">
        <f>TL[[#This Row],[Société]]&amp;" - "&amp;TL[[#This Row],[Compte]]</f>
        <v/>
      </c>
      <c r="B5107" s="233" t="inlineStr">
        <is>
          <t>411445</t>
        </is>
      </c>
      <c r="C5107" s="227" t="inlineStr">
        <is>
          <t>Sci rir</t>
        </is>
      </c>
      <c r="F5107" s="227" t="inlineStr">
        <is>
          <t>GLR5</t>
        </is>
      </c>
    </row>
    <row r="5108">
      <c r="A5108" s="227">
        <f>TL[[#This Row],[Société]]&amp;" - "&amp;TL[[#This Row],[Compte]]</f>
        <v/>
      </c>
      <c r="B5108" s="233" t="inlineStr">
        <is>
          <t>416100</t>
        </is>
      </c>
      <c r="C5108" s="227" t="inlineStr">
        <is>
          <t>Clients douteux,litigieux</t>
        </is>
      </c>
      <c r="F5108" s="227" t="inlineStr">
        <is>
          <t>GLR5</t>
        </is>
      </c>
    </row>
    <row r="5109">
      <c r="A5109" s="227">
        <f>TL[[#This Row],[Société]]&amp;" - "&amp;TL[[#This Row],[Compte]]</f>
        <v/>
      </c>
      <c r="B5109" s="233" t="inlineStr">
        <is>
          <t>418100</t>
        </is>
      </c>
      <c r="C5109" s="227" t="inlineStr">
        <is>
          <t>Clts factures a etablir</t>
        </is>
      </c>
      <c r="F5109" s="227" t="inlineStr">
        <is>
          <t>GLR5</t>
        </is>
      </c>
    </row>
    <row r="5110">
      <c r="A5110" s="227">
        <f>TL[[#This Row],[Société]]&amp;" - "&amp;TL[[#This Row],[Compte]]</f>
        <v/>
      </c>
      <c r="B5110" s="233" t="inlineStr">
        <is>
          <t>419100</t>
        </is>
      </c>
      <c r="C5110" s="227" t="inlineStr">
        <is>
          <t>Clients - acomptes sur commandes</t>
        </is>
      </c>
      <c r="F5110" s="227" t="inlineStr">
        <is>
          <t>GLR5</t>
        </is>
      </c>
    </row>
    <row r="5111">
      <c r="A5111" s="227">
        <f>TL[[#This Row],[Société]]&amp;" - "&amp;TL[[#This Row],[Compte]]</f>
        <v/>
      </c>
      <c r="B5111" s="233" t="inlineStr">
        <is>
          <t>419800</t>
        </is>
      </c>
      <c r="C5111" s="227" t="inlineStr">
        <is>
          <t>Clients - RRR à accorder</t>
        </is>
      </c>
      <c r="F5111" s="227" t="inlineStr">
        <is>
          <t>GLR5</t>
        </is>
      </c>
    </row>
    <row r="5112">
      <c r="A5112" s="227">
        <f>TL[[#This Row],[Société]]&amp;" - "&amp;TL[[#This Row],[Compte]]</f>
        <v/>
      </c>
      <c r="B5112" s="233" t="inlineStr">
        <is>
          <t>421000</t>
        </is>
      </c>
      <c r="C5112" s="227" t="inlineStr">
        <is>
          <t>Remunerat.dues au personnel</t>
        </is>
      </c>
      <c r="F5112" s="227" t="inlineStr">
        <is>
          <t>GLR5</t>
        </is>
      </c>
    </row>
    <row r="5113">
      <c r="A5113" s="227">
        <f>TL[[#This Row],[Société]]&amp;" - "&amp;TL[[#This Row],[Compte]]</f>
        <v/>
      </c>
      <c r="B5113" s="233" t="inlineStr">
        <is>
          <t>421010</t>
        </is>
      </c>
      <c r="C5113" s="227" t="inlineStr">
        <is>
          <t>2019 - CONTAIS</t>
        </is>
      </c>
      <c r="F5113" s="227" t="inlineStr">
        <is>
          <t>GLR5</t>
        </is>
      </c>
    </row>
    <row r="5114">
      <c r="A5114" s="227">
        <f>TL[[#This Row],[Société]]&amp;" - "&amp;TL[[#This Row],[Compte]]</f>
        <v/>
      </c>
      <c r="B5114" s="233" t="inlineStr">
        <is>
          <t>421100</t>
        </is>
      </c>
      <c r="C5114" s="227" t="inlineStr">
        <is>
          <t>Personnel - Solde de tout compte</t>
        </is>
      </c>
      <c r="F5114" s="227" t="inlineStr">
        <is>
          <t>GLR5</t>
        </is>
      </c>
    </row>
    <row r="5115">
      <c r="A5115" s="227">
        <f>TL[[#This Row],[Société]]&amp;" - "&amp;TL[[#This Row],[Compte]]</f>
        <v/>
      </c>
      <c r="B5115" s="233" t="inlineStr">
        <is>
          <t>421444</t>
        </is>
      </c>
      <c r="C5115" s="227" t="inlineStr">
        <is>
          <t>Salariés</t>
        </is>
      </c>
      <c r="F5115" s="227" t="inlineStr">
        <is>
          <t>GLR5</t>
        </is>
      </c>
    </row>
    <row r="5116">
      <c r="A5116" s="227">
        <f>TL[[#This Row],[Société]]&amp;" - "&amp;TL[[#This Row],[Compte]]</f>
        <v/>
      </c>
      <c r="B5116" s="233" t="inlineStr">
        <is>
          <t>425000</t>
        </is>
      </c>
      <c r="C5116" s="227" t="inlineStr">
        <is>
          <t>Personnel avanc.et acptes</t>
        </is>
      </c>
      <c r="F5116" s="227" t="inlineStr">
        <is>
          <t>GLR5</t>
        </is>
      </c>
    </row>
    <row r="5117">
      <c r="A5117" s="227">
        <f>TL[[#This Row],[Société]]&amp;" - "&amp;TL[[#This Row],[Compte]]</f>
        <v/>
      </c>
      <c r="B5117" s="233" t="inlineStr">
        <is>
          <t>427000</t>
        </is>
      </c>
      <c r="C5117" s="227" t="inlineStr">
        <is>
          <t>Personnel - oppositions</t>
        </is>
      </c>
      <c r="F5117" s="227" t="inlineStr">
        <is>
          <t>GLR5</t>
        </is>
      </c>
    </row>
    <row r="5118">
      <c r="A5118" s="227">
        <f>TL[[#This Row],[Société]]&amp;" - "&amp;TL[[#This Row],[Compte]]</f>
        <v/>
      </c>
      <c r="B5118" s="233" t="inlineStr">
        <is>
          <t>428220</t>
        </is>
      </c>
      <c r="C5118" s="227" t="inlineStr">
        <is>
          <t>Prov c payes assistants</t>
        </is>
      </c>
      <c r="F5118" s="227" t="inlineStr">
        <is>
          <t>GLR5</t>
        </is>
      </c>
    </row>
    <row r="5119">
      <c r="A5119" s="227">
        <f>TL[[#This Row],[Société]]&amp;" - "&amp;TL[[#This Row],[Compte]]</f>
        <v/>
      </c>
      <c r="B5119" s="233" t="inlineStr">
        <is>
          <t>428230</t>
        </is>
      </c>
      <c r="C5119" s="227" t="inlineStr">
        <is>
          <t>Prov c payes equipiers</t>
        </is>
      </c>
      <c r="F5119" s="227" t="inlineStr">
        <is>
          <t>GLR5</t>
        </is>
      </c>
    </row>
    <row r="5120">
      <c r="A5120" s="227">
        <f>TL[[#This Row],[Société]]&amp;" - "&amp;TL[[#This Row],[Compte]]</f>
        <v/>
      </c>
      <c r="B5120" s="233" t="inlineStr">
        <is>
          <t>428600</t>
        </is>
      </c>
      <c r="C5120" s="227" t="inlineStr">
        <is>
          <t>Personnel aut.charg.a payer</t>
        </is>
      </c>
      <c r="F5120" s="227" t="inlineStr">
        <is>
          <t>GLR5</t>
        </is>
      </c>
    </row>
    <row r="5121">
      <c r="A5121" s="227">
        <f>TL[[#This Row],[Société]]&amp;" - "&amp;TL[[#This Row],[Compte]]</f>
        <v/>
      </c>
      <c r="B5121" s="233" t="inlineStr">
        <is>
          <t>431000</t>
        </is>
      </c>
      <c r="C5121" s="227" t="inlineStr">
        <is>
          <t>Securite sociale</t>
        </is>
      </c>
      <c r="F5121" s="227" t="inlineStr">
        <is>
          <t>GLR5</t>
        </is>
      </c>
    </row>
    <row r="5122">
      <c r="A5122" s="227">
        <f>TL[[#This Row],[Société]]&amp;" - "&amp;TL[[#This Row],[Compte]]</f>
        <v/>
      </c>
      <c r="B5122" s="233" t="inlineStr">
        <is>
          <t>437000</t>
        </is>
      </c>
      <c r="C5122" s="227" t="inlineStr">
        <is>
          <t>Pôle emploi</t>
        </is>
      </c>
      <c r="F5122" s="227" t="inlineStr">
        <is>
          <t>GLR5</t>
        </is>
      </c>
    </row>
    <row r="5123">
      <c r="A5123" s="227">
        <f>TL[[#This Row],[Société]]&amp;" - "&amp;TL[[#This Row],[Compte]]</f>
        <v/>
      </c>
      <c r="B5123" s="233" t="inlineStr">
        <is>
          <t>437010</t>
        </is>
      </c>
      <c r="C5123" s="227" t="inlineStr">
        <is>
          <t>Indemnité activité partielle</t>
        </is>
      </c>
      <c r="F5123" s="227" t="inlineStr">
        <is>
          <t>GLR5</t>
        </is>
      </c>
    </row>
    <row r="5124">
      <c r="A5124" s="227">
        <f>TL[[#This Row],[Société]]&amp;" - "&amp;TL[[#This Row],[Compte]]</f>
        <v/>
      </c>
      <c r="B5124" s="233" t="inlineStr">
        <is>
          <t>437020</t>
        </is>
      </c>
      <c r="C5124" s="227" t="inlineStr">
        <is>
          <t>Isica - circo</t>
        </is>
      </c>
      <c r="F5124" s="227" t="inlineStr">
        <is>
          <t>GLR5</t>
        </is>
      </c>
    </row>
    <row r="5125">
      <c r="A5125" s="227">
        <f>TL[[#This Row],[Société]]&amp;" - "&amp;TL[[#This Row],[Compte]]</f>
        <v/>
      </c>
      <c r="B5125" s="233" t="inlineStr">
        <is>
          <t>437030</t>
        </is>
      </c>
      <c r="C5125" s="227" t="inlineStr">
        <is>
          <t>Predica</t>
        </is>
      </c>
      <c r="F5125" s="227" t="inlineStr">
        <is>
          <t>GLR5</t>
        </is>
      </c>
    </row>
    <row r="5126">
      <c r="A5126" s="227">
        <f>TL[[#This Row],[Société]]&amp;" - "&amp;TL[[#This Row],[Compte]]</f>
        <v/>
      </c>
      <c r="B5126" s="233" t="inlineStr">
        <is>
          <t>437070</t>
        </is>
      </c>
      <c r="C5126" s="227" t="inlineStr">
        <is>
          <t>Agirc</t>
        </is>
      </c>
      <c r="F5126" s="227" t="inlineStr">
        <is>
          <t>GLR5</t>
        </is>
      </c>
    </row>
    <row r="5127">
      <c r="A5127" s="227">
        <f>TL[[#This Row],[Société]]&amp;" - "&amp;TL[[#This Row],[Compte]]</f>
        <v/>
      </c>
      <c r="B5127" s="233" t="inlineStr">
        <is>
          <t>437080</t>
        </is>
      </c>
      <c r="C5127" s="227" t="inlineStr">
        <is>
          <t>Mutuelle</t>
        </is>
      </c>
      <c r="F5127" s="227" t="inlineStr">
        <is>
          <t>GLR5</t>
        </is>
      </c>
    </row>
    <row r="5128">
      <c r="A5128" s="227">
        <f>TL[[#This Row],[Société]]&amp;" - "&amp;TL[[#This Row],[Compte]]</f>
        <v/>
      </c>
      <c r="B5128" s="233" t="inlineStr">
        <is>
          <t>437090</t>
        </is>
      </c>
      <c r="C5128" s="227" t="inlineStr">
        <is>
          <t>Prevoyance non cadres</t>
        </is>
      </c>
      <c r="F5128" s="227" t="inlineStr">
        <is>
          <t>GLR5</t>
        </is>
      </c>
    </row>
    <row r="5129">
      <c r="A5129" s="227">
        <f>TL[[#This Row],[Société]]&amp;" - "&amp;TL[[#This Row],[Compte]]</f>
        <v/>
      </c>
      <c r="B5129" s="233" t="inlineStr">
        <is>
          <t>437091</t>
        </is>
      </c>
      <c r="C5129" s="227" t="inlineStr">
        <is>
          <t>Prlvt source</t>
        </is>
      </c>
      <c r="F5129" s="227" t="inlineStr">
        <is>
          <t>GLR5</t>
        </is>
      </c>
    </row>
    <row r="5130">
      <c r="A5130" s="227">
        <f>TL[[#This Row],[Société]]&amp;" - "&amp;TL[[#This Row],[Compte]]</f>
        <v/>
      </c>
      <c r="B5130" s="233" t="inlineStr">
        <is>
          <t>437092</t>
        </is>
      </c>
      <c r="C5130" s="227" t="inlineStr">
        <is>
          <t>la mondiale</t>
        </is>
      </c>
      <c r="F5130" s="227" t="inlineStr">
        <is>
          <t>GLR5</t>
        </is>
      </c>
    </row>
    <row r="5131">
      <c r="A5131" s="227">
        <f>TL[[#This Row],[Société]]&amp;" - "&amp;TL[[#This Row],[Compte]]</f>
        <v/>
      </c>
      <c r="B5131" s="233" t="inlineStr">
        <is>
          <t>437800</t>
        </is>
      </c>
      <c r="C5131" s="227" t="inlineStr">
        <is>
          <t>Rsi</t>
        </is>
      </c>
      <c r="F5131" s="227" t="inlineStr">
        <is>
          <t>GLR5</t>
        </is>
      </c>
    </row>
    <row r="5132">
      <c r="A5132" s="227">
        <f>TL[[#This Row],[Société]]&amp;" - "&amp;TL[[#This Row],[Compte]]</f>
        <v/>
      </c>
      <c r="B5132" s="233" t="inlineStr">
        <is>
          <t>438000</t>
        </is>
      </c>
      <c r="C5132" s="227" t="inlineStr">
        <is>
          <t>Taxe apprentissage Prlvt lib.</t>
        </is>
      </c>
      <c r="F5132" s="227" t="inlineStr">
        <is>
          <t>GLR5</t>
        </is>
      </c>
    </row>
    <row r="5133">
      <c r="A5133" s="227">
        <f>TL[[#This Row],[Société]]&amp;" - "&amp;TL[[#This Row],[Compte]]</f>
        <v/>
      </c>
      <c r="B5133" s="233" t="inlineStr">
        <is>
          <t>438220</t>
        </is>
      </c>
      <c r="C5133" s="227" t="inlineStr">
        <is>
          <t>Charges sociales sur cp assistants</t>
        </is>
      </c>
      <c r="F5133" s="227" t="inlineStr">
        <is>
          <t>GLR5</t>
        </is>
      </c>
    </row>
    <row r="5134">
      <c r="A5134" s="227">
        <f>TL[[#This Row],[Société]]&amp;" - "&amp;TL[[#This Row],[Compte]]</f>
        <v/>
      </c>
      <c r="B5134" s="233" t="inlineStr">
        <is>
          <t>438230</t>
        </is>
      </c>
      <c r="C5134" s="227" t="inlineStr">
        <is>
          <t>Charges sociales sur cp equipiers</t>
        </is>
      </c>
      <c r="F5134" s="227" t="inlineStr">
        <is>
          <t>GLR5</t>
        </is>
      </c>
    </row>
    <row r="5135">
      <c r="A5135" s="227">
        <f>TL[[#This Row],[Société]]&amp;" - "&amp;TL[[#This Row],[Compte]]</f>
        <v/>
      </c>
      <c r="B5135" s="233" t="inlineStr">
        <is>
          <t>438600</t>
        </is>
      </c>
      <c r="C5135" s="227" t="inlineStr">
        <is>
          <t>Autr.charg.sociales a payer</t>
        </is>
      </c>
      <c r="F5135" s="227" t="inlineStr">
        <is>
          <t>GLR5</t>
        </is>
      </c>
    </row>
    <row r="5136">
      <c r="A5136" s="227">
        <f>TL[[#This Row],[Société]]&amp;" - "&amp;TL[[#This Row],[Compte]]</f>
        <v/>
      </c>
      <c r="B5136" s="233" t="inlineStr">
        <is>
          <t>438700</t>
        </is>
      </c>
      <c r="C5136" s="227" t="inlineStr">
        <is>
          <t>Charges sociales - produits À recev</t>
        </is>
      </c>
      <c r="F5136" s="227" t="inlineStr">
        <is>
          <t>GLR5</t>
        </is>
      </c>
    </row>
    <row r="5137">
      <c r="A5137" s="227">
        <f>TL[[#This Row],[Société]]&amp;" - "&amp;TL[[#This Row],[Compte]]</f>
        <v/>
      </c>
      <c r="B5137" s="233" t="inlineStr">
        <is>
          <t>442100</t>
        </is>
      </c>
      <c r="C5137" s="227" t="inlineStr">
        <is>
          <t>Prélèvements à la source (IR)</t>
        </is>
      </c>
      <c r="F5137" s="227" t="inlineStr">
        <is>
          <t>GLR5</t>
        </is>
      </c>
    </row>
    <row r="5138">
      <c r="A5138" s="227">
        <f>TL[[#This Row],[Société]]&amp;" - "&amp;TL[[#This Row],[Compte]]</f>
        <v/>
      </c>
      <c r="B5138" s="233" t="inlineStr">
        <is>
          <t>442500</t>
        </is>
      </c>
      <c r="C5138" s="227" t="inlineStr">
        <is>
          <t>Prelevements liberatoires</t>
        </is>
      </c>
      <c r="F5138" s="227" t="inlineStr">
        <is>
          <t>GLR5</t>
        </is>
      </c>
    </row>
    <row r="5139">
      <c r="A5139" s="227">
        <f>TL[[#This Row],[Société]]&amp;" - "&amp;TL[[#This Row],[Compte]]</f>
        <v/>
      </c>
      <c r="B5139" s="233" t="inlineStr">
        <is>
          <t>442510</t>
        </is>
      </c>
      <c r="C5139" s="227" t="inlineStr">
        <is>
          <t>Prelevements sociaux</t>
        </is>
      </c>
      <c r="F5139" s="227" t="inlineStr">
        <is>
          <t>GLR5</t>
        </is>
      </c>
    </row>
    <row r="5140">
      <c r="A5140" s="227">
        <f>TL[[#This Row],[Société]]&amp;" - "&amp;TL[[#This Row],[Compte]]</f>
        <v/>
      </c>
      <c r="B5140" s="233" t="inlineStr">
        <is>
          <t>442520</t>
        </is>
      </c>
      <c r="C5140" s="227" t="inlineStr">
        <is>
          <t>Prelevement liberatoire</t>
        </is>
      </c>
      <c r="F5140" s="227" t="inlineStr">
        <is>
          <t>GLR5</t>
        </is>
      </c>
    </row>
    <row r="5141">
      <c r="A5141" s="227">
        <f>TL[[#This Row],[Société]]&amp;" - "&amp;TL[[#This Row],[Compte]]</f>
        <v/>
      </c>
      <c r="B5141" s="233" t="inlineStr">
        <is>
          <t>444000</t>
        </is>
      </c>
      <c r="C5141" s="227" t="inlineStr">
        <is>
          <t>Impots sur les benefices</t>
        </is>
      </c>
      <c r="F5141" s="227" t="inlineStr">
        <is>
          <t>GLR5</t>
        </is>
      </c>
    </row>
    <row r="5142">
      <c r="A5142" s="227">
        <f>TL[[#This Row],[Société]]&amp;" - "&amp;TL[[#This Row],[Compte]]</f>
        <v/>
      </c>
      <c r="B5142" s="233" t="inlineStr">
        <is>
          <t>445200</t>
        </is>
      </c>
      <c r="C5142" s="227" t="inlineStr">
        <is>
          <t>Tva due intracommunautaire</t>
        </is>
      </c>
      <c r="F5142" s="227" t="inlineStr">
        <is>
          <t>GLR5</t>
        </is>
      </c>
    </row>
    <row r="5143">
      <c r="A5143" s="227">
        <f>TL[[#This Row],[Société]]&amp;" - "&amp;TL[[#This Row],[Compte]]</f>
        <v/>
      </c>
      <c r="B5143" s="233" t="inlineStr">
        <is>
          <t>445500</t>
        </is>
      </c>
      <c r="C5143" s="227" t="inlineStr">
        <is>
          <t>Tva a decaisser</t>
        </is>
      </c>
      <c r="F5143" s="227" t="inlineStr">
        <is>
          <t>GLR5</t>
        </is>
      </c>
    </row>
    <row r="5144">
      <c r="A5144" s="227">
        <f>TL[[#This Row],[Société]]&amp;" - "&amp;TL[[#This Row],[Compte]]</f>
        <v/>
      </c>
      <c r="B5144" s="233" t="inlineStr">
        <is>
          <t>445620</t>
        </is>
      </c>
      <c r="C5144" s="227" t="inlineStr">
        <is>
          <t>Tva déductible s/immobilisations</t>
        </is>
      </c>
      <c r="F5144" s="227" t="inlineStr">
        <is>
          <t>GLR5</t>
        </is>
      </c>
    </row>
    <row r="5145">
      <c r="A5145" s="227">
        <f>TL[[#This Row],[Société]]&amp;" - "&amp;TL[[#This Row],[Compte]]</f>
        <v/>
      </c>
      <c r="B5145" s="233" t="inlineStr">
        <is>
          <t>445621</t>
        </is>
      </c>
      <c r="C5145" s="227" t="inlineStr">
        <is>
          <t>Tva s/ immobilisations encaissement</t>
        </is>
      </c>
      <c r="F5145" s="227" t="inlineStr">
        <is>
          <t>GLR5</t>
        </is>
      </c>
    </row>
    <row r="5146">
      <c r="A5146" s="227">
        <f>TL[[#This Row],[Société]]&amp;" - "&amp;TL[[#This Row],[Compte]]</f>
        <v/>
      </c>
      <c r="B5146" s="233" t="inlineStr">
        <is>
          <t>445660</t>
        </is>
      </c>
      <c r="C5146" s="227" t="inlineStr">
        <is>
          <t>Tva s/aut.bien.serv.deducti</t>
        </is>
      </c>
      <c r="F5146" s="227" t="inlineStr">
        <is>
          <t>GLR5</t>
        </is>
      </c>
    </row>
    <row r="5147">
      <c r="A5147" s="227">
        <f>TL[[#This Row],[Société]]&amp;" - "&amp;TL[[#This Row],[Compte]]</f>
        <v/>
      </c>
      <c r="B5147" s="233" t="inlineStr">
        <is>
          <t>445661</t>
        </is>
      </c>
      <c r="C5147" s="227" t="inlineStr">
        <is>
          <t>Tva s prest de services</t>
        </is>
      </c>
      <c r="F5147" s="227" t="inlineStr">
        <is>
          <t>GLR5</t>
        </is>
      </c>
    </row>
    <row r="5148">
      <c r="A5148" s="227">
        <f>TL[[#This Row],[Société]]&amp;" - "&amp;TL[[#This Row],[Compte]]</f>
        <v/>
      </c>
      <c r="B5148" s="233" t="inlineStr">
        <is>
          <t>445662</t>
        </is>
      </c>
      <c r="C5148" s="227" t="inlineStr">
        <is>
          <t>Tva déductible intracommunautaire</t>
        </is>
      </c>
      <c r="F5148" s="227" t="inlineStr">
        <is>
          <t>GLR5</t>
        </is>
      </c>
    </row>
    <row r="5149">
      <c r="A5149" s="227">
        <f>TL[[#This Row],[Société]]&amp;" - "&amp;TL[[#This Row],[Compte]]</f>
        <v/>
      </c>
      <c r="B5149" s="233" t="inlineStr">
        <is>
          <t>445670</t>
        </is>
      </c>
      <c r="C5149" s="227" t="inlineStr">
        <is>
          <t>Crédit de tva à reporter</t>
        </is>
      </c>
      <c r="F5149" s="227" t="inlineStr">
        <is>
          <t>GLR5</t>
        </is>
      </c>
    </row>
    <row r="5150">
      <c r="A5150" s="227">
        <f>TL[[#This Row],[Société]]&amp;" - "&amp;TL[[#This Row],[Compte]]</f>
        <v/>
      </c>
      <c r="B5150" s="233" t="inlineStr">
        <is>
          <t>445710</t>
        </is>
      </c>
      <c r="C5150" s="227" t="inlineStr">
        <is>
          <t>Tva collectée 5.5%</t>
        </is>
      </c>
      <c r="F5150" s="227" t="inlineStr">
        <is>
          <t>GLR5</t>
        </is>
      </c>
    </row>
    <row r="5151">
      <c r="A5151" s="227">
        <f>TL[[#This Row],[Société]]&amp;" - "&amp;TL[[#This Row],[Compte]]</f>
        <v/>
      </c>
      <c r="B5151" s="233" t="inlineStr">
        <is>
          <t>445714</t>
        </is>
      </c>
      <c r="C5151" s="227" t="inlineStr">
        <is>
          <t>Ecriture tva</t>
        </is>
      </c>
      <c r="F5151" s="227" t="inlineStr">
        <is>
          <t>GLR5</t>
        </is>
      </c>
    </row>
    <row r="5152">
      <c r="A5152" s="227">
        <f>TL[[#This Row],[Société]]&amp;" - "&amp;TL[[#This Row],[Compte]]</f>
        <v/>
      </c>
      <c r="B5152" s="233" t="inlineStr">
        <is>
          <t>445715</t>
        </is>
      </c>
      <c r="C5152" s="227" t="inlineStr">
        <is>
          <t>Ecriture tva</t>
        </is>
      </c>
      <c r="F5152" s="227" t="inlineStr">
        <is>
          <t>GLR5</t>
        </is>
      </c>
    </row>
    <row r="5153">
      <c r="A5153" s="227">
        <f>TL[[#This Row],[Société]]&amp;" - "&amp;TL[[#This Row],[Compte]]</f>
        <v/>
      </c>
      <c r="B5153" s="233" t="inlineStr">
        <is>
          <t>445716</t>
        </is>
      </c>
      <c r="C5153" s="227" t="inlineStr">
        <is>
          <t>Tva à 10%</t>
        </is>
      </c>
      <c r="F5153" s="227" t="inlineStr">
        <is>
          <t>GLR5</t>
        </is>
      </c>
    </row>
    <row r="5154">
      <c r="A5154" s="227">
        <f>TL[[#This Row],[Société]]&amp;" - "&amp;TL[[#This Row],[Compte]]</f>
        <v/>
      </c>
      <c r="B5154" s="233" t="inlineStr">
        <is>
          <t>445717</t>
        </is>
      </c>
      <c r="C5154" s="227" t="inlineStr">
        <is>
          <t>Tva lr service 20 %</t>
        </is>
      </c>
      <c r="F5154" s="227" t="inlineStr">
        <is>
          <t>GLR5</t>
        </is>
      </c>
    </row>
    <row r="5155">
      <c r="A5155" s="227">
        <f>TL[[#This Row],[Société]]&amp;" - "&amp;TL[[#This Row],[Compte]]</f>
        <v/>
      </c>
      <c r="B5155" s="233" t="inlineStr">
        <is>
          <t>445720</t>
        </is>
      </c>
      <c r="C5155" s="227" t="inlineStr">
        <is>
          <t>Tva à  7%</t>
        </is>
      </c>
      <c r="F5155" s="227" t="inlineStr">
        <is>
          <t>GLR5</t>
        </is>
      </c>
    </row>
    <row r="5156">
      <c r="A5156" s="227">
        <f>TL[[#This Row],[Société]]&amp;" - "&amp;TL[[#This Row],[Compte]]</f>
        <v/>
      </c>
      <c r="B5156" s="233" t="inlineStr">
        <is>
          <t>445730</t>
        </is>
      </c>
      <c r="C5156" s="227" t="inlineStr">
        <is>
          <t>Tva collectée à 20%</t>
        </is>
      </c>
      <c r="F5156" s="227" t="inlineStr">
        <is>
          <t>GLR5</t>
        </is>
      </c>
    </row>
    <row r="5157">
      <c r="A5157" s="227">
        <f>TL[[#This Row],[Société]]&amp;" - "&amp;TL[[#This Row],[Compte]]</f>
        <v/>
      </c>
      <c r="B5157" s="233" t="inlineStr">
        <is>
          <t>445750</t>
        </is>
      </c>
      <c r="C5157" s="227" t="inlineStr">
        <is>
          <t>Tva collectée 19.6%</t>
        </is>
      </c>
      <c r="F5157" s="227" t="inlineStr">
        <is>
          <t>GLR5</t>
        </is>
      </c>
    </row>
    <row r="5158">
      <c r="A5158" s="227">
        <f>TL[[#This Row],[Société]]&amp;" - "&amp;TL[[#This Row],[Compte]]</f>
        <v/>
      </c>
      <c r="B5158" s="233" t="inlineStr">
        <is>
          <t>445760</t>
        </is>
      </c>
      <c r="C5158" s="227" t="inlineStr">
        <is>
          <t>Tva collectée 19,6% lrs</t>
        </is>
      </c>
      <c r="F5158" s="227" t="inlineStr">
        <is>
          <t>GLR5</t>
        </is>
      </c>
    </row>
    <row r="5159">
      <c r="A5159" s="227">
        <f>TL[[#This Row],[Société]]&amp;" - "&amp;TL[[#This Row],[Compte]]</f>
        <v/>
      </c>
      <c r="B5159" s="233" t="inlineStr">
        <is>
          <t>445770</t>
        </is>
      </c>
      <c r="C5159" s="227" t="inlineStr">
        <is>
          <t>Tva collectée 19,6% agefos</t>
        </is>
      </c>
      <c r="F5159" s="227" t="inlineStr">
        <is>
          <t>GLR5</t>
        </is>
      </c>
    </row>
    <row r="5160">
      <c r="A5160" s="227">
        <f>TL[[#This Row],[Société]]&amp;" - "&amp;TL[[#This Row],[Compte]]</f>
        <v/>
      </c>
      <c r="B5160" s="233" t="inlineStr">
        <is>
          <t>445830</t>
        </is>
      </c>
      <c r="C5160" s="227" t="inlineStr">
        <is>
          <t>Remboursement de tva demandé</t>
        </is>
      </c>
      <c r="F5160" s="227" t="inlineStr">
        <is>
          <t>GLR5</t>
        </is>
      </c>
    </row>
    <row r="5161">
      <c r="A5161" s="227">
        <f>TL[[#This Row],[Société]]&amp;" - "&amp;TL[[#This Row],[Compte]]</f>
        <v/>
      </c>
      <c r="B5161" s="233" t="inlineStr">
        <is>
          <t>445860</t>
        </is>
      </c>
      <c r="C5161" s="227" t="inlineStr">
        <is>
          <t>Tca s/factures non parvenu.</t>
        </is>
      </c>
      <c r="F5161" s="227" t="inlineStr">
        <is>
          <t>GLR5</t>
        </is>
      </c>
    </row>
    <row r="5162">
      <c r="A5162" s="227">
        <f>TL[[#This Row],[Société]]&amp;" - "&amp;TL[[#This Row],[Compte]]</f>
        <v/>
      </c>
      <c r="B5162" s="233" t="inlineStr">
        <is>
          <t>445861</t>
        </is>
      </c>
      <c r="C5162" s="227" t="inlineStr">
        <is>
          <t>Tca s/avoirs a recevoir</t>
        </is>
      </c>
      <c r="F5162" s="227" t="inlineStr">
        <is>
          <t>GLR5</t>
        </is>
      </c>
    </row>
    <row r="5163">
      <c r="A5163" s="227">
        <f>TL[[#This Row],[Société]]&amp;" - "&amp;TL[[#This Row],[Compte]]</f>
        <v/>
      </c>
      <c r="B5163" s="233" t="inlineStr">
        <is>
          <t>445862</t>
        </is>
      </c>
      <c r="C5163" s="227" t="inlineStr">
        <is>
          <t>Tva déd. s/ fact immo non parvenues</t>
        </is>
      </c>
      <c r="F5163" s="227" t="inlineStr">
        <is>
          <t>GLR5</t>
        </is>
      </c>
    </row>
    <row r="5164">
      <c r="A5164" s="227">
        <f>TL[[#This Row],[Société]]&amp;" - "&amp;TL[[#This Row],[Compte]]</f>
        <v/>
      </c>
      <c r="B5164" s="233" t="inlineStr">
        <is>
          <t>445870</t>
        </is>
      </c>
      <c r="C5164" s="227" t="inlineStr">
        <is>
          <t>Tca/factures a etablir</t>
        </is>
      </c>
      <c r="F5164" s="227" t="inlineStr">
        <is>
          <t>GLR5</t>
        </is>
      </c>
    </row>
    <row r="5165">
      <c r="A5165" s="227">
        <f>TL[[#This Row],[Société]]&amp;" - "&amp;TL[[#This Row],[Compte]]</f>
        <v/>
      </c>
      <c r="B5165" s="233" t="inlineStr">
        <is>
          <t>445871</t>
        </is>
      </c>
      <c r="C5165" s="227" t="inlineStr">
        <is>
          <t>tva sur avoirs à établir</t>
        </is>
      </c>
      <c r="F5165" s="227" t="inlineStr">
        <is>
          <t>GLR5</t>
        </is>
      </c>
    </row>
    <row r="5166">
      <c r="A5166" s="227">
        <f>TL[[#This Row],[Société]]&amp;" - "&amp;TL[[#This Row],[Compte]]</f>
        <v/>
      </c>
      <c r="B5166" s="233" t="inlineStr">
        <is>
          <t>448600</t>
        </is>
      </c>
      <c r="C5166" s="227" t="inlineStr">
        <is>
          <t>Autr.charg.fiscales a payer</t>
        </is>
      </c>
      <c r="F5166" s="227" t="inlineStr">
        <is>
          <t>GLR5</t>
        </is>
      </c>
    </row>
    <row r="5167">
      <c r="A5167" s="227">
        <f>TL[[#This Row],[Société]]&amp;" - "&amp;TL[[#This Row],[Compte]]</f>
        <v/>
      </c>
      <c r="B5167" s="233" t="inlineStr">
        <is>
          <t>448700</t>
        </is>
      </c>
      <c r="C5167" s="227" t="inlineStr">
        <is>
          <t>Etat - produits à recevoir</t>
        </is>
      </c>
      <c r="F5167" s="227" t="inlineStr">
        <is>
          <t>GLR5</t>
        </is>
      </c>
    </row>
    <row r="5168">
      <c r="A5168" s="227">
        <f>TL[[#This Row],[Société]]&amp;" - "&amp;TL[[#This Row],[Compte]]</f>
        <v/>
      </c>
      <c r="B5168" s="233" t="inlineStr">
        <is>
          <t>455000</t>
        </is>
      </c>
      <c r="C5168" s="227" t="inlineStr">
        <is>
          <t>Compte courant Regis Rego de Sebes</t>
        </is>
      </c>
      <c r="F5168" s="227" t="inlineStr">
        <is>
          <t>GLR5</t>
        </is>
      </c>
    </row>
    <row r="5169">
      <c r="A5169" s="227">
        <f>TL[[#This Row],[Société]]&amp;" - "&amp;TL[[#This Row],[Compte]]</f>
        <v/>
      </c>
      <c r="B5169" s="233" t="inlineStr">
        <is>
          <t>455100</t>
        </is>
      </c>
      <c r="C5169" s="227" t="inlineStr">
        <is>
          <t>Compte courant Renaud Rego de Sebes</t>
        </is>
      </c>
      <c r="F5169" s="227" t="inlineStr">
        <is>
          <t>GLR5</t>
        </is>
      </c>
    </row>
    <row r="5170">
      <c r="A5170" s="227">
        <f>TL[[#This Row],[Société]]&amp;" - "&amp;TL[[#This Row],[Compte]]</f>
        <v/>
      </c>
      <c r="B5170" s="233" t="inlineStr">
        <is>
          <t>457000</t>
        </is>
      </c>
      <c r="C5170" s="227" t="inlineStr">
        <is>
          <t>Associés - dividendes à payer</t>
        </is>
      </c>
      <c r="F5170" s="227" t="inlineStr">
        <is>
          <t>GLR5</t>
        </is>
      </c>
    </row>
    <row r="5171">
      <c r="A5171" s="227">
        <f>TL[[#This Row],[Société]]&amp;" - "&amp;TL[[#This Row],[Compte]]</f>
        <v/>
      </c>
      <c r="B5171" s="233" t="inlineStr">
        <is>
          <t>467000</t>
        </is>
      </c>
      <c r="C5171" s="227" t="inlineStr">
        <is>
          <t>Urnes - maison ronald</t>
        </is>
      </c>
      <c r="F5171" s="227" t="inlineStr">
        <is>
          <t>GLR5</t>
        </is>
      </c>
    </row>
    <row r="5172">
      <c r="A5172" s="227">
        <f>TL[[#This Row],[Société]]&amp;" - "&amp;TL[[#This Row],[Compte]]</f>
        <v/>
      </c>
      <c r="B5172" s="233" t="inlineStr">
        <is>
          <t>467100</t>
        </is>
      </c>
      <c r="C5172" s="227" t="inlineStr">
        <is>
          <t>Double cb</t>
        </is>
      </c>
      <c r="F5172" s="227" t="inlineStr">
        <is>
          <t>GLR5</t>
        </is>
      </c>
    </row>
    <row r="5173">
      <c r="A5173" s="227">
        <f>TL[[#This Row],[Société]]&amp;" - "&amp;TL[[#This Row],[Compte]]</f>
        <v/>
      </c>
      <c r="B5173" s="233" t="inlineStr">
        <is>
          <t>467200</t>
        </is>
      </c>
      <c r="C5173" s="227" t="inlineStr">
        <is>
          <t>Rth 76</t>
        </is>
      </c>
      <c r="F5173" s="227" t="inlineStr">
        <is>
          <t>GLR5</t>
        </is>
      </c>
    </row>
    <row r="5174">
      <c r="A5174" s="227">
        <f>TL[[#This Row],[Société]]&amp;" - "&amp;TL[[#This Row],[Compte]]</f>
        <v/>
      </c>
      <c r="B5174" s="233" t="inlineStr">
        <is>
          <t>467220</t>
        </is>
      </c>
      <c r="C5174" s="227" t="inlineStr">
        <is>
          <t>Ecart cb</t>
        </is>
      </c>
      <c r="F5174" s="227" t="inlineStr">
        <is>
          <t>GLR5</t>
        </is>
      </c>
    </row>
    <row r="5175">
      <c r="A5175" s="227">
        <f>TL[[#This Row],[Société]]&amp;" - "&amp;TL[[#This Row],[Compte]]</f>
        <v/>
      </c>
      <c r="B5175" s="233" t="inlineStr">
        <is>
          <t>467230</t>
        </is>
      </c>
      <c r="C5175" s="227" t="inlineStr">
        <is>
          <t>Ecart s/ remise tr</t>
        </is>
      </c>
      <c r="F5175" s="227" t="inlineStr">
        <is>
          <t>GLR5</t>
        </is>
      </c>
    </row>
    <row r="5176">
      <c r="A5176" s="227">
        <f>TL[[#This Row],[Société]]&amp;" - "&amp;TL[[#This Row],[Compte]]</f>
        <v/>
      </c>
      <c r="B5176" s="233" t="inlineStr">
        <is>
          <t>467240</t>
        </is>
      </c>
      <c r="C5176" s="227" t="inlineStr">
        <is>
          <t>Ecart s/ remises especes</t>
        </is>
      </c>
      <c r="F5176" s="227" t="inlineStr">
        <is>
          <t>GLR5</t>
        </is>
      </c>
    </row>
    <row r="5177">
      <c r="A5177" s="227">
        <f>TL[[#This Row],[Société]]&amp;" - "&amp;TL[[#This Row],[Compte]]</f>
        <v/>
      </c>
      <c r="B5177" s="233" t="inlineStr">
        <is>
          <t>467250</t>
        </is>
      </c>
      <c r="C5177" s="227" t="inlineStr">
        <is>
          <t>Ecart s/remise cv</t>
        </is>
      </c>
      <c r="F5177" s="227" t="inlineStr">
        <is>
          <t>GLR5</t>
        </is>
      </c>
    </row>
    <row r="5178">
      <c r="A5178" s="227">
        <f>TL[[#This Row],[Société]]&amp;" - "&amp;TL[[#This Row],[Compte]]</f>
        <v/>
      </c>
      <c r="B5178" s="233" t="inlineStr">
        <is>
          <t>467260</t>
        </is>
      </c>
      <c r="C5178" s="227" t="inlineStr">
        <is>
          <t>Ecart remise cheques</t>
        </is>
      </c>
      <c r="F5178" s="227" t="inlineStr">
        <is>
          <t>GLR5</t>
        </is>
      </c>
    </row>
    <row r="5179">
      <c r="A5179" s="227">
        <f>TL[[#This Row],[Société]]&amp;" - "&amp;TL[[#This Row],[Compte]]</f>
        <v/>
      </c>
      <c r="B5179" s="233" t="inlineStr">
        <is>
          <t>467270</t>
        </is>
      </c>
      <c r="C5179" s="227" t="inlineStr">
        <is>
          <t>Ecart uber</t>
        </is>
      </c>
      <c r="F5179" s="227" t="inlineStr">
        <is>
          <t>GLR5</t>
        </is>
      </c>
    </row>
    <row r="5180">
      <c r="A5180" s="227">
        <f>TL[[#This Row],[Société]]&amp;" - "&amp;TL[[#This Row],[Compte]]</f>
        <v/>
      </c>
      <c r="B5180" s="233" t="inlineStr">
        <is>
          <t>467280</t>
        </is>
      </c>
      <c r="C5180" s="227" t="inlineStr">
        <is>
          <t>Ecart deliveroo</t>
        </is>
      </c>
      <c r="F5180" s="227" t="inlineStr">
        <is>
          <t>GLR5</t>
        </is>
      </c>
    </row>
    <row r="5181">
      <c r="A5181" s="227">
        <f>TL[[#This Row],[Société]]&amp;" - "&amp;TL[[#This Row],[Compte]]</f>
        <v/>
      </c>
      <c r="B5181" s="233" t="inlineStr">
        <is>
          <t>467300</t>
        </is>
      </c>
      <c r="C5181" s="227" t="inlineStr">
        <is>
          <t>Htr8</t>
        </is>
      </c>
      <c r="F5181" s="227" t="inlineStr">
        <is>
          <t>GLR5</t>
        </is>
      </c>
    </row>
    <row r="5182">
      <c r="A5182" s="227">
        <f>TL[[#This Row],[Société]]&amp;" - "&amp;TL[[#This Row],[Compte]]</f>
        <v/>
      </c>
      <c r="B5182" s="233" t="inlineStr">
        <is>
          <t>467400</t>
        </is>
      </c>
      <c r="C5182" s="227" t="inlineStr">
        <is>
          <t>Gth 14</t>
        </is>
      </c>
      <c r="F5182" s="227" t="inlineStr">
        <is>
          <t>GLR5</t>
        </is>
      </c>
    </row>
    <row r="5183">
      <c r="A5183" s="227">
        <f>TL[[#This Row],[Société]]&amp;" - "&amp;TL[[#This Row],[Compte]]</f>
        <v/>
      </c>
      <c r="B5183" s="233" t="inlineStr">
        <is>
          <t>467440</t>
        </is>
      </c>
      <c r="C5183" s="227" t="inlineStr">
        <is>
          <t>Lyse</t>
        </is>
      </c>
      <c r="F5183" s="227" t="inlineStr">
        <is>
          <t>GLR5</t>
        </is>
      </c>
    </row>
    <row r="5184">
      <c r="A5184" s="227">
        <f>TL[[#This Row],[Société]]&amp;" - "&amp;TL[[#This Row],[Compte]]</f>
        <v/>
      </c>
      <c r="B5184" s="233" t="inlineStr">
        <is>
          <t>467444</t>
        </is>
      </c>
      <c r="C5184" s="227" t="inlineStr">
        <is>
          <t>Autres comptes débiteurs</t>
        </is>
      </c>
      <c r="F5184" s="227" t="inlineStr">
        <is>
          <t>GLR5</t>
        </is>
      </c>
    </row>
    <row r="5185">
      <c r="A5185" s="227">
        <f>TL[[#This Row],[Société]]&amp;" - "&amp;TL[[#This Row],[Compte]]</f>
        <v/>
      </c>
      <c r="B5185" s="233" t="inlineStr">
        <is>
          <t>467445</t>
        </is>
      </c>
      <c r="C5185" s="227" t="inlineStr">
        <is>
          <t>Jrcr</t>
        </is>
      </c>
      <c r="F5185" s="227" t="inlineStr">
        <is>
          <t>GLR5</t>
        </is>
      </c>
    </row>
    <row r="5186">
      <c r="A5186" s="227">
        <f>TL[[#This Row],[Société]]&amp;" - "&amp;TL[[#This Row],[Compte]]</f>
        <v/>
      </c>
      <c r="B5186" s="233" t="inlineStr">
        <is>
          <t>467446</t>
        </is>
      </c>
      <c r="C5186" s="227" t="inlineStr">
        <is>
          <t>Vr7</t>
        </is>
      </c>
      <c r="F5186" s="227" t="inlineStr">
        <is>
          <t>GLR5</t>
        </is>
      </c>
    </row>
    <row r="5187">
      <c r="A5187" s="227">
        <f>TL[[#This Row],[Société]]&amp;" - "&amp;TL[[#This Row],[Compte]]</f>
        <v/>
      </c>
      <c r="B5187" s="233" t="inlineStr">
        <is>
          <t>467450</t>
        </is>
      </c>
      <c r="C5187" s="227" t="inlineStr">
        <is>
          <t>Lyse</t>
        </is>
      </c>
      <c r="F5187" s="227" t="inlineStr">
        <is>
          <t>GLR5</t>
        </is>
      </c>
    </row>
    <row r="5188">
      <c r="A5188" s="227">
        <f>TL[[#This Row],[Société]]&amp;" - "&amp;TL[[#This Row],[Compte]]</f>
        <v/>
      </c>
      <c r="B5188" s="233" t="inlineStr">
        <is>
          <t>467470</t>
        </is>
      </c>
      <c r="C5188" s="227" t="inlineStr">
        <is>
          <t>Tirr</t>
        </is>
      </c>
      <c r="F5188" s="227" t="inlineStr">
        <is>
          <t>GLR5</t>
        </is>
      </c>
    </row>
    <row r="5189">
      <c r="A5189" s="227">
        <f>TL[[#This Row],[Société]]&amp;" - "&amp;TL[[#This Row],[Compte]]</f>
        <v/>
      </c>
      <c r="B5189" s="233" t="inlineStr">
        <is>
          <t>467500</t>
        </is>
      </c>
      <c r="C5189" s="227" t="inlineStr">
        <is>
          <t>Autres comptes débiteurs créditeurs</t>
        </is>
      </c>
      <c r="F5189" s="227" t="inlineStr">
        <is>
          <t>GLR5</t>
        </is>
      </c>
    </row>
    <row r="5190">
      <c r="A5190" s="227">
        <f>TL[[#This Row],[Société]]&amp;" - "&amp;TL[[#This Row],[Compte]]</f>
        <v/>
      </c>
      <c r="B5190" s="233" t="inlineStr">
        <is>
          <t>467555</t>
        </is>
      </c>
      <c r="C5190" s="227" t="inlineStr">
        <is>
          <t>Autres comptes créditeurs</t>
        </is>
      </c>
      <c r="F5190" s="227" t="inlineStr">
        <is>
          <t>GLR5</t>
        </is>
      </c>
    </row>
    <row r="5191">
      <c r="A5191" s="227">
        <f>TL[[#This Row],[Société]]&amp;" - "&amp;TL[[#This Row],[Compte]]</f>
        <v/>
      </c>
      <c r="B5191" s="233" t="inlineStr">
        <is>
          <t>467666</t>
        </is>
      </c>
      <c r="C5191" s="227" t="inlineStr">
        <is>
          <t>Autres comptes débiteurs/créditeurs</t>
        </is>
      </c>
      <c r="F5191" s="227" t="inlineStr">
        <is>
          <t>GLR5</t>
        </is>
      </c>
    </row>
    <row r="5192">
      <c r="A5192" s="227">
        <f>TL[[#This Row],[Société]]&amp;" - "&amp;TL[[#This Row],[Compte]]</f>
        <v/>
      </c>
      <c r="B5192" s="233" t="inlineStr">
        <is>
          <t>468700</t>
        </is>
      </c>
      <c r="C5192" s="227" t="inlineStr">
        <is>
          <t>Divers prod. a recevoir</t>
        </is>
      </c>
      <c r="F5192" s="227" t="inlineStr">
        <is>
          <t>GLR5</t>
        </is>
      </c>
    </row>
    <row r="5193">
      <c r="A5193" s="227">
        <f>TL[[#This Row],[Société]]&amp;" - "&amp;TL[[#This Row],[Compte]]</f>
        <v/>
      </c>
      <c r="B5193" s="233" t="inlineStr">
        <is>
          <t>471000</t>
        </is>
      </c>
      <c r="C5193" s="227" t="inlineStr">
        <is>
          <t>Compte d attente npu</t>
        </is>
      </c>
      <c r="F5193" s="227" t="inlineStr">
        <is>
          <t>GLR5</t>
        </is>
      </c>
    </row>
    <row r="5194">
      <c r="A5194" s="227">
        <f>TL[[#This Row],[Société]]&amp;" - "&amp;TL[[#This Row],[Compte]]</f>
        <v/>
      </c>
      <c r="B5194" s="233" t="inlineStr">
        <is>
          <t>471100</t>
        </is>
      </c>
      <c r="C5194" s="227" t="inlineStr">
        <is>
          <t>Compte d'attente</t>
        </is>
      </c>
      <c r="F5194" s="227" t="inlineStr">
        <is>
          <t>GLR5</t>
        </is>
      </c>
    </row>
    <row r="5195">
      <c r="A5195" s="227">
        <f>TL[[#This Row],[Société]]&amp;" - "&amp;TL[[#This Row],[Compte]]</f>
        <v/>
      </c>
      <c r="B5195" s="233" t="inlineStr">
        <is>
          <t>472000</t>
        </is>
      </c>
      <c r="C5195" s="227" t="inlineStr">
        <is>
          <t>Compte d'attente</t>
        </is>
      </c>
      <c r="F5195" s="227" t="inlineStr">
        <is>
          <t>GLR5</t>
        </is>
      </c>
    </row>
    <row r="5196">
      <c r="A5196" s="227">
        <f>TL[[#This Row],[Société]]&amp;" - "&amp;TL[[#This Row],[Compte]]</f>
        <v/>
      </c>
      <c r="B5196" s="233" t="inlineStr">
        <is>
          <t>486000</t>
        </is>
      </c>
      <c r="C5196" s="227" t="inlineStr">
        <is>
          <t>Charges constatees d avance</t>
        </is>
      </c>
      <c r="F5196" s="227" t="inlineStr">
        <is>
          <t>GLR5</t>
        </is>
      </c>
    </row>
    <row r="5197">
      <c r="A5197" s="227">
        <f>TL[[#This Row],[Société]]&amp;" - "&amp;TL[[#This Row],[Compte]]</f>
        <v/>
      </c>
      <c r="B5197" s="233" t="inlineStr">
        <is>
          <t>487000</t>
        </is>
      </c>
      <c r="C5197" s="227" t="inlineStr">
        <is>
          <t>Produits constatés d'avance</t>
        </is>
      </c>
      <c r="F5197" s="227" t="inlineStr">
        <is>
          <t>GLR5</t>
        </is>
      </c>
    </row>
    <row r="5198">
      <c r="A5198" s="227">
        <f>TL[[#This Row],[Société]]&amp;" - "&amp;TL[[#This Row],[Compte]]</f>
        <v/>
      </c>
      <c r="B5198" s="233" t="inlineStr">
        <is>
          <t>500000</t>
        </is>
      </c>
      <c r="C5198" s="227" t="inlineStr">
        <is>
          <t>.</t>
        </is>
      </c>
      <c r="F5198" s="227" t="inlineStr">
        <is>
          <t>GLR5</t>
        </is>
      </c>
    </row>
    <row r="5199">
      <c r="A5199" s="227">
        <f>TL[[#This Row],[Société]]&amp;" - "&amp;TL[[#This Row],[Compte]]</f>
        <v/>
      </c>
      <c r="B5199" s="233" t="inlineStr">
        <is>
          <t>508000</t>
        </is>
      </c>
      <c r="C5199" s="227" t="inlineStr">
        <is>
          <t>Aut.val.mob.crean.assimil.</t>
        </is>
      </c>
      <c r="F5199" s="227" t="inlineStr">
        <is>
          <t>GLR5</t>
        </is>
      </c>
    </row>
    <row r="5200">
      <c r="A5200" s="227">
        <f>TL[[#This Row],[Société]]&amp;" - "&amp;TL[[#This Row],[Compte]]</f>
        <v/>
      </c>
      <c r="B5200" s="233" t="inlineStr">
        <is>
          <t>511200</t>
        </is>
      </c>
      <c r="C5200" s="227" t="inlineStr">
        <is>
          <t>Tickets restaurant</t>
        </is>
      </c>
      <c r="F5200" s="227" t="inlineStr">
        <is>
          <t>GLR5</t>
        </is>
      </c>
    </row>
    <row r="5201">
      <c r="A5201" s="227">
        <f>TL[[#This Row],[Société]]&amp;" - "&amp;TL[[#This Row],[Compte]]</f>
        <v/>
      </c>
      <c r="B5201" s="233" t="inlineStr">
        <is>
          <t>511210</t>
        </is>
      </c>
      <c r="C5201" s="227" t="inlineStr">
        <is>
          <t>Devises</t>
        </is>
      </c>
      <c r="F5201" s="227" t="inlineStr">
        <is>
          <t>GLR5</t>
        </is>
      </c>
    </row>
    <row r="5202">
      <c r="A5202" s="227">
        <f>TL[[#This Row],[Société]]&amp;" - "&amp;TL[[#This Row],[Compte]]</f>
        <v/>
      </c>
      <c r="B5202" s="233" t="inlineStr">
        <is>
          <t>511211</t>
        </is>
      </c>
      <c r="C5202" s="227" t="inlineStr">
        <is>
          <t>Chèques - npu</t>
        </is>
      </c>
      <c r="F5202" s="227" t="inlineStr">
        <is>
          <t>GLR5</t>
        </is>
      </c>
    </row>
    <row r="5203">
      <c r="A5203" s="227">
        <f>TL[[#This Row],[Société]]&amp;" - "&amp;TL[[#This Row],[Compte]]</f>
        <v/>
      </c>
      <c r="B5203" s="233" t="inlineStr">
        <is>
          <t>511221</t>
        </is>
      </c>
      <c r="C5203" s="227" t="inlineStr">
        <is>
          <t>Vente 23/04</t>
        </is>
      </c>
      <c r="F5203" s="227" t="inlineStr">
        <is>
          <t>GLR5</t>
        </is>
      </c>
    </row>
    <row r="5204">
      <c r="A5204" s="227">
        <f>TL[[#This Row],[Société]]&amp;" - "&amp;TL[[#This Row],[Compte]]</f>
        <v/>
      </c>
      <c r="B5204" s="233" t="inlineStr">
        <is>
          <t>511230</t>
        </is>
      </c>
      <c r="C5204" s="227" t="inlineStr">
        <is>
          <t>Chèques</t>
        </is>
      </c>
      <c r="F5204" s="227" t="inlineStr">
        <is>
          <t>GLR5</t>
        </is>
      </c>
    </row>
    <row r="5205">
      <c r="A5205" s="227">
        <f>TL[[#This Row],[Société]]&amp;" - "&amp;TL[[#This Row],[Compte]]</f>
        <v/>
      </c>
      <c r="B5205" s="233" t="inlineStr">
        <is>
          <t>511231</t>
        </is>
      </c>
      <c r="C5205" s="227" t="inlineStr">
        <is>
          <t>Npu</t>
        </is>
      </c>
      <c r="F5205" s="227" t="inlineStr">
        <is>
          <t>GLR5</t>
        </is>
      </c>
    </row>
    <row r="5206">
      <c r="A5206" s="227">
        <f>TL[[#This Row],[Société]]&amp;" - "&amp;TL[[#This Row],[Compte]]</f>
        <v/>
      </c>
      <c r="B5206" s="233" t="inlineStr">
        <is>
          <t>511250</t>
        </is>
      </c>
      <c r="C5206" s="227" t="inlineStr">
        <is>
          <t>Cartes bleues</t>
        </is>
      </c>
      <c r="F5206" s="227" t="inlineStr">
        <is>
          <t>GLR5</t>
        </is>
      </c>
    </row>
    <row r="5207">
      <c r="A5207" s="227">
        <f>TL[[#This Row],[Société]]&amp;" - "&amp;TL[[#This Row],[Compte]]</f>
        <v/>
      </c>
      <c r="B5207" s="233" t="inlineStr">
        <is>
          <t>511251</t>
        </is>
      </c>
      <c r="C5207" s="227" t="inlineStr">
        <is>
          <t>Vente 23/04</t>
        </is>
      </c>
      <c r="F5207" s="227" t="inlineStr">
        <is>
          <t>GLR5</t>
        </is>
      </c>
    </row>
    <row r="5208">
      <c r="A5208" s="227">
        <f>TL[[#This Row],[Société]]&amp;" - "&amp;TL[[#This Row],[Compte]]</f>
        <v/>
      </c>
      <c r="B5208" s="233" t="inlineStr">
        <is>
          <t>511252</t>
        </is>
      </c>
      <c r="C5208" s="227" t="inlineStr">
        <is>
          <t>Livraison à domicile - Uber</t>
        </is>
      </c>
      <c r="F5208" s="227" t="inlineStr">
        <is>
          <t>GLR5</t>
        </is>
      </c>
    </row>
    <row r="5209">
      <c r="A5209" s="227">
        <f>TL[[#This Row],[Société]]&amp;" - "&amp;TL[[#This Row],[Compte]]</f>
        <v/>
      </c>
      <c r="B5209" s="233" t="inlineStr">
        <is>
          <t>511253</t>
        </is>
      </c>
      <c r="C5209" s="227" t="inlineStr">
        <is>
          <t>DELIVEROO</t>
        </is>
      </c>
      <c r="F5209" s="227" t="inlineStr">
        <is>
          <t>GLR5</t>
        </is>
      </c>
    </row>
    <row r="5210">
      <c r="A5210" s="227">
        <f>TL[[#This Row],[Société]]&amp;" - "&amp;TL[[#This Row],[Compte]]</f>
        <v/>
      </c>
      <c r="B5210" s="233" t="inlineStr">
        <is>
          <t>511260</t>
        </is>
      </c>
      <c r="C5210" s="227" t="inlineStr">
        <is>
          <t>Cheques vacances</t>
        </is>
      </c>
      <c r="F5210" s="227" t="inlineStr">
        <is>
          <t>GLR5</t>
        </is>
      </c>
    </row>
    <row r="5211">
      <c r="A5211" s="227">
        <f>TL[[#This Row],[Société]]&amp;" - "&amp;TL[[#This Row],[Compte]]</f>
        <v/>
      </c>
      <c r="B5211" s="233" t="inlineStr">
        <is>
          <t>511261</t>
        </is>
      </c>
      <c r="C5211" s="227" t="inlineStr">
        <is>
          <t>Ventes 08/10</t>
        </is>
      </c>
      <c r="F5211" s="227" t="inlineStr">
        <is>
          <t>GLR5</t>
        </is>
      </c>
    </row>
    <row r="5212">
      <c r="A5212" s="227">
        <f>TL[[#This Row],[Société]]&amp;" - "&amp;TL[[#This Row],[Compte]]</f>
        <v/>
      </c>
      <c r="B5212" s="233" t="inlineStr">
        <is>
          <t>511701</t>
        </is>
      </c>
      <c r="C5212" s="227" t="inlineStr">
        <is>
          <t>Chèques émis caisse d'épargne</t>
        </is>
      </c>
      <c r="F5212" s="227" t="inlineStr">
        <is>
          <t>GLR5</t>
        </is>
      </c>
    </row>
    <row r="5213">
      <c r="A5213" s="227">
        <f>TL[[#This Row],[Société]]&amp;" - "&amp;TL[[#This Row],[Compte]]</f>
        <v/>
      </c>
      <c r="B5213" s="233" t="inlineStr">
        <is>
          <t>511702</t>
        </is>
      </c>
      <c r="C5213" s="227" t="inlineStr">
        <is>
          <t>Chèques émis crca caen</t>
        </is>
      </c>
      <c r="F5213" s="227" t="inlineStr">
        <is>
          <t>GLR5</t>
        </is>
      </c>
    </row>
    <row r="5214">
      <c r="A5214" s="227">
        <f>TL[[#This Row],[Société]]&amp;" - "&amp;TL[[#This Row],[Compte]]</f>
        <v/>
      </c>
      <c r="B5214" s="233" t="inlineStr">
        <is>
          <t>511703</t>
        </is>
      </c>
      <c r="C5214" s="227" t="inlineStr">
        <is>
          <t>Chèques émis crca rouen</t>
        </is>
      </c>
      <c r="F5214" s="227" t="inlineStr">
        <is>
          <t>GLR5</t>
        </is>
      </c>
    </row>
    <row r="5215">
      <c r="A5215" s="227">
        <f>TL[[#This Row],[Société]]&amp;" - "&amp;TL[[#This Row],[Compte]]</f>
        <v/>
      </c>
      <c r="B5215" s="233" t="inlineStr">
        <is>
          <t>512100</t>
        </is>
      </c>
      <c r="C5215" s="227" t="inlineStr">
        <is>
          <t>Crédit agricole</t>
        </is>
      </c>
      <c r="F5215" s="227" t="inlineStr">
        <is>
          <t>GLR5</t>
        </is>
      </c>
    </row>
    <row r="5216">
      <c r="A5216" s="227">
        <f>TL[[#This Row],[Société]]&amp;" - "&amp;TL[[#This Row],[Compte]]</f>
        <v/>
      </c>
      <c r="B5216" s="233" t="inlineStr">
        <is>
          <t>512210</t>
        </is>
      </c>
      <c r="C5216" s="227" t="inlineStr">
        <is>
          <t>Cep</t>
        </is>
      </c>
      <c r="F5216" s="227" t="inlineStr">
        <is>
          <t>GLR5</t>
        </is>
      </c>
    </row>
    <row r="5217">
      <c r="A5217" s="227">
        <f>TL[[#This Row],[Société]]&amp;" - "&amp;TL[[#This Row],[Compte]]</f>
        <v/>
      </c>
      <c r="B5217" s="233" t="inlineStr">
        <is>
          <t>512300</t>
        </is>
      </c>
      <c r="C5217" s="227" t="inlineStr">
        <is>
          <t>Caisse d'epargne npu</t>
        </is>
      </c>
      <c r="F5217" s="227" t="inlineStr">
        <is>
          <t>GLR5</t>
        </is>
      </c>
    </row>
    <row r="5218">
      <c r="A5218" s="227">
        <f>TL[[#This Row],[Société]]&amp;" - "&amp;TL[[#This Row],[Compte]]</f>
        <v/>
      </c>
      <c r="B5218" s="233" t="inlineStr">
        <is>
          <t>512400</t>
        </is>
      </c>
      <c r="C5218" s="227" t="inlineStr">
        <is>
          <t>Caisse d'épargne</t>
        </is>
      </c>
      <c r="F5218" s="227" t="inlineStr">
        <is>
          <t>GLR5</t>
        </is>
      </c>
    </row>
    <row r="5219">
      <c r="A5219" s="227">
        <f>TL[[#This Row],[Société]]&amp;" - "&amp;TL[[#This Row],[Compte]]</f>
        <v/>
      </c>
      <c r="B5219" s="233" t="inlineStr">
        <is>
          <t>512500</t>
        </is>
      </c>
      <c r="C5219" s="227" t="inlineStr">
        <is>
          <t>Livret a</t>
        </is>
      </c>
      <c r="F5219" s="227" t="inlineStr">
        <is>
          <t>GLR5</t>
        </is>
      </c>
    </row>
    <row r="5220">
      <c r="A5220" s="227">
        <f>TL[[#This Row],[Société]]&amp;" - "&amp;TL[[#This Row],[Compte]]</f>
        <v/>
      </c>
      <c r="B5220" s="233" t="inlineStr">
        <is>
          <t>512600</t>
        </is>
      </c>
      <c r="C5220" s="227" t="inlineStr">
        <is>
          <t>Crca normandie caen</t>
        </is>
      </c>
      <c r="F5220" s="227" t="inlineStr">
        <is>
          <t>GLR5</t>
        </is>
      </c>
    </row>
    <row r="5221">
      <c r="A5221" s="227">
        <f>TL[[#This Row],[Société]]&amp;" - "&amp;TL[[#This Row],[Compte]]</f>
        <v/>
      </c>
      <c r="B5221" s="233" t="inlineStr">
        <is>
          <t>512700</t>
        </is>
      </c>
      <c r="C5221" s="227" t="inlineStr">
        <is>
          <t>Crca normandie rouen</t>
        </is>
      </c>
      <c r="F5221" s="227" t="inlineStr">
        <is>
          <t>GLR5</t>
        </is>
      </c>
    </row>
    <row r="5222">
      <c r="A5222" s="227">
        <f>TL[[#This Row],[Société]]&amp;" - "&amp;TL[[#This Row],[Compte]]</f>
        <v/>
      </c>
      <c r="B5222" s="233" t="inlineStr">
        <is>
          <t>512800</t>
        </is>
      </c>
      <c r="C5222" s="227" t="inlineStr">
        <is>
          <t>Société générale</t>
        </is>
      </c>
      <c r="F5222" s="227" t="inlineStr">
        <is>
          <t>GLR5</t>
        </is>
      </c>
    </row>
    <row r="5223">
      <c r="A5223" s="227">
        <f>TL[[#This Row],[Société]]&amp;" - "&amp;TL[[#This Row],[Compte]]</f>
        <v/>
      </c>
      <c r="B5223" s="233" t="inlineStr">
        <is>
          <t>512900</t>
        </is>
      </c>
      <c r="C5223" s="227" t="inlineStr">
        <is>
          <t>DAT N°741090 Ech 11/2026</t>
        </is>
      </c>
      <c r="F5223" s="227" t="inlineStr">
        <is>
          <t>GLR5</t>
        </is>
      </c>
    </row>
    <row r="5224">
      <c r="A5224" s="227">
        <f>TL[[#This Row],[Société]]&amp;" - "&amp;TL[[#This Row],[Compte]]</f>
        <v/>
      </c>
      <c r="B5224" s="233" t="inlineStr">
        <is>
          <t>518800</t>
        </is>
      </c>
      <c r="C5224" s="227" t="inlineStr">
        <is>
          <t>Banque - intérêts courus à recevoir</t>
        </is>
      </c>
      <c r="F5224" s="227" t="inlineStr">
        <is>
          <t>GLR5</t>
        </is>
      </c>
    </row>
    <row r="5225">
      <c r="A5225" s="227">
        <f>TL[[#This Row],[Société]]&amp;" - "&amp;TL[[#This Row],[Compte]]</f>
        <v/>
      </c>
      <c r="B5225" s="233" t="inlineStr">
        <is>
          <t>519100</t>
        </is>
      </c>
      <c r="C5225" s="227" t="inlineStr">
        <is>
          <t>depot a terme</t>
        </is>
      </c>
      <c r="F5225" s="227" t="inlineStr">
        <is>
          <t>GLR5</t>
        </is>
      </c>
    </row>
    <row r="5226">
      <c r="A5226" s="227">
        <f>TL[[#This Row],[Société]]&amp;" - "&amp;TL[[#This Row],[Compte]]</f>
        <v/>
      </c>
      <c r="B5226" s="233" t="inlineStr">
        <is>
          <t>530000</t>
        </is>
      </c>
      <c r="C5226" s="227" t="inlineStr">
        <is>
          <t>Petite caisse</t>
        </is>
      </c>
      <c r="F5226" s="227" t="inlineStr">
        <is>
          <t>GLR5</t>
        </is>
      </c>
    </row>
    <row r="5227">
      <c r="A5227" s="227">
        <f>TL[[#This Row],[Société]]&amp;" - "&amp;TL[[#This Row],[Compte]]</f>
        <v/>
      </c>
      <c r="B5227" s="233" t="inlineStr">
        <is>
          <t>530200</t>
        </is>
      </c>
      <c r="C5227" s="227" t="inlineStr">
        <is>
          <t>Caisse coffre</t>
        </is>
      </c>
      <c r="F5227" s="227" t="inlineStr">
        <is>
          <t>GLR5</t>
        </is>
      </c>
    </row>
    <row r="5228">
      <c r="A5228" s="227">
        <f>TL[[#This Row],[Société]]&amp;" - "&amp;TL[[#This Row],[Compte]]</f>
        <v/>
      </c>
      <c r="B5228" s="233" t="inlineStr">
        <is>
          <t>531000</t>
        </is>
      </c>
      <c r="C5228" s="227" t="inlineStr">
        <is>
          <t>Petite caisse</t>
        </is>
      </c>
      <c r="F5228" s="227" t="inlineStr">
        <is>
          <t>GLR5</t>
        </is>
      </c>
    </row>
    <row r="5229">
      <c r="A5229" s="227">
        <f>TL[[#This Row],[Société]]&amp;" - "&amp;TL[[#This Row],[Compte]]</f>
        <v/>
      </c>
      <c r="B5229" s="233" t="inlineStr">
        <is>
          <t>580000</t>
        </is>
      </c>
      <c r="C5229" s="227" t="inlineStr">
        <is>
          <t>Virement interne</t>
        </is>
      </c>
      <c r="F5229" s="227" t="inlineStr">
        <is>
          <t>GLR5</t>
        </is>
      </c>
    </row>
    <row r="5230">
      <c r="A5230" s="227">
        <f>TL[[#This Row],[Société]]&amp;" - "&amp;TL[[#This Row],[Compte]]</f>
        <v/>
      </c>
      <c r="B5230" s="233" t="inlineStr">
        <is>
          <t>581000</t>
        </is>
      </c>
      <c r="C5230" s="227" t="inlineStr">
        <is>
          <t>Versement espèces</t>
        </is>
      </c>
      <c r="F5230" s="227" t="inlineStr">
        <is>
          <t>GLR5</t>
        </is>
      </c>
    </row>
    <row r="5231">
      <c r="A5231" s="227">
        <f>TL[[#This Row],[Société]]&amp;" - "&amp;TL[[#This Row],[Compte]]</f>
        <v/>
      </c>
      <c r="B5231" s="233" t="inlineStr">
        <is>
          <t>581100</t>
        </is>
      </c>
      <c r="C5231" s="227" t="inlineStr">
        <is>
          <t>Virements internes</t>
        </is>
      </c>
      <c r="F5231" s="227" t="inlineStr">
        <is>
          <t>GLR5</t>
        </is>
      </c>
    </row>
    <row r="5232">
      <c r="A5232" s="227">
        <f>TL[[#This Row],[Société]]&amp;" - "&amp;TL[[#This Row],[Compte]]</f>
        <v/>
      </c>
      <c r="B5232" s="233" t="inlineStr">
        <is>
          <t>583000</t>
        </is>
      </c>
      <c r="C5232" s="227" t="inlineStr">
        <is>
          <t>Monnaie</t>
        </is>
      </c>
      <c r="F5232" s="227" t="inlineStr">
        <is>
          <t>GLR5</t>
        </is>
      </c>
    </row>
    <row r="5233">
      <c r="A5233" s="227">
        <f>TL[[#This Row],[Société]]&amp;" - "&amp;TL[[#This Row],[Compte]]</f>
        <v/>
      </c>
      <c r="B5233" s="233" t="inlineStr">
        <is>
          <t>601100</t>
        </is>
      </c>
      <c r="C5233" s="227" t="inlineStr">
        <is>
          <t>Achats alimentaires</t>
        </is>
      </c>
      <c r="D5233" s="233" t="inlineStr">
        <is>
          <t>06</t>
        </is>
      </c>
      <c r="E5233" s="233" t="inlineStr">
        <is>
          <t>03</t>
        </is>
      </c>
      <c r="F5233" s="227" t="inlineStr">
        <is>
          <t>GLR5</t>
        </is>
      </c>
    </row>
    <row r="5234">
      <c r="A5234" s="227">
        <f>TL[[#This Row],[Société]]&amp;" - "&amp;TL[[#This Row],[Compte]]</f>
        <v/>
      </c>
      <c r="B5234" s="233" t="inlineStr">
        <is>
          <t>601102</t>
        </is>
      </c>
      <c r="C5234" s="227" t="inlineStr">
        <is>
          <t>Dechets</t>
        </is>
      </c>
      <c r="D5234" s="233" t="inlineStr">
        <is>
          <t>07</t>
        </is>
      </c>
      <c r="E5234" s="233" t="inlineStr">
        <is>
          <t>05</t>
        </is>
      </c>
      <c r="F5234" s="227" t="inlineStr">
        <is>
          <t>GLR5</t>
        </is>
      </c>
    </row>
    <row r="5235">
      <c r="A5235" s="227">
        <f>TL[[#This Row],[Société]]&amp;" - "&amp;TL[[#This Row],[Compte]]</f>
        <v/>
      </c>
      <c r="B5235" s="233" t="inlineStr">
        <is>
          <t>601103</t>
        </is>
      </c>
      <c r="C5235" s="227" t="inlineStr">
        <is>
          <t>Repas employes</t>
        </is>
      </c>
      <c r="D5235" s="233" t="inlineStr">
        <is>
          <t>08</t>
        </is>
      </c>
      <c r="E5235" s="233" t="inlineStr">
        <is>
          <t>04</t>
        </is>
      </c>
      <c r="F5235" s="227" t="inlineStr">
        <is>
          <t>GLR5</t>
        </is>
      </c>
    </row>
    <row r="5236">
      <c r="A5236" s="227">
        <f>TL[[#This Row],[Société]]&amp;" - "&amp;TL[[#This Row],[Compte]]</f>
        <v/>
      </c>
      <c r="B5236" s="233" t="inlineStr">
        <is>
          <t>602155</t>
        </is>
      </c>
      <c r="C5236" s="227" t="inlineStr">
        <is>
          <t>Jouets et div npu</t>
        </is>
      </c>
      <c r="D5236" s="233" t="inlineStr">
        <is>
          <t>62</t>
        </is>
      </c>
      <c r="E5236" s="233" t="inlineStr">
        <is>
          <t>51</t>
        </is>
      </c>
      <c r="F5236" s="227" t="inlineStr">
        <is>
          <t>GLR5</t>
        </is>
      </c>
    </row>
    <row r="5237">
      <c r="A5237" s="227">
        <f>TL[[#This Row],[Société]]&amp;" - "&amp;TL[[#This Row],[Compte]]</f>
        <v/>
      </c>
      <c r="B5237" s="233" t="inlineStr">
        <is>
          <t>602201</t>
        </is>
      </c>
      <c r="C5237" s="227" t="inlineStr">
        <is>
          <t>Emballages</t>
        </is>
      </c>
      <c r="D5237" s="233" t="inlineStr">
        <is>
          <t>03</t>
        </is>
      </c>
      <c r="E5237" s="233" t="inlineStr">
        <is>
          <t>06</t>
        </is>
      </c>
      <c r="F5237" s="227" t="inlineStr">
        <is>
          <t>GLR5</t>
        </is>
      </c>
    </row>
    <row r="5238">
      <c r="A5238" s="227">
        <f>TL[[#This Row],[Société]]&amp;" - "&amp;TL[[#This Row],[Compte]]</f>
        <v/>
      </c>
      <c r="B5238" s="233" t="inlineStr">
        <is>
          <t>602202</t>
        </is>
      </c>
      <c r="C5238" s="227" t="inlineStr">
        <is>
          <t>Jouets</t>
        </is>
      </c>
      <c r="D5238" s="233" t="inlineStr">
        <is>
          <t>62</t>
        </is>
      </c>
      <c r="E5238" s="233" t="inlineStr">
        <is>
          <t>51</t>
        </is>
      </c>
      <c r="F5238" s="227" t="inlineStr">
        <is>
          <t>GLR5</t>
        </is>
      </c>
    </row>
    <row r="5239">
      <c r="A5239" s="227">
        <f>TL[[#This Row],[Société]]&amp;" - "&amp;TL[[#This Row],[Compte]]</f>
        <v/>
      </c>
      <c r="B5239" s="233" t="inlineStr">
        <is>
          <t>602610</t>
        </is>
      </c>
      <c r="C5239" s="227" t="inlineStr">
        <is>
          <t>Emballages perdus</t>
        </is>
      </c>
      <c r="D5239" s="233" t="inlineStr">
        <is>
          <t>18</t>
        </is>
      </c>
      <c r="E5239" s="233" t="inlineStr">
        <is>
          <t>06</t>
        </is>
      </c>
      <c r="F5239" s="227" t="inlineStr">
        <is>
          <t>GLR5</t>
        </is>
      </c>
    </row>
    <row r="5240">
      <c r="A5240" s="227">
        <f>TL[[#This Row],[Société]]&amp;" - "&amp;TL[[#This Row],[Compte]]</f>
        <v/>
      </c>
      <c r="B5240" s="233" t="inlineStr">
        <is>
          <t>602612</t>
        </is>
      </c>
      <c r="C5240" s="227" t="inlineStr">
        <is>
          <t>Vaisselle</t>
        </is>
      </c>
      <c r="D5240" s="235" t="inlineStr">
        <is>
          <t>06</t>
        </is>
      </c>
      <c r="E5240" s="241" t="inlineStr">
        <is>
          <t>6.1</t>
        </is>
      </c>
      <c r="F5240" s="227" t="inlineStr">
        <is>
          <t>GLR5</t>
        </is>
      </c>
    </row>
    <row r="5241">
      <c r="A5241" s="227">
        <f>TL[[#This Row],[Société]]&amp;" - "&amp;TL[[#This Row],[Compte]]</f>
        <v/>
      </c>
      <c r="B5241" s="233" t="inlineStr">
        <is>
          <t>602630</t>
        </is>
      </c>
      <c r="C5241" s="227" t="inlineStr">
        <is>
          <t>Emballages</t>
        </is>
      </c>
      <c r="D5241" s="233" t="inlineStr">
        <is>
          <t>03</t>
        </is>
      </c>
      <c r="E5241" s="233" t="inlineStr">
        <is>
          <t>06</t>
        </is>
      </c>
      <c r="F5241" s="227" t="inlineStr">
        <is>
          <t>GLR5</t>
        </is>
      </c>
    </row>
    <row r="5242">
      <c r="A5242" s="227">
        <f>TL[[#This Row],[Société]]&amp;" - "&amp;TL[[#This Row],[Compte]]</f>
        <v/>
      </c>
      <c r="B5242" s="233" t="inlineStr">
        <is>
          <t>603100</t>
        </is>
      </c>
      <c r="C5242" s="227" t="inlineStr">
        <is>
          <t>Variation stock food</t>
        </is>
      </c>
      <c r="D5242" s="233" t="inlineStr">
        <is>
          <t>06</t>
        </is>
      </c>
      <c r="E5242" s="233" t="inlineStr">
        <is>
          <t>03</t>
        </is>
      </c>
      <c r="F5242" s="227" t="inlineStr">
        <is>
          <t>GLR5</t>
        </is>
      </c>
    </row>
    <row r="5243">
      <c r="A5243" s="227">
        <f>TL[[#This Row],[Société]]&amp;" - "&amp;TL[[#This Row],[Compte]]</f>
        <v/>
      </c>
      <c r="B5243" s="233" t="inlineStr">
        <is>
          <t>603200</t>
        </is>
      </c>
      <c r="C5243" s="227" t="inlineStr">
        <is>
          <t>Variation stock paper</t>
        </is>
      </c>
      <c r="D5243" s="233" t="inlineStr">
        <is>
          <t>03</t>
        </is>
      </c>
      <c r="E5243" s="233" t="inlineStr">
        <is>
          <t>06</t>
        </is>
      </c>
      <c r="F5243" s="227" t="inlineStr">
        <is>
          <t>GLR5</t>
        </is>
      </c>
    </row>
    <row r="5244">
      <c r="A5244" s="227">
        <f>TL[[#This Row],[Société]]&amp;" - "&amp;TL[[#This Row],[Compte]]</f>
        <v/>
      </c>
      <c r="B5244" s="233" t="inlineStr">
        <is>
          <t>603210</t>
        </is>
      </c>
      <c r="C5244" s="227" t="inlineStr">
        <is>
          <t>Variation stock pdt non cos</t>
        </is>
      </c>
      <c r="D5244" s="233" t="inlineStr">
        <is>
          <t>62</t>
        </is>
      </c>
      <c r="E5244" s="233" t="inlineStr">
        <is>
          <t>51</t>
        </is>
      </c>
      <c r="F5244" s="227" t="inlineStr">
        <is>
          <t>GLR5</t>
        </is>
      </c>
    </row>
    <row r="5245">
      <c r="A5245" s="227">
        <f>TL[[#This Row],[Société]]&amp;" - "&amp;TL[[#This Row],[Compte]]</f>
        <v/>
      </c>
      <c r="B5245" s="233" t="inlineStr">
        <is>
          <t>606101</t>
        </is>
      </c>
      <c r="C5245" s="227" t="inlineStr">
        <is>
          <t>Eau</t>
        </is>
      </c>
      <c r="D5245" s="233" t="inlineStr">
        <is>
          <t>20</t>
        </is>
      </c>
      <c r="E5245" s="233" t="inlineStr">
        <is>
          <t>24</t>
        </is>
      </c>
      <c r="F5245" s="227" t="inlineStr">
        <is>
          <t>GLR5</t>
        </is>
      </c>
    </row>
    <row r="5246">
      <c r="A5246" s="227">
        <f>TL[[#This Row],[Société]]&amp;" - "&amp;TL[[#This Row],[Compte]]</f>
        <v/>
      </c>
      <c r="B5246" s="233" t="inlineStr">
        <is>
          <t>606105</t>
        </is>
      </c>
      <c r="C5246" s="227" t="inlineStr">
        <is>
          <t>Gaz npu</t>
        </is>
      </c>
      <c r="D5246" s="233" t="inlineStr">
        <is>
          <t>20</t>
        </is>
      </c>
      <c r="E5246" s="233" t="inlineStr">
        <is>
          <t>24</t>
        </is>
      </c>
      <c r="F5246" s="227" t="inlineStr">
        <is>
          <t>GLR5</t>
        </is>
      </c>
    </row>
    <row r="5247">
      <c r="A5247" s="227">
        <f>TL[[#This Row],[Société]]&amp;" - "&amp;TL[[#This Row],[Compte]]</f>
        <v/>
      </c>
      <c r="B5247" s="233" t="inlineStr">
        <is>
          <t>606110</t>
        </is>
      </c>
      <c r="C5247" s="227" t="inlineStr">
        <is>
          <t>Eau</t>
        </is>
      </c>
      <c r="D5247" s="233" t="inlineStr">
        <is>
          <t>20</t>
        </is>
      </c>
      <c r="E5247" s="233" t="inlineStr">
        <is>
          <t>24</t>
        </is>
      </c>
      <c r="F5247" s="227" t="inlineStr">
        <is>
          <t>GLR5</t>
        </is>
      </c>
    </row>
    <row r="5248">
      <c r="A5248" s="227">
        <f>TL[[#This Row],[Société]]&amp;" - "&amp;TL[[#This Row],[Compte]]</f>
        <v/>
      </c>
      <c r="B5248" s="233" t="inlineStr">
        <is>
          <t>606120</t>
        </is>
      </c>
      <c r="C5248" s="227" t="inlineStr">
        <is>
          <t>Edf</t>
        </is>
      </c>
      <c r="D5248" s="233" t="inlineStr">
        <is>
          <t>20</t>
        </is>
      </c>
      <c r="E5248" s="233" t="inlineStr">
        <is>
          <t>24</t>
        </is>
      </c>
      <c r="F5248" s="227" t="inlineStr">
        <is>
          <t>GLR5</t>
        </is>
      </c>
    </row>
    <row r="5249">
      <c r="A5249" s="227">
        <f>TL[[#This Row],[Société]]&amp;" - "&amp;TL[[#This Row],[Compte]]</f>
        <v/>
      </c>
      <c r="B5249" s="233" t="inlineStr">
        <is>
          <t>606150</t>
        </is>
      </c>
      <c r="C5249" s="227" t="inlineStr">
        <is>
          <t>GAZ</t>
        </is>
      </c>
      <c r="D5249" s="233" t="inlineStr">
        <is>
          <t>20</t>
        </is>
      </c>
      <c r="E5249" s="233" t="inlineStr">
        <is>
          <t>24</t>
        </is>
      </c>
      <c r="F5249" s="227" t="inlineStr">
        <is>
          <t>GLR5</t>
        </is>
      </c>
    </row>
    <row r="5250">
      <c r="A5250" s="227">
        <f>TL[[#This Row],[Société]]&amp;" - "&amp;TL[[#This Row],[Compte]]</f>
        <v/>
      </c>
      <c r="B5250" s="233" t="inlineStr">
        <is>
          <t>606300</t>
        </is>
      </c>
      <c r="C5250" s="227" t="inlineStr">
        <is>
          <t>Petit outillage</t>
        </is>
      </c>
      <c r="D5250" s="233" t="inlineStr">
        <is>
          <t>19</t>
        </is>
      </c>
      <c r="E5250" s="233" t="inlineStr">
        <is>
          <t>18</t>
        </is>
      </c>
      <c r="F5250" s="227" t="inlineStr">
        <is>
          <t>GLR5</t>
        </is>
      </c>
    </row>
    <row r="5251">
      <c r="A5251" s="227">
        <f>TL[[#This Row],[Société]]&amp;" - "&amp;TL[[#This Row],[Compte]]</f>
        <v/>
      </c>
      <c r="B5251" s="233" t="inlineStr">
        <is>
          <t>606301</t>
        </is>
      </c>
      <c r="C5251" s="227" t="inlineStr">
        <is>
          <t>Fournit exploit &amp; produit entretien</t>
        </is>
      </c>
      <c r="D5251" s="233" t="inlineStr">
        <is>
          <t>18</t>
        </is>
      </c>
      <c r="E5251" s="233" t="inlineStr">
        <is>
          <t>25</t>
        </is>
      </c>
      <c r="F5251" s="227" t="inlineStr">
        <is>
          <t>GLR5</t>
        </is>
      </c>
    </row>
    <row r="5252">
      <c r="A5252" s="227">
        <f>TL[[#This Row],[Société]]&amp;" - "&amp;TL[[#This Row],[Compte]]</f>
        <v/>
      </c>
      <c r="B5252" s="233" t="inlineStr">
        <is>
          <t>606302</t>
        </is>
      </c>
      <c r="C5252" s="227" t="inlineStr">
        <is>
          <t>Pdt entretien</t>
        </is>
      </c>
      <c r="D5252" s="233" t="inlineStr">
        <is>
          <t>18</t>
        </is>
      </c>
      <c r="E5252" s="233" t="inlineStr">
        <is>
          <t>25</t>
        </is>
      </c>
      <c r="F5252" s="227" t="inlineStr">
        <is>
          <t>GLR5</t>
        </is>
      </c>
    </row>
    <row r="5253">
      <c r="A5253" s="227">
        <f>TL[[#This Row],[Société]]&amp;" - "&amp;TL[[#This Row],[Compte]]</f>
        <v/>
      </c>
      <c r="B5253" s="233" t="inlineStr">
        <is>
          <t>606303</t>
        </is>
      </c>
      <c r="C5253" s="227" t="inlineStr">
        <is>
          <t>Uniformes</t>
        </is>
      </c>
      <c r="D5253" s="233" t="inlineStr">
        <is>
          <t>17</t>
        </is>
      </c>
      <c r="E5253" s="233" t="inlineStr">
        <is>
          <t>27</t>
        </is>
      </c>
      <c r="F5253" s="227" t="inlineStr">
        <is>
          <t>GLR5</t>
        </is>
      </c>
    </row>
    <row r="5254">
      <c r="A5254" s="227">
        <f>TL[[#This Row],[Société]]&amp;" - "&amp;TL[[#This Row],[Compte]]</f>
        <v/>
      </c>
      <c r="B5254" s="233" t="inlineStr">
        <is>
          <t>606315</t>
        </is>
      </c>
      <c r="C5254" s="227" t="inlineStr">
        <is>
          <t>Petit outillage - Covid-19</t>
        </is>
      </c>
      <c r="D5254" s="233" t="inlineStr">
        <is>
          <t>18</t>
        </is>
      </c>
      <c r="E5254" s="233" t="inlineStr">
        <is>
          <t>25</t>
        </is>
      </c>
      <c r="F5254" s="227" t="inlineStr">
        <is>
          <t>GLR5</t>
        </is>
      </c>
    </row>
    <row r="5255">
      <c r="A5255" s="227">
        <f>TL[[#This Row],[Société]]&amp;" - "&amp;TL[[#This Row],[Compte]]</f>
        <v/>
      </c>
      <c r="B5255" s="233" t="inlineStr">
        <is>
          <t>606400</t>
        </is>
      </c>
      <c r="C5255" s="227" t="inlineStr">
        <is>
          <t>Fournitures de bureau npu</t>
        </is>
      </c>
      <c r="D5255" s="233" t="inlineStr">
        <is>
          <t>21</t>
        </is>
      </c>
      <c r="E5255" s="233" t="inlineStr">
        <is>
          <t>25</t>
        </is>
      </c>
      <c r="F5255" s="227" t="inlineStr">
        <is>
          <t>GLR5</t>
        </is>
      </c>
    </row>
    <row r="5256">
      <c r="A5256" s="227">
        <f>TL[[#This Row],[Société]]&amp;" - "&amp;TL[[#This Row],[Compte]]</f>
        <v/>
      </c>
      <c r="B5256" s="233" t="inlineStr">
        <is>
          <t>606401</t>
        </is>
      </c>
      <c r="C5256" s="227" t="inlineStr">
        <is>
          <t>Fournitures de bureau</t>
        </is>
      </c>
      <c r="D5256" s="233" t="inlineStr">
        <is>
          <t>21</t>
        </is>
      </c>
      <c r="E5256" s="233" t="inlineStr">
        <is>
          <t>25</t>
        </is>
      </c>
      <c r="F5256" s="227" t="inlineStr">
        <is>
          <t>GLR5</t>
        </is>
      </c>
    </row>
    <row r="5257">
      <c r="A5257" s="227">
        <f>TL[[#This Row],[Société]]&amp;" - "&amp;TL[[#This Row],[Compte]]</f>
        <v/>
      </c>
      <c r="B5257" s="233" t="inlineStr">
        <is>
          <t>606613</t>
        </is>
      </c>
      <c r="C5257" s="227" t="inlineStr">
        <is>
          <t>Carburants</t>
        </is>
      </c>
      <c r="D5257" s="233" t="inlineStr">
        <is>
          <t>13</t>
        </is>
      </c>
      <c r="E5257" s="233" t="inlineStr">
        <is>
          <t>40</t>
        </is>
      </c>
      <c r="F5257" s="227" t="inlineStr">
        <is>
          <t>GLR5</t>
        </is>
      </c>
    </row>
    <row r="5258">
      <c r="A5258" s="227">
        <f>TL[[#This Row],[Société]]&amp;" - "&amp;TL[[#This Row],[Compte]]</f>
        <v/>
      </c>
      <c r="B5258" s="233" t="inlineStr">
        <is>
          <t>606614</t>
        </is>
      </c>
      <c r="C5258" s="227" t="inlineStr">
        <is>
          <t>Facture total</t>
        </is>
      </c>
      <c r="D5258" s="233" t="inlineStr">
        <is>
          <t>39</t>
        </is>
      </c>
      <c r="E5258" s="233" t="inlineStr">
        <is>
          <t>03</t>
        </is>
      </c>
      <c r="F5258" s="227" t="inlineStr">
        <is>
          <t>GLR5</t>
        </is>
      </c>
    </row>
    <row r="5259">
      <c r="A5259" s="227">
        <f>TL[[#This Row],[Société]]&amp;" - "&amp;TL[[#This Row],[Compte]]</f>
        <v/>
      </c>
      <c r="B5259" s="233" t="inlineStr">
        <is>
          <t>606810</t>
        </is>
      </c>
      <c r="C5259" s="227" t="inlineStr">
        <is>
          <t>Lingerie npu</t>
        </is>
      </c>
      <c r="D5259" s="233" t="inlineStr">
        <is>
          <t>99</t>
        </is>
      </c>
      <c r="E5259" s="233" t="inlineStr">
        <is>
          <t>19</t>
        </is>
      </c>
      <c r="F5259" s="227" t="inlineStr">
        <is>
          <t>GLR5</t>
        </is>
      </c>
    </row>
    <row r="5260">
      <c r="A5260" s="227">
        <f>TL[[#This Row],[Société]]&amp;" - "&amp;TL[[#This Row],[Compte]]</f>
        <v/>
      </c>
      <c r="B5260" s="233" t="inlineStr">
        <is>
          <t>609000</t>
        </is>
      </c>
      <c r="C5260" s="227" t="inlineStr">
        <is>
          <t>Rrr obtenus sur achats</t>
        </is>
      </c>
      <c r="D5260" s="233" t="inlineStr">
        <is>
          <t>06</t>
        </is>
      </c>
      <c r="E5260" s="233" t="inlineStr">
        <is>
          <t>03</t>
        </is>
      </c>
      <c r="F5260" s="227" t="inlineStr">
        <is>
          <t>GLR5</t>
        </is>
      </c>
    </row>
    <row r="5261">
      <c r="A5261" s="227">
        <f>TL[[#This Row],[Société]]&amp;" - "&amp;TL[[#This Row],[Compte]]</f>
        <v/>
      </c>
      <c r="B5261" s="233" t="inlineStr">
        <is>
          <t>609100</t>
        </is>
      </c>
      <c r="C5261" s="227" t="inlineStr">
        <is>
          <t>R.r.r.obtenus s/ach.mat.premières</t>
        </is>
      </c>
      <c r="D5261" s="233" t="inlineStr">
        <is>
          <t>06</t>
        </is>
      </c>
      <c r="E5261" s="233" t="inlineStr">
        <is>
          <t>03</t>
        </is>
      </c>
      <c r="F5261" s="227" t="inlineStr">
        <is>
          <t>GLR5</t>
        </is>
      </c>
    </row>
    <row r="5262">
      <c r="A5262" s="227">
        <f>TL[[#This Row],[Société]]&amp;" - "&amp;TL[[#This Row],[Compte]]</f>
        <v/>
      </c>
      <c r="B5262" s="233" t="inlineStr">
        <is>
          <t>611012</t>
        </is>
      </c>
      <c r="C5262" s="227" t="inlineStr">
        <is>
          <t>Contrat accès Sylae</t>
        </is>
      </c>
      <c r="D5262" s="233" t="inlineStr">
        <is>
          <t>32</t>
        </is>
      </c>
      <c r="E5262" s="233" t="inlineStr">
        <is>
          <t>19</t>
        </is>
      </c>
      <c r="F5262" s="227" t="inlineStr">
        <is>
          <t>GLR5</t>
        </is>
      </c>
    </row>
    <row r="5263">
      <c r="A5263" s="227">
        <f>TL[[#This Row],[Société]]&amp;" - "&amp;TL[[#This Row],[Compte]]</f>
        <v/>
      </c>
      <c r="B5263" s="233" t="inlineStr">
        <is>
          <t>611013</t>
        </is>
      </c>
      <c r="C5263" s="227" t="inlineStr">
        <is>
          <t>Nettoyage restaurant</t>
        </is>
      </c>
      <c r="D5263" s="233" t="inlineStr">
        <is>
          <t>16</t>
        </is>
      </c>
      <c r="E5263" s="233" t="inlineStr">
        <is>
          <t>15</t>
        </is>
      </c>
      <c r="F5263" s="227" t="inlineStr">
        <is>
          <t>GLR5</t>
        </is>
      </c>
    </row>
    <row r="5264">
      <c r="A5264" s="227">
        <f>TL[[#This Row],[Société]]&amp;" - "&amp;TL[[#This Row],[Compte]]</f>
        <v/>
      </c>
      <c r="B5264" s="233" t="inlineStr">
        <is>
          <t>613000</t>
        </is>
      </c>
      <c r="C5264" s="227" t="inlineStr">
        <is>
          <t>Loyer redevance standard 15,50%</t>
        </is>
      </c>
      <c r="D5264" s="233" t="inlineStr">
        <is>
          <t>30</t>
        </is>
      </c>
      <c r="E5264" s="233" t="inlineStr">
        <is>
          <t>29</t>
        </is>
      </c>
      <c r="F5264" s="227" t="inlineStr">
        <is>
          <t>GLR5</t>
        </is>
      </c>
    </row>
    <row r="5265">
      <c r="A5265" s="227">
        <f>TL[[#This Row],[Société]]&amp;" - "&amp;TL[[#This Row],[Compte]]</f>
        <v/>
      </c>
      <c r="B5265" s="233" t="inlineStr">
        <is>
          <t>613100</t>
        </is>
      </c>
      <c r="C5265" s="227" t="inlineStr">
        <is>
          <t>Location-gérance mcdonald's</t>
        </is>
      </c>
      <c r="D5265" s="233" t="inlineStr">
        <is>
          <t>39</t>
        </is>
      </c>
      <c r="E5265" s="233" t="inlineStr">
        <is>
          <t>33</t>
        </is>
      </c>
      <c r="F5265" s="227" t="inlineStr">
        <is>
          <t>GLR5</t>
        </is>
      </c>
    </row>
    <row r="5266">
      <c r="A5266" s="227">
        <f>TL[[#This Row],[Société]]&amp;" - "&amp;TL[[#This Row],[Compte]]</f>
        <v/>
      </c>
      <c r="B5266" s="233" t="inlineStr">
        <is>
          <t>613200</t>
        </is>
      </c>
      <c r="C5266" s="227" t="inlineStr">
        <is>
          <t>Locations diverses</t>
        </is>
      </c>
      <c r="D5266" s="233" t="inlineStr">
        <is>
          <t>16</t>
        </is>
      </c>
      <c r="E5266" s="233" t="inlineStr">
        <is>
          <t>19</t>
        </is>
      </c>
      <c r="F5266" s="227" t="inlineStr">
        <is>
          <t>GLR5</t>
        </is>
      </c>
    </row>
    <row r="5267">
      <c r="A5267" s="227">
        <f>TL[[#This Row],[Société]]&amp;" - "&amp;TL[[#This Row],[Compte]]</f>
        <v/>
      </c>
      <c r="B5267" s="233" t="inlineStr">
        <is>
          <t>613250</t>
        </is>
      </c>
      <c r="C5267" s="227" t="inlineStr">
        <is>
          <t>Loc mercedes dl 595 sq</t>
        </is>
      </c>
      <c r="D5267" s="233" t="inlineStr">
        <is>
          <t>39</t>
        </is>
      </c>
      <c r="E5267" s="233" t="inlineStr">
        <is>
          <t>39</t>
        </is>
      </c>
      <c r="F5267" s="227" t="inlineStr">
        <is>
          <t>GLR5</t>
        </is>
      </c>
    </row>
    <row r="5268">
      <c r="A5268" s="227">
        <f>TL[[#This Row],[Société]]&amp;" - "&amp;TL[[#This Row],[Compte]]</f>
        <v/>
      </c>
      <c r="B5268" s="233" t="inlineStr">
        <is>
          <t>613260</t>
        </is>
      </c>
      <c r="C5268" s="227" t="inlineStr">
        <is>
          <t>Loyer mercedes wassa</t>
        </is>
      </c>
      <c r="D5268" s="233" t="inlineStr">
        <is>
          <t>39</t>
        </is>
      </c>
      <c r="E5268" s="233" t="inlineStr">
        <is>
          <t>39</t>
        </is>
      </c>
      <c r="F5268" s="227" t="inlineStr">
        <is>
          <t>GLR5</t>
        </is>
      </c>
    </row>
    <row r="5269">
      <c r="A5269" s="227">
        <f>TL[[#This Row],[Société]]&amp;" - "&amp;TL[[#This Row],[Compte]]</f>
        <v/>
      </c>
      <c r="B5269" s="233" t="inlineStr">
        <is>
          <t>613261</t>
        </is>
      </c>
      <c r="C5269" s="227" t="inlineStr">
        <is>
          <t>Loyer clio wassa</t>
        </is>
      </c>
      <c r="D5269" s="233" t="inlineStr">
        <is>
          <t>39</t>
        </is>
      </c>
      <c r="E5269" s="233" t="inlineStr">
        <is>
          <t>39</t>
        </is>
      </c>
      <c r="F5269" s="227" t="inlineStr">
        <is>
          <t>GLR5</t>
        </is>
      </c>
    </row>
    <row r="5270">
      <c r="A5270" s="227">
        <f>TL[[#This Row],[Société]]&amp;" - "&amp;TL[[#This Row],[Compte]]</f>
        <v/>
      </c>
      <c r="B5270" s="233" t="inlineStr">
        <is>
          <t>613262</t>
        </is>
      </c>
      <c r="C5270" s="227" t="inlineStr">
        <is>
          <t>Location box</t>
        </is>
      </c>
      <c r="D5270" s="233" t="inlineStr">
        <is>
          <t>16</t>
        </is>
      </c>
      <c r="E5270" s="233" t="inlineStr">
        <is>
          <t>19</t>
        </is>
      </c>
      <c r="F5270" s="227" t="inlineStr">
        <is>
          <t>GLR5</t>
        </is>
      </c>
    </row>
    <row r="5271">
      <c r="A5271" s="227">
        <f>TL[[#This Row],[Société]]&amp;" - "&amp;TL[[#This Row],[Compte]]</f>
        <v/>
      </c>
      <c r="B5271" s="233" t="inlineStr">
        <is>
          <t>613263</t>
        </is>
      </c>
      <c r="C5271" s="227" t="inlineStr">
        <is>
          <t>Loyer FS-149-CP - B. Rath</t>
        </is>
      </c>
      <c r="D5271" s="233" t="inlineStr">
        <is>
          <t>39</t>
        </is>
      </c>
      <c r="E5271" s="233" t="inlineStr">
        <is>
          <t>40</t>
        </is>
      </c>
      <c r="F5271" s="227" t="inlineStr">
        <is>
          <t>GLR5</t>
        </is>
      </c>
    </row>
    <row r="5272">
      <c r="A5272" s="227">
        <f>TL[[#This Row],[Société]]&amp;" - "&amp;TL[[#This Row],[Compte]]</f>
        <v/>
      </c>
      <c r="B5272" s="233" t="inlineStr">
        <is>
          <t>613270</t>
        </is>
      </c>
      <c r="C5272" s="227" t="inlineStr">
        <is>
          <t>Location vehicule tirr</t>
        </is>
      </c>
      <c r="D5272" s="233" t="inlineStr">
        <is>
          <t>39</t>
        </is>
      </c>
      <c r="E5272" s="233" t="inlineStr">
        <is>
          <t>40</t>
        </is>
      </c>
      <c r="F5272" s="227" t="inlineStr">
        <is>
          <t>GLR5</t>
        </is>
      </c>
    </row>
    <row r="5273">
      <c r="A5273" s="227">
        <f>TL[[#This Row],[Société]]&amp;" - "&amp;TL[[#This Row],[Compte]]</f>
        <v/>
      </c>
      <c r="B5273" s="233" t="inlineStr">
        <is>
          <t>613280</t>
        </is>
      </c>
      <c r="C5273" s="227" t="inlineStr">
        <is>
          <t>Loyer veh eh 218 xl dfm</t>
        </is>
      </c>
      <c r="D5273" s="233" t="inlineStr">
        <is>
          <t>39</t>
        </is>
      </c>
      <c r="E5273" s="233" t="inlineStr">
        <is>
          <t>40</t>
        </is>
      </c>
      <c r="F5273" s="227" t="inlineStr">
        <is>
          <t>GLR5</t>
        </is>
      </c>
    </row>
    <row r="5274">
      <c r="A5274" s="227">
        <f>TL[[#This Row],[Société]]&amp;" - "&amp;TL[[#This Row],[Compte]]</f>
        <v/>
      </c>
      <c r="B5274" s="233" t="inlineStr">
        <is>
          <t>613281</t>
        </is>
      </c>
      <c r="C5274" s="227" t="inlineStr">
        <is>
          <t>Loyer FP-303-XZ - T. Rego</t>
        </is>
      </c>
      <c r="D5274" s="233" t="inlineStr">
        <is>
          <t>39</t>
        </is>
      </c>
      <c r="E5274" s="233" t="inlineStr">
        <is>
          <t>40</t>
        </is>
      </c>
      <c r="F5274" s="227" t="inlineStr">
        <is>
          <t>GLR5</t>
        </is>
      </c>
    </row>
    <row r="5275">
      <c r="A5275" s="227">
        <f>TL[[#This Row],[Société]]&amp;" - "&amp;TL[[#This Row],[Compte]]</f>
        <v/>
      </c>
      <c r="B5275" s="233" t="inlineStr">
        <is>
          <t>613282</t>
        </is>
      </c>
      <c r="C5275" s="227" t="inlineStr">
        <is>
          <t>Loyer FC-921-EK - S.Raffray</t>
        </is>
      </c>
      <c r="D5275" s="233" t="inlineStr">
        <is>
          <t>39</t>
        </is>
      </c>
      <c r="E5275" s="233" t="inlineStr">
        <is>
          <t>40</t>
        </is>
      </c>
      <c r="F5275" s="227" t="inlineStr">
        <is>
          <t>GLR5</t>
        </is>
      </c>
    </row>
    <row r="5276">
      <c r="A5276" s="227">
        <f>TL[[#This Row],[Société]]&amp;" - "&amp;TL[[#This Row],[Compte]]</f>
        <v/>
      </c>
      <c r="B5276" s="233" t="inlineStr">
        <is>
          <t>613283</t>
        </is>
      </c>
      <c r="C5276" s="227" t="inlineStr">
        <is>
          <t>Loyer FC-999-EK - S. Laturaze</t>
        </is>
      </c>
      <c r="D5276" s="233" t="inlineStr">
        <is>
          <t>39</t>
        </is>
      </c>
      <c r="E5276" s="233" t="inlineStr">
        <is>
          <t>40</t>
        </is>
      </c>
      <c r="F5276" s="227" t="inlineStr">
        <is>
          <t>GLR5</t>
        </is>
      </c>
    </row>
    <row r="5277">
      <c r="A5277" s="227">
        <f>TL[[#This Row],[Société]]&amp;" - "&amp;TL[[#This Row],[Compte]]</f>
        <v/>
      </c>
      <c r="B5277" s="233" t="inlineStr">
        <is>
          <t>613284</t>
        </is>
      </c>
      <c r="C5277" s="227" t="inlineStr">
        <is>
          <t>Loyer FG-768-AV - B.Wassa</t>
        </is>
      </c>
      <c r="D5277" s="233" t="inlineStr">
        <is>
          <t>39</t>
        </is>
      </c>
      <c r="E5277" s="233" t="inlineStr">
        <is>
          <t>40</t>
        </is>
      </c>
      <c r="F5277" s="227" t="inlineStr">
        <is>
          <t>GLR5</t>
        </is>
      </c>
    </row>
    <row r="5278">
      <c r="A5278" s="227">
        <f>TL[[#This Row],[Société]]&amp;" - "&amp;TL[[#This Row],[Compte]]</f>
        <v/>
      </c>
      <c r="B5278" s="233" t="inlineStr">
        <is>
          <t>613285</t>
        </is>
      </c>
      <c r="C5278" s="227" t="inlineStr">
        <is>
          <t>Loyer FN-451-MV - M. F. DE CASTRO</t>
        </is>
      </c>
      <c r="D5278" s="233" t="inlineStr">
        <is>
          <t>39</t>
        </is>
      </c>
      <c r="E5278" s="233" t="inlineStr">
        <is>
          <t>40</t>
        </is>
      </c>
      <c r="F5278" s="227" t="inlineStr">
        <is>
          <t>GLR5</t>
        </is>
      </c>
    </row>
    <row r="5279">
      <c r="A5279" s="227">
        <f>TL[[#This Row],[Société]]&amp;" - "&amp;TL[[#This Row],[Compte]]</f>
        <v/>
      </c>
      <c r="B5279" s="233" t="inlineStr">
        <is>
          <t>613286</t>
        </is>
      </c>
      <c r="C5279" s="227" t="inlineStr">
        <is>
          <t>Loyer EV-769-NG - M. Lanos</t>
        </is>
      </c>
      <c r="D5279" s="233" t="inlineStr">
        <is>
          <t>39</t>
        </is>
      </c>
      <c r="E5279" s="233" t="inlineStr">
        <is>
          <t>40</t>
        </is>
      </c>
      <c r="F5279" s="227" t="inlineStr">
        <is>
          <t>GLR5</t>
        </is>
      </c>
    </row>
    <row r="5280">
      <c r="A5280" s="227">
        <f>TL[[#This Row],[Société]]&amp;" - "&amp;TL[[#This Row],[Compte]]</f>
        <v/>
      </c>
      <c r="B5280" s="233" t="inlineStr">
        <is>
          <t>613287</t>
        </is>
      </c>
      <c r="C5280" s="227" t="inlineStr">
        <is>
          <t>Loyer FZ 994 AV - S. Raffray</t>
        </is>
      </c>
      <c r="D5280" s="233" t="inlineStr">
        <is>
          <t>39</t>
        </is>
      </c>
      <c r="E5280" s="233" t="inlineStr">
        <is>
          <t>40</t>
        </is>
      </c>
      <c r="F5280" s="227" t="inlineStr">
        <is>
          <t>GLR5</t>
        </is>
      </c>
    </row>
    <row r="5281">
      <c r="A5281" s="227">
        <f>TL[[#This Row],[Société]]&amp;" - "&amp;TL[[#This Row],[Compte]]</f>
        <v/>
      </c>
      <c r="B5281" s="233" t="inlineStr">
        <is>
          <t>613288</t>
        </is>
      </c>
      <c r="C5281" s="227" t="inlineStr">
        <is>
          <t>Loyer FZ-768-AV - S. Laturaze</t>
        </is>
      </c>
      <c r="D5281" s="233" t="inlineStr">
        <is>
          <t>39</t>
        </is>
      </c>
      <c r="E5281" s="233" t="inlineStr">
        <is>
          <t>40</t>
        </is>
      </c>
      <c r="F5281" s="227" t="inlineStr">
        <is>
          <t>GLR5</t>
        </is>
      </c>
    </row>
    <row r="5282">
      <c r="A5282" s="227">
        <f>TL[[#This Row],[Société]]&amp;" - "&amp;TL[[#This Row],[Compte]]</f>
        <v/>
      </c>
      <c r="B5282" s="233" t="inlineStr">
        <is>
          <t>613289</t>
        </is>
      </c>
      <c r="C5282" s="227" t="inlineStr">
        <is>
          <t>Loyer GA-768-QK - B.Wassa</t>
        </is>
      </c>
      <c r="D5282" s="233" t="inlineStr">
        <is>
          <t>39</t>
        </is>
      </c>
      <c r="E5282" s="233" t="inlineStr">
        <is>
          <t>40</t>
        </is>
      </c>
      <c r="F5282" s="227" t="inlineStr">
        <is>
          <t>GLR5</t>
        </is>
      </c>
    </row>
    <row r="5283">
      <c r="A5283" s="227">
        <f>TL[[#This Row],[Société]]&amp;" - "&amp;TL[[#This Row],[Compte]]</f>
        <v/>
      </c>
      <c r="B5283" s="233" t="inlineStr">
        <is>
          <t>613290</t>
        </is>
      </c>
      <c r="C5283" s="227" t="inlineStr">
        <is>
          <t>location vehicule</t>
        </is>
      </c>
      <c r="D5283" s="233" t="inlineStr">
        <is>
          <t>39</t>
        </is>
      </c>
      <c r="E5283" s="233" t="inlineStr">
        <is>
          <t>40</t>
        </is>
      </c>
      <c r="F5283" s="227" t="inlineStr">
        <is>
          <t>GLR5</t>
        </is>
      </c>
    </row>
    <row r="5284">
      <c r="A5284" s="227">
        <f>TL[[#This Row],[Société]]&amp;" - "&amp;TL[[#This Row],[Compte]]</f>
        <v/>
      </c>
      <c r="B5284" s="233" t="inlineStr">
        <is>
          <t>613330</t>
        </is>
      </c>
      <c r="C5284" s="227" t="inlineStr">
        <is>
          <t>Location interway</t>
        </is>
      </c>
      <c r="D5284" s="233" t="inlineStr">
        <is>
          <t>16</t>
        </is>
      </c>
      <c r="E5284" s="233" t="inlineStr">
        <is>
          <t>19</t>
        </is>
      </c>
      <c r="F5284" s="227" t="inlineStr">
        <is>
          <t>GLR5</t>
        </is>
      </c>
    </row>
    <row r="5285">
      <c r="A5285" s="227">
        <f>TL[[#This Row],[Société]]&amp;" - "&amp;TL[[#This Row],[Compte]]</f>
        <v/>
      </c>
      <c r="B5285" s="233" t="inlineStr">
        <is>
          <t>613340</t>
        </is>
      </c>
      <c r="C5285" s="227" t="inlineStr">
        <is>
          <t>Location caisse palette biodechets</t>
        </is>
      </c>
      <c r="D5285" s="233" t="inlineStr">
        <is>
          <t>16</t>
        </is>
      </c>
      <c r="E5285" s="233" t="inlineStr">
        <is>
          <t>19</t>
        </is>
      </c>
      <c r="F5285" s="227" t="inlineStr">
        <is>
          <t>GLR5</t>
        </is>
      </c>
    </row>
    <row r="5286">
      <c r="A5286" s="227">
        <f>TL[[#This Row],[Société]]&amp;" - "&amp;TL[[#This Row],[Compte]]</f>
        <v/>
      </c>
      <c r="B5286" s="233" t="inlineStr">
        <is>
          <t>613350</t>
        </is>
      </c>
      <c r="C5286" s="227" t="inlineStr">
        <is>
          <t>Location paritel</t>
        </is>
      </c>
      <c r="D5286" s="233" t="inlineStr">
        <is>
          <t>16</t>
        </is>
      </c>
      <c r="E5286" s="233" t="inlineStr">
        <is>
          <t>19</t>
        </is>
      </c>
      <c r="F5286" s="227" t="inlineStr">
        <is>
          <t>GLR5</t>
        </is>
      </c>
    </row>
    <row r="5287">
      <c r="A5287" s="227">
        <f>TL[[#This Row],[Société]]&amp;" - "&amp;TL[[#This Row],[Compte]]</f>
        <v/>
      </c>
      <c r="B5287" s="233" t="inlineStr">
        <is>
          <t>613360</t>
        </is>
      </c>
      <c r="C5287" s="227" t="inlineStr">
        <is>
          <t>location defibrillateur</t>
        </is>
      </c>
      <c r="D5287" s="233" t="inlineStr">
        <is>
          <t>16</t>
        </is>
      </c>
      <c r="E5287" s="233" t="inlineStr">
        <is>
          <t>19</t>
        </is>
      </c>
      <c r="F5287" s="227" t="inlineStr">
        <is>
          <t>GLR5</t>
        </is>
      </c>
    </row>
    <row r="5288">
      <c r="A5288" s="227">
        <f>TL[[#This Row],[Société]]&amp;" - "&amp;TL[[#This Row],[Compte]]</f>
        <v/>
      </c>
      <c r="B5288" s="233" t="inlineStr">
        <is>
          <t>613500</t>
        </is>
      </c>
      <c r="C5288" s="227" t="inlineStr">
        <is>
          <t>loyer oeuvre d art</t>
        </is>
      </c>
      <c r="D5288" s="233" t="inlineStr">
        <is>
          <t>39</t>
        </is>
      </c>
      <c r="E5288" s="233" t="inlineStr">
        <is>
          <t>40</t>
        </is>
      </c>
      <c r="F5288" s="227" t="inlineStr">
        <is>
          <t>GLR5</t>
        </is>
      </c>
    </row>
    <row r="5289">
      <c r="A5289" s="227">
        <f>TL[[#This Row],[Société]]&amp;" - "&amp;TL[[#This Row],[Compte]]</f>
        <v/>
      </c>
      <c r="B5289" s="233" t="inlineStr">
        <is>
          <t>613530</t>
        </is>
      </c>
      <c r="C5289" s="227" t="inlineStr">
        <is>
          <t>Locations de matériel Grenke</t>
        </is>
      </c>
      <c r="D5289" s="233" t="inlineStr">
        <is>
          <t>16</t>
        </is>
      </c>
      <c r="E5289" s="233" t="inlineStr">
        <is>
          <t>19</t>
        </is>
      </c>
      <c r="F5289" s="227" t="inlineStr">
        <is>
          <t>GLR5</t>
        </is>
      </c>
    </row>
    <row r="5290">
      <c r="A5290" s="227">
        <f>TL[[#This Row],[Société]]&amp;" - "&amp;TL[[#This Row],[Compte]]</f>
        <v/>
      </c>
      <c r="B5290" s="233" t="inlineStr">
        <is>
          <t>614000</t>
        </is>
      </c>
      <c r="C5290" s="227" t="inlineStr">
        <is>
          <t>Taxe foncière</t>
        </is>
      </c>
      <c r="D5290" s="233" t="inlineStr">
        <is>
          <t>34</t>
        </is>
      </c>
      <c r="E5290" s="233" t="inlineStr">
        <is>
          <t>37</t>
        </is>
      </c>
      <c r="F5290" s="227" t="inlineStr">
        <is>
          <t>GLR5</t>
        </is>
      </c>
    </row>
    <row r="5291">
      <c r="A5291" s="227">
        <f>TL[[#This Row],[Société]]&amp;" - "&amp;TL[[#This Row],[Compte]]</f>
        <v/>
      </c>
      <c r="B5291" s="233" t="inlineStr">
        <is>
          <t>614100</t>
        </is>
      </c>
      <c r="C5291" s="227" t="inlineStr">
        <is>
          <t>Taxe foncières</t>
        </is>
      </c>
      <c r="D5291" s="233" t="inlineStr">
        <is>
          <t>34</t>
        </is>
      </c>
      <c r="E5291" s="233" t="inlineStr">
        <is>
          <t>33</t>
        </is>
      </c>
      <c r="F5291" s="227" t="inlineStr">
        <is>
          <t>GLR5</t>
        </is>
      </c>
    </row>
    <row r="5292">
      <c r="A5292" s="227">
        <f>TL[[#This Row],[Société]]&amp;" - "&amp;TL[[#This Row],[Compte]]</f>
        <v/>
      </c>
      <c r="B5292" s="233" t="inlineStr">
        <is>
          <t>615200</t>
        </is>
      </c>
      <c r="C5292" s="227" t="inlineStr">
        <is>
          <t>Entretien espaces verts</t>
        </is>
      </c>
      <c r="D5292" s="233" t="inlineStr">
        <is>
          <t>16</t>
        </is>
      </c>
      <c r="E5292" s="233" t="inlineStr">
        <is>
          <t>19</t>
        </is>
      </c>
      <c r="F5292" s="227" t="inlineStr">
        <is>
          <t>GLR5</t>
        </is>
      </c>
    </row>
    <row r="5293">
      <c r="A5293" s="227">
        <f>TL[[#This Row],[Société]]&amp;" - "&amp;TL[[#This Row],[Compte]]</f>
        <v/>
      </c>
      <c r="B5293" s="233" t="inlineStr">
        <is>
          <t>615300</t>
        </is>
      </c>
      <c r="C5293" s="227" t="inlineStr">
        <is>
          <t>Entretien et reparations npu</t>
        </is>
      </c>
      <c r="D5293" s="233" t="inlineStr">
        <is>
          <t>99</t>
        </is>
      </c>
      <c r="E5293" s="233" t="inlineStr">
        <is>
          <t>18</t>
        </is>
      </c>
      <c r="F5293" s="227" t="inlineStr">
        <is>
          <t>GLR5</t>
        </is>
      </c>
    </row>
    <row r="5294">
      <c r="A5294" s="227">
        <f>TL[[#This Row],[Société]]&amp;" - "&amp;TL[[#This Row],[Compte]]</f>
        <v/>
      </c>
      <c r="B5294" s="233" t="inlineStr">
        <is>
          <t>615500</t>
        </is>
      </c>
      <c r="C5294" s="227" t="inlineStr">
        <is>
          <t>Entretien et réparation divers</t>
        </is>
      </c>
      <c r="D5294" s="233" t="inlineStr">
        <is>
          <t>19</t>
        </is>
      </c>
      <c r="E5294" s="233" t="inlineStr">
        <is>
          <t>18</t>
        </is>
      </c>
      <c r="F5294" s="227" t="inlineStr">
        <is>
          <t>GLR5</t>
        </is>
      </c>
    </row>
    <row r="5295">
      <c r="A5295" s="227">
        <f>TL[[#This Row],[Société]]&amp;" - "&amp;TL[[#This Row],[Compte]]</f>
        <v/>
      </c>
      <c r="B5295" s="233" t="inlineStr">
        <is>
          <t>615520</t>
        </is>
      </c>
      <c r="C5295" s="227" t="inlineStr">
        <is>
          <t>Entretien matériel de transport</t>
        </is>
      </c>
      <c r="D5295" s="233" t="inlineStr">
        <is>
          <t>39</t>
        </is>
      </c>
      <c r="E5295" s="233" t="inlineStr">
        <is>
          <t>40</t>
        </is>
      </c>
      <c r="F5295" s="227" t="inlineStr">
        <is>
          <t>GLR5</t>
        </is>
      </c>
    </row>
    <row r="5296">
      <c r="A5296" s="227">
        <f>TL[[#This Row],[Société]]&amp;" - "&amp;TL[[#This Row],[Compte]]</f>
        <v/>
      </c>
      <c r="B5296" s="233" t="inlineStr">
        <is>
          <t>615563</t>
        </is>
      </c>
      <c r="C5296" s="227" t="inlineStr">
        <is>
          <t>Contrat incendie</t>
        </is>
      </c>
      <c r="F5296" s="227" t="inlineStr">
        <is>
          <t>GLR5</t>
        </is>
      </c>
    </row>
    <row r="5297">
      <c r="A5297" s="227">
        <f>TL[[#This Row],[Société]]&amp;" - "&amp;TL[[#This Row],[Compte]]</f>
        <v/>
      </c>
      <c r="B5297" s="233" t="inlineStr">
        <is>
          <t>615600</t>
        </is>
      </c>
      <c r="C5297" s="227" t="inlineStr">
        <is>
          <t>Maintenance mcdo</t>
        </is>
      </c>
      <c r="D5297" s="233" t="inlineStr">
        <is>
          <t>16</t>
        </is>
      </c>
      <c r="E5297" s="233" t="inlineStr">
        <is>
          <t>19</t>
        </is>
      </c>
      <c r="F5297" s="227" t="inlineStr">
        <is>
          <t>GLR5</t>
        </is>
      </c>
    </row>
    <row r="5298">
      <c r="A5298" s="227">
        <f>TL[[#This Row],[Société]]&amp;" - "&amp;TL[[#This Row],[Compte]]</f>
        <v/>
      </c>
      <c r="B5298" s="233" t="inlineStr">
        <is>
          <t>615609</t>
        </is>
      </c>
      <c r="C5298" s="227" t="inlineStr">
        <is>
          <t>Honoraires silliker</t>
        </is>
      </c>
      <c r="D5298" s="233" t="inlineStr">
        <is>
          <t>16</t>
        </is>
      </c>
      <c r="E5298" s="233" t="inlineStr">
        <is>
          <t>19</t>
        </is>
      </c>
      <c r="F5298" s="227" t="inlineStr">
        <is>
          <t>GLR5</t>
        </is>
      </c>
    </row>
    <row r="5299">
      <c r="A5299" s="227">
        <f>TL[[#This Row],[Société]]&amp;" - "&amp;TL[[#This Row],[Compte]]</f>
        <v/>
      </c>
      <c r="B5299" s="233" t="inlineStr">
        <is>
          <t>615610</t>
        </is>
      </c>
      <c r="C5299" s="227" t="inlineStr">
        <is>
          <t>Contrat iron mountain</t>
        </is>
      </c>
      <c r="D5299" s="233" t="inlineStr">
        <is>
          <t>16</t>
        </is>
      </c>
      <c r="E5299" s="233" t="inlineStr">
        <is>
          <t>19</t>
        </is>
      </c>
      <c r="F5299" s="227" t="inlineStr">
        <is>
          <t>GLR5</t>
        </is>
      </c>
    </row>
    <row r="5300">
      <c r="A5300" s="227">
        <f>TL[[#This Row],[Société]]&amp;" - "&amp;TL[[#This Row],[Compte]]</f>
        <v/>
      </c>
      <c r="B5300" s="233" t="inlineStr">
        <is>
          <t>615611</t>
        </is>
      </c>
      <c r="C5300" s="227" t="inlineStr">
        <is>
          <t>Cont oleo</t>
        </is>
      </c>
      <c r="D5300" s="233" t="inlineStr">
        <is>
          <t>16</t>
        </is>
      </c>
      <c r="E5300" s="233" t="inlineStr">
        <is>
          <t>19</t>
        </is>
      </c>
      <c r="F5300" s="227" t="inlineStr">
        <is>
          <t>GLR5</t>
        </is>
      </c>
    </row>
    <row r="5301">
      <c r="A5301" s="227">
        <f>TL[[#This Row],[Société]]&amp;" - "&amp;TL[[#This Row],[Compte]]</f>
        <v/>
      </c>
      <c r="B5301" s="233" t="inlineStr">
        <is>
          <t>615614</t>
        </is>
      </c>
      <c r="C5301" s="227" t="inlineStr">
        <is>
          <t>Contrat servipro</t>
        </is>
      </c>
      <c r="D5301" s="233" t="inlineStr">
        <is>
          <t>16</t>
        </is>
      </c>
      <c r="E5301" s="233" t="inlineStr">
        <is>
          <t>19</t>
        </is>
      </c>
      <c r="F5301" s="227" t="inlineStr">
        <is>
          <t>GLR5</t>
        </is>
      </c>
    </row>
    <row r="5302">
      <c r="A5302" s="227">
        <f>TL[[#This Row],[Société]]&amp;" - "&amp;TL[[#This Row],[Compte]]</f>
        <v/>
      </c>
      <c r="B5302" s="233" t="inlineStr">
        <is>
          <t>615615</t>
        </is>
      </c>
      <c r="C5302" s="227" t="inlineStr">
        <is>
          <t>Contrat entretien linge</t>
        </is>
      </c>
      <c r="D5302" s="233" t="inlineStr">
        <is>
          <t>16</t>
        </is>
      </c>
      <c r="E5302" s="233" t="inlineStr">
        <is>
          <t>19</t>
        </is>
      </c>
      <c r="F5302" s="227" t="inlineStr">
        <is>
          <t>GLR5</t>
        </is>
      </c>
    </row>
    <row r="5303">
      <c r="A5303" s="227">
        <f>TL[[#This Row],[Société]]&amp;" - "&amp;TL[[#This Row],[Compte]]</f>
        <v/>
      </c>
      <c r="B5303" s="233" t="inlineStr">
        <is>
          <t>615616</t>
        </is>
      </c>
      <c r="C5303" s="227" t="inlineStr">
        <is>
          <t>Contrat acrelec</t>
        </is>
      </c>
      <c r="D5303" s="233" t="inlineStr">
        <is>
          <t>16</t>
        </is>
      </c>
      <c r="E5303" s="233" t="inlineStr">
        <is>
          <t>19</t>
        </is>
      </c>
      <c r="F5303" s="227" t="inlineStr">
        <is>
          <t>GLR5</t>
        </is>
      </c>
    </row>
    <row r="5304">
      <c r="A5304" s="227">
        <f>TL[[#This Row],[Société]]&amp;" - "&amp;TL[[#This Row],[Compte]]</f>
        <v/>
      </c>
      <c r="B5304" s="233" t="inlineStr">
        <is>
          <t>615617</t>
        </is>
      </c>
      <c r="C5304" s="227" t="inlineStr">
        <is>
          <t>Contrat calypsound</t>
        </is>
      </c>
      <c r="D5304" s="233" t="inlineStr">
        <is>
          <t>16</t>
        </is>
      </c>
      <c r="E5304" s="233" t="inlineStr">
        <is>
          <t>19</t>
        </is>
      </c>
      <c r="F5304" s="227" t="inlineStr">
        <is>
          <t>GLR5</t>
        </is>
      </c>
    </row>
    <row r="5305">
      <c r="A5305" s="227">
        <f>TL[[#This Row],[Société]]&amp;" - "&amp;TL[[#This Row],[Compte]]</f>
        <v/>
      </c>
      <c r="B5305" s="233" t="inlineStr">
        <is>
          <t>615618</t>
        </is>
      </c>
      <c r="C5305" s="227" t="inlineStr">
        <is>
          <t>Contrat initial</t>
        </is>
      </c>
      <c r="D5305" s="233" t="inlineStr">
        <is>
          <t>16</t>
        </is>
      </c>
      <c r="E5305" s="233" t="inlineStr">
        <is>
          <t>19</t>
        </is>
      </c>
      <c r="F5305" s="227" t="inlineStr">
        <is>
          <t>GLR5</t>
        </is>
      </c>
    </row>
    <row r="5306">
      <c r="A5306" s="227">
        <f>TL[[#This Row],[Société]]&amp;" - "&amp;TL[[#This Row],[Compte]]</f>
        <v/>
      </c>
      <c r="B5306" s="233" t="inlineStr">
        <is>
          <t>615619</t>
        </is>
      </c>
      <c r="C5306" s="227" t="inlineStr">
        <is>
          <t>Contrat vitres (graux ets gabriel)</t>
        </is>
      </c>
      <c r="D5306" s="233" t="inlineStr">
        <is>
          <t>16</t>
        </is>
      </c>
      <c r="E5306" s="233" t="inlineStr">
        <is>
          <t>15</t>
        </is>
      </c>
      <c r="F5306" s="227" t="inlineStr">
        <is>
          <t>GLR5</t>
        </is>
      </c>
    </row>
    <row r="5307">
      <c r="A5307" s="227">
        <f>TL[[#This Row],[Société]]&amp;" - "&amp;TL[[#This Row],[Compte]]</f>
        <v/>
      </c>
      <c r="B5307" s="233" t="inlineStr">
        <is>
          <t>615620</t>
        </is>
      </c>
      <c r="C5307" s="227" t="inlineStr">
        <is>
          <t>Contrat vitres sols services</t>
        </is>
      </c>
      <c r="D5307" s="233" t="inlineStr">
        <is>
          <t>16</t>
        </is>
      </c>
      <c r="E5307" s="233" t="inlineStr">
        <is>
          <t>15</t>
        </is>
      </c>
      <c r="F5307" s="227" t="inlineStr">
        <is>
          <t>GLR5</t>
        </is>
      </c>
    </row>
    <row r="5308">
      <c r="A5308" s="227">
        <f>TL[[#This Row],[Société]]&amp;" - "&amp;TL[[#This Row],[Compte]]</f>
        <v/>
      </c>
      <c r="B5308" s="233" t="inlineStr">
        <is>
          <t>615621</t>
        </is>
      </c>
      <c r="C5308" s="227" t="inlineStr">
        <is>
          <t>Contrat ramassage espèces</t>
        </is>
      </c>
      <c r="D5308" s="233" t="inlineStr">
        <is>
          <t>16</t>
        </is>
      </c>
      <c r="E5308" s="233" t="inlineStr">
        <is>
          <t>19</t>
        </is>
      </c>
      <c r="F5308" s="227" t="inlineStr">
        <is>
          <t>GLR5</t>
        </is>
      </c>
    </row>
    <row r="5309">
      <c r="A5309" s="227">
        <f>TL[[#This Row],[Société]]&amp;" - "&amp;TL[[#This Row],[Compte]]</f>
        <v/>
      </c>
      <c r="B5309" s="233" t="inlineStr">
        <is>
          <t>615622</t>
        </is>
      </c>
      <c r="C5309" s="227" t="inlineStr">
        <is>
          <t>Contrat calypsound npu</t>
        </is>
      </c>
      <c r="D5309" s="233" t="inlineStr">
        <is>
          <t>16</t>
        </is>
      </c>
      <c r="E5309" s="233" t="inlineStr">
        <is>
          <t>19</t>
        </is>
      </c>
      <c r="F5309" s="227" t="inlineStr">
        <is>
          <t>GLR5</t>
        </is>
      </c>
    </row>
    <row r="5310">
      <c r="A5310" s="227">
        <f>TL[[#This Row],[Société]]&amp;" - "&amp;TL[[#This Row],[Compte]]</f>
        <v/>
      </c>
      <c r="B5310" s="233" t="inlineStr">
        <is>
          <t>615623</t>
        </is>
      </c>
      <c r="C5310" s="227" t="inlineStr">
        <is>
          <t>Contrat spie npu</t>
        </is>
      </c>
      <c r="D5310" s="233" t="inlineStr">
        <is>
          <t>16</t>
        </is>
      </c>
      <c r="E5310" s="233" t="inlineStr">
        <is>
          <t>19</t>
        </is>
      </c>
      <c r="F5310" s="227" t="inlineStr">
        <is>
          <t>GLR5</t>
        </is>
      </c>
    </row>
    <row r="5311">
      <c r="A5311" s="227">
        <f>TL[[#This Row],[Société]]&amp;" - "&amp;TL[[#This Row],[Compte]]</f>
        <v/>
      </c>
      <c r="B5311" s="233" t="inlineStr">
        <is>
          <t>615624</t>
        </is>
      </c>
      <c r="C5311" s="227" t="inlineStr">
        <is>
          <t>Contrat sacem</t>
        </is>
      </c>
      <c r="D5311" s="233" t="inlineStr">
        <is>
          <t>16</t>
        </is>
      </c>
      <c r="E5311" s="233" t="inlineStr">
        <is>
          <t>19</t>
        </is>
      </c>
      <c r="F5311" s="227" t="inlineStr">
        <is>
          <t>GLR5</t>
        </is>
      </c>
    </row>
    <row r="5312">
      <c r="A5312" s="227">
        <f>TL[[#This Row],[Société]]&amp;" - "&amp;TL[[#This Row],[Compte]]</f>
        <v/>
      </c>
      <c r="B5312" s="233" t="inlineStr">
        <is>
          <t>615625</t>
        </is>
      </c>
      <c r="C5312" s="227" t="inlineStr">
        <is>
          <t>Contrat Tyco</t>
        </is>
      </c>
      <c r="D5312" s="233" t="inlineStr">
        <is>
          <t>16</t>
        </is>
      </c>
      <c r="E5312" s="233" t="inlineStr">
        <is>
          <t>19</t>
        </is>
      </c>
      <c r="F5312" s="227" t="inlineStr">
        <is>
          <t>GLR5</t>
        </is>
      </c>
    </row>
    <row r="5313">
      <c r="A5313" s="227">
        <f>TL[[#This Row],[Société]]&amp;" - "&amp;TL[[#This Row],[Compte]]</f>
        <v/>
      </c>
      <c r="B5313" s="233" t="inlineStr">
        <is>
          <t>615626</t>
        </is>
      </c>
      <c r="C5313" s="227" t="inlineStr">
        <is>
          <t>Contrat collecte huiles usagées</t>
        </is>
      </c>
      <c r="D5313" s="233" t="inlineStr">
        <is>
          <t>16</t>
        </is>
      </c>
      <c r="E5313" s="233" t="inlineStr">
        <is>
          <t>19</t>
        </is>
      </c>
      <c r="F5313" s="227" t="inlineStr">
        <is>
          <t>GLR5</t>
        </is>
      </c>
    </row>
    <row r="5314">
      <c r="A5314" s="227">
        <f>TL[[#This Row],[Société]]&amp;" - "&amp;TL[[#This Row],[Compte]]</f>
        <v/>
      </c>
      <c r="B5314" s="233" t="inlineStr">
        <is>
          <t>615627</t>
        </is>
      </c>
      <c r="C5314" s="227" t="inlineStr">
        <is>
          <t>Contrat Spie</t>
        </is>
      </c>
      <c r="D5314" s="233" t="inlineStr">
        <is>
          <t>16</t>
        </is>
      </c>
      <c r="E5314" s="233" t="inlineStr">
        <is>
          <t>19</t>
        </is>
      </c>
      <c r="F5314" s="227" t="inlineStr">
        <is>
          <t>GLR5</t>
        </is>
      </c>
    </row>
    <row r="5315">
      <c r="A5315" s="227">
        <f>TL[[#This Row],[Société]]&amp;" - "&amp;TL[[#This Row],[Compte]]</f>
        <v/>
      </c>
      <c r="B5315" s="233" t="inlineStr">
        <is>
          <t>615628</t>
        </is>
      </c>
      <c r="C5315" s="227" t="inlineStr">
        <is>
          <t>Contrat tsn</t>
        </is>
      </c>
      <c r="D5315" s="233" t="inlineStr">
        <is>
          <t>16</t>
        </is>
      </c>
      <c r="E5315" s="233" t="inlineStr">
        <is>
          <t>19</t>
        </is>
      </c>
      <c r="F5315" s="227" t="inlineStr">
        <is>
          <t>GLR5</t>
        </is>
      </c>
    </row>
    <row r="5316">
      <c r="A5316" s="227">
        <f>TL[[#This Row],[Société]]&amp;" - "&amp;TL[[#This Row],[Compte]]</f>
        <v/>
      </c>
      <c r="B5316" s="233" t="inlineStr">
        <is>
          <t>615629</t>
        </is>
      </c>
      <c r="C5316" s="227" t="inlineStr">
        <is>
          <t>Contrat ndie alarme ac2f</t>
        </is>
      </c>
      <c r="D5316" s="233" t="inlineStr">
        <is>
          <t>16</t>
        </is>
      </c>
      <c r="E5316" s="233" t="inlineStr">
        <is>
          <t>16</t>
        </is>
      </c>
      <c r="F5316" s="227" t="inlineStr">
        <is>
          <t>GLR5</t>
        </is>
      </c>
    </row>
    <row r="5317">
      <c r="A5317" s="227">
        <f>TL[[#This Row],[Société]]&amp;" - "&amp;TL[[#This Row],[Compte]]</f>
        <v/>
      </c>
      <c r="B5317" s="233" t="inlineStr">
        <is>
          <t>615630</t>
        </is>
      </c>
      <c r="C5317" s="227" t="inlineStr">
        <is>
          <t>Contrat meteor</t>
        </is>
      </c>
      <c r="D5317" s="233" t="inlineStr">
        <is>
          <t>16</t>
        </is>
      </c>
      <c r="E5317" s="233" t="inlineStr">
        <is>
          <t>19</t>
        </is>
      </c>
      <c r="F5317" s="227" t="inlineStr">
        <is>
          <t>GLR5</t>
        </is>
      </c>
    </row>
    <row r="5318">
      <c r="A5318" s="227">
        <f>TL[[#This Row],[Société]]&amp;" - "&amp;TL[[#This Row],[Compte]]</f>
        <v/>
      </c>
      <c r="B5318" s="233" t="inlineStr">
        <is>
          <t>615631</t>
        </is>
      </c>
      <c r="C5318" s="227" t="inlineStr">
        <is>
          <t>Contrat Melitta</t>
        </is>
      </c>
      <c r="D5318" s="233" t="inlineStr">
        <is>
          <t>16</t>
        </is>
      </c>
      <c r="E5318" s="233" t="inlineStr">
        <is>
          <t>19</t>
        </is>
      </c>
      <c r="F5318" s="227" t="inlineStr">
        <is>
          <t>GLR5</t>
        </is>
      </c>
    </row>
    <row r="5319">
      <c r="A5319" s="227">
        <f>TL[[#This Row],[Société]]&amp;" - "&amp;TL[[#This Row],[Compte]]</f>
        <v/>
      </c>
      <c r="B5319" s="233" t="inlineStr">
        <is>
          <t>615632</t>
        </is>
      </c>
      <c r="C5319" s="227" t="inlineStr">
        <is>
          <t>Contrat ecolab amboile</t>
        </is>
      </c>
      <c r="D5319" s="233" t="inlineStr">
        <is>
          <t>16</t>
        </is>
      </c>
      <c r="E5319" s="233" t="inlineStr">
        <is>
          <t>19</t>
        </is>
      </c>
      <c r="F5319" s="227" t="inlineStr">
        <is>
          <t>GLR5</t>
        </is>
      </c>
    </row>
    <row r="5320">
      <c r="A5320" s="227">
        <f>TL[[#This Row],[Société]]&amp;" - "&amp;TL[[#This Row],[Compte]]</f>
        <v/>
      </c>
      <c r="B5320" s="233" t="inlineStr">
        <is>
          <t>615633</t>
        </is>
      </c>
      <c r="C5320" s="227" t="inlineStr">
        <is>
          <t>Contrat télésurveillance</t>
        </is>
      </c>
      <c r="D5320" s="233" t="inlineStr">
        <is>
          <t>16</t>
        </is>
      </c>
      <c r="E5320" s="233" t="inlineStr">
        <is>
          <t>16</t>
        </is>
      </c>
      <c r="F5320" s="227" t="inlineStr">
        <is>
          <t>GLR5</t>
        </is>
      </c>
    </row>
    <row r="5321">
      <c r="A5321" s="227">
        <f>TL[[#This Row],[Société]]&amp;" - "&amp;TL[[#This Row],[Compte]]</f>
        <v/>
      </c>
      <c r="B5321" s="233" t="inlineStr">
        <is>
          <t>615634</t>
        </is>
      </c>
      <c r="C5321" s="227" t="inlineStr">
        <is>
          <t>Contrat wifi</t>
        </is>
      </c>
      <c r="D5321" s="233" t="inlineStr">
        <is>
          <t>16</t>
        </is>
      </c>
      <c r="E5321" s="233" t="inlineStr">
        <is>
          <t>19</t>
        </is>
      </c>
      <c r="F5321" s="227" t="inlineStr">
        <is>
          <t>GLR5</t>
        </is>
      </c>
    </row>
    <row r="5322">
      <c r="A5322" s="227">
        <f>TL[[#This Row],[Société]]&amp;" - "&amp;TL[[#This Row],[Compte]]</f>
        <v/>
      </c>
      <c r="B5322" s="233" t="inlineStr">
        <is>
          <t>615636</t>
        </is>
      </c>
      <c r="C5322" s="227" t="inlineStr">
        <is>
          <t>Contrat regie linge</t>
        </is>
      </c>
      <c r="D5322" s="233" t="inlineStr">
        <is>
          <t>16</t>
        </is>
      </c>
      <c r="E5322" s="233" t="inlineStr">
        <is>
          <t>19</t>
        </is>
      </c>
      <c r="F5322" s="227" t="inlineStr">
        <is>
          <t>GLR5</t>
        </is>
      </c>
    </row>
    <row r="5323">
      <c r="A5323" s="227">
        <f>TL[[#This Row],[Société]]&amp;" - "&amp;TL[[#This Row],[Compte]]</f>
        <v/>
      </c>
      <c r="B5323" s="233" t="inlineStr">
        <is>
          <t>615637</t>
        </is>
      </c>
      <c r="C5323" s="227" t="inlineStr">
        <is>
          <t>Contrat cis - interway</t>
        </is>
      </c>
      <c r="D5323" s="233" t="inlineStr">
        <is>
          <t>16</t>
        </is>
      </c>
      <c r="E5323" s="233" t="inlineStr">
        <is>
          <t>19</t>
        </is>
      </c>
      <c r="F5323" s="227" t="inlineStr">
        <is>
          <t>GLR5</t>
        </is>
      </c>
    </row>
    <row r="5324">
      <c r="A5324" s="227">
        <f>TL[[#This Row],[Société]]&amp;" - "&amp;TL[[#This Row],[Compte]]</f>
        <v/>
      </c>
      <c r="B5324" s="233" t="inlineStr">
        <is>
          <t>615641</t>
        </is>
      </c>
      <c r="C5324" s="227" t="inlineStr">
        <is>
          <t>Contrat servipro</t>
        </is>
      </c>
      <c r="D5324" s="233" t="inlineStr">
        <is>
          <t>16</t>
        </is>
      </c>
      <c r="E5324" s="233" t="inlineStr">
        <is>
          <t>19</t>
        </is>
      </c>
      <c r="F5324" s="227" t="inlineStr">
        <is>
          <t>GLR5</t>
        </is>
      </c>
    </row>
    <row r="5325">
      <c r="A5325" s="227">
        <f>TL[[#This Row],[Société]]&amp;" - "&amp;TL[[#This Row],[Compte]]</f>
        <v/>
      </c>
      <c r="B5325" s="233" t="inlineStr">
        <is>
          <t>615642</t>
        </is>
      </c>
      <c r="C5325" s="227" t="inlineStr">
        <is>
          <t>Contrat technivap</t>
        </is>
      </c>
      <c r="D5325" s="233" t="inlineStr">
        <is>
          <t>16</t>
        </is>
      </c>
      <c r="E5325" s="233" t="inlineStr">
        <is>
          <t>19</t>
        </is>
      </c>
      <c r="F5325" s="227" t="inlineStr">
        <is>
          <t>GLR5</t>
        </is>
      </c>
    </row>
    <row r="5326">
      <c r="A5326" s="227">
        <f>TL[[#This Row],[Société]]&amp;" - "&amp;TL[[#This Row],[Compte]]</f>
        <v/>
      </c>
      <c r="B5326" s="233" t="inlineStr">
        <is>
          <t>615643</t>
        </is>
      </c>
      <c r="C5326" s="227" t="inlineStr">
        <is>
          <t>Contrat cartes et service npu</t>
        </is>
      </c>
      <c r="D5326" s="233" t="inlineStr">
        <is>
          <t>99</t>
        </is>
      </c>
      <c r="E5326" s="233" t="inlineStr">
        <is>
          <t>19</t>
        </is>
      </c>
      <c r="F5326" s="227" t="inlineStr">
        <is>
          <t>GLR5</t>
        </is>
      </c>
    </row>
    <row r="5327">
      <c r="A5327" s="227">
        <f>TL[[#This Row],[Société]]&amp;" - "&amp;TL[[#This Row],[Compte]]</f>
        <v/>
      </c>
      <c r="B5327" s="233" t="inlineStr">
        <is>
          <t>615645</t>
        </is>
      </c>
      <c r="C5327" s="227" t="inlineStr">
        <is>
          <t>Contrat enlevt dechets</t>
        </is>
      </c>
      <c r="D5327" s="233" t="inlineStr">
        <is>
          <t>16</t>
        </is>
      </c>
      <c r="E5327" s="233" t="inlineStr">
        <is>
          <t>19</t>
        </is>
      </c>
      <c r="F5327" s="227" t="inlineStr">
        <is>
          <t>GLR5</t>
        </is>
      </c>
    </row>
    <row r="5328">
      <c r="A5328" s="227">
        <f>TL[[#This Row],[Société]]&amp;" - "&amp;TL[[#This Row],[Compte]]</f>
        <v/>
      </c>
      <c r="B5328" s="233" t="inlineStr">
        <is>
          <t>615646</t>
        </is>
      </c>
      <c r="C5328" s="227" t="inlineStr">
        <is>
          <t>Contrat acrelec npu</t>
        </is>
      </c>
      <c r="D5328" s="233" t="inlineStr">
        <is>
          <t>16</t>
        </is>
      </c>
      <c r="E5328" s="233" t="inlineStr">
        <is>
          <t>19</t>
        </is>
      </c>
      <c r="F5328" s="227" t="inlineStr">
        <is>
          <t>GLR5</t>
        </is>
      </c>
    </row>
    <row r="5329">
      <c r="A5329" s="227">
        <f>TL[[#This Row],[Société]]&amp;" - "&amp;TL[[#This Row],[Compte]]</f>
        <v/>
      </c>
      <c r="B5329" s="233" t="inlineStr">
        <is>
          <t>615647</t>
        </is>
      </c>
      <c r="C5329" s="227" t="inlineStr">
        <is>
          <t>Contrat coca maintenance</t>
        </is>
      </c>
      <c r="D5329" s="233" t="inlineStr">
        <is>
          <t>16</t>
        </is>
      </c>
      <c r="E5329" s="233" t="inlineStr">
        <is>
          <t>19</t>
        </is>
      </c>
      <c r="F5329" s="227" t="inlineStr">
        <is>
          <t>GLR5</t>
        </is>
      </c>
    </row>
    <row r="5330">
      <c r="A5330" s="227">
        <f>TL[[#This Row],[Société]]&amp;" - "&amp;TL[[#This Row],[Compte]]</f>
        <v/>
      </c>
      <c r="B5330" s="233" t="inlineStr">
        <is>
          <t>615649</t>
        </is>
      </c>
      <c r="C5330" s="227" t="inlineStr">
        <is>
          <t>Contrat iron moutain npu</t>
        </is>
      </c>
      <c r="D5330" s="233" t="inlineStr">
        <is>
          <t>16</t>
        </is>
      </c>
      <c r="E5330" s="233" t="inlineStr">
        <is>
          <t>19</t>
        </is>
      </c>
      <c r="F5330" s="227" t="inlineStr">
        <is>
          <t>GLR5</t>
        </is>
      </c>
    </row>
    <row r="5331">
      <c r="A5331" s="227">
        <f>TL[[#This Row],[Société]]&amp;" - "&amp;TL[[#This Row],[Compte]]</f>
        <v/>
      </c>
      <c r="B5331" s="233" t="inlineStr">
        <is>
          <t>615650</t>
        </is>
      </c>
      <c r="C5331" s="227" t="inlineStr">
        <is>
          <t>Contrat osiatis</t>
        </is>
      </c>
      <c r="D5331" s="233" t="inlineStr">
        <is>
          <t>16</t>
        </is>
      </c>
      <c r="E5331" s="233" t="inlineStr">
        <is>
          <t>19</t>
        </is>
      </c>
      <c r="F5331" s="227" t="inlineStr">
        <is>
          <t>GLR5</t>
        </is>
      </c>
    </row>
    <row r="5332">
      <c r="A5332" s="227">
        <f>TL[[#This Row],[Société]]&amp;" - "&amp;TL[[#This Row],[Compte]]</f>
        <v/>
      </c>
      <c r="B5332" s="233" t="inlineStr">
        <is>
          <t>615651</t>
        </is>
      </c>
      <c r="C5332" s="227" t="inlineStr">
        <is>
          <t>Abonnement recru net</t>
        </is>
      </c>
      <c r="D5332" s="233" t="inlineStr">
        <is>
          <t>16</t>
        </is>
      </c>
      <c r="E5332" s="233" t="inlineStr">
        <is>
          <t>19</t>
        </is>
      </c>
      <c r="F5332" s="227" t="inlineStr">
        <is>
          <t>GLR5</t>
        </is>
      </c>
    </row>
    <row r="5333">
      <c r="A5333" s="227">
        <f>TL[[#This Row],[Société]]&amp;" - "&amp;TL[[#This Row],[Compte]]</f>
        <v/>
      </c>
      <c r="B5333" s="233" t="inlineStr">
        <is>
          <t>615652</t>
        </is>
      </c>
      <c r="C5333" s="227" t="inlineStr">
        <is>
          <t>Contrat guildagil</t>
        </is>
      </c>
      <c r="D5333" s="233" t="inlineStr">
        <is>
          <t>16</t>
        </is>
      </c>
      <c r="E5333" s="233" t="inlineStr">
        <is>
          <t>19</t>
        </is>
      </c>
      <c r="F5333" s="227" t="inlineStr">
        <is>
          <t>GLR5</t>
        </is>
      </c>
    </row>
    <row r="5334">
      <c r="A5334" s="227">
        <f>TL[[#This Row],[Société]]&amp;" - "&amp;TL[[#This Row],[Compte]]</f>
        <v/>
      </c>
      <c r="B5334" s="233" t="inlineStr">
        <is>
          <t>615653</t>
        </is>
      </c>
      <c r="C5334" s="227" t="inlineStr">
        <is>
          <t>Contrat réflex services</t>
        </is>
      </c>
      <c r="D5334" s="233" t="inlineStr">
        <is>
          <t>16</t>
        </is>
      </c>
      <c r="E5334" s="233" t="inlineStr">
        <is>
          <t>19</t>
        </is>
      </c>
      <c r="F5334" s="227" t="inlineStr">
        <is>
          <t>GLR5</t>
        </is>
      </c>
    </row>
    <row r="5335">
      <c r="A5335" s="227">
        <f>TL[[#This Row],[Société]]&amp;" - "&amp;TL[[#This Row],[Compte]]</f>
        <v/>
      </c>
      <c r="B5335" s="233" t="inlineStr">
        <is>
          <t>615654</t>
        </is>
      </c>
      <c r="C5335" s="227" t="inlineStr">
        <is>
          <t>Contrat jri</t>
        </is>
      </c>
      <c r="D5335" s="233" t="inlineStr">
        <is>
          <t>16</t>
        </is>
      </c>
      <c r="E5335" s="233" t="inlineStr">
        <is>
          <t>19</t>
        </is>
      </c>
      <c r="F5335" s="227" t="inlineStr">
        <is>
          <t>GLR5</t>
        </is>
      </c>
    </row>
    <row r="5336">
      <c r="A5336" s="227">
        <f>TL[[#This Row],[Société]]&amp;" - "&amp;TL[[#This Row],[Compte]]</f>
        <v/>
      </c>
      <c r="B5336" s="233" t="inlineStr">
        <is>
          <t>615655</t>
        </is>
      </c>
      <c r="C5336" s="227" t="inlineStr">
        <is>
          <t>Contrat socotec</t>
        </is>
      </c>
      <c r="D5336" s="233" t="inlineStr">
        <is>
          <t>16</t>
        </is>
      </c>
      <c r="E5336" s="233" t="inlineStr">
        <is>
          <t>19</t>
        </is>
      </c>
      <c r="F5336" s="227" t="inlineStr">
        <is>
          <t>GLR5</t>
        </is>
      </c>
    </row>
    <row r="5337">
      <c r="A5337" s="227">
        <f>TL[[#This Row],[Société]]&amp;" - "&amp;TL[[#This Row],[Compte]]</f>
        <v/>
      </c>
      <c r="B5337" s="233" t="inlineStr">
        <is>
          <t>615656</t>
        </is>
      </c>
      <c r="C5337" s="227" t="inlineStr">
        <is>
          <t>Contrat majie</t>
        </is>
      </c>
      <c r="D5337" s="233" t="inlineStr">
        <is>
          <t>16</t>
        </is>
      </c>
      <c r="E5337" s="233" t="inlineStr">
        <is>
          <t>19</t>
        </is>
      </c>
      <c r="F5337" s="227" t="inlineStr">
        <is>
          <t>GLR5</t>
        </is>
      </c>
    </row>
    <row r="5338">
      <c r="A5338" s="227">
        <f>TL[[#This Row],[Société]]&amp;" - "&amp;TL[[#This Row],[Compte]]</f>
        <v/>
      </c>
      <c r="B5338" s="233" t="inlineStr">
        <is>
          <t>615657</t>
        </is>
      </c>
      <c r="C5338" s="227" t="inlineStr">
        <is>
          <t>Contrat iss</t>
        </is>
      </c>
      <c r="D5338" s="233" t="inlineStr">
        <is>
          <t>16</t>
        </is>
      </c>
      <c r="E5338" s="233" t="inlineStr">
        <is>
          <t>19</t>
        </is>
      </c>
      <c r="F5338" s="227" t="inlineStr">
        <is>
          <t>GLR5</t>
        </is>
      </c>
    </row>
    <row r="5339">
      <c r="A5339" s="227">
        <f>TL[[#This Row],[Société]]&amp;" - "&amp;TL[[#This Row],[Compte]]</f>
        <v/>
      </c>
      <c r="B5339" s="233" t="inlineStr">
        <is>
          <t>615658</t>
        </is>
      </c>
      <c r="C5339" s="227" t="inlineStr">
        <is>
          <t>Contrat mood</t>
        </is>
      </c>
      <c r="D5339" s="233" t="inlineStr">
        <is>
          <t>16</t>
        </is>
      </c>
      <c r="E5339" s="233" t="inlineStr">
        <is>
          <t>19</t>
        </is>
      </c>
      <c r="F5339" s="227" t="inlineStr">
        <is>
          <t>GLR5</t>
        </is>
      </c>
    </row>
    <row r="5340">
      <c r="A5340" s="227">
        <f>TL[[#This Row],[Société]]&amp;" - "&amp;TL[[#This Row],[Compte]]</f>
        <v/>
      </c>
      <c r="B5340" s="233" t="inlineStr">
        <is>
          <t>615659</t>
        </is>
      </c>
      <c r="C5340" s="227" t="inlineStr">
        <is>
          <t>contrat grenke refresh</t>
        </is>
      </c>
      <c r="D5340" s="233" t="inlineStr">
        <is>
          <t>16</t>
        </is>
      </c>
      <c r="E5340" s="233" t="inlineStr">
        <is>
          <t>19</t>
        </is>
      </c>
      <c r="F5340" s="227" t="inlineStr">
        <is>
          <t>GLR5</t>
        </is>
      </c>
    </row>
    <row r="5341">
      <c r="A5341" s="227">
        <f>TL[[#This Row],[Société]]&amp;" - "&amp;TL[[#This Row],[Compte]]</f>
        <v/>
      </c>
      <c r="B5341" s="233" t="inlineStr">
        <is>
          <t>615660</t>
        </is>
      </c>
      <c r="C5341" s="227" t="inlineStr">
        <is>
          <t>contrat indelec borne</t>
        </is>
      </c>
      <c r="D5341" s="233" t="inlineStr">
        <is>
          <t>16</t>
        </is>
      </c>
      <c r="E5341" s="233" t="inlineStr">
        <is>
          <t>19</t>
        </is>
      </c>
      <c r="F5341" s="227" t="inlineStr">
        <is>
          <t>GLR5</t>
        </is>
      </c>
    </row>
    <row r="5342">
      <c r="A5342" s="227">
        <f>TL[[#This Row],[Société]]&amp;" - "&amp;TL[[#This Row],[Compte]]</f>
        <v/>
      </c>
      <c r="B5342" s="233" t="inlineStr">
        <is>
          <t>615661</t>
        </is>
      </c>
      <c r="C5342" s="227" t="inlineStr">
        <is>
          <t>contrat steeple</t>
        </is>
      </c>
      <c r="D5342" s="233" t="inlineStr">
        <is>
          <t>16</t>
        </is>
      </c>
      <c r="E5342" s="233" t="inlineStr">
        <is>
          <t>19</t>
        </is>
      </c>
      <c r="F5342" s="227" t="inlineStr">
        <is>
          <t>GLR5</t>
        </is>
      </c>
    </row>
    <row r="5343">
      <c r="A5343" s="227">
        <f>TL[[#This Row],[Société]]&amp;" - "&amp;TL[[#This Row],[Compte]]</f>
        <v/>
      </c>
      <c r="B5343" s="233" t="inlineStr">
        <is>
          <t>615662</t>
        </is>
      </c>
      <c r="C5343" s="227" t="inlineStr">
        <is>
          <t>applicat suivi performance</t>
        </is>
      </c>
      <c r="D5343" s="233" t="inlineStr">
        <is>
          <t>16</t>
        </is>
      </c>
      <c r="E5343" s="233" t="inlineStr">
        <is>
          <t>19</t>
        </is>
      </c>
      <c r="F5343" s="227" t="inlineStr">
        <is>
          <t>GLR5</t>
        </is>
      </c>
    </row>
    <row r="5344">
      <c r="A5344" s="227">
        <f>TL[[#This Row],[Société]]&amp;" - "&amp;TL[[#This Row],[Compte]]</f>
        <v/>
      </c>
      <c r="B5344" s="233" t="inlineStr">
        <is>
          <t>616000</t>
        </is>
      </c>
      <c r="C5344" s="227" t="inlineStr">
        <is>
          <t>Primes d'assurance</t>
        </is>
      </c>
      <c r="D5344" s="233" t="inlineStr">
        <is>
          <t>33</t>
        </is>
      </c>
      <c r="E5344" s="233" t="inlineStr">
        <is>
          <t>36</t>
        </is>
      </c>
      <c r="F5344" s="227" t="inlineStr">
        <is>
          <t>GLR5</t>
        </is>
      </c>
    </row>
    <row r="5345">
      <c r="A5345" s="227">
        <f>TL[[#This Row],[Société]]&amp;" - "&amp;TL[[#This Row],[Compte]]</f>
        <v/>
      </c>
      <c r="B5345" s="233" t="inlineStr">
        <is>
          <t>616001</t>
        </is>
      </c>
      <c r="C5345" s="227" t="inlineStr">
        <is>
          <t>Assurance multi. risques</t>
        </is>
      </c>
      <c r="D5345" s="233" t="inlineStr">
        <is>
          <t>33</t>
        </is>
      </c>
      <c r="E5345" s="233" t="inlineStr">
        <is>
          <t>36</t>
        </is>
      </c>
      <c r="F5345" s="227" t="inlineStr">
        <is>
          <t>GLR5</t>
        </is>
      </c>
    </row>
    <row r="5346">
      <c r="A5346" s="227">
        <f>TL[[#This Row],[Société]]&amp;" - "&amp;TL[[#This Row],[Compte]]</f>
        <v/>
      </c>
      <c r="B5346" s="233" t="inlineStr">
        <is>
          <t>616002</t>
        </is>
      </c>
      <c r="C5346" s="227" t="inlineStr">
        <is>
          <t>Assurances diverses</t>
        </is>
      </c>
      <c r="D5346" s="233" t="inlineStr">
        <is>
          <t>33</t>
        </is>
      </c>
      <c r="E5346" s="233" t="inlineStr">
        <is>
          <t>36</t>
        </is>
      </c>
      <c r="F5346" s="227" t="inlineStr">
        <is>
          <t>GLR5</t>
        </is>
      </c>
    </row>
    <row r="5347">
      <c r="A5347" s="227">
        <f>TL[[#This Row],[Société]]&amp;" - "&amp;TL[[#This Row],[Compte]]</f>
        <v/>
      </c>
      <c r="B5347" s="233" t="inlineStr">
        <is>
          <t>616003</t>
        </is>
      </c>
      <c r="C5347" s="227" t="inlineStr">
        <is>
          <t>Assurance auto-mission</t>
        </is>
      </c>
      <c r="D5347" s="233" t="inlineStr">
        <is>
          <t>33</t>
        </is>
      </c>
      <c r="E5347" s="233" t="inlineStr">
        <is>
          <t>36</t>
        </is>
      </c>
      <c r="F5347" s="227" t="inlineStr">
        <is>
          <t>GLR5</t>
        </is>
      </c>
    </row>
    <row r="5348">
      <c r="A5348" s="227">
        <f>TL[[#This Row],[Société]]&amp;" - "&amp;TL[[#This Row],[Compte]]</f>
        <v/>
      </c>
      <c r="B5348" s="233" t="inlineStr">
        <is>
          <t>616004</t>
        </is>
      </c>
      <c r="C5348" s="227" t="inlineStr">
        <is>
          <t>Assurances véhicules</t>
        </is>
      </c>
      <c r="D5348" s="233" t="inlineStr">
        <is>
          <t>39</t>
        </is>
      </c>
      <c r="E5348" s="233" t="inlineStr">
        <is>
          <t>40</t>
        </is>
      </c>
      <c r="F5348" s="227" t="inlineStr">
        <is>
          <t>GLR5</t>
        </is>
      </c>
    </row>
    <row r="5349">
      <c r="A5349" s="227">
        <f>TL[[#This Row],[Société]]&amp;" - "&amp;TL[[#This Row],[Compte]]</f>
        <v/>
      </c>
      <c r="B5349" s="233" t="inlineStr">
        <is>
          <t>616006</t>
        </is>
      </c>
      <c r="C5349" s="227" t="inlineStr">
        <is>
          <t>Assurance décénale</t>
        </is>
      </c>
      <c r="D5349" s="233" t="inlineStr">
        <is>
          <t>33</t>
        </is>
      </c>
      <c r="E5349" s="233" t="inlineStr">
        <is>
          <t>36</t>
        </is>
      </c>
      <c r="F5349" s="227" t="inlineStr">
        <is>
          <t>GLR5</t>
        </is>
      </c>
    </row>
    <row r="5350">
      <c r="A5350" s="227">
        <f>TL[[#This Row],[Société]]&amp;" - "&amp;TL[[#This Row],[Compte]]</f>
        <v/>
      </c>
      <c r="B5350" s="233" t="inlineStr">
        <is>
          <t>616008</t>
        </is>
      </c>
      <c r="C5350" s="227" t="inlineStr">
        <is>
          <t>Assurance emprunt</t>
        </is>
      </c>
      <c r="D5350" s="233" t="inlineStr">
        <is>
          <t>33</t>
        </is>
      </c>
      <c r="E5350" s="233" t="inlineStr">
        <is>
          <t>36</t>
        </is>
      </c>
      <c r="F5350" s="227" t="inlineStr">
        <is>
          <t>GLR5</t>
        </is>
      </c>
    </row>
    <row r="5351">
      <c r="A5351" s="227">
        <f>TL[[#This Row],[Société]]&amp;" - "&amp;TL[[#This Row],[Compte]]</f>
        <v/>
      </c>
      <c r="B5351" s="233" t="inlineStr">
        <is>
          <t>616100</t>
        </is>
      </c>
      <c r="C5351" s="227" t="inlineStr">
        <is>
          <t>Assurances agf npu</t>
        </is>
      </c>
      <c r="D5351" s="233" t="inlineStr">
        <is>
          <t>33</t>
        </is>
      </c>
      <c r="E5351" s="233" t="inlineStr">
        <is>
          <t>36</t>
        </is>
      </c>
      <c r="F5351" s="227" t="inlineStr">
        <is>
          <t>GLR5</t>
        </is>
      </c>
    </row>
    <row r="5352">
      <c r="A5352" s="227">
        <f>TL[[#This Row],[Société]]&amp;" - "&amp;TL[[#This Row],[Compte]]</f>
        <v/>
      </c>
      <c r="B5352" s="233" t="inlineStr">
        <is>
          <t>616200</t>
        </is>
      </c>
      <c r="C5352" s="227" t="inlineStr">
        <is>
          <t>Assurances diverses npu</t>
        </is>
      </c>
      <c r="D5352" s="233" t="inlineStr">
        <is>
          <t>33</t>
        </is>
      </c>
      <c r="E5352" s="233" t="inlineStr">
        <is>
          <t>36</t>
        </is>
      </c>
      <c r="F5352" s="227" t="inlineStr">
        <is>
          <t>GLR5</t>
        </is>
      </c>
    </row>
    <row r="5353">
      <c r="A5353" s="227">
        <f>TL[[#This Row],[Société]]&amp;" - "&amp;TL[[#This Row],[Compte]]</f>
        <v/>
      </c>
      <c r="B5353" s="233" t="inlineStr">
        <is>
          <t>616300</t>
        </is>
      </c>
      <c r="C5353" s="227" t="inlineStr">
        <is>
          <t>Assurance auto mission npu</t>
        </is>
      </c>
      <c r="D5353" s="233" t="inlineStr">
        <is>
          <t>33</t>
        </is>
      </c>
      <c r="E5353" s="233" t="inlineStr">
        <is>
          <t>36</t>
        </is>
      </c>
      <c r="F5353" s="227" t="inlineStr">
        <is>
          <t>GLR5</t>
        </is>
      </c>
    </row>
    <row r="5354">
      <c r="A5354" s="227">
        <f>TL[[#This Row],[Société]]&amp;" - "&amp;TL[[#This Row],[Compte]]</f>
        <v/>
      </c>
      <c r="B5354" s="233" t="inlineStr">
        <is>
          <t>618100</t>
        </is>
      </c>
      <c r="C5354" s="227" t="inlineStr">
        <is>
          <t>Documentation generale</t>
        </is>
      </c>
      <c r="D5354" s="233" t="inlineStr">
        <is>
          <t>16</t>
        </is>
      </c>
      <c r="E5354" s="233" t="inlineStr">
        <is>
          <t>19</t>
        </is>
      </c>
      <c r="F5354" s="227" t="inlineStr">
        <is>
          <t>GLR5</t>
        </is>
      </c>
    </row>
    <row r="5355">
      <c r="A5355" s="227">
        <f>TL[[#This Row],[Société]]&amp;" - "&amp;TL[[#This Row],[Compte]]</f>
        <v/>
      </c>
      <c r="B5355" s="233" t="inlineStr">
        <is>
          <t>618110</t>
        </is>
      </c>
      <c r="C5355" s="227" t="inlineStr">
        <is>
          <t>Journal ouest france</t>
        </is>
      </c>
      <c r="D5355" s="233" t="inlineStr">
        <is>
          <t>23</t>
        </is>
      </c>
      <c r="E5355" s="233" t="inlineStr">
        <is>
          <t>27</t>
        </is>
      </c>
      <c r="F5355" s="227" t="inlineStr">
        <is>
          <t>GLR5</t>
        </is>
      </c>
    </row>
    <row r="5356">
      <c r="A5356" s="227">
        <f>TL[[#This Row],[Société]]&amp;" - "&amp;TL[[#This Row],[Compte]]</f>
        <v/>
      </c>
      <c r="B5356" s="233" t="inlineStr">
        <is>
          <t>621000</t>
        </is>
      </c>
      <c r="C5356" s="227" t="inlineStr">
        <is>
          <t>Personnel exter. a l'entr npu</t>
        </is>
      </c>
      <c r="D5356" s="233" t="inlineStr">
        <is>
          <t>10</t>
        </is>
      </c>
      <c r="E5356" s="233" t="inlineStr">
        <is>
          <t>13</t>
        </is>
      </c>
      <c r="F5356" s="227" t="inlineStr">
        <is>
          <t>GLR5</t>
        </is>
      </c>
    </row>
    <row r="5357">
      <c r="A5357" s="227">
        <f>TL[[#This Row],[Société]]&amp;" - "&amp;TL[[#This Row],[Compte]]</f>
        <v/>
      </c>
      <c r="B5357" s="233" t="inlineStr">
        <is>
          <t>621010</t>
        </is>
      </c>
      <c r="C5357" s="227" t="inlineStr">
        <is>
          <t>Personnel technique prété</t>
        </is>
      </c>
      <c r="D5357" s="233" t="inlineStr">
        <is>
          <t>39</t>
        </is>
      </c>
      <c r="E5357" s="233" t="inlineStr">
        <is>
          <t>13</t>
        </is>
      </c>
      <c r="F5357" s="227" t="inlineStr">
        <is>
          <t>GLR5</t>
        </is>
      </c>
    </row>
    <row r="5358">
      <c r="A5358" s="227">
        <f>TL[[#This Row],[Société]]&amp;" - "&amp;TL[[#This Row],[Compte]]</f>
        <v/>
      </c>
      <c r="B5358" s="233" t="inlineStr">
        <is>
          <t>621011</t>
        </is>
      </c>
      <c r="C5358" s="227" t="inlineStr">
        <is>
          <t>Salaires directions rhf</t>
        </is>
      </c>
      <c r="D5358" s="233" t="inlineStr">
        <is>
          <t>51</t>
        </is>
      </c>
      <c r="E5358" s="233" t="inlineStr">
        <is>
          <t>46</t>
        </is>
      </c>
      <c r="F5358" s="227" t="inlineStr">
        <is>
          <t>GLR5</t>
        </is>
      </c>
    </row>
    <row r="5359">
      <c r="A5359" s="227">
        <f>TL[[#This Row],[Société]]&amp;" - "&amp;TL[[#This Row],[Compte]]</f>
        <v/>
      </c>
      <c r="B5359" s="233" t="inlineStr">
        <is>
          <t>621012</t>
        </is>
      </c>
      <c r="C5359" s="227" t="inlineStr">
        <is>
          <t>Mise à disposition directeur</t>
        </is>
      </c>
      <c r="D5359" s="233" t="inlineStr">
        <is>
          <t>39</t>
        </is>
      </c>
      <c r="E5359" s="233" t="inlineStr">
        <is>
          <t>13</t>
        </is>
      </c>
      <c r="F5359" s="227" t="inlineStr">
        <is>
          <t>GLR5</t>
        </is>
      </c>
    </row>
    <row r="5360">
      <c r="A5360" s="227">
        <f>TL[[#This Row],[Société]]&amp;" - "&amp;TL[[#This Row],[Compte]]</f>
        <v/>
      </c>
      <c r="B5360" s="233" t="inlineStr">
        <is>
          <t>621013</t>
        </is>
      </c>
      <c r="C5360" s="227" t="inlineStr">
        <is>
          <t>Mise à dispo responsable formation</t>
        </is>
      </c>
      <c r="D5360" s="233" t="inlineStr">
        <is>
          <t>39</t>
        </is>
      </c>
      <c r="E5360" s="233" t="inlineStr">
        <is>
          <t>13</t>
        </is>
      </c>
      <c r="F5360" s="227" t="inlineStr">
        <is>
          <t>GLR5</t>
        </is>
      </c>
    </row>
    <row r="5361">
      <c r="A5361" s="227">
        <f>TL[[#This Row],[Société]]&amp;" - "&amp;TL[[#This Row],[Compte]]</f>
        <v/>
      </c>
      <c r="B5361" s="233" t="inlineStr">
        <is>
          <t>621020</t>
        </is>
      </c>
      <c r="C5361" s="227" t="inlineStr">
        <is>
          <t>Personnel exter. à l'entr</t>
        </is>
      </c>
      <c r="D5361" s="233" t="inlineStr">
        <is>
          <t>10</t>
        </is>
      </c>
      <c r="E5361" s="233" t="inlineStr">
        <is>
          <t>13</t>
        </is>
      </c>
      <c r="F5361" s="227" t="inlineStr">
        <is>
          <t>GLR5</t>
        </is>
      </c>
    </row>
    <row r="5362">
      <c r="A5362" s="227">
        <f>TL[[#This Row],[Société]]&amp;" - "&amp;TL[[#This Row],[Compte]]</f>
        <v/>
      </c>
      <c r="B5362" s="233" t="inlineStr">
        <is>
          <t>621402</t>
        </is>
      </c>
      <c r="C5362" s="227" t="inlineStr">
        <is>
          <t>Prêt personnel managers</t>
        </is>
      </c>
      <c r="D5362" s="233" t="inlineStr">
        <is>
          <t>11</t>
        </is>
      </c>
      <c r="E5362" s="233" t="inlineStr">
        <is>
          <t>13</t>
        </is>
      </c>
      <c r="F5362" s="227" t="inlineStr">
        <is>
          <t>GLR5</t>
        </is>
      </c>
    </row>
    <row r="5363">
      <c r="A5363" s="227">
        <f>TL[[#This Row],[Société]]&amp;" - "&amp;TL[[#This Row],[Compte]]</f>
        <v/>
      </c>
      <c r="B5363" s="233" t="inlineStr">
        <is>
          <t>621403</t>
        </is>
      </c>
      <c r="C5363" s="227" t="inlineStr">
        <is>
          <t>Pret personnel equipiers</t>
        </is>
      </c>
      <c r="D5363" s="233" t="inlineStr">
        <is>
          <t>10</t>
        </is>
      </c>
      <c r="E5363" s="233" t="inlineStr">
        <is>
          <t>13</t>
        </is>
      </c>
      <c r="F5363" s="227" t="inlineStr">
        <is>
          <t>GLR5</t>
        </is>
      </c>
    </row>
    <row r="5364">
      <c r="A5364" s="227">
        <f>TL[[#This Row],[Société]]&amp;" - "&amp;TL[[#This Row],[Compte]]</f>
        <v/>
      </c>
      <c r="B5364" s="233" t="inlineStr">
        <is>
          <t>621404</t>
        </is>
      </c>
      <c r="C5364" s="227" t="inlineStr">
        <is>
          <t>salaire pers superviseur</t>
        </is>
      </c>
      <c r="D5364" s="233" t="inlineStr">
        <is>
          <t>39</t>
        </is>
      </c>
      <c r="E5364" s="233" t="inlineStr">
        <is>
          <t>13</t>
        </is>
      </c>
      <c r="F5364" s="227" t="inlineStr">
        <is>
          <t>GLR5</t>
        </is>
      </c>
    </row>
    <row r="5365">
      <c r="A5365" s="227">
        <f>TL[[#This Row],[Société]]&amp;" - "&amp;TL[[#This Row],[Compte]]</f>
        <v/>
      </c>
      <c r="B5365" s="233" t="inlineStr">
        <is>
          <t>621405</t>
        </is>
      </c>
      <c r="C5365" s="227" t="inlineStr">
        <is>
          <t>salaire personnel marketing</t>
        </is>
      </c>
      <c r="D5365" s="233" t="inlineStr">
        <is>
          <t>39</t>
        </is>
      </c>
      <c r="E5365" s="233" t="inlineStr">
        <is>
          <t>13</t>
        </is>
      </c>
      <c r="F5365" s="227" t="inlineStr">
        <is>
          <t>GLR5</t>
        </is>
      </c>
    </row>
    <row r="5366">
      <c r="A5366" s="227">
        <f>TL[[#This Row],[Société]]&amp;" - "&amp;TL[[#This Row],[Compte]]</f>
        <v/>
      </c>
      <c r="B5366" s="233" t="inlineStr">
        <is>
          <t>621406</t>
        </is>
      </c>
      <c r="C5366" s="227" t="inlineStr">
        <is>
          <t>Prêt personnel managers CS</t>
        </is>
      </c>
      <c r="D5366" s="233" t="inlineStr">
        <is>
          <t>12</t>
        </is>
      </c>
      <c r="E5366" s="233" t="inlineStr">
        <is>
          <t>11</t>
        </is>
      </c>
      <c r="F5366" s="227" t="inlineStr">
        <is>
          <t>GLR5</t>
        </is>
      </c>
    </row>
    <row r="5367">
      <c r="A5367" s="227">
        <f>TL[[#This Row],[Société]]&amp;" - "&amp;TL[[#This Row],[Compte]]</f>
        <v/>
      </c>
      <c r="B5367" s="233" t="inlineStr">
        <is>
          <t>622600</t>
        </is>
      </c>
      <c r="C5367" s="227" t="inlineStr">
        <is>
          <t>Honoraires comptables</t>
        </is>
      </c>
      <c r="D5367" s="233" t="inlineStr">
        <is>
          <t>32</t>
        </is>
      </c>
      <c r="E5367" s="233" t="inlineStr">
        <is>
          <t>35</t>
        </is>
      </c>
      <c r="F5367" s="227" t="inlineStr">
        <is>
          <t>GLR5</t>
        </is>
      </c>
    </row>
    <row r="5368">
      <c r="A5368" s="227">
        <f>TL[[#This Row],[Société]]&amp;" - "&amp;TL[[#This Row],[Compte]]</f>
        <v/>
      </c>
      <c r="B5368" s="233" t="inlineStr">
        <is>
          <t>622610</t>
        </is>
      </c>
      <c r="C5368" s="227" t="inlineStr">
        <is>
          <t>Ne pas utiliser</t>
        </is>
      </c>
      <c r="D5368" s="233" t="inlineStr">
        <is>
          <t>32</t>
        </is>
      </c>
      <c r="F5368" s="227" t="inlineStr">
        <is>
          <t>GLR5</t>
        </is>
      </c>
    </row>
    <row r="5369">
      <c r="A5369" s="227">
        <f>TL[[#This Row],[Société]]&amp;" - "&amp;TL[[#This Row],[Compte]]</f>
        <v/>
      </c>
      <c r="B5369" s="233" t="inlineStr">
        <is>
          <t>622620</t>
        </is>
      </c>
      <c r="C5369" s="227" t="inlineStr">
        <is>
          <t>Honoraires divers</t>
        </is>
      </c>
      <c r="D5369" s="233" t="inlineStr">
        <is>
          <t>32</t>
        </is>
      </c>
      <c r="E5369" s="233" t="inlineStr">
        <is>
          <t>35</t>
        </is>
      </c>
      <c r="F5369" s="227" t="inlineStr">
        <is>
          <t>GLR5</t>
        </is>
      </c>
    </row>
    <row r="5370">
      <c r="A5370" s="227">
        <f>TL[[#This Row],[Société]]&amp;" - "&amp;TL[[#This Row],[Compte]]</f>
        <v/>
      </c>
      <c r="B5370" s="233" t="inlineStr">
        <is>
          <t>622650</t>
        </is>
      </c>
      <c r="C5370" s="227" t="inlineStr">
        <is>
          <t>Honoraires comm aux com</t>
        </is>
      </c>
      <c r="D5370" s="233" t="inlineStr">
        <is>
          <t>32</t>
        </is>
      </c>
      <c r="E5370" s="233" t="inlineStr">
        <is>
          <t>35</t>
        </is>
      </c>
      <c r="F5370" s="227" t="inlineStr">
        <is>
          <t>GLR5</t>
        </is>
      </c>
    </row>
    <row r="5371">
      <c r="A5371" s="227">
        <f>TL[[#This Row],[Société]]&amp;" - "&amp;TL[[#This Row],[Compte]]</f>
        <v/>
      </c>
      <c r="B5371" s="233" t="inlineStr">
        <is>
          <t>622660</t>
        </is>
      </c>
      <c r="C5371" s="227" t="inlineStr">
        <is>
          <t>Honoraires juridiques</t>
        </is>
      </c>
      <c r="D5371" s="233" t="inlineStr">
        <is>
          <t>32</t>
        </is>
      </c>
      <c r="E5371" s="233" t="inlineStr">
        <is>
          <t>35</t>
        </is>
      </c>
      <c r="F5371" s="227" t="inlineStr">
        <is>
          <t>GLR5</t>
        </is>
      </c>
    </row>
    <row r="5372">
      <c r="A5372" s="227">
        <f>TL[[#This Row],[Société]]&amp;" - "&amp;TL[[#This Row],[Compte]]</f>
        <v/>
      </c>
      <c r="B5372" s="233" t="inlineStr">
        <is>
          <t>622661</t>
        </is>
      </c>
      <c r="C5372" s="227" t="inlineStr">
        <is>
          <t>Honoraires cac</t>
        </is>
      </c>
      <c r="D5372" s="233" t="inlineStr">
        <is>
          <t>32</t>
        </is>
      </c>
      <c r="E5372" s="233" t="inlineStr">
        <is>
          <t>35</t>
        </is>
      </c>
      <c r="F5372" s="227" t="inlineStr">
        <is>
          <t>GLR5</t>
        </is>
      </c>
    </row>
    <row r="5373">
      <c r="A5373" s="227">
        <f>TL[[#This Row],[Société]]&amp;" - "&amp;TL[[#This Row],[Compte]]</f>
        <v/>
      </c>
      <c r="B5373" s="233" t="inlineStr">
        <is>
          <t>622700</t>
        </is>
      </c>
      <c r="C5373" s="227" t="inlineStr">
        <is>
          <t>Frais d'actes/contentieux</t>
        </is>
      </c>
      <c r="D5373" s="233" t="inlineStr">
        <is>
          <t>32</t>
        </is>
      </c>
      <c r="E5373" s="233" t="inlineStr">
        <is>
          <t>35</t>
        </is>
      </c>
      <c r="F5373" s="227" t="inlineStr">
        <is>
          <t>GLR5</t>
        </is>
      </c>
    </row>
    <row r="5374">
      <c r="A5374" s="227">
        <f>TL[[#This Row],[Société]]&amp;" - "&amp;TL[[#This Row],[Compte]]</f>
        <v/>
      </c>
      <c r="B5374" s="233" t="inlineStr">
        <is>
          <t>622800</t>
        </is>
      </c>
      <c r="C5374" s="227" t="inlineStr">
        <is>
          <t>Commissions UBER</t>
        </is>
      </c>
      <c r="D5374" s="233" t="inlineStr">
        <is>
          <t>32</t>
        </is>
      </c>
      <c r="E5374" s="233" t="inlineStr">
        <is>
          <t>21</t>
        </is>
      </c>
      <c r="F5374" s="227" t="inlineStr">
        <is>
          <t>GLR5</t>
        </is>
      </c>
    </row>
    <row r="5375">
      <c r="A5375" s="227">
        <f>TL[[#This Row],[Société]]&amp;" - "&amp;TL[[#This Row],[Compte]]</f>
        <v/>
      </c>
      <c r="B5375" s="233" t="inlineStr">
        <is>
          <t>622810</t>
        </is>
      </c>
      <c r="C5375" s="227" t="inlineStr">
        <is>
          <t>Commissions DELIVEROO</t>
        </is>
      </c>
      <c r="D5375" s="233" t="inlineStr">
        <is>
          <t>32</t>
        </is>
      </c>
      <c r="E5375" s="233" t="inlineStr">
        <is>
          <t>21</t>
        </is>
      </c>
      <c r="F5375" s="227" t="inlineStr">
        <is>
          <t>GLR5</t>
        </is>
      </c>
    </row>
    <row r="5376">
      <c r="A5376" s="227">
        <f>TL[[#This Row],[Société]]&amp;" - "&amp;TL[[#This Row],[Compte]]</f>
        <v/>
      </c>
      <c r="B5376" s="233" t="inlineStr">
        <is>
          <t>622900</t>
        </is>
      </c>
      <c r="C5376" s="227" t="inlineStr">
        <is>
          <t>Retrocession transport - Uber</t>
        </is>
      </c>
      <c r="D5376" s="233" t="inlineStr">
        <is>
          <t>39</t>
        </is>
      </c>
      <c r="E5376" s="233" t="inlineStr">
        <is>
          <t>40</t>
        </is>
      </c>
      <c r="F5376" s="227" t="inlineStr">
        <is>
          <t>GLR5</t>
        </is>
      </c>
    </row>
    <row r="5377">
      <c r="A5377" s="227">
        <f>TL[[#This Row],[Société]]&amp;" - "&amp;TL[[#This Row],[Compte]]</f>
        <v/>
      </c>
      <c r="B5377" s="233" t="inlineStr">
        <is>
          <t>623000</t>
        </is>
      </c>
      <c r="C5377" s="227" t="inlineStr">
        <is>
          <t>Publicite gie</t>
        </is>
      </c>
      <c r="D5377" s="233" t="inlineStr">
        <is>
          <t>14</t>
        </is>
      </c>
      <c r="E5377" s="233" t="inlineStr">
        <is>
          <t>22</t>
        </is>
      </c>
      <c r="F5377" s="227" t="inlineStr">
        <is>
          <t>GLR5</t>
        </is>
      </c>
    </row>
    <row r="5378">
      <c r="A5378" s="227">
        <f>TL[[#This Row],[Société]]&amp;" - "&amp;TL[[#This Row],[Compte]]</f>
        <v/>
      </c>
      <c r="B5378" s="233" t="inlineStr">
        <is>
          <t>623002</t>
        </is>
      </c>
      <c r="C5378" s="227" t="inlineStr">
        <is>
          <t>Decuax</t>
        </is>
      </c>
      <c r="D5378" s="233" t="inlineStr">
        <is>
          <t>15</t>
        </is>
      </c>
      <c r="E5378" s="233" t="inlineStr">
        <is>
          <t>23</t>
        </is>
      </c>
      <c r="F5378" s="227" t="inlineStr">
        <is>
          <t>GLR5</t>
        </is>
      </c>
    </row>
    <row r="5379">
      <c r="A5379" s="227">
        <f>TL[[#This Row],[Société]]&amp;" - "&amp;TL[[#This Row],[Compte]]</f>
        <v/>
      </c>
      <c r="B5379" s="233" t="inlineStr">
        <is>
          <t>623050</t>
        </is>
      </c>
      <c r="C5379" s="227" t="inlineStr">
        <is>
          <t>Publicite promotion</t>
        </is>
      </c>
      <c r="D5379" s="233" t="inlineStr">
        <is>
          <t>15</t>
        </is>
      </c>
      <c r="E5379" s="233" t="inlineStr">
        <is>
          <t>23</t>
        </is>
      </c>
      <c r="F5379" s="227" t="inlineStr">
        <is>
          <t>GLR5</t>
        </is>
      </c>
    </row>
    <row r="5380">
      <c r="A5380" s="227">
        <f>TL[[#This Row],[Société]]&amp;" - "&amp;TL[[#This Row],[Compte]]</f>
        <v/>
      </c>
      <c r="B5380" s="233" t="inlineStr">
        <is>
          <t>623110</t>
        </is>
      </c>
      <c r="C5380" s="227" t="inlineStr">
        <is>
          <t>Annonces insertion</t>
        </is>
      </c>
      <c r="D5380" s="233" t="inlineStr">
        <is>
          <t>21</t>
        </is>
      </c>
      <c r="E5380" s="233" t="inlineStr">
        <is>
          <t>23</t>
        </is>
      </c>
      <c r="F5380" s="227" t="inlineStr">
        <is>
          <t>GLR5</t>
        </is>
      </c>
    </row>
    <row r="5381">
      <c r="A5381" s="227">
        <f>TL[[#This Row],[Société]]&amp;" - "&amp;TL[[#This Row],[Compte]]</f>
        <v/>
      </c>
      <c r="B5381" s="233" t="inlineStr">
        <is>
          <t>623400</t>
        </is>
      </c>
      <c r="C5381" s="227" t="inlineStr">
        <is>
          <t>Cadeaux</t>
        </is>
      </c>
      <c r="D5381" s="233" t="inlineStr">
        <is>
          <t>23</t>
        </is>
      </c>
      <c r="E5381" s="233" t="inlineStr">
        <is>
          <t>23</t>
        </is>
      </c>
      <c r="F5381" s="227" t="inlineStr">
        <is>
          <t>GLR5</t>
        </is>
      </c>
    </row>
    <row r="5382">
      <c r="A5382" s="227">
        <f>TL[[#This Row],[Société]]&amp;" - "&amp;TL[[#This Row],[Compte]]</f>
        <v/>
      </c>
      <c r="B5382" s="233" t="inlineStr">
        <is>
          <t>623401</t>
        </is>
      </c>
      <c r="C5382" s="227" t="inlineStr">
        <is>
          <t>Promotions</t>
        </is>
      </c>
      <c r="D5382" s="233" t="inlineStr">
        <is>
          <t>15</t>
        </is>
      </c>
      <c r="E5382" s="233" t="inlineStr">
        <is>
          <t>23</t>
        </is>
      </c>
      <c r="F5382" s="227" t="inlineStr">
        <is>
          <t>GLR5</t>
        </is>
      </c>
    </row>
    <row r="5383">
      <c r="A5383" s="227">
        <f>TL[[#This Row],[Société]]&amp;" - "&amp;TL[[#This Row],[Compte]]</f>
        <v/>
      </c>
      <c r="B5383" s="233" t="inlineStr">
        <is>
          <t>623415</t>
        </is>
      </c>
      <c r="C5383" s="227" t="inlineStr">
        <is>
          <t>Premiums</t>
        </is>
      </c>
      <c r="D5383" s="233" t="inlineStr">
        <is>
          <t>15</t>
        </is>
      </c>
      <c r="E5383" s="233" t="inlineStr">
        <is>
          <t>23</t>
        </is>
      </c>
      <c r="F5383" s="227" t="inlineStr">
        <is>
          <t>GLR5</t>
        </is>
      </c>
    </row>
    <row r="5384">
      <c r="A5384" s="227">
        <f>TL[[#This Row],[Société]]&amp;" - "&amp;TL[[#This Row],[Compte]]</f>
        <v/>
      </c>
      <c r="B5384" s="233" t="inlineStr">
        <is>
          <t>623800</t>
        </is>
      </c>
      <c r="C5384" s="227" t="inlineStr">
        <is>
          <t>Pourboires</t>
        </is>
      </c>
      <c r="D5384" s="233" t="inlineStr">
        <is>
          <t>15</t>
        </is>
      </c>
      <c r="E5384" s="233" t="inlineStr">
        <is>
          <t>23</t>
        </is>
      </c>
      <c r="F5384" s="227" t="inlineStr">
        <is>
          <t>GLR5</t>
        </is>
      </c>
    </row>
    <row r="5385">
      <c r="A5385" s="227">
        <f>TL[[#This Row],[Société]]&amp;" - "&amp;TL[[#This Row],[Compte]]</f>
        <v/>
      </c>
      <c r="B5385" s="233" t="inlineStr">
        <is>
          <t>624100</t>
        </is>
      </c>
      <c r="C5385" s="227" t="inlineStr">
        <is>
          <t>Transp.biens et personnes</t>
        </is>
      </c>
      <c r="D5385" s="233" t="inlineStr">
        <is>
          <t>39</t>
        </is>
      </c>
      <c r="E5385" s="233" t="inlineStr">
        <is>
          <t>40</t>
        </is>
      </c>
      <c r="F5385" s="227" t="inlineStr">
        <is>
          <t>GLR5</t>
        </is>
      </c>
    </row>
    <row r="5386">
      <c r="A5386" s="227">
        <f>TL[[#This Row],[Société]]&amp;" - "&amp;TL[[#This Row],[Compte]]</f>
        <v/>
      </c>
      <c r="B5386" s="233" t="inlineStr">
        <is>
          <t>625200</t>
        </is>
      </c>
      <c r="C5386" s="227" t="inlineStr">
        <is>
          <t>Deplacts missions receptio.</t>
        </is>
      </c>
      <c r="D5386" s="233" t="inlineStr">
        <is>
          <t>13</t>
        </is>
      </c>
      <c r="E5386" s="233" t="inlineStr">
        <is>
          <t>26</t>
        </is>
      </c>
      <c r="F5386" s="227" t="inlineStr">
        <is>
          <t>GLR5</t>
        </is>
      </c>
    </row>
    <row r="5387">
      <c r="A5387" s="227">
        <f>TL[[#This Row],[Société]]&amp;" - "&amp;TL[[#This Row],[Compte]]</f>
        <v/>
      </c>
      <c r="B5387" s="233" t="inlineStr">
        <is>
          <t>625210</t>
        </is>
      </c>
      <c r="C5387" s="227" t="inlineStr">
        <is>
          <t>Voy deplacement perso technique</t>
        </is>
      </c>
      <c r="D5387" s="233" t="inlineStr">
        <is>
          <t>39</t>
        </is>
      </c>
      <c r="E5387" s="233" t="inlineStr">
        <is>
          <t>40</t>
        </is>
      </c>
      <c r="F5387" s="227" t="inlineStr">
        <is>
          <t>GLR5</t>
        </is>
      </c>
    </row>
    <row r="5388">
      <c r="A5388" s="227">
        <f>TL[[#This Row],[Société]]&amp;" - "&amp;TL[[#This Row],[Compte]]</f>
        <v/>
      </c>
      <c r="B5388" s="233" t="inlineStr">
        <is>
          <t>625300</t>
        </is>
      </c>
      <c r="C5388" s="227" t="inlineStr">
        <is>
          <t>Budget motivation</t>
        </is>
      </c>
      <c r="D5388" s="233" t="inlineStr">
        <is>
          <t>39</t>
        </is>
      </c>
      <c r="E5388" s="233" t="inlineStr">
        <is>
          <t>27</t>
        </is>
      </c>
      <c r="F5388" s="227" t="inlineStr">
        <is>
          <t>GLR5</t>
        </is>
      </c>
    </row>
    <row r="5389">
      <c r="A5389" s="227">
        <f>TL[[#This Row],[Société]]&amp;" - "&amp;TL[[#This Row],[Compte]]</f>
        <v/>
      </c>
      <c r="B5389" s="233" t="inlineStr">
        <is>
          <t>625400</t>
        </is>
      </c>
      <c r="C5389" s="227" t="inlineStr">
        <is>
          <t>Frais professionnels npu</t>
        </is>
      </c>
      <c r="D5389" s="233" t="inlineStr">
        <is>
          <t>13</t>
        </is>
      </c>
      <c r="E5389" s="233" t="inlineStr">
        <is>
          <t>26</t>
        </is>
      </c>
      <c r="F5389" s="227" t="inlineStr">
        <is>
          <t>GLR5</t>
        </is>
      </c>
    </row>
    <row r="5390">
      <c r="A5390" s="227">
        <f>TL[[#This Row],[Société]]&amp;" - "&amp;TL[[#This Row],[Compte]]</f>
        <v/>
      </c>
      <c r="B5390" s="233" t="inlineStr">
        <is>
          <t>626000</t>
        </is>
      </c>
      <c r="C5390" s="227" t="inlineStr">
        <is>
          <t>Frais postaux et telecom</t>
        </is>
      </c>
      <c r="D5390" s="233" t="inlineStr">
        <is>
          <t>20</t>
        </is>
      </c>
      <c r="E5390" s="233" t="inlineStr">
        <is>
          <t>24</t>
        </is>
      </c>
      <c r="F5390" s="227" t="inlineStr">
        <is>
          <t>GLR5</t>
        </is>
      </c>
    </row>
    <row r="5391">
      <c r="A5391" s="227">
        <f>TL[[#This Row],[Société]]&amp;" - "&amp;TL[[#This Row],[Compte]]</f>
        <v/>
      </c>
      <c r="B5391" s="233" t="inlineStr">
        <is>
          <t>626100</t>
        </is>
      </c>
      <c r="C5391" s="227" t="inlineStr">
        <is>
          <t>Frais postaux et telecom.</t>
        </is>
      </c>
      <c r="D5391" s="233" t="inlineStr">
        <is>
          <t>20</t>
        </is>
      </c>
      <c r="E5391" s="233" t="inlineStr">
        <is>
          <t>24</t>
        </is>
      </c>
      <c r="F5391" s="227" t="inlineStr">
        <is>
          <t>GLR5</t>
        </is>
      </c>
    </row>
    <row r="5392">
      <c r="A5392" s="227">
        <f>TL[[#This Row],[Société]]&amp;" - "&amp;TL[[#This Row],[Compte]]</f>
        <v/>
      </c>
      <c r="B5392" s="233" t="inlineStr">
        <is>
          <t>626200</t>
        </is>
      </c>
      <c r="C5392" s="227" t="inlineStr">
        <is>
          <t>Téléphone</t>
        </is>
      </c>
      <c r="D5392" s="233" t="inlineStr">
        <is>
          <t>20</t>
        </is>
      </c>
      <c r="E5392" s="233" t="inlineStr">
        <is>
          <t>24</t>
        </is>
      </c>
      <c r="F5392" s="227" t="inlineStr">
        <is>
          <t>GLR5</t>
        </is>
      </c>
    </row>
    <row r="5393">
      <c r="A5393" s="227">
        <f>TL[[#This Row],[Société]]&amp;" - "&amp;TL[[#This Row],[Compte]]</f>
        <v/>
      </c>
      <c r="B5393" s="233" t="inlineStr">
        <is>
          <t>627000</t>
        </is>
      </c>
      <c r="C5393" s="227" t="inlineStr">
        <is>
          <t>Services bancaires et ass pas utili</t>
        </is>
      </c>
      <c r="D5393" s="233" t="inlineStr">
        <is>
          <t>37</t>
        </is>
      </c>
      <c r="E5393" s="233" t="inlineStr">
        <is>
          <t>17</t>
        </is>
      </c>
      <c r="F5393" s="227" t="inlineStr">
        <is>
          <t>GLR5</t>
        </is>
      </c>
    </row>
    <row r="5394">
      <c r="A5394" s="227">
        <f>TL[[#This Row],[Société]]&amp;" - "&amp;TL[[#This Row],[Compte]]</f>
        <v/>
      </c>
      <c r="B5394" s="233" t="inlineStr">
        <is>
          <t>627002</t>
        </is>
      </c>
      <c r="C5394" s="227" t="inlineStr">
        <is>
          <t>Commissions cb ne pas utiliser</t>
        </is>
      </c>
      <c r="D5394" s="233" t="inlineStr">
        <is>
          <t>37</t>
        </is>
      </c>
      <c r="E5394" s="233" t="inlineStr">
        <is>
          <t>17</t>
        </is>
      </c>
      <c r="F5394" s="227" t="inlineStr">
        <is>
          <t>GLR5</t>
        </is>
      </c>
    </row>
    <row r="5395">
      <c r="A5395" s="227">
        <f>TL[[#This Row],[Société]]&amp;" - "&amp;TL[[#This Row],[Compte]]</f>
        <v/>
      </c>
      <c r="B5395" s="233" t="inlineStr">
        <is>
          <t>627003</t>
        </is>
      </c>
      <c r="C5395" s="227" t="inlineStr">
        <is>
          <t>Commissions tr ne pas utiliser</t>
        </is>
      </c>
      <c r="D5395" s="233" t="inlineStr">
        <is>
          <t>37</t>
        </is>
      </c>
      <c r="E5395" s="233" t="inlineStr">
        <is>
          <t>17</t>
        </is>
      </c>
      <c r="F5395" s="227" t="inlineStr">
        <is>
          <t>GLR5</t>
        </is>
      </c>
    </row>
    <row r="5396">
      <c r="A5396" s="227">
        <f>TL[[#This Row],[Société]]&amp;" - "&amp;TL[[#This Row],[Compte]]</f>
        <v/>
      </c>
      <c r="B5396" s="233" t="inlineStr">
        <is>
          <t>627005</t>
        </is>
      </c>
      <c r="C5396" s="227" t="inlineStr">
        <is>
          <t>Commissions cv ne pas utiliser</t>
        </is>
      </c>
      <c r="D5396" s="233" t="inlineStr">
        <is>
          <t>37</t>
        </is>
      </c>
      <c r="E5396" s="233" t="inlineStr">
        <is>
          <t>17</t>
        </is>
      </c>
      <c r="F5396" s="227" t="inlineStr">
        <is>
          <t>GLR5</t>
        </is>
      </c>
    </row>
    <row r="5397">
      <c r="A5397" s="227">
        <f>TL[[#This Row],[Société]]&amp;" - "&amp;TL[[#This Row],[Compte]]</f>
        <v/>
      </c>
      <c r="B5397" s="233" t="inlineStr">
        <is>
          <t>627200</t>
        </is>
      </c>
      <c r="C5397" s="227" t="inlineStr">
        <is>
          <t>Commissions sur emprunts</t>
        </is>
      </c>
      <c r="D5397" s="233" t="inlineStr">
        <is>
          <t>37</t>
        </is>
      </c>
      <c r="E5397" s="233" t="inlineStr">
        <is>
          <t>17</t>
        </is>
      </c>
      <c r="F5397" s="227" t="inlineStr">
        <is>
          <t>GLR5</t>
        </is>
      </c>
    </row>
    <row r="5398">
      <c r="A5398" s="227">
        <f>TL[[#This Row],[Société]]&amp;" - "&amp;TL[[#This Row],[Compte]]</f>
        <v/>
      </c>
      <c r="B5398" s="233" t="inlineStr">
        <is>
          <t>627801</t>
        </is>
      </c>
      <c r="C5398" s="227" t="inlineStr">
        <is>
          <t>Services bancaires et ass</t>
        </is>
      </c>
      <c r="D5398" s="233" t="inlineStr">
        <is>
          <t>37</t>
        </is>
      </c>
      <c r="E5398" s="233" t="inlineStr">
        <is>
          <t>17</t>
        </is>
      </c>
      <c r="F5398" s="227" t="inlineStr">
        <is>
          <t>GLR5</t>
        </is>
      </c>
    </row>
    <row r="5399">
      <c r="A5399" s="227">
        <f>TL[[#This Row],[Société]]&amp;" - "&amp;TL[[#This Row],[Compte]]</f>
        <v/>
      </c>
      <c r="B5399" s="233" t="inlineStr">
        <is>
          <t>627802</t>
        </is>
      </c>
      <c r="C5399" s="227" t="inlineStr">
        <is>
          <t>COMMISSIONS CB</t>
        </is>
      </c>
      <c r="D5399" s="233" t="inlineStr">
        <is>
          <t>37</t>
        </is>
      </c>
      <c r="E5399" s="233" t="inlineStr">
        <is>
          <t>17</t>
        </is>
      </c>
      <c r="F5399" s="227" t="inlineStr">
        <is>
          <t>GLR5</t>
        </is>
      </c>
    </row>
    <row r="5400">
      <c r="A5400" s="227">
        <f>TL[[#This Row],[Société]]&amp;" - "&amp;TL[[#This Row],[Compte]]</f>
        <v/>
      </c>
      <c r="B5400" s="233" t="inlineStr">
        <is>
          <t>627803</t>
        </is>
      </c>
      <c r="C5400" s="227" t="inlineStr">
        <is>
          <t>COMMISSIONS TR</t>
        </is>
      </c>
      <c r="D5400" s="233" t="inlineStr">
        <is>
          <t>37</t>
        </is>
      </c>
      <c r="E5400" s="233" t="inlineStr">
        <is>
          <t>17</t>
        </is>
      </c>
      <c r="F5400" s="227" t="inlineStr">
        <is>
          <t>GLR5</t>
        </is>
      </c>
    </row>
    <row r="5401">
      <c r="A5401" s="227">
        <f>TL[[#This Row],[Société]]&amp;" - "&amp;TL[[#This Row],[Compte]]</f>
        <v/>
      </c>
      <c r="B5401" s="233" t="inlineStr">
        <is>
          <t>627805</t>
        </is>
      </c>
      <c r="C5401" s="227" t="inlineStr">
        <is>
          <t>COMMISSIONS CV</t>
        </is>
      </c>
      <c r="D5401" s="233" t="inlineStr">
        <is>
          <t>37</t>
        </is>
      </c>
      <c r="E5401" s="233" t="inlineStr">
        <is>
          <t>17</t>
        </is>
      </c>
      <c r="F5401" s="227" t="inlineStr">
        <is>
          <t>GLR5</t>
        </is>
      </c>
    </row>
    <row r="5402">
      <c r="A5402" s="227">
        <f>TL[[#This Row],[Société]]&amp;" - "&amp;TL[[#This Row],[Compte]]</f>
        <v/>
      </c>
      <c r="B5402" s="233" t="inlineStr">
        <is>
          <t>628023</t>
        </is>
      </c>
      <c r="C5402" s="227" t="inlineStr">
        <is>
          <t>Frais divers</t>
        </is>
      </c>
      <c r="D5402" s="233" t="inlineStr">
        <is>
          <t>23</t>
        </is>
      </c>
      <c r="E5402" s="233" t="inlineStr">
        <is>
          <t>27</t>
        </is>
      </c>
      <c r="F5402" s="227" t="inlineStr">
        <is>
          <t>GLR5</t>
        </is>
      </c>
    </row>
    <row r="5403">
      <c r="A5403" s="227">
        <f>TL[[#This Row],[Société]]&amp;" - "&amp;TL[[#This Row],[Compte]]</f>
        <v/>
      </c>
      <c r="B5403" s="233" t="inlineStr">
        <is>
          <t>628024</t>
        </is>
      </c>
      <c r="C5403" s="227" t="inlineStr">
        <is>
          <t>Places cinema</t>
        </is>
      </c>
      <c r="D5403" s="233" t="inlineStr">
        <is>
          <t>62</t>
        </is>
      </c>
      <c r="E5403" s="233" t="inlineStr">
        <is>
          <t>51</t>
        </is>
      </c>
      <c r="F5403" s="227" t="inlineStr">
        <is>
          <t>GLR5</t>
        </is>
      </c>
    </row>
    <row r="5404">
      <c r="A5404" s="227">
        <f>TL[[#This Row],[Société]]&amp;" - "&amp;TL[[#This Row],[Compte]]</f>
        <v/>
      </c>
      <c r="B5404" s="233" t="inlineStr">
        <is>
          <t>628200</t>
        </is>
      </c>
      <c r="C5404" s="227" t="inlineStr">
        <is>
          <t>Prest services restogest</t>
        </is>
      </c>
      <c r="D5404" s="233" t="inlineStr">
        <is>
          <t>39</t>
        </is>
      </c>
      <c r="E5404" s="233" t="inlineStr">
        <is>
          <t>19</t>
        </is>
      </c>
      <c r="F5404" s="227" t="inlineStr">
        <is>
          <t>GLR5</t>
        </is>
      </c>
    </row>
    <row r="5405">
      <c r="A5405" s="227">
        <f>TL[[#This Row],[Société]]&amp;" - "&amp;TL[[#This Row],[Compte]]</f>
        <v/>
      </c>
      <c r="B5405" s="233" t="inlineStr">
        <is>
          <t>628210</t>
        </is>
      </c>
      <c r="C5405" s="227" t="inlineStr">
        <is>
          <t>Prestations services rhf</t>
        </is>
      </c>
      <c r="D5405" s="233" t="inlineStr">
        <is>
          <t>51</t>
        </is>
      </c>
      <c r="E5405" s="233" t="inlineStr">
        <is>
          <t>46</t>
        </is>
      </c>
      <c r="F5405" s="227" t="inlineStr">
        <is>
          <t>GLR5</t>
        </is>
      </c>
    </row>
    <row r="5406">
      <c r="A5406" s="227">
        <f>TL[[#This Row],[Société]]&amp;" - "&amp;TL[[#This Row],[Compte]]</f>
        <v/>
      </c>
      <c r="B5406" s="233" t="inlineStr">
        <is>
          <t>628220</t>
        </is>
      </c>
      <c r="C5406" s="227" t="inlineStr">
        <is>
          <t>Redevance gth</t>
        </is>
      </c>
      <c r="D5406" s="233" t="inlineStr">
        <is>
          <t>51</t>
        </is>
      </c>
      <c r="E5406" s="233" t="inlineStr">
        <is>
          <t>46</t>
        </is>
      </c>
      <c r="F5406" s="227" t="inlineStr">
        <is>
          <t>GLR5</t>
        </is>
      </c>
    </row>
    <row r="5407">
      <c r="A5407" s="227">
        <f>TL[[#This Row],[Société]]&amp;" - "&amp;TL[[#This Row],[Compte]]</f>
        <v/>
      </c>
      <c r="B5407" s="233" t="inlineStr">
        <is>
          <t>628300</t>
        </is>
      </c>
      <c r="C5407" s="227" t="inlineStr">
        <is>
          <t>Divers</t>
        </is>
      </c>
      <c r="F5407" s="227" t="inlineStr">
        <is>
          <t>GLR5</t>
        </is>
      </c>
    </row>
    <row r="5408">
      <c r="A5408" s="227">
        <f>TL[[#This Row],[Société]]&amp;" - "&amp;TL[[#This Row],[Compte]]</f>
        <v/>
      </c>
      <c r="B5408" s="233" t="inlineStr">
        <is>
          <t>628400</t>
        </is>
      </c>
      <c r="C5408" s="227" t="inlineStr">
        <is>
          <t>Formations</t>
        </is>
      </c>
      <c r="D5408" s="233" t="inlineStr">
        <is>
          <t>34</t>
        </is>
      </c>
      <c r="E5408" s="233" t="inlineStr">
        <is>
          <t>19</t>
        </is>
      </c>
      <c r="F5408" s="227" t="inlineStr">
        <is>
          <t>GLR5</t>
        </is>
      </c>
    </row>
    <row r="5409">
      <c r="A5409" s="227">
        <f>TL[[#This Row],[Société]]&amp;" - "&amp;TL[[#This Row],[Compte]]</f>
        <v/>
      </c>
      <c r="B5409" s="233" t="inlineStr">
        <is>
          <t>628500</t>
        </is>
      </c>
      <c r="C5409" s="227" t="inlineStr">
        <is>
          <t>Assistance financière</t>
        </is>
      </c>
      <c r="D5409" s="233" t="inlineStr">
        <is>
          <t>51</t>
        </is>
      </c>
      <c r="E5409" s="233" t="inlineStr">
        <is>
          <t>46</t>
        </is>
      </c>
      <c r="F5409" s="227" t="inlineStr">
        <is>
          <t>GLR5</t>
        </is>
      </c>
    </row>
    <row r="5410">
      <c r="A5410" s="227">
        <f>TL[[#This Row],[Société]]&amp;" - "&amp;TL[[#This Row],[Compte]]</f>
        <v/>
      </c>
      <c r="B5410" s="233" t="inlineStr">
        <is>
          <t>628800</t>
        </is>
      </c>
      <c r="C5410" s="227" t="inlineStr">
        <is>
          <t>Formation diverses</t>
        </is>
      </c>
      <c r="D5410" s="233" t="inlineStr">
        <is>
          <t>13</t>
        </is>
      </c>
      <c r="E5410" s="233" t="inlineStr">
        <is>
          <t>26</t>
        </is>
      </c>
      <c r="F5410" s="227" t="inlineStr">
        <is>
          <t>GLR5</t>
        </is>
      </c>
    </row>
    <row r="5411">
      <c r="A5411" s="227">
        <f>TL[[#This Row],[Société]]&amp;" - "&amp;TL[[#This Row],[Compte]]</f>
        <v/>
      </c>
      <c r="B5411" s="233" t="inlineStr">
        <is>
          <t>631310</t>
        </is>
      </c>
      <c r="C5411" s="227" t="inlineStr">
        <is>
          <t>Agefiph</t>
        </is>
      </c>
      <c r="D5411" s="233" t="inlineStr">
        <is>
          <t>34</t>
        </is>
      </c>
      <c r="E5411" s="233" t="inlineStr">
        <is>
          <t>37</t>
        </is>
      </c>
      <c r="F5411" s="227" t="inlineStr">
        <is>
          <t>GLR5</t>
        </is>
      </c>
    </row>
    <row r="5412">
      <c r="A5412" s="227">
        <f>TL[[#This Row],[Société]]&amp;" - "&amp;TL[[#This Row],[Compte]]</f>
        <v/>
      </c>
      <c r="B5412" s="233" t="inlineStr">
        <is>
          <t>633300</t>
        </is>
      </c>
      <c r="C5412" s="227" t="inlineStr">
        <is>
          <t>Formation continue (organisme)</t>
        </is>
      </c>
      <c r="D5412" s="233" t="inlineStr">
        <is>
          <t>34</t>
        </is>
      </c>
      <c r="E5412" s="233" t="inlineStr">
        <is>
          <t>37</t>
        </is>
      </c>
      <c r="F5412" s="227" t="inlineStr">
        <is>
          <t>GLR5</t>
        </is>
      </c>
    </row>
    <row r="5413">
      <c r="A5413" s="227">
        <f>TL[[#This Row],[Société]]&amp;" - "&amp;TL[[#This Row],[Compte]]</f>
        <v/>
      </c>
      <c r="B5413" s="233" t="inlineStr">
        <is>
          <t>633400</t>
        </is>
      </c>
      <c r="C5413" s="227" t="inlineStr">
        <is>
          <t>Effort construction</t>
        </is>
      </c>
      <c r="D5413" s="233" t="inlineStr">
        <is>
          <t>34</t>
        </is>
      </c>
      <c r="E5413" s="233" t="inlineStr">
        <is>
          <t>37</t>
        </is>
      </c>
      <c r="F5413" s="227" t="inlineStr">
        <is>
          <t>GLR5</t>
        </is>
      </c>
    </row>
    <row r="5414">
      <c r="A5414" s="227">
        <f>TL[[#This Row],[Société]]&amp;" - "&amp;TL[[#This Row],[Compte]]</f>
        <v/>
      </c>
      <c r="B5414" s="233" t="inlineStr">
        <is>
          <t>633500</t>
        </is>
      </c>
      <c r="C5414" s="227" t="inlineStr">
        <is>
          <t>Taxe d'apprentissage (verst libér.)</t>
        </is>
      </c>
      <c r="D5414" s="233" t="inlineStr">
        <is>
          <t>34</t>
        </is>
      </c>
      <c r="E5414" s="233" t="inlineStr">
        <is>
          <t>37</t>
        </is>
      </c>
      <c r="F5414" s="227" t="inlineStr">
        <is>
          <t>GLR5</t>
        </is>
      </c>
    </row>
    <row r="5415">
      <c r="A5415" s="227">
        <f>TL[[#This Row],[Société]]&amp;" - "&amp;TL[[#This Row],[Compte]]</f>
        <v/>
      </c>
      <c r="B5415" s="233" t="inlineStr">
        <is>
          <t>635110</t>
        </is>
      </c>
      <c r="C5415" s="227" t="inlineStr">
        <is>
          <t>Taxe professionnelle</t>
        </is>
      </c>
      <c r="D5415" s="233" t="inlineStr">
        <is>
          <t>34</t>
        </is>
      </c>
      <c r="E5415" s="233" t="inlineStr">
        <is>
          <t>37</t>
        </is>
      </c>
      <c r="F5415" s="227" t="inlineStr">
        <is>
          <t>GLR5</t>
        </is>
      </c>
    </row>
    <row r="5416">
      <c r="A5416" s="227">
        <f>TL[[#This Row],[Société]]&amp;" - "&amp;TL[[#This Row],[Compte]]</f>
        <v/>
      </c>
      <c r="B5416" s="233" t="inlineStr">
        <is>
          <t>635111</t>
        </is>
      </c>
      <c r="C5416" s="227" t="inlineStr">
        <is>
          <t>Cfe</t>
        </is>
      </c>
      <c r="D5416" s="233" t="inlineStr">
        <is>
          <t>34</t>
        </is>
      </c>
      <c r="E5416" s="233" t="inlineStr">
        <is>
          <t>37</t>
        </is>
      </c>
      <c r="F5416" s="227" t="inlineStr">
        <is>
          <t>GLR5</t>
        </is>
      </c>
    </row>
    <row r="5417">
      <c r="A5417" s="227">
        <f>TL[[#This Row],[Société]]&amp;" - "&amp;TL[[#This Row],[Compte]]</f>
        <v/>
      </c>
      <c r="B5417" s="233" t="inlineStr">
        <is>
          <t>635112</t>
        </is>
      </c>
      <c r="C5417" s="227" t="inlineStr">
        <is>
          <t>Cvae</t>
        </is>
      </c>
      <c r="D5417" s="233" t="inlineStr">
        <is>
          <t>34</t>
        </is>
      </c>
      <c r="E5417" s="233" t="inlineStr">
        <is>
          <t>37</t>
        </is>
      </c>
      <c r="F5417" s="227" t="inlineStr">
        <is>
          <t>GLR5</t>
        </is>
      </c>
    </row>
    <row r="5418">
      <c r="A5418" s="227">
        <f>TL[[#This Row],[Société]]&amp;" - "&amp;TL[[#This Row],[Compte]]</f>
        <v/>
      </c>
      <c r="B5418" s="233" t="inlineStr">
        <is>
          <t>635130</t>
        </is>
      </c>
      <c r="C5418" s="227" t="inlineStr">
        <is>
          <t>Autres impots</t>
        </is>
      </c>
      <c r="D5418" s="233" t="inlineStr">
        <is>
          <t>34</t>
        </is>
      </c>
      <c r="E5418" s="233" t="inlineStr">
        <is>
          <t>37</t>
        </is>
      </c>
      <c r="F5418" s="227" t="inlineStr">
        <is>
          <t>GLR5</t>
        </is>
      </c>
    </row>
    <row r="5419">
      <c r="A5419" s="227">
        <f>TL[[#This Row],[Société]]&amp;" - "&amp;TL[[#This Row],[Compte]]</f>
        <v/>
      </c>
      <c r="B5419" s="233" t="inlineStr">
        <is>
          <t>635140</t>
        </is>
      </c>
      <c r="C5419" s="227" t="inlineStr">
        <is>
          <t>Taxes sur les véhicules sociétés</t>
        </is>
      </c>
      <c r="D5419" s="233" t="inlineStr">
        <is>
          <t>34</t>
        </is>
      </c>
      <c r="E5419" s="233" t="inlineStr">
        <is>
          <t>37</t>
        </is>
      </c>
      <c r="F5419" s="227" t="inlineStr">
        <is>
          <t>GLR5</t>
        </is>
      </c>
    </row>
    <row r="5420">
      <c r="A5420" s="227">
        <f>TL[[#This Row],[Société]]&amp;" - "&amp;TL[[#This Row],[Compte]]</f>
        <v/>
      </c>
      <c r="B5420" s="233" t="inlineStr">
        <is>
          <t>635500</t>
        </is>
      </c>
      <c r="C5420" s="227" t="inlineStr">
        <is>
          <t>Autr.imp.taxes (impots)</t>
        </is>
      </c>
      <c r="D5420" s="233" t="inlineStr">
        <is>
          <t>34</t>
        </is>
      </c>
      <c r="E5420" s="233" t="inlineStr">
        <is>
          <t>37</t>
        </is>
      </c>
      <c r="F5420" s="227" t="inlineStr">
        <is>
          <t>GLR5</t>
        </is>
      </c>
    </row>
    <row r="5421">
      <c r="A5421" s="227">
        <f>TL[[#This Row],[Société]]&amp;" - "&amp;TL[[#This Row],[Compte]]</f>
        <v/>
      </c>
      <c r="B5421" s="233" t="inlineStr">
        <is>
          <t>635520</t>
        </is>
      </c>
      <c r="C5421" s="227" t="inlineStr">
        <is>
          <t>Redevance audiovisuelle</t>
        </is>
      </c>
      <c r="D5421" s="233" t="inlineStr">
        <is>
          <t>34</t>
        </is>
      </c>
      <c r="E5421" s="233" t="inlineStr">
        <is>
          <t>37</t>
        </is>
      </c>
      <c r="F5421" s="227" t="inlineStr">
        <is>
          <t>GLR5</t>
        </is>
      </c>
    </row>
    <row r="5422">
      <c r="A5422" s="227">
        <f>TL[[#This Row],[Société]]&amp;" - "&amp;TL[[#This Row],[Compte]]</f>
        <v/>
      </c>
      <c r="B5422" s="233" t="inlineStr">
        <is>
          <t>635800</t>
        </is>
      </c>
      <c r="C5422" s="227" t="inlineStr">
        <is>
          <t>Autres droits</t>
        </is>
      </c>
      <c r="D5422" s="233" t="inlineStr">
        <is>
          <t>34</t>
        </is>
      </c>
      <c r="E5422" s="233" t="inlineStr">
        <is>
          <t>37</t>
        </is>
      </c>
      <c r="F5422" s="227" t="inlineStr">
        <is>
          <t>GLR5</t>
        </is>
      </c>
    </row>
    <row r="5423">
      <c r="A5423" s="227">
        <f>TL[[#This Row],[Société]]&amp;" - "&amp;TL[[#This Row],[Compte]]</f>
        <v/>
      </c>
      <c r="B5423" s="233" t="inlineStr">
        <is>
          <t>635810</t>
        </is>
      </c>
      <c r="C5423" s="227" t="inlineStr">
        <is>
          <t>Contribution restauration</t>
        </is>
      </c>
      <c r="D5423" s="233" t="inlineStr">
        <is>
          <t>34</t>
        </is>
      </c>
      <c r="E5423" s="233" t="inlineStr">
        <is>
          <t>37</t>
        </is>
      </c>
      <c r="F5423" s="227" t="inlineStr">
        <is>
          <t>GLR5</t>
        </is>
      </c>
    </row>
    <row r="5424">
      <c r="A5424" s="227">
        <f>TL[[#This Row],[Société]]&amp;" - "&amp;TL[[#This Row],[Compte]]</f>
        <v/>
      </c>
      <c r="B5424" s="233" t="inlineStr">
        <is>
          <t>637100</t>
        </is>
      </c>
      <c r="C5424" s="227" t="inlineStr">
        <is>
          <t>Cont de solidarite</t>
        </is>
      </c>
      <c r="D5424" s="233" t="inlineStr">
        <is>
          <t>34</t>
        </is>
      </c>
      <c r="E5424" s="233" t="inlineStr">
        <is>
          <t>37</t>
        </is>
      </c>
      <c r="F5424" s="227" t="inlineStr">
        <is>
          <t>GLR5</t>
        </is>
      </c>
    </row>
    <row r="5425">
      <c r="A5425" s="227">
        <f>TL[[#This Row],[Société]]&amp;" - "&amp;TL[[#This Row],[Compte]]</f>
        <v/>
      </c>
      <c r="B5425" s="233" t="inlineStr">
        <is>
          <t>637300</t>
        </is>
      </c>
      <c r="C5425" s="227" t="inlineStr">
        <is>
          <t>Agefiph</t>
        </is>
      </c>
      <c r="D5425" s="233" t="inlineStr">
        <is>
          <t>34</t>
        </is>
      </c>
      <c r="E5425" s="233" t="inlineStr">
        <is>
          <t>37</t>
        </is>
      </c>
      <c r="F5425" s="227" t="inlineStr">
        <is>
          <t>GLR5</t>
        </is>
      </c>
    </row>
    <row r="5426">
      <c r="A5426" s="227">
        <f>TL[[#This Row],[Société]]&amp;" - "&amp;TL[[#This Row],[Compte]]</f>
        <v/>
      </c>
      <c r="B5426" s="233" t="inlineStr">
        <is>
          <t>637400</t>
        </is>
      </c>
      <c r="C5426" s="227" t="inlineStr">
        <is>
          <t>Taxe boissons sucrées</t>
        </is>
      </c>
      <c r="D5426" s="233" t="inlineStr">
        <is>
          <t>09</t>
        </is>
      </c>
      <c r="E5426" s="233" t="inlineStr">
        <is>
          <t>03</t>
        </is>
      </c>
      <c r="F5426" s="227" t="inlineStr">
        <is>
          <t>GLR5</t>
        </is>
      </c>
    </row>
    <row r="5427">
      <c r="A5427" s="227">
        <f>TL[[#This Row],[Société]]&amp;" - "&amp;TL[[#This Row],[Compte]]</f>
        <v/>
      </c>
      <c r="B5427" s="233" t="inlineStr">
        <is>
          <t>637900</t>
        </is>
      </c>
      <c r="C5427" s="227" t="inlineStr">
        <is>
          <t>Autr.imp. taxes(autr.org)</t>
        </is>
      </c>
      <c r="D5427" s="233" t="inlineStr">
        <is>
          <t>34</t>
        </is>
      </c>
      <c r="E5427" s="233" t="inlineStr">
        <is>
          <t>37</t>
        </is>
      </c>
      <c r="F5427" s="227" t="inlineStr">
        <is>
          <t>GLR5</t>
        </is>
      </c>
    </row>
    <row r="5428">
      <c r="A5428" s="227">
        <f>TL[[#This Row],[Société]]&amp;" - "&amp;TL[[#This Row],[Compte]]</f>
        <v/>
      </c>
      <c r="B5428" s="233" t="inlineStr">
        <is>
          <t>641020</t>
        </is>
      </c>
      <c r="C5428" s="227" t="inlineStr">
        <is>
          <t>Remunerations assistants</t>
        </is>
      </c>
      <c r="D5428" s="233" t="inlineStr">
        <is>
          <t>11</t>
        </is>
      </c>
      <c r="E5428" s="233" t="inlineStr">
        <is>
          <t>10</t>
        </is>
      </c>
      <c r="F5428" s="227" t="inlineStr">
        <is>
          <t>GLR5</t>
        </is>
      </c>
    </row>
    <row r="5429">
      <c r="A5429" s="227">
        <f>TL[[#This Row],[Société]]&amp;" - "&amp;TL[[#This Row],[Compte]]</f>
        <v/>
      </c>
      <c r="B5429" s="233" t="inlineStr">
        <is>
          <t>641030</t>
        </is>
      </c>
      <c r="C5429" s="227" t="inlineStr">
        <is>
          <t>Remunerations equipiers</t>
        </is>
      </c>
      <c r="D5429" s="233" t="inlineStr">
        <is>
          <t>10</t>
        </is>
      </c>
      <c r="E5429" s="233" t="inlineStr">
        <is>
          <t>08</t>
        </is>
      </c>
      <c r="F5429" s="227" t="inlineStr">
        <is>
          <t>GLR5</t>
        </is>
      </c>
    </row>
    <row r="5430">
      <c r="A5430" s="227">
        <f>TL[[#This Row],[Société]]&amp;" - "&amp;TL[[#This Row],[Compte]]</f>
        <v/>
      </c>
      <c r="B5430" s="233" t="inlineStr">
        <is>
          <t>641040</t>
        </is>
      </c>
      <c r="C5430" s="227" t="inlineStr">
        <is>
          <t>Rémunération de gérance</t>
        </is>
      </c>
      <c r="D5430" s="233" t="inlineStr">
        <is>
          <t>51</t>
        </is>
      </c>
      <c r="E5430" s="233" t="inlineStr">
        <is>
          <t>46</t>
        </is>
      </c>
      <c r="F5430" s="227" t="inlineStr">
        <is>
          <t>GLR5</t>
        </is>
      </c>
    </row>
    <row r="5431">
      <c r="A5431" s="227">
        <f>TL[[#This Row],[Société]]&amp;" - "&amp;TL[[#This Row],[Compte]]</f>
        <v/>
      </c>
      <c r="B5431" s="233" t="inlineStr">
        <is>
          <t>641063</t>
        </is>
      </c>
      <c r="C5431" s="227" t="inlineStr">
        <is>
          <t>Avantage nature equipiers</t>
        </is>
      </c>
      <c r="D5431" s="233" t="inlineStr">
        <is>
          <t>10</t>
        </is>
      </c>
      <c r="E5431" s="233" t="inlineStr">
        <is>
          <t>08</t>
        </is>
      </c>
      <c r="F5431" s="227" t="inlineStr">
        <is>
          <t>GLR5</t>
        </is>
      </c>
    </row>
    <row r="5432">
      <c r="A5432" s="227">
        <f>TL[[#This Row],[Société]]&amp;" - "&amp;TL[[#This Row],[Compte]]</f>
        <v/>
      </c>
      <c r="B5432" s="233" t="inlineStr">
        <is>
          <t>641064</t>
        </is>
      </c>
      <c r="C5432" s="227" t="inlineStr">
        <is>
          <t>Avantage nature assistants repas</t>
        </is>
      </c>
      <c r="D5432" s="233" t="inlineStr">
        <is>
          <t>11</t>
        </is>
      </c>
      <c r="E5432" s="233" t="inlineStr">
        <is>
          <t>10</t>
        </is>
      </c>
      <c r="F5432" s="227" t="inlineStr">
        <is>
          <t>GLR5</t>
        </is>
      </c>
    </row>
    <row r="5433">
      <c r="A5433" s="227">
        <f>TL[[#This Row],[Société]]&amp;" - "&amp;TL[[#This Row],[Compte]]</f>
        <v/>
      </c>
      <c r="B5433" s="233" t="inlineStr">
        <is>
          <t>641101</t>
        </is>
      </c>
      <c r="C5433" s="227" t="inlineStr">
        <is>
          <t>Conges payes</t>
        </is>
      </c>
      <c r="F5433" s="227" t="inlineStr">
        <is>
          <t>GLR5</t>
        </is>
      </c>
    </row>
    <row r="5434">
      <c r="A5434" s="227">
        <f>TL[[#This Row],[Société]]&amp;" - "&amp;TL[[#This Row],[Compte]]</f>
        <v/>
      </c>
      <c r="B5434" s="233" t="inlineStr">
        <is>
          <t>641104</t>
        </is>
      </c>
      <c r="C5434" s="227" t="inlineStr">
        <is>
          <t>Conges payes</t>
        </is>
      </c>
      <c r="F5434" s="227" t="inlineStr">
        <is>
          <t>GLR5</t>
        </is>
      </c>
    </row>
    <row r="5435">
      <c r="A5435" s="227">
        <f>TL[[#This Row],[Société]]&amp;" - "&amp;TL[[#This Row],[Compte]]</f>
        <v/>
      </c>
      <c r="B5435" s="233" t="inlineStr">
        <is>
          <t>641120</t>
        </is>
      </c>
      <c r="C5435" s="227" t="inlineStr">
        <is>
          <t>Ind licenciement brut + charges p&amp;l</t>
        </is>
      </c>
      <c r="D5435" s="233" t="inlineStr">
        <is>
          <t>39</t>
        </is>
      </c>
      <c r="E5435" s="233" t="inlineStr">
        <is>
          <t>11</t>
        </is>
      </c>
      <c r="F5435" s="227" t="inlineStr">
        <is>
          <t>GLR5</t>
        </is>
      </c>
    </row>
    <row r="5436">
      <c r="A5436" s="227">
        <f>TL[[#This Row],[Société]]&amp;" - "&amp;TL[[#This Row],[Compte]]</f>
        <v/>
      </c>
      <c r="B5436" s="233" t="inlineStr">
        <is>
          <t>641204</t>
        </is>
      </c>
      <c r="C5436" s="227" t="inlineStr">
        <is>
          <t>Avantage en nature voiture</t>
        </is>
      </c>
      <c r="D5436" s="233" t="inlineStr">
        <is>
          <t>11</t>
        </is>
      </c>
      <c r="E5436" s="233" t="inlineStr">
        <is>
          <t>10</t>
        </is>
      </c>
      <c r="F5436" s="227" t="inlineStr">
        <is>
          <t>GLR5</t>
        </is>
      </c>
    </row>
    <row r="5437">
      <c r="A5437" s="227">
        <f>TL[[#This Row],[Société]]&amp;" - "&amp;TL[[#This Row],[Compte]]</f>
        <v/>
      </c>
      <c r="B5437" s="233" t="inlineStr">
        <is>
          <t>641220</t>
        </is>
      </c>
      <c r="C5437" s="227" t="inlineStr">
        <is>
          <t>Prov° c payes assistants</t>
        </is>
      </c>
      <c r="D5437" s="233" t="inlineStr">
        <is>
          <t>11</t>
        </is>
      </c>
      <c r="E5437" s="233" t="inlineStr">
        <is>
          <t>10</t>
        </is>
      </c>
      <c r="F5437" s="227" t="inlineStr">
        <is>
          <t>GLR5</t>
        </is>
      </c>
    </row>
    <row r="5438">
      <c r="A5438" s="227">
        <f>TL[[#This Row],[Société]]&amp;" - "&amp;TL[[#This Row],[Compte]]</f>
        <v/>
      </c>
      <c r="B5438" s="233" t="inlineStr">
        <is>
          <t>641230</t>
        </is>
      </c>
      <c r="C5438" s="227" t="inlineStr">
        <is>
          <t>Prov c payes equipiers</t>
        </is>
      </c>
      <c r="D5438" s="233" t="inlineStr">
        <is>
          <t>10</t>
        </is>
      </c>
      <c r="E5438" s="233" t="inlineStr">
        <is>
          <t>08</t>
        </is>
      </c>
      <c r="F5438" s="227" t="inlineStr">
        <is>
          <t>GLR5</t>
        </is>
      </c>
    </row>
    <row r="5439">
      <c r="A5439" s="227">
        <f>TL[[#This Row],[Société]]&amp;" - "&amp;TL[[#This Row],[Compte]]</f>
        <v/>
      </c>
      <c r="B5439" s="233" t="inlineStr">
        <is>
          <t>641320</t>
        </is>
      </c>
      <c r="C5439" s="227" t="inlineStr">
        <is>
          <t>Prov primes</t>
        </is>
      </c>
      <c r="D5439" s="233" t="inlineStr">
        <is>
          <t>11</t>
        </is>
      </c>
      <c r="E5439" s="233" t="inlineStr">
        <is>
          <t>10</t>
        </is>
      </c>
      <c r="F5439" s="227" t="inlineStr">
        <is>
          <t>GLR5</t>
        </is>
      </c>
    </row>
    <row r="5440">
      <c r="A5440" s="227">
        <f>TL[[#This Row],[Société]]&amp;" - "&amp;TL[[#This Row],[Compte]]</f>
        <v/>
      </c>
      <c r="B5440" s="233" t="inlineStr">
        <is>
          <t>641340</t>
        </is>
      </c>
      <c r="C5440" s="227" t="inlineStr">
        <is>
          <t>Indemnités licenciements</t>
        </is>
      </c>
      <c r="D5440" s="233" t="inlineStr">
        <is>
          <t>11</t>
        </is>
      </c>
      <c r="E5440" s="233" t="inlineStr">
        <is>
          <t>10</t>
        </is>
      </c>
      <c r="F5440" s="227" t="inlineStr">
        <is>
          <t>GLR5</t>
        </is>
      </c>
    </row>
    <row r="5441">
      <c r="A5441" s="227">
        <f>TL[[#This Row],[Société]]&amp;" - "&amp;TL[[#This Row],[Compte]]</f>
        <v/>
      </c>
      <c r="B5441" s="233" t="inlineStr">
        <is>
          <t>641341</t>
        </is>
      </c>
      <c r="C5441" s="227" t="inlineStr">
        <is>
          <t>Indem licenciement assistants</t>
        </is>
      </c>
      <c r="D5441" s="233" t="inlineStr">
        <is>
          <t>11</t>
        </is>
      </c>
      <c r="E5441" s="233" t="inlineStr">
        <is>
          <t>10</t>
        </is>
      </c>
      <c r="F5441" s="227" t="inlineStr">
        <is>
          <t>GLR5</t>
        </is>
      </c>
    </row>
    <row r="5442">
      <c r="A5442" s="227">
        <f>TL[[#This Row],[Société]]&amp;" - "&amp;TL[[#This Row],[Compte]]</f>
        <v/>
      </c>
      <c r="B5442" s="233" t="inlineStr">
        <is>
          <t>641410</t>
        </is>
      </c>
      <c r="C5442" s="227" t="inlineStr">
        <is>
          <t>Indemnites blanchissage équipiers</t>
        </is>
      </c>
      <c r="D5442" s="233" t="inlineStr">
        <is>
          <t>10</t>
        </is>
      </c>
      <c r="E5442" s="233" t="inlineStr">
        <is>
          <t>08</t>
        </is>
      </c>
      <c r="F5442" s="227" t="inlineStr">
        <is>
          <t>GLR5</t>
        </is>
      </c>
    </row>
    <row r="5443">
      <c r="A5443" s="227">
        <f>TL[[#This Row],[Société]]&amp;" - "&amp;TL[[#This Row],[Compte]]</f>
        <v/>
      </c>
      <c r="B5443" s="233" t="inlineStr">
        <is>
          <t>641411</t>
        </is>
      </c>
      <c r="C5443" s="227" t="inlineStr">
        <is>
          <t>Indemnites blanchissage assistants</t>
        </is>
      </c>
      <c r="D5443" s="233" t="inlineStr">
        <is>
          <t>11</t>
        </is>
      </c>
      <c r="E5443" s="233" t="inlineStr">
        <is>
          <t>10</t>
        </is>
      </c>
      <c r="F5443" s="227" t="inlineStr">
        <is>
          <t>GLR5</t>
        </is>
      </c>
    </row>
    <row r="5444">
      <c r="A5444" s="227">
        <f>TL[[#This Row],[Société]]&amp;" - "&amp;TL[[#This Row],[Compte]]</f>
        <v/>
      </c>
      <c r="B5444" s="233" t="inlineStr">
        <is>
          <t>641412</t>
        </is>
      </c>
      <c r="C5444" s="227" t="inlineStr">
        <is>
          <t>Indemnités transport équipiers</t>
        </is>
      </c>
      <c r="D5444" s="233" t="inlineStr">
        <is>
          <t>10</t>
        </is>
      </c>
      <c r="E5444" s="233" t="inlineStr">
        <is>
          <t>08</t>
        </is>
      </c>
      <c r="F5444" s="227" t="inlineStr">
        <is>
          <t>GLR5</t>
        </is>
      </c>
    </row>
    <row r="5445">
      <c r="A5445" s="227">
        <f>TL[[#This Row],[Société]]&amp;" - "&amp;TL[[#This Row],[Compte]]</f>
        <v/>
      </c>
      <c r="B5445" s="233" t="inlineStr">
        <is>
          <t>641413</t>
        </is>
      </c>
      <c r="C5445" s="227" t="inlineStr">
        <is>
          <t>Avant. en nature voiture npu</t>
        </is>
      </c>
      <c r="D5445" s="233" t="inlineStr">
        <is>
          <t>11</t>
        </is>
      </c>
      <c r="E5445" s="233" t="inlineStr">
        <is>
          <t>10</t>
        </is>
      </c>
      <c r="F5445" s="227" t="inlineStr">
        <is>
          <t>GLR5</t>
        </is>
      </c>
    </row>
    <row r="5446">
      <c r="A5446" s="227">
        <f>TL[[#This Row],[Société]]&amp;" - "&amp;TL[[#This Row],[Compte]]</f>
        <v/>
      </c>
      <c r="B5446" s="233" t="inlineStr">
        <is>
          <t>641414</t>
        </is>
      </c>
      <c r="C5446" s="227" t="inlineStr">
        <is>
          <t>indem inflation equipiers</t>
        </is>
      </c>
      <c r="D5446" s="233" t="inlineStr">
        <is>
          <t>10</t>
        </is>
      </c>
      <c r="E5446" s="233" t="inlineStr">
        <is>
          <t>08</t>
        </is>
      </c>
      <c r="F5446" s="227" t="inlineStr">
        <is>
          <t>GLR5</t>
        </is>
      </c>
    </row>
    <row r="5447">
      <c r="A5447" s="227">
        <f>TL[[#This Row],[Société]]&amp;" - "&amp;TL[[#This Row],[Compte]]</f>
        <v/>
      </c>
      <c r="B5447" s="233" t="inlineStr">
        <is>
          <t>641415</t>
        </is>
      </c>
      <c r="C5447" s="227" t="inlineStr">
        <is>
          <t>indem inflation managers</t>
        </is>
      </c>
      <c r="D5447" s="233" t="inlineStr">
        <is>
          <t>11</t>
        </is>
      </c>
      <c r="E5447" s="233" t="inlineStr">
        <is>
          <t>10</t>
        </is>
      </c>
      <c r="F5447" s="227" t="inlineStr">
        <is>
          <t>GLR5</t>
        </is>
      </c>
    </row>
    <row r="5448">
      <c r="A5448" s="227">
        <f>TL[[#This Row],[Société]]&amp;" - "&amp;TL[[#This Row],[Compte]]</f>
        <v/>
      </c>
      <c r="B5448" s="233" t="inlineStr">
        <is>
          <t>645101</t>
        </is>
      </c>
      <c r="C5448" s="227" t="inlineStr">
        <is>
          <t>Loi fillion</t>
        </is>
      </c>
      <c r="F5448" s="227" t="inlineStr">
        <is>
          <t>GLR5</t>
        </is>
      </c>
    </row>
    <row r="5449">
      <c r="A5449" s="227">
        <f>TL[[#This Row],[Société]]&amp;" - "&amp;TL[[#This Row],[Compte]]</f>
        <v/>
      </c>
      <c r="B5449" s="233" t="inlineStr">
        <is>
          <t>645104</t>
        </is>
      </c>
      <c r="C5449" s="227" t="inlineStr">
        <is>
          <t>Loi fillion</t>
        </is>
      </c>
      <c r="F5449" s="227" t="inlineStr">
        <is>
          <t>GLR5</t>
        </is>
      </c>
    </row>
    <row r="5450">
      <c r="A5450" s="227">
        <f>TL[[#This Row],[Société]]&amp;" - "&amp;TL[[#This Row],[Compte]]</f>
        <v/>
      </c>
      <c r="B5450" s="233" t="inlineStr">
        <is>
          <t>645120</t>
        </is>
      </c>
      <c r="C5450" s="227" t="inlineStr">
        <is>
          <t>Cotis urssaf assistants</t>
        </is>
      </c>
      <c r="D5450" s="233" t="inlineStr">
        <is>
          <t>12</t>
        </is>
      </c>
      <c r="E5450" s="233" t="inlineStr">
        <is>
          <t>11</t>
        </is>
      </c>
      <c r="F5450" s="227" t="inlineStr">
        <is>
          <t>GLR5</t>
        </is>
      </c>
    </row>
    <row r="5451">
      <c r="A5451" s="227">
        <f>TL[[#This Row],[Société]]&amp;" - "&amp;TL[[#This Row],[Compte]]</f>
        <v/>
      </c>
      <c r="B5451" s="233" t="inlineStr">
        <is>
          <t>645130</t>
        </is>
      </c>
      <c r="C5451" s="227" t="inlineStr">
        <is>
          <t>Cotis. urssaf equipiers</t>
        </is>
      </c>
      <c r="D5451" s="233" t="inlineStr">
        <is>
          <t>10</t>
        </is>
      </c>
      <c r="E5451" s="233" t="inlineStr">
        <is>
          <t>09</t>
        </is>
      </c>
      <c r="F5451" s="227" t="inlineStr">
        <is>
          <t>GLR5</t>
        </is>
      </c>
    </row>
    <row r="5452">
      <c r="A5452" s="227">
        <f>TL[[#This Row],[Société]]&amp;" - "&amp;TL[[#This Row],[Compte]]</f>
        <v/>
      </c>
      <c r="B5452" s="233" t="inlineStr">
        <is>
          <t>645320</t>
        </is>
      </c>
      <c r="C5452" s="227" t="inlineStr">
        <is>
          <t>Retraite  assistants</t>
        </is>
      </c>
      <c r="D5452" s="233" t="inlineStr">
        <is>
          <t>12</t>
        </is>
      </c>
      <c r="E5452" s="233" t="inlineStr">
        <is>
          <t>11</t>
        </is>
      </c>
      <c r="F5452" s="227" t="inlineStr">
        <is>
          <t>GLR5</t>
        </is>
      </c>
    </row>
    <row r="5453">
      <c r="A5453" s="227">
        <f>TL[[#This Row],[Société]]&amp;" - "&amp;TL[[#This Row],[Compte]]</f>
        <v/>
      </c>
      <c r="B5453" s="233" t="inlineStr">
        <is>
          <t>645330</t>
        </is>
      </c>
      <c r="C5453" s="227" t="inlineStr">
        <is>
          <t>Retraite équipiers</t>
        </is>
      </c>
      <c r="D5453" s="233" t="inlineStr">
        <is>
          <t>10</t>
        </is>
      </c>
      <c r="E5453" s="233" t="inlineStr">
        <is>
          <t>09</t>
        </is>
      </c>
      <c r="F5453" s="227" t="inlineStr">
        <is>
          <t>GLR5</t>
        </is>
      </c>
    </row>
    <row r="5454">
      <c r="A5454" s="227">
        <f>TL[[#This Row],[Société]]&amp;" - "&amp;TL[[#This Row],[Compte]]</f>
        <v/>
      </c>
      <c r="B5454" s="233" t="inlineStr">
        <is>
          <t>645420</t>
        </is>
      </c>
      <c r="C5454" s="227" t="inlineStr">
        <is>
          <t>Assurance chômage assistants</t>
        </is>
      </c>
      <c r="D5454" s="233" t="inlineStr">
        <is>
          <t>12</t>
        </is>
      </c>
      <c r="E5454" s="233" t="inlineStr">
        <is>
          <t>11</t>
        </is>
      </c>
      <c r="F5454" s="227" t="inlineStr">
        <is>
          <t>GLR5</t>
        </is>
      </c>
    </row>
    <row r="5455">
      <c r="A5455" s="227">
        <f>TL[[#This Row],[Société]]&amp;" - "&amp;TL[[#This Row],[Compte]]</f>
        <v/>
      </c>
      <c r="B5455" s="233" t="inlineStr">
        <is>
          <t>645430</t>
        </is>
      </c>
      <c r="C5455" s="227" t="inlineStr">
        <is>
          <t>Assurance chômage equipiers</t>
        </is>
      </c>
      <c r="D5455" s="233" t="inlineStr">
        <is>
          <t>10</t>
        </is>
      </c>
      <c r="E5455" s="233" t="inlineStr">
        <is>
          <t>09</t>
        </is>
      </c>
      <c r="F5455" s="227" t="inlineStr">
        <is>
          <t>GLR5</t>
        </is>
      </c>
    </row>
    <row r="5456">
      <c r="A5456" s="227">
        <f>TL[[#This Row],[Société]]&amp;" - "&amp;TL[[#This Row],[Compte]]</f>
        <v/>
      </c>
      <c r="B5456" s="233" t="inlineStr">
        <is>
          <t>645520</t>
        </is>
      </c>
      <c r="C5456" s="227" t="inlineStr">
        <is>
          <t>Mutuelle assistants</t>
        </is>
      </c>
      <c r="D5456" s="233" t="inlineStr">
        <is>
          <t>12</t>
        </is>
      </c>
      <c r="E5456" s="233" t="inlineStr">
        <is>
          <t>11</t>
        </is>
      </c>
      <c r="F5456" s="227" t="inlineStr">
        <is>
          <t>GLR5</t>
        </is>
      </c>
    </row>
    <row r="5457">
      <c r="A5457" s="227">
        <f>TL[[#This Row],[Société]]&amp;" - "&amp;TL[[#This Row],[Compte]]</f>
        <v/>
      </c>
      <c r="B5457" s="233" t="inlineStr">
        <is>
          <t>645530</t>
        </is>
      </c>
      <c r="C5457" s="227" t="inlineStr">
        <is>
          <t>Mutuelle équipiers</t>
        </is>
      </c>
      <c r="D5457" s="233" t="inlineStr">
        <is>
          <t>10</t>
        </is>
      </c>
      <c r="E5457" s="233" t="inlineStr">
        <is>
          <t>09</t>
        </is>
      </c>
      <c r="F5457" s="227" t="inlineStr">
        <is>
          <t>GLR5</t>
        </is>
      </c>
    </row>
    <row r="5458">
      <c r="A5458" s="227">
        <f>TL[[#This Row],[Société]]&amp;" - "&amp;TL[[#This Row],[Compte]]</f>
        <v/>
      </c>
      <c r="B5458" s="233" t="inlineStr">
        <is>
          <t>645620</t>
        </is>
      </c>
      <c r="C5458" s="227" t="inlineStr">
        <is>
          <t>Cotis agirc assistants</t>
        </is>
      </c>
      <c r="D5458" s="233" t="inlineStr">
        <is>
          <t>12</t>
        </is>
      </c>
      <c r="E5458" s="233" t="inlineStr">
        <is>
          <t>11</t>
        </is>
      </c>
      <c r="F5458" s="227" t="inlineStr">
        <is>
          <t>GLR5</t>
        </is>
      </c>
    </row>
    <row r="5459">
      <c r="A5459" s="227">
        <f>TL[[#This Row],[Société]]&amp;" - "&amp;TL[[#This Row],[Compte]]</f>
        <v/>
      </c>
      <c r="B5459" s="233" t="inlineStr">
        <is>
          <t>645810</t>
        </is>
      </c>
      <c r="C5459" s="227" t="inlineStr">
        <is>
          <t>Medecine du travail</t>
        </is>
      </c>
      <c r="D5459" s="233" t="inlineStr">
        <is>
          <t>16</t>
        </is>
      </c>
      <c r="E5459" s="233" t="inlineStr">
        <is>
          <t>19</t>
        </is>
      </c>
      <c r="F5459" s="227" t="inlineStr">
        <is>
          <t>GLR5</t>
        </is>
      </c>
    </row>
    <row r="5460">
      <c r="A5460" s="227">
        <f>TL[[#This Row],[Société]]&amp;" - "&amp;TL[[#This Row],[Compte]]</f>
        <v/>
      </c>
      <c r="B5460" s="233" t="inlineStr">
        <is>
          <t>645820</t>
        </is>
      </c>
      <c r="C5460" s="227" t="inlineStr">
        <is>
          <t>Ch soc  prov cp assistant</t>
        </is>
      </c>
      <c r="D5460" s="233" t="inlineStr">
        <is>
          <t>12</t>
        </is>
      </c>
      <c r="E5460" s="233" t="inlineStr">
        <is>
          <t>11</t>
        </is>
      </c>
      <c r="F5460" s="227" t="inlineStr">
        <is>
          <t>GLR5</t>
        </is>
      </c>
    </row>
    <row r="5461">
      <c r="A5461" s="227">
        <f>TL[[#This Row],[Société]]&amp;" - "&amp;TL[[#This Row],[Compte]]</f>
        <v/>
      </c>
      <c r="B5461" s="233" t="inlineStr">
        <is>
          <t>645830</t>
        </is>
      </c>
      <c r="C5461" s="227" t="inlineStr">
        <is>
          <t>Ch soc s prov cp equipier</t>
        </is>
      </c>
      <c r="D5461" s="233" t="inlineStr">
        <is>
          <t>10</t>
        </is>
      </c>
      <c r="E5461" s="233" t="inlineStr">
        <is>
          <t>09</t>
        </is>
      </c>
      <c r="F5461" s="227" t="inlineStr">
        <is>
          <t>GLR5</t>
        </is>
      </c>
    </row>
    <row r="5462">
      <c r="A5462" s="227">
        <f>TL[[#This Row],[Société]]&amp;" - "&amp;TL[[#This Row],[Compte]]</f>
        <v/>
      </c>
      <c r="B5462" s="233" t="inlineStr">
        <is>
          <t>645840</t>
        </is>
      </c>
      <c r="C5462" s="227" t="inlineStr">
        <is>
          <t>Ch soc s prov primes</t>
        </is>
      </c>
      <c r="D5462" s="233" t="inlineStr">
        <is>
          <t>12</t>
        </is>
      </c>
      <c r="E5462" s="233" t="inlineStr">
        <is>
          <t>11</t>
        </is>
      </c>
      <c r="F5462" s="227" t="inlineStr">
        <is>
          <t>GLR5</t>
        </is>
      </c>
    </row>
    <row r="5463">
      <c r="A5463" s="227">
        <f>TL[[#This Row],[Société]]&amp;" - "&amp;TL[[#This Row],[Compte]]</f>
        <v/>
      </c>
      <c r="B5463" s="233" t="inlineStr">
        <is>
          <t>645920</t>
        </is>
      </c>
      <c r="C5463" s="227" t="inlineStr">
        <is>
          <t>Prevoyance assistants</t>
        </is>
      </c>
      <c r="D5463" s="233" t="inlineStr">
        <is>
          <t>12</t>
        </is>
      </c>
      <c r="E5463" s="233" t="inlineStr">
        <is>
          <t>11</t>
        </is>
      </c>
      <c r="F5463" s="227" t="inlineStr">
        <is>
          <t>GLR5</t>
        </is>
      </c>
    </row>
    <row r="5464">
      <c r="A5464" s="227">
        <f>TL[[#This Row],[Société]]&amp;" - "&amp;TL[[#This Row],[Compte]]</f>
        <v/>
      </c>
      <c r="B5464" s="233" t="inlineStr">
        <is>
          <t>645930</t>
        </is>
      </c>
      <c r="C5464" s="227" t="inlineStr">
        <is>
          <t>Prevoyance equipiers</t>
        </is>
      </c>
      <c r="D5464" s="233" t="inlineStr">
        <is>
          <t>10</t>
        </is>
      </c>
      <c r="E5464" s="233" t="inlineStr">
        <is>
          <t>09</t>
        </is>
      </c>
      <c r="F5464" s="227" t="inlineStr">
        <is>
          <t>GLR5</t>
        </is>
      </c>
    </row>
    <row r="5465">
      <c r="A5465" s="227">
        <f>TL[[#This Row],[Société]]&amp;" - "&amp;TL[[#This Row],[Compte]]</f>
        <v/>
      </c>
      <c r="B5465" s="233" t="inlineStr">
        <is>
          <t>646300</t>
        </is>
      </c>
      <c r="C5465" s="227" t="inlineStr">
        <is>
          <t>Retraite regis rego</t>
        </is>
      </c>
      <c r="F5465" s="227" t="inlineStr">
        <is>
          <t>GLR5</t>
        </is>
      </c>
    </row>
    <row r="5466">
      <c r="A5466" s="227">
        <f>TL[[#This Row],[Société]]&amp;" - "&amp;TL[[#This Row],[Compte]]</f>
        <v/>
      </c>
      <c r="B5466" s="233" t="inlineStr">
        <is>
          <t>647500</t>
        </is>
      </c>
      <c r="C5466" s="227" t="inlineStr">
        <is>
          <t>Med travail npu</t>
        </is>
      </c>
      <c r="D5466" s="233" t="inlineStr">
        <is>
          <t>16</t>
        </is>
      </c>
      <c r="E5466" s="233" t="inlineStr">
        <is>
          <t>19</t>
        </is>
      </c>
      <c r="F5466" s="227" t="inlineStr">
        <is>
          <t>GLR5</t>
        </is>
      </c>
    </row>
    <row r="5467">
      <c r="A5467" s="227">
        <f>TL[[#This Row],[Société]]&amp;" - "&amp;TL[[#This Row],[Compte]]</f>
        <v/>
      </c>
      <c r="B5467" s="233" t="inlineStr">
        <is>
          <t>647516</t>
        </is>
      </c>
      <c r="C5467" s="227" t="inlineStr">
        <is>
          <t>Medecine du travail</t>
        </is>
      </c>
      <c r="D5467" s="233" t="inlineStr">
        <is>
          <t>16</t>
        </is>
      </c>
      <c r="E5467" s="233" t="inlineStr">
        <is>
          <t>19</t>
        </is>
      </c>
      <c r="F5467" s="227" t="inlineStr">
        <is>
          <t>GLR5</t>
        </is>
      </c>
    </row>
    <row r="5468">
      <c r="A5468" s="227">
        <f>TL[[#This Row],[Société]]&amp;" - "&amp;TL[[#This Row],[Compte]]</f>
        <v/>
      </c>
      <c r="B5468" s="233" t="inlineStr">
        <is>
          <t>649000</t>
        </is>
      </c>
      <c r="C5468" s="227" t="inlineStr">
        <is>
          <t>Crédit d'impôt compétitivité entrep</t>
        </is>
      </c>
      <c r="D5468" s="233" t="inlineStr">
        <is>
          <t>99</t>
        </is>
      </c>
      <c r="E5468" s="233" t="inlineStr">
        <is>
          <t>48</t>
        </is>
      </c>
      <c r="F5468" s="227" t="inlineStr">
        <is>
          <t>GLR5</t>
        </is>
      </c>
    </row>
    <row r="5469">
      <c r="A5469" s="227">
        <f>TL[[#This Row],[Société]]&amp;" - "&amp;TL[[#This Row],[Compte]]</f>
        <v/>
      </c>
      <c r="B5469" s="233" t="inlineStr">
        <is>
          <t>651001</t>
        </is>
      </c>
      <c r="C5469" s="227" t="inlineStr">
        <is>
          <t>Menu cine</t>
        </is>
      </c>
      <c r="F5469" s="227" t="inlineStr">
        <is>
          <t>GLR5</t>
        </is>
      </c>
    </row>
    <row r="5470">
      <c r="A5470" s="227">
        <f>TL[[#This Row],[Société]]&amp;" - "&amp;TL[[#This Row],[Compte]]</f>
        <v/>
      </c>
      <c r="B5470" s="233" t="inlineStr">
        <is>
          <t>651003</t>
        </is>
      </c>
      <c r="C5470" s="227" t="inlineStr">
        <is>
          <t>Cont coca cola</t>
        </is>
      </c>
      <c r="F5470" s="227" t="inlineStr">
        <is>
          <t>GLR5</t>
        </is>
      </c>
    </row>
    <row r="5471">
      <c r="A5471" s="227">
        <f>TL[[#This Row],[Société]]&amp;" - "&amp;TL[[#This Row],[Compte]]</f>
        <v/>
      </c>
      <c r="B5471" s="233" t="inlineStr">
        <is>
          <t>651110</t>
        </is>
      </c>
      <c r="C5471" s="227" t="inlineStr">
        <is>
          <t>Redevance services</t>
        </is>
      </c>
      <c r="D5471" s="233" t="inlineStr">
        <is>
          <t>31</t>
        </is>
      </c>
      <c r="E5471" s="233" t="inlineStr">
        <is>
          <t>34</t>
        </is>
      </c>
      <c r="F5471" s="227" t="inlineStr">
        <is>
          <t>GLR5</t>
        </is>
      </c>
    </row>
    <row r="5472">
      <c r="A5472" s="227">
        <f>TL[[#This Row],[Société]]&amp;" - "&amp;TL[[#This Row],[Compte]]</f>
        <v/>
      </c>
      <c r="B5472" s="233" t="inlineStr">
        <is>
          <t>651200</t>
        </is>
      </c>
      <c r="C5472" s="227" t="inlineStr">
        <is>
          <t>Avoirs happy meals (15,5%)</t>
        </is>
      </c>
      <c r="D5472" s="233" t="inlineStr">
        <is>
          <t>30</t>
        </is>
      </c>
      <c r="E5472" s="233" t="inlineStr">
        <is>
          <t>31</t>
        </is>
      </c>
      <c r="F5472" s="227" t="inlineStr">
        <is>
          <t>GLR5</t>
        </is>
      </c>
    </row>
    <row r="5473">
      <c r="A5473" s="227">
        <f>TL[[#This Row],[Société]]&amp;" - "&amp;TL[[#This Row],[Compte]]</f>
        <v/>
      </c>
      <c r="B5473" s="233" t="inlineStr">
        <is>
          <t>651210</t>
        </is>
      </c>
      <c r="C5473" s="227" t="inlineStr">
        <is>
          <t>Avoirs happy meals (5%)</t>
        </is>
      </c>
      <c r="D5473" s="233" t="inlineStr">
        <is>
          <t>31</t>
        </is>
      </c>
      <c r="E5473" s="233" t="inlineStr">
        <is>
          <t>31</t>
        </is>
      </c>
      <c r="F5473" s="227" t="inlineStr">
        <is>
          <t>GLR5</t>
        </is>
      </c>
    </row>
    <row r="5474">
      <c r="A5474" s="227">
        <f>TL[[#This Row],[Société]]&amp;" - "&amp;TL[[#This Row],[Compte]]</f>
        <v/>
      </c>
      <c r="B5474" s="233" t="inlineStr">
        <is>
          <t>651300</t>
        </is>
      </c>
      <c r="C5474" s="227" t="inlineStr">
        <is>
          <t>Avoir mccine</t>
        </is>
      </c>
      <c r="D5474" s="233" t="inlineStr">
        <is>
          <t>30</t>
        </is>
      </c>
      <c r="E5474" s="233" t="inlineStr">
        <is>
          <t>31</t>
        </is>
      </c>
      <c r="F5474" s="227" t="inlineStr">
        <is>
          <t>GLR5</t>
        </is>
      </c>
    </row>
    <row r="5475">
      <c r="A5475" s="227">
        <f>TL[[#This Row],[Société]]&amp;" - "&amp;TL[[#This Row],[Compte]]</f>
        <v/>
      </c>
      <c r="B5475" s="233" t="inlineStr">
        <is>
          <t>651310</t>
        </is>
      </c>
      <c r="C5475" s="227" t="inlineStr">
        <is>
          <t>Avoirs mc ciné à 5%</t>
        </is>
      </c>
      <c r="D5475" s="233" t="inlineStr">
        <is>
          <t>31</t>
        </is>
      </c>
      <c r="E5475" s="233" t="inlineStr">
        <is>
          <t>31</t>
        </is>
      </c>
      <c r="F5475" s="227" t="inlineStr">
        <is>
          <t>GLR5</t>
        </is>
      </c>
    </row>
    <row r="5476">
      <c r="A5476" s="227">
        <f>TL[[#This Row],[Société]]&amp;" - "&amp;TL[[#This Row],[Compte]]</f>
        <v/>
      </c>
      <c r="B5476" s="233" t="inlineStr">
        <is>
          <t>651600</t>
        </is>
      </c>
      <c r="C5476" s="227" t="inlineStr">
        <is>
          <t>43.12/sprÉ/ct du 01.01-31.12.15</t>
        </is>
      </c>
      <c r="F5476" s="227" t="inlineStr">
        <is>
          <t>GLR5</t>
        </is>
      </c>
    </row>
    <row r="5477">
      <c r="A5477" s="227">
        <f>TL[[#This Row],[Société]]&amp;" - "&amp;TL[[#This Row],[Compte]]</f>
        <v/>
      </c>
      <c r="B5477" s="233" t="inlineStr">
        <is>
          <t>658000</t>
        </is>
      </c>
      <c r="C5477" s="227" t="inlineStr">
        <is>
          <t>Charg.divers.gestion couran</t>
        </is>
      </c>
      <c r="D5477" s="233" t="inlineStr">
        <is>
          <t>39</t>
        </is>
      </c>
      <c r="E5477" s="233" t="inlineStr">
        <is>
          <t>27</t>
        </is>
      </c>
      <c r="F5477" s="227" t="inlineStr">
        <is>
          <t>GLR5</t>
        </is>
      </c>
    </row>
    <row r="5478">
      <c r="A5478" s="227">
        <f>TL[[#This Row],[Société]]&amp;" - "&amp;TL[[#This Row],[Compte]]</f>
        <v/>
      </c>
      <c r="B5478" s="233" t="inlineStr">
        <is>
          <t>661100</t>
        </is>
      </c>
      <c r="C5478" s="227" t="inlineStr">
        <is>
          <t>Charges d'interets</t>
        </is>
      </c>
      <c r="D5478" s="233" t="inlineStr">
        <is>
          <t>37</t>
        </is>
      </c>
      <c r="E5478" s="233" t="inlineStr">
        <is>
          <t>42</t>
        </is>
      </c>
      <c r="F5478" s="227" t="inlineStr">
        <is>
          <t>GLR5</t>
        </is>
      </c>
    </row>
    <row r="5479">
      <c r="A5479" s="227">
        <f>TL[[#This Row],[Société]]&amp;" - "&amp;TL[[#This Row],[Compte]]</f>
        <v/>
      </c>
      <c r="B5479" s="233" t="inlineStr">
        <is>
          <t>661600</t>
        </is>
      </c>
      <c r="C5479" s="227" t="inlineStr">
        <is>
          <t>Charges d'intérêts</t>
        </is>
      </c>
      <c r="D5479" s="233" t="inlineStr">
        <is>
          <t>37</t>
        </is>
      </c>
      <c r="E5479" s="233" t="inlineStr">
        <is>
          <t>17</t>
        </is>
      </c>
      <c r="F5479" s="227" t="inlineStr">
        <is>
          <t>GLR5</t>
        </is>
      </c>
    </row>
    <row r="5480">
      <c r="A5480" s="227">
        <f>TL[[#This Row],[Société]]&amp;" - "&amp;TL[[#This Row],[Compte]]</f>
        <v/>
      </c>
      <c r="B5480" s="233" t="inlineStr">
        <is>
          <t>671100</t>
        </is>
      </c>
      <c r="C5480" s="227" t="inlineStr">
        <is>
          <t>Ecarts de caisse</t>
        </is>
      </c>
      <c r="D5480" s="233" t="inlineStr">
        <is>
          <t>22</t>
        </is>
      </c>
      <c r="E5480" s="233" t="inlineStr">
        <is>
          <t>27</t>
        </is>
      </c>
      <c r="F5480" s="227" t="inlineStr">
        <is>
          <t>GLR5</t>
        </is>
      </c>
    </row>
    <row r="5481">
      <c r="A5481" s="227">
        <f>TL[[#This Row],[Société]]&amp;" - "&amp;TL[[#This Row],[Compte]]</f>
        <v/>
      </c>
      <c r="B5481" s="233" t="inlineStr">
        <is>
          <t>671200</t>
        </is>
      </c>
      <c r="C5481" s="227" t="inlineStr">
        <is>
          <t>Amendes</t>
        </is>
      </c>
      <c r="D5481" s="233" t="inlineStr">
        <is>
          <t>34</t>
        </is>
      </c>
      <c r="E5481" s="233" t="inlineStr">
        <is>
          <t>45</t>
        </is>
      </c>
      <c r="F5481" s="227" t="inlineStr">
        <is>
          <t>GLR5</t>
        </is>
      </c>
    </row>
    <row r="5482">
      <c r="A5482" s="227">
        <f>TL[[#This Row],[Société]]&amp;" - "&amp;TL[[#This Row],[Compte]]</f>
        <v/>
      </c>
      <c r="B5482" s="233" t="inlineStr">
        <is>
          <t>671300</t>
        </is>
      </c>
      <c r="C5482" s="227" t="inlineStr">
        <is>
          <t>Ecarts de caisse</t>
        </is>
      </c>
      <c r="D5482" s="233" t="inlineStr">
        <is>
          <t>39</t>
        </is>
      </c>
      <c r="E5482" s="233" t="inlineStr">
        <is>
          <t>27</t>
        </is>
      </c>
      <c r="F5482" s="227" t="inlineStr">
        <is>
          <t>GLR5</t>
        </is>
      </c>
    </row>
    <row r="5483">
      <c r="A5483" s="227">
        <f>TL[[#This Row],[Société]]&amp;" - "&amp;TL[[#This Row],[Compte]]</f>
        <v/>
      </c>
      <c r="B5483" s="233" t="inlineStr">
        <is>
          <t>671310</t>
        </is>
      </c>
      <c r="C5483" s="227" t="inlineStr">
        <is>
          <t>Dons fondation de france</t>
        </is>
      </c>
      <c r="D5483" s="233" t="inlineStr">
        <is>
          <t>39</t>
        </is>
      </c>
      <c r="E5483" s="233" t="inlineStr">
        <is>
          <t>45</t>
        </is>
      </c>
      <c r="F5483" s="227" t="inlineStr">
        <is>
          <t>GLR5</t>
        </is>
      </c>
    </row>
    <row r="5484">
      <c r="A5484" s="227">
        <f>TL[[#This Row],[Société]]&amp;" - "&amp;TL[[#This Row],[Compte]]</f>
        <v/>
      </c>
      <c r="B5484" s="233" t="inlineStr">
        <is>
          <t>671320</t>
        </is>
      </c>
      <c r="C5484" s="227" t="inlineStr">
        <is>
          <t>Dons</t>
        </is>
      </c>
      <c r="D5484" s="233" t="inlineStr">
        <is>
          <t>39</t>
        </is>
      </c>
      <c r="E5484" s="233" t="inlineStr">
        <is>
          <t>45</t>
        </is>
      </c>
      <c r="F5484" s="227" t="inlineStr">
        <is>
          <t>GLR5</t>
        </is>
      </c>
    </row>
    <row r="5485">
      <c r="A5485" s="227">
        <f>TL[[#This Row],[Société]]&amp;" - "&amp;TL[[#This Row],[Compte]]</f>
        <v/>
      </c>
      <c r="B5485" s="233" t="inlineStr">
        <is>
          <t>675000</t>
        </is>
      </c>
      <c r="C5485" s="227" t="inlineStr">
        <is>
          <t>Valeurs compt. éléments actif cédés</t>
        </is>
      </c>
      <c r="D5485" s="233" t="inlineStr">
        <is>
          <t>35</t>
        </is>
      </c>
      <c r="E5485" s="233" t="inlineStr">
        <is>
          <t>45</t>
        </is>
      </c>
      <c r="F5485" s="227" t="inlineStr">
        <is>
          <t>GLR5</t>
        </is>
      </c>
    </row>
    <row r="5486">
      <c r="A5486" s="227">
        <f>TL[[#This Row],[Société]]&amp;" - "&amp;TL[[#This Row],[Compte]]</f>
        <v/>
      </c>
      <c r="B5486" s="233" t="inlineStr">
        <is>
          <t>675600</t>
        </is>
      </c>
      <c r="C5486" s="227" t="inlineStr">
        <is>
          <t>Vnc actifs cédés - immo financières</t>
        </is>
      </c>
      <c r="F5486" s="227" t="inlineStr">
        <is>
          <t>GLR5</t>
        </is>
      </c>
    </row>
    <row r="5487">
      <c r="A5487" s="227">
        <f>TL[[#This Row],[Société]]&amp;" - "&amp;TL[[#This Row],[Compte]]</f>
        <v/>
      </c>
      <c r="B5487" s="233" t="inlineStr">
        <is>
          <t>681110</t>
        </is>
      </c>
      <c r="C5487" s="227" t="inlineStr">
        <is>
          <t>Dot.amort.immo.incorpore.</t>
        </is>
      </c>
      <c r="D5487" s="233" t="inlineStr">
        <is>
          <t>36</t>
        </is>
      </c>
      <c r="E5487" s="233" t="inlineStr">
        <is>
          <t>38</t>
        </is>
      </c>
      <c r="F5487" s="227" t="inlineStr">
        <is>
          <t>GLR5</t>
        </is>
      </c>
    </row>
    <row r="5488">
      <c r="A5488" s="227">
        <f>TL[[#This Row],[Société]]&amp;" - "&amp;TL[[#This Row],[Compte]]</f>
        <v/>
      </c>
      <c r="B5488" s="233" t="inlineStr">
        <is>
          <t>681120</t>
        </is>
      </c>
      <c r="C5488" s="227" t="inlineStr">
        <is>
          <t>Dot.amort.s/immo.corporell.</t>
        </is>
      </c>
      <c r="D5488" s="233" t="inlineStr">
        <is>
          <t>36</t>
        </is>
      </c>
      <c r="E5488" s="233" t="inlineStr">
        <is>
          <t>38</t>
        </is>
      </c>
      <c r="F5488" s="227" t="inlineStr">
        <is>
          <t>GLR5</t>
        </is>
      </c>
    </row>
    <row r="5489">
      <c r="A5489" s="227">
        <f>TL[[#This Row],[Société]]&amp;" - "&amp;TL[[#This Row],[Compte]]</f>
        <v/>
      </c>
      <c r="B5489" s="233" t="inlineStr">
        <is>
          <t>681500</t>
        </is>
      </c>
      <c r="C5489" s="227" t="inlineStr">
        <is>
          <t>Dot. prov.risq. ch. expl.</t>
        </is>
      </c>
      <c r="D5489" s="233" t="inlineStr">
        <is>
          <t>36</t>
        </is>
      </c>
      <c r="E5489" s="233" t="inlineStr">
        <is>
          <t>38</t>
        </is>
      </c>
      <c r="F5489" s="227" t="inlineStr">
        <is>
          <t>GLR5</t>
        </is>
      </c>
    </row>
    <row r="5490">
      <c r="A5490" s="227">
        <f>TL[[#This Row],[Société]]&amp;" - "&amp;TL[[#This Row],[Compte]]</f>
        <v/>
      </c>
      <c r="B5490" s="233" t="inlineStr">
        <is>
          <t>681520</t>
        </is>
      </c>
      <c r="C5490" s="227" t="inlineStr">
        <is>
          <t>Prov  csco</t>
        </is>
      </c>
      <c r="D5490" s="233" t="inlineStr">
        <is>
          <t>11</t>
        </is>
      </c>
      <c r="E5490" s="233" t="inlineStr">
        <is>
          <t>38</t>
        </is>
      </c>
      <c r="F5490" s="227" t="inlineStr">
        <is>
          <t>GLR5</t>
        </is>
      </c>
    </row>
    <row r="5491">
      <c r="A5491" s="227">
        <f>TL[[#This Row],[Société]]&amp;" - "&amp;TL[[#This Row],[Compte]]</f>
        <v/>
      </c>
      <c r="B5491" s="233" t="inlineStr">
        <is>
          <t>681530</t>
        </is>
      </c>
      <c r="C5491" s="227" t="inlineStr">
        <is>
          <t>Cs conges paues</t>
        </is>
      </c>
      <c r="D5491" s="233" t="inlineStr">
        <is>
          <t>11</t>
        </is>
      </c>
      <c r="E5491" s="233" t="inlineStr">
        <is>
          <t>38</t>
        </is>
      </c>
      <c r="F5491" s="227" t="inlineStr">
        <is>
          <t>GLR5</t>
        </is>
      </c>
    </row>
    <row r="5492">
      <c r="A5492" s="227">
        <f>TL[[#This Row],[Société]]&amp;" - "&amp;TL[[#This Row],[Compte]]</f>
        <v/>
      </c>
      <c r="B5492" s="233" t="inlineStr">
        <is>
          <t>687100</t>
        </is>
      </c>
      <c r="C5492" s="227" t="inlineStr">
        <is>
          <t>Dot. amort. except. immo</t>
        </is>
      </c>
      <c r="D5492" s="233" t="inlineStr">
        <is>
          <t>36</t>
        </is>
      </c>
      <c r="E5492" s="233" t="inlineStr">
        <is>
          <t>38</t>
        </is>
      </c>
      <c r="F5492" s="227" t="inlineStr">
        <is>
          <t>GLR5</t>
        </is>
      </c>
    </row>
    <row r="5493">
      <c r="A5493" s="227">
        <f>TL[[#This Row],[Société]]&amp;" - "&amp;TL[[#This Row],[Compte]]</f>
        <v/>
      </c>
      <c r="B5493" s="233" t="inlineStr">
        <is>
          <t>687110</t>
        </is>
      </c>
      <c r="C5493" s="227" t="inlineStr">
        <is>
          <t>Cree par cegid</t>
        </is>
      </c>
      <c r="F5493" s="227" t="inlineStr">
        <is>
          <t>GLR5</t>
        </is>
      </c>
    </row>
    <row r="5494">
      <c r="A5494" s="227">
        <f>TL[[#This Row],[Société]]&amp;" - "&amp;TL[[#This Row],[Compte]]</f>
        <v/>
      </c>
      <c r="B5494" s="233" t="inlineStr">
        <is>
          <t>687120</t>
        </is>
      </c>
      <c r="C5494" s="227" t="inlineStr">
        <is>
          <t>Dot. amort. except. immo.</t>
        </is>
      </c>
      <c r="D5494" s="233" t="inlineStr">
        <is>
          <t>36</t>
        </is>
      </c>
      <c r="E5494" s="233" t="inlineStr">
        <is>
          <t>38</t>
        </is>
      </c>
      <c r="F5494" s="227" t="inlineStr">
        <is>
          <t>GLR5</t>
        </is>
      </c>
    </row>
    <row r="5495">
      <c r="A5495" s="227">
        <f>TL[[#This Row],[Société]]&amp;" - "&amp;TL[[#This Row],[Compte]]</f>
        <v/>
      </c>
      <c r="B5495" s="233" t="inlineStr">
        <is>
          <t>687250</t>
        </is>
      </c>
      <c r="C5495" s="227" t="inlineStr">
        <is>
          <t>Cree par cegid</t>
        </is>
      </c>
      <c r="F5495" s="227" t="inlineStr">
        <is>
          <t>GLR5</t>
        </is>
      </c>
    </row>
    <row r="5496">
      <c r="A5496" s="227">
        <f>TL[[#This Row],[Société]]&amp;" - "&amp;TL[[#This Row],[Compte]]</f>
        <v/>
      </c>
      <c r="B5496" s="233" t="inlineStr">
        <is>
          <t>687500</t>
        </is>
      </c>
      <c r="C5496" s="227" t="inlineStr">
        <is>
          <t>Dot. prov. risques et charges excep</t>
        </is>
      </c>
      <c r="F5496" s="227" t="inlineStr">
        <is>
          <t>GLR5</t>
        </is>
      </c>
    </row>
    <row r="5497">
      <c r="A5497" s="227">
        <f>TL[[#This Row],[Société]]&amp;" - "&amp;TL[[#This Row],[Compte]]</f>
        <v/>
      </c>
      <c r="B5497" s="233" t="inlineStr">
        <is>
          <t>695000</t>
        </is>
      </c>
      <c r="C5497" s="227" t="inlineStr">
        <is>
          <t>Impots sur les benefices</t>
        </is>
      </c>
      <c r="D5497" s="233" t="inlineStr">
        <is>
          <t>99</t>
        </is>
      </c>
      <c r="E5497" s="233" t="inlineStr">
        <is>
          <t>48</t>
        </is>
      </c>
      <c r="F5497" s="227" t="inlineStr">
        <is>
          <t>GLR5</t>
        </is>
      </c>
    </row>
    <row r="5498">
      <c r="A5498" s="227">
        <f>TL[[#This Row],[Société]]&amp;" - "&amp;TL[[#This Row],[Compte]]</f>
        <v/>
      </c>
      <c r="B5498" s="233" t="inlineStr">
        <is>
          <t>695100</t>
        </is>
      </c>
      <c r="C5498" s="227" t="inlineStr">
        <is>
          <t>Crédits d'impôts</t>
        </is>
      </c>
      <c r="D5498" s="233" t="inlineStr">
        <is>
          <t>99</t>
        </is>
      </c>
      <c r="E5498" s="233" t="inlineStr">
        <is>
          <t>48</t>
        </is>
      </c>
      <c r="F5498" s="227" t="inlineStr">
        <is>
          <t>GLR5</t>
        </is>
      </c>
    </row>
    <row r="5499">
      <c r="A5499" s="227">
        <f>TL[[#This Row],[Société]]&amp;" - "&amp;TL[[#This Row],[Compte]]</f>
        <v/>
      </c>
      <c r="B5499" s="233" t="inlineStr">
        <is>
          <t>698910</t>
        </is>
      </c>
      <c r="C5499" s="227" t="inlineStr">
        <is>
          <t>Crédit mécénat gie</t>
        </is>
      </c>
      <c r="F5499" s="227" t="inlineStr">
        <is>
          <t>GLR5</t>
        </is>
      </c>
    </row>
    <row r="5500">
      <c r="A5500" s="227">
        <f>TL[[#This Row],[Société]]&amp;" - "&amp;TL[[#This Row],[Compte]]</f>
        <v/>
      </c>
      <c r="B5500" s="233" t="inlineStr">
        <is>
          <t>698920</t>
        </is>
      </c>
      <c r="C5500" s="227" t="inlineStr">
        <is>
          <t>Cice gie</t>
        </is>
      </c>
      <c r="F5500" s="227" t="inlineStr">
        <is>
          <t>GLR5</t>
        </is>
      </c>
    </row>
    <row r="5501">
      <c r="A5501" s="227">
        <f>TL[[#This Row],[Société]]&amp;" - "&amp;TL[[#This Row],[Compte]]</f>
        <v/>
      </c>
      <c r="B5501" s="233" t="inlineStr">
        <is>
          <t>701001</t>
        </is>
      </c>
      <c r="C5501" s="227" t="inlineStr">
        <is>
          <t>Ventes non alimentaires</t>
        </is>
      </c>
      <c r="D5501" s="233" t="inlineStr">
        <is>
          <t>01</t>
        </is>
      </c>
      <c r="E5501" s="233" t="inlineStr">
        <is>
          <t>02</t>
        </is>
      </c>
      <c r="F5501" s="227" t="inlineStr">
        <is>
          <t>GLR5</t>
        </is>
      </c>
    </row>
    <row r="5502">
      <c r="A5502" s="227">
        <f>TL[[#This Row],[Société]]&amp;" - "&amp;TL[[#This Row],[Compte]]</f>
        <v/>
      </c>
      <c r="B5502" s="233" t="inlineStr">
        <is>
          <t>701002</t>
        </is>
      </c>
      <c r="C5502" s="227" t="inlineStr">
        <is>
          <t>Ventes 01/10</t>
        </is>
      </c>
      <c r="D5502" s="233" t="inlineStr">
        <is>
          <t>01</t>
        </is>
      </c>
      <c r="E5502" s="233" t="inlineStr">
        <is>
          <t>02</t>
        </is>
      </c>
      <c r="F5502" s="227" t="inlineStr">
        <is>
          <t>GLR5</t>
        </is>
      </c>
    </row>
    <row r="5503">
      <c r="A5503" s="227">
        <f>TL[[#This Row],[Société]]&amp;" - "&amp;TL[[#This Row],[Compte]]</f>
        <v/>
      </c>
      <c r="B5503" s="233" t="inlineStr">
        <is>
          <t>701010</t>
        </is>
      </c>
      <c r="C5503" s="227" t="inlineStr">
        <is>
          <t>Ventes 19.60%</t>
        </is>
      </c>
      <c r="D5503" s="233" t="inlineStr">
        <is>
          <t>01</t>
        </is>
      </c>
      <c r="E5503" s="233" t="inlineStr">
        <is>
          <t>02</t>
        </is>
      </c>
      <c r="F5503" s="227" t="inlineStr">
        <is>
          <t>GLR5</t>
        </is>
      </c>
    </row>
    <row r="5504">
      <c r="A5504" s="227">
        <f>TL[[#This Row],[Société]]&amp;" - "&amp;TL[[#This Row],[Compte]]</f>
        <v/>
      </c>
      <c r="B5504" s="233" t="inlineStr">
        <is>
          <t>701011</t>
        </is>
      </c>
      <c r="C5504" s="227" t="inlineStr">
        <is>
          <t>Ventes cine 5.50 %</t>
        </is>
      </c>
      <c r="D5504" s="233" t="inlineStr">
        <is>
          <t>01</t>
        </is>
      </c>
      <c r="E5504" s="233" t="inlineStr">
        <is>
          <t>02</t>
        </is>
      </c>
      <c r="F5504" s="227" t="inlineStr">
        <is>
          <t>GLR5</t>
        </is>
      </c>
    </row>
    <row r="5505">
      <c r="A5505" s="227">
        <f>TL[[#This Row],[Société]]&amp;" - "&amp;TL[[#This Row],[Compte]]</f>
        <v/>
      </c>
      <c r="B5505" s="233" t="inlineStr">
        <is>
          <t>701015</t>
        </is>
      </c>
      <c r="C5505" s="227" t="inlineStr">
        <is>
          <t>Ventes sur place 10 %</t>
        </is>
      </c>
      <c r="D5505" s="233" t="inlineStr">
        <is>
          <t>01</t>
        </is>
      </c>
      <c r="E5505" s="233" t="inlineStr">
        <is>
          <t>02</t>
        </is>
      </c>
      <c r="F5505" s="227" t="inlineStr">
        <is>
          <t>GLR5</t>
        </is>
      </c>
    </row>
    <row r="5506">
      <c r="A5506" s="227">
        <f>TL[[#This Row],[Société]]&amp;" - "&amp;TL[[#This Row],[Compte]]</f>
        <v/>
      </c>
      <c r="B5506" s="233" t="inlineStr">
        <is>
          <t>701020</t>
        </is>
      </c>
      <c r="C5506" s="227" t="inlineStr">
        <is>
          <t>Ventes sur place 20%</t>
        </is>
      </c>
      <c r="D5506" s="233" t="inlineStr">
        <is>
          <t>01</t>
        </is>
      </c>
      <c r="E5506" s="233" t="inlineStr">
        <is>
          <t>02</t>
        </is>
      </c>
      <c r="F5506" s="227" t="inlineStr">
        <is>
          <t>GLR5</t>
        </is>
      </c>
    </row>
    <row r="5507">
      <c r="A5507" s="227">
        <f>TL[[#This Row],[Société]]&amp;" - "&amp;TL[[#This Row],[Compte]]</f>
        <v/>
      </c>
      <c r="B5507" s="233" t="inlineStr">
        <is>
          <t>701040</t>
        </is>
      </c>
      <c r="C5507" s="227" t="inlineStr">
        <is>
          <t>Vente 7%</t>
        </is>
      </c>
      <c r="D5507" s="233" t="inlineStr">
        <is>
          <t>01</t>
        </is>
      </c>
      <c r="E5507" s="233" t="inlineStr">
        <is>
          <t>02</t>
        </is>
      </c>
      <c r="F5507" s="227" t="inlineStr">
        <is>
          <t>GLR5</t>
        </is>
      </c>
    </row>
    <row r="5508">
      <c r="A5508" s="227">
        <f>TL[[#This Row],[Société]]&amp;" - "&amp;TL[[#This Row],[Compte]]</f>
        <v/>
      </c>
      <c r="B5508" s="233" t="inlineStr">
        <is>
          <t>701100</t>
        </is>
      </c>
      <c r="C5508" s="227" t="inlineStr">
        <is>
          <t>Ventes 5.50%</t>
        </is>
      </c>
      <c r="D5508" s="233" t="inlineStr">
        <is>
          <t>01</t>
        </is>
      </c>
      <c r="E5508" s="233" t="inlineStr">
        <is>
          <t>02</t>
        </is>
      </c>
      <c r="F5508" s="227" t="inlineStr">
        <is>
          <t>GLR5</t>
        </is>
      </c>
    </row>
    <row r="5509">
      <c r="A5509" s="227">
        <f>TL[[#This Row],[Société]]&amp;" - "&amp;TL[[#This Row],[Compte]]</f>
        <v/>
      </c>
      <c r="B5509" s="233" t="inlineStr">
        <is>
          <t>701200</t>
        </is>
      </c>
      <c r="C5509" s="227" t="inlineStr">
        <is>
          <t>Vente 7%</t>
        </is>
      </c>
      <c r="D5509" s="233" t="inlineStr">
        <is>
          <t>01</t>
        </is>
      </c>
      <c r="E5509" s="233" t="inlineStr">
        <is>
          <t>02</t>
        </is>
      </c>
      <c r="F5509" s="227" t="inlineStr">
        <is>
          <t>GLR5</t>
        </is>
      </c>
    </row>
    <row r="5510">
      <c r="A5510" s="227">
        <f>TL[[#This Row],[Société]]&amp;" - "&amp;TL[[#This Row],[Compte]]</f>
        <v/>
      </c>
      <c r="B5510" s="233" t="inlineStr">
        <is>
          <t>701220</t>
        </is>
      </c>
      <c r="C5510" s="227" t="inlineStr">
        <is>
          <t>Vtes 20 %</t>
        </is>
      </c>
      <c r="F5510" s="227" t="inlineStr">
        <is>
          <t>GLR5</t>
        </is>
      </c>
    </row>
    <row r="5511">
      <c r="A5511" s="227">
        <f>TL[[#This Row],[Société]]&amp;" - "&amp;TL[[#This Row],[Compte]]</f>
        <v/>
      </c>
      <c r="B5511" s="233" t="inlineStr">
        <is>
          <t>702300</t>
        </is>
      </c>
      <c r="C5511" s="227" t="inlineStr">
        <is>
          <t>Ventes non alimentaires</t>
        </is>
      </c>
      <c r="D5511" s="233" t="inlineStr">
        <is>
          <t>60</t>
        </is>
      </c>
      <c r="E5511" s="233" t="inlineStr">
        <is>
          <t>50</t>
        </is>
      </c>
      <c r="F5511" s="227" t="inlineStr">
        <is>
          <t>GLR5</t>
        </is>
      </c>
    </row>
    <row r="5512">
      <c r="A5512" s="227">
        <f>TL[[#This Row],[Société]]&amp;" - "&amp;TL[[#This Row],[Compte]]</f>
        <v/>
      </c>
      <c r="B5512" s="233" t="inlineStr">
        <is>
          <t>703100</t>
        </is>
      </c>
      <c r="C5512" s="227" t="inlineStr">
        <is>
          <t>Refacturation huiles usagées</t>
        </is>
      </c>
      <c r="D5512" s="233" t="inlineStr">
        <is>
          <t>06</t>
        </is>
      </c>
      <c r="E5512" s="233" t="inlineStr">
        <is>
          <t>19</t>
        </is>
      </c>
      <c r="F5512" s="227" t="inlineStr">
        <is>
          <t>GLR5</t>
        </is>
      </c>
    </row>
    <row r="5513">
      <c r="A5513" s="227">
        <f>TL[[#This Row],[Société]]&amp;" - "&amp;TL[[#This Row],[Compte]]</f>
        <v/>
      </c>
      <c r="B5513" s="233" t="inlineStr">
        <is>
          <t>706005</t>
        </is>
      </c>
      <c r="C5513" s="227" t="inlineStr">
        <is>
          <t>Transport uber</t>
        </is>
      </c>
      <c r="D5513" s="233" t="inlineStr">
        <is>
          <t>39</t>
        </is>
      </c>
      <c r="E5513" s="233" t="inlineStr">
        <is>
          <t>40</t>
        </is>
      </c>
      <c r="F5513" s="227" t="inlineStr">
        <is>
          <t>GLR5</t>
        </is>
      </c>
    </row>
    <row r="5514">
      <c r="A5514" s="227">
        <f>TL[[#This Row],[Société]]&amp;" - "&amp;TL[[#This Row],[Compte]]</f>
        <v/>
      </c>
      <c r="B5514" s="233" t="inlineStr">
        <is>
          <t>708000</t>
        </is>
      </c>
      <c r="C5514" s="227" t="inlineStr">
        <is>
          <t>Remise martin brower</t>
        </is>
      </c>
      <c r="D5514" s="233" t="inlineStr">
        <is>
          <t>06</t>
        </is>
      </c>
      <c r="E5514" s="233" t="inlineStr">
        <is>
          <t>03</t>
        </is>
      </c>
      <c r="F5514" s="227" t="inlineStr">
        <is>
          <t>GLR5</t>
        </is>
      </c>
    </row>
    <row r="5515">
      <c r="A5515" s="227">
        <f>TL[[#This Row],[Société]]&amp;" - "&amp;TL[[#This Row],[Compte]]</f>
        <v/>
      </c>
      <c r="B5515" s="233" t="inlineStr">
        <is>
          <t>708801</t>
        </is>
      </c>
      <c r="C5515" s="227" t="inlineStr">
        <is>
          <t>Pdts activités annexes soumis</t>
        </is>
      </c>
      <c r="D5515" s="233" t="inlineStr">
        <is>
          <t>99</t>
        </is>
      </c>
      <c r="E5515" s="233" t="inlineStr">
        <is>
          <t>27</t>
        </is>
      </c>
      <c r="F5515" s="227" t="inlineStr">
        <is>
          <t>GLR5</t>
        </is>
      </c>
    </row>
    <row r="5516">
      <c r="A5516" s="227">
        <f>TL[[#This Row],[Société]]&amp;" - "&amp;TL[[#This Row],[Compte]]</f>
        <v/>
      </c>
      <c r="B5516" s="233" t="inlineStr">
        <is>
          <t>708810</t>
        </is>
      </c>
      <c r="C5516" s="227" t="inlineStr">
        <is>
          <t>Prestations lr services npu</t>
        </is>
      </c>
      <c r="D5516" s="233" t="inlineStr">
        <is>
          <t>06</t>
        </is>
      </c>
      <c r="E5516" s="233" t="inlineStr">
        <is>
          <t>03</t>
        </is>
      </c>
      <c r="F5516" s="227" t="inlineStr">
        <is>
          <t>GLR5</t>
        </is>
      </c>
    </row>
    <row r="5517">
      <c r="A5517" s="227">
        <f>TL[[#This Row],[Société]]&amp;" - "&amp;TL[[#This Row],[Compte]]</f>
        <v/>
      </c>
      <c r="B5517" s="233" t="inlineStr">
        <is>
          <t>708820</t>
        </is>
      </c>
      <c r="C5517" s="227" t="inlineStr">
        <is>
          <t>Prest. lr services</t>
        </is>
      </c>
      <c r="D5517" s="233" t="inlineStr">
        <is>
          <t>06</t>
        </is>
      </c>
      <c r="E5517" s="233" t="inlineStr">
        <is>
          <t>03</t>
        </is>
      </c>
      <c r="F5517" s="227" t="inlineStr">
        <is>
          <t>GLR5</t>
        </is>
      </c>
    </row>
    <row r="5518">
      <c r="A5518" s="227">
        <f>TL[[#This Row],[Société]]&amp;" - "&amp;TL[[#This Row],[Compte]]</f>
        <v/>
      </c>
      <c r="B5518" s="233" t="inlineStr">
        <is>
          <t>708821</t>
        </is>
      </c>
      <c r="C5518" s="227" t="inlineStr">
        <is>
          <t>Refact personnel technique</t>
        </is>
      </c>
      <c r="D5518" s="233" t="inlineStr">
        <is>
          <t>39</t>
        </is>
      </c>
      <c r="E5518" s="233" t="inlineStr">
        <is>
          <t>13</t>
        </is>
      </c>
      <c r="F5518" s="227" t="inlineStr">
        <is>
          <t>GLR5</t>
        </is>
      </c>
    </row>
    <row r="5519">
      <c r="A5519" s="227">
        <f>TL[[#This Row],[Société]]&amp;" - "&amp;TL[[#This Row],[Compte]]</f>
        <v/>
      </c>
      <c r="B5519" s="233" t="inlineStr">
        <is>
          <t>708830</t>
        </is>
      </c>
      <c r="C5519" s="227" t="inlineStr">
        <is>
          <t>Refactur sal cs managers</t>
        </is>
      </c>
      <c r="D5519" s="233" t="inlineStr">
        <is>
          <t>12</t>
        </is>
      </c>
      <c r="E5519" s="233" t="inlineStr">
        <is>
          <t>11</t>
        </is>
      </c>
      <c r="F5519" s="227" t="inlineStr">
        <is>
          <t>GLR5</t>
        </is>
      </c>
    </row>
    <row r="5520">
      <c r="A5520" s="227">
        <f>TL[[#This Row],[Société]]&amp;" - "&amp;TL[[#This Row],[Compte]]</f>
        <v/>
      </c>
      <c r="B5520" s="233" t="inlineStr">
        <is>
          <t>708831</t>
        </is>
      </c>
      <c r="C5520" s="227" t="inlineStr">
        <is>
          <t>Remboursement agefos managers</t>
        </is>
      </c>
      <c r="D5520" s="233" t="inlineStr">
        <is>
          <t>11</t>
        </is>
      </c>
      <c r="E5520" s="233" t="inlineStr">
        <is>
          <t>10</t>
        </is>
      </c>
      <c r="F5520" s="227" t="inlineStr">
        <is>
          <t>GLR5</t>
        </is>
      </c>
    </row>
    <row r="5521">
      <c r="A5521" s="227">
        <f>TL[[#This Row],[Société]]&amp;" - "&amp;TL[[#This Row],[Compte]]</f>
        <v/>
      </c>
      <c r="B5521" s="233" t="inlineStr">
        <is>
          <t>708840</t>
        </is>
      </c>
      <c r="C5521" s="227" t="inlineStr">
        <is>
          <t>Refact salaires managers</t>
        </is>
      </c>
      <c r="D5521" s="233" t="inlineStr">
        <is>
          <t>11</t>
        </is>
      </c>
      <c r="E5521" s="233" t="inlineStr">
        <is>
          <t>10</t>
        </is>
      </c>
      <c r="F5521" s="227" t="inlineStr">
        <is>
          <t>GLR5</t>
        </is>
      </c>
    </row>
    <row r="5522">
      <c r="A5522" s="227">
        <f>TL[[#This Row],[Société]]&amp;" - "&amp;TL[[#This Row],[Compte]]</f>
        <v/>
      </c>
      <c r="B5522" s="233" t="inlineStr">
        <is>
          <t>708845</t>
        </is>
      </c>
      <c r="C5522" s="227" t="inlineStr">
        <is>
          <t>Refacturation uniformes</t>
        </is>
      </c>
      <c r="D5522" s="233" t="inlineStr">
        <is>
          <t>17</t>
        </is>
      </c>
      <c r="E5522" s="233" t="inlineStr">
        <is>
          <t>25</t>
        </is>
      </c>
      <c r="F5522" s="227" t="inlineStr">
        <is>
          <t>GLR5</t>
        </is>
      </c>
    </row>
    <row r="5523">
      <c r="A5523" s="227">
        <f>TL[[#This Row],[Société]]&amp;" - "&amp;TL[[#This Row],[Compte]]</f>
        <v/>
      </c>
      <c r="B5523" s="233" t="inlineStr">
        <is>
          <t>708850</t>
        </is>
      </c>
      <c r="C5523" s="227" t="inlineStr">
        <is>
          <t>Refact salaires equipiers</t>
        </is>
      </c>
      <c r="D5523" s="233" t="inlineStr">
        <is>
          <t>10</t>
        </is>
      </c>
      <c r="E5523" s="233" t="inlineStr">
        <is>
          <t>08</t>
        </is>
      </c>
      <c r="F5523" s="227" t="inlineStr">
        <is>
          <t>GLR5</t>
        </is>
      </c>
    </row>
    <row r="5524">
      <c r="A5524" s="227">
        <f>TL[[#This Row],[Société]]&amp;" - "&amp;TL[[#This Row],[Compte]]</f>
        <v/>
      </c>
      <c r="B5524" s="233" t="inlineStr">
        <is>
          <t>708855</t>
        </is>
      </c>
      <c r="C5524" s="227" t="inlineStr">
        <is>
          <t>Refacturation nourriture</t>
        </is>
      </c>
      <c r="D5524" s="233" t="inlineStr">
        <is>
          <t>06</t>
        </is>
      </c>
      <c r="E5524" s="233" t="inlineStr">
        <is>
          <t>03</t>
        </is>
      </c>
      <c r="F5524" s="227" t="inlineStr">
        <is>
          <t>GLR5</t>
        </is>
      </c>
    </row>
    <row r="5525">
      <c r="A5525" s="227">
        <f>TL[[#This Row],[Société]]&amp;" - "&amp;TL[[#This Row],[Compte]]</f>
        <v/>
      </c>
      <c r="B5525" s="233" t="inlineStr">
        <is>
          <t>708856</t>
        </is>
      </c>
      <c r="C5525" s="227" t="inlineStr">
        <is>
          <t>Refacturation matériels outill.</t>
        </is>
      </c>
      <c r="D5525" s="233" t="inlineStr">
        <is>
          <t>19</t>
        </is>
      </c>
      <c r="E5525" s="233" t="inlineStr">
        <is>
          <t>25</t>
        </is>
      </c>
      <c r="F5525" s="227" t="inlineStr">
        <is>
          <t>GLR5</t>
        </is>
      </c>
    </row>
    <row r="5526">
      <c r="A5526" s="227">
        <f>TL[[#This Row],[Société]]&amp;" - "&amp;TL[[#This Row],[Compte]]</f>
        <v/>
      </c>
      <c r="B5526" s="233" t="inlineStr">
        <is>
          <t>708857</t>
        </is>
      </c>
      <c r="C5526" s="227" t="inlineStr">
        <is>
          <t>Refact fournitures exploitation</t>
        </is>
      </c>
      <c r="D5526" s="233" t="inlineStr">
        <is>
          <t>18</t>
        </is>
      </c>
      <c r="E5526" s="233" t="inlineStr">
        <is>
          <t>25</t>
        </is>
      </c>
      <c r="F5526" s="227" t="inlineStr">
        <is>
          <t>GLR5</t>
        </is>
      </c>
    </row>
    <row r="5527">
      <c r="A5527" s="227">
        <f>TL[[#This Row],[Société]]&amp;" - "&amp;TL[[#This Row],[Compte]]</f>
        <v/>
      </c>
      <c r="B5527" s="233" t="inlineStr">
        <is>
          <t>708858</t>
        </is>
      </c>
      <c r="C5527" s="227" t="inlineStr">
        <is>
          <t>Refacturation emballage</t>
        </is>
      </c>
      <c r="D5527" s="233" t="inlineStr">
        <is>
          <t>03</t>
        </is>
      </c>
      <c r="E5527" s="233" t="inlineStr">
        <is>
          <t>06</t>
        </is>
      </c>
      <c r="F5527" s="227" t="inlineStr">
        <is>
          <t>GLR5</t>
        </is>
      </c>
    </row>
    <row r="5528">
      <c r="A5528" s="227">
        <f>TL[[#This Row],[Société]]&amp;" - "&amp;TL[[#This Row],[Compte]]</f>
        <v/>
      </c>
      <c r="B5528" s="233" t="inlineStr">
        <is>
          <t>708859</t>
        </is>
      </c>
      <c r="C5528" s="227" t="inlineStr">
        <is>
          <t>Refacturation repas pers techn</t>
        </is>
      </c>
      <c r="D5528" s="233" t="inlineStr">
        <is>
          <t>39</t>
        </is>
      </c>
      <c r="E5528" s="233" t="inlineStr">
        <is>
          <t>13</t>
        </is>
      </c>
      <c r="F5528" s="227" t="inlineStr">
        <is>
          <t>GLR5</t>
        </is>
      </c>
    </row>
    <row r="5529">
      <c r="A5529" s="227">
        <f>TL[[#This Row],[Société]]&amp;" - "&amp;TL[[#This Row],[Compte]]</f>
        <v/>
      </c>
      <c r="B5529" s="233" t="inlineStr">
        <is>
          <t>708860</t>
        </is>
      </c>
      <c r="C5529" s="227" t="inlineStr">
        <is>
          <t>Refacturation carburant</t>
        </is>
      </c>
      <c r="D5529" s="233" t="inlineStr">
        <is>
          <t>39</t>
        </is>
      </c>
      <c r="E5529" s="233" t="inlineStr">
        <is>
          <t>40</t>
        </is>
      </c>
      <c r="F5529" s="227" t="inlineStr">
        <is>
          <t>GLR5</t>
        </is>
      </c>
    </row>
    <row r="5530">
      <c r="A5530" s="227">
        <f>TL[[#This Row],[Société]]&amp;" - "&amp;TL[[#This Row],[Compte]]</f>
        <v/>
      </c>
      <c r="B5530" s="233" t="inlineStr">
        <is>
          <t>708861</t>
        </is>
      </c>
      <c r="C5530" s="227" t="inlineStr">
        <is>
          <t>Refacturation bureau</t>
        </is>
      </c>
      <c r="D5530" s="233" t="inlineStr">
        <is>
          <t>21</t>
        </is>
      </c>
      <c r="E5530" s="233" t="inlineStr">
        <is>
          <t>25</t>
        </is>
      </c>
      <c r="F5530" s="227" t="inlineStr">
        <is>
          <t>GLR5</t>
        </is>
      </c>
    </row>
    <row r="5531">
      <c r="A5531" s="227">
        <f>TL[[#This Row],[Société]]&amp;" - "&amp;TL[[#This Row],[Compte]]</f>
        <v/>
      </c>
      <c r="B5531" s="233" t="inlineStr">
        <is>
          <t>708862</t>
        </is>
      </c>
      <c r="C5531" s="227" t="inlineStr">
        <is>
          <t>Refacturation frais de deplacements</t>
        </is>
      </c>
      <c r="D5531" s="233" t="inlineStr">
        <is>
          <t>13</t>
        </is>
      </c>
      <c r="E5531" s="233" t="inlineStr">
        <is>
          <t>26</t>
        </is>
      </c>
      <c r="F5531" s="227" t="inlineStr">
        <is>
          <t>GLR5</t>
        </is>
      </c>
    </row>
    <row r="5532">
      <c r="A5532" s="227">
        <f>TL[[#This Row],[Société]]&amp;" - "&amp;TL[[#This Row],[Compte]]</f>
        <v/>
      </c>
      <c r="B5532" s="233" t="inlineStr">
        <is>
          <t>708863</t>
        </is>
      </c>
      <c r="C5532" s="227" t="inlineStr">
        <is>
          <t>Refacturation la poste</t>
        </is>
      </c>
      <c r="D5532" s="233" t="inlineStr">
        <is>
          <t>20</t>
        </is>
      </c>
      <c r="E5532" s="233" t="inlineStr">
        <is>
          <t>25</t>
        </is>
      </c>
      <c r="F5532" s="227" t="inlineStr">
        <is>
          <t>GLR5</t>
        </is>
      </c>
    </row>
    <row r="5533">
      <c r="A5533" s="227">
        <f>TL[[#This Row],[Société]]&amp;" - "&amp;TL[[#This Row],[Compte]]</f>
        <v/>
      </c>
      <c r="B5533" s="233" t="inlineStr">
        <is>
          <t>708864</t>
        </is>
      </c>
      <c r="C5533" s="227" t="inlineStr">
        <is>
          <t>Refacturation entret reparation</t>
        </is>
      </c>
      <c r="D5533" s="233" t="inlineStr">
        <is>
          <t>19</t>
        </is>
      </c>
      <c r="E5533" s="233" t="inlineStr">
        <is>
          <t>25</t>
        </is>
      </c>
      <c r="F5533" s="227" t="inlineStr">
        <is>
          <t>GLR5</t>
        </is>
      </c>
    </row>
    <row r="5534">
      <c r="A5534" s="227">
        <f>TL[[#This Row],[Société]]&amp;" - "&amp;TL[[#This Row],[Compte]]</f>
        <v/>
      </c>
      <c r="B5534" s="233" t="inlineStr">
        <is>
          <t>708865</t>
        </is>
      </c>
      <c r="C5534" s="227" t="inlineStr">
        <is>
          <t>Refacturation honoraires divers</t>
        </is>
      </c>
      <c r="D5534" s="233" t="inlineStr">
        <is>
          <t>32</t>
        </is>
      </c>
      <c r="E5534" s="233" t="inlineStr">
        <is>
          <t>35</t>
        </is>
      </c>
      <c r="F5534" s="227" t="inlineStr">
        <is>
          <t>GLR5</t>
        </is>
      </c>
    </row>
    <row r="5535">
      <c r="A5535" s="227">
        <f>TL[[#This Row],[Société]]&amp;" - "&amp;TL[[#This Row],[Compte]]</f>
        <v/>
      </c>
      <c r="B5535" s="233" t="inlineStr">
        <is>
          <t>708866</t>
        </is>
      </c>
      <c r="C5535" s="227" t="inlineStr">
        <is>
          <t>Mise a disposition jnal ouest franc</t>
        </is>
      </c>
      <c r="D5535" s="233" t="inlineStr">
        <is>
          <t>23</t>
        </is>
      </c>
      <c r="E5535" s="233" t="inlineStr">
        <is>
          <t>27</t>
        </is>
      </c>
      <c r="F5535" s="227" t="inlineStr">
        <is>
          <t>GLR5</t>
        </is>
      </c>
    </row>
    <row r="5536">
      <c r="A5536" s="227">
        <f>TL[[#This Row],[Société]]&amp;" - "&amp;TL[[#This Row],[Compte]]</f>
        <v/>
      </c>
      <c r="B5536" s="233" t="inlineStr">
        <is>
          <t>708867</t>
        </is>
      </c>
      <c r="C5536" s="227" t="inlineStr">
        <is>
          <t>Refacturation véhicule</t>
        </is>
      </c>
      <c r="D5536" s="233" t="inlineStr">
        <is>
          <t>39</t>
        </is>
      </c>
      <c r="E5536" s="233" t="inlineStr">
        <is>
          <t>40</t>
        </is>
      </c>
      <c r="F5536" s="227" t="inlineStr">
        <is>
          <t>GLR5</t>
        </is>
      </c>
    </row>
    <row r="5537">
      <c r="A5537" s="227">
        <f>TL[[#This Row],[Société]]&amp;" - "&amp;TL[[#This Row],[Compte]]</f>
        <v/>
      </c>
      <c r="B5537" s="233" t="inlineStr">
        <is>
          <t>708870</t>
        </is>
      </c>
      <c r="C5537" s="227" t="inlineStr">
        <is>
          <t>Gie opération de marché</t>
        </is>
      </c>
      <c r="D5537" s="233" t="inlineStr">
        <is>
          <t>15</t>
        </is>
      </c>
      <c r="E5537" s="233" t="inlineStr">
        <is>
          <t>23</t>
        </is>
      </c>
      <c r="F5537" s="227" t="inlineStr">
        <is>
          <t>GLR5</t>
        </is>
      </c>
    </row>
    <row r="5538">
      <c r="A5538" s="227">
        <f>TL[[#This Row],[Société]]&amp;" - "&amp;TL[[#This Row],[Compte]]</f>
        <v/>
      </c>
      <c r="B5538" s="233" t="inlineStr">
        <is>
          <t>708880</t>
        </is>
      </c>
      <c r="C5538" s="227" t="inlineStr">
        <is>
          <t>Coupons cinéma</t>
        </is>
      </c>
      <c r="D5538" s="233" t="inlineStr">
        <is>
          <t>62</t>
        </is>
      </c>
      <c r="E5538" s="233" t="inlineStr">
        <is>
          <t>50</t>
        </is>
      </c>
      <c r="F5538" s="227" t="inlineStr">
        <is>
          <t>GLR5</t>
        </is>
      </c>
    </row>
    <row r="5539">
      <c r="A5539" s="227">
        <f>TL[[#This Row],[Société]]&amp;" - "&amp;TL[[#This Row],[Compte]]</f>
        <v/>
      </c>
      <c r="B5539" s="233" t="inlineStr">
        <is>
          <t>708881</t>
        </is>
      </c>
      <c r="C5539" s="227" t="inlineStr">
        <is>
          <t>Refacturation cadeaux equip</t>
        </is>
      </c>
      <c r="D5539" s="233" t="inlineStr">
        <is>
          <t>23</t>
        </is>
      </c>
      <c r="E5539" s="233" t="inlineStr">
        <is>
          <t>27</t>
        </is>
      </c>
      <c r="F5539" s="227" t="inlineStr">
        <is>
          <t>GLR5</t>
        </is>
      </c>
    </row>
    <row r="5540">
      <c r="A5540" s="227">
        <f>TL[[#This Row],[Société]]&amp;" - "&amp;TL[[#This Row],[Compte]]</f>
        <v/>
      </c>
      <c r="B5540" s="233" t="inlineStr">
        <is>
          <t>708882</t>
        </is>
      </c>
      <c r="C5540" s="227" t="inlineStr">
        <is>
          <t>refatcuration loyer veh sabrina</t>
        </is>
      </c>
      <c r="D5540" s="233" t="inlineStr">
        <is>
          <t>39</t>
        </is>
      </c>
      <c r="E5540" s="233" t="inlineStr">
        <is>
          <t>40</t>
        </is>
      </c>
      <c r="F5540" s="227" t="inlineStr">
        <is>
          <t>GLR5</t>
        </is>
      </c>
    </row>
    <row r="5541">
      <c r="A5541" s="227">
        <f>TL[[#This Row],[Société]]&amp;" - "&amp;TL[[#This Row],[Compte]]</f>
        <v/>
      </c>
      <c r="B5541" s="233" t="inlineStr">
        <is>
          <t>708883</t>
        </is>
      </c>
      <c r="C5541" s="227" t="inlineStr">
        <is>
          <t>refatc uniformes</t>
        </is>
      </c>
      <c r="D5541" s="233" t="inlineStr">
        <is>
          <t>17</t>
        </is>
      </c>
      <c r="E5541" s="233" t="inlineStr">
        <is>
          <t>25</t>
        </is>
      </c>
      <c r="F5541" s="227" t="inlineStr">
        <is>
          <t>GLR5</t>
        </is>
      </c>
    </row>
    <row r="5542">
      <c r="A5542" s="227">
        <f>TL[[#This Row],[Société]]&amp;" - "&amp;TL[[#This Row],[Compte]]</f>
        <v/>
      </c>
      <c r="B5542" s="233" t="inlineStr">
        <is>
          <t>708884</t>
        </is>
      </c>
      <c r="C5542" s="227" t="inlineStr">
        <is>
          <t>refacturation repas</t>
        </is>
      </c>
      <c r="D5542" s="233" t="inlineStr">
        <is>
          <t>13</t>
        </is>
      </c>
      <c r="E5542" s="233" t="inlineStr">
        <is>
          <t>26</t>
        </is>
      </c>
      <c r="F5542" s="227" t="inlineStr">
        <is>
          <t>GLR5</t>
        </is>
      </c>
    </row>
    <row r="5543">
      <c r="A5543" s="227">
        <f>TL[[#This Row],[Société]]&amp;" - "&amp;TL[[#This Row],[Compte]]</f>
        <v/>
      </c>
      <c r="B5543" s="233" t="inlineStr">
        <is>
          <t>708885</t>
        </is>
      </c>
      <c r="C5543" s="227" t="inlineStr">
        <is>
          <t>refacturation assurance vehicule</t>
        </is>
      </c>
      <c r="D5543" s="233" t="inlineStr">
        <is>
          <t>39</t>
        </is>
      </c>
      <c r="E5543" s="233" t="inlineStr">
        <is>
          <t>16</t>
        </is>
      </c>
      <c r="F5543" s="227" t="inlineStr">
        <is>
          <t>GLR5</t>
        </is>
      </c>
    </row>
    <row r="5544">
      <c r="A5544" s="227">
        <f>TL[[#This Row],[Société]]&amp;" - "&amp;TL[[#This Row],[Compte]]</f>
        <v/>
      </c>
      <c r="B5544" s="233" t="inlineStr">
        <is>
          <t>708890</t>
        </is>
      </c>
      <c r="C5544" s="227" t="inlineStr">
        <is>
          <t>Refacturation publicite</t>
        </is>
      </c>
      <c r="D5544" s="233" t="inlineStr">
        <is>
          <t>15</t>
        </is>
      </c>
      <c r="E5544" s="233" t="inlineStr">
        <is>
          <t>22</t>
        </is>
      </c>
      <c r="F5544" s="227" t="inlineStr">
        <is>
          <t>GLR5</t>
        </is>
      </c>
    </row>
    <row r="5545">
      <c r="A5545" s="227">
        <f>TL[[#This Row],[Société]]&amp;" - "&amp;TL[[#This Row],[Compte]]</f>
        <v/>
      </c>
      <c r="B5545" s="233" t="inlineStr">
        <is>
          <t>726100</t>
        </is>
      </c>
      <c r="C5545" s="227" t="inlineStr">
        <is>
          <t>Avantage en nature Equipiers</t>
        </is>
      </c>
      <c r="D5545" s="233" t="inlineStr">
        <is>
          <t>10</t>
        </is>
      </c>
      <c r="E5545" s="233" t="inlineStr">
        <is>
          <t>08</t>
        </is>
      </c>
      <c r="F5545" s="227" t="inlineStr">
        <is>
          <t>GLR5</t>
        </is>
      </c>
    </row>
    <row r="5546">
      <c r="A5546" s="227">
        <f>TL[[#This Row],[Société]]&amp;" - "&amp;TL[[#This Row],[Compte]]</f>
        <v/>
      </c>
      <c r="B5546" s="233" t="inlineStr">
        <is>
          <t>726110</t>
        </is>
      </c>
      <c r="C5546" s="227" t="inlineStr">
        <is>
          <t>Avantage en nature Managers</t>
        </is>
      </c>
      <c r="D5546" s="233" t="inlineStr">
        <is>
          <t>11</t>
        </is>
      </c>
      <c r="E5546" s="233" t="inlineStr">
        <is>
          <t>10</t>
        </is>
      </c>
      <c r="F5546" s="227" t="inlineStr">
        <is>
          <t>GLR5</t>
        </is>
      </c>
    </row>
    <row r="5547">
      <c r="A5547" s="227">
        <f>TL[[#This Row],[Société]]&amp;" - "&amp;TL[[#This Row],[Compte]]</f>
        <v/>
      </c>
      <c r="B5547" s="233" t="inlineStr">
        <is>
          <t>740100</t>
        </is>
      </c>
      <c r="C5547" s="227" t="inlineStr">
        <is>
          <t>Subvention emploi</t>
        </is>
      </c>
      <c r="D5547" s="236" t="inlineStr">
        <is>
          <t>10</t>
        </is>
      </c>
      <c r="E5547" s="233" t="inlineStr">
        <is>
          <t>45</t>
        </is>
      </c>
      <c r="F5547" s="227" t="inlineStr">
        <is>
          <t>GLR5</t>
        </is>
      </c>
    </row>
    <row r="5548">
      <c r="A5548" s="227">
        <f>TL[[#This Row],[Société]]&amp;" - "&amp;TL[[#This Row],[Compte]]</f>
        <v/>
      </c>
      <c r="B5548" s="233" t="inlineStr">
        <is>
          <t>740200</t>
        </is>
      </c>
      <c r="C5548" s="227" t="inlineStr">
        <is>
          <t>Subvention equipement</t>
        </is>
      </c>
      <c r="D5548" s="233" t="inlineStr">
        <is>
          <t>39</t>
        </is>
      </c>
      <c r="E5548" s="233" t="inlineStr">
        <is>
          <t>45</t>
        </is>
      </c>
      <c r="F5548" s="227" t="inlineStr">
        <is>
          <t>GLR5</t>
        </is>
      </c>
    </row>
    <row r="5549">
      <c r="A5549" s="227">
        <f>TL[[#This Row],[Société]]&amp;" - "&amp;TL[[#This Row],[Compte]]</f>
        <v/>
      </c>
      <c r="B5549" s="233" t="inlineStr">
        <is>
          <t>740410</t>
        </is>
      </c>
      <c r="C5549" s="227" t="inlineStr">
        <is>
          <t>Aide fonds solidarité</t>
        </is>
      </c>
      <c r="D5549" s="233" t="inlineStr">
        <is>
          <t>39</t>
        </is>
      </c>
      <c r="E5549" s="233" t="inlineStr">
        <is>
          <t>45</t>
        </is>
      </c>
      <c r="F5549" s="227" t="inlineStr">
        <is>
          <t>GLR5</t>
        </is>
      </c>
    </row>
    <row r="5550">
      <c r="A5550" s="227">
        <f>TL[[#This Row],[Société]]&amp;" - "&amp;TL[[#This Row],[Compte]]</f>
        <v/>
      </c>
      <c r="B5550" s="233" t="inlineStr">
        <is>
          <t>758000</t>
        </is>
      </c>
      <c r="C5550" s="227" t="inlineStr">
        <is>
          <t>Prod.divers gestion courant</t>
        </is>
      </c>
      <c r="D5550" s="233" t="inlineStr">
        <is>
          <t>39</t>
        </is>
      </c>
      <c r="E5550" s="233" t="inlineStr">
        <is>
          <t>27</t>
        </is>
      </c>
      <c r="F5550" s="227" t="inlineStr">
        <is>
          <t>GLR5</t>
        </is>
      </c>
    </row>
    <row r="5551">
      <c r="A5551" s="227">
        <f>TL[[#This Row],[Société]]&amp;" - "&amp;TL[[#This Row],[Compte]]</f>
        <v/>
      </c>
      <c r="B5551" s="233" t="inlineStr">
        <is>
          <t>767000</t>
        </is>
      </c>
      <c r="C5551" s="227" t="inlineStr">
        <is>
          <t>Prod.nets s/cess.val.mob.pl</t>
        </is>
      </c>
      <c r="D5551" s="233" t="inlineStr">
        <is>
          <t>99</t>
        </is>
      </c>
      <c r="E5551" s="233" t="inlineStr">
        <is>
          <t>42</t>
        </is>
      </c>
      <c r="F5551" s="227" t="inlineStr">
        <is>
          <t>GLR5</t>
        </is>
      </c>
    </row>
    <row r="5552">
      <c r="A5552" s="227">
        <f>TL[[#This Row],[Société]]&amp;" - "&amp;TL[[#This Row],[Compte]]</f>
        <v/>
      </c>
      <c r="B5552" s="233" t="inlineStr">
        <is>
          <t>768200</t>
        </is>
      </c>
      <c r="C5552" s="227" t="inlineStr">
        <is>
          <t>Intérêts cep</t>
        </is>
      </c>
      <c r="D5552" s="233" t="inlineStr">
        <is>
          <t>38</t>
        </is>
      </c>
      <c r="E5552" s="233" t="inlineStr">
        <is>
          <t>17</t>
        </is>
      </c>
      <c r="F5552" s="227" t="inlineStr">
        <is>
          <t>GLR5</t>
        </is>
      </c>
    </row>
    <row r="5553">
      <c r="A5553" s="227">
        <f>TL[[#This Row],[Société]]&amp;" - "&amp;TL[[#This Row],[Compte]]</f>
        <v/>
      </c>
      <c r="B5553" s="233" t="inlineStr">
        <is>
          <t>771100</t>
        </is>
      </c>
      <c r="C5553" s="227" t="inlineStr">
        <is>
          <t>Ecarts de caisse</t>
        </is>
      </c>
      <c r="D5553" s="233" t="inlineStr">
        <is>
          <t>22</t>
        </is>
      </c>
      <c r="E5553" s="233" t="inlineStr">
        <is>
          <t>27</t>
        </is>
      </c>
      <c r="F5553" s="227" t="inlineStr">
        <is>
          <t>GLR5</t>
        </is>
      </c>
    </row>
    <row r="5554">
      <c r="A5554" s="227">
        <f>TL[[#This Row],[Société]]&amp;" - "&amp;TL[[#This Row],[Compte]]</f>
        <v/>
      </c>
      <c r="B5554" s="233" t="inlineStr">
        <is>
          <t>771200</t>
        </is>
      </c>
      <c r="C5554" s="227" t="inlineStr">
        <is>
          <t>Produits exceptionnels</t>
        </is>
      </c>
      <c r="D5554" s="233" t="inlineStr">
        <is>
          <t>39</t>
        </is>
      </c>
      <c r="E5554" s="233" t="inlineStr">
        <is>
          <t>45</t>
        </is>
      </c>
      <c r="F5554" s="227" t="inlineStr">
        <is>
          <t>GLR5</t>
        </is>
      </c>
    </row>
    <row r="5555">
      <c r="A5555" s="227">
        <f>TL[[#This Row],[Société]]&amp;" - "&amp;TL[[#This Row],[Compte]]</f>
        <v/>
      </c>
      <c r="B5555" s="233" t="inlineStr">
        <is>
          <t>771300</t>
        </is>
      </c>
      <c r="C5555" s="227" t="inlineStr">
        <is>
          <t>Ecarts de caisse</t>
        </is>
      </c>
      <c r="D5555" s="233" t="inlineStr">
        <is>
          <t>22</t>
        </is>
      </c>
      <c r="E5555" s="233" t="inlineStr">
        <is>
          <t>27</t>
        </is>
      </c>
      <c r="F5555" s="227" t="inlineStr">
        <is>
          <t>GLR5</t>
        </is>
      </c>
    </row>
    <row r="5556">
      <c r="A5556" s="227">
        <f>TL[[#This Row],[Société]]&amp;" - "&amp;TL[[#This Row],[Compte]]</f>
        <v/>
      </c>
      <c r="B5556" s="233" t="inlineStr">
        <is>
          <t>775000</t>
        </is>
      </c>
      <c r="C5556" s="227" t="inlineStr">
        <is>
          <t>Produits cessions éléments d'actif</t>
        </is>
      </c>
      <c r="F5556" s="227" t="inlineStr">
        <is>
          <t>GLR5</t>
        </is>
      </c>
    </row>
    <row r="5557">
      <c r="A5557" s="227">
        <f>TL[[#This Row],[Société]]&amp;" - "&amp;TL[[#This Row],[Compte]]</f>
        <v/>
      </c>
      <c r="B5557" s="233" t="inlineStr">
        <is>
          <t>775200</t>
        </is>
      </c>
      <c r="C5557" s="227" t="inlineStr">
        <is>
          <t>Prod cessions actifs - Immo corp</t>
        </is>
      </c>
      <c r="F5557" s="227" t="inlineStr">
        <is>
          <t>GLR5</t>
        </is>
      </c>
    </row>
    <row r="5558">
      <c r="A5558" s="227">
        <f>TL[[#This Row],[Société]]&amp;" - "&amp;TL[[#This Row],[Compte]]</f>
        <v/>
      </c>
      <c r="B5558" s="233" t="inlineStr">
        <is>
          <t>777170</t>
        </is>
      </c>
      <c r="C5558" s="227" t="inlineStr">
        <is>
          <t>Quote part subventions</t>
        </is>
      </c>
      <c r="D5558" s="233" t="inlineStr">
        <is>
          <t>39</t>
        </is>
      </c>
      <c r="E5558" s="233" t="inlineStr">
        <is>
          <t>42</t>
        </is>
      </c>
      <c r="F5558" s="227" t="inlineStr">
        <is>
          <t>GLR5</t>
        </is>
      </c>
    </row>
    <row r="5559">
      <c r="A5559" s="227">
        <f>TL[[#This Row],[Société]]&amp;" - "&amp;TL[[#This Row],[Compte]]</f>
        <v/>
      </c>
      <c r="B5559" s="233" t="inlineStr">
        <is>
          <t>781110</t>
        </is>
      </c>
      <c r="C5559" s="227" t="inlineStr">
        <is>
          <t>Cree par cegid</t>
        </is>
      </c>
      <c r="F5559" s="227" t="inlineStr">
        <is>
          <t>GLR5</t>
        </is>
      </c>
    </row>
    <row r="5560">
      <c r="A5560" s="227">
        <f>TL[[#This Row],[Société]]&amp;" - "&amp;TL[[#This Row],[Compte]]</f>
        <v/>
      </c>
      <c r="B5560" s="233" t="inlineStr">
        <is>
          <t>781120</t>
        </is>
      </c>
      <c r="C5560" s="227" t="inlineStr">
        <is>
          <t>Reprises sur amort. immo. corpo.</t>
        </is>
      </c>
      <c r="F5560" s="227" t="inlineStr">
        <is>
          <t>GLR5</t>
        </is>
      </c>
    </row>
    <row r="5561">
      <c r="A5561" s="227">
        <f>TL[[#This Row],[Société]]&amp;" - "&amp;TL[[#This Row],[Compte]]</f>
        <v/>
      </c>
      <c r="B5561" s="233" t="inlineStr">
        <is>
          <t>787250</t>
        </is>
      </c>
      <c r="C5561" s="227" t="inlineStr">
        <is>
          <t>Cree par cegid</t>
        </is>
      </c>
      <c r="F5561" s="227" t="inlineStr">
        <is>
          <t>GLR5</t>
        </is>
      </c>
    </row>
    <row r="5562">
      <c r="A5562" s="227">
        <f>TL[[#This Row],[Société]]&amp;" - "&amp;TL[[#This Row],[Compte]]</f>
        <v/>
      </c>
      <c r="B5562" s="233" t="inlineStr">
        <is>
          <t>787500</t>
        </is>
      </c>
      <c r="C5562" s="227" t="inlineStr">
        <is>
          <t>Repris.s/prov.risques charges excep</t>
        </is>
      </c>
      <c r="D5562" s="233" t="inlineStr">
        <is>
          <t>39</t>
        </is>
      </c>
      <c r="E5562" s="233" t="inlineStr">
        <is>
          <t>38</t>
        </is>
      </c>
      <c r="F5562" s="227" t="inlineStr">
        <is>
          <t>GLR5</t>
        </is>
      </c>
    </row>
    <row r="5563">
      <c r="A5563" s="227">
        <f>TL[[#This Row],[Société]]&amp;" - "&amp;TL[[#This Row],[Compte]]</f>
        <v/>
      </c>
      <c r="B5563" s="233" t="inlineStr">
        <is>
          <t>791000</t>
        </is>
      </c>
      <c r="C5563" s="227" t="inlineStr">
        <is>
          <t>Transfert charges exploitat</t>
        </is>
      </c>
      <c r="D5563" s="233" t="inlineStr">
        <is>
          <t>39</t>
        </is>
      </c>
      <c r="E5563" s="233" t="inlineStr">
        <is>
          <t>40</t>
        </is>
      </c>
      <c r="F5563" s="227" t="inlineStr">
        <is>
          <t>GLR5</t>
        </is>
      </c>
    </row>
    <row r="5564">
      <c r="A5564" s="227">
        <f>TL[[#This Row],[Société]]&amp;" - "&amp;TL[[#This Row],[Compte]]</f>
        <v/>
      </c>
      <c r="B5564" s="233" t="inlineStr">
        <is>
          <t>791010</t>
        </is>
      </c>
      <c r="C5564" s="227" t="inlineStr">
        <is>
          <t>Transf. charges équipiers</t>
        </is>
      </c>
      <c r="D5564" s="233" t="inlineStr">
        <is>
          <t>10</t>
        </is>
      </c>
      <c r="E5564" s="233" t="inlineStr">
        <is>
          <t>08</t>
        </is>
      </c>
      <c r="F5564" s="227" t="inlineStr">
        <is>
          <t>GLR5</t>
        </is>
      </c>
    </row>
    <row r="5565">
      <c r="A5565" s="227">
        <f>TL[[#This Row],[Société]]&amp;" - "&amp;TL[[#This Row],[Compte]]</f>
        <v/>
      </c>
      <c r="B5565" s="233" t="inlineStr">
        <is>
          <t>791100</t>
        </is>
      </c>
      <c r="C5565" s="227" t="inlineStr">
        <is>
          <t>Avantage nature equipiers</t>
        </is>
      </c>
      <c r="D5565" s="233" t="inlineStr">
        <is>
          <t>10</t>
        </is>
      </c>
      <c r="E5565" s="233" t="inlineStr">
        <is>
          <t>08</t>
        </is>
      </c>
      <c r="F5565" s="227" t="inlineStr">
        <is>
          <t>GLR5</t>
        </is>
      </c>
    </row>
    <row r="5566">
      <c r="A5566" s="227">
        <f>TL[[#This Row],[Société]]&amp;" - "&amp;TL[[#This Row],[Compte]]</f>
        <v/>
      </c>
      <c r="B5566" s="233" t="inlineStr">
        <is>
          <t>791104</t>
        </is>
      </c>
      <c r="C5566" s="227" t="inlineStr">
        <is>
          <t>Avantage en nature voiture</t>
        </is>
      </c>
      <c r="D5566" s="233" t="inlineStr">
        <is>
          <t>11</t>
        </is>
      </c>
      <c r="E5566" s="233" t="inlineStr">
        <is>
          <t>10</t>
        </is>
      </c>
      <c r="F5566" s="227" t="inlineStr">
        <is>
          <t>GLR5</t>
        </is>
      </c>
    </row>
    <row r="5567">
      <c r="A5567" s="227">
        <f>TL[[#This Row],[Société]]&amp;" - "&amp;TL[[#This Row],[Compte]]</f>
        <v/>
      </c>
      <c r="B5567" s="233" t="inlineStr">
        <is>
          <t>791110</t>
        </is>
      </c>
      <c r="C5567" s="227" t="inlineStr">
        <is>
          <t>Avantage nature assistants</t>
        </is>
      </c>
      <c r="D5567" s="233" t="inlineStr">
        <is>
          <t>11</t>
        </is>
      </c>
      <c r="E5567" s="233" t="inlineStr">
        <is>
          <t>10</t>
        </is>
      </c>
      <c r="F5567" s="227" t="inlineStr">
        <is>
          <t>GLR5</t>
        </is>
      </c>
    </row>
    <row r="5568">
      <c r="A5568" s="227">
        <f>TL[[#This Row],[Société]]&amp;" - "&amp;TL[[#This Row],[Compte]]</f>
        <v/>
      </c>
      <c r="B5568" s="233" t="inlineStr">
        <is>
          <t>890000</t>
        </is>
      </c>
      <c r="C5568" s="227" t="inlineStr">
        <is>
          <t>Compte de bilan</t>
        </is>
      </c>
      <c r="F5568" s="227" t="inlineStr">
        <is>
          <t>GLR5</t>
        </is>
      </c>
    </row>
    <row r="5569">
      <c r="A5569" s="227">
        <f>TL[[#This Row],[Société]]&amp;" - "&amp;TL[[#This Row],[Compte]]</f>
        <v/>
      </c>
      <c r="B5569" s="234" t="inlineStr">
        <is>
          <t>603211</t>
        </is>
      </c>
      <c r="C5569" s="230" t="inlineStr">
        <is>
          <t>Variation stock vaisselle</t>
        </is>
      </c>
      <c r="D5569" s="234" t="inlineStr">
        <is>
          <t>06</t>
        </is>
      </c>
      <c r="E5569" s="234" t="inlineStr">
        <is>
          <t>6.1</t>
        </is>
      </c>
      <c r="F5569" s="230" t="inlineStr">
        <is>
          <t>GLR5</t>
        </is>
      </c>
    </row>
    <row r="5570">
      <c r="A5570" s="227">
        <f>TL[[#This Row],[Société]]&amp;" - "&amp;TL[[#This Row],[Compte]]</f>
        <v/>
      </c>
      <c r="B5570" s="234" t="inlineStr">
        <is>
          <t>708100</t>
        </is>
      </c>
      <c r="C5570" s="230" t="inlineStr">
        <is>
          <t>Refacturation huiles usagées</t>
        </is>
      </c>
      <c r="D5570" s="234" t="inlineStr">
        <is>
          <t>06</t>
        </is>
      </c>
      <c r="E5570" s="234" t="inlineStr">
        <is>
          <t>19</t>
        </is>
      </c>
      <c r="F5570" s="230" t="inlineStr">
        <is>
          <t>GLR5</t>
        </is>
      </c>
    </row>
    <row r="5571">
      <c r="A5571" s="227">
        <f>TL[[#This Row],[Société]]&amp;" - "&amp;TL[[#This Row],[Compte]]</f>
        <v/>
      </c>
      <c r="B5571" s="235" t="inlineStr">
        <is>
          <t>641064</t>
        </is>
      </c>
      <c r="C5571" s="227" t="inlineStr">
        <is>
          <t>Avantage nature assistants repas</t>
        </is>
      </c>
      <c r="D5571" s="235" t="inlineStr">
        <is>
          <t>11</t>
        </is>
      </c>
      <c r="E5571" s="235" t="inlineStr">
        <is>
          <t>10</t>
        </is>
      </c>
      <c r="F5571" s="231" t="inlineStr">
        <is>
          <t>HART</t>
        </is>
      </c>
    </row>
    <row r="5572">
      <c r="A5572" s="227">
        <f>TL[[#This Row],[Société]]&amp;" - "&amp;TL[[#This Row],[Compte]]</f>
        <v/>
      </c>
      <c r="B5572" s="235" t="inlineStr">
        <is>
          <t>641064</t>
        </is>
      </c>
      <c r="C5572" s="227" t="inlineStr">
        <is>
          <t>Avantage nature assistants repas</t>
        </is>
      </c>
      <c r="D5572" s="235" t="inlineStr">
        <is>
          <t>11</t>
        </is>
      </c>
      <c r="E5572" s="235" t="inlineStr">
        <is>
          <t>10</t>
        </is>
      </c>
      <c r="F5572" s="231" t="inlineStr">
        <is>
          <t>HART</t>
        </is>
      </c>
    </row>
    <row r="5573">
      <c r="A5573" s="227">
        <f>TL[[#This Row],[Société]]&amp;" - "&amp;TL[[#This Row],[Compte]]</f>
        <v/>
      </c>
      <c r="B5573" s="235" t="inlineStr">
        <is>
          <t>603210</t>
        </is>
      </c>
      <c r="C5573" s="227" t="inlineStr">
        <is>
          <t>Variation stock pdt non cos</t>
        </is>
      </c>
      <c r="D5573" s="235" t="inlineStr">
        <is>
          <t>62</t>
        </is>
      </c>
      <c r="E5573" s="233" t="inlineStr">
        <is>
          <t>51</t>
        </is>
      </c>
      <c r="F5573" s="231" t="inlineStr">
        <is>
          <t>HART</t>
        </is>
      </c>
    </row>
    <row r="5574">
      <c r="A5574" s="227">
        <f>TL[[#This Row],[Société]]&amp;" - "&amp;TL[[#This Row],[Compte]]</f>
        <v/>
      </c>
      <c r="B5574" s="236" t="inlineStr">
        <is>
          <t>60321100</t>
        </is>
      </c>
      <c r="C5574" s="227" t="inlineStr">
        <is>
          <t>Variation stocks vaisselle</t>
        </is>
      </c>
      <c r="D5574" s="235" t="inlineStr">
        <is>
          <t>06</t>
        </is>
      </c>
      <c r="E5574" s="233" t="inlineStr">
        <is>
          <t>6.1</t>
        </is>
      </c>
      <c r="F5574" s="231" t="inlineStr">
        <is>
          <t>R314</t>
        </is>
      </c>
    </row>
    <row r="5575">
      <c r="A5575" s="227">
        <f>TL[[#This Row],[Société]]&amp;" - "&amp;TL[[#This Row],[Compte]]</f>
        <v/>
      </c>
      <c r="B5575" s="236" t="inlineStr">
        <is>
          <t>61566500</t>
        </is>
      </c>
      <c r="C5575" s="227" t="inlineStr">
        <is>
          <t>Contrat steeple</t>
        </is>
      </c>
      <c r="D5575" s="235" t="inlineStr">
        <is>
          <t>16</t>
        </is>
      </c>
      <c r="E5575" s="233" t="inlineStr">
        <is>
          <t>19</t>
        </is>
      </c>
      <c r="F5575" s="231" t="inlineStr">
        <is>
          <t>R314</t>
        </is>
      </c>
    </row>
    <row r="5576">
      <c r="A5576" s="227">
        <f>TL[[#This Row],[Société]]&amp;" - "&amp;TL[[#This Row],[Compte]]</f>
        <v/>
      </c>
      <c r="B5576" s="236" t="inlineStr">
        <is>
          <t>61354200</t>
        </is>
      </c>
      <c r="C5576" s="227" t="inlineStr">
        <is>
          <t>LOYER VOITURE SANS PERMIS</t>
        </is>
      </c>
      <c r="D5576" s="235" t="inlineStr">
        <is>
          <t>39</t>
        </is>
      </c>
      <c r="E5576" s="233" t="inlineStr">
        <is>
          <t>40</t>
        </is>
      </c>
      <c r="F5576" s="231" t="inlineStr">
        <is>
          <t>R314</t>
        </is>
      </c>
    </row>
    <row r="5577">
      <c r="A5577" s="227">
        <f>TL[[#This Row],[Société]]&amp;" - "&amp;TL[[#This Row],[Compte]]</f>
        <v/>
      </c>
      <c r="B5577" s="236" t="inlineStr">
        <is>
          <t>62621000</t>
        </is>
      </c>
      <c r="C5577" s="227" t="inlineStr">
        <is>
          <t>Télephonie</t>
        </is>
      </c>
      <c r="D5577" s="235" t="inlineStr">
        <is>
          <t>39</t>
        </is>
      </c>
      <c r="E5577" s="233" t="inlineStr">
        <is>
          <t>40</t>
        </is>
      </c>
      <c r="F5577" s="231" t="inlineStr">
        <is>
          <t>R314</t>
        </is>
      </c>
    </row>
    <row r="5578">
      <c r="A5578" s="227">
        <f>TL[[#This Row],[Société]]&amp;" - "&amp;TL[[#This Row],[Compte]]</f>
        <v/>
      </c>
      <c r="B5578" s="236" t="inlineStr">
        <is>
          <t>64110300</t>
        </is>
      </c>
      <c r="C5578" s="227" t="inlineStr">
        <is>
          <t>Salaires reclassés PNL</t>
        </is>
      </c>
      <c r="D5578" s="235" t="inlineStr">
        <is>
          <t>39</t>
        </is>
      </c>
      <c r="E5578" s="233" t="inlineStr">
        <is>
          <t>40</t>
        </is>
      </c>
      <c r="F5578" s="231" t="inlineStr">
        <is>
          <t>R314</t>
        </is>
      </c>
    </row>
    <row r="5579">
      <c r="A5579" s="227">
        <f>TL[[#This Row],[Société]]&amp;" - "&amp;TL[[#This Row],[Compte]]</f>
        <v/>
      </c>
      <c r="B5579" s="236" t="inlineStr">
        <is>
          <t>70883010</t>
        </is>
      </c>
      <c r="C5579" s="227" t="inlineStr">
        <is>
          <t>Refacturation carburant</t>
        </is>
      </c>
      <c r="D5579" s="235" t="inlineStr">
        <is>
          <t>39</t>
        </is>
      </c>
      <c r="E5579" s="233" t="inlineStr">
        <is>
          <t>40</t>
        </is>
      </c>
      <c r="F5579" s="231" t="inlineStr">
        <is>
          <t>R314</t>
        </is>
      </c>
    </row>
    <row r="5580">
      <c r="A5580" s="227">
        <f>TL[[#This Row],[Société]]&amp;" - "&amp;TL[[#This Row],[Compte]]</f>
        <v/>
      </c>
      <c r="B5580" s="236" t="inlineStr">
        <is>
          <t>70883020</t>
        </is>
      </c>
      <c r="C5580" s="227" t="inlineStr">
        <is>
          <t>Refacturation assurance véhicule</t>
        </is>
      </c>
      <c r="D5580" s="235" t="inlineStr">
        <is>
          <t>39</t>
        </is>
      </c>
      <c r="E5580" s="233" t="inlineStr">
        <is>
          <t>40</t>
        </is>
      </c>
      <c r="F5580" s="231" t="inlineStr">
        <is>
          <t>R314</t>
        </is>
      </c>
    </row>
    <row r="5581">
      <c r="A5581" s="227">
        <f>TL[[#This Row],[Société]]&amp;" - "&amp;TL[[#This Row],[Compte]]</f>
        <v/>
      </c>
      <c r="B5581" s="236" t="inlineStr">
        <is>
          <t>70883030</t>
        </is>
      </c>
      <c r="C5581" s="227" t="inlineStr">
        <is>
          <t>Refacturation entretien de véhicule</t>
        </is>
      </c>
      <c r="D5581" s="235" t="inlineStr">
        <is>
          <t>39</t>
        </is>
      </c>
      <c r="E5581" s="233" t="inlineStr">
        <is>
          <t>40</t>
        </is>
      </c>
      <c r="F5581" s="231" t="inlineStr">
        <is>
          <t>R314</t>
        </is>
      </c>
    </row>
    <row r="5582">
      <c r="A5582" s="227">
        <f>TL[[#This Row],[Société]]&amp;" - "&amp;TL[[#This Row],[Compte]]</f>
        <v/>
      </c>
      <c r="B5582" s="236" t="inlineStr">
        <is>
          <t>70810410</t>
        </is>
      </c>
      <c r="C5582" s="227" t="inlineStr">
        <is>
          <t>Prêt de personnel manager cotis°</t>
        </is>
      </c>
      <c r="D5582" s="236" t="inlineStr">
        <is>
          <t>12</t>
        </is>
      </c>
      <c r="E5582" s="236" t="inlineStr">
        <is>
          <t>11</t>
        </is>
      </c>
      <c r="F5582" s="232" t="inlineStr">
        <is>
          <t>HTR8</t>
        </is>
      </c>
    </row>
    <row r="5583">
      <c r="A5583" s="227">
        <f>TL[[#This Row],[Société]]&amp;" - "&amp;TL[[#This Row],[Compte]]</f>
        <v/>
      </c>
      <c r="B5583" s="236" t="inlineStr">
        <is>
          <t>625210</t>
        </is>
      </c>
      <c r="C5583" s="227" t="inlineStr">
        <is>
          <t>Frais de déplacement</t>
        </is>
      </c>
      <c r="D5583" s="236" t="inlineStr">
        <is>
          <t>13</t>
        </is>
      </c>
      <c r="E5583" s="236" t="inlineStr">
        <is>
          <t>26</t>
        </is>
      </c>
      <c r="F5583" s="232" t="inlineStr">
        <is>
          <t>TIRR</t>
        </is>
      </c>
    </row>
    <row r="5584">
      <c r="A5584" s="227">
        <f>TL[[#This Row],[Société]]&amp;" - "&amp;TL[[#This Row],[Compte]]</f>
        <v/>
      </c>
      <c r="B5584" s="236" t="inlineStr">
        <is>
          <t>613527</t>
        </is>
      </c>
      <c r="C5584" s="227" t="inlineStr">
        <is>
          <t>Loyer voiture rafray</t>
        </is>
      </c>
      <c r="D5584" s="236" t="inlineStr">
        <is>
          <t>39</t>
        </is>
      </c>
      <c r="E5584" s="236" t="inlineStr">
        <is>
          <t>40</t>
        </is>
      </c>
      <c r="F5584" s="232" t="inlineStr">
        <is>
          <t>TIRR</t>
        </is>
      </c>
    </row>
    <row r="5585">
      <c r="A5585" s="227">
        <f>TL[[#This Row],[Société]]&amp;" - "&amp;TL[[#This Row],[Compte]]</f>
        <v/>
      </c>
      <c r="B5585" s="233" t="inlineStr">
        <is>
          <t>602612</t>
        </is>
      </c>
      <c r="C5585" s="227" t="inlineStr">
        <is>
          <t>VAISSELLE</t>
        </is>
      </c>
      <c r="D5585" s="236" t="inlineStr">
        <is>
          <t>06</t>
        </is>
      </c>
      <c r="E5585" s="236" t="inlineStr">
        <is>
          <t>6.1</t>
        </is>
      </c>
      <c r="F5585" s="232" t="inlineStr">
        <is>
          <t>VR7</t>
        </is>
      </c>
    </row>
    <row r="5586">
      <c r="A5586" s="227">
        <f>TL[[#This Row],[Société]]&amp;" - "&amp;TL[[#This Row],[Compte]]</f>
        <v/>
      </c>
      <c r="B5586" s="233" t="inlineStr">
        <is>
          <t>603220</t>
        </is>
      </c>
      <c r="C5586" s="227" t="inlineStr">
        <is>
          <t>Var stock vaisselle Re-Use</t>
        </is>
      </c>
      <c r="D5586" s="236" t="inlineStr">
        <is>
          <t>06</t>
        </is>
      </c>
      <c r="E5586" s="236" t="inlineStr">
        <is>
          <t>6.1</t>
        </is>
      </c>
      <c r="F5586" s="232" t="inlineStr">
        <is>
          <t>VR7</t>
        </is>
      </c>
    </row>
    <row r="5587">
      <c r="A5587" s="227">
        <f>TL[[#This Row],[Société]]&amp;" - "&amp;TL[[#This Row],[Compte]]</f>
        <v/>
      </c>
      <c r="B5587" s="236" t="inlineStr">
        <is>
          <t>602612</t>
        </is>
      </c>
      <c r="C5587" s="227" t="inlineStr">
        <is>
          <t>Vaisselle réutilisable</t>
        </is>
      </c>
      <c r="D5587" s="233" t="inlineStr">
        <is>
          <t>06</t>
        </is>
      </c>
      <c r="E5587" s="233" t="inlineStr">
        <is>
          <t>6.1</t>
        </is>
      </c>
      <c r="F5587" s="232" t="inlineStr">
        <is>
          <t>TURVILLA</t>
        </is>
      </c>
    </row>
    <row r="5588">
      <c r="A5588" s="227">
        <f>TL[[#This Row],[Société]]&amp;" - "&amp;TL[[#This Row],[Compte]]</f>
        <v/>
      </c>
      <c r="B5588" s="236" t="inlineStr">
        <is>
          <t>603201</t>
        </is>
      </c>
      <c r="C5588" s="227" t="inlineStr">
        <is>
          <t>Variat. stocks vaisselle</t>
        </is>
      </c>
      <c r="D5588" s="233" t="inlineStr">
        <is>
          <t>06</t>
        </is>
      </c>
      <c r="E5588" s="233" t="inlineStr">
        <is>
          <t>6.1</t>
        </is>
      </c>
      <c r="F5588" s="232" t="inlineStr">
        <is>
          <t>TURVILLA</t>
        </is>
      </c>
    </row>
    <row r="5589">
      <c r="A5589" s="227">
        <f>TL[[#This Row],[Société]]&amp;" - "&amp;TL[[#This Row],[Compte]]</f>
        <v/>
      </c>
      <c r="B5589" s="233" t="inlineStr">
        <is>
          <t>606612</t>
        </is>
      </c>
      <c r="C5589" s="227" t="inlineStr">
        <is>
          <t>VAISSELLE</t>
        </is>
      </c>
      <c r="D5589" s="236" t="inlineStr">
        <is>
          <t>06</t>
        </is>
      </c>
      <c r="E5589" s="236" t="inlineStr">
        <is>
          <t>6.1</t>
        </is>
      </c>
      <c r="F5589" s="232" t="inlineStr">
        <is>
          <t>HART</t>
        </is>
      </c>
    </row>
    <row r="5590">
      <c r="A5590" s="227">
        <f>TL[[#This Row],[Société]]&amp;" - "&amp;TL[[#This Row],[Compte]]</f>
        <v/>
      </c>
      <c r="B5590" s="233" t="inlineStr">
        <is>
          <t>651003</t>
        </is>
      </c>
      <c r="C5590" s="227" t="inlineStr">
        <is>
          <t>Redevance Sacem</t>
        </is>
      </c>
      <c r="D5590" s="236" t="inlineStr">
        <is>
          <t>16</t>
        </is>
      </c>
      <c r="E5590" s="236" t="inlineStr">
        <is>
          <t>19</t>
        </is>
      </c>
      <c r="F5590" s="232" t="inlineStr">
        <is>
          <t>HART</t>
        </is>
      </c>
    </row>
    <row r="5591">
      <c r="A5591" s="227">
        <f>TL[[#This Row],[Société]]&amp;" - "&amp;TL[[#This Row],[Compte]]</f>
        <v/>
      </c>
      <c r="B5591" s="233" t="inlineStr">
        <is>
          <t>602612</t>
        </is>
      </c>
      <c r="C5591" s="227" t="inlineStr">
        <is>
          <t>Vaisselle réutilisable</t>
        </is>
      </c>
      <c r="D5591" s="236" t="inlineStr">
        <is>
          <t>06</t>
        </is>
      </c>
      <c r="E5591" s="236" t="inlineStr">
        <is>
          <t>6.1</t>
        </is>
      </c>
      <c r="F5591" s="232" t="inlineStr">
        <is>
          <t>VICTOIRE</t>
        </is>
      </c>
    </row>
    <row r="5592">
      <c r="A5592" s="227">
        <f>TL[[#This Row],[Société]]&amp;" - "&amp;TL[[#This Row],[Compte]]</f>
        <v/>
      </c>
      <c r="B5592" s="233" t="inlineStr">
        <is>
          <t>603201</t>
        </is>
      </c>
      <c r="C5592" s="227" t="inlineStr">
        <is>
          <t>Variat. stock vaisselle</t>
        </is>
      </c>
      <c r="D5592" s="236" t="inlineStr">
        <is>
          <t>06</t>
        </is>
      </c>
      <c r="E5592" s="236" t="inlineStr">
        <is>
          <t>6.1</t>
        </is>
      </c>
      <c r="F5592" s="227" t="inlineStr">
        <is>
          <t>VICTOIRE</t>
        </is>
      </c>
    </row>
    <row r="5593">
      <c r="A5593" s="227">
        <f>TL[[#This Row],[Société]]&amp;" - "&amp;TL[[#This Row],[Compte]]</f>
        <v/>
      </c>
      <c r="B5593" s="233" t="inlineStr">
        <is>
          <t>621401</t>
        </is>
      </c>
      <c r="C5593" s="227" t="inlineStr">
        <is>
          <t>Personnel prété équipiers cot°</t>
        </is>
      </c>
      <c r="D5593" s="236" t="inlineStr">
        <is>
          <t>10</t>
        </is>
      </c>
      <c r="E5593" s="236" t="inlineStr">
        <is>
          <t>10</t>
        </is>
      </c>
      <c r="F5593" s="227" t="inlineStr">
        <is>
          <t>VICTOIRE</t>
        </is>
      </c>
    </row>
    <row r="5594">
      <c r="A5594" s="227">
        <f>TL[[#This Row],[Société]]&amp;" - "&amp;TL[[#This Row],[Compte]]</f>
        <v/>
      </c>
      <c r="B5594" s="233" t="inlineStr">
        <is>
          <t>621405</t>
        </is>
      </c>
      <c r="C5594" s="227" t="inlineStr">
        <is>
          <t>Personnel marketing</t>
        </is>
      </c>
      <c r="D5594" s="236" t="inlineStr">
        <is>
          <t>10</t>
        </is>
      </c>
      <c r="E5594" s="236" t="inlineStr">
        <is>
          <t>13</t>
        </is>
      </c>
      <c r="F5594" s="227" t="inlineStr">
        <is>
          <t>VICTOIRE</t>
        </is>
      </c>
    </row>
    <row r="5595">
      <c r="A5595" s="227">
        <f>TL[[#This Row],[Société]]&amp;" - "&amp;TL[[#This Row],[Compte]]</f>
        <v/>
      </c>
      <c r="B5595" s="233" t="inlineStr">
        <is>
          <t>611111</t>
        </is>
      </c>
      <c r="C5595" s="227" t="inlineStr">
        <is>
          <t>Traitement des eaux</t>
        </is>
      </c>
      <c r="D5595" s="236" t="inlineStr">
        <is>
          <t>16</t>
        </is>
      </c>
      <c r="E5595" s="236" t="inlineStr">
        <is>
          <t>19</t>
        </is>
      </c>
      <c r="F5595" s="227" t="inlineStr">
        <is>
          <t>VICTOIRE</t>
        </is>
      </c>
    </row>
    <row r="5596">
      <c r="A5596" s="227">
        <f>TL[[#This Row],[Société]]&amp;" - "&amp;TL[[#This Row],[Compte]]</f>
        <v/>
      </c>
      <c r="B5596" s="233" t="inlineStr">
        <is>
          <t>615625</t>
        </is>
      </c>
      <c r="C5596" s="227" t="inlineStr">
        <is>
          <t>Maint. lave verres</t>
        </is>
      </c>
      <c r="D5596" s="236" t="inlineStr">
        <is>
          <t>16</t>
        </is>
      </c>
      <c r="E5596" s="236" t="inlineStr">
        <is>
          <t>19</t>
        </is>
      </c>
      <c r="F5596" s="227" t="inlineStr">
        <is>
          <t>VICTOIRE</t>
        </is>
      </c>
    </row>
    <row r="5597">
      <c r="A5597" s="227">
        <f>TL[[#This Row],[Société]]&amp;" - "&amp;TL[[#This Row],[Compte]]</f>
        <v/>
      </c>
      <c r="B5597" s="233" t="inlineStr">
        <is>
          <t>623415</t>
        </is>
      </c>
      <c r="C5597" s="227" t="inlineStr">
        <is>
          <t>Premium</t>
        </is>
      </c>
      <c r="D5597" s="236" t="inlineStr">
        <is>
          <t>15</t>
        </is>
      </c>
      <c r="E5597" s="236" t="inlineStr">
        <is>
          <t>23</t>
        </is>
      </c>
      <c r="F5597" s="227" t="inlineStr">
        <is>
          <t>VICTOIRE</t>
        </is>
      </c>
    </row>
    <row r="5598">
      <c r="A5598" s="227">
        <f>TL[[#This Row],[Société]]&amp;" - "&amp;TL[[#This Row],[Compte]]</f>
        <v/>
      </c>
      <c r="B5598" s="233" t="inlineStr">
        <is>
          <t>613260</t>
        </is>
      </c>
      <c r="C5598" s="227" t="inlineStr">
        <is>
          <t>Loyer véhicule b. wassa</t>
        </is>
      </c>
      <c r="D5598" s="236" t="inlineStr">
        <is>
          <t>39</t>
        </is>
      </c>
      <c r="E5598" s="236" t="inlineStr">
        <is>
          <t>40</t>
        </is>
      </c>
      <c r="F5598" s="227" t="inlineStr">
        <is>
          <t>VICTOIRE</t>
        </is>
      </c>
    </row>
    <row r="5599">
      <c r="A5599" s="227">
        <f>TL[[#This Row],[Société]]&amp;" - "&amp;TL[[#This Row],[Compte]]</f>
        <v/>
      </c>
      <c r="B5599" s="233" t="inlineStr">
        <is>
          <t>613261</t>
        </is>
      </c>
      <c r="C5599" s="227" t="inlineStr">
        <is>
          <t>Loyer véhicule t. rego</t>
        </is>
      </c>
      <c r="D5599" s="236" t="inlineStr">
        <is>
          <t>39</t>
        </is>
      </c>
      <c r="E5599" s="236" t="inlineStr">
        <is>
          <t>40</t>
        </is>
      </c>
      <c r="F5599" s="227" t="inlineStr">
        <is>
          <t>VICTOIRE</t>
        </is>
      </c>
    </row>
    <row r="5600">
      <c r="A5600" s="227">
        <f>TL[[#This Row],[Société]]&amp;" - "&amp;TL[[#This Row],[Compte]]</f>
        <v/>
      </c>
      <c r="B5600" s="233" t="inlineStr">
        <is>
          <t>613262</t>
        </is>
      </c>
      <c r="C5600" s="227" t="inlineStr">
        <is>
          <t>Loyer véhicule b.r. phoeuk</t>
        </is>
      </c>
      <c r="D5600" s="233" t="inlineStr">
        <is>
          <t>39</t>
        </is>
      </c>
      <c r="E5600" s="236" t="inlineStr">
        <is>
          <t>40</t>
        </is>
      </c>
      <c r="F5600" s="227" t="inlineStr">
        <is>
          <t>VICTOIRE</t>
        </is>
      </c>
    </row>
    <row r="5601">
      <c r="A5601" s="227">
        <f>TL[[#This Row],[Société]]&amp;" - "&amp;TL[[#This Row],[Compte]]</f>
        <v/>
      </c>
      <c r="B5601" s="233" t="inlineStr">
        <is>
          <t>613264</t>
        </is>
      </c>
      <c r="C5601" s="227" t="inlineStr">
        <is>
          <t>Loyer véhicule m. lanos</t>
        </is>
      </c>
      <c r="D5601" s="233" t="inlineStr">
        <is>
          <t>39</t>
        </is>
      </c>
      <c r="E5601" s="236" t="inlineStr">
        <is>
          <t>40</t>
        </is>
      </c>
      <c r="F5601" s="227" t="inlineStr">
        <is>
          <t>VICTOIRE</t>
        </is>
      </c>
    </row>
    <row r="5602">
      <c r="A5602" s="227">
        <f>TL[[#This Row],[Société]]&amp;" - "&amp;TL[[#This Row],[Compte]]</f>
        <v/>
      </c>
      <c r="B5602" s="233" t="inlineStr">
        <is>
          <t>625220</t>
        </is>
      </c>
      <c r="C5602" s="227" t="inlineStr">
        <is>
          <t>Voyages et deplacement bun rath</t>
        </is>
      </c>
      <c r="D5602" s="233" t="inlineStr">
        <is>
          <t>39</t>
        </is>
      </c>
      <c r="E5602" s="236" t="inlineStr">
        <is>
          <t>40</t>
        </is>
      </c>
      <c r="F5602" s="227" t="inlineStr">
        <is>
          <t>VICTOIRE</t>
        </is>
      </c>
    </row>
    <row r="5603">
      <c r="A5603" s="227">
        <f>TL[[#This Row],[Société]]&amp;" - "&amp;TL[[#This Row],[Compte]]</f>
        <v/>
      </c>
      <c r="B5603" s="233" t="inlineStr">
        <is>
          <t>60321000</t>
        </is>
      </c>
      <c r="C5603" s="227" t="inlineStr">
        <is>
          <t>Variat. stock vaisselle reuse</t>
        </is>
      </c>
      <c r="D5603" s="236" t="inlineStr">
        <is>
          <t>06</t>
        </is>
      </c>
      <c r="E5603" s="236" t="inlineStr">
        <is>
          <t>6.1</t>
        </is>
      </c>
      <c r="F5603" s="232" t="inlineStr">
        <is>
          <t>TH4</t>
        </is>
      </c>
    </row>
    <row r="5604">
      <c r="A5604" s="227">
        <f>TL[[#This Row],[Société]]&amp;" - "&amp;TL[[#This Row],[Compte]]</f>
        <v/>
      </c>
      <c r="B5604" s="233" t="inlineStr">
        <is>
          <t>606612</t>
        </is>
      </c>
      <c r="C5604" s="227" t="inlineStr">
        <is>
          <t>Vaisselle</t>
        </is>
      </c>
      <c r="D5604" s="233" t="inlineStr">
        <is>
          <t>06</t>
        </is>
      </c>
      <c r="E5604" s="233" t="inlineStr">
        <is>
          <t>6.1</t>
        </is>
      </c>
      <c r="F5604" s="232" t="inlineStr">
        <is>
          <t>LYSE</t>
        </is>
      </c>
    </row>
    <row r="5605">
      <c r="A5605" s="227">
        <f>TL[[#This Row],[Société]]&amp;" - "&amp;TL[[#This Row],[Compte]]</f>
        <v/>
      </c>
      <c r="B5605" s="233" t="inlineStr">
        <is>
          <t>10130000</t>
        </is>
      </c>
      <c r="C5605" s="227" t="inlineStr">
        <is>
          <t>Capit.souscrit appelé versé</t>
        </is>
      </c>
      <c r="F5605" s="237" t="inlineStr">
        <is>
          <t>DIVES</t>
        </is>
      </c>
    </row>
    <row r="5606">
      <c r="A5606" s="227">
        <f>TL[[#This Row],[Société]]&amp;" - "&amp;TL[[#This Row],[Compte]]</f>
        <v/>
      </c>
      <c r="B5606" s="233" t="inlineStr">
        <is>
          <t>10610000</t>
        </is>
      </c>
      <c r="C5606" s="227" t="inlineStr">
        <is>
          <t>Réserve légale</t>
        </is>
      </c>
      <c r="F5606" s="237" t="inlineStr">
        <is>
          <t>DIVES</t>
        </is>
      </c>
    </row>
    <row r="5607">
      <c r="A5607" s="227">
        <f>TL[[#This Row],[Société]]&amp;" - "&amp;TL[[#This Row],[Compte]]</f>
        <v/>
      </c>
      <c r="B5607" s="233" t="inlineStr">
        <is>
          <t>10680000</t>
        </is>
      </c>
      <c r="C5607" s="227" t="inlineStr">
        <is>
          <t>Autres reserves</t>
        </is>
      </c>
      <c r="F5607" s="237" t="inlineStr">
        <is>
          <t>DIVES</t>
        </is>
      </c>
    </row>
    <row r="5608">
      <c r="A5608" s="227">
        <f>TL[[#This Row],[Société]]&amp;" - "&amp;TL[[#This Row],[Compte]]</f>
        <v/>
      </c>
      <c r="B5608" s="233" t="inlineStr">
        <is>
          <t>10681000</t>
        </is>
      </c>
      <c r="C5608" s="227" t="inlineStr">
        <is>
          <t>Réserve spéciale Oeuvre d'art</t>
        </is>
      </c>
      <c r="F5608" s="237" t="inlineStr">
        <is>
          <t>DIVES</t>
        </is>
      </c>
    </row>
    <row r="5609">
      <c r="A5609" s="227">
        <f>TL[[#This Row],[Société]]&amp;" - "&amp;TL[[#This Row],[Compte]]</f>
        <v/>
      </c>
      <c r="B5609" s="233" t="inlineStr">
        <is>
          <t>12000000</t>
        </is>
      </c>
      <c r="C5609" s="227" t="inlineStr">
        <is>
          <t>Bénéfice</t>
        </is>
      </c>
      <c r="F5609" s="237" t="inlineStr">
        <is>
          <t>DIVES</t>
        </is>
      </c>
    </row>
    <row r="5610">
      <c r="A5610" s="227">
        <f>TL[[#This Row],[Société]]&amp;" - "&amp;TL[[#This Row],[Compte]]</f>
        <v/>
      </c>
      <c r="B5610" s="233" t="inlineStr">
        <is>
          <t>12900000</t>
        </is>
      </c>
      <c r="C5610" s="227" t="inlineStr">
        <is>
          <t>Resultat exercice perte</t>
        </is>
      </c>
      <c r="F5610" s="237" t="inlineStr">
        <is>
          <t>DIVES</t>
        </is>
      </c>
    </row>
    <row r="5611">
      <c r="A5611" s="227">
        <f>TL[[#This Row],[Société]]&amp;" - "&amp;TL[[#This Row],[Compte]]</f>
        <v/>
      </c>
      <c r="B5611" s="233" t="inlineStr">
        <is>
          <t>14500000</t>
        </is>
      </c>
      <c r="C5611" s="227" t="inlineStr">
        <is>
          <t>Amortissements dérogatoires</t>
        </is>
      </c>
      <c r="F5611" s="237" t="inlineStr">
        <is>
          <t>DIVES</t>
        </is>
      </c>
    </row>
    <row r="5612">
      <c r="A5612" s="227">
        <f>TL[[#This Row],[Société]]&amp;" - "&amp;TL[[#This Row],[Compte]]</f>
        <v/>
      </c>
      <c r="B5612" s="233" t="inlineStr">
        <is>
          <t>15180000</t>
        </is>
      </c>
      <c r="C5612" s="227" t="inlineStr">
        <is>
          <t>Autres prov pour risques</t>
        </is>
      </c>
      <c r="F5612" s="237" t="inlineStr">
        <is>
          <t>DIVES</t>
        </is>
      </c>
    </row>
    <row r="5613">
      <c r="A5613" s="227">
        <f>TL[[#This Row],[Société]]&amp;" - "&amp;TL[[#This Row],[Compte]]</f>
        <v/>
      </c>
      <c r="B5613" s="233" t="inlineStr">
        <is>
          <t>15300000</t>
        </is>
      </c>
      <c r="C5613" s="227" t="inlineStr">
        <is>
          <t>Provisions pensions &amp; obligat.simil</t>
        </is>
      </c>
      <c r="F5613" s="237" t="inlineStr">
        <is>
          <t>DIVES</t>
        </is>
      </c>
    </row>
    <row r="5614">
      <c r="A5614" s="227">
        <f>TL[[#This Row],[Société]]&amp;" - "&amp;TL[[#This Row],[Compte]]</f>
        <v/>
      </c>
      <c r="B5614" s="233" t="inlineStr">
        <is>
          <t>15800000</t>
        </is>
      </c>
      <c r="C5614" s="227" t="inlineStr">
        <is>
          <t>Autres provisions pour charges</t>
        </is>
      </c>
      <c r="F5614" s="237" t="inlineStr">
        <is>
          <t>DIVES</t>
        </is>
      </c>
    </row>
    <row r="5615">
      <c r="A5615" s="227">
        <f>TL[[#This Row],[Société]]&amp;" - "&amp;TL[[#This Row],[Compte]]</f>
        <v/>
      </c>
      <c r="B5615" s="233" t="inlineStr">
        <is>
          <t>16400000</t>
        </is>
      </c>
      <c r="C5615" s="227" t="inlineStr">
        <is>
          <t>Prêt remodel SG 900 000 €</t>
        </is>
      </c>
      <c r="F5615" s="237" t="inlineStr">
        <is>
          <t>DIVES</t>
        </is>
      </c>
    </row>
    <row r="5616">
      <c r="A5616" s="227">
        <f>TL[[#This Row],[Société]]&amp;" - "&amp;TL[[#This Row],[Compte]]</f>
        <v/>
      </c>
      <c r="B5616" s="233" t="inlineStr">
        <is>
          <t>16410000</t>
        </is>
      </c>
      <c r="C5616" s="227" t="inlineStr">
        <is>
          <t>Prêt travaux terrasse CA 250 000 €</t>
        </is>
      </c>
      <c r="F5616" s="237" t="inlineStr">
        <is>
          <t>DIVES</t>
        </is>
      </c>
    </row>
    <row r="5617">
      <c r="A5617" s="227">
        <f>TL[[#This Row],[Société]]&amp;" - "&amp;TL[[#This Row],[Compte]]</f>
        <v/>
      </c>
      <c r="B5617" s="233" t="inlineStr">
        <is>
          <t>16420000</t>
        </is>
      </c>
      <c r="C5617" s="227" t="inlineStr">
        <is>
          <t>Prêt PGE 30 000 €</t>
        </is>
      </c>
      <c r="F5617" s="237" t="inlineStr">
        <is>
          <t>DIVES</t>
        </is>
      </c>
    </row>
    <row r="5618">
      <c r="A5618" s="227">
        <f>TL[[#This Row],[Société]]&amp;" - "&amp;TL[[#This Row],[Compte]]</f>
        <v/>
      </c>
      <c r="B5618" s="233" t="inlineStr">
        <is>
          <t>16880000</t>
        </is>
      </c>
      <c r="C5618" s="227" t="inlineStr">
        <is>
          <t>Interets courus /emprunts</t>
        </is>
      </c>
      <c r="F5618" s="237" t="inlineStr">
        <is>
          <t>DIVES</t>
        </is>
      </c>
    </row>
    <row r="5619">
      <c r="A5619" s="227">
        <f>TL[[#This Row],[Société]]&amp;" - "&amp;TL[[#This Row],[Compte]]</f>
        <v/>
      </c>
      <c r="B5619" s="233" t="inlineStr">
        <is>
          <t>20110000</t>
        </is>
      </c>
      <c r="C5619" s="227" t="inlineStr">
        <is>
          <t>Frais d etablissement</t>
        </is>
      </c>
      <c r="F5619" s="237" t="inlineStr">
        <is>
          <t>DIVES</t>
        </is>
      </c>
    </row>
    <row r="5620">
      <c r="A5620" s="227">
        <f>TL[[#This Row],[Société]]&amp;" - "&amp;TL[[#This Row],[Compte]]</f>
        <v/>
      </c>
      <c r="B5620" s="233" t="inlineStr">
        <is>
          <t>20500000</t>
        </is>
      </c>
      <c r="C5620" s="227" t="inlineStr">
        <is>
          <t>Logiciels</t>
        </is>
      </c>
      <c r="F5620" s="237" t="inlineStr">
        <is>
          <t>DIVES</t>
        </is>
      </c>
    </row>
    <row r="5621">
      <c r="A5621" s="227">
        <f>TL[[#This Row],[Société]]&amp;" - "&amp;TL[[#This Row],[Compte]]</f>
        <v/>
      </c>
      <c r="B5621" s="233" t="inlineStr">
        <is>
          <t>21530000</t>
        </is>
      </c>
      <c r="C5621" s="227" t="inlineStr">
        <is>
          <t>33/08 - remplacement batterie ondul</t>
        </is>
      </c>
      <c r="F5621" s="237" t="inlineStr">
        <is>
          <t>DIVES</t>
        </is>
      </c>
    </row>
    <row r="5622">
      <c r="A5622" s="227">
        <f>TL[[#This Row],[Société]]&amp;" - "&amp;TL[[#This Row],[Compte]]</f>
        <v/>
      </c>
      <c r="B5622" s="233" t="inlineStr">
        <is>
          <t>21540000</t>
        </is>
      </c>
      <c r="C5622" s="227" t="inlineStr">
        <is>
          <t>Materiel de cuisine</t>
        </is>
      </c>
      <c r="F5622" s="237" t="inlineStr">
        <is>
          <t>DIVES</t>
        </is>
      </c>
    </row>
    <row r="5623">
      <c r="A5623" s="227">
        <f>TL[[#This Row],[Société]]&amp;" - "&amp;TL[[#This Row],[Compte]]</f>
        <v/>
      </c>
      <c r="B5623" s="233" t="inlineStr">
        <is>
          <t>21550000</t>
        </is>
      </c>
      <c r="C5623" s="227" t="inlineStr">
        <is>
          <t>Outillage industriel</t>
        </is>
      </c>
      <c r="F5623" s="237" t="inlineStr">
        <is>
          <t>DIVES</t>
        </is>
      </c>
    </row>
    <row r="5624">
      <c r="A5624" s="227">
        <f>TL[[#This Row],[Société]]&amp;" - "&amp;TL[[#This Row],[Compte]]</f>
        <v/>
      </c>
      <c r="B5624" s="233" t="inlineStr">
        <is>
          <t>21810000</t>
        </is>
      </c>
      <c r="C5624" s="227" t="inlineStr">
        <is>
          <t>Aai divers</t>
        </is>
      </c>
      <c r="F5624" s="237" t="inlineStr">
        <is>
          <t>DIVES</t>
        </is>
      </c>
    </row>
    <row r="5625">
      <c r="A5625" s="227">
        <f>TL[[#This Row],[Société]]&amp;" - "&amp;TL[[#This Row],[Compte]]</f>
        <v/>
      </c>
      <c r="B5625" s="233" t="inlineStr">
        <is>
          <t>21820000</t>
        </is>
      </c>
      <c r="C5625" s="227" t="inlineStr">
        <is>
          <t>Matériel de transport</t>
        </is>
      </c>
      <c r="F5625" s="237" t="inlineStr">
        <is>
          <t>DIVES</t>
        </is>
      </c>
    </row>
    <row r="5626">
      <c r="A5626" s="227">
        <f>TL[[#This Row],[Société]]&amp;" - "&amp;TL[[#This Row],[Compte]]</f>
        <v/>
      </c>
      <c r="B5626" s="233" t="inlineStr">
        <is>
          <t>21830000</t>
        </is>
      </c>
      <c r="C5626" s="227" t="inlineStr">
        <is>
          <t>Materiel bureau et info.</t>
        </is>
      </c>
      <c r="F5626" s="237" t="inlineStr">
        <is>
          <t>DIVES</t>
        </is>
      </c>
    </row>
    <row r="5627">
      <c r="A5627" s="227">
        <f>TL[[#This Row],[Société]]&amp;" - "&amp;TL[[#This Row],[Compte]]</f>
        <v/>
      </c>
      <c r="B5627" s="233" t="inlineStr">
        <is>
          <t>21840000</t>
        </is>
      </c>
      <c r="C5627" s="227" t="inlineStr">
        <is>
          <t>Mobilier de restaurant</t>
        </is>
      </c>
      <c r="F5627" s="237" t="inlineStr">
        <is>
          <t>DIVES</t>
        </is>
      </c>
    </row>
    <row r="5628">
      <c r="A5628" s="227">
        <f>TL[[#This Row],[Société]]&amp;" - "&amp;TL[[#This Row],[Compte]]</f>
        <v/>
      </c>
      <c r="B5628" s="233" t="inlineStr">
        <is>
          <t>23150000</t>
        </is>
      </c>
      <c r="C5628" s="227" t="inlineStr">
        <is>
          <t>Installations techniques en cours</t>
        </is>
      </c>
      <c r="F5628" s="237" t="inlineStr">
        <is>
          <t>DIVES</t>
        </is>
      </c>
    </row>
    <row r="5629">
      <c r="A5629" s="227">
        <f>TL[[#This Row],[Société]]&amp;" - "&amp;TL[[#This Row],[Compte]]</f>
        <v/>
      </c>
      <c r="B5629" s="233" t="inlineStr">
        <is>
          <t>23850000</t>
        </is>
      </c>
      <c r="C5629" s="227" t="inlineStr">
        <is>
          <t>Avances sur installations technique</t>
        </is>
      </c>
      <c r="F5629" s="237" t="inlineStr">
        <is>
          <t>DIVES</t>
        </is>
      </c>
    </row>
    <row r="5630">
      <c r="A5630" s="227">
        <f>TL[[#This Row],[Société]]&amp;" - "&amp;TL[[#This Row],[Compte]]</f>
        <v/>
      </c>
      <c r="B5630" s="233" t="inlineStr">
        <is>
          <t>27510000</t>
        </is>
      </c>
      <c r="C5630" s="227" t="inlineStr">
        <is>
          <t>Depots de garantie</t>
        </is>
      </c>
      <c r="F5630" s="237" t="inlineStr">
        <is>
          <t>DIVES</t>
        </is>
      </c>
    </row>
    <row r="5631">
      <c r="A5631" s="227">
        <f>TL[[#This Row],[Société]]&amp;" - "&amp;TL[[#This Row],[Compte]]</f>
        <v/>
      </c>
      <c r="B5631" s="233" t="inlineStr">
        <is>
          <t>27550000</t>
        </is>
      </c>
      <c r="C5631" s="227" t="inlineStr">
        <is>
          <t>Cautionnements</t>
        </is>
      </c>
      <c r="F5631" s="237" t="inlineStr">
        <is>
          <t>DIVES</t>
        </is>
      </c>
    </row>
    <row r="5632">
      <c r="A5632" s="227">
        <f>TL[[#This Row],[Société]]&amp;" - "&amp;TL[[#This Row],[Compte]]</f>
        <v/>
      </c>
      <c r="B5632" s="233" t="inlineStr">
        <is>
          <t>28011000</t>
        </is>
      </c>
      <c r="C5632" s="227" t="inlineStr">
        <is>
          <t>Amort.frais etablissement</t>
        </is>
      </c>
      <c r="F5632" s="237" t="inlineStr">
        <is>
          <t>DIVES</t>
        </is>
      </c>
    </row>
    <row r="5633">
      <c r="A5633" s="227">
        <f>TL[[#This Row],[Société]]&amp;" - "&amp;TL[[#This Row],[Compte]]</f>
        <v/>
      </c>
      <c r="B5633" s="233" t="inlineStr">
        <is>
          <t>28050000</t>
        </is>
      </c>
      <c r="C5633" s="227" t="inlineStr">
        <is>
          <t>Amort. logiciels</t>
        </is>
      </c>
      <c r="F5633" s="237" t="inlineStr">
        <is>
          <t>DIVES</t>
        </is>
      </c>
    </row>
    <row r="5634">
      <c r="A5634" s="227">
        <f>TL[[#This Row],[Société]]&amp;" - "&amp;TL[[#This Row],[Compte]]</f>
        <v/>
      </c>
      <c r="B5634" s="233" t="inlineStr">
        <is>
          <t>28154000</t>
        </is>
      </c>
      <c r="C5634" s="227" t="inlineStr">
        <is>
          <t>Amort materiel de cuisine</t>
        </is>
      </c>
      <c r="F5634" s="237" t="inlineStr">
        <is>
          <t>DIVES</t>
        </is>
      </c>
    </row>
    <row r="5635">
      <c r="A5635" s="227">
        <f>TL[[#This Row],[Société]]&amp;" - "&amp;TL[[#This Row],[Compte]]</f>
        <v/>
      </c>
      <c r="B5635" s="233" t="inlineStr">
        <is>
          <t>28155000</t>
        </is>
      </c>
      <c r="C5635" s="227" t="inlineStr">
        <is>
          <t>Amort.outillage industriel</t>
        </is>
      </c>
      <c r="F5635" s="237" t="inlineStr">
        <is>
          <t>DIVES</t>
        </is>
      </c>
    </row>
    <row r="5636">
      <c r="A5636" s="227">
        <f>TL[[#This Row],[Société]]&amp;" - "&amp;TL[[#This Row],[Compte]]</f>
        <v/>
      </c>
      <c r="B5636" s="233" t="inlineStr">
        <is>
          <t>28181000</t>
        </is>
      </c>
      <c r="C5636" s="227" t="inlineStr">
        <is>
          <t>Amort.aai divers</t>
        </is>
      </c>
      <c r="F5636" s="237" t="inlineStr">
        <is>
          <t>DIVES</t>
        </is>
      </c>
    </row>
    <row r="5637">
      <c r="A5637" s="227">
        <f>TL[[#This Row],[Société]]&amp;" - "&amp;TL[[#This Row],[Compte]]</f>
        <v/>
      </c>
      <c r="B5637" s="233" t="inlineStr">
        <is>
          <t>28183000</t>
        </is>
      </c>
      <c r="C5637" s="227" t="inlineStr">
        <is>
          <t>Amort.mat.bureau et info.</t>
        </is>
      </c>
      <c r="F5637" s="237" t="inlineStr">
        <is>
          <t>DIVES</t>
        </is>
      </c>
    </row>
    <row r="5638">
      <c r="A5638" s="227">
        <f>TL[[#This Row],[Société]]&amp;" - "&amp;TL[[#This Row],[Compte]]</f>
        <v/>
      </c>
      <c r="B5638" s="233" t="inlineStr">
        <is>
          <t>28184000</t>
        </is>
      </c>
      <c r="C5638" s="227" t="inlineStr">
        <is>
          <t>Amort mobilier restaurant</t>
        </is>
      </c>
      <c r="F5638" s="237" t="inlineStr">
        <is>
          <t>DIVES</t>
        </is>
      </c>
    </row>
    <row r="5639">
      <c r="A5639" s="227">
        <f>TL[[#This Row],[Société]]&amp;" - "&amp;TL[[#This Row],[Compte]]</f>
        <v/>
      </c>
      <c r="B5639" s="233" t="inlineStr">
        <is>
          <t>31000000</t>
        </is>
      </c>
      <c r="C5639" s="227" t="inlineStr">
        <is>
          <t>Stock nourriture</t>
        </is>
      </c>
      <c r="F5639" s="237" t="inlineStr">
        <is>
          <t>DIVES</t>
        </is>
      </c>
    </row>
    <row r="5640">
      <c r="A5640" s="227">
        <f>TL[[#This Row],[Société]]&amp;" - "&amp;TL[[#This Row],[Compte]]</f>
        <v/>
      </c>
      <c r="B5640" s="233" t="inlineStr">
        <is>
          <t>32000000</t>
        </is>
      </c>
      <c r="C5640" s="227" t="inlineStr">
        <is>
          <t>Stock d'emballage</t>
        </is>
      </c>
      <c r="F5640" s="237" t="inlineStr">
        <is>
          <t>DIVES</t>
        </is>
      </c>
    </row>
    <row r="5641">
      <c r="A5641" s="227">
        <f>TL[[#This Row],[Société]]&amp;" - "&amp;TL[[#This Row],[Compte]]</f>
        <v/>
      </c>
      <c r="B5641" s="233" t="inlineStr">
        <is>
          <t>32100000</t>
        </is>
      </c>
      <c r="C5641" s="227" t="inlineStr">
        <is>
          <t>Stock pdts non alimentaires</t>
        </is>
      </c>
      <c r="F5641" s="237" t="inlineStr">
        <is>
          <t>DIVES</t>
        </is>
      </c>
    </row>
    <row r="5642">
      <c r="A5642" s="227">
        <f>TL[[#This Row],[Société]]&amp;" - "&amp;TL[[#This Row],[Compte]]</f>
        <v/>
      </c>
      <c r="B5642" s="233" t="inlineStr">
        <is>
          <t>40100000</t>
        </is>
      </c>
      <c r="C5642" s="227" t="inlineStr">
        <is>
          <t>Fournisseurs</t>
        </is>
      </c>
      <c r="F5642" s="237" t="inlineStr">
        <is>
          <t>DIVES</t>
        </is>
      </c>
    </row>
    <row r="5643">
      <c r="A5643" s="227">
        <f>TL[[#This Row],[Société]]&amp;" - "&amp;TL[[#This Row],[Compte]]</f>
        <v/>
      </c>
      <c r="B5643" s="233" t="inlineStr">
        <is>
          <t>40400000</t>
        </is>
      </c>
      <c r="C5643" s="227" t="inlineStr">
        <is>
          <t>Fournisseurs d'immobilis.</t>
        </is>
      </c>
      <c r="F5643" s="237" t="inlineStr">
        <is>
          <t>DIVES</t>
        </is>
      </c>
    </row>
    <row r="5644">
      <c r="A5644" s="227">
        <f>TL[[#This Row],[Société]]&amp;" - "&amp;TL[[#This Row],[Compte]]</f>
        <v/>
      </c>
      <c r="B5644" s="233" t="inlineStr">
        <is>
          <t>40810000</t>
        </is>
      </c>
      <c r="C5644" s="227" t="inlineStr">
        <is>
          <t>Fourniss.fact.non parvenues</t>
        </is>
      </c>
      <c r="F5644" s="237" t="inlineStr">
        <is>
          <t>DIVES</t>
        </is>
      </c>
    </row>
    <row r="5645">
      <c r="A5645" s="227">
        <f>TL[[#This Row],[Société]]&amp;" - "&amp;TL[[#This Row],[Compte]]</f>
        <v/>
      </c>
      <c r="B5645" s="233" t="inlineStr">
        <is>
          <t>40910000</t>
        </is>
      </c>
      <c r="C5645" s="227" t="inlineStr">
        <is>
          <t>Fourn.av.acpt verses/comm</t>
        </is>
      </c>
      <c r="F5645" s="237" t="inlineStr">
        <is>
          <t>DIVES</t>
        </is>
      </c>
    </row>
    <row r="5646">
      <c r="A5646" s="227">
        <f>TL[[#This Row],[Société]]&amp;" - "&amp;TL[[#This Row],[Compte]]</f>
        <v/>
      </c>
      <c r="B5646" s="233" t="inlineStr">
        <is>
          <t>40960000</t>
        </is>
      </c>
      <c r="C5646" s="227" t="inlineStr">
        <is>
          <t>Frs créa-mat à rendre</t>
        </is>
      </c>
      <c r="F5646" s="237" t="inlineStr">
        <is>
          <t>DIVES</t>
        </is>
      </c>
    </row>
    <row r="5647">
      <c r="A5647" s="227">
        <f>TL[[#This Row],[Société]]&amp;" - "&amp;TL[[#This Row],[Compte]]</f>
        <v/>
      </c>
      <c r="B5647" s="233" t="inlineStr">
        <is>
          <t>40970000</t>
        </is>
      </c>
      <c r="C5647" s="227" t="inlineStr">
        <is>
          <t>Fourniss. autres avoirs</t>
        </is>
      </c>
      <c r="F5647" s="237" t="inlineStr">
        <is>
          <t>DIVES</t>
        </is>
      </c>
    </row>
    <row r="5648">
      <c r="A5648" s="227">
        <f>TL[[#This Row],[Société]]&amp;" - "&amp;TL[[#This Row],[Compte]]</f>
        <v/>
      </c>
      <c r="B5648" s="233" t="inlineStr">
        <is>
          <t>40980000</t>
        </is>
      </c>
      <c r="C5648" s="227" t="inlineStr">
        <is>
          <t>Rrr a obtenir  avr à recev.</t>
        </is>
      </c>
      <c r="F5648" s="237" t="inlineStr">
        <is>
          <t>DIVES</t>
        </is>
      </c>
    </row>
    <row r="5649">
      <c r="A5649" s="227">
        <f>TL[[#This Row],[Société]]&amp;" - "&amp;TL[[#This Row],[Compte]]</f>
        <v/>
      </c>
      <c r="B5649" s="233" t="inlineStr">
        <is>
          <t>41100000</t>
        </is>
      </c>
      <c r="C5649" s="227" t="inlineStr">
        <is>
          <t>Clients</t>
        </is>
      </c>
      <c r="F5649" s="237" t="inlineStr">
        <is>
          <t>DIVES</t>
        </is>
      </c>
    </row>
    <row r="5650">
      <c r="A5650" s="227">
        <f>TL[[#This Row],[Société]]&amp;" - "&amp;TL[[#This Row],[Compte]]</f>
        <v/>
      </c>
      <c r="B5650" s="233" t="inlineStr">
        <is>
          <t>41110000</t>
        </is>
      </c>
      <c r="C5650" s="227" t="inlineStr">
        <is>
          <t>FA Bourg Achard  réfection trottoir</t>
        </is>
      </c>
      <c r="F5650" s="237" t="inlineStr">
        <is>
          <t>DIVES</t>
        </is>
      </c>
    </row>
    <row r="5651">
      <c r="A5651" s="227">
        <f>TL[[#This Row],[Société]]&amp;" - "&amp;TL[[#This Row],[Compte]]</f>
        <v/>
      </c>
      <c r="B5651" s="233" t="inlineStr">
        <is>
          <t>41600000</t>
        </is>
      </c>
      <c r="C5651" s="227" t="inlineStr">
        <is>
          <t>Clients douteux litigieux</t>
        </is>
      </c>
      <c r="F5651" s="237" t="inlineStr">
        <is>
          <t>DIVES</t>
        </is>
      </c>
    </row>
    <row r="5652">
      <c r="A5652" s="227">
        <f>TL[[#This Row],[Société]]&amp;" - "&amp;TL[[#This Row],[Compte]]</f>
        <v/>
      </c>
      <c r="B5652" s="233" t="inlineStr">
        <is>
          <t>41810000</t>
        </is>
      </c>
      <c r="C5652" s="227" t="inlineStr">
        <is>
          <t>Factures à etablir</t>
        </is>
      </c>
      <c r="F5652" s="237" t="inlineStr">
        <is>
          <t>DIVES</t>
        </is>
      </c>
    </row>
    <row r="5653">
      <c r="A5653" s="227">
        <f>TL[[#This Row],[Société]]&amp;" - "&amp;TL[[#This Row],[Compte]]</f>
        <v/>
      </c>
      <c r="B5653" s="233" t="inlineStr">
        <is>
          <t>42046673</t>
        </is>
      </c>
      <c r="C5653" s="227" t="inlineStr">
        <is>
          <t>40.03/Lejamtel/Aménag porte bureau</t>
        </is>
      </c>
      <c r="F5653" s="237" t="inlineStr">
        <is>
          <t>DIVES</t>
        </is>
      </c>
    </row>
    <row r="5654">
      <c r="A5654" s="227">
        <f>TL[[#This Row],[Société]]&amp;" - "&amp;TL[[#This Row],[Compte]]</f>
        <v/>
      </c>
      <c r="B5654" s="233" t="inlineStr">
        <is>
          <t>42100000</t>
        </is>
      </c>
      <c r="C5654" s="227" t="inlineStr">
        <is>
          <t>Remuner.dues au personnel</t>
        </is>
      </c>
      <c r="F5654" s="237" t="inlineStr">
        <is>
          <t>DIVES</t>
        </is>
      </c>
    </row>
    <row r="5655">
      <c r="A5655" s="227">
        <f>TL[[#This Row],[Société]]&amp;" - "&amp;TL[[#This Row],[Compte]]</f>
        <v/>
      </c>
      <c r="B5655" s="233" t="inlineStr">
        <is>
          <t>42101000</t>
        </is>
      </c>
      <c r="C5655" s="227" t="inlineStr">
        <is>
          <t>Rém. dues - Solde de tout compte</t>
        </is>
      </c>
      <c r="F5655" s="237" t="inlineStr">
        <is>
          <t>DIVES</t>
        </is>
      </c>
    </row>
    <row r="5656">
      <c r="A5656" s="227">
        <f>TL[[#This Row],[Société]]&amp;" - "&amp;TL[[#This Row],[Compte]]</f>
        <v/>
      </c>
      <c r="B5656" s="233" t="inlineStr">
        <is>
          <t>42144400</t>
        </is>
      </c>
      <c r="C5656" s="227" t="inlineStr">
        <is>
          <t>Salariés</t>
        </is>
      </c>
      <c r="F5656" s="237" t="inlineStr">
        <is>
          <t>DIVES</t>
        </is>
      </c>
    </row>
    <row r="5657">
      <c r="A5657" s="227">
        <f>TL[[#This Row],[Société]]&amp;" - "&amp;TL[[#This Row],[Compte]]</f>
        <v/>
      </c>
      <c r="B5657" s="233" t="inlineStr">
        <is>
          <t>42400000</t>
        </is>
      </c>
      <c r="C5657" s="227" t="inlineStr">
        <is>
          <t>SALAIRES 10/2022</t>
        </is>
      </c>
      <c r="F5657" s="237" t="inlineStr">
        <is>
          <t>DIVES</t>
        </is>
      </c>
    </row>
    <row r="5658">
      <c r="A5658" s="227">
        <f>TL[[#This Row],[Société]]&amp;" - "&amp;TL[[#This Row],[Compte]]</f>
        <v/>
      </c>
      <c r="B5658" s="233" t="inlineStr">
        <is>
          <t>42500000</t>
        </is>
      </c>
      <c r="C5658" s="227" t="inlineStr">
        <is>
          <t>Personnel avanc.et acptes</t>
        </is>
      </c>
      <c r="F5658" s="237" t="inlineStr">
        <is>
          <t>DIVES</t>
        </is>
      </c>
    </row>
    <row r="5659">
      <c r="A5659" s="227">
        <f>TL[[#This Row],[Société]]&amp;" - "&amp;TL[[#This Row],[Compte]]</f>
        <v/>
      </c>
      <c r="B5659" s="233" t="inlineStr">
        <is>
          <t>42700000</t>
        </is>
      </c>
      <c r="C5659" s="227" t="inlineStr">
        <is>
          <t>Saisie arrêt</t>
        </is>
      </c>
      <c r="F5659" s="237" t="inlineStr">
        <is>
          <t>DIVES</t>
        </is>
      </c>
    </row>
    <row r="5660">
      <c r="A5660" s="227">
        <f>TL[[#This Row],[Société]]&amp;" - "&amp;TL[[#This Row],[Compte]]</f>
        <v/>
      </c>
      <c r="B5660" s="233" t="inlineStr">
        <is>
          <t>42820000</t>
        </is>
      </c>
      <c r="C5660" s="227" t="inlineStr">
        <is>
          <t>Dettes provisio.pour congés</t>
        </is>
      </c>
      <c r="F5660" s="237" t="inlineStr">
        <is>
          <t>DIVES</t>
        </is>
      </c>
    </row>
    <row r="5661">
      <c r="A5661" s="227">
        <f>TL[[#This Row],[Société]]&amp;" - "&amp;TL[[#This Row],[Compte]]</f>
        <v/>
      </c>
      <c r="B5661" s="233" t="inlineStr">
        <is>
          <t>42860000</t>
        </is>
      </c>
      <c r="C5661" s="227" t="inlineStr">
        <is>
          <t>Dettes prov. gratificat.</t>
        </is>
      </c>
      <c r="F5661" s="237" t="inlineStr">
        <is>
          <t>DIVES</t>
        </is>
      </c>
    </row>
    <row r="5662">
      <c r="A5662" s="227">
        <f>TL[[#This Row],[Société]]&amp;" - "&amp;TL[[#This Row],[Compte]]</f>
        <v/>
      </c>
      <c r="B5662" s="233" t="inlineStr">
        <is>
          <t>43100000</t>
        </is>
      </c>
      <c r="C5662" s="227" t="inlineStr">
        <is>
          <t>Urssaf</t>
        </is>
      </c>
      <c r="F5662" s="237" t="inlineStr">
        <is>
          <t>DIVES</t>
        </is>
      </c>
    </row>
    <row r="5663">
      <c r="A5663" s="227">
        <f>TL[[#This Row],[Société]]&amp;" - "&amp;TL[[#This Row],[Compte]]</f>
        <v/>
      </c>
      <c r="B5663" s="233" t="inlineStr">
        <is>
          <t>43700000</t>
        </is>
      </c>
      <c r="C5663" s="227" t="inlineStr">
        <is>
          <t>Rsi</t>
        </is>
      </c>
      <c r="F5663" s="237" t="inlineStr">
        <is>
          <t>DIVES</t>
        </is>
      </c>
    </row>
    <row r="5664">
      <c r="A5664" s="227">
        <f>TL[[#This Row],[Société]]&amp;" - "&amp;TL[[#This Row],[Compte]]</f>
        <v/>
      </c>
      <c r="B5664" s="233" t="inlineStr">
        <is>
          <t>43701000</t>
        </is>
      </c>
      <c r="C5664" s="227" t="inlineStr">
        <is>
          <t>La mondiale</t>
        </is>
      </c>
      <c r="F5664" s="237" t="inlineStr">
        <is>
          <t>DIVES</t>
        </is>
      </c>
    </row>
    <row r="5665">
      <c r="A5665" s="227">
        <f>TL[[#This Row],[Société]]&amp;" - "&amp;TL[[#This Row],[Compte]]</f>
        <v/>
      </c>
      <c r="B5665" s="233" t="inlineStr">
        <is>
          <t>43702000</t>
        </is>
      </c>
      <c r="C5665" s="227" t="inlineStr">
        <is>
          <t>Klesia retraite prévoyance</t>
        </is>
      </c>
      <c r="F5665" s="237" t="inlineStr">
        <is>
          <t>DIVES</t>
        </is>
      </c>
    </row>
    <row r="5666">
      <c r="A5666" s="227">
        <f>TL[[#This Row],[Société]]&amp;" - "&amp;TL[[#This Row],[Compte]]</f>
        <v/>
      </c>
      <c r="B5666" s="233" t="inlineStr">
        <is>
          <t>43702500</t>
        </is>
      </c>
      <c r="C5666" s="227" t="inlineStr">
        <is>
          <t>Groupe mornay</t>
        </is>
      </c>
      <c r="F5666" s="237" t="inlineStr">
        <is>
          <t>DIVES</t>
        </is>
      </c>
    </row>
    <row r="5667">
      <c r="A5667" s="227">
        <f>TL[[#This Row],[Société]]&amp;" - "&amp;TL[[#This Row],[Compte]]</f>
        <v/>
      </c>
      <c r="B5667" s="233" t="inlineStr">
        <is>
          <t>43703000</t>
        </is>
      </c>
      <c r="C5667" s="227" t="inlineStr">
        <is>
          <t>Pole emploi</t>
        </is>
      </c>
      <c r="F5667" s="237" t="inlineStr">
        <is>
          <t>DIVES</t>
        </is>
      </c>
    </row>
    <row r="5668">
      <c r="A5668" s="227">
        <f>TL[[#This Row],[Société]]&amp;" - "&amp;TL[[#This Row],[Compte]]</f>
        <v/>
      </c>
      <c r="B5668" s="233" t="inlineStr">
        <is>
          <t>43704000</t>
        </is>
      </c>
      <c r="C5668" s="227" t="inlineStr">
        <is>
          <t>Mutuelle</t>
        </is>
      </c>
      <c r="F5668" s="237" t="inlineStr">
        <is>
          <t>DIVES</t>
        </is>
      </c>
    </row>
    <row r="5669">
      <c r="A5669" s="227">
        <f>TL[[#This Row],[Société]]&amp;" - "&amp;TL[[#This Row],[Compte]]</f>
        <v/>
      </c>
      <c r="B5669" s="233" t="inlineStr">
        <is>
          <t>43705000</t>
        </is>
      </c>
      <c r="C5669" s="227" t="inlineStr">
        <is>
          <t>agirc</t>
        </is>
      </c>
      <c r="F5669" s="237" t="inlineStr">
        <is>
          <t>DIVES</t>
        </is>
      </c>
    </row>
    <row r="5670">
      <c r="A5670" s="227">
        <f>TL[[#This Row],[Société]]&amp;" - "&amp;TL[[#This Row],[Compte]]</f>
        <v/>
      </c>
      <c r="B5670" s="233" t="inlineStr">
        <is>
          <t>43706000</t>
        </is>
      </c>
      <c r="C5670" s="227" t="inlineStr">
        <is>
          <t>predica</t>
        </is>
      </c>
      <c r="F5670" s="237" t="inlineStr">
        <is>
          <t>DIVES</t>
        </is>
      </c>
    </row>
    <row r="5671">
      <c r="A5671" s="227">
        <f>TL[[#This Row],[Société]]&amp;" - "&amp;TL[[#This Row],[Compte]]</f>
        <v/>
      </c>
      <c r="B5671" s="233" t="inlineStr">
        <is>
          <t>43707000</t>
        </is>
      </c>
      <c r="C5671" s="227" t="inlineStr">
        <is>
          <t>Prélèvement à la source impôt</t>
        </is>
      </c>
      <c r="F5671" s="237" t="inlineStr">
        <is>
          <t>DIVES</t>
        </is>
      </c>
    </row>
    <row r="5672">
      <c r="A5672" s="227">
        <f>TL[[#This Row],[Société]]&amp;" - "&amp;TL[[#This Row],[Compte]]</f>
        <v/>
      </c>
      <c r="B5672" s="233" t="inlineStr">
        <is>
          <t>43708000</t>
        </is>
      </c>
      <c r="C5672" s="227" t="inlineStr">
        <is>
          <t>SALAIRES 09/2022</t>
        </is>
      </c>
      <c r="F5672" s="237" t="inlineStr">
        <is>
          <t>DIVES</t>
        </is>
      </c>
    </row>
    <row r="5673">
      <c r="A5673" s="227">
        <f>TL[[#This Row],[Société]]&amp;" - "&amp;TL[[#This Row],[Compte]]</f>
        <v/>
      </c>
      <c r="B5673" s="233" t="inlineStr">
        <is>
          <t>43780000</t>
        </is>
      </c>
      <c r="C5673" s="227" t="inlineStr">
        <is>
          <t>Autres caisses</t>
        </is>
      </c>
      <c r="F5673" s="237" t="inlineStr">
        <is>
          <t>DIVES</t>
        </is>
      </c>
    </row>
    <row r="5674">
      <c r="A5674" s="227">
        <f>TL[[#This Row],[Société]]&amp;" - "&amp;TL[[#This Row],[Compte]]</f>
        <v/>
      </c>
      <c r="B5674" s="233" t="inlineStr">
        <is>
          <t>43800000</t>
        </is>
      </c>
      <c r="C5674" s="227" t="inlineStr">
        <is>
          <t>SALAIRES 09/2022</t>
        </is>
      </c>
      <c r="F5674" s="237" t="inlineStr">
        <is>
          <t>DIVES</t>
        </is>
      </c>
    </row>
    <row r="5675">
      <c r="A5675" s="227">
        <f>TL[[#This Row],[Société]]&amp;" - "&amp;TL[[#This Row],[Compte]]</f>
        <v/>
      </c>
      <c r="B5675" s="233" t="inlineStr">
        <is>
          <t>43820000</t>
        </is>
      </c>
      <c r="C5675" s="227" t="inlineStr">
        <is>
          <t>Charges sociales s/congés à payer</t>
        </is>
      </c>
      <c r="F5675" s="237" t="inlineStr">
        <is>
          <t>DIVES</t>
        </is>
      </c>
    </row>
    <row r="5676">
      <c r="A5676" s="227">
        <f>TL[[#This Row],[Société]]&amp;" - "&amp;TL[[#This Row],[Compte]]</f>
        <v/>
      </c>
      <c r="B5676" s="233" t="inlineStr">
        <is>
          <t>43860000</t>
        </is>
      </c>
      <c r="C5676" s="227" t="inlineStr">
        <is>
          <t>Autr.charg.sociales à payer</t>
        </is>
      </c>
      <c r="F5676" s="237" t="inlineStr">
        <is>
          <t>DIVES</t>
        </is>
      </c>
    </row>
    <row r="5677">
      <c r="A5677" s="227">
        <f>TL[[#This Row],[Société]]&amp;" - "&amp;TL[[#This Row],[Compte]]</f>
        <v/>
      </c>
      <c r="B5677" s="233" t="inlineStr">
        <is>
          <t>44200000</t>
        </is>
      </c>
      <c r="C5677" s="227" t="inlineStr">
        <is>
          <t>Prel.lib.fiscaux</t>
        </is>
      </c>
      <c r="F5677" s="237" t="inlineStr">
        <is>
          <t>DIVES</t>
        </is>
      </c>
    </row>
    <row r="5678">
      <c r="A5678" s="227">
        <f>TL[[#This Row],[Société]]&amp;" - "&amp;TL[[#This Row],[Compte]]</f>
        <v/>
      </c>
      <c r="B5678" s="233" t="inlineStr">
        <is>
          <t>44210000</t>
        </is>
      </c>
      <c r="C5678" s="227" t="inlineStr">
        <is>
          <t>Prel.lib.sociaux</t>
        </is>
      </c>
      <c r="F5678" s="237" t="inlineStr">
        <is>
          <t>DIVES</t>
        </is>
      </c>
    </row>
    <row r="5679">
      <c r="A5679" s="227">
        <f>TL[[#This Row],[Société]]&amp;" - "&amp;TL[[#This Row],[Compte]]</f>
        <v/>
      </c>
      <c r="B5679" s="233" t="inlineStr">
        <is>
          <t>44300000</t>
        </is>
      </c>
      <c r="C5679" s="227" t="inlineStr">
        <is>
          <t>Etat - activité partielle</t>
        </is>
      </c>
      <c r="F5679" s="237" t="inlineStr">
        <is>
          <t>DIVES</t>
        </is>
      </c>
    </row>
    <row r="5680">
      <c r="A5680" s="227">
        <f>TL[[#This Row],[Société]]&amp;" - "&amp;TL[[#This Row],[Compte]]</f>
        <v/>
      </c>
      <c r="B5680" s="233" t="inlineStr">
        <is>
          <t>44400000</t>
        </is>
      </c>
      <c r="C5680" s="227" t="inlineStr">
        <is>
          <t>Impots sur les benefices</t>
        </is>
      </c>
      <c r="F5680" s="237" t="inlineStr">
        <is>
          <t>DIVES</t>
        </is>
      </c>
    </row>
    <row r="5681">
      <c r="A5681" s="227">
        <f>TL[[#This Row],[Société]]&amp;" - "&amp;TL[[#This Row],[Compte]]</f>
        <v/>
      </c>
      <c r="B5681" s="233" t="inlineStr">
        <is>
          <t>44520000</t>
        </is>
      </c>
      <c r="C5681" s="227" t="inlineStr">
        <is>
          <t>Tva due intracommunautaire</t>
        </is>
      </c>
      <c r="F5681" s="237" t="inlineStr">
        <is>
          <t>DIVES</t>
        </is>
      </c>
    </row>
    <row r="5682">
      <c r="A5682" s="227">
        <f>TL[[#This Row],[Société]]&amp;" - "&amp;TL[[#This Row],[Compte]]</f>
        <v/>
      </c>
      <c r="B5682" s="233" t="inlineStr">
        <is>
          <t>44551000</t>
        </is>
      </c>
      <c r="C5682" s="227" t="inlineStr">
        <is>
          <t>Tva a decaisser</t>
        </is>
      </c>
      <c r="F5682" s="237" t="inlineStr">
        <is>
          <t>DIVES</t>
        </is>
      </c>
    </row>
    <row r="5683">
      <c r="A5683" s="227">
        <f>TL[[#This Row],[Société]]&amp;" - "&amp;TL[[#This Row],[Compte]]</f>
        <v/>
      </c>
      <c r="B5683" s="233" t="inlineStr">
        <is>
          <t>44562000</t>
        </is>
      </c>
      <c r="C5683" s="227" t="inlineStr">
        <is>
          <t>Tva/immobilis.deductible debits</t>
        </is>
      </c>
      <c r="F5683" s="237" t="inlineStr">
        <is>
          <t>DIVES</t>
        </is>
      </c>
    </row>
    <row r="5684">
      <c r="A5684" s="227">
        <f>TL[[#This Row],[Société]]&amp;" - "&amp;TL[[#This Row],[Compte]]</f>
        <v/>
      </c>
      <c r="B5684" s="233" t="inlineStr">
        <is>
          <t>44562100</t>
        </is>
      </c>
      <c r="C5684" s="227" t="inlineStr">
        <is>
          <t>Tva sur immo déduct encaissements</t>
        </is>
      </c>
      <c r="F5684" s="237" t="inlineStr">
        <is>
          <t>DIVES</t>
        </is>
      </c>
    </row>
    <row r="5685">
      <c r="A5685" s="227">
        <f>TL[[#This Row],[Société]]&amp;" - "&amp;TL[[#This Row],[Compte]]</f>
        <v/>
      </c>
      <c r="B5685" s="233" t="inlineStr">
        <is>
          <t>44566000</t>
        </is>
      </c>
      <c r="C5685" s="227" t="inlineStr">
        <is>
          <t>Tva sur autres biens et services</t>
        </is>
      </c>
      <c r="F5685" s="237" t="inlineStr">
        <is>
          <t>DIVES</t>
        </is>
      </c>
    </row>
    <row r="5686">
      <c r="A5686" s="227">
        <f>TL[[#This Row],[Société]]&amp;" - "&amp;TL[[#This Row],[Compte]]</f>
        <v/>
      </c>
      <c r="B5686" s="233" t="inlineStr">
        <is>
          <t>44566100</t>
        </is>
      </c>
      <c r="C5686" s="227" t="inlineStr">
        <is>
          <t>Tva/prest.services</t>
        </is>
      </c>
      <c r="F5686" s="237" t="inlineStr">
        <is>
          <t>DIVES</t>
        </is>
      </c>
    </row>
    <row r="5687">
      <c r="A5687" s="227">
        <f>TL[[#This Row],[Société]]&amp;" - "&amp;TL[[#This Row],[Compte]]</f>
        <v/>
      </c>
      <c r="B5687" s="233" t="inlineStr">
        <is>
          <t>44566200</t>
        </is>
      </c>
      <c r="C5687" s="227" t="inlineStr">
        <is>
          <t>Tva déductible intracommunautaire</t>
        </is>
      </c>
      <c r="F5687" s="237" t="inlineStr">
        <is>
          <t>DIVES</t>
        </is>
      </c>
    </row>
    <row r="5688">
      <c r="A5688" s="227">
        <f>TL[[#This Row],[Société]]&amp;" - "&amp;TL[[#This Row],[Compte]]</f>
        <v/>
      </c>
      <c r="B5688" s="233" t="inlineStr">
        <is>
          <t>44567000</t>
        </is>
      </c>
      <c r="C5688" s="227" t="inlineStr">
        <is>
          <t>Credit de tva à reporter</t>
        </is>
      </c>
      <c r="F5688" s="237" t="inlineStr">
        <is>
          <t>DIVES</t>
        </is>
      </c>
    </row>
    <row r="5689">
      <c r="A5689" s="227">
        <f>TL[[#This Row],[Société]]&amp;" - "&amp;TL[[#This Row],[Compte]]</f>
        <v/>
      </c>
      <c r="B5689" s="233" t="inlineStr">
        <is>
          <t>44571000</t>
        </is>
      </c>
      <c r="C5689" s="227" t="inlineStr">
        <is>
          <t>Tva a 5.5%</t>
        </is>
      </c>
      <c r="F5689" s="237" t="inlineStr">
        <is>
          <t>DIVES</t>
        </is>
      </c>
    </row>
    <row r="5690">
      <c r="A5690" s="227">
        <f>TL[[#This Row],[Société]]&amp;" - "&amp;TL[[#This Row],[Compte]]</f>
        <v/>
      </c>
      <c r="B5690" s="233" t="inlineStr">
        <is>
          <t>44571100</t>
        </is>
      </c>
      <c r="C5690" s="227" t="inlineStr">
        <is>
          <t>Tva a 7%</t>
        </is>
      </c>
      <c r="F5690" s="237" t="inlineStr">
        <is>
          <t>DIVES</t>
        </is>
      </c>
    </row>
    <row r="5691">
      <c r="A5691" s="227">
        <f>TL[[#This Row],[Société]]&amp;" - "&amp;TL[[#This Row],[Compte]]</f>
        <v/>
      </c>
      <c r="B5691" s="233" t="inlineStr">
        <is>
          <t>44571200</t>
        </is>
      </c>
      <c r="C5691" s="227" t="inlineStr">
        <is>
          <t>FA Bourg Achard  réfection trottoir</t>
        </is>
      </c>
      <c r="F5691" s="237" t="inlineStr">
        <is>
          <t>DIVES</t>
        </is>
      </c>
    </row>
    <row r="5692">
      <c r="A5692" s="227">
        <f>TL[[#This Row],[Société]]&amp;" - "&amp;TL[[#This Row],[Compte]]</f>
        <v/>
      </c>
      <c r="B5692" s="233" t="inlineStr">
        <is>
          <t>44571300</t>
        </is>
      </c>
      <c r="C5692" s="227" t="inlineStr">
        <is>
          <t>Tva intra c ommunautaire</t>
        </is>
      </c>
      <c r="F5692" s="237" t="inlineStr">
        <is>
          <t>DIVES</t>
        </is>
      </c>
    </row>
    <row r="5693">
      <c r="A5693" s="227">
        <f>TL[[#This Row],[Société]]&amp;" - "&amp;TL[[#This Row],[Compte]]</f>
        <v/>
      </c>
      <c r="B5693" s="233" t="inlineStr">
        <is>
          <t>44571400</t>
        </is>
      </c>
      <c r="C5693" s="227" t="inlineStr">
        <is>
          <t>Tva a 19.6%</t>
        </is>
      </c>
      <c r="F5693" s="237" t="inlineStr">
        <is>
          <t>DIVES</t>
        </is>
      </c>
    </row>
    <row r="5694">
      <c r="A5694" s="227">
        <f>TL[[#This Row],[Société]]&amp;" - "&amp;TL[[#This Row],[Compte]]</f>
        <v/>
      </c>
      <c r="B5694" s="233" t="inlineStr">
        <is>
          <t>44571500</t>
        </is>
      </c>
      <c r="C5694" s="227" t="inlineStr">
        <is>
          <t>Tva 19.6% lrs services</t>
        </is>
      </c>
      <c r="F5694" s="237" t="inlineStr">
        <is>
          <t>DIVES</t>
        </is>
      </c>
    </row>
    <row r="5695">
      <c r="A5695" s="227">
        <f>TL[[#This Row],[Société]]&amp;" - "&amp;TL[[#This Row],[Compte]]</f>
        <v/>
      </c>
      <c r="B5695" s="233" t="inlineStr">
        <is>
          <t>44571600</t>
        </is>
      </c>
      <c r="C5695" s="227" t="inlineStr">
        <is>
          <t>Tva à 10 %</t>
        </is>
      </c>
      <c r="F5695" s="237" t="inlineStr">
        <is>
          <t>DIVES</t>
        </is>
      </c>
    </row>
    <row r="5696">
      <c r="A5696" s="227">
        <f>TL[[#This Row],[Société]]&amp;" - "&amp;TL[[#This Row],[Compte]]</f>
        <v/>
      </c>
      <c r="B5696" s="233" t="inlineStr">
        <is>
          <t>44571700</t>
        </is>
      </c>
      <c r="C5696" s="227" t="inlineStr">
        <is>
          <t>Tva MBS 20 %</t>
        </is>
      </c>
      <c r="F5696" s="237" t="inlineStr">
        <is>
          <t>DIVES</t>
        </is>
      </c>
    </row>
    <row r="5697">
      <c r="A5697" s="227">
        <f>TL[[#This Row],[Société]]&amp;" - "&amp;TL[[#This Row],[Compte]]</f>
        <v/>
      </c>
      <c r="B5697" s="233" t="inlineStr">
        <is>
          <t>44572000</t>
        </is>
      </c>
      <c r="C5697" s="227" t="inlineStr">
        <is>
          <t>Tva à 20 %</t>
        </is>
      </c>
      <c r="F5697" s="237" t="inlineStr">
        <is>
          <t>DIVES</t>
        </is>
      </c>
    </row>
    <row r="5698">
      <c r="A5698" s="227">
        <f>TL[[#This Row],[Société]]&amp;" - "&amp;TL[[#This Row],[Compte]]</f>
        <v/>
      </c>
      <c r="B5698" s="233" t="inlineStr">
        <is>
          <t>44580000</t>
        </is>
      </c>
      <c r="C5698" s="227" t="inlineStr">
        <is>
          <t>Remb tva à recevoir</t>
        </is>
      </c>
      <c r="F5698" s="237" t="inlineStr">
        <is>
          <t>DIVES</t>
        </is>
      </c>
    </row>
    <row r="5699">
      <c r="A5699" s="227">
        <f>TL[[#This Row],[Société]]&amp;" - "&amp;TL[[#This Row],[Compte]]</f>
        <v/>
      </c>
      <c r="B5699" s="233" t="inlineStr">
        <is>
          <t>44586000</t>
        </is>
      </c>
      <c r="C5699" s="227" t="inlineStr">
        <is>
          <t>TVA sur FNP</t>
        </is>
      </c>
      <c r="F5699" s="237" t="inlineStr">
        <is>
          <t>DIVES</t>
        </is>
      </c>
    </row>
    <row r="5700">
      <c r="A5700" s="227">
        <f>TL[[#This Row],[Société]]&amp;" - "&amp;TL[[#This Row],[Compte]]</f>
        <v/>
      </c>
      <c r="B5700" s="233" t="inlineStr">
        <is>
          <t>44586100</t>
        </is>
      </c>
      <c r="C5700" s="227" t="inlineStr">
        <is>
          <t>TVA sur AAR</t>
        </is>
      </c>
      <c r="F5700" s="237" t="inlineStr">
        <is>
          <t>DIVES</t>
        </is>
      </c>
    </row>
    <row r="5701">
      <c r="A5701" s="227">
        <f>TL[[#This Row],[Société]]&amp;" - "&amp;TL[[#This Row],[Compte]]</f>
        <v/>
      </c>
      <c r="B5701" s="233" t="inlineStr">
        <is>
          <t>44587000</t>
        </is>
      </c>
      <c r="C5701" s="227" t="inlineStr">
        <is>
          <t>TVA sur FAE</t>
        </is>
      </c>
      <c r="F5701" s="237" t="inlineStr">
        <is>
          <t>DIVES</t>
        </is>
      </c>
    </row>
    <row r="5702">
      <c r="A5702" s="227">
        <f>TL[[#This Row],[Société]]&amp;" - "&amp;TL[[#This Row],[Compte]]</f>
        <v/>
      </c>
      <c r="B5702" s="233" t="inlineStr">
        <is>
          <t>44860000</t>
        </is>
      </c>
      <c r="C5702" s="227" t="inlineStr">
        <is>
          <t>Autr.charg.fiscales a payer</t>
        </is>
      </c>
      <c r="F5702" s="237" t="inlineStr">
        <is>
          <t>DIVES</t>
        </is>
      </c>
    </row>
    <row r="5703">
      <c r="A5703" s="227">
        <f>TL[[#This Row],[Société]]&amp;" - "&amp;TL[[#This Row],[Compte]]</f>
        <v/>
      </c>
      <c r="B5703" s="233" t="inlineStr">
        <is>
          <t>44863000</t>
        </is>
      </c>
      <c r="C5703" s="227" t="inlineStr">
        <is>
          <t>SALAIRES 01/2023</t>
        </is>
      </c>
      <c r="F5703" s="237" t="inlineStr">
        <is>
          <t>DIVES</t>
        </is>
      </c>
    </row>
    <row r="5704">
      <c r="A5704" s="227">
        <f>TL[[#This Row],[Société]]&amp;" - "&amp;TL[[#This Row],[Compte]]</f>
        <v/>
      </c>
      <c r="B5704" s="233" t="inlineStr">
        <is>
          <t>44870000</t>
        </is>
      </c>
      <c r="C5704" s="227" t="inlineStr">
        <is>
          <t>Etat - produits à recevoir</t>
        </is>
      </c>
      <c r="F5704" s="237" t="inlineStr">
        <is>
          <t>DIVES</t>
        </is>
      </c>
    </row>
    <row r="5705">
      <c r="A5705" s="227">
        <f>TL[[#This Row],[Société]]&amp;" - "&amp;TL[[#This Row],[Compte]]</f>
        <v/>
      </c>
      <c r="B5705" s="233" t="inlineStr">
        <is>
          <t>45500000</t>
        </is>
      </c>
      <c r="C5705" s="227" t="inlineStr">
        <is>
          <t>C/c regis rego</t>
        </is>
      </c>
      <c r="F5705" s="237" t="inlineStr">
        <is>
          <t>DIVES</t>
        </is>
      </c>
    </row>
    <row r="5706">
      <c r="A5706" s="227">
        <f>TL[[#This Row],[Société]]&amp;" - "&amp;TL[[#This Row],[Compte]]</f>
        <v/>
      </c>
      <c r="B5706" s="233" t="inlineStr">
        <is>
          <t>45510000</t>
        </is>
      </c>
      <c r="C5706" s="227" t="inlineStr">
        <is>
          <t>C/c mungu</t>
        </is>
      </c>
      <c r="F5706" s="237" t="inlineStr">
        <is>
          <t>DIVES</t>
        </is>
      </c>
    </row>
    <row r="5707">
      <c r="A5707" s="227">
        <f>TL[[#This Row],[Société]]&amp;" - "&amp;TL[[#This Row],[Compte]]</f>
        <v/>
      </c>
      <c r="B5707" s="233" t="inlineStr">
        <is>
          <t>45700000</t>
        </is>
      </c>
      <c r="C5707" s="227" t="inlineStr">
        <is>
          <t>Assoc.dividendes a payer</t>
        </is>
      </c>
      <c r="F5707" s="237" t="inlineStr">
        <is>
          <t>DIVES</t>
        </is>
      </c>
    </row>
    <row r="5708">
      <c r="A5708" s="227">
        <f>TL[[#This Row],[Société]]&amp;" - "&amp;TL[[#This Row],[Compte]]</f>
        <v/>
      </c>
      <c r="B5708" s="233" t="inlineStr">
        <is>
          <t>45710000</t>
        </is>
      </c>
      <c r="C5708" s="227" t="inlineStr">
        <is>
          <t>Vente 21/03</t>
        </is>
      </c>
      <c r="F5708" s="237" t="inlineStr">
        <is>
          <t>DIVES</t>
        </is>
      </c>
    </row>
    <row r="5709">
      <c r="A5709" s="227">
        <f>TL[[#This Row],[Société]]&amp;" - "&amp;TL[[#This Row],[Compte]]</f>
        <v/>
      </c>
      <c r="B5709" s="233" t="inlineStr">
        <is>
          <t>46700000</t>
        </is>
      </c>
      <c r="C5709" s="227" t="inlineStr">
        <is>
          <t>Maison ronald</t>
        </is>
      </c>
      <c r="F5709" s="237" t="inlineStr">
        <is>
          <t>DIVES</t>
        </is>
      </c>
    </row>
    <row r="5710">
      <c r="A5710" s="227">
        <f>TL[[#This Row],[Société]]&amp;" - "&amp;TL[[#This Row],[Compte]]</f>
        <v/>
      </c>
      <c r="B5710" s="233" t="inlineStr">
        <is>
          <t>46721000</t>
        </is>
      </c>
      <c r="C5710" s="227" t="inlineStr">
        <is>
          <t>Ecart sur remises cb</t>
        </is>
      </c>
      <c r="F5710" s="237" t="inlineStr">
        <is>
          <t>DIVES</t>
        </is>
      </c>
    </row>
    <row r="5711">
      <c r="A5711" s="227">
        <f>TL[[#This Row],[Société]]&amp;" - "&amp;TL[[#This Row],[Compte]]</f>
        <v/>
      </c>
      <c r="B5711" s="233" t="inlineStr">
        <is>
          <t>46722000</t>
        </is>
      </c>
      <c r="C5711" s="227" t="inlineStr">
        <is>
          <t>Ecart sur remises tr</t>
        </is>
      </c>
      <c r="F5711" s="237" t="inlineStr">
        <is>
          <t>DIVES</t>
        </is>
      </c>
    </row>
    <row r="5712">
      <c r="A5712" s="227">
        <f>TL[[#This Row],[Société]]&amp;" - "&amp;TL[[#This Row],[Compte]]</f>
        <v/>
      </c>
      <c r="B5712" s="233" t="inlineStr">
        <is>
          <t>46723000</t>
        </is>
      </c>
      <c r="C5712" s="227" t="inlineStr">
        <is>
          <t>Ecart sur remises cv</t>
        </is>
      </c>
      <c r="F5712" s="237" t="inlineStr">
        <is>
          <t>DIVES</t>
        </is>
      </c>
    </row>
    <row r="5713">
      <c r="A5713" s="227">
        <f>TL[[#This Row],[Société]]&amp;" - "&amp;TL[[#This Row],[Compte]]</f>
        <v/>
      </c>
      <c r="B5713" s="233" t="inlineStr">
        <is>
          <t>46724000</t>
        </is>
      </c>
      <c r="C5713" s="227" t="inlineStr">
        <is>
          <t>Ecart sur remises espèces</t>
        </is>
      </c>
      <c r="F5713" s="237" t="inlineStr">
        <is>
          <t>DIVES</t>
        </is>
      </c>
    </row>
    <row r="5714">
      <c r="A5714" s="227">
        <f>TL[[#This Row],[Société]]&amp;" - "&amp;TL[[#This Row],[Compte]]</f>
        <v/>
      </c>
      <c r="B5714" s="233" t="inlineStr">
        <is>
          <t>46730000</t>
        </is>
      </c>
      <c r="C5714" s="227" t="inlineStr">
        <is>
          <t>Sas r3-14</t>
        </is>
      </c>
      <c r="F5714" s="237" t="inlineStr">
        <is>
          <t>DIVES</t>
        </is>
      </c>
    </row>
    <row r="5715">
      <c r="A5715" s="227">
        <f>TL[[#This Row],[Société]]&amp;" - "&amp;TL[[#This Row],[Compte]]</f>
        <v/>
      </c>
      <c r="B5715" s="233" t="inlineStr">
        <is>
          <t>46740000</t>
        </is>
      </c>
      <c r="C5715" s="227" t="inlineStr">
        <is>
          <t>Lyse</t>
        </is>
      </c>
      <c r="F5715" s="237" t="inlineStr">
        <is>
          <t>DIVES</t>
        </is>
      </c>
    </row>
    <row r="5716">
      <c r="A5716" s="227">
        <f>TL[[#This Row],[Société]]&amp;" - "&amp;TL[[#This Row],[Compte]]</f>
        <v/>
      </c>
      <c r="B5716" s="233" t="inlineStr">
        <is>
          <t>46741000</t>
        </is>
      </c>
      <c r="C5716" s="227" t="inlineStr">
        <is>
          <t>GTH14</t>
        </is>
      </c>
      <c r="F5716" s="237" t="inlineStr">
        <is>
          <t>DIVES</t>
        </is>
      </c>
    </row>
    <row r="5717">
      <c r="A5717" s="227">
        <f>TL[[#This Row],[Société]]&amp;" - "&amp;TL[[#This Row],[Compte]]</f>
        <v/>
      </c>
      <c r="B5717" s="233" t="inlineStr">
        <is>
          <t>46744400</t>
        </is>
      </c>
      <c r="C5717" s="227" t="inlineStr">
        <is>
          <t>Autres comptes débiteurs</t>
        </is>
      </c>
      <c r="F5717" s="237" t="inlineStr">
        <is>
          <t>DIVES</t>
        </is>
      </c>
    </row>
    <row r="5718">
      <c r="A5718" s="227">
        <f>TL[[#This Row],[Société]]&amp;" - "&amp;TL[[#This Row],[Compte]]</f>
        <v/>
      </c>
      <c r="B5718" s="233" t="inlineStr">
        <is>
          <t>46750000</t>
        </is>
      </c>
      <c r="C5718" s="227" t="inlineStr">
        <is>
          <t>Regis REGO de SEBES</t>
        </is>
      </c>
      <c r="F5718" s="237" t="inlineStr">
        <is>
          <t>DIVES</t>
        </is>
      </c>
    </row>
    <row r="5719">
      <c r="A5719" s="227">
        <f>TL[[#This Row],[Société]]&amp;" - "&amp;TL[[#This Row],[Compte]]</f>
        <v/>
      </c>
      <c r="B5719" s="233" t="inlineStr">
        <is>
          <t>46755500</t>
        </is>
      </c>
      <c r="C5719" s="227" t="inlineStr">
        <is>
          <t>Autres comptes crÉditeurs</t>
        </is>
      </c>
      <c r="F5719" s="237" t="inlineStr">
        <is>
          <t>DIVES</t>
        </is>
      </c>
    </row>
    <row r="5720">
      <c r="A5720" s="227">
        <f>TL[[#This Row],[Société]]&amp;" - "&amp;TL[[#This Row],[Compte]]</f>
        <v/>
      </c>
      <c r="B5720" s="233" t="inlineStr">
        <is>
          <t>46760000</t>
        </is>
      </c>
      <c r="C5720" s="227" t="inlineStr">
        <is>
          <t>RR RACING</t>
        </is>
      </c>
      <c r="F5720" s="237" t="inlineStr">
        <is>
          <t>DIVES</t>
        </is>
      </c>
    </row>
    <row r="5721">
      <c r="A5721" s="227">
        <f>TL[[#This Row],[Société]]&amp;" - "&amp;TL[[#This Row],[Compte]]</f>
        <v/>
      </c>
      <c r="B5721" s="233" t="inlineStr">
        <is>
          <t>46766600</t>
        </is>
      </c>
      <c r="C5721" s="227" t="inlineStr">
        <is>
          <t>Autres comptes débiteurs/créditeurs</t>
        </is>
      </c>
      <c r="F5721" s="237" t="inlineStr">
        <is>
          <t>DIVES</t>
        </is>
      </c>
    </row>
    <row r="5722">
      <c r="A5722" s="227">
        <f>TL[[#This Row],[Société]]&amp;" - "&amp;TL[[#This Row],[Compte]]</f>
        <v/>
      </c>
      <c r="B5722" s="233" t="inlineStr">
        <is>
          <t>46860000</t>
        </is>
      </c>
      <c r="C5722" s="227" t="inlineStr">
        <is>
          <t>Divers charges à payer</t>
        </is>
      </c>
      <c r="F5722" s="237" t="inlineStr">
        <is>
          <t>DIVES</t>
        </is>
      </c>
    </row>
    <row r="5723">
      <c r="A5723" s="227">
        <f>TL[[#This Row],[Société]]&amp;" - "&amp;TL[[#This Row],[Compte]]</f>
        <v/>
      </c>
      <c r="B5723" s="233" t="inlineStr">
        <is>
          <t>46870000</t>
        </is>
      </c>
      <c r="C5723" s="227" t="inlineStr">
        <is>
          <t>Divers produits à recevoir</t>
        </is>
      </c>
      <c r="F5723" s="237" t="inlineStr">
        <is>
          <t>DIVES</t>
        </is>
      </c>
    </row>
    <row r="5724">
      <c r="A5724" s="227">
        <f>TL[[#This Row],[Société]]&amp;" - "&amp;TL[[#This Row],[Compte]]</f>
        <v/>
      </c>
      <c r="B5724" s="233" t="inlineStr">
        <is>
          <t>47100000</t>
        </is>
      </c>
      <c r="C5724" s="227" t="inlineStr">
        <is>
          <t>Compte d attente</t>
        </is>
      </c>
      <c r="F5724" s="237" t="inlineStr">
        <is>
          <t>DIVES</t>
        </is>
      </c>
    </row>
    <row r="5725">
      <c r="A5725" s="227">
        <f>TL[[#This Row],[Société]]&amp;" - "&amp;TL[[#This Row],[Compte]]</f>
        <v/>
      </c>
      <c r="B5725" s="233" t="inlineStr">
        <is>
          <t>47200000</t>
        </is>
      </c>
      <c r="C5725" s="227" t="inlineStr">
        <is>
          <t>Compte d attente ne pas utiliser</t>
        </is>
      </c>
      <c r="F5725" s="237" t="inlineStr">
        <is>
          <t>DIVES</t>
        </is>
      </c>
    </row>
    <row r="5726">
      <c r="A5726" s="227">
        <f>TL[[#This Row],[Société]]&amp;" - "&amp;TL[[#This Row],[Compte]]</f>
        <v/>
      </c>
      <c r="B5726" s="233" t="inlineStr">
        <is>
          <t>48600000</t>
        </is>
      </c>
      <c r="C5726" s="227" t="inlineStr">
        <is>
          <t>Charges constatées d avance</t>
        </is>
      </c>
      <c r="F5726" s="237" t="inlineStr">
        <is>
          <t>DIVES</t>
        </is>
      </c>
    </row>
    <row r="5727">
      <c r="A5727" s="227">
        <f>TL[[#This Row],[Société]]&amp;" - "&amp;TL[[#This Row],[Compte]]</f>
        <v/>
      </c>
      <c r="B5727" s="233" t="inlineStr">
        <is>
          <t>48700000</t>
        </is>
      </c>
      <c r="C5727" s="227" t="inlineStr">
        <is>
          <t>Produits constatés d'avance</t>
        </is>
      </c>
      <c r="F5727" s="237" t="inlineStr">
        <is>
          <t>DIVES</t>
        </is>
      </c>
    </row>
    <row r="5728">
      <c r="A5728" s="227">
        <f>TL[[#This Row],[Société]]&amp;" - "&amp;TL[[#This Row],[Compte]]</f>
        <v/>
      </c>
      <c r="B5728" s="233" t="inlineStr">
        <is>
          <t>50800000</t>
        </is>
      </c>
      <c r="C5728" s="227" t="inlineStr">
        <is>
          <t>Vmp</t>
        </is>
      </c>
      <c r="F5728" s="237" t="inlineStr">
        <is>
          <t>DIVES</t>
        </is>
      </c>
    </row>
    <row r="5729">
      <c r="A5729" s="227">
        <f>TL[[#This Row],[Société]]&amp;" - "&amp;TL[[#This Row],[Compte]]</f>
        <v/>
      </c>
      <c r="B5729" s="233" t="inlineStr">
        <is>
          <t>50810000</t>
        </is>
      </c>
      <c r="C5729" s="227" t="inlineStr">
        <is>
          <t>Livret b</t>
        </is>
      </c>
      <c r="F5729" s="237" t="inlineStr">
        <is>
          <t>DIVES</t>
        </is>
      </c>
    </row>
    <row r="5730">
      <c r="A5730" s="227">
        <f>TL[[#This Row],[Société]]&amp;" - "&amp;TL[[#This Row],[Compte]]</f>
        <v/>
      </c>
      <c r="B5730" s="233" t="inlineStr">
        <is>
          <t>51121000</t>
        </is>
      </c>
      <c r="C5730" s="227" t="inlineStr">
        <is>
          <t>Chèques</t>
        </is>
      </c>
      <c r="F5730" s="237" t="inlineStr">
        <is>
          <t>DIVES</t>
        </is>
      </c>
    </row>
    <row r="5731">
      <c r="A5731" s="227">
        <f>TL[[#This Row],[Société]]&amp;" - "&amp;TL[[#This Row],[Compte]]</f>
        <v/>
      </c>
      <c r="B5731" s="233" t="inlineStr">
        <is>
          <t>51121100</t>
        </is>
      </c>
      <c r="C5731" s="227" t="inlineStr">
        <is>
          <t>Chèques</t>
        </is>
      </c>
      <c r="F5731" s="237" t="inlineStr">
        <is>
          <t>DIVES</t>
        </is>
      </c>
    </row>
    <row r="5732">
      <c r="A5732" s="227">
        <f>TL[[#This Row],[Société]]&amp;" - "&amp;TL[[#This Row],[Compte]]</f>
        <v/>
      </c>
      <c r="B5732" s="233" t="inlineStr">
        <is>
          <t>51122000</t>
        </is>
      </c>
      <c r="C5732" s="227" t="inlineStr">
        <is>
          <t>Carte bleue</t>
        </is>
      </c>
      <c r="F5732" s="237" t="inlineStr">
        <is>
          <t>DIVES</t>
        </is>
      </c>
    </row>
    <row r="5733">
      <c r="A5733" s="227">
        <f>TL[[#This Row],[Société]]&amp;" - "&amp;TL[[#This Row],[Compte]]</f>
        <v/>
      </c>
      <c r="B5733" s="233" t="inlineStr">
        <is>
          <t>51122100</t>
        </is>
      </c>
      <c r="C5733" s="227" t="inlineStr">
        <is>
          <t>Cartes bleues</t>
        </is>
      </c>
      <c r="F5733" s="237" t="inlineStr">
        <is>
          <t>DIVES</t>
        </is>
      </c>
    </row>
    <row r="5734">
      <c r="A5734" s="227">
        <f>TL[[#This Row],[Société]]&amp;" - "&amp;TL[[#This Row],[Compte]]</f>
        <v/>
      </c>
      <c r="B5734" s="233" t="inlineStr">
        <is>
          <t>51123000</t>
        </is>
      </c>
      <c r="C5734" s="227" t="inlineStr">
        <is>
          <t>Tickets restaurant</t>
        </is>
      </c>
      <c r="F5734" s="237" t="inlineStr">
        <is>
          <t>DIVES</t>
        </is>
      </c>
    </row>
    <row r="5735">
      <c r="A5735" s="227">
        <f>TL[[#This Row],[Société]]&amp;" - "&amp;TL[[#This Row],[Compte]]</f>
        <v/>
      </c>
      <c r="B5735" s="233" t="inlineStr">
        <is>
          <t>51123100</t>
        </is>
      </c>
      <c r="C5735" s="227" t="inlineStr">
        <is>
          <t>Tickets restaurant</t>
        </is>
      </c>
      <c r="F5735" s="237" t="inlineStr">
        <is>
          <t>DIVES</t>
        </is>
      </c>
    </row>
    <row r="5736">
      <c r="A5736" s="227">
        <f>TL[[#This Row],[Société]]&amp;" - "&amp;TL[[#This Row],[Compte]]</f>
        <v/>
      </c>
      <c r="B5736" s="233" t="inlineStr">
        <is>
          <t>51125000</t>
        </is>
      </c>
      <c r="C5736" s="227" t="inlineStr">
        <is>
          <t>Chèques vacances</t>
        </is>
      </c>
      <c r="F5736" s="237" t="inlineStr">
        <is>
          <t>DIVES</t>
        </is>
      </c>
    </row>
    <row r="5737">
      <c r="A5737" s="227">
        <f>TL[[#This Row],[Société]]&amp;" - "&amp;TL[[#This Row],[Compte]]</f>
        <v/>
      </c>
      <c r="B5737" s="233" t="inlineStr">
        <is>
          <t>51125100</t>
        </is>
      </c>
      <c r="C5737" s="227" t="inlineStr">
        <is>
          <t>Chèques vacances</t>
        </is>
      </c>
      <c r="F5737" s="237" t="inlineStr">
        <is>
          <t>DIVES</t>
        </is>
      </c>
    </row>
    <row r="5738">
      <c r="A5738" s="227">
        <f>TL[[#This Row],[Société]]&amp;" - "&amp;TL[[#This Row],[Compte]]</f>
        <v/>
      </c>
      <c r="B5738" s="233" t="inlineStr">
        <is>
          <t>51126000</t>
        </is>
      </c>
      <c r="C5738" s="227" t="inlineStr">
        <is>
          <t>vente 02/01</t>
        </is>
      </c>
      <c r="F5738" s="237" t="inlineStr">
        <is>
          <t>DIVES</t>
        </is>
      </c>
    </row>
    <row r="5739">
      <c r="A5739" s="227">
        <f>TL[[#This Row],[Société]]&amp;" - "&amp;TL[[#This Row],[Compte]]</f>
        <v/>
      </c>
      <c r="B5739" s="233" t="inlineStr">
        <is>
          <t>51126100</t>
        </is>
      </c>
      <c r="C5739" s="227" t="inlineStr">
        <is>
          <t>Pay pal</t>
        </is>
      </c>
      <c r="F5739" s="237" t="inlineStr">
        <is>
          <t>DIVES</t>
        </is>
      </c>
    </row>
    <row r="5740">
      <c r="A5740" s="227">
        <f>TL[[#This Row],[Société]]&amp;" - "&amp;TL[[#This Row],[Compte]]</f>
        <v/>
      </c>
      <c r="B5740" s="233" t="inlineStr">
        <is>
          <t>51170000</t>
        </is>
      </c>
      <c r="C5740" s="227" t="inlineStr">
        <is>
          <t>Chèques émis</t>
        </is>
      </c>
      <c r="F5740" s="237" t="inlineStr">
        <is>
          <t>DIVES</t>
        </is>
      </c>
    </row>
    <row r="5741">
      <c r="A5741" s="227">
        <f>TL[[#This Row],[Société]]&amp;" - "&amp;TL[[#This Row],[Compte]]</f>
        <v/>
      </c>
      <c r="B5741" s="233" t="inlineStr">
        <is>
          <t>51170100</t>
        </is>
      </c>
      <c r="C5741" s="227" t="inlineStr">
        <is>
          <t>Chèques émis intégrés</t>
        </is>
      </c>
      <c r="F5741" s="237" t="inlineStr">
        <is>
          <t>DIVES</t>
        </is>
      </c>
    </row>
    <row r="5742">
      <c r="A5742" s="227">
        <f>TL[[#This Row],[Société]]&amp;" - "&amp;TL[[#This Row],[Compte]]</f>
        <v/>
      </c>
      <c r="B5742" s="233" t="inlineStr">
        <is>
          <t>51200000</t>
        </is>
      </c>
      <c r="C5742" s="227" t="inlineStr">
        <is>
          <t>Crédit agricole</t>
        </is>
      </c>
      <c r="F5742" s="237" t="inlineStr">
        <is>
          <t>DIVES</t>
        </is>
      </c>
    </row>
    <row r="5743">
      <c r="A5743" s="227">
        <f>TL[[#This Row],[Société]]&amp;" - "&amp;TL[[#This Row],[Compte]]</f>
        <v/>
      </c>
      <c r="B5743" s="233" t="inlineStr">
        <is>
          <t>51210000</t>
        </is>
      </c>
      <c r="C5743" s="227" t="inlineStr">
        <is>
          <t>Caisse d'epargne</t>
        </is>
      </c>
      <c r="F5743" s="237" t="inlineStr">
        <is>
          <t>DIVES</t>
        </is>
      </c>
    </row>
    <row r="5744">
      <c r="A5744" s="227">
        <f>TL[[#This Row],[Société]]&amp;" - "&amp;TL[[#This Row],[Compte]]</f>
        <v/>
      </c>
      <c r="B5744" s="233" t="inlineStr">
        <is>
          <t>51220000</t>
        </is>
      </c>
      <c r="C5744" s="227" t="inlineStr">
        <is>
          <t>Société générale</t>
        </is>
      </c>
      <c r="F5744" s="237" t="inlineStr">
        <is>
          <t>DIVES</t>
        </is>
      </c>
    </row>
    <row r="5745">
      <c r="A5745" s="227">
        <f>TL[[#This Row],[Société]]&amp;" - "&amp;TL[[#This Row],[Compte]]</f>
        <v/>
      </c>
      <c r="B5745" s="233" t="inlineStr">
        <is>
          <t>51230000</t>
        </is>
      </c>
      <c r="C5745" s="227" t="inlineStr">
        <is>
          <t>Dépot à terme</t>
        </is>
      </c>
      <c r="F5745" s="237" t="inlineStr">
        <is>
          <t>DIVES</t>
        </is>
      </c>
    </row>
    <row r="5746">
      <c r="A5746" s="227">
        <f>TL[[#This Row],[Société]]&amp;" - "&amp;TL[[#This Row],[Compte]]</f>
        <v/>
      </c>
      <c r="B5746" s="233" t="inlineStr">
        <is>
          <t>51810000</t>
        </is>
      </c>
      <c r="C5746" s="227" t="inlineStr">
        <is>
          <t>Banque - intérets courus à payer</t>
        </is>
      </c>
      <c r="F5746" s="237" t="inlineStr">
        <is>
          <t>DIVES</t>
        </is>
      </c>
    </row>
    <row r="5747">
      <c r="A5747" s="227">
        <f>TL[[#This Row],[Société]]&amp;" - "&amp;TL[[#This Row],[Compte]]</f>
        <v/>
      </c>
      <c r="B5747" s="233" t="inlineStr">
        <is>
          <t>51860000</t>
        </is>
      </c>
      <c r="C5747" s="227" t="inlineStr">
        <is>
          <t>Interets courus à payer</t>
        </is>
      </c>
      <c r="F5747" s="237" t="inlineStr">
        <is>
          <t>DIVES</t>
        </is>
      </c>
    </row>
    <row r="5748">
      <c r="A5748" s="227">
        <f>TL[[#This Row],[Société]]&amp;" - "&amp;TL[[#This Row],[Compte]]</f>
        <v/>
      </c>
      <c r="B5748" s="233" t="inlineStr">
        <is>
          <t>51880000</t>
        </is>
      </c>
      <c r="C5748" s="227" t="inlineStr">
        <is>
          <t>Interets courus à recevoir</t>
        </is>
      </c>
      <c r="F5748" s="237" t="inlineStr">
        <is>
          <t>DIVES</t>
        </is>
      </c>
    </row>
    <row r="5749">
      <c r="A5749" s="227">
        <f>TL[[#This Row],[Société]]&amp;" - "&amp;TL[[#This Row],[Compte]]</f>
        <v/>
      </c>
      <c r="B5749" s="233" t="inlineStr">
        <is>
          <t>51910000</t>
        </is>
      </c>
      <c r="C5749" s="227" t="inlineStr">
        <is>
          <t>Billet à ordre</t>
        </is>
      </c>
      <c r="F5749" s="237" t="inlineStr">
        <is>
          <t>DIVES</t>
        </is>
      </c>
    </row>
    <row r="5750">
      <c r="A5750" s="227">
        <f>TL[[#This Row],[Société]]&amp;" - "&amp;TL[[#This Row],[Compte]]</f>
        <v/>
      </c>
      <c r="B5750" s="233" t="inlineStr">
        <is>
          <t>51920000</t>
        </is>
      </c>
      <c r="C5750" s="227" t="inlineStr">
        <is>
          <t>Dépot à terme</t>
        </is>
      </c>
      <c r="F5750" s="237" t="inlineStr">
        <is>
          <t>DIVES</t>
        </is>
      </c>
    </row>
    <row r="5751">
      <c r="A5751" s="227">
        <f>TL[[#This Row],[Société]]&amp;" - "&amp;TL[[#This Row],[Compte]]</f>
        <v/>
      </c>
      <c r="B5751" s="233" t="inlineStr">
        <is>
          <t>53020000</t>
        </is>
      </c>
      <c r="C5751" s="227" t="inlineStr">
        <is>
          <t>Coffre</t>
        </is>
      </c>
      <c r="F5751" s="237" t="inlineStr">
        <is>
          <t>DIVES</t>
        </is>
      </c>
    </row>
    <row r="5752">
      <c r="A5752" s="227">
        <f>TL[[#This Row],[Société]]&amp;" - "&amp;TL[[#This Row],[Compte]]</f>
        <v/>
      </c>
      <c r="B5752" s="233" t="inlineStr">
        <is>
          <t>53100000</t>
        </is>
      </c>
      <c r="C5752" s="227" t="inlineStr">
        <is>
          <t>Petite caisse</t>
        </is>
      </c>
      <c r="F5752" s="237" t="inlineStr">
        <is>
          <t>DIVES</t>
        </is>
      </c>
    </row>
    <row r="5753">
      <c r="A5753" s="227">
        <f>TL[[#This Row],[Société]]&amp;" - "&amp;TL[[#This Row],[Compte]]</f>
        <v/>
      </c>
      <c r="B5753" s="233" t="inlineStr">
        <is>
          <t>58000000</t>
        </is>
      </c>
      <c r="C5753" s="227" t="inlineStr">
        <is>
          <t>Virements internes</t>
        </is>
      </c>
      <c r="F5753" s="237" t="inlineStr">
        <is>
          <t>DIVES</t>
        </is>
      </c>
    </row>
    <row r="5754">
      <c r="A5754" s="227">
        <f>TL[[#This Row],[Société]]&amp;" - "&amp;TL[[#This Row],[Compte]]</f>
        <v/>
      </c>
      <c r="B5754" s="233" t="inlineStr">
        <is>
          <t>58020000</t>
        </is>
      </c>
      <c r="C5754" s="227" t="inlineStr">
        <is>
          <t>Virements internes</t>
        </is>
      </c>
      <c r="F5754" s="237" t="inlineStr">
        <is>
          <t>DIVES</t>
        </is>
      </c>
    </row>
    <row r="5755">
      <c r="A5755" s="227">
        <f>TL[[#This Row],[Société]]&amp;" - "&amp;TL[[#This Row],[Compte]]</f>
        <v/>
      </c>
      <c r="B5755" s="233" t="inlineStr">
        <is>
          <t>58100000</t>
        </is>
      </c>
      <c r="C5755" s="227" t="inlineStr">
        <is>
          <t>Espèces</t>
        </is>
      </c>
      <c r="F5755" s="237" t="inlineStr">
        <is>
          <t>DIVES</t>
        </is>
      </c>
    </row>
    <row r="5756">
      <c r="A5756" s="227">
        <f>TL[[#This Row],[Société]]&amp;" - "&amp;TL[[#This Row],[Compte]]</f>
        <v/>
      </c>
      <c r="B5756" s="233" t="inlineStr">
        <is>
          <t>58110000</t>
        </is>
      </c>
      <c r="C5756" s="227" t="inlineStr">
        <is>
          <t>vente 11/07</t>
        </is>
      </c>
      <c r="F5756" s="237" t="inlineStr">
        <is>
          <t>DIVES</t>
        </is>
      </c>
    </row>
    <row r="5757">
      <c r="A5757" s="227">
        <f>TL[[#This Row],[Société]]&amp;" - "&amp;TL[[#This Row],[Compte]]</f>
        <v/>
      </c>
      <c r="B5757" s="233" t="inlineStr">
        <is>
          <t>58300000</t>
        </is>
      </c>
      <c r="C5757" s="227" t="inlineStr">
        <is>
          <t>Monnaie</t>
        </is>
      </c>
      <c r="F5757" s="237" t="inlineStr">
        <is>
          <t>DIVES</t>
        </is>
      </c>
    </row>
    <row r="5758">
      <c r="A5758" s="227">
        <f>TL[[#This Row],[Société]]&amp;" - "&amp;TL[[#This Row],[Compte]]</f>
        <v/>
      </c>
      <c r="B5758" s="233" t="inlineStr">
        <is>
          <t>60100000</t>
        </is>
      </c>
      <c r="C5758" s="227" t="inlineStr">
        <is>
          <t>Alimentaire + surgelés</t>
        </is>
      </c>
      <c r="D5758" s="233" t="inlineStr">
        <is>
          <t>99</t>
        </is>
      </c>
      <c r="E5758" s="233" t="inlineStr">
        <is>
          <t>3</t>
        </is>
      </c>
      <c r="F5758" s="237" t="inlineStr">
        <is>
          <t>DIVES</t>
        </is>
      </c>
    </row>
    <row r="5759">
      <c r="A5759" s="227">
        <f>TL[[#This Row],[Société]]&amp;" - "&amp;TL[[#This Row],[Compte]]</f>
        <v/>
      </c>
      <c r="B5759" s="233" t="inlineStr">
        <is>
          <t>60110000</t>
        </is>
      </c>
      <c r="C5759" s="227" t="inlineStr">
        <is>
          <t>Achats nourriture</t>
        </is>
      </c>
      <c r="D5759" s="233" t="inlineStr">
        <is>
          <t>6</t>
        </is>
      </c>
      <c r="E5759" s="233" t="inlineStr">
        <is>
          <t>3</t>
        </is>
      </c>
      <c r="F5759" s="237" t="inlineStr">
        <is>
          <t>DIVES</t>
        </is>
      </c>
    </row>
    <row r="5760">
      <c r="A5760" s="227">
        <f>TL[[#This Row],[Société]]&amp;" - "&amp;TL[[#This Row],[Compte]]</f>
        <v/>
      </c>
      <c r="B5760" s="233" t="inlineStr">
        <is>
          <t>60110200</t>
        </is>
      </c>
      <c r="C5760" s="227" t="inlineStr">
        <is>
          <t>Achats déchets</t>
        </is>
      </c>
      <c r="D5760" s="233" t="inlineStr">
        <is>
          <t>7</t>
        </is>
      </c>
      <c r="E5760" s="233" t="inlineStr">
        <is>
          <t>5</t>
        </is>
      </c>
      <c r="F5760" s="237" t="inlineStr">
        <is>
          <t>DIVES</t>
        </is>
      </c>
    </row>
    <row r="5761">
      <c r="A5761" s="227">
        <f>TL[[#This Row],[Société]]&amp;" - "&amp;TL[[#This Row],[Compte]]</f>
        <v/>
      </c>
      <c r="B5761" s="233" t="inlineStr">
        <is>
          <t>60110300</t>
        </is>
      </c>
      <c r="C5761" s="227" t="inlineStr">
        <is>
          <t>Achats repas employés</t>
        </is>
      </c>
      <c r="D5761" s="233" t="inlineStr">
        <is>
          <t>8</t>
        </is>
      </c>
      <c r="E5761" s="233" t="inlineStr">
        <is>
          <t>4</t>
        </is>
      </c>
      <c r="F5761" s="237" t="inlineStr">
        <is>
          <t>DIVES</t>
        </is>
      </c>
    </row>
    <row r="5762">
      <c r="A5762" s="227">
        <f>TL[[#This Row],[Société]]&amp;" - "&amp;TL[[#This Row],[Compte]]</f>
        <v/>
      </c>
      <c r="B5762" s="233" t="inlineStr">
        <is>
          <t>60111000</t>
        </is>
      </c>
      <c r="C5762" s="227" t="inlineStr">
        <is>
          <t>Achats gaz npu</t>
        </is>
      </c>
      <c r="D5762" s="233" t="inlineStr">
        <is>
          <t>6</t>
        </is>
      </c>
      <c r="E5762" s="233" t="inlineStr">
        <is>
          <t>24</t>
        </is>
      </c>
      <c r="F5762" s="237" t="inlineStr">
        <is>
          <t>DIVES</t>
        </is>
      </c>
    </row>
    <row r="5763">
      <c r="A5763" s="227">
        <f>TL[[#This Row],[Société]]&amp;" - "&amp;TL[[#This Row],[Compte]]</f>
        <v/>
      </c>
      <c r="B5763" s="233" t="inlineStr">
        <is>
          <t>60220100</t>
        </is>
      </c>
      <c r="C5763" s="227" t="inlineStr">
        <is>
          <t>Achats emballage</t>
        </is>
      </c>
      <c r="D5763" s="233" t="inlineStr">
        <is>
          <t>3</t>
        </is>
      </c>
      <c r="E5763" s="233" t="inlineStr">
        <is>
          <t>6</t>
        </is>
      </c>
      <c r="F5763" s="237" t="inlineStr">
        <is>
          <t>DIVES</t>
        </is>
      </c>
    </row>
    <row r="5764">
      <c r="A5764" s="227">
        <f>TL[[#This Row],[Société]]&amp;" - "&amp;TL[[#This Row],[Compte]]</f>
        <v/>
      </c>
      <c r="B5764" s="233" t="inlineStr">
        <is>
          <t>60220200</t>
        </is>
      </c>
      <c r="C5764" s="227" t="inlineStr">
        <is>
          <t>Achats happy meal</t>
        </is>
      </c>
      <c r="D5764" s="233" t="inlineStr">
        <is>
          <t>62</t>
        </is>
      </c>
      <c r="E5764" s="233" t="inlineStr">
        <is>
          <t>51</t>
        </is>
      </c>
      <c r="F5764" s="237" t="inlineStr">
        <is>
          <t>DIVES</t>
        </is>
      </c>
    </row>
    <row r="5765">
      <c r="A5765" s="227">
        <f>TL[[#This Row],[Société]]&amp;" - "&amp;TL[[#This Row],[Compte]]</f>
        <v/>
      </c>
      <c r="B5765" s="233" t="inlineStr">
        <is>
          <t>60261000</t>
        </is>
      </c>
      <c r="C5765" s="227" t="inlineStr">
        <is>
          <t>Achats emballages</t>
        </is>
      </c>
      <c r="D5765" s="233" t="inlineStr">
        <is>
          <t>18</t>
        </is>
      </c>
      <c r="E5765" s="233" t="inlineStr">
        <is>
          <t>6</t>
        </is>
      </c>
      <c r="F5765" s="237" t="inlineStr">
        <is>
          <t>DIVES</t>
        </is>
      </c>
    </row>
    <row r="5766">
      <c r="A5766" s="227">
        <f>TL[[#This Row],[Société]]&amp;" - "&amp;TL[[#This Row],[Compte]]</f>
        <v/>
      </c>
      <c r="B5766" s="233" t="inlineStr">
        <is>
          <t>60261200</t>
        </is>
      </c>
      <c r="C5766" s="227" t="inlineStr">
        <is>
          <t>Achats vaisselle reuse</t>
        </is>
      </c>
      <c r="D5766" s="242" t="inlineStr">
        <is>
          <t>06</t>
        </is>
      </c>
      <c r="E5766" s="243" t="inlineStr">
        <is>
          <t>6.1</t>
        </is>
      </c>
      <c r="F5766" s="237" t="inlineStr">
        <is>
          <t>DIVES</t>
        </is>
      </c>
    </row>
    <row r="5767">
      <c r="A5767" s="227">
        <f>TL[[#This Row],[Société]]&amp;" - "&amp;TL[[#This Row],[Compte]]</f>
        <v/>
      </c>
      <c r="B5767" s="233" t="inlineStr">
        <is>
          <t>60310000</t>
        </is>
      </c>
      <c r="C5767" s="227" t="inlineStr">
        <is>
          <t>Var.stocks food</t>
        </is>
      </c>
      <c r="D5767" s="233" t="inlineStr">
        <is>
          <t>6</t>
        </is>
      </c>
      <c r="E5767" s="233" t="inlineStr">
        <is>
          <t>3</t>
        </is>
      </c>
      <c r="F5767" s="237" t="inlineStr">
        <is>
          <t>DIVES</t>
        </is>
      </c>
    </row>
    <row r="5768">
      <c r="A5768" s="227">
        <f>TL[[#This Row],[Société]]&amp;" - "&amp;TL[[#This Row],[Compte]]</f>
        <v/>
      </c>
      <c r="B5768" s="233" t="inlineStr">
        <is>
          <t>60320000</t>
        </is>
      </c>
      <c r="C5768" s="227" t="inlineStr">
        <is>
          <t>Var. stock paper</t>
        </is>
      </c>
      <c r="D5768" s="233" t="inlineStr">
        <is>
          <t>3</t>
        </is>
      </c>
      <c r="E5768" s="233" t="inlineStr">
        <is>
          <t>6</t>
        </is>
      </c>
      <c r="F5768" s="237" t="inlineStr">
        <is>
          <t>DIVES</t>
        </is>
      </c>
    </row>
    <row r="5769">
      <c r="A5769" s="227">
        <f>TL[[#This Row],[Société]]&amp;" - "&amp;TL[[#This Row],[Compte]]</f>
        <v/>
      </c>
      <c r="B5769" s="233" t="inlineStr">
        <is>
          <t>60320100</t>
        </is>
      </c>
      <c r="C5769" s="227" t="inlineStr">
        <is>
          <t>Var.stock happy meals</t>
        </is>
      </c>
      <c r="D5769" s="233" t="inlineStr">
        <is>
          <t>62</t>
        </is>
      </c>
      <c r="E5769" s="233" t="inlineStr">
        <is>
          <t>51</t>
        </is>
      </c>
      <c r="F5769" s="237" t="inlineStr">
        <is>
          <t>DIVES</t>
        </is>
      </c>
    </row>
    <row r="5770">
      <c r="A5770" s="227">
        <f>TL[[#This Row],[Société]]&amp;" - "&amp;TL[[#This Row],[Compte]]</f>
        <v/>
      </c>
      <c r="B5770" s="233" t="inlineStr">
        <is>
          <t>60321000</t>
        </is>
      </c>
      <c r="C5770" s="227" t="inlineStr">
        <is>
          <t>Var.stocks vaisselle reuse</t>
        </is>
      </c>
      <c r="D5770" s="242" t="inlineStr">
        <is>
          <t>06</t>
        </is>
      </c>
      <c r="E5770" s="243" t="inlineStr">
        <is>
          <t>6.1</t>
        </is>
      </c>
      <c r="F5770" s="237" t="inlineStr">
        <is>
          <t>DIVES</t>
        </is>
      </c>
    </row>
    <row r="5771">
      <c r="A5771" s="227">
        <f>TL[[#This Row],[Société]]&amp;" - "&amp;TL[[#This Row],[Compte]]</f>
        <v/>
      </c>
      <c r="B5771" s="233" t="inlineStr">
        <is>
          <t>60610100</t>
        </is>
      </c>
      <c r="C5771" s="227" t="inlineStr">
        <is>
          <t>Eau restaurant</t>
        </is>
      </c>
      <c r="D5771" s="233" t="inlineStr">
        <is>
          <t>20</t>
        </is>
      </c>
      <c r="E5771" s="233" t="inlineStr">
        <is>
          <t>24</t>
        </is>
      </c>
      <c r="F5771" s="237" t="inlineStr">
        <is>
          <t>DIVES</t>
        </is>
      </c>
    </row>
    <row r="5772">
      <c r="A5772" s="227">
        <f>TL[[#This Row],[Société]]&amp;" - "&amp;TL[[#This Row],[Compte]]</f>
        <v/>
      </c>
      <c r="B5772" s="233" t="inlineStr">
        <is>
          <t>60610300</t>
        </is>
      </c>
      <c r="C5772" s="227" t="inlineStr">
        <is>
          <t>Electricite restaurant</t>
        </is>
      </c>
      <c r="D5772" s="233" t="inlineStr">
        <is>
          <t>20</t>
        </is>
      </c>
      <c r="E5772" s="233" t="inlineStr">
        <is>
          <t>24</t>
        </is>
      </c>
      <c r="F5772" s="237" t="inlineStr">
        <is>
          <t>DIVES</t>
        </is>
      </c>
    </row>
    <row r="5773">
      <c r="A5773" s="227">
        <f>TL[[#This Row],[Société]]&amp;" - "&amp;TL[[#This Row],[Compte]]</f>
        <v/>
      </c>
      <c r="B5773" s="233" t="inlineStr">
        <is>
          <t>60610500</t>
        </is>
      </c>
      <c r="C5773" s="227" t="inlineStr">
        <is>
          <t>Achats gaz</t>
        </is>
      </c>
      <c r="D5773" s="233" t="inlineStr">
        <is>
          <t>20</t>
        </is>
      </c>
      <c r="E5773" s="233" t="inlineStr">
        <is>
          <t>24</t>
        </is>
      </c>
      <c r="F5773" s="237" t="inlineStr">
        <is>
          <t>DIVES</t>
        </is>
      </c>
    </row>
    <row r="5774">
      <c r="A5774" s="227">
        <f>TL[[#This Row],[Société]]&amp;" - "&amp;TL[[#This Row],[Compte]]</f>
        <v/>
      </c>
      <c r="B5774" s="233" t="inlineStr">
        <is>
          <t>60612000</t>
        </is>
      </c>
      <c r="C5774" s="227" t="inlineStr">
        <is>
          <t>Fact edf conso</t>
        </is>
      </c>
      <c r="F5774" s="237" t="inlineStr">
        <is>
          <t>DIVES</t>
        </is>
      </c>
    </row>
    <row r="5775">
      <c r="A5775" s="227">
        <f>TL[[#This Row],[Société]]&amp;" - "&amp;TL[[#This Row],[Compte]]</f>
        <v/>
      </c>
      <c r="B5775" s="233" t="inlineStr">
        <is>
          <t>60630000</t>
        </is>
      </c>
      <c r="C5775" s="227" t="inlineStr">
        <is>
          <t>Petit outillage</t>
        </is>
      </c>
      <c r="D5775" s="233" t="inlineStr">
        <is>
          <t>19</t>
        </is>
      </c>
      <c r="E5775" s="233" t="inlineStr">
        <is>
          <t>18</t>
        </is>
      </c>
      <c r="F5775" s="237" t="inlineStr">
        <is>
          <t>DIVES</t>
        </is>
      </c>
    </row>
    <row r="5776">
      <c r="A5776" s="227">
        <f>TL[[#This Row],[Société]]&amp;" - "&amp;TL[[#This Row],[Compte]]</f>
        <v/>
      </c>
      <c r="B5776" s="233" t="inlineStr">
        <is>
          <t>60630100</t>
        </is>
      </c>
      <c r="C5776" s="227" t="inlineStr">
        <is>
          <t>Fournitures exploitation</t>
        </is>
      </c>
      <c r="D5776" s="233" t="inlineStr">
        <is>
          <t>18</t>
        </is>
      </c>
      <c r="E5776" s="233" t="inlineStr">
        <is>
          <t>25</t>
        </is>
      </c>
      <c r="F5776" s="237" t="inlineStr">
        <is>
          <t>DIVES</t>
        </is>
      </c>
    </row>
    <row r="5777">
      <c r="A5777" s="227">
        <f>TL[[#This Row],[Société]]&amp;" - "&amp;TL[[#This Row],[Compte]]</f>
        <v/>
      </c>
      <c r="B5777" s="233" t="inlineStr">
        <is>
          <t>60630200</t>
        </is>
      </c>
      <c r="C5777" s="227" t="inlineStr">
        <is>
          <t>Fourn exploit° et pdts entretien</t>
        </is>
      </c>
      <c r="D5777" s="233" t="inlineStr">
        <is>
          <t>18</t>
        </is>
      </c>
      <c r="E5777" s="233" t="inlineStr">
        <is>
          <t>25</t>
        </is>
      </c>
      <c r="F5777" s="237" t="inlineStr">
        <is>
          <t>DIVES</t>
        </is>
      </c>
    </row>
    <row r="5778">
      <c r="A5778" s="227">
        <f>TL[[#This Row],[Société]]&amp;" - "&amp;TL[[#This Row],[Compte]]</f>
        <v/>
      </c>
      <c r="B5778" s="233" t="inlineStr">
        <is>
          <t>60630300</t>
        </is>
      </c>
      <c r="C5778" s="227" t="inlineStr">
        <is>
          <t>Uniformes</t>
        </is>
      </c>
      <c r="D5778" s="233" t="inlineStr">
        <is>
          <t>17</t>
        </is>
      </c>
      <c r="E5778" s="233" t="inlineStr">
        <is>
          <t>27</t>
        </is>
      </c>
      <c r="F5778" s="237" t="inlineStr">
        <is>
          <t>DIVES</t>
        </is>
      </c>
    </row>
    <row r="5779">
      <c r="A5779" s="227">
        <f>TL[[#This Row],[Société]]&amp;" - "&amp;TL[[#This Row],[Compte]]</f>
        <v/>
      </c>
      <c r="B5779" s="233" t="inlineStr">
        <is>
          <t>60630500</t>
        </is>
      </c>
      <c r="C5779" s="227" t="inlineStr">
        <is>
          <t>Fourn. diverses Covid</t>
        </is>
      </c>
      <c r="D5779" s="233" t="inlineStr">
        <is>
          <t>18</t>
        </is>
      </c>
      <c r="E5779" s="233" t="inlineStr">
        <is>
          <t>25</t>
        </is>
      </c>
      <c r="F5779" s="237" t="inlineStr">
        <is>
          <t>DIVES</t>
        </is>
      </c>
    </row>
    <row r="5780">
      <c r="A5780" s="227">
        <f>TL[[#This Row],[Société]]&amp;" - "&amp;TL[[#This Row],[Compte]]</f>
        <v/>
      </c>
      <c r="B5780" s="233" t="inlineStr">
        <is>
          <t>60640000</t>
        </is>
      </c>
      <c r="C5780" s="227" t="inlineStr">
        <is>
          <t>Fournit. administratives</t>
        </is>
      </c>
      <c r="D5780" s="233" t="inlineStr">
        <is>
          <t>51</t>
        </is>
      </c>
      <c r="E5780" s="233" t="inlineStr">
        <is>
          <t>46</t>
        </is>
      </c>
      <c r="F5780" s="237" t="inlineStr">
        <is>
          <t>DIVES</t>
        </is>
      </c>
    </row>
    <row r="5781">
      <c r="A5781" s="227">
        <f>TL[[#This Row],[Société]]&amp;" - "&amp;TL[[#This Row],[Compte]]</f>
        <v/>
      </c>
      <c r="B5781" s="233" t="inlineStr">
        <is>
          <t>60640100</t>
        </is>
      </c>
      <c r="C5781" s="227" t="inlineStr">
        <is>
          <t>Fourn.bureau restaurant</t>
        </is>
      </c>
      <c r="D5781" s="233" t="inlineStr">
        <is>
          <t>21</t>
        </is>
      </c>
      <c r="E5781" s="233" t="inlineStr">
        <is>
          <t>25</t>
        </is>
      </c>
      <c r="F5781" s="237" t="inlineStr">
        <is>
          <t>DIVES</t>
        </is>
      </c>
    </row>
    <row r="5782">
      <c r="A5782" s="227">
        <f>TL[[#This Row],[Société]]&amp;" - "&amp;TL[[#This Row],[Compte]]</f>
        <v/>
      </c>
      <c r="B5782" s="233" t="inlineStr">
        <is>
          <t>60680000</t>
        </is>
      </c>
      <c r="C5782" s="227" t="inlineStr">
        <is>
          <t>Carburant</t>
        </is>
      </c>
      <c r="D5782" s="233" t="inlineStr">
        <is>
          <t>39</t>
        </is>
      </c>
      <c r="E5782" s="233" t="inlineStr">
        <is>
          <t>40</t>
        </is>
      </c>
      <c r="F5782" s="237" t="inlineStr">
        <is>
          <t>DIVES</t>
        </is>
      </c>
    </row>
    <row r="5783">
      <c r="A5783" s="227">
        <f>TL[[#This Row],[Société]]&amp;" - "&amp;TL[[#This Row],[Compte]]</f>
        <v/>
      </c>
      <c r="B5783" s="233" t="inlineStr">
        <is>
          <t>60910000</t>
        </is>
      </c>
      <c r="C5783" s="227" t="inlineStr">
        <is>
          <t>R.r.r.obtenues sur achats mp</t>
        </is>
      </c>
      <c r="D5783" s="233" t="inlineStr">
        <is>
          <t>6</t>
        </is>
      </c>
      <c r="E5783" s="233" t="inlineStr">
        <is>
          <t>3</t>
        </is>
      </c>
      <c r="F5783" s="237" t="inlineStr">
        <is>
          <t>DIVES</t>
        </is>
      </c>
    </row>
    <row r="5784">
      <c r="A5784" s="227">
        <f>TL[[#This Row],[Société]]&amp;" - "&amp;TL[[#This Row],[Compte]]</f>
        <v/>
      </c>
      <c r="B5784" s="233" t="inlineStr">
        <is>
          <t>61100100</t>
        </is>
      </c>
      <c r="C5784" s="227" t="inlineStr">
        <is>
          <t>Ramassage espèces</t>
        </is>
      </c>
      <c r="D5784" s="233" t="inlineStr">
        <is>
          <t>16</t>
        </is>
      </c>
      <c r="E5784" s="233" t="inlineStr">
        <is>
          <t>19</t>
        </is>
      </c>
      <c r="F5784" s="237" t="inlineStr">
        <is>
          <t>DIVES</t>
        </is>
      </c>
    </row>
    <row r="5785">
      <c r="A5785" s="227">
        <f>TL[[#This Row],[Société]]&amp;" - "&amp;TL[[#This Row],[Compte]]</f>
        <v/>
      </c>
      <c r="B5785" s="233" t="inlineStr">
        <is>
          <t>61100500</t>
        </is>
      </c>
      <c r="C5785" s="227" t="inlineStr">
        <is>
          <t>Entretien fleurs</t>
        </is>
      </c>
      <c r="D5785" s="233" t="inlineStr">
        <is>
          <t>16</t>
        </is>
      </c>
      <c r="E5785" s="233" t="inlineStr">
        <is>
          <t>19</t>
        </is>
      </c>
      <c r="F5785" s="237" t="inlineStr">
        <is>
          <t>DIVES</t>
        </is>
      </c>
    </row>
    <row r="5786">
      <c r="A5786" s="227">
        <f>TL[[#This Row],[Société]]&amp;" - "&amp;TL[[#This Row],[Compte]]</f>
        <v/>
      </c>
      <c r="B5786" s="233" t="inlineStr">
        <is>
          <t>61110000</t>
        </is>
      </c>
      <c r="C5786" s="227" t="inlineStr">
        <is>
          <t>Sous-traitance comptable</t>
        </is>
      </c>
      <c r="D5786" s="233" t="inlineStr">
        <is>
          <t>32</t>
        </is>
      </c>
      <c r="E5786" s="233" t="inlineStr">
        <is>
          <t>19</t>
        </is>
      </c>
      <c r="F5786" s="237" t="inlineStr">
        <is>
          <t>DIVES</t>
        </is>
      </c>
    </row>
    <row r="5787">
      <c r="A5787" s="227">
        <f>TL[[#This Row],[Société]]&amp;" - "&amp;TL[[#This Row],[Compte]]</f>
        <v/>
      </c>
      <c r="B5787" s="233" t="inlineStr">
        <is>
          <t>61300000</t>
        </is>
      </c>
      <c r="C5787" s="227" t="inlineStr">
        <is>
          <t>51.06/mc donald's/redev min 06.14</t>
        </is>
      </c>
      <c r="F5787" s="237" t="inlineStr">
        <is>
          <t>DIVES</t>
        </is>
      </c>
    </row>
    <row r="5788">
      <c r="A5788" s="227">
        <f>TL[[#This Row],[Société]]&amp;" - "&amp;TL[[#This Row],[Compte]]</f>
        <v/>
      </c>
      <c r="B5788" s="233" t="inlineStr">
        <is>
          <t>61300300</t>
        </is>
      </c>
      <c r="C5788" s="227" t="inlineStr">
        <is>
          <t>loc caisse palette biodechets</t>
        </is>
      </c>
      <c r="D5788" s="233" t="inlineStr">
        <is>
          <t>16</t>
        </is>
      </c>
      <c r="E5788" s="233" t="inlineStr">
        <is>
          <t>19</t>
        </is>
      </c>
      <c r="F5788" s="237" t="inlineStr">
        <is>
          <t>DIVES</t>
        </is>
      </c>
    </row>
    <row r="5789">
      <c r="A5789" s="227">
        <f>TL[[#This Row],[Société]]&amp;" - "&amp;TL[[#This Row],[Compte]]</f>
        <v/>
      </c>
      <c r="B5789" s="233" t="inlineStr">
        <is>
          <t>61300400</t>
        </is>
      </c>
      <c r="C5789" s="227" t="inlineStr">
        <is>
          <t>Standard 12.5%</t>
        </is>
      </c>
      <c r="D5789" s="233" t="inlineStr">
        <is>
          <t>30</t>
        </is>
      </c>
      <c r="E5789" s="233" t="inlineStr">
        <is>
          <t>34</t>
        </is>
      </c>
      <c r="F5789" s="237" t="inlineStr">
        <is>
          <t>DIVES</t>
        </is>
      </c>
    </row>
    <row r="5790">
      <c r="A5790" s="227">
        <f>TL[[#This Row],[Société]]&amp;" - "&amp;TL[[#This Row],[Compte]]</f>
        <v/>
      </c>
      <c r="B5790" s="233" t="inlineStr">
        <is>
          <t>61300500</t>
        </is>
      </c>
      <c r="C5790" s="227" t="inlineStr">
        <is>
          <t>Location camions</t>
        </is>
      </c>
      <c r="D5790" s="233" t="inlineStr">
        <is>
          <t>16</t>
        </is>
      </c>
      <c r="E5790" s="233" t="inlineStr">
        <is>
          <t>19</t>
        </is>
      </c>
      <c r="F5790" s="237" t="inlineStr">
        <is>
          <t>DIVES</t>
        </is>
      </c>
    </row>
    <row r="5791">
      <c r="A5791" s="227">
        <f>TL[[#This Row],[Société]]&amp;" - "&amp;TL[[#This Row],[Compte]]</f>
        <v/>
      </c>
      <c r="B5791" s="233" t="inlineStr">
        <is>
          <t>61300600</t>
        </is>
      </c>
      <c r="C5791" s="227" t="inlineStr">
        <is>
          <t>Location c2</t>
        </is>
      </c>
      <c r="D5791" s="233" t="inlineStr">
        <is>
          <t>16</t>
        </is>
      </c>
      <c r="E5791" s="233" t="inlineStr">
        <is>
          <t>19</t>
        </is>
      </c>
      <c r="F5791" s="237" t="inlineStr">
        <is>
          <t>DIVES</t>
        </is>
      </c>
    </row>
    <row r="5792">
      <c r="A5792" s="227">
        <f>TL[[#This Row],[Société]]&amp;" - "&amp;TL[[#This Row],[Compte]]</f>
        <v/>
      </c>
      <c r="B5792" s="233" t="inlineStr">
        <is>
          <t>61300700</t>
        </is>
      </c>
      <c r="C5792" s="227" t="inlineStr">
        <is>
          <t>Locat° polo (remplace c2 - crespin)</t>
        </is>
      </c>
      <c r="D5792" s="233" t="inlineStr">
        <is>
          <t>16</t>
        </is>
      </c>
      <c r="E5792" s="233" t="inlineStr">
        <is>
          <t>19</t>
        </is>
      </c>
      <c r="F5792" s="237" t="inlineStr">
        <is>
          <t>DIVES</t>
        </is>
      </c>
    </row>
    <row r="5793">
      <c r="A5793" s="227">
        <f>TL[[#This Row],[Société]]&amp;" - "&amp;TL[[#This Row],[Compte]]</f>
        <v/>
      </c>
      <c r="B5793" s="233" t="inlineStr">
        <is>
          <t>61300800</t>
        </is>
      </c>
      <c r="C5793" s="227" t="inlineStr">
        <is>
          <t>Location interway</t>
        </is>
      </c>
      <c r="D5793" s="233" t="inlineStr">
        <is>
          <t>16</t>
        </is>
      </c>
      <c r="E5793" s="233" t="inlineStr">
        <is>
          <t>19</t>
        </is>
      </c>
      <c r="F5793" s="237" t="inlineStr">
        <is>
          <t>DIVES</t>
        </is>
      </c>
    </row>
    <row r="5794">
      <c r="A5794" s="227">
        <f>TL[[#This Row],[Société]]&amp;" - "&amp;TL[[#This Row],[Compte]]</f>
        <v/>
      </c>
      <c r="B5794" s="233" t="inlineStr">
        <is>
          <t>61300900</t>
        </is>
      </c>
      <c r="C5794" s="227" t="inlineStr">
        <is>
          <t>Location Audi A1 ed 895 pj</t>
        </is>
      </c>
      <c r="D5794" s="233" t="inlineStr">
        <is>
          <t>39</t>
        </is>
      </c>
      <c r="E5794" s="233" t="inlineStr">
        <is>
          <t>39</t>
        </is>
      </c>
      <c r="F5794" s="237" t="inlineStr">
        <is>
          <t>DIVES</t>
        </is>
      </c>
    </row>
    <row r="5795">
      <c r="A5795" s="227">
        <f>TL[[#This Row],[Société]]&amp;" - "&amp;TL[[#This Row],[Compte]]</f>
        <v/>
      </c>
      <c r="B5795" s="233" t="inlineStr">
        <is>
          <t>61301000</t>
        </is>
      </c>
      <c r="C5795" s="227" t="inlineStr">
        <is>
          <t>location copieur</t>
        </is>
      </c>
      <c r="D5795" s="233" t="inlineStr">
        <is>
          <t>16</t>
        </is>
      </c>
      <c r="E5795" s="233" t="inlineStr">
        <is>
          <t>19</t>
        </is>
      </c>
      <c r="F5795" s="237" t="inlineStr">
        <is>
          <t>DIVES</t>
        </is>
      </c>
    </row>
    <row r="5796">
      <c r="A5796" s="227">
        <f>TL[[#This Row],[Société]]&amp;" - "&amp;TL[[#This Row],[Compte]]</f>
        <v/>
      </c>
      <c r="B5796" s="233" t="inlineStr">
        <is>
          <t>61301100</t>
        </is>
      </c>
      <c r="C5796" s="227" t="inlineStr">
        <is>
          <t>location audi a1 ez 614 le</t>
        </is>
      </c>
      <c r="D5796" s="233" t="inlineStr">
        <is>
          <t>39</t>
        </is>
      </c>
      <c r="E5796" s="233" t="inlineStr">
        <is>
          <t>39</t>
        </is>
      </c>
      <c r="F5796" s="237" t="inlineStr">
        <is>
          <t>DIVES</t>
        </is>
      </c>
    </row>
    <row r="5797">
      <c r="A5797" s="227">
        <f>TL[[#This Row],[Société]]&amp;" - "&amp;TL[[#This Row],[Compte]]</f>
        <v/>
      </c>
      <c r="B5797" s="233" t="inlineStr">
        <is>
          <t>61301200</t>
        </is>
      </c>
      <c r="C5797" s="227" t="inlineStr">
        <is>
          <t>location polo fg 707 vy</t>
        </is>
      </c>
      <c r="D5797" s="233" t="inlineStr">
        <is>
          <t>39</t>
        </is>
      </c>
      <c r="E5797" s="233" t="inlineStr">
        <is>
          <t>40</t>
        </is>
      </c>
      <c r="F5797" s="237" t="inlineStr">
        <is>
          <t>DIVES</t>
        </is>
      </c>
    </row>
    <row r="5798">
      <c r="A5798" s="227">
        <f>TL[[#This Row],[Société]]&amp;" - "&amp;TL[[#This Row],[Compte]]</f>
        <v/>
      </c>
      <c r="B5798" s="233" t="inlineStr">
        <is>
          <t>61301300</t>
        </is>
      </c>
      <c r="C5798" s="227" t="inlineStr">
        <is>
          <t>location veh thomas rego</t>
        </is>
      </c>
      <c r="D5798" s="233" t="inlineStr">
        <is>
          <t>39</t>
        </is>
      </c>
      <c r="E5798" s="233" t="inlineStr">
        <is>
          <t>40</t>
        </is>
      </c>
      <c r="F5798" s="237" t="inlineStr">
        <is>
          <t>DIVES</t>
        </is>
      </c>
    </row>
    <row r="5799">
      <c r="A5799" s="227">
        <f>TL[[#This Row],[Société]]&amp;" - "&amp;TL[[#This Row],[Compte]]</f>
        <v/>
      </c>
      <c r="B5799" s="233" t="inlineStr">
        <is>
          <t>61301400</t>
        </is>
      </c>
      <c r="C5799" s="227" t="inlineStr">
        <is>
          <t>loyer vehicule marine</t>
        </is>
      </c>
      <c r="D5799" s="233" t="inlineStr">
        <is>
          <t>39</t>
        </is>
      </c>
      <c r="E5799" s="233" t="inlineStr">
        <is>
          <t>39</t>
        </is>
      </c>
      <c r="F5799" s="237" t="inlineStr">
        <is>
          <t>DIVES</t>
        </is>
      </c>
    </row>
    <row r="5800">
      <c r="A5800" s="227">
        <f>TL[[#This Row],[Société]]&amp;" - "&amp;TL[[#This Row],[Compte]]</f>
        <v/>
      </c>
      <c r="B5800" s="233" t="inlineStr">
        <is>
          <t>61301500</t>
        </is>
      </c>
      <c r="C5800" s="227" t="inlineStr">
        <is>
          <t>Loyer véhicule Wassa</t>
        </is>
      </c>
      <c r="D5800" s="233" t="inlineStr">
        <is>
          <t>39</t>
        </is>
      </c>
      <c r="E5800" s="233" t="inlineStr">
        <is>
          <t>40</t>
        </is>
      </c>
      <c r="F5800" s="237" t="inlineStr">
        <is>
          <t>DIVES</t>
        </is>
      </c>
    </row>
    <row r="5801">
      <c r="A5801" s="227">
        <f>TL[[#This Row],[Société]]&amp;" - "&amp;TL[[#This Row],[Compte]]</f>
        <v/>
      </c>
      <c r="B5801" s="233" t="inlineStr">
        <is>
          <t>61301600</t>
        </is>
      </c>
      <c r="C5801" s="227" t="inlineStr">
        <is>
          <t>Loyer véhicule Lanos</t>
        </is>
      </c>
      <c r="D5801" s="233" t="inlineStr">
        <is>
          <t>39</t>
        </is>
      </c>
      <c r="E5801" s="233" t="inlineStr">
        <is>
          <t>40</t>
        </is>
      </c>
      <c r="F5801" s="237" t="inlineStr">
        <is>
          <t>DIVES</t>
        </is>
      </c>
    </row>
    <row r="5802">
      <c r="A5802" s="227">
        <f>TL[[#This Row],[Société]]&amp;" - "&amp;TL[[#This Row],[Compte]]</f>
        <v/>
      </c>
      <c r="B5802" s="233" t="inlineStr">
        <is>
          <t>61301700</t>
        </is>
      </c>
      <c r="C5802" s="227" t="inlineStr">
        <is>
          <t>Loyer véhicule Phoeuk</t>
        </is>
      </c>
      <c r="D5802" s="233" t="inlineStr">
        <is>
          <t>39</t>
        </is>
      </c>
      <c r="E5802" s="233" t="inlineStr">
        <is>
          <t>40</t>
        </is>
      </c>
      <c r="F5802" s="237" t="inlineStr">
        <is>
          <t>DIVES</t>
        </is>
      </c>
    </row>
    <row r="5803">
      <c r="A5803" s="227">
        <f>TL[[#This Row],[Société]]&amp;" - "&amp;TL[[#This Row],[Compte]]</f>
        <v/>
      </c>
      <c r="B5803" s="233" t="inlineStr">
        <is>
          <t>61310100</t>
        </is>
      </c>
      <c r="C5803" s="227" t="inlineStr">
        <is>
          <t>Fact veolia proprete du 31  juillet</t>
        </is>
      </c>
      <c r="F5803" s="237" t="inlineStr">
        <is>
          <t>DIVES</t>
        </is>
      </c>
    </row>
    <row r="5804">
      <c r="A5804" s="227">
        <f>TL[[#This Row],[Société]]&amp;" - "&amp;TL[[#This Row],[Compte]]</f>
        <v/>
      </c>
      <c r="B5804" s="233" t="inlineStr">
        <is>
          <t>61320000</t>
        </is>
      </c>
      <c r="C5804" s="227" t="inlineStr">
        <is>
          <t>Redevance standard 13 %</t>
        </is>
      </c>
      <c r="D5804" s="233" t="inlineStr">
        <is>
          <t>30</t>
        </is>
      </c>
      <c r="E5804" s="233" t="inlineStr">
        <is>
          <t>29</t>
        </is>
      </c>
      <c r="F5804" s="237" t="inlineStr">
        <is>
          <t>DIVES</t>
        </is>
      </c>
    </row>
    <row r="5805">
      <c r="A5805" s="227">
        <f>TL[[#This Row],[Société]]&amp;" - "&amp;TL[[#This Row],[Compte]]</f>
        <v/>
      </c>
      <c r="B5805" s="233" t="inlineStr">
        <is>
          <t>61321000</t>
        </is>
      </c>
      <c r="C5805" s="227" t="inlineStr">
        <is>
          <t>location defibrillateur</t>
        </is>
      </c>
      <c r="D5805" s="233" t="inlineStr">
        <is>
          <t>16</t>
        </is>
      </c>
      <c r="E5805" s="233" t="inlineStr">
        <is>
          <t>19</t>
        </is>
      </c>
      <c r="F5805" s="237" t="inlineStr">
        <is>
          <t>DIVES</t>
        </is>
      </c>
    </row>
    <row r="5806">
      <c r="A5806" s="227">
        <f>TL[[#This Row],[Société]]&amp;" - "&amp;TL[[#This Row],[Compte]]</f>
        <v/>
      </c>
      <c r="B5806" s="233" t="inlineStr">
        <is>
          <t>61322000</t>
        </is>
      </c>
      <c r="C5806" s="227" t="inlineStr">
        <is>
          <t>location bailart</t>
        </is>
      </c>
      <c r="D5806" s="233" t="inlineStr">
        <is>
          <t>39</t>
        </is>
      </c>
      <c r="E5806" s="233" t="inlineStr">
        <is>
          <t>40</t>
        </is>
      </c>
      <c r="F5806" s="237" t="inlineStr">
        <is>
          <t>DIVES</t>
        </is>
      </c>
    </row>
    <row r="5807">
      <c r="A5807" s="227">
        <f>TL[[#This Row],[Société]]&amp;" - "&amp;TL[[#This Row],[Compte]]</f>
        <v/>
      </c>
      <c r="B5807" s="233" t="inlineStr">
        <is>
          <t>61322300</t>
        </is>
      </c>
      <c r="C5807" s="227" t="inlineStr">
        <is>
          <t>location divers</t>
        </is>
      </c>
      <c r="D5807" s="233" t="inlineStr">
        <is>
          <t>16</t>
        </is>
      </c>
      <c r="E5807" s="233" t="inlineStr">
        <is>
          <t>19</t>
        </is>
      </c>
      <c r="F5807" s="237" t="inlineStr">
        <is>
          <t>DIVES</t>
        </is>
      </c>
    </row>
    <row r="5808">
      <c r="A5808" s="227">
        <f>TL[[#This Row],[Société]]&amp;" - "&amp;TL[[#This Row],[Compte]]</f>
        <v/>
      </c>
      <c r="B5808" s="233" t="inlineStr">
        <is>
          <t>61400000</t>
        </is>
      </c>
      <c r="C5808" s="227" t="inlineStr">
        <is>
          <t>Charges locatives</t>
        </is>
      </c>
      <c r="D5808" s="233" t="inlineStr">
        <is>
          <t>34</t>
        </is>
      </c>
      <c r="E5808" s="233" t="inlineStr">
        <is>
          <t>33</t>
        </is>
      </c>
      <c r="F5808" s="237" t="inlineStr">
        <is>
          <t>DIVES</t>
        </is>
      </c>
    </row>
    <row r="5809">
      <c r="A5809" s="227">
        <f>TL[[#This Row],[Société]]&amp;" - "&amp;TL[[#This Row],[Compte]]</f>
        <v/>
      </c>
      <c r="B5809" s="233" t="inlineStr">
        <is>
          <t>61410000</t>
        </is>
      </c>
      <c r="C5809" s="227" t="inlineStr">
        <is>
          <t>Charges loc mc do france</t>
        </is>
      </c>
      <c r="D5809" s="233" t="inlineStr">
        <is>
          <t>34</t>
        </is>
      </c>
      <c r="E5809" s="233" t="inlineStr">
        <is>
          <t>33</t>
        </is>
      </c>
      <c r="F5809" s="237" t="inlineStr">
        <is>
          <t>DIVES</t>
        </is>
      </c>
    </row>
    <row r="5810">
      <c r="A5810" s="227">
        <f>TL[[#This Row],[Société]]&amp;" - "&amp;TL[[#This Row],[Compte]]</f>
        <v/>
      </c>
      <c r="B5810" s="233" t="inlineStr">
        <is>
          <t>61500100</t>
        </is>
      </c>
      <c r="C5810" s="227" t="inlineStr">
        <is>
          <t>Ent et rep equipement</t>
        </is>
      </c>
      <c r="D5810" s="233" t="inlineStr">
        <is>
          <t>19</t>
        </is>
      </c>
      <c r="E5810" s="233" t="inlineStr">
        <is>
          <t>18</t>
        </is>
      </c>
      <c r="F5810" s="237" t="inlineStr">
        <is>
          <t>DIVES</t>
        </is>
      </c>
    </row>
    <row r="5811">
      <c r="A5811" s="227">
        <f>TL[[#This Row],[Société]]&amp;" - "&amp;TL[[#This Row],[Compte]]</f>
        <v/>
      </c>
      <c r="B5811" s="233" t="inlineStr">
        <is>
          <t>61500200</t>
        </is>
      </c>
      <c r="C5811" s="227" t="inlineStr">
        <is>
          <t>Entretien véhicules npu</t>
        </is>
      </c>
      <c r="D5811" s="233" t="inlineStr">
        <is>
          <t>19</t>
        </is>
      </c>
      <c r="E5811" s="233" t="inlineStr">
        <is>
          <t>18</t>
        </is>
      </c>
      <c r="F5811" s="237" t="inlineStr">
        <is>
          <t>DIVES</t>
        </is>
      </c>
    </row>
    <row r="5812">
      <c r="A5812" s="227">
        <f>TL[[#This Row],[Société]]&amp;" - "&amp;TL[[#This Row],[Compte]]</f>
        <v/>
      </c>
      <c r="B5812" s="233" t="inlineStr">
        <is>
          <t>61500300</t>
        </is>
      </c>
      <c r="C5812" s="227" t="inlineStr">
        <is>
          <t>Linge</t>
        </is>
      </c>
      <c r="D5812" s="233" t="inlineStr">
        <is>
          <t>19</t>
        </is>
      </c>
      <c r="E5812" s="233" t="inlineStr">
        <is>
          <t>19</t>
        </is>
      </c>
      <c r="F5812" s="237" t="inlineStr">
        <is>
          <t>DIVES</t>
        </is>
      </c>
    </row>
    <row r="5813">
      <c r="A5813" s="227">
        <f>TL[[#This Row],[Société]]&amp;" - "&amp;TL[[#This Row],[Compte]]</f>
        <v/>
      </c>
      <c r="B5813" s="233" t="inlineStr">
        <is>
          <t>61500400</t>
        </is>
      </c>
      <c r="C5813" s="227" t="inlineStr">
        <is>
          <t>Surveillance</t>
        </is>
      </c>
      <c r="D5813" s="233" t="inlineStr">
        <is>
          <t>16</t>
        </is>
      </c>
      <c r="E5813" s="233" t="inlineStr">
        <is>
          <t>16</t>
        </is>
      </c>
      <c r="F5813" s="237" t="inlineStr">
        <is>
          <t>DIVES</t>
        </is>
      </c>
    </row>
    <row r="5814">
      <c r="A5814" s="227">
        <f>TL[[#This Row],[Société]]&amp;" - "&amp;TL[[#This Row],[Compte]]</f>
        <v/>
      </c>
      <c r="B5814" s="233" t="inlineStr">
        <is>
          <t>61500500</t>
        </is>
      </c>
      <c r="C5814" s="227" t="inlineStr">
        <is>
          <t>Contrat onyx</t>
        </is>
      </c>
      <c r="D5814" s="233" t="inlineStr">
        <is>
          <t>16</t>
        </is>
      </c>
      <c r="E5814" s="233" t="inlineStr">
        <is>
          <t>19</t>
        </is>
      </c>
      <c r="F5814" s="237" t="inlineStr">
        <is>
          <t>DIVES</t>
        </is>
      </c>
    </row>
    <row r="5815">
      <c r="A5815" s="227">
        <f>TL[[#This Row],[Société]]&amp;" - "&amp;TL[[#This Row],[Compte]]</f>
        <v/>
      </c>
      <c r="B5815" s="233" t="inlineStr">
        <is>
          <t>61500600</t>
        </is>
      </c>
      <c r="C5815" s="227" t="inlineStr">
        <is>
          <t>Contrat ecogras</t>
        </is>
      </c>
      <c r="D5815" s="233" t="inlineStr">
        <is>
          <t>16</t>
        </is>
      </c>
      <c r="E5815" s="233" t="inlineStr">
        <is>
          <t>19</t>
        </is>
      </c>
      <c r="F5815" s="237" t="inlineStr">
        <is>
          <t>DIVES</t>
        </is>
      </c>
    </row>
    <row r="5816">
      <c r="A5816" s="227">
        <f>TL[[#This Row],[Société]]&amp;" - "&amp;TL[[#This Row],[Compte]]</f>
        <v/>
      </c>
      <c r="B5816" s="233" t="inlineStr">
        <is>
          <t>61501100</t>
        </is>
      </c>
      <c r="C5816" s="227" t="inlineStr">
        <is>
          <t>Contrat j-normandie</t>
        </is>
      </c>
      <c r="D5816" s="233" t="inlineStr">
        <is>
          <t>16</t>
        </is>
      </c>
      <c r="E5816" s="233" t="inlineStr">
        <is>
          <t>19</t>
        </is>
      </c>
      <c r="F5816" s="237" t="inlineStr">
        <is>
          <t>DIVES</t>
        </is>
      </c>
    </row>
    <row r="5817">
      <c r="A5817" s="227">
        <f>TL[[#This Row],[Société]]&amp;" - "&amp;TL[[#This Row],[Compte]]</f>
        <v/>
      </c>
      <c r="B5817" s="233" t="inlineStr">
        <is>
          <t>61501200</t>
        </is>
      </c>
      <c r="C5817" s="227" t="inlineStr">
        <is>
          <t>Contrta sir</t>
        </is>
      </c>
      <c r="D5817" s="233" t="inlineStr">
        <is>
          <t>16</t>
        </is>
      </c>
      <c r="E5817" s="233" t="inlineStr">
        <is>
          <t>19</t>
        </is>
      </c>
      <c r="F5817" s="237" t="inlineStr">
        <is>
          <t>DIVES</t>
        </is>
      </c>
    </row>
    <row r="5818">
      <c r="A5818" s="227">
        <f>TL[[#This Row],[Société]]&amp;" - "&amp;TL[[#This Row],[Compte]]</f>
        <v/>
      </c>
      <c r="B5818" s="233" t="inlineStr">
        <is>
          <t>61501600</t>
        </is>
      </c>
      <c r="C5818" s="227" t="inlineStr">
        <is>
          <t>Normanet</t>
        </is>
      </c>
      <c r="D5818" s="233" t="inlineStr">
        <is>
          <t>16</t>
        </is>
      </c>
      <c r="E5818" s="233" t="inlineStr">
        <is>
          <t>19</t>
        </is>
      </c>
      <c r="F5818" s="237" t="inlineStr">
        <is>
          <t>DIVES</t>
        </is>
      </c>
    </row>
    <row r="5819">
      <c r="A5819" s="227">
        <f>TL[[#This Row],[Société]]&amp;" - "&amp;TL[[#This Row],[Compte]]</f>
        <v/>
      </c>
      <c r="B5819" s="233" t="inlineStr">
        <is>
          <t>61501700</t>
        </is>
      </c>
      <c r="C5819" s="227" t="inlineStr">
        <is>
          <t>Canal musique</t>
        </is>
      </c>
      <c r="D5819" s="233" t="inlineStr">
        <is>
          <t>16</t>
        </is>
      </c>
      <c r="E5819" s="233" t="inlineStr">
        <is>
          <t>19</t>
        </is>
      </c>
      <c r="F5819" s="237" t="inlineStr">
        <is>
          <t>DIVES</t>
        </is>
      </c>
    </row>
    <row r="5820">
      <c r="A5820" s="227">
        <f>TL[[#This Row],[Société]]&amp;" - "&amp;TL[[#This Row],[Compte]]</f>
        <v/>
      </c>
      <c r="B5820" s="233" t="inlineStr">
        <is>
          <t>61520000</t>
        </is>
      </c>
      <c r="C5820" s="227" t="inlineStr">
        <is>
          <t>Entretien espaces verts</t>
        </is>
      </c>
      <c r="D5820" s="233" t="inlineStr">
        <is>
          <t>16</t>
        </is>
      </c>
      <c r="E5820" s="233" t="inlineStr">
        <is>
          <t>19</t>
        </is>
      </c>
      <c r="F5820" s="237" t="inlineStr">
        <is>
          <t>DIVES</t>
        </is>
      </c>
    </row>
    <row r="5821">
      <c r="A5821" s="227">
        <f>TL[[#This Row],[Société]]&amp;" - "&amp;TL[[#This Row],[Compte]]</f>
        <v/>
      </c>
      <c r="B5821" s="233" t="inlineStr">
        <is>
          <t>61521000</t>
        </is>
      </c>
      <c r="C5821" s="227" t="inlineStr">
        <is>
          <t>Entretien vitres</t>
        </is>
      </c>
      <c r="D5821" s="233" t="inlineStr">
        <is>
          <t>16</t>
        </is>
      </c>
      <c r="E5821" s="233" t="inlineStr">
        <is>
          <t>15</t>
        </is>
      </c>
      <c r="F5821" s="237" t="inlineStr">
        <is>
          <t>DIVES</t>
        </is>
      </c>
    </row>
    <row r="5822">
      <c r="A5822" s="227">
        <f>TL[[#This Row],[Société]]&amp;" - "&amp;TL[[#This Row],[Compte]]</f>
        <v/>
      </c>
      <c r="B5822" s="233" t="inlineStr">
        <is>
          <t>61550000</t>
        </is>
      </c>
      <c r="C5822" s="227" t="inlineStr">
        <is>
          <t>Entretien et matériel divers</t>
        </is>
      </c>
      <c r="D5822" s="233" t="inlineStr">
        <is>
          <t>19</t>
        </is>
      </c>
      <c r="E5822" s="233" t="inlineStr">
        <is>
          <t>18</t>
        </is>
      </c>
      <c r="F5822" s="237" t="inlineStr">
        <is>
          <t>DIVES</t>
        </is>
      </c>
    </row>
    <row r="5823">
      <c r="A5823" s="227">
        <f>TL[[#This Row],[Société]]&amp;" - "&amp;TL[[#This Row],[Compte]]</f>
        <v/>
      </c>
      <c r="B5823" s="233" t="inlineStr">
        <is>
          <t>61552000</t>
        </is>
      </c>
      <c r="C5823" s="227" t="inlineStr">
        <is>
          <t>Entretien du matériel de transport</t>
        </is>
      </c>
      <c r="D5823" s="233" t="inlineStr">
        <is>
          <t>19</t>
        </is>
      </c>
      <c r="E5823" s="233" t="inlineStr">
        <is>
          <t>18</t>
        </is>
      </c>
      <c r="F5823" s="237" t="inlineStr">
        <is>
          <t>DIVES</t>
        </is>
      </c>
    </row>
    <row r="5824">
      <c r="A5824" s="227">
        <f>TL[[#This Row],[Société]]&amp;" - "&amp;TL[[#This Row],[Compte]]</f>
        <v/>
      </c>
      <c r="B5824" s="233" t="inlineStr">
        <is>
          <t>61552100</t>
        </is>
      </c>
      <c r="C5824" s="227" t="inlineStr">
        <is>
          <t>Entret.mat.trsp</t>
        </is>
      </c>
      <c r="D5824" s="233" t="inlineStr">
        <is>
          <t>39</t>
        </is>
      </c>
      <c r="E5824" s="233" t="inlineStr">
        <is>
          <t>18</t>
        </is>
      </c>
      <c r="F5824" s="237" t="inlineStr">
        <is>
          <t>DIVES</t>
        </is>
      </c>
    </row>
    <row r="5825">
      <c r="A5825" s="227">
        <f>TL[[#This Row],[Société]]&amp;" - "&amp;TL[[#This Row],[Compte]]</f>
        <v/>
      </c>
      <c r="B5825" s="233" t="inlineStr">
        <is>
          <t>61560000</t>
        </is>
      </c>
      <c r="C5825" s="227" t="inlineStr">
        <is>
          <t>Maintenance mc do sire</t>
        </is>
      </c>
      <c r="D5825" s="233" t="inlineStr">
        <is>
          <t>16</t>
        </is>
      </c>
      <c r="E5825" s="233" t="inlineStr">
        <is>
          <t>19</t>
        </is>
      </c>
      <c r="F5825" s="237" t="inlineStr">
        <is>
          <t>DIVES</t>
        </is>
      </c>
    </row>
    <row r="5826">
      <c r="A5826" s="227">
        <f>TL[[#This Row],[Société]]&amp;" - "&amp;TL[[#This Row],[Compte]]</f>
        <v/>
      </c>
      <c r="B5826" s="233" t="inlineStr">
        <is>
          <t>61561000</t>
        </is>
      </c>
      <c r="C5826" s="227" t="inlineStr">
        <is>
          <t>Contrat iron mountain</t>
        </is>
      </c>
      <c r="D5826" s="233" t="inlineStr">
        <is>
          <t>16</t>
        </is>
      </c>
      <c r="E5826" s="233" t="inlineStr">
        <is>
          <t>19</t>
        </is>
      </c>
      <c r="F5826" s="237" t="inlineStr">
        <is>
          <t>DIVES</t>
        </is>
      </c>
    </row>
    <row r="5827">
      <c r="A5827" s="227">
        <f>TL[[#This Row],[Société]]&amp;" - "&amp;TL[[#This Row],[Compte]]</f>
        <v/>
      </c>
      <c r="B5827" s="233" t="inlineStr">
        <is>
          <t>61561100</t>
        </is>
      </c>
      <c r="C5827" s="227" t="inlineStr">
        <is>
          <t>Contrat espèces loomis</t>
        </is>
      </c>
      <c r="D5827" s="233" t="inlineStr">
        <is>
          <t>16</t>
        </is>
      </c>
      <c r="E5827" s="233" t="inlineStr">
        <is>
          <t>19</t>
        </is>
      </c>
      <c r="F5827" s="237" t="inlineStr">
        <is>
          <t>DIVES</t>
        </is>
      </c>
    </row>
    <row r="5828">
      <c r="A5828" s="227">
        <f>TL[[#This Row],[Société]]&amp;" - "&amp;TL[[#This Row],[Compte]]</f>
        <v/>
      </c>
      <c r="B5828" s="233" t="inlineStr">
        <is>
          <t>61561200</t>
        </is>
      </c>
      <c r="C5828" s="227" t="inlineStr">
        <is>
          <t>Contrat recycl huiles usagees</t>
        </is>
      </c>
      <c r="D5828" s="233" t="inlineStr">
        <is>
          <t>16</t>
        </is>
      </c>
      <c r="E5828" s="233" t="inlineStr">
        <is>
          <t>19</t>
        </is>
      </c>
      <c r="F5828" s="237" t="inlineStr">
        <is>
          <t>DIVES</t>
        </is>
      </c>
    </row>
    <row r="5829">
      <c r="A5829" s="227">
        <f>TL[[#This Row],[Société]]&amp;" - "&amp;TL[[#This Row],[Compte]]</f>
        <v/>
      </c>
      <c r="B5829" s="233" t="inlineStr">
        <is>
          <t>61561300</t>
        </is>
      </c>
      <c r="C5829" s="227" t="inlineStr">
        <is>
          <t>Contrat reflex services</t>
        </is>
      </c>
      <c r="D5829" s="233" t="inlineStr">
        <is>
          <t>16</t>
        </is>
      </c>
      <c r="E5829" s="233" t="inlineStr">
        <is>
          <t>19</t>
        </is>
      </c>
      <c r="F5829" s="237" t="inlineStr">
        <is>
          <t>DIVES</t>
        </is>
      </c>
    </row>
    <row r="5830">
      <c r="A5830" s="227">
        <f>TL[[#This Row],[Société]]&amp;" - "&amp;TL[[#This Row],[Compte]]</f>
        <v/>
      </c>
      <c r="B5830" s="233" t="inlineStr">
        <is>
          <t>61561400</t>
        </is>
      </c>
      <c r="C5830" s="227" t="inlineStr">
        <is>
          <t>Contrat entretien aire de jeux</t>
        </is>
      </c>
      <c r="D5830" s="233" t="inlineStr">
        <is>
          <t>16</t>
        </is>
      </c>
      <c r="E5830" s="233" t="inlineStr">
        <is>
          <t>19</t>
        </is>
      </c>
      <c r="F5830" s="237" t="inlineStr">
        <is>
          <t>DIVES</t>
        </is>
      </c>
    </row>
    <row r="5831">
      <c r="A5831" s="227">
        <f>TL[[#This Row],[Société]]&amp;" - "&amp;TL[[#This Row],[Compte]]</f>
        <v/>
      </c>
      <c r="B5831" s="233" t="inlineStr">
        <is>
          <t>61561500</t>
        </is>
      </c>
      <c r="C5831" s="227" t="inlineStr">
        <is>
          <t>Contrat entretien linge</t>
        </is>
      </c>
      <c r="D5831" s="233" t="inlineStr">
        <is>
          <t>16</t>
        </is>
      </c>
      <c r="E5831" s="233" t="inlineStr">
        <is>
          <t>19</t>
        </is>
      </c>
      <c r="F5831" s="237" t="inlineStr">
        <is>
          <t>DIVES</t>
        </is>
      </c>
    </row>
    <row r="5832">
      <c r="A5832" s="227">
        <f>TL[[#This Row],[Société]]&amp;" - "&amp;TL[[#This Row],[Compte]]</f>
        <v/>
      </c>
      <c r="B5832" s="233" t="inlineStr">
        <is>
          <t>61561600</t>
        </is>
      </c>
      <c r="C5832" s="227" t="inlineStr">
        <is>
          <t>Contrat acrelec</t>
        </is>
      </c>
      <c r="D5832" s="233" t="inlineStr">
        <is>
          <t>16</t>
        </is>
      </c>
      <c r="E5832" s="233" t="inlineStr">
        <is>
          <t>19</t>
        </is>
      </c>
      <c r="F5832" s="237" t="inlineStr">
        <is>
          <t>DIVES</t>
        </is>
      </c>
    </row>
    <row r="5833">
      <c r="A5833" s="227">
        <f>TL[[#This Row],[Société]]&amp;" - "&amp;TL[[#This Row],[Compte]]</f>
        <v/>
      </c>
      <c r="B5833" s="233" t="inlineStr">
        <is>
          <t>61561700</t>
        </is>
      </c>
      <c r="C5833" s="227" t="inlineStr">
        <is>
          <t>Contrat canal music</t>
        </is>
      </c>
      <c r="D5833" s="233" t="inlineStr">
        <is>
          <t>16</t>
        </is>
      </c>
      <c r="E5833" s="233" t="inlineStr">
        <is>
          <t>19</t>
        </is>
      </c>
      <c r="F5833" s="237" t="inlineStr">
        <is>
          <t>DIVES</t>
        </is>
      </c>
    </row>
    <row r="5834">
      <c r="A5834" s="227">
        <f>TL[[#This Row],[Société]]&amp;" - "&amp;TL[[#This Row],[Compte]]</f>
        <v/>
      </c>
      <c r="B5834" s="233" t="inlineStr">
        <is>
          <t>61561800</t>
        </is>
      </c>
      <c r="C5834" s="227" t="inlineStr">
        <is>
          <t>Contrat wifi</t>
        </is>
      </c>
      <c r="D5834" s="233" t="inlineStr">
        <is>
          <t>16</t>
        </is>
      </c>
      <c r="E5834" s="233" t="inlineStr">
        <is>
          <t>19</t>
        </is>
      </c>
      <c r="F5834" s="237" t="inlineStr">
        <is>
          <t>DIVES</t>
        </is>
      </c>
    </row>
    <row r="5835">
      <c r="A5835" s="227">
        <f>TL[[#This Row],[Société]]&amp;" - "&amp;TL[[#This Row],[Compte]]</f>
        <v/>
      </c>
      <c r="B5835" s="233" t="inlineStr">
        <is>
          <t>61561900</t>
        </is>
      </c>
      <c r="C5835" s="227" t="inlineStr">
        <is>
          <t>Contrat nettoyage cuisine</t>
        </is>
      </c>
      <c r="D5835" s="233" t="inlineStr">
        <is>
          <t>16</t>
        </is>
      </c>
      <c r="E5835" s="233" t="inlineStr">
        <is>
          <t>15</t>
        </is>
      </c>
      <c r="F5835" s="237" t="inlineStr">
        <is>
          <t>DIVES</t>
        </is>
      </c>
    </row>
    <row r="5836">
      <c r="A5836" s="227">
        <f>TL[[#This Row],[Société]]&amp;" - "&amp;TL[[#This Row],[Compte]]</f>
        <v/>
      </c>
      <c r="B5836" s="233" t="inlineStr">
        <is>
          <t>61562000</t>
        </is>
      </c>
      <c r="C5836" s="227" t="inlineStr">
        <is>
          <t>Contrat telesurveillance</t>
        </is>
      </c>
      <c r="D5836" s="233" t="inlineStr">
        <is>
          <t>16</t>
        </is>
      </c>
      <c r="E5836" s="233" t="inlineStr">
        <is>
          <t>16</t>
        </is>
      </c>
      <c r="F5836" s="237" t="inlineStr">
        <is>
          <t>DIVES</t>
        </is>
      </c>
    </row>
    <row r="5837">
      <c r="A5837" s="227">
        <f>TL[[#This Row],[Société]]&amp;" - "&amp;TL[[#This Row],[Compte]]</f>
        <v/>
      </c>
      <c r="B5837" s="233" t="inlineStr">
        <is>
          <t>61562100</t>
        </is>
      </c>
      <c r="C5837" s="227" t="inlineStr">
        <is>
          <t>Ramassage déchets</t>
        </is>
      </c>
      <c r="D5837" s="233" t="inlineStr">
        <is>
          <t>16</t>
        </is>
      </c>
      <c r="E5837" s="233" t="inlineStr">
        <is>
          <t>19</t>
        </is>
      </c>
      <c r="F5837" s="237" t="inlineStr">
        <is>
          <t>DIVES</t>
        </is>
      </c>
    </row>
    <row r="5838">
      <c r="A5838" s="227">
        <f>TL[[#This Row],[Société]]&amp;" - "&amp;TL[[#This Row],[Compte]]</f>
        <v/>
      </c>
      <c r="B5838" s="233" t="inlineStr">
        <is>
          <t>61562200</t>
        </is>
      </c>
      <c r="C5838" s="227" t="inlineStr">
        <is>
          <t>Contrat silliker</t>
        </is>
      </c>
      <c r="D5838" s="233" t="inlineStr">
        <is>
          <t>16</t>
        </is>
      </c>
      <c r="E5838" s="233" t="inlineStr">
        <is>
          <t>19</t>
        </is>
      </c>
      <c r="F5838" s="237" t="inlineStr">
        <is>
          <t>DIVES</t>
        </is>
      </c>
    </row>
    <row r="5839">
      <c r="A5839" s="227">
        <f>TL[[#This Row],[Société]]&amp;" - "&amp;TL[[#This Row],[Compte]]</f>
        <v/>
      </c>
      <c r="B5839" s="233" t="inlineStr">
        <is>
          <t>61562300</t>
        </is>
      </c>
      <c r="C5839" s="227" t="inlineStr">
        <is>
          <t>Contrat sesam</t>
        </is>
      </c>
      <c r="D5839" s="233" t="inlineStr">
        <is>
          <t>16</t>
        </is>
      </c>
      <c r="E5839" s="233" t="inlineStr">
        <is>
          <t>19</t>
        </is>
      </c>
      <c r="F5839" s="237" t="inlineStr">
        <is>
          <t>DIVES</t>
        </is>
      </c>
    </row>
    <row r="5840">
      <c r="A5840" s="227">
        <f>TL[[#This Row],[Société]]&amp;" - "&amp;TL[[#This Row],[Compte]]</f>
        <v/>
      </c>
      <c r="B5840" s="233" t="inlineStr">
        <is>
          <t>61562400</t>
        </is>
      </c>
      <c r="C5840" s="227" t="inlineStr">
        <is>
          <t>Contrat loc mach affranchir</t>
        </is>
      </c>
      <c r="D5840" s="233" t="inlineStr">
        <is>
          <t>16</t>
        </is>
      </c>
      <c r="E5840" s="233" t="inlineStr">
        <is>
          <t>19</t>
        </is>
      </c>
      <c r="F5840" s="237" t="inlineStr">
        <is>
          <t>DIVES</t>
        </is>
      </c>
    </row>
    <row r="5841">
      <c r="A5841" s="227">
        <f>TL[[#This Row],[Société]]&amp;" - "&amp;TL[[#This Row],[Compte]]</f>
        <v/>
      </c>
      <c r="B5841" s="233" t="inlineStr">
        <is>
          <t>61562500</t>
        </is>
      </c>
      <c r="C5841" s="227" t="inlineStr">
        <is>
          <t>Contrat ne pas utiliser</t>
        </is>
      </c>
      <c r="D5841" s="233" t="inlineStr">
        <is>
          <t>99</t>
        </is>
      </c>
      <c r="F5841" s="237" t="inlineStr">
        <is>
          <t>DIVES</t>
        </is>
      </c>
    </row>
    <row r="5842">
      <c r="A5842" s="227">
        <f>TL[[#This Row],[Société]]&amp;" - "&amp;TL[[#This Row],[Compte]]</f>
        <v/>
      </c>
      <c r="B5842" s="233" t="inlineStr">
        <is>
          <t>61562600</t>
        </is>
      </c>
      <c r="C5842" s="227" t="inlineStr">
        <is>
          <t>Contrat tyco</t>
        </is>
      </c>
      <c r="D5842" s="233" t="inlineStr">
        <is>
          <t>16</t>
        </is>
      </c>
      <c r="E5842" s="233" t="inlineStr">
        <is>
          <t>19</t>
        </is>
      </c>
      <c r="F5842" s="237" t="inlineStr">
        <is>
          <t>DIVES</t>
        </is>
      </c>
    </row>
    <row r="5843">
      <c r="A5843" s="227">
        <f>TL[[#This Row],[Société]]&amp;" - "&amp;TL[[#This Row],[Compte]]</f>
        <v/>
      </c>
      <c r="B5843" s="233" t="inlineStr">
        <is>
          <t>61562700</t>
        </is>
      </c>
      <c r="C5843" s="227" t="inlineStr">
        <is>
          <t>Contrat entretien climatisation</t>
        </is>
      </c>
      <c r="D5843" s="233" t="inlineStr">
        <is>
          <t>16</t>
        </is>
      </c>
      <c r="E5843" s="233" t="inlineStr">
        <is>
          <t>19</t>
        </is>
      </c>
      <c r="F5843" s="237" t="inlineStr">
        <is>
          <t>DIVES</t>
        </is>
      </c>
    </row>
    <row r="5844">
      <c r="A5844" s="227">
        <f>TL[[#This Row],[Société]]&amp;" - "&amp;TL[[#This Row],[Compte]]</f>
        <v/>
      </c>
      <c r="B5844" s="233" t="inlineStr">
        <is>
          <t>61562800</t>
        </is>
      </c>
      <c r="C5844" s="227" t="inlineStr">
        <is>
          <t>Contrat eryma alarme</t>
        </is>
      </c>
      <c r="D5844" s="233" t="inlineStr">
        <is>
          <t>16</t>
        </is>
      </c>
      <c r="E5844" s="233" t="inlineStr">
        <is>
          <t>16</t>
        </is>
      </c>
      <c r="F5844" s="237" t="inlineStr">
        <is>
          <t>DIVES</t>
        </is>
      </c>
    </row>
    <row r="5845">
      <c r="A5845" s="227">
        <f>TL[[#This Row],[Société]]&amp;" - "&amp;TL[[#This Row],[Compte]]</f>
        <v/>
      </c>
      <c r="B5845" s="233" t="inlineStr">
        <is>
          <t>61562900</t>
        </is>
      </c>
      <c r="C5845" s="227" t="inlineStr">
        <is>
          <t>Full connection ews comptabilité</t>
        </is>
      </c>
      <c r="D5845" s="233" t="inlineStr">
        <is>
          <t>16</t>
        </is>
      </c>
      <c r="E5845" s="233" t="inlineStr">
        <is>
          <t>19</t>
        </is>
      </c>
      <c r="F5845" s="237" t="inlineStr">
        <is>
          <t>DIVES</t>
        </is>
      </c>
    </row>
    <row r="5846">
      <c r="A5846" s="227">
        <f>TL[[#This Row],[Société]]&amp;" - "&amp;TL[[#This Row],[Compte]]</f>
        <v/>
      </c>
      <c r="B5846" s="233" t="inlineStr">
        <is>
          <t>61563000</t>
        </is>
      </c>
      <c r="C5846" s="227" t="inlineStr">
        <is>
          <t>Contrat maintenance coca</t>
        </is>
      </c>
      <c r="D5846" s="233" t="inlineStr">
        <is>
          <t>16</t>
        </is>
      </c>
      <c r="E5846" s="233" t="inlineStr">
        <is>
          <t>19</t>
        </is>
      </c>
      <c r="F5846" s="237" t="inlineStr">
        <is>
          <t>DIVES</t>
        </is>
      </c>
    </row>
    <row r="5847">
      <c r="A5847" s="227">
        <f>TL[[#This Row],[Société]]&amp;" - "&amp;TL[[#This Row],[Compte]]</f>
        <v/>
      </c>
      <c r="B5847" s="233" t="inlineStr">
        <is>
          <t>61563100</t>
        </is>
      </c>
      <c r="C5847" s="227" t="inlineStr">
        <is>
          <t>Contrat cesbron</t>
        </is>
      </c>
      <c r="D5847" s="233" t="inlineStr">
        <is>
          <t>16</t>
        </is>
      </c>
      <c r="E5847" s="233" t="inlineStr">
        <is>
          <t>19</t>
        </is>
      </c>
      <c r="F5847" s="237" t="inlineStr">
        <is>
          <t>DIVES</t>
        </is>
      </c>
    </row>
    <row r="5848">
      <c r="A5848" s="227">
        <f>TL[[#This Row],[Société]]&amp;" - "&amp;TL[[#This Row],[Compte]]</f>
        <v/>
      </c>
      <c r="B5848" s="233" t="inlineStr">
        <is>
          <t>61563200</t>
        </is>
      </c>
      <c r="C5848" s="227" t="inlineStr">
        <is>
          <t>Contrat Interway</t>
        </is>
      </c>
      <c r="D5848" s="233" t="inlineStr">
        <is>
          <t>16</t>
        </is>
      </c>
      <c r="E5848" s="233" t="inlineStr">
        <is>
          <t>19</t>
        </is>
      </c>
      <c r="F5848" s="237" t="inlineStr">
        <is>
          <t>DIVES</t>
        </is>
      </c>
    </row>
    <row r="5849">
      <c r="A5849" s="227">
        <f>TL[[#This Row],[Société]]&amp;" - "&amp;TL[[#This Row],[Compte]]</f>
        <v/>
      </c>
      <c r="B5849" s="233" t="inlineStr">
        <is>
          <t>61563300</t>
        </is>
      </c>
      <c r="C5849" s="227" t="inlineStr">
        <is>
          <t>contrat nilfisk</t>
        </is>
      </c>
      <c r="D5849" s="233" t="inlineStr">
        <is>
          <t>16</t>
        </is>
      </c>
      <c r="E5849" s="233" t="inlineStr">
        <is>
          <t>19</t>
        </is>
      </c>
      <c r="F5849" s="237" t="inlineStr">
        <is>
          <t>DIVES</t>
        </is>
      </c>
    </row>
    <row r="5850">
      <c r="A5850" s="227">
        <f>TL[[#This Row],[Société]]&amp;" - "&amp;TL[[#This Row],[Compte]]</f>
        <v/>
      </c>
      <c r="B5850" s="233" t="inlineStr">
        <is>
          <t>61563400</t>
        </is>
      </c>
      <c r="C5850" s="227" t="inlineStr">
        <is>
          <t>contrat mood</t>
        </is>
      </c>
      <c r="D5850" s="233" t="inlineStr">
        <is>
          <t>16</t>
        </is>
      </c>
      <c r="E5850" s="233" t="inlineStr">
        <is>
          <t>19</t>
        </is>
      </c>
      <c r="F5850" s="237" t="inlineStr">
        <is>
          <t>DIVES</t>
        </is>
      </c>
    </row>
    <row r="5851">
      <c r="A5851" s="227">
        <f>TL[[#This Row],[Société]]&amp;" - "&amp;TL[[#This Row],[Compte]]</f>
        <v/>
      </c>
      <c r="B5851" s="233" t="inlineStr">
        <is>
          <t>61563500</t>
        </is>
      </c>
      <c r="C5851" s="227" t="inlineStr">
        <is>
          <t>contrat jri</t>
        </is>
      </c>
      <c r="D5851" s="233" t="inlineStr">
        <is>
          <t>16</t>
        </is>
      </c>
      <c r="E5851" s="233" t="inlineStr">
        <is>
          <t>19</t>
        </is>
      </c>
      <c r="F5851" s="237" t="inlineStr">
        <is>
          <t>DIVES</t>
        </is>
      </c>
    </row>
    <row r="5852">
      <c r="A5852" s="227">
        <f>TL[[#This Row],[Société]]&amp;" - "&amp;TL[[#This Row],[Compte]]</f>
        <v/>
      </c>
      <c r="B5852" s="233" t="inlineStr">
        <is>
          <t>61563600</t>
        </is>
      </c>
      <c r="C5852" s="227" t="inlineStr">
        <is>
          <t>contrat ats</t>
        </is>
      </c>
      <c r="D5852" s="233" t="inlineStr">
        <is>
          <t>16</t>
        </is>
      </c>
      <c r="E5852" s="233" t="inlineStr">
        <is>
          <t>19</t>
        </is>
      </c>
      <c r="F5852" s="237" t="inlineStr">
        <is>
          <t>DIVES</t>
        </is>
      </c>
    </row>
    <row r="5853">
      <c r="A5853" s="227">
        <f>TL[[#This Row],[Société]]&amp;" - "&amp;TL[[#This Row],[Compte]]</f>
        <v/>
      </c>
      <c r="B5853" s="233" t="inlineStr">
        <is>
          <t>61563700</t>
        </is>
      </c>
      <c r="C5853" s="227" t="inlineStr">
        <is>
          <t>contrat grenke</t>
        </is>
      </c>
      <c r="D5853" s="233" t="inlineStr">
        <is>
          <t>16</t>
        </is>
      </c>
      <c r="E5853" s="233" t="inlineStr">
        <is>
          <t>19</t>
        </is>
      </c>
      <c r="F5853" s="237" t="inlineStr">
        <is>
          <t>DIVES</t>
        </is>
      </c>
    </row>
    <row r="5854">
      <c r="A5854" s="227">
        <f>TL[[#This Row],[Société]]&amp;" - "&amp;TL[[#This Row],[Compte]]</f>
        <v/>
      </c>
      <c r="B5854" s="233" t="inlineStr">
        <is>
          <t>61563800</t>
        </is>
      </c>
      <c r="C5854" s="227" t="inlineStr">
        <is>
          <t>contrat socotec</t>
        </is>
      </c>
      <c r="D5854" s="233" t="inlineStr">
        <is>
          <t>16</t>
        </is>
      </c>
      <c r="E5854" s="233" t="inlineStr">
        <is>
          <t>19</t>
        </is>
      </c>
      <c r="F5854" s="237" t="inlineStr">
        <is>
          <t>DIVES</t>
        </is>
      </c>
    </row>
    <row r="5855">
      <c r="A5855" s="227">
        <f>TL[[#This Row],[Société]]&amp;" - "&amp;TL[[#This Row],[Compte]]</f>
        <v/>
      </c>
      <c r="B5855" s="233" t="inlineStr">
        <is>
          <t>61563900</t>
        </is>
      </c>
      <c r="C5855" s="227" t="inlineStr">
        <is>
          <t>contrat iss</t>
        </is>
      </c>
      <c r="D5855" s="233" t="inlineStr">
        <is>
          <t>16</t>
        </is>
      </c>
      <c r="E5855" s="233" t="inlineStr">
        <is>
          <t>19</t>
        </is>
      </c>
      <c r="F5855" s="237" t="inlineStr">
        <is>
          <t>DIVES</t>
        </is>
      </c>
    </row>
    <row r="5856">
      <c r="A5856" s="227">
        <f>TL[[#This Row],[Société]]&amp;" - "&amp;TL[[#This Row],[Compte]]</f>
        <v/>
      </c>
      <c r="B5856" s="233" t="inlineStr">
        <is>
          <t>61564000</t>
        </is>
      </c>
      <c r="C5856" s="227" t="inlineStr">
        <is>
          <t>contrat steeple</t>
        </is>
      </c>
      <c r="D5856" s="233" t="inlineStr">
        <is>
          <t>16</t>
        </is>
      </c>
      <c r="E5856" s="233" t="inlineStr">
        <is>
          <t>19</t>
        </is>
      </c>
      <c r="F5856" s="237" t="inlineStr">
        <is>
          <t>DIVES</t>
        </is>
      </c>
    </row>
    <row r="5857">
      <c r="A5857" s="227">
        <f>TL[[#This Row],[Société]]&amp;" - "&amp;TL[[#This Row],[Compte]]</f>
        <v/>
      </c>
      <c r="B5857" s="233" t="inlineStr">
        <is>
          <t>61564100</t>
        </is>
      </c>
      <c r="C5857" s="227" t="inlineStr">
        <is>
          <t>contrat chubb</t>
        </is>
      </c>
      <c r="D5857" s="233" t="inlineStr">
        <is>
          <t>16</t>
        </is>
      </c>
      <c r="E5857" s="233" t="inlineStr">
        <is>
          <t>19</t>
        </is>
      </c>
      <c r="F5857" s="237" t="inlineStr">
        <is>
          <t>DIVES</t>
        </is>
      </c>
    </row>
    <row r="5858">
      <c r="A5858" s="227">
        <f>TL[[#This Row],[Société]]&amp;" - "&amp;TL[[#This Row],[Compte]]</f>
        <v/>
      </c>
      <c r="B5858" s="233" t="inlineStr">
        <is>
          <t>61564200</t>
        </is>
      </c>
      <c r="C5858" s="227" t="inlineStr">
        <is>
          <t>contrat applicat suivi perf</t>
        </is>
      </c>
      <c r="D5858" s="233" t="inlineStr">
        <is>
          <t>16</t>
        </is>
      </c>
      <c r="E5858" s="233" t="inlineStr">
        <is>
          <t>19</t>
        </is>
      </c>
      <c r="F5858" s="237" t="inlineStr">
        <is>
          <t>DIVES</t>
        </is>
      </c>
    </row>
    <row r="5859">
      <c r="A5859" s="227">
        <f>TL[[#This Row],[Société]]&amp;" - "&amp;TL[[#This Row],[Compte]]</f>
        <v/>
      </c>
      <c r="B5859" s="233" t="inlineStr">
        <is>
          <t>61566100</t>
        </is>
      </c>
      <c r="C5859" s="227" t="inlineStr">
        <is>
          <t>Fact mood contrat lecteur mp 8  du</t>
        </is>
      </c>
      <c r="F5859" s="237" t="inlineStr">
        <is>
          <t>DIVES</t>
        </is>
      </c>
    </row>
    <row r="5860">
      <c r="A5860" s="227">
        <f>TL[[#This Row],[Société]]&amp;" - "&amp;TL[[#This Row],[Compte]]</f>
        <v/>
      </c>
      <c r="B5860" s="233" t="inlineStr">
        <is>
          <t>61600100</t>
        </is>
      </c>
      <c r="C5860" s="227" t="inlineStr">
        <is>
          <t>Assurance multirisque res</t>
        </is>
      </c>
      <c r="D5860" s="233" t="inlineStr">
        <is>
          <t>33</t>
        </is>
      </c>
      <c r="E5860" s="233" t="inlineStr">
        <is>
          <t>36</t>
        </is>
      </c>
      <c r="F5860" s="237" t="inlineStr">
        <is>
          <t>DIVES</t>
        </is>
      </c>
    </row>
    <row r="5861">
      <c r="A5861" s="227">
        <f>TL[[#This Row],[Société]]&amp;" - "&amp;TL[[#This Row],[Compte]]</f>
        <v/>
      </c>
      <c r="B5861" s="233" t="inlineStr">
        <is>
          <t>61600200</t>
        </is>
      </c>
      <c r="C5861" s="227" t="inlineStr">
        <is>
          <t>Assurances juridiques</t>
        </is>
      </c>
      <c r="D5861" s="233" t="inlineStr">
        <is>
          <t>16</t>
        </is>
      </c>
      <c r="E5861" s="233" t="inlineStr">
        <is>
          <t>36</t>
        </is>
      </c>
      <c r="F5861" s="237" t="inlineStr">
        <is>
          <t>DIVES</t>
        </is>
      </c>
    </row>
    <row r="5862">
      <c r="A5862" s="227">
        <f>TL[[#This Row],[Société]]&amp;" - "&amp;TL[[#This Row],[Compte]]</f>
        <v/>
      </c>
      <c r="B5862" s="233" t="inlineStr">
        <is>
          <t>61600300</t>
        </is>
      </c>
      <c r="C5862" s="227" t="inlineStr">
        <is>
          <t>Assurance auto-mission</t>
        </is>
      </c>
      <c r="D5862" s="233" t="inlineStr">
        <is>
          <t>33</t>
        </is>
      </c>
      <c r="E5862" s="233" t="inlineStr">
        <is>
          <t>36</t>
        </is>
      </c>
      <c r="F5862" s="237" t="inlineStr">
        <is>
          <t>DIVES</t>
        </is>
      </c>
    </row>
    <row r="5863">
      <c r="A5863" s="227">
        <f>TL[[#This Row],[Société]]&amp;" - "&amp;TL[[#This Row],[Compte]]</f>
        <v/>
      </c>
      <c r="B5863" s="233" t="inlineStr">
        <is>
          <t>61600400</t>
        </is>
      </c>
      <c r="C5863" s="227" t="inlineStr">
        <is>
          <t>Assurances automobiles</t>
        </is>
      </c>
      <c r="D5863" s="233" t="inlineStr">
        <is>
          <t>33</t>
        </is>
      </c>
      <c r="E5863" s="233" t="inlineStr">
        <is>
          <t>40</t>
        </is>
      </c>
      <c r="F5863" s="237" t="inlineStr">
        <is>
          <t>DIVES</t>
        </is>
      </c>
    </row>
    <row r="5864">
      <c r="A5864" s="227">
        <f>TL[[#This Row],[Société]]&amp;" - "&amp;TL[[#This Row],[Compte]]</f>
        <v/>
      </c>
      <c r="B5864" s="233" t="inlineStr">
        <is>
          <t>61600500</t>
        </is>
      </c>
      <c r="C5864" s="227" t="inlineStr">
        <is>
          <t>Assurances travaux full image</t>
        </is>
      </c>
      <c r="D5864" s="233" t="inlineStr">
        <is>
          <t>33</t>
        </is>
      </c>
      <c r="E5864" s="233" t="inlineStr">
        <is>
          <t>36</t>
        </is>
      </c>
      <c r="F5864" s="237" t="inlineStr">
        <is>
          <t>DIVES</t>
        </is>
      </c>
    </row>
    <row r="5865">
      <c r="A5865" s="227">
        <f>TL[[#This Row],[Société]]&amp;" - "&amp;TL[[#This Row],[Compte]]</f>
        <v/>
      </c>
      <c r="B5865" s="233" t="inlineStr">
        <is>
          <t>61600600</t>
        </is>
      </c>
      <c r="C5865" s="227" t="inlineStr">
        <is>
          <t>assurances diverses</t>
        </is>
      </c>
      <c r="D5865" s="233" t="inlineStr">
        <is>
          <t>33</t>
        </is>
      </c>
      <c r="E5865" s="233" t="inlineStr">
        <is>
          <t>36</t>
        </is>
      </c>
      <c r="F5865" s="237" t="inlineStr">
        <is>
          <t>DIVES</t>
        </is>
      </c>
    </row>
    <row r="5866">
      <c r="A5866" s="227">
        <f>TL[[#This Row],[Société]]&amp;" - "&amp;TL[[#This Row],[Compte]]</f>
        <v/>
      </c>
      <c r="B5866" s="233" t="inlineStr">
        <is>
          <t>61800000</t>
        </is>
      </c>
      <c r="C5866" s="227" t="inlineStr">
        <is>
          <t>Fact ouest france du 31  juillet jo</t>
        </is>
      </c>
      <c r="F5866" s="237" t="inlineStr">
        <is>
          <t>DIVES</t>
        </is>
      </c>
    </row>
    <row r="5867">
      <c r="A5867" s="227">
        <f>TL[[#This Row],[Société]]&amp;" - "&amp;TL[[#This Row],[Compte]]</f>
        <v/>
      </c>
      <c r="B5867" s="233" t="inlineStr">
        <is>
          <t>61810000</t>
        </is>
      </c>
      <c r="C5867" s="227" t="inlineStr">
        <is>
          <t>Services exterieurs div.</t>
        </is>
      </c>
      <c r="D5867" s="233" t="inlineStr">
        <is>
          <t>16</t>
        </is>
      </c>
      <c r="E5867" s="233" t="inlineStr">
        <is>
          <t>19</t>
        </is>
      </c>
      <c r="F5867" s="237" t="inlineStr">
        <is>
          <t>DIVES</t>
        </is>
      </c>
    </row>
    <row r="5868">
      <c r="A5868" s="227">
        <f>TL[[#This Row],[Société]]&amp;" - "&amp;TL[[#This Row],[Compte]]</f>
        <v/>
      </c>
      <c r="B5868" s="233" t="inlineStr">
        <is>
          <t>62140000</t>
        </is>
      </c>
      <c r="C5868" s="227" t="inlineStr">
        <is>
          <t>Pret personnel</t>
        </is>
      </c>
      <c r="D5868" s="233" t="inlineStr">
        <is>
          <t>10</t>
        </is>
      </c>
      <c r="E5868" s="233" t="inlineStr">
        <is>
          <t>13</t>
        </is>
      </c>
      <c r="F5868" s="237" t="inlineStr">
        <is>
          <t>DIVES</t>
        </is>
      </c>
    </row>
    <row r="5869">
      <c r="A5869" s="227">
        <f>TL[[#This Row],[Société]]&amp;" - "&amp;TL[[#This Row],[Compte]]</f>
        <v/>
      </c>
      <c r="B5869" s="233" t="inlineStr">
        <is>
          <t>62140100</t>
        </is>
      </c>
      <c r="C5869" s="227" t="inlineStr">
        <is>
          <t>Pret personnel équipiers</t>
        </is>
      </c>
      <c r="D5869" s="233" t="inlineStr">
        <is>
          <t>10</t>
        </is>
      </c>
      <c r="E5869" s="233" t="inlineStr">
        <is>
          <t>8</t>
        </is>
      </c>
      <c r="F5869" s="237" t="inlineStr">
        <is>
          <t>DIVES</t>
        </is>
      </c>
    </row>
    <row r="5870">
      <c r="A5870" s="227">
        <f>TL[[#This Row],[Société]]&amp;" - "&amp;TL[[#This Row],[Compte]]</f>
        <v/>
      </c>
      <c r="B5870" s="233" t="inlineStr">
        <is>
          <t>62140400</t>
        </is>
      </c>
      <c r="C5870" s="227" t="inlineStr">
        <is>
          <t>Pret personnel managers</t>
        </is>
      </c>
      <c r="D5870" s="233" t="inlineStr">
        <is>
          <t>11</t>
        </is>
      </c>
      <c r="E5870" s="233" t="inlineStr">
        <is>
          <t>10</t>
        </is>
      </c>
      <c r="F5870" s="237" t="inlineStr">
        <is>
          <t>DIVES</t>
        </is>
      </c>
    </row>
    <row r="5871">
      <c r="A5871" s="227">
        <f>TL[[#This Row],[Société]]&amp;" - "&amp;TL[[#This Row],[Compte]]</f>
        <v/>
      </c>
      <c r="B5871" s="233" t="inlineStr">
        <is>
          <t>62140500</t>
        </is>
      </c>
      <c r="C5871" s="227" t="inlineStr">
        <is>
          <t>Prêt personnel techniq</t>
        </is>
      </c>
      <c r="D5871" s="233" t="inlineStr">
        <is>
          <t>39</t>
        </is>
      </c>
      <c r="E5871" s="233" t="inlineStr">
        <is>
          <t>13</t>
        </is>
      </c>
      <c r="F5871" s="237" t="inlineStr">
        <is>
          <t>DIVES</t>
        </is>
      </c>
    </row>
    <row r="5872">
      <c r="A5872" s="227">
        <f>TL[[#This Row],[Société]]&amp;" - "&amp;TL[[#This Row],[Compte]]</f>
        <v/>
      </c>
      <c r="B5872" s="233" t="inlineStr">
        <is>
          <t>62140600</t>
        </is>
      </c>
      <c r="C5872" s="227" t="inlineStr">
        <is>
          <t>Prêt personnel marketing</t>
        </is>
      </c>
      <c r="D5872" s="233" t="inlineStr">
        <is>
          <t>39</t>
        </is>
      </c>
      <c r="E5872" s="233" t="inlineStr">
        <is>
          <t>40</t>
        </is>
      </c>
      <c r="F5872" s="237" t="inlineStr">
        <is>
          <t>DIVES</t>
        </is>
      </c>
    </row>
    <row r="5873">
      <c r="A5873" s="227">
        <f>TL[[#This Row],[Société]]&amp;" - "&amp;TL[[#This Row],[Compte]]</f>
        <v/>
      </c>
      <c r="B5873" s="233" t="inlineStr">
        <is>
          <t>62141100</t>
        </is>
      </c>
      <c r="C5873" s="227" t="inlineStr">
        <is>
          <t>Pers.pretes ligne 39</t>
        </is>
      </c>
      <c r="D5873" s="233" t="inlineStr">
        <is>
          <t>39</t>
        </is>
      </c>
      <c r="E5873" s="233" t="inlineStr">
        <is>
          <t>13</t>
        </is>
      </c>
      <c r="F5873" s="237" t="inlineStr">
        <is>
          <t>DIVES</t>
        </is>
      </c>
    </row>
    <row r="5874">
      <c r="A5874" s="227">
        <f>TL[[#This Row],[Société]]&amp;" - "&amp;TL[[#This Row],[Compte]]</f>
        <v/>
      </c>
      <c r="B5874" s="233" t="inlineStr">
        <is>
          <t>62200000</t>
        </is>
      </c>
      <c r="C5874" s="227" t="inlineStr">
        <is>
          <t>Honoraire ercem</t>
        </is>
      </c>
      <c r="D5874" s="233" t="inlineStr">
        <is>
          <t>16</t>
        </is>
      </c>
      <c r="E5874" s="233" t="inlineStr">
        <is>
          <t>35</t>
        </is>
      </c>
      <c r="F5874" s="237" t="inlineStr">
        <is>
          <t>DIVES</t>
        </is>
      </c>
    </row>
    <row r="5875">
      <c r="A5875" s="227">
        <f>TL[[#This Row],[Société]]&amp;" - "&amp;TL[[#This Row],[Compte]]</f>
        <v/>
      </c>
      <c r="B5875" s="233" t="inlineStr">
        <is>
          <t>62260000</t>
        </is>
      </c>
      <c r="C5875" s="227" t="inlineStr">
        <is>
          <t>Honoraire comptable</t>
        </is>
      </c>
      <c r="D5875" s="233" t="inlineStr">
        <is>
          <t>32</t>
        </is>
      </c>
      <c r="E5875" s="233" t="inlineStr">
        <is>
          <t>35</t>
        </is>
      </c>
      <c r="F5875" s="237" t="inlineStr">
        <is>
          <t>DIVES</t>
        </is>
      </c>
    </row>
    <row r="5876">
      <c r="A5876" s="227">
        <f>TL[[#This Row],[Société]]&amp;" - "&amp;TL[[#This Row],[Compte]]</f>
        <v/>
      </c>
      <c r="B5876" s="233" t="inlineStr">
        <is>
          <t>62261000</t>
        </is>
      </c>
      <c r="C5876" s="227" t="inlineStr">
        <is>
          <t>Honoraire juridique</t>
        </is>
      </c>
      <c r="D5876" s="233" t="inlineStr">
        <is>
          <t>32</t>
        </is>
      </c>
      <c r="E5876" s="233" t="inlineStr">
        <is>
          <t>35</t>
        </is>
      </c>
      <c r="F5876" s="237" t="inlineStr">
        <is>
          <t>DIVES</t>
        </is>
      </c>
    </row>
    <row r="5877">
      <c r="A5877" s="227">
        <f>TL[[#This Row],[Société]]&amp;" - "&amp;TL[[#This Row],[Compte]]</f>
        <v/>
      </c>
      <c r="B5877" s="233" t="inlineStr">
        <is>
          <t>62262000</t>
        </is>
      </c>
      <c r="C5877" s="227" t="inlineStr">
        <is>
          <t>honoraires divers</t>
        </is>
      </c>
      <c r="D5877" s="233" t="inlineStr">
        <is>
          <t>32</t>
        </is>
      </c>
      <c r="E5877" s="233" t="inlineStr">
        <is>
          <t>35</t>
        </is>
      </c>
      <c r="F5877" s="237" t="inlineStr">
        <is>
          <t>DIVES</t>
        </is>
      </c>
    </row>
    <row r="5878">
      <c r="A5878" s="227">
        <f>TL[[#This Row],[Société]]&amp;" - "&amp;TL[[#This Row],[Compte]]</f>
        <v/>
      </c>
      <c r="B5878" s="233" t="inlineStr">
        <is>
          <t>62270000</t>
        </is>
      </c>
      <c r="C5878" s="227" t="inlineStr">
        <is>
          <t>Frais acte et contentieux</t>
        </is>
      </c>
      <c r="D5878" s="233" t="inlineStr">
        <is>
          <t>32</t>
        </is>
      </c>
      <c r="E5878" s="233" t="inlineStr">
        <is>
          <t>35</t>
        </is>
      </c>
      <c r="F5878" s="237" t="inlineStr">
        <is>
          <t>DIVES</t>
        </is>
      </c>
    </row>
    <row r="5879">
      <c r="A5879" s="227">
        <f>TL[[#This Row],[Société]]&amp;" - "&amp;TL[[#This Row],[Compte]]</f>
        <v/>
      </c>
      <c r="B5879" s="233" t="inlineStr">
        <is>
          <t>62300000</t>
        </is>
      </c>
      <c r="C5879" s="227" t="inlineStr">
        <is>
          <t>Publicite Gie Mc Do</t>
        </is>
      </c>
      <c r="D5879" s="233" t="inlineStr">
        <is>
          <t>14</t>
        </is>
      </c>
      <c r="E5879" s="233" t="inlineStr">
        <is>
          <t>22</t>
        </is>
      </c>
      <c r="F5879" s="237" t="inlineStr">
        <is>
          <t>DIVES</t>
        </is>
      </c>
    </row>
    <row r="5880">
      <c r="A5880" s="227">
        <f>TL[[#This Row],[Société]]&amp;" - "&amp;TL[[#This Row],[Compte]]</f>
        <v/>
      </c>
      <c r="B5880" s="233" t="inlineStr">
        <is>
          <t>62300200</t>
        </is>
      </c>
      <c r="C5880" s="227" t="inlineStr">
        <is>
          <t>Promotion locale</t>
        </is>
      </c>
      <c r="D5880" s="233" t="inlineStr">
        <is>
          <t>15</t>
        </is>
      </c>
      <c r="E5880" s="233" t="inlineStr">
        <is>
          <t>23</t>
        </is>
      </c>
      <c r="F5880" s="237" t="inlineStr">
        <is>
          <t>DIVES</t>
        </is>
      </c>
    </row>
    <row r="5881">
      <c r="A5881" s="227">
        <f>TL[[#This Row],[Société]]&amp;" - "&amp;TL[[#This Row],[Compte]]</f>
        <v/>
      </c>
      <c r="B5881" s="233" t="inlineStr">
        <is>
          <t>62310000</t>
        </is>
      </c>
      <c r="C5881" s="227" t="inlineStr">
        <is>
          <t>Annonce et insertion</t>
        </is>
      </c>
      <c r="D5881" s="233" t="inlineStr">
        <is>
          <t>15</t>
        </is>
      </c>
      <c r="E5881" s="233" t="inlineStr">
        <is>
          <t>23</t>
        </is>
      </c>
      <c r="F5881" s="237" t="inlineStr">
        <is>
          <t>DIVES</t>
        </is>
      </c>
    </row>
    <row r="5882">
      <c r="A5882" s="227">
        <f>TL[[#This Row],[Société]]&amp;" - "&amp;TL[[#This Row],[Compte]]</f>
        <v/>
      </c>
      <c r="B5882" s="233" t="inlineStr">
        <is>
          <t>62320000</t>
        </is>
      </c>
      <c r="C5882" s="227" t="inlineStr">
        <is>
          <t>Affichage et insertions</t>
        </is>
      </c>
      <c r="D5882" s="233" t="inlineStr">
        <is>
          <t>15</t>
        </is>
      </c>
      <c r="E5882" s="233" t="inlineStr">
        <is>
          <t>23</t>
        </is>
      </c>
      <c r="F5882" s="237" t="inlineStr">
        <is>
          <t>DIVES</t>
        </is>
      </c>
    </row>
    <row r="5883">
      <c r="A5883" s="227">
        <f>TL[[#This Row],[Société]]&amp;" - "&amp;TL[[#This Row],[Compte]]</f>
        <v/>
      </c>
      <c r="B5883" s="233" t="inlineStr">
        <is>
          <t>62340000</t>
        </is>
      </c>
      <c r="C5883" s="227" t="inlineStr">
        <is>
          <t>Fact valette cadeaux noel</t>
        </is>
      </c>
      <c r="F5883" s="237" t="inlineStr">
        <is>
          <t>DIVES</t>
        </is>
      </c>
    </row>
    <row r="5884">
      <c r="A5884" s="227">
        <f>TL[[#This Row],[Société]]&amp;" - "&amp;TL[[#This Row],[Compte]]</f>
        <v/>
      </c>
      <c r="B5884" s="233" t="inlineStr">
        <is>
          <t>62340100</t>
        </is>
      </c>
      <c r="C5884" s="227" t="inlineStr">
        <is>
          <t>Pub.public.rel.publiques</t>
        </is>
      </c>
      <c r="D5884" s="233" t="inlineStr">
        <is>
          <t>15</t>
        </is>
      </c>
      <c r="E5884" s="233" t="inlineStr">
        <is>
          <t>23</t>
        </is>
      </c>
      <c r="F5884" s="237" t="inlineStr">
        <is>
          <t>DIVES</t>
        </is>
      </c>
    </row>
    <row r="5885">
      <c r="A5885" s="227">
        <f>TL[[#This Row],[Société]]&amp;" - "&amp;TL[[#This Row],[Compte]]</f>
        <v/>
      </c>
      <c r="B5885" s="233" t="inlineStr">
        <is>
          <t>62340500</t>
        </is>
      </c>
      <c r="C5885" s="227" t="inlineStr">
        <is>
          <t>Cadeaux</t>
        </is>
      </c>
      <c r="D5885" s="233" t="inlineStr">
        <is>
          <t>15</t>
        </is>
      </c>
      <c r="E5885" s="233" t="inlineStr">
        <is>
          <t>23</t>
        </is>
      </c>
      <c r="F5885" s="237" t="inlineStr">
        <is>
          <t>DIVES</t>
        </is>
      </c>
    </row>
    <row r="5886">
      <c r="A5886" s="227">
        <f>TL[[#This Row],[Société]]&amp;" - "&amp;TL[[#This Row],[Compte]]</f>
        <v/>
      </c>
      <c r="B5886" s="233" t="inlineStr">
        <is>
          <t>62340600</t>
        </is>
      </c>
      <c r="C5886" s="227" t="inlineStr">
        <is>
          <t>cadeaux ligne 39</t>
        </is>
      </c>
      <c r="D5886" s="233" t="inlineStr">
        <is>
          <t>39</t>
        </is>
      </c>
      <c r="E5886" s="233" t="inlineStr">
        <is>
          <t>23</t>
        </is>
      </c>
      <c r="F5886" s="237" t="inlineStr">
        <is>
          <t>DIVES</t>
        </is>
      </c>
    </row>
    <row r="5887">
      <c r="A5887" s="227">
        <f>TL[[#This Row],[Société]]&amp;" - "&amp;TL[[#This Row],[Compte]]</f>
        <v/>
      </c>
      <c r="B5887" s="233" t="inlineStr">
        <is>
          <t>62341500</t>
        </is>
      </c>
      <c r="C5887" s="227" t="inlineStr">
        <is>
          <t>Premium</t>
        </is>
      </c>
      <c r="D5887" s="233" t="inlineStr">
        <is>
          <t>15</t>
        </is>
      </c>
      <c r="E5887" s="233" t="inlineStr">
        <is>
          <t>23</t>
        </is>
      </c>
      <c r="F5887" s="237" t="inlineStr">
        <is>
          <t>DIVES</t>
        </is>
      </c>
    </row>
    <row r="5888">
      <c r="A5888" s="227">
        <f>TL[[#This Row],[Société]]&amp;" - "&amp;TL[[#This Row],[Compte]]</f>
        <v/>
      </c>
      <c r="B5888" s="233" t="inlineStr">
        <is>
          <t>62380000</t>
        </is>
      </c>
      <c r="C5888" s="227" t="inlineStr">
        <is>
          <t>Dons et pourboire</t>
        </is>
      </c>
      <c r="D5888" s="233" t="inlineStr">
        <is>
          <t>15</t>
        </is>
      </c>
      <c r="E5888" s="233" t="inlineStr">
        <is>
          <t>23</t>
        </is>
      </c>
      <c r="F5888" s="237" t="inlineStr">
        <is>
          <t>DIVES</t>
        </is>
      </c>
    </row>
    <row r="5889">
      <c r="A5889" s="227">
        <f>TL[[#This Row],[Société]]&amp;" - "&amp;TL[[#This Row],[Compte]]</f>
        <v/>
      </c>
      <c r="B5889" s="233" t="inlineStr">
        <is>
          <t>62410000</t>
        </is>
      </c>
      <c r="C5889" s="227" t="inlineStr">
        <is>
          <t>Frais lrs livraison supplémentaire</t>
        </is>
      </c>
      <c r="D5889" s="233" t="inlineStr">
        <is>
          <t>6</t>
        </is>
      </c>
      <c r="E5889" s="233" t="inlineStr">
        <is>
          <t>3</t>
        </is>
      </c>
      <c r="F5889" s="237" t="inlineStr">
        <is>
          <t>DIVES</t>
        </is>
      </c>
    </row>
    <row r="5890">
      <c r="A5890" s="227">
        <f>TL[[#This Row],[Société]]&amp;" - "&amp;TL[[#This Row],[Compte]]</f>
        <v/>
      </c>
      <c r="B5890" s="233" t="inlineStr">
        <is>
          <t>62411000</t>
        </is>
      </c>
      <c r="C5890" s="227" t="inlineStr">
        <is>
          <t>Transports sur achats</t>
        </is>
      </c>
      <c r="D5890" s="233" t="inlineStr">
        <is>
          <t>16</t>
        </is>
      </c>
      <c r="E5890" s="233" t="inlineStr">
        <is>
          <t>19</t>
        </is>
      </c>
      <c r="F5890" s="237" t="inlineStr">
        <is>
          <t>DIVES</t>
        </is>
      </c>
    </row>
    <row r="5891">
      <c r="A5891" s="227">
        <f>TL[[#This Row],[Société]]&amp;" - "&amp;TL[[#This Row],[Compte]]</f>
        <v/>
      </c>
      <c r="B5891" s="233" t="inlineStr">
        <is>
          <t>62500000</t>
        </is>
      </c>
      <c r="C5891" s="227" t="inlineStr">
        <is>
          <t>SALAIRES 11/2022</t>
        </is>
      </c>
      <c r="F5891" s="237" t="inlineStr">
        <is>
          <t>DIVES</t>
        </is>
      </c>
    </row>
    <row r="5892">
      <c r="A5892" s="227">
        <f>TL[[#This Row],[Société]]&amp;" - "&amp;TL[[#This Row],[Compte]]</f>
        <v/>
      </c>
      <c r="B5892" s="233" t="inlineStr">
        <is>
          <t>62510300</t>
        </is>
      </c>
      <c r="C5892" s="227" t="inlineStr">
        <is>
          <t>Voy et dep direction</t>
        </is>
      </c>
      <c r="D5892" s="233" t="inlineStr">
        <is>
          <t>51</t>
        </is>
      </c>
      <c r="E5892" s="233" t="inlineStr">
        <is>
          <t>46</t>
        </is>
      </c>
      <c r="F5892" s="237" t="inlineStr">
        <is>
          <t>DIVES</t>
        </is>
      </c>
    </row>
    <row r="5893">
      <c r="A5893" s="227">
        <f>TL[[#This Row],[Société]]&amp;" - "&amp;TL[[#This Row],[Compte]]</f>
        <v/>
      </c>
      <c r="B5893" s="233" t="inlineStr">
        <is>
          <t>62520100</t>
        </is>
      </c>
      <c r="C5893" s="227" t="inlineStr">
        <is>
          <t>Frais déplacement équipiers</t>
        </is>
      </c>
      <c r="D5893" s="233" t="inlineStr">
        <is>
          <t>13</t>
        </is>
      </c>
      <c r="E5893" s="233" t="inlineStr">
        <is>
          <t>26</t>
        </is>
      </c>
      <c r="F5893" s="237" t="inlineStr">
        <is>
          <t>DIVES</t>
        </is>
      </c>
    </row>
    <row r="5894">
      <c r="A5894" s="227">
        <f>TL[[#This Row],[Société]]&amp;" - "&amp;TL[[#This Row],[Compte]]</f>
        <v/>
      </c>
      <c r="B5894" s="233" t="inlineStr">
        <is>
          <t>62520400</t>
        </is>
      </c>
      <c r="C5894" s="227" t="inlineStr">
        <is>
          <t>Frais de deplacmt managers</t>
        </is>
      </c>
      <c r="D5894" s="233" t="inlineStr">
        <is>
          <t>13</t>
        </is>
      </c>
      <c r="E5894" s="233" t="inlineStr">
        <is>
          <t>26</t>
        </is>
      </c>
      <c r="F5894" s="237" t="inlineStr">
        <is>
          <t>DIVES</t>
        </is>
      </c>
    </row>
    <row r="5895">
      <c r="A5895" s="227">
        <f>TL[[#This Row],[Société]]&amp;" - "&amp;TL[[#This Row],[Compte]]</f>
        <v/>
      </c>
      <c r="B5895" s="233" t="inlineStr">
        <is>
          <t>62570100</t>
        </is>
      </c>
      <c r="C5895" s="227" t="inlineStr">
        <is>
          <t>Recept° equipier et mgr</t>
        </is>
      </c>
      <c r="D5895" s="233" t="inlineStr">
        <is>
          <t>23</t>
        </is>
      </c>
      <c r="E5895" s="233" t="inlineStr">
        <is>
          <t>27</t>
        </is>
      </c>
      <c r="F5895" s="237" t="inlineStr">
        <is>
          <t>DIVES</t>
        </is>
      </c>
    </row>
    <row r="5896">
      <c r="A5896" s="227">
        <f>TL[[#This Row],[Société]]&amp;" - "&amp;TL[[#This Row],[Compte]]</f>
        <v/>
      </c>
      <c r="B5896" s="233" t="inlineStr">
        <is>
          <t>62600100</t>
        </is>
      </c>
      <c r="C5896" s="227" t="inlineStr">
        <is>
          <t>Ptt restaurant npu</t>
        </is>
      </c>
      <c r="D5896" s="233" t="inlineStr">
        <is>
          <t>20</t>
        </is>
      </c>
      <c r="E5896" s="233" t="inlineStr">
        <is>
          <t>24</t>
        </is>
      </c>
      <c r="F5896" s="237" t="inlineStr">
        <is>
          <t>DIVES</t>
        </is>
      </c>
    </row>
    <row r="5897">
      <c r="A5897" s="227">
        <f>TL[[#This Row],[Société]]&amp;" - "&amp;TL[[#This Row],[Compte]]</f>
        <v/>
      </c>
      <c r="B5897" s="233" t="inlineStr">
        <is>
          <t>62600300</t>
        </is>
      </c>
      <c r="C5897" s="227" t="inlineStr">
        <is>
          <t>Telephone restaurant npu</t>
        </is>
      </c>
      <c r="D5897" s="233" t="inlineStr">
        <is>
          <t>20</t>
        </is>
      </c>
      <c r="E5897" s="233" t="inlineStr">
        <is>
          <t>24</t>
        </is>
      </c>
      <c r="F5897" s="237" t="inlineStr">
        <is>
          <t>DIVES</t>
        </is>
      </c>
    </row>
    <row r="5898">
      <c r="A5898" s="227">
        <f>TL[[#This Row],[Société]]&amp;" - "&amp;TL[[#This Row],[Compte]]</f>
        <v/>
      </c>
      <c r="B5898" s="233" t="inlineStr">
        <is>
          <t>62610000</t>
        </is>
      </c>
      <c r="C5898" s="227" t="inlineStr">
        <is>
          <t>Frais postaux</t>
        </is>
      </c>
      <c r="D5898" s="233" t="inlineStr">
        <is>
          <t>20</t>
        </is>
      </c>
      <c r="E5898" s="233" t="inlineStr">
        <is>
          <t>24</t>
        </is>
      </c>
      <c r="F5898" s="237" t="inlineStr">
        <is>
          <t>DIVES</t>
        </is>
      </c>
    </row>
    <row r="5899">
      <c r="A5899" s="227">
        <f>TL[[#This Row],[Société]]&amp;" - "&amp;TL[[#This Row],[Compte]]</f>
        <v/>
      </c>
      <c r="B5899" s="233" t="inlineStr">
        <is>
          <t>62620000</t>
        </is>
      </c>
      <c r="C5899" s="227" t="inlineStr">
        <is>
          <t>Frais téléphone</t>
        </is>
      </c>
      <c r="D5899" s="233" t="inlineStr">
        <is>
          <t>20</t>
        </is>
      </c>
      <c r="E5899" s="233" t="inlineStr">
        <is>
          <t>24</t>
        </is>
      </c>
      <c r="F5899" s="237" t="inlineStr">
        <is>
          <t>DIVES</t>
        </is>
      </c>
    </row>
    <row r="5900">
      <c r="A5900" s="227">
        <f>TL[[#This Row],[Société]]&amp;" - "&amp;TL[[#This Row],[Compte]]</f>
        <v/>
      </c>
      <c r="B5900" s="233" t="inlineStr">
        <is>
          <t>62700100</t>
        </is>
      </c>
      <c r="C5900" s="227" t="inlineStr">
        <is>
          <t>Commiss° bancaires npu</t>
        </is>
      </c>
      <c r="D5900" s="233" t="inlineStr">
        <is>
          <t>37</t>
        </is>
      </c>
      <c r="E5900" s="233" t="inlineStr">
        <is>
          <t>17</t>
        </is>
      </c>
      <c r="F5900" s="237" t="inlineStr">
        <is>
          <t>DIVES</t>
        </is>
      </c>
    </row>
    <row r="5901">
      <c r="A5901" s="227">
        <f>TL[[#This Row],[Société]]&amp;" - "&amp;TL[[#This Row],[Compte]]</f>
        <v/>
      </c>
      <c r="B5901" s="233" t="inlineStr">
        <is>
          <t>62700200</t>
        </is>
      </c>
      <c r="C5901" s="227" t="inlineStr">
        <is>
          <t>Commiss° cb npu</t>
        </is>
      </c>
      <c r="D5901" s="233" t="inlineStr">
        <is>
          <t>37</t>
        </is>
      </c>
      <c r="E5901" s="233" t="inlineStr">
        <is>
          <t>17</t>
        </is>
      </c>
      <c r="F5901" s="237" t="inlineStr">
        <is>
          <t>DIVES</t>
        </is>
      </c>
    </row>
    <row r="5902">
      <c r="A5902" s="227">
        <f>TL[[#This Row],[Société]]&amp;" - "&amp;TL[[#This Row],[Compte]]</f>
        <v/>
      </c>
      <c r="B5902" s="233" t="inlineStr">
        <is>
          <t>62700300</t>
        </is>
      </c>
      <c r="C5902" s="227" t="inlineStr">
        <is>
          <t>Commiss° tr npu</t>
        </is>
      </c>
      <c r="D5902" s="233" t="inlineStr">
        <is>
          <t>37</t>
        </is>
      </c>
      <c r="E5902" s="233" t="inlineStr">
        <is>
          <t>17</t>
        </is>
      </c>
      <c r="F5902" s="237" t="inlineStr">
        <is>
          <t>DIVES</t>
        </is>
      </c>
    </row>
    <row r="5903">
      <c r="A5903" s="227">
        <f>TL[[#This Row],[Société]]&amp;" - "&amp;TL[[#This Row],[Compte]]</f>
        <v/>
      </c>
      <c r="B5903" s="233" t="inlineStr">
        <is>
          <t>62700500</t>
        </is>
      </c>
      <c r="C5903" s="227" t="inlineStr">
        <is>
          <t>Commiss° cv  npu</t>
        </is>
      </c>
      <c r="D5903" s="233" t="inlineStr">
        <is>
          <t>37</t>
        </is>
      </c>
      <c r="E5903" s="233" t="inlineStr">
        <is>
          <t>17</t>
        </is>
      </c>
      <c r="F5903" s="237" t="inlineStr">
        <is>
          <t>DIVES</t>
        </is>
      </c>
    </row>
    <row r="5904">
      <c r="A5904" s="227">
        <f>TL[[#This Row],[Société]]&amp;" - "&amp;TL[[#This Row],[Compte]]</f>
        <v/>
      </c>
      <c r="B5904" s="233" t="inlineStr">
        <is>
          <t>62700700</t>
        </is>
      </c>
      <c r="C5904" s="227" t="inlineStr">
        <is>
          <t>Commissions pay pal  npu</t>
        </is>
      </c>
      <c r="D5904" s="233" t="inlineStr">
        <is>
          <t>37</t>
        </is>
      </c>
      <c r="E5904" s="233" t="inlineStr">
        <is>
          <t>17</t>
        </is>
      </c>
      <c r="F5904" s="237" t="inlineStr">
        <is>
          <t>DIVES</t>
        </is>
      </c>
    </row>
    <row r="5905">
      <c r="A5905" s="227">
        <f>TL[[#This Row],[Société]]&amp;" - "&amp;TL[[#This Row],[Compte]]</f>
        <v/>
      </c>
      <c r="B5905" s="233" t="inlineStr">
        <is>
          <t>62780100</t>
        </is>
      </c>
      <c r="C5905" s="227" t="inlineStr">
        <is>
          <t>Commissions bancaires</t>
        </is>
      </c>
      <c r="D5905" s="233" t="inlineStr">
        <is>
          <t>37</t>
        </is>
      </c>
      <c r="E5905" s="233" t="inlineStr">
        <is>
          <t>17</t>
        </is>
      </c>
      <c r="F5905" s="237" t="inlineStr">
        <is>
          <t>DIVES</t>
        </is>
      </c>
    </row>
    <row r="5906">
      <c r="A5906" s="227">
        <f>TL[[#This Row],[Société]]&amp;" - "&amp;TL[[#This Row],[Compte]]</f>
        <v/>
      </c>
      <c r="B5906" s="233" t="inlineStr">
        <is>
          <t>62780200</t>
        </is>
      </c>
      <c r="C5906" s="227" t="inlineStr">
        <is>
          <t>Commissions cb</t>
        </is>
      </c>
      <c r="D5906" s="233" t="inlineStr">
        <is>
          <t>37</t>
        </is>
      </c>
      <c r="E5906" s="233" t="inlineStr">
        <is>
          <t>17</t>
        </is>
      </c>
      <c r="F5906" s="237" t="inlineStr">
        <is>
          <t>DIVES</t>
        </is>
      </c>
    </row>
    <row r="5907">
      <c r="A5907" s="227">
        <f>TL[[#This Row],[Société]]&amp;" - "&amp;TL[[#This Row],[Compte]]</f>
        <v/>
      </c>
      <c r="B5907" s="233" t="inlineStr">
        <is>
          <t>62780300</t>
        </is>
      </c>
      <c r="C5907" s="227" t="inlineStr">
        <is>
          <t>Frais tr</t>
        </is>
      </c>
      <c r="D5907" s="233" t="inlineStr">
        <is>
          <t>37</t>
        </is>
      </c>
      <c r="E5907" s="233" t="inlineStr">
        <is>
          <t>17</t>
        </is>
      </c>
      <c r="F5907" s="237" t="inlineStr">
        <is>
          <t>DIVES</t>
        </is>
      </c>
    </row>
    <row r="5908">
      <c r="A5908" s="227">
        <f>TL[[#This Row],[Société]]&amp;" - "&amp;TL[[#This Row],[Compte]]</f>
        <v/>
      </c>
      <c r="B5908" s="233" t="inlineStr">
        <is>
          <t>62780500</t>
        </is>
      </c>
      <c r="C5908" s="227" t="inlineStr">
        <is>
          <t>Frais cv</t>
        </is>
      </c>
      <c r="D5908" s="233" t="inlineStr">
        <is>
          <t>37</t>
        </is>
      </c>
      <c r="E5908" s="233" t="inlineStr">
        <is>
          <t>17</t>
        </is>
      </c>
      <c r="F5908" s="237" t="inlineStr">
        <is>
          <t>DIVES</t>
        </is>
      </c>
    </row>
    <row r="5909">
      <c r="A5909" s="227">
        <f>TL[[#This Row],[Société]]&amp;" - "&amp;TL[[#This Row],[Compte]]</f>
        <v/>
      </c>
      <c r="B5909" s="233" t="inlineStr">
        <is>
          <t>62780700</t>
        </is>
      </c>
      <c r="C5909" s="227" t="inlineStr">
        <is>
          <t>Frais pay pal</t>
        </is>
      </c>
      <c r="D5909" s="233" t="inlineStr">
        <is>
          <t>37</t>
        </is>
      </c>
      <c r="E5909" s="233" t="inlineStr">
        <is>
          <t>17</t>
        </is>
      </c>
      <c r="F5909" s="237" t="inlineStr">
        <is>
          <t>DIVES</t>
        </is>
      </c>
    </row>
    <row r="5910">
      <c r="A5910" s="227">
        <f>TL[[#This Row],[Société]]&amp;" - "&amp;TL[[#This Row],[Compte]]</f>
        <v/>
      </c>
      <c r="B5910" s="233" t="inlineStr">
        <is>
          <t>62802300</t>
        </is>
      </c>
      <c r="C5910" s="227" t="inlineStr">
        <is>
          <t>DIVERS</t>
        </is>
      </c>
      <c r="D5910" s="233" t="inlineStr">
        <is>
          <t>23</t>
        </is>
      </c>
      <c r="E5910" s="233" t="inlineStr">
        <is>
          <t>27</t>
        </is>
      </c>
      <c r="F5910" s="237" t="inlineStr">
        <is>
          <t>DIVES</t>
        </is>
      </c>
    </row>
    <row r="5911">
      <c r="A5911" s="227">
        <f>TL[[#This Row],[Société]]&amp;" - "&amp;TL[[#This Row],[Compte]]</f>
        <v/>
      </c>
      <c r="B5911" s="233" t="inlineStr">
        <is>
          <t>62820000</t>
        </is>
      </c>
      <c r="C5911" s="227" t="inlineStr">
        <is>
          <t>Cotisations</t>
        </is>
      </c>
      <c r="D5911" s="233" t="inlineStr">
        <is>
          <t>23</t>
        </is>
      </c>
      <c r="E5911" s="233" t="inlineStr">
        <is>
          <t>27</t>
        </is>
      </c>
      <c r="F5911" s="237" t="inlineStr">
        <is>
          <t>DIVES</t>
        </is>
      </c>
    </row>
    <row r="5912">
      <c r="A5912" s="227">
        <f>TL[[#This Row],[Société]]&amp;" - "&amp;TL[[#This Row],[Compte]]</f>
        <v/>
      </c>
      <c r="B5912" s="233" t="inlineStr">
        <is>
          <t>62830000</t>
        </is>
      </c>
      <c r="C5912" s="227" t="inlineStr">
        <is>
          <t>Redevance GTH14</t>
        </is>
      </c>
      <c r="D5912" s="233" t="inlineStr">
        <is>
          <t>51</t>
        </is>
      </c>
      <c r="E5912" s="233" t="inlineStr">
        <is>
          <t>46</t>
        </is>
      </c>
      <c r="F5912" s="237" t="inlineStr">
        <is>
          <t>DIVES</t>
        </is>
      </c>
    </row>
    <row r="5913">
      <c r="A5913" s="227">
        <f>TL[[#This Row],[Société]]&amp;" - "&amp;TL[[#This Row],[Compte]]</f>
        <v/>
      </c>
      <c r="B5913" s="233" t="inlineStr">
        <is>
          <t>62840000</t>
        </is>
      </c>
      <c r="C5913" s="227" t="inlineStr">
        <is>
          <t>Formations extérieures</t>
        </is>
      </c>
      <c r="D5913" s="233" t="inlineStr">
        <is>
          <t>13</t>
        </is>
      </c>
      <c r="E5913" s="233" t="inlineStr">
        <is>
          <t>19</t>
        </is>
      </c>
      <c r="F5913" s="237" t="inlineStr">
        <is>
          <t>DIVES</t>
        </is>
      </c>
    </row>
    <row r="5914">
      <c r="A5914" s="227">
        <f>TL[[#This Row],[Société]]&amp;" - "&amp;TL[[#This Row],[Compte]]</f>
        <v/>
      </c>
      <c r="B5914" s="233" t="inlineStr">
        <is>
          <t>62850000</t>
        </is>
      </c>
      <c r="C5914" s="227" t="inlineStr">
        <is>
          <t>Redevance Mungu</t>
        </is>
      </c>
      <c r="D5914" s="233" t="inlineStr">
        <is>
          <t>51</t>
        </is>
      </c>
      <c r="E5914" s="233" t="inlineStr">
        <is>
          <t>46</t>
        </is>
      </c>
      <c r="F5914" s="237" t="inlineStr">
        <is>
          <t>DIVES</t>
        </is>
      </c>
    </row>
    <row r="5915">
      <c r="A5915" s="227">
        <f>TL[[#This Row],[Société]]&amp;" - "&amp;TL[[#This Row],[Compte]]</f>
        <v/>
      </c>
      <c r="B5915" s="233" t="inlineStr">
        <is>
          <t>63120000</t>
        </is>
      </c>
      <c r="C5915" s="227" t="inlineStr">
        <is>
          <t>SALAIRES 09/2022</t>
        </is>
      </c>
      <c r="F5915" s="237" t="inlineStr">
        <is>
          <t>DIVES</t>
        </is>
      </c>
    </row>
    <row r="5916">
      <c r="A5916" s="227">
        <f>TL[[#This Row],[Société]]&amp;" - "&amp;TL[[#This Row],[Compte]]</f>
        <v/>
      </c>
      <c r="B5916" s="233" t="inlineStr">
        <is>
          <t>63330000</t>
        </is>
      </c>
      <c r="C5916" s="227" t="inlineStr">
        <is>
          <t>Formation pro</t>
        </is>
      </c>
      <c r="D5916" s="233" t="inlineStr">
        <is>
          <t>34</t>
        </is>
      </c>
      <c r="E5916" s="233" t="inlineStr">
        <is>
          <t>37</t>
        </is>
      </c>
      <c r="F5916" s="237" t="inlineStr">
        <is>
          <t>DIVES</t>
        </is>
      </c>
    </row>
    <row r="5917">
      <c r="A5917" s="227">
        <f>TL[[#This Row],[Société]]&amp;" - "&amp;TL[[#This Row],[Compte]]</f>
        <v/>
      </c>
      <c r="B5917" s="233" t="inlineStr">
        <is>
          <t>63340000</t>
        </is>
      </c>
      <c r="C5917" s="227" t="inlineStr">
        <is>
          <t>Effort construction</t>
        </is>
      </c>
      <c r="D5917" s="233" t="inlineStr">
        <is>
          <t>34</t>
        </is>
      </c>
      <c r="E5917" s="233" t="inlineStr">
        <is>
          <t>37</t>
        </is>
      </c>
      <c r="F5917" s="237" t="inlineStr">
        <is>
          <t>DIVES</t>
        </is>
      </c>
    </row>
    <row r="5918">
      <c r="A5918" s="227">
        <f>TL[[#This Row],[Société]]&amp;" - "&amp;TL[[#This Row],[Compte]]</f>
        <v/>
      </c>
      <c r="B5918" s="233" t="inlineStr">
        <is>
          <t>63350000</t>
        </is>
      </c>
      <c r="C5918" s="227" t="inlineStr">
        <is>
          <t>Taxe apprentissage</t>
        </is>
      </c>
      <c r="D5918" s="233" t="inlineStr">
        <is>
          <t>34</t>
        </is>
      </c>
      <c r="E5918" s="233" t="inlineStr">
        <is>
          <t>37</t>
        </is>
      </c>
      <c r="F5918" s="237" t="inlineStr">
        <is>
          <t>DIVES</t>
        </is>
      </c>
    </row>
    <row r="5919">
      <c r="A5919" s="227">
        <f>TL[[#This Row],[Société]]&amp;" - "&amp;TL[[#This Row],[Compte]]</f>
        <v/>
      </c>
      <c r="B5919" s="233" t="inlineStr">
        <is>
          <t>63511000</t>
        </is>
      </c>
      <c r="C5919" s="227" t="inlineStr">
        <is>
          <t>Taxe professionnelle</t>
        </is>
      </c>
      <c r="D5919" s="233" t="inlineStr">
        <is>
          <t>34</t>
        </is>
      </c>
      <c r="E5919" s="233" t="inlineStr">
        <is>
          <t>37</t>
        </is>
      </c>
      <c r="F5919" s="237" t="inlineStr">
        <is>
          <t>DIVES</t>
        </is>
      </c>
    </row>
    <row r="5920">
      <c r="A5920" s="227">
        <f>TL[[#This Row],[Société]]&amp;" - "&amp;TL[[#This Row],[Compte]]</f>
        <v/>
      </c>
      <c r="B5920" s="233" t="inlineStr">
        <is>
          <t>63511100</t>
        </is>
      </c>
      <c r="C5920" s="227" t="inlineStr">
        <is>
          <t>Cfe</t>
        </is>
      </c>
      <c r="D5920" s="233" t="inlineStr">
        <is>
          <t>34</t>
        </is>
      </c>
      <c r="E5920" s="233" t="inlineStr">
        <is>
          <t>37</t>
        </is>
      </c>
      <c r="F5920" s="237" t="inlineStr">
        <is>
          <t>DIVES</t>
        </is>
      </c>
    </row>
    <row r="5921">
      <c r="A5921" s="227">
        <f>TL[[#This Row],[Société]]&amp;" - "&amp;TL[[#This Row],[Compte]]</f>
        <v/>
      </c>
      <c r="B5921" s="233" t="inlineStr">
        <is>
          <t>63511200</t>
        </is>
      </c>
      <c r="C5921" s="227" t="inlineStr">
        <is>
          <t>Cvae</t>
        </is>
      </c>
      <c r="D5921" s="233" t="inlineStr">
        <is>
          <t>34</t>
        </is>
      </c>
      <c r="E5921" s="233" t="inlineStr">
        <is>
          <t>37</t>
        </is>
      </c>
      <c r="F5921" s="237" t="inlineStr">
        <is>
          <t>DIVES</t>
        </is>
      </c>
    </row>
    <row r="5922">
      <c r="A5922" s="227">
        <f>TL[[#This Row],[Société]]&amp;" - "&amp;TL[[#This Row],[Compte]]</f>
        <v/>
      </c>
      <c r="B5922" s="233" t="inlineStr">
        <is>
          <t>63513000</t>
        </is>
      </c>
      <c r="C5922" s="227" t="inlineStr">
        <is>
          <t>Cet</t>
        </is>
      </c>
      <c r="D5922" s="233" t="inlineStr">
        <is>
          <t>34</t>
        </is>
      </c>
      <c r="E5922" s="233" t="inlineStr">
        <is>
          <t>37</t>
        </is>
      </c>
      <c r="F5922" s="237" t="inlineStr">
        <is>
          <t>DIVES</t>
        </is>
      </c>
    </row>
    <row r="5923">
      <c r="A5923" s="227">
        <f>TL[[#This Row],[Société]]&amp;" - "&amp;TL[[#This Row],[Compte]]</f>
        <v/>
      </c>
      <c r="B5923" s="233" t="inlineStr">
        <is>
          <t>63514000</t>
        </is>
      </c>
      <c r="C5923" s="227" t="inlineStr">
        <is>
          <t>Taxes sur les véhicules sociétés</t>
        </is>
      </c>
      <c r="D5923" s="233" t="inlineStr">
        <is>
          <t>34</t>
        </is>
      </c>
      <c r="E5923" s="233" t="inlineStr">
        <is>
          <t>37</t>
        </is>
      </c>
      <c r="F5923" s="237" t="inlineStr">
        <is>
          <t>DIVES</t>
        </is>
      </c>
    </row>
    <row r="5924">
      <c r="A5924" s="227">
        <f>TL[[#This Row],[Société]]&amp;" - "&amp;TL[[#This Row],[Compte]]</f>
        <v/>
      </c>
      <c r="B5924" s="233" t="inlineStr">
        <is>
          <t>63550000</t>
        </is>
      </c>
      <c r="C5924" s="227" t="inlineStr">
        <is>
          <t>Autr.imp.taxes (impots)</t>
        </is>
      </c>
      <c r="D5924" s="233" t="inlineStr">
        <is>
          <t>34</t>
        </is>
      </c>
      <c r="E5924" s="233" t="inlineStr">
        <is>
          <t>37</t>
        </is>
      </c>
      <c r="F5924" s="237" t="inlineStr">
        <is>
          <t>DIVES</t>
        </is>
      </c>
    </row>
    <row r="5925">
      <c r="A5925" s="227">
        <f>TL[[#This Row],[Société]]&amp;" - "&amp;TL[[#This Row],[Compte]]</f>
        <v/>
      </c>
      <c r="B5925" s="233" t="inlineStr">
        <is>
          <t>63551000</t>
        </is>
      </c>
      <c r="C5925" s="227" t="inlineStr">
        <is>
          <t>Contribution péche - taxe sur filet</t>
        </is>
      </c>
      <c r="D5925" s="233" t="inlineStr">
        <is>
          <t>34</t>
        </is>
      </c>
      <c r="E5925" s="233" t="inlineStr">
        <is>
          <t>37</t>
        </is>
      </c>
      <c r="F5925" s="237" t="inlineStr">
        <is>
          <t>DIVES</t>
        </is>
      </c>
    </row>
    <row r="5926">
      <c r="A5926" s="227">
        <f>TL[[#This Row],[Société]]&amp;" - "&amp;TL[[#This Row],[Compte]]</f>
        <v/>
      </c>
      <c r="B5926" s="233" t="inlineStr">
        <is>
          <t>63551100</t>
        </is>
      </c>
      <c r="C5926" s="227" t="inlineStr">
        <is>
          <t>Contribution sur boissons sucrées</t>
        </is>
      </c>
      <c r="D5926" s="233" t="inlineStr">
        <is>
          <t>9</t>
        </is>
      </c>
      <c r="E5926" s="233" t="inlineStr">
        <is>
          <t>3</t>
        </is>
      </c>
      <c r="F5926" s="237" t="inlineStr">
        <is>
          <t>DIVES</t>
        </is>
      </c>
    </row>
    <row r="5927">
      <c r="A5927" s="227">
        <f>TL[[#This Row],[Société]]&amp;" - "&amp;TL[[#This Row],[Compte]]</f>
        <v/>
      </c>
      <c r="B5927" s="233" t="inlineStr">
        <is>
          <t>63552000</t>
        </is>
      </c>
      <c r="C5927" s="227" t="inlineStr">
        <is>
          <t>Redevance audio</t>
        </is>
      </c>
      <c r="D5927" s="233" t="inlineStr">
        <is>
          <t>34</t>
        </is>
      </c>
      <c r="E5927" s="233" t="inlineStr">
        <is>
          <t>37</t>
        </is>
      </c>
      <c r="F5927" s="237" t="inlineStr">
        <is>
          <t>DIVES</t>
        </is>
      </c>
    </row>
    <row r="5928">
      <c r="A5928" s="227">
        <f>TL[[#This Row],[Société]]&amp;" - "&amp;TL[[#This Row],[Compte]]</f>
        <v/>
      </c>
      <c r="B5928" s="233" t="inlineStr">
        <is>
          <t>63553000</t>
        </is>
      </c>
      <c r="C5928" s="227" t="inlineStr">
        <is>
          <t>Taxe sur la publicité</t>
        </is>
      </c>
      <c r="D5928" s="233" t="inlineStr">
        <is>
          <t>34</t>
        </is>
      </c>
      <c r="E5928" s="233" t="inlineStr">
        <is>
          <t>37</t>
        </is>
      </c>
      <c r="F5928" s="237" t="inlineStr">
        <is>
          <t>DIVES</t>
        </is>
      </c>
    </row>
    <row r="5929">
      <c r="A5929" s="227">
        <f>TL[[#This Row],[Société]]&amp;" - "&amp;TL[[#This Row],[Compte]]</f>
        <v/>
      </c>
      <c r="B5929" s="233" t="inlineStr">
        <is>
          <t>63554000</t>
        </is>
      </c>
      <c r="C5929" s="227" t="inlineStr">
        <is>
          <t>Contribution 0.12 % ca</t>
        </is>
      </c>
      <c r="D5929" s="233" t="inlineStr">
        <is>
          <t>34</t>
        </is>
      </c>
      <c r="E5929" s="233" t="inlineStr">
        <is>
          <t>37</t>
        </is>
      </c>
      <c r="F5929" s="237" t="inlineStr">
        <is>
          <t>DIVES</t>
        </is>
      </c>
    </row>
    <row r="5930">
      <c r="A5930" s="227">
        <f>TL[[#This Row],[Société]]&amp;" - "&amp;TL[[#This Row],[Compte]]</f>
        <v/>
      </c>
      <c r="B5930" s="233" t="inlineStr">
        <is>
          <t>63570000</t>
        </is>
      </c>
      <c r="C5930" s="227" t="inlineStr">
        <is>
          <t>Ifa</t>
        </is>
      </c>
      <c r="D5930" s="233" t="inlineStr">
        <is>
          <t>34</t>
        </is>
      </c>
      <c r="E5930" s="233" t="inlineStr">
        <is>
          <t>37</t>
        </is>
      </c>
      <c r="F5930" s="237" t="inlineStr">
        <is>
          <t>DIVES</t>
        </is>
      </c>
    </row>
    <row r="5931">
      <c r="A5931" s="227">
        <f>TL[[#This Row],[Société]]&amp;" - "&amp;TL[[#This Row],[Compte]]</f>
        <v/>
      </c>
      <c r="B5931" s="233" t="inlineStr">
        <is>
          <t>63581000</t>
        </is>
      </c>
      <c r="C5931" s="227" t="inlineStr">
        <is>
          <t>Ifa</t>
        </is>
      </c>
      <c r="D5931" s="233" t="inlineStr">
        <is>
          <t>34</t>
        </is>
      </c>
      <c r="E5931" s="233" t="inlineStr">
        <is>
          <t>37</t>
        </is>
      </c>
      <c r="F5931" s="237" t="inlineStr">
        <is>
          <t>DIVES</t>
        </is>
      </c>
    </row>
    <row r="5932">
      <c r="A5932" s="227">
        <f>TL[[#This Row],[Société]]&amp;" - "&amp;TL[[#This Row],[Compte]]</f>
        <v/>
      </c>
      <c r="B5932" s="233" t="inlineStr">
        <is>
          <t>63710000</t>
        </is>
      </c>
      <c r="C5932" s="227" t="inlineStr">
        <is>
          <t>Organic</t>
        </is>
      </c>
      <c r="D5932" s="233" t="inlineStr">
        <is>
          <t>34</t>
        </is>
      </c>
      <c r="E5932" s="233" t="inlineStr">
        <is>
          <t>37</t>
        </is>
      </c>
      <c r="F5932" s="237" t="inlineStr">
        <is>
          <t>DIVES</t>
        </is>
      </c>
    </row>
    <row r="5933">
      <c r="A5933" s="227">
        <f>TL[[#This Row],[Société]]&amp;" - "&amp;TL[[#This Row],[Compte]]</f>
        <v/>
      </c>
      <c r="B5933" s="233" t="inlineStr">
        <is>
          <t>63730000</t>
        </is>
      </c>
      <c r="C5933" s="227" t="inlineStr">
        <is>
          <t>Agefip handicapés</t>
        </is>
      </c>
      <c r="D5933" s="233" t="inlineStr">
        <is>
          <t>34</t>
        </is>
      </c>
      <c r="E5933" s="233" t="inlineStr">
        <is>
          <t>37</t>
        </is>
      </c>
      <c r="F5933" s="237" t="inlineStr">
        <is>
          <t>DIVES</t>
        </is>
      </c>
    </row>
    <row r="5934">
      <c r="A5934" s="227">
        <f>TL[[#This Row],[Société]]&amp;" - "&amp;TL[[#This Row],[Compte]]</f>
        <v/>
      </c>
      <c r="B5934" s="233" t="inlineStr">
        <is>
          <t>64110100</t>
        </is>
      </c>
      <c r="C5934" s="227" t="inlineStr">
        <is>
          <t>Salaire equipiers</t>
        </is>
      </c>
      <c r="D5934" s="233" t="inlineStr">
        <is>
          <t>10</t>
        </is>
      </c>
      <c r="E5934" s="233" t="inlineStr">
        <is>
          <t>8</t>
        </is>
      </c>
      <c r="F5934" s="237" t="inlineStr">
        <is>
          <t>DIVES</t>
        </is>
      </c>
    </row>
    <row r="5935">
      <c r="A5935" s="227">
        <f>TL[[#This Row],[Société]]&amp;" - "&amp;TL[[#This Row],[Compte]]</f>
        <v/>
      </c>
      <c r="B5935" s="233" t="inlineStr">
        <is>
          <t>64110400</t>
        </is>
      </c>
      <c r="C5935" s="227" t="inlineStr">
        <is>
          <t>Salaire mgr</t>
        </is>
      </c>
      <c r="D5935" s="233" t="inlineStr">
        <is>
          <t>11</t>
        </is>
      </c>
      <c r="E5935" s="233" t="inlineStr">
        <is>
          <t>10</t>
        </is>
      </c>
      <c r="F5935" s="237" t="inlineStr">
        <is>
          <t>DIVES</t>
        </is>
      </c>
    </row>
    <row r="5936">
      <c r="A5936" s="227">
        <f>TL[[#This Row],[Société]]&amp;" - "&amp;TL[[#This Row],[Compte]]</f>
        <v/>
      </c>
      <c r="B5936" s="233" t="inlineStr">
        <is>
          <t>64111000</t>
        </is>
      </c>
      <c r="C5936" s="227" t="inlineStr">
        <is>
          <t>Indemnite licenct/retraite</t>
        </is>
      </c>
      <c r="D5936" s="233" t="inlineStr">
        <is>
          <t>39</t>
        </is>
      </c>
      <c r="E5936" s="233" t="inlineStr">
        <is>
          <t>10</t>
        </is>
      </c>
      <c r="F5936" s="237" t="inlineStr">
        <is>
          <t>DIVES</t>
        </is>
      </c>
    </row>
    <row r="5937">
      <c r="A5937" s="227">
        <f>TL[[#This Row],[Société]]&amp;" - "&amp;TL[[#This Row],[Compte]]</f>
        <v/>
      </c>
      <c r="B5937" s="233" t="inlineStr">
        <is>
          <t>64111100</t>
        </is>
      </c>
      <c r="C5937" s="227" t="inlineStr">
        <is>
          <t>Indemnités licenciement</t>
        </is>
      </c>
      <c r="D5937" s="233" t="inlineStr">
        <is>
          <t>10</t>
        </is>
      </c>
      <c r="E5937" s="233" t="inlineStr">
        <is>
          <t>8</t>
        </is>
      </c>
      <c r="F5937" s="237" t="inlineStr">
        <is>
          <t>DIVES</t>
        </is>
      </c>
    </row>
    <row r="5938">
      <c r="A5938" s="227">
        <f>TL[[#This Row],[Société]]&amp;" - "&amp;TL[[#This Row],[Compte]]</f>
        <v/>
      </c>
      <c r="B5938" s="233" t="inlineStr">
        <is>
          <t>64111400</t>
        </is>
      </c>
      <c r="C5938" s="227" t="inlineStr">
        <is>
          <t>Indemnités licenciemt manag</t>
        </is>
      </c>
      <c r="D5938" s="233" t="inlineStr">
        <is>
          <t>39</t>
        </is>
      </c>
      <c r="E5938" s="233" t="inlineStr">
        <is>
          <t>10</t>
        </is>
      </c>
      <c r="F5938" s="237" t="inlineStr">
        <is>
          <t>DIVES</t>
        </is>
      </c>
    </row>
    <row r="5939">
      <c r="A5939" s="227">
        <f>TL[[#This Row],[Société]]&amp;" - "&amp;TL[[#This Row],[Compte]]</f>
        <v/>
      </c>
      <c r="B5939" s="233" t="inlineStr">
        <is>
          <t>64111500</t>
        </is>
      </c>
      <c r="C5939" s="227" t="inlineStr">
        <is>
          <t>ind inflation equipiers</t>
        </is>
      </c>
      <c r="D5939" s="233" t="inlineStr">
        <is>
          <t>10</t>
        </is>
      </c>
      <c r="E5939" s="233" t="inlineStr">
        <is>
          <t>8</t>
        </is>
      </c>
      <c r="F5939" s="237" t="inlineStr">
        <is>
          <t>DIVES</t>
        </is>
      </c>
    </row>
    <row r="5940">
      <c r="A5940" s="227">
        <f>TL[[#This Row],[Société]]&amp;" - "&amp;TL[[#This Row],[Compte]]</f>
        <v/>
      </c>
      <c r="B5940" s="233" t="inlineStr">
        <is>
          <t>64111600</t>
        </is>
      </c>
      <c r="C5940" s="227" t="inlineStr">
        <is>
          <t>ind inflation mgrs</t>
        </is>
      </c>
      <c r="D5940" s="233" t="inlineStr">
        <is>
          <t>11</t>
        </is>
      </c>
      <c r="E5940" s="233" t="inlineStr">
        <is>
          <t>10</t>
        </is>
      </c>
      <c r="F5940" s="237" t="inlineStr">
        <is>
          <t>DIVES</t>
        </is>
      </c>
    </row>
    <row r="5941">
      <c r="A5941" s="227">
        <f>TL[[#This Row],[Société]]&amp;" - "&amp;TL[[#This Row],[Compte]]</f>
        <v/>
      </c>
      <c r="B5941" s="233" t="inlineStr">
        <is>
          <t>64120000</t>
        </is>
      </c>
      <c r="C5941" s="227" t="inlineStr">
        <is>
          <t>Prov cp equipiers</t>
        </is>
      </c>
      <c r="D5941" s="233" t="inlineStr">
        <is>
          <t>10</t>
        </is>
      </c>
      <c r="E5941" s="233" t="inlineStr">
        <is>
          <t>8</t>
        </is>
      </c>
      <c r="F5941" s="237" t="inlineStr">
        <is>
          <t>DIVES</t>
        </is>
      </c>
    </row>
    <row r="5942">
      <c r="A5942" s="227">
        <f>TL[[#This Row],[Société]]&amp;" - "&amp;TL[[#This Row],[Compte]]</f>
        <v/>
      </c>
      <c r="B5942" s="233" t="inlineStr">
        <is>
          <t>64121000</t>
        </is>
      </c>
      <c r="C5942" s="227" t="inlineStr">
        <is>
          <t>Prov cp mgr</t>
        </is>
      </c>
      <c r="D5942" s="233" t="inlineStr">
        <is>
          <t>11</t>
        </is>
      </c>
      <c r="E5942" s="233" t="inlineStr">
        <is>
          <t>10</t>
        </is>
      </c>
      <c r="F5942" s="237" t="inlineStr">
        <is>
          <t>DIVES</t>
        </is>
      </c>
    </row>
    <row r="5943">
      <c r="A5943" s="227">
        <f>TL[[#This Row],[Société]]&amp;" - "&amp;TL[[#This Row],[Compte]]</f>
        <v/>
      </c>
      <c r="B5943" s="233" t="inlineStr">
        <is>
          <t>64122000</t>
        </is>
      </c>
      <c r="C5943" s="227" t="inlineStr">
        <is>
          <t>Prov primes</t>
        </is>
      </c>
      <c r="D5943" s="233" t="inlineStr">
        <is>
          <t>11</t>
        </is>
      </c>
      <c r="E5943" s="233" t="inlineStr">
        <is>
          <t>10</t>
        </is>
      </c>
      <c r="F5943" s="237" t="inlineStr">
        <is>
          <t>DIVES</t>
        </is>
      </c>
    </row>
    <row r="5944">
      <c r="A5944" s="227">
        <f>TL[[#This Row],[Société]]&amp;" - "&amp;TL[[#This Row],[Compte]]</f>
        <v/>
      </c>
      <c r="B5944" s="233" t="inlineStr">
        <is>
          <t>64123000</t>
        </is>
      </c>
      <c r="C5944" s="227" t="inlineStr">
        <is>
          <t>Ne pas utiliser</t>
        </is>
      </c>
      <c r="D5944" s="233" t="inlineStr">
        <is>
          <t>99</t>
        </is>
      </c>
      <c r="F5944" s="237" t="inlineStr">
        <is>
          <t>DIVES</t>
        </is>
      </c>
    </row>
    <row r="5945">
      <c r="A5945" s="227">
        <f>TL[[#This Row],[Société]]&amp;" - "&amp;TL[[#This Row],[Compte]]</f>
        <v/>
      </c>
      <c r="B5945" s="233" t="inlineStr">
        <is>
          <t>64130000</t>
        </is>
      </c>
      <c r="C5945" s="227" t="inlineStr">
        <is>
          <t>SALAIRES 10/2022</t>
        </is>
      </c>
      <c r="F5945" s="237" t="inlineStr">
        <is>
          <t>DIVES</t>
        </is>
      </c>
    </row>
    <row r="5946">
      <c r="A5946" s="227">
        <f>TL[[#This Row],[Société]]&amp;" - "&amp;TL[[#This Row],[Compte]]</f>
        <v/>
      </c>
      <c r="B5946" s="233" t="inlineStr">
        <is>
          <t>64131000</t>
        </is>
      </c>
      <c r="C5946" s="227" t="inlineStr">
        <is>
          <t>Primes équipiers</t>
        </is>
      </c>
      <c r="F5946" s="237" t="inlineStr">
        <is>
          <t>DIVES</t>
        </is>
      </c>
    </row>
    <row r="5947">
      <c r="A5947" s="227">
        <f>TL[[#This Row],[Société]]&amp;" - "&amp;TL[[#This Row],[Compte]]</f>
        <v/>
      </c>
      <c r="B5947" s="233" t="inlineStr">
        <is>
          <t>64134000</t>
        </is>
      </c>
      <c r="C5947" s="227" t="inlineStr">
        <is>
          <t>Primes managers</t>
        </is>
      </c>
      <c r="F5947" s="237" t="inlineStr">
        <is>
          <t>DIVES</t>
        </is>
      </c>
    </row>
    <row r="5948">
      <c r="A5948" s="227">
        <f>TL[[#This Row],[Société]]&amp;" - "&amp;TL[[#This Row],[Compte]]</f>
        <v/>
      </c>
      <c r="B5948" s="233" t="inlineStr">
        <is>
          <t>64140000</t>
        </is>
      </c>
      <c r="C5948" s="227" t="inlineStr">
        <is>
          <t>SALAIRES 09/2022</t>
        </is>
      </c>
      <c r="F5948" s="237" t="inlineStr">
        <is>
          <t>DIVES</t>
        </is>
      </c>
    </row>
    <row r="5949">
      <c r="A5949" s="227">
        <f>TL[[#This Row],[Société]]&amp;" - "&amp;TL[[#This Row],[Compte]]</f>
        <v/>
      </c>
      <c r="B5949" s="233" t="inlineStr">
        <is>
          <t>64140100</t>
        </is>
      </c>
      <c r="C5949" s="227" t="inlineStr">
        <is>
          <t>A.n. equipiers</t>
        </is>
      </c>
      <c r="D5949" s="233" t="inlineStr">
        <is>
          <t>10</t>
        </is>
      </c>
      <c r="E5949" s="233" t="inlineStr">
        <is>
          <t>8</t>
        </is>
      </c>
      <c r="F5949" s="237" t="inlineStr">
        <is>
          <t>DIVES</t>
        </is>
      </c>
    </row>
    <row r="5950">
      <c r="A5950" s="227">
        <f>TL[[#This Row],[Société]]&amp;" - "&amp;TL[[#This Row],[Compte]]</f>
        <v/>
      </c>
      <c r="B5950" s="233" t="inlineStr">
        <is>
          <t>64140200</t>
        </is>
      </c>
      <c r="C5950" s="227" t="inlineStr">
        <is>
          <t>Avantages et indemnités divers équi</t>
        </is>
      </c>
      <c r="D5950" s="233" t="inlineStr">
        <is>
          <t>10</t>
        </is>
      </c>
      <c r="E5950" s="233" t="inlineStr">
        <is>
          <t>8</t>
        </is>
      </c>
      <c r="F5950" s="237" t="inlineStr">
        <is>
          <t>DIVES</t>
        </is>
      </c>
    </row>
    <row r="5951">
      <c r="A5951" s="227">
        <f>TL[[#This Row],[Société]]&amp;" - "&amp;TL[[#This Row],[Compte]]</f>
        <v/>
      </c>
      <c r="B5951" s="233" t="inlineStr">
        <is>
          <t>64140300</t>
        </is>
      </c>
      <c r="C5951" s="227" t="inlineStr">
        <is>
          <t>Avantages et indemnités divers mger</t>
        </is>
      </c>
      <c r="D5951" s="233" t="inlineStr">
        <is>
          <t>11</t>
        </is>
      </c>
      <c r="E5951" s="233" t="inlineStr">
        <is>
          <t>10</t>
        </is>
      </c>
      <c r="F5951" s="237" t="inlineStr">
        <is>
          <t>DIVES</t>
        </is>
      </c>
    </row>
    <row r="5952">
      <c r="A5952" s="227">
        <f>TL[[#This Row],[Société]]&amp;" - "&amp;TL[[#This Row],[Compte]]</f>
        <v/>
      </c>
      <c r="B5952" s="233" t="inlineStr">
        <is>
          <t>64140400</t>
        </is>
      </c>
      <c r="C5952" s="227" t="inlineStr">
        <is>
          <t>A.n. managers</t>
        </is>
      </c>
      <c r="D5952" s="233" t="inlineStr">
        <is>
          <t>11</t>
        </is>
      </c>
      <c r="E5952" s="233" t="inlineStr">
        <is>
          <t>10</t>
        </is>
      </c>
      <c r="F5952" s="237" t="inlineStr">
        <is>
          <t>DIVES</t>
        </is>
      </c>
    </row>
    <row r="5953">
      <c r="A5953" s="227">
        <f>TL[[#This Row],[Société]]&amp;" - "&amp;TL[[#This Row],[Compte]]</f>
        <v/>
      </c>
      <c r="B5953" s="233" t="inlineStr">
        <is>
          <t>64141100</t>
        </is>
      </c>
      <c r="C5953" s="227" t="inlineStr">
        <is>
          <t>Ind. blanch. equipiers</t>
        </is>
      </c>
      <c r="D5953" s="233" t="inlineStr">
        <is>
          <t>10</t>
        </is>
      </c>
      <c r="E5953" s="233" t="inlineStr">
        <is>
          <t>8</t>
        </is>
      </c>
      <c r="F5953" s="237" t="inlineStr">
        <is>
          <t>DIVES</t>
        </is>
      </c>
    </row>
    <row r="5954">
      <c r="A5954" s="227">
        <f>TL[[#This Row],[Société]]&amp;" - "&amp;TL[[#This Row],[Compte]]</f>
        <v/>
      </c>
      <c r="B5954" s="233" t="inlineStr">
        <is>
          <t>64141400</t>
        </is>
      </c>
      <c r="C5954" s="227" t="inlineStr">
        <is>
          <t>Ind.blanch mgr</t>
        </is>
      </c>
      <c r="D5954" s="233" t="inlineStr">
        <is>
          <t>11</t>
        </is>
      </c>
      <c r="E5954" s="233" t="inlineStr">
        <is>
          <t>10</t>
        </is>
      </c>
      <c r="F5954" s="237" t="inlineStr">
        <is>
          <t>DIVES</t>
        </is>
      </c>
    </row>
    <row r="5955">
      <c r="A5955" s="227">
        <f>TL[[#This Row],[Société]]&amp;" - "&amp;TL[[#This Row],[Compte]]</f>
        <v/>
      </c>
      <c r="B5955" s="233" t="inlineStr">
        <is>
          <t>64400000</t>
        </is>
      </c>
      <c r="C5955" s="227" t="inlineStr">
        <is>
          <t>Rémunération de gérance</t>
        </is>
      </c>
      <c r="D5955" s="233" t="inlineStr">
        <is>
          <t>51</t>
        </is>
      </c>
      <c r="E5955" s="233" t="inlineStr">
        <is>
          <t>46</t>
        </is>
      </c>
      <c r="F5955" s="237" t="inlineStr">
        <is>
          <t>DIVES</t>
        </is>
      </c>
    </row>
    <row r="5956">
      <c r="A5956" s="227">
        <f>TL[[#This Row],[Société]]&amp;" - "&amp;TL[[#This Row],[Compte]]</f>
        <v/>
      </c>
      <c r="B5956" s="233" t="inlineStr">
        <is>
          <t>64504100</t>
        </is>
      </c>
      <c r="C5956" s="227" t="inlineStr">
        <is>
          <t>Mutuelle equipiers</t>
        </is>
      </c>
      <c r="D5956" s="233" t="inlineStr">
        <is>
          <t>10</t>
        </is>
      </c>
      <c r="E5956" s="233" t="inlineStr">
        <is>
          <t>9</t>
        </is>
      </c>
      <c r="F5956" s="237" t="inlineStr">
        <is>
          <t>DIVES</t>
        </is>
      </c>
    </row>
    <row r="5957">
      <c r="A5957" s="227">
        <f>TL[[#This Row],[Société]]&amp;" - "&amp;TL[[#This Row],[Compte]]</f>
        <v/>
      </c>
      <c r="B5957" s="233" t="inlineStr">
        <is>
          <t>64504400</t>
        </is>
      </c>
      <c r="C5957" s="227" t="inlineStr">
        <is>
          <t>Mutuelle managers</t>
        </is>
      </c>
      <c r="D5957" s="233" t="inlineStr">
        <is>
          <t>12</t>
        </is>
      </c>
      <c r="E5957" s="233" t="inlineStr">
        <is>
          <t>11</t>
        </is>
      </c>
      <c r="F5957" s="237" t="inlineStr">
        <is>
          <t>DIVES</t>
        </is>
      </c>
    </row>
    <row r="5958">
      <c r="A5958" s="227">
        <f>TL[[#This Row],[Société]]&amp;" - "&amp;TL[[#This Row],[Compte]]</f>
        <v/>
      </c>
      <c r="B5958" s="233" t="inlineStr">
        <is>
          <t>64510100</t>
        </is>
      </c>
      <c r="C5958" s="227" t="inlineStr">
        <is>
          <t>Urssaf equipier</t>
        </is>
      </c>
      <c r="D5958" s="233" t="inlineStr">
        <is>
          <t>10</t>
        </is>
      </c>
      <c r="E5958" s="233" t="inlineStr">
        <is>
          <t>9</t>
        </is>
      </c>
      <c r="F5958" s="237" t="inlineStr">
        <is>
          <t>DIVES</t>
        </is>
      </c>
    </row>
    <row r="5959">
      <c r="A5959" s="227">
        <f>TL[[#This Row],[Société]]&amp;" - "&amp;TL[[#This Row],[Compte]]</f>
        <v/>
      </c>
      <c r="B5959" s="233" t="inlineStr">
        <is>
          <t>64510400</t>
        </is>
      </c>
      <c r="C5959" s="227" t="inlineStr">
        <is>
          <t>Urssaf managers</t>
        </is>
      </c>
      <c r="D5959" s="233" t="inlineStr">
        <is>
          <t>12</t>
        </is>
      </c>
      <c r="E5959" s="233" t="inlineStr">
        <is>
          <t>11</t>
        </is>
      </c>
      <c r="F5959" s="237" t="inlineStr">
        <is>
          <t>DIVES</t>
        </is>
      </c>
    </row>
    <row r="5960">
      <c r="A5960" s="227">
        <f>TL[[#This Row],[Société]]&amp;" - "&amp;TL[[#This Row],[Compte]]</f>
        <v/>
      </c>
      <c r="B5960" s="233" t="inlineStr">
        <is>
          <t>64520100</t>
        </is>
      </c>
      <c r="C5960" s="227" t="inlineStr">
        <is>
          <t>Mutuelle équipiers</t>
        </is>
      </c>
      <c r="D5960" s="233" t="inlineStr">
        <is>
          <t>10</t>
        </is>
      </c>
      <c r="E5960" s="233" t="inlineStr">
        <is>
          <t>9</t>
        </is>
      </c>
      <c r="F5960" s="237" t="inlineStr">
        <is>
          <t>DIVES</t>
        </is>
      </c>
    </row>
    <row r="5961">
      <c r="A5961" s="227">
        <f>TL[[#This Row],[Société]]&amp;" - "&amp;TL[[#This Row],[Compte]]</f>
        <v/>
      </c>
      <c r="B5961" s="233" t="inlineStr">
        <is>
          <t>64520400</t>
        </is>
      </c>
      <c r="C5961" s="227" t="inlineStr">
        <is>
          <t>Mutuelle managers</t>
        </is>
      </c>
      <c r="D5961" s="233" t="inlineStr">
        <is>
          <t>12</t>
        </is>
      </c>
      <c r="E5961" s="233" t="inlineStr">
        <is>
          <t>11</t>
        </is>
      </c>
      <c r="F5961" s="237" t="inlineStr">
        <is>
          <t>DIVES</t>
        </is>
      </c>
    </row>
    <row r="5962">
      <c r="A5962" s="227">
        <f>TL[[#This Row],[Société]]&amp;" - "&amp;TL[[#This Row],[Compte]]</f>
        <v/>
      </c>
      <c r="B5962" s="233" t="inlineStr">
        <is>
          <t>64530100</t>
        </is>
      </c>
      <c r="C5962" s="227" t="inlineStr">
        <is>
          <t>Retraite &amp; prévoyance équipiers</t>
        </is>
      </c>
      <c r="D5962" s="233" t="inlineStr">
        <is>
          <t>10</t>
        </is>
      </c>
      <c r="E5962" s="233" t="inlineStr">
        <is>
          <t>9</t>
        </is>
      </c>
      <c r="F5962" s="237" t="inlineStr">
        <is>
          <t>DIVES</t>
        </is>
      </c>
    </row>
    <row r="5963">
      <c r="A5963" s="227">
        <f>TL[[#This Row],[Société]]&amp;" - "&amp;TL[[#This Row],[Compte]]</f>
        <v/>
      </c>
      <c r="B5963" s="233" t="inlineStr">
        <is>
          <t>64530400</t>
        </is>
      </c>
      <c r="C5963" s="227" t="inlineStr">
        <is>
          <t>Retraite &amp; prévoyance mgr</t>
        </is>
      </c>
      <c r="D5963" s="233" t="inlineStr">
        <is>
          <t>12</t>
        </is>
      </c>
      <c r="E5963" s="233" t="inlineStr">
        <is>
          <t>11</t>
        </is>
      </c>
      <c r="F5963" s="237" t="inlineStr">
        <is>
          <t>DIVES</t>
        </is>
      </c>
    </row>
    <row r="5964">
      <c r="A5964" s="227">
        <f>TL[[#This Row],[Société]]&amp;" - "&amp;TL[[#This Row],[Compte]]</f>
        <v/>
      </c>
      <c r="B5964" s="233" t="inlineStr">
        <is>
          <t>64530500</t>
        </is>
      </c>
      <c r="C5964" s="227" t="inlineStr">
        <is>
          <t>cotisations agirc</t>
        </is>
      </c>
      <c r="D5964" s="233" t="inlineStr">
        <is>
          <t>12</t>
        </is>
      </c>
      <c r="E5964" s="233" t="inlineStr">
        <is>
          <t>11</t>
        </is>
      </c>
      <c r="F5964" s="237" t="inlineStr">
        <is>
          <t>DIVES</t>
        </is>
      </c>
    </row>
    <row r="5965">
      <c r="A5965" s="227">
        <f>TL[[#This Row],[Société]]&amp;" - "&amp;TL[[#This Row],[Compte]]</f>
        <v/>
      </c>
      <c r="B5965" s="233" t="inlineStr">
        <is>
          <t>64540100</t>
        </is>
      </c>
      <c r="C5965" s="227" t="inlineStr">
        <is>
          <t>Pole emploi  équipiers</t>
        </is>
      </c>
      <c r="D5965" s="233" t="inlineStr">
        <is>
          <t>10</t>
        </is>
      </c>
      <c r="E5965" s="233" t="inlineStr">
        <is>
          <t>9</t>
        </is>
      </c>
      <c r="F5965" s="237" t="inlineStr">
        <is>
          <t>DIVES</t>
        </is>
      </c>
    </row>
    <row r="5966">
      <c r="A5966" s="227">
        <f>TL[[#This Row],[Société]]&amp;" - "&amp;TL[[#This Row],[Compte]]</f>
        <v/>
      </c>
      <c r="B5966" s="233" t="inlineStr">
        <is>
          <t>64540400</t>
        </is>
      </c>
      <c r="C5966" s="227" t="inlineStr">
        <is>
          <t>Pole emploi manager</t>
        </is>
      </c>
      <c r="D5966" s="233" t="inlineStr">
        <is>
          <t>12</t>
        </is>
      </c>
      <c r="E5966" s="233" t="inlineStr">
        <is>
          <t>11</t>
        </is>
      </c>
      <c r="F5966" s="237" t="inlineStr">
        <is>
          <t>DIVES</t>
        </is>
      </c>
    </row>
    <row r="5967">
      <c r="A5967" s="227">
        <f>TL[[#This Row],[Société]]&amp;" - "&amp;TL[[#This Row],[Compte]]</f>
        <v/>
      </c>
      <c r="B5967" s="233" t="inlineStr">
        <is>
          <t>64550400</t>
        </is>
      </c>
      <c r="C5967" s="227" t="inlineStr">
        <is>
          <t>La Mondiale Art. 83</t>
        </is>
      </c>
      <c r="D5967" s="233" t="inlineStr">
        <is>
          <t>12</t>
        </is>
      </c>
      <c r="E5967" s="233" t="inlineStr">
        <is>
          <t>11</t>
        </is>
      </c>
      <c r="F5967" s="237" t="inlineStr">
        <is>
          <t>DIVES</t>
        </is>
      </c>
    </row>
    <row r="5968">
      <c r="A5968" s="227">
        <f>TL[[#This Row],[Société]]&amp;" - "&amp;TL[[#This Row],[Compte]]</f>
        <v/>
      </c>
      <c r="B5968" s="233" t="inlineStr">
        <is>
          <t>64580000</t>
        </is>
      </c>
      <c r="C5968" s="227" t="inlineStr">
        <is>
          <t>Ch soc sur cp équipiers</t>
        </is>
      </c>
      <c r="D5968" s="233" t="inlineStr">
        <is>
          <t>10</t>
        </is>
      </c>
      <c r="E5968" s="233" t="inlineStr">
        <is>
          <t>9</t>
        </is>
      </c>
      <c r="F5968" s="237" t="inlineStr">
        <is>
          <t>DIVES</t>
        </is>
      </c>
    </row>
    <row r="5969">
      <c r="A5969" s="227">
        <f>TL[[#This Row],[Société]]&amp;" - "&amp;TL[[#This Row],[Compte]]</f>
        <v/>
      </c>
      <c r="B5969" s="233" t="inlineStr">
        <is>
          <t>64581000</t>
        </is>
      </c>
      <c r="C5969" s="227" t="inlineStr">
        <is>
          <t>Ch soc sur cp mgr</t>
        </is>
      </c>
      <c r="D5969" s="233" t="inlineStr">
        <is>
          <t>12</t>
        </is>
      </c>
      <c r="E5969" s="233" t="inlineStr">
        <is>
          <t>11</t>
        </is>
      </c>
      <c r="F5969" s="237" t="inlineStr">
        <is>
          <t>DIVES</t>
        </is>
      </c>
    </row>
    <row r="5970">
      <c r="A5970" s="227">
        <f>TL[[#This Row],[Société]]&amp;" - "&amp;TL[[#This Row],[Compte]]</f>
        <v/>
      </c>
      <c r="B5970" s="233" t="inlineStr">
        <is>
          <t>64582000</t>
        </is>
      </c>
      <c r="C5970" s="227" t="inlineStr">
        <is>
          <t>Charges sociales n</t>
        </is>
      </c>
      <c r="D5970" s="233" t="inlineStr">
        <is>
          <t>10</t>
        </is>
      </c>
      <c r="E5970" s="233" t="inlineStr">
        <is>
          <t>9</t>
        </is>
      </c>
      <c r="F5970" s="237" t="inlineStr">
        <is>
          <t>DIVES</t>
        </is>
      </c>
    </row>
    <row r="5971">
      <c r="A5971" s="227">
        <f>TL[[#This Row],[Société]]&amp;" - "&amp;TL[[#This Row],[Compte]]</f>
        <v/>
      </c>
      <c r="B5971" s="233" t="inlineStr">
        <is>
          <t>64582100</t>
        </is>
      </c>
      <c r="C5971" s="227" t="inlineStr">
        <is>
          <t>Charges sur primes équipiers</t>
        </is>
      </c>
      <c r="F5971" s="237" t="inlineStr">
        <is>
          <t>DIVES</t>
        </is>
      </c>
    </row>
    <row r="5972">
      <c r="A5972" s="227">
        <f>TL[[#This Row],[Société]]&amp;" - "&amp;TL[[#This Row],[Compte]]</f>
        <v/>
      </c>
      <c r="B5972" s="233" t="inlineStr">
        <is>
          <t>64582400</t>
        </is>
      </c>
      <c r="C5972" s="227" t="inlineStr">
        <is>
          <t>Charges sur primes managers</t>
        </is>
      </c>
      <c r="F5972" s="237" t="inlineStr">
        <is>
          <t>DIVES</t>
        </is>
      </c>
    </row>
    <row r="5973">
      <c r="A5973" s="227">
        <f>TL[[#This Row],[Société]]&amp;" - "&amp;TL[[#This Row],[Compte]]</f>
        <v/>
      </c>
      <c r="B5973" s="233" t="inlineStr">
        <is>
          <t>64583000</t>
        </is>
      </c>
      <c r="C5973" s="227" t="inlineStr">
        <is>
          <t>Charges sociales s/gratif</t>
        </is>
      </c>
      <c r="D5973" s="233" t="inlineStr">
        <is>
          <t>12</t>
        </is>
      </c>
      <c r="E5973" s="233" t="inlineStr">
        <is>
          <t>11</t>
        </is>
      </c>
      <c r="F5973" s="237" t="inlineStr">
        <is>
          <t>DIVES</t>
        </is>
      </c>
    </row>
    <row r="5974">
      <c r="A5974" s="227">
        <f>TL[[#This Row],[Société]]&amp;" - "&amp;TL[[#This Row],[Compte]]</f>
        <v/>
      </c>
      <c r="B5974" s="233" t="inlineStr">
        <is>
          <t>64610000</t>
        </is>
      </c>
      <c r="C5974" s="227" t="inlineStr">
        <is>
          <t>Charges sociales régis</t>
        </is>
      </c>
      <c r="D5974" s="233" t="inlineStr">
        <is>
          <t>99</t>
        </is>
      </c>
      <c r="E5974" s="233" t="inlineStr">
        <is>
          <t>12</t>
        </is>
      </c>
      <c r="F5974" s="237" t="inlineStr">
        <is>
          <t>DIVES</t>
        </is>
      </c>
    </row>
    <row r="5975">
      <c r="A5975" s="227">
        <f>TL[[#This Row],[Société]]&amp;" - "&amp;TL[[#This Row],[Compte]]</f>
        <v/>
      </c>
      <c r="B5975" s="233" t="inlineStr">
        <is>
          <t>64750000</t>
        </is>
      </c>
      <c r="C5975" s="227" t="inlineStr">
        <is>
          <t>Medecine du travail-pharm</t>
        </is>
      </c>
      <c r="D5975" s="233" t="inlineStr">
        <is>
          <t>16</t>
        </is>
      </c>
      <c r="E5975" s="233" t="inlineStr">
        <is>
          <t>19</t>
        </is>
      </c>
      <c r="F5975" s="237" t="inlineStr">
        <is>
          <t>DIVES</t>
        </is>
      </c>
    </row>
    <row r="5976">
      <c r="A5976" s="227">
        <f>TL[[#This Row],[Société]]&amp;" - "&amp;TL[[#This Row],[Compte]]</f>
        <v/>
      </c>
      <c r="B5976" s="233" t="inlineStr">
        <is>
          <t>64910000</t>
        </is>
      </c>
      <c r="C5976" s="227" t="inlineStr">
        <is>
          <t>Cice</t>
        </is>
      </c>
      <c r="F5976" s="237" t="inlineStr">
        <is>
          <t>DIVES</t>
        </is>
      </c>
    </row>
    <row r="5977">
      <c r="A5977" s="227">
        <f>TL[[#This Row],[Société]]&amp;" - "&amp;TL[[#This Row],[Compte]]</f>
        <v/>
      </c>
      <c r="B5977" s="233" t="inlineStr">
        <is>
          <t>65100100</t>
        </is>
      </c>
      <c r="C5977" s="227" t="inlineStr">
        <is>
          <t>Redevance service 5%</t>
        </is>
      </c>
      <c r="D5977" s="233" t="inlineStr">
        <is>
          <t>31</t>
        </is>
      </c>
      <c r="E5977" s="233" t="inlineStr">
        <is>
          <t>34</t>
        </is>
      </c>
      <c r="F5977" s="237" t="inlineStr">
        <is>
          <t>DIVES</t>
        </is>
      </c>
    </row>
    <row r="5978">
      <c r="A5978" s="227">
        <f>TL[[#This Row],[Société]]&amp;" - "&amp;TL[[#This Row],[Compte]]</f>
        <v/>
      </c>
      <c r="B5978" s="233" t="inlineStr">
        <is>
          <t>65100300</t>
        </is>
      </c>
      <c r="C5978" s="227" t="inlineStr">
        <is>
          <t>Redevance sacem</t>
        </is>
      </c>
      <c r="D5978" s="233" t="inlineStr">
        <is>
          <t>16</t>
        </is>
      </c>
      <c r="E5978" s="233" t="inlineStr">
        <is>
          <t>19</t>
        </is>
      </c>
      <c r="F5978" s="237" t="inlineStr">
        <is>
          <t>DIVES</t>
        </is>
      </c>
    </row>
    <row r="5979">
      <c r="A5979" s="227">
        <f>TL[[#This Row],[Société]]&amp;" - "&amp;TL[[#This Row],[Compte]]</f>
        <v/>
      </c>
      <c r="B5979" s="233" t="inlineStr">
        <is>
          <t>65111000</t>
        </is>
      </c>
      <c r="C5979" s="227" t="inlineStr">
        <is>
          <t>52.06/mc donald's/redev serv 06.14</t>
        </is>
      </c>
      <c r="F5979" s="237" t="inlineStr">
        <is>
          <t>DIVES</t>
        </is>
      </c>
    </row>
    <row r="5980">
      <c r="A5980" s="227">
        <f>TL[[#This Row],[Société]]&amp;" - "&amp;TL[[#This Row],[Compte]]</f>
        <v/>
      </c>
      <c r="B5980" s="233" t="inlineStr">
        <is>
          <t>65120000</t>
        </is>
      </c>
      <c r="C5980" s="227" t="inlineStr">
        <is>
          <t>Avoir HM 13 %</t>
        </is>
      </c>
      <c r="D5980" s="233" t="inlineStr">
        <is>
          <t>30</t>
        </is>
      </c>
      <c r="E5980" s="233" t="inlineStr">
        <is>
          <t>31</t>
        </is>
      </c>
      <c r="F5980" s="237" t="inlineStr">
        <is>
          <t>DIVES</t>
        </is>
      </c>
    </row>
    <row r="5981">
      <c r="A5981" s="227">
        <f>TL[[#This Row],[Société]]&amp;" - "&amp;TL[[#This Row],[Compte]]</f>
        <v/>
      </c>
      <c r="B5981" s="233" t="inlineStr">
        <is>
          <t>65121000</t>
        </is>
      </c>
      <c r="C5981" s="227" t="inlineStr">
        <is>
          <t>Avoir HM 5%</t>
        </is>
      </c>
      <c r="D5981" s="233" t="inlineStr">
        <is>
          <t>31</t>
        </is>
      </c>
      <c r="E5981" s="233" t="inlineStr">
        <is>
          <t>31</t>
        </is>
      </c>
      <c r="F5981" s="237" t="inlineStr">
        <is>
          <t>DIVES</t>
        </is>
      </c>
    </row>
    <row r="5982">
      <c r="A5982" s="227">
        <f>TL[[#This Row],[Société]]&amp;" - "&amp;TL[[#This Row],[Compte]]</f>
        <v/>
      </c>
      <c r="B5982" s="233" t="inlineStr">
        <is>
          <t>65500000</t>
        </is>
      </c>
      <c r="C5982" s="227" t="inlineStr">
        <is>
          <t>Quote-part/oper.en commun</t>
        </is>
      </c>
      <c r="D5982" s="233" t="inlineStr">
        <is>
          <t>99</t>
        </is>
      </c>
      <c r="E5982" s="233" t="inlineStr">
        <is>
          <t>40</t>
        </is>
      </c>
      <c r="F5982" s="237" t="inlineStr">
        <is>
          <t>DIVES</t>
        </is>
      </c>
    </row>
    <row r="5983">
      <c r="A5983" s="227">
        <f>TL[[#This Row],[Société]]&amp;" - "&amp;TL[[#This Row],[Compte]]</f>
        <v/>
      </c>
      <c r="B5983" s="233" t="inlineStr">
        <is>
          <t>65800000</t>
        </is>
      </c>
      <c r="C5983" s="227" t="inlineStr">
        <is>
          <t>Charges div.gest.courante</t>
        </is>
      </c>
      <c r="D5983" s="233" t="inlineStr">
        <is>
          <t>39</t>
        </is>
      </c>
      <c r="E5983" s="233" t="inlineStr">
        <is>
          <t>40</t>
        </is>
      </c>
      <c r="F5983" s="237" t="inlineStr">
        <is>
          <t>DIVES</t>
        </is>
      </c>
    </row>
    <row r="5984">
      <c r="A5984" s="227">
        <f>TL[[#This Row],[Société]]&amp;" - "&amp;TL[[#This Row],[Compte]]</f>
        <v/>
      </c>
      <c r="B5984" s="233" t="inlineStr">
        <is>
          <t>66110000</t>
        </is>
      </c>
      <c r="C5984" s="227" t="inlineStr">
        <is>
          <t>Intérêts des emprunts</t>
        </is>
      </c>
      <c r="D5984" s="233" t="inlineStr">
        <is>
          <t>37</t>
        </is>
      </c>
      <c r="E5984" s="233" t="inlineStr">
        <is>
          <t>42</t>
        </is>
      </c>
      <c r="F5984" s="237" t="inlineStr">
        <is>
          <t>DIVES</t>
        </is>
      </c>
    </row>
    <row r="5985">
      <c r="A5985" s="227">
        <f>TL[[#This Row],[Société]]&amp;" - "&amp;TL[[#This Row],[Compte]]</f>
        <v/>
      </c>
      <c r="B5985" s="233" t="inlineStr">
        <is>
          <t>66160000</t>
        </is>
      </c>
      <c r="C5985" s="227" t="inlineStr">
        <is>
          <t>Intérêts débiteurs</t>
        </is>
      </c>
      <c r="D5985" s="233" t="inlineStr">
        <is>
          <t>37</t>
        </is>
      </c>
      <c r="E5985" s="233" t="inlineStr">
        <is>
          <t>17</t>
        </is>
      </c>
      <c r="F5985" s="237" t="inlineStr">
        <is>
          <t>DIVES</t>
        </is>
      </c>
    </row>
    <row r="5986">
      <c r="A5986" s="227">
        <f>TL[[#This Row],[Société]]&amp;" - "&amp;TL[[#This Row],[Compte]]</f>
        <v/>
      </c>
      <c r="B5986" s="233" t="inlineStr">
        <is>
          <t>66161000</t>
        </is>
      </c>
      <c r="C5986" s="227" t="inlineStr">
        <is>
          <t>Intérêts débiteurs</t>
        </is>
      </c>
      <c r="D5986" s="233" t="inlineStr">
        <is>
          <t>37</t>
        </is>
      </c>
      <c r="E5986" s="233" t="inlineStr">
        <is>
          <t>42</t>
        </is>
      </c>
      <c r="F5986" s="237" t="inlineStr">
        <is>
          <t>DIVES</t>
        </is>
      </c>
    </row>
    <row r="5987">
      <c r="A5987" s="227">
        <f>TL[[#This Row],[Société]]&amp;" - "&amp;TL[[#This Row],[Compte]]</f>
        <v/>
      </c>
      <c r="B5987" s="233" t="inlineStr">
        <is>
          <t>66600000</t>
        </is>
      </c>
      <c r="C5987" s="227" t="inlineStr">
        <is>
          <t>Pertes de change</t>
        </is>
      </c>
      <c r="D5987" s="233" t="inlineStr">
        <is>
          <t>37</t>
        </is>
      </c>
      <c r="E5987" s="233" t="inlineStr">
        <is>
          <t>42</t>
        </is>
      </c>
      <c r="F5987" s="237" t="inlineStr">
        <is>
          <t>DIVES</t>
        </is>
      </c>
    </row>
    <row r="5988">
      <c r="A5988" s="227">
        <f>TL[[#This Row],[Société]]&amp;" - "&amp;TL[[#This Row],[Compte]]</f>
        <v/>
      </c>
      <c r="B5988" s="233" t="inlineStr">
        <is>
          <t>66880000</t>
        </is>
      </c>
      <c r="C5988" s="227" t="inlineStr">
        <is>
          <t>Ecarts de convers°</t>
        </is>
      </c>
      <c r="D5988" s="233" t="inlineStr">
        <is>
          <t>37</t>
        </is>
      </c>
      <c r="E5988" s="233" t="inlineStr">
        <is>
          <t>17</t>
        </is>
      </c>
      <c r="F5988" s="237" t="inlineStr">
        <is>
          <t>DIVES</t>
        </is>
      </c>
    </row>
    <row r="5989">
      <c r="A5989" s="227">
        <f>TL[[#This Row],[Société]]&amp;" - "&amp;TL[[#This Row],[Compte]]</f>
        <v/>
      </c>
      <c r="B5989" s="233" t="inlineStr">
        <is>
          <t>67110000</t>
        </is>
      </c>
      <c r="C5989" s="227" t="inlineStr">
        <is>
          <t>Ecarts caisse</t>
        </is>
      </c>
      <c r="D5989" s="233" t="inlineStr">
        <is>
          <t>22</t>
        </is>
      </c>
      <c r="E5989" s="233" t="inlineStr">
        <is>
          <t>27</t>
        </is>
      </c>
      <c r="F5989" s="237" t="inlineStr">
        <is>
          <t>DIVES</t>
        </is>
      </c>
    </row>
    <row r="5990">
      <c r="A5990" s="227">
        <f>TL[[#This Row],[Société]]&amp;" - "&amp;TL[[#This Row],[Compte]]</f>
        <v/>
      </c>
      <c r="B5990" s="233" t="inlineStr">
        <is>
          <t>67120000</t>
        </is>
      </c>
      <c r="C5990" s="227" t="inlineStr">
        <is>
          <t>Pénalités et amendes</t>
        </is>
      </c>
      <c r="D5990" s="233" t="inlineStr">
        <is>
          <t>39</t>
        </is>
      </c>
      <c r="E5990" s="233" t="inlineStr">
        <is>
          <t>45</t>
        </is>
      </c>
      <c r="F5990" s="237" t="inlineStr">
        <is>
          <t>DIVES</t>
        </is>
      </c>
    </row>
    <row r="5991">
      <c r="A5991" s="227">
        <f>TL[[#This Row],[Société]]&amp;" - "&amp;TL[[#This Row],[Compte]]</f>
        <v/>
      </c>
      <c r="B5991" s="233" t="inlineStr">
        <is>
          <t>67130000</t>
        </is>
      </c>
      <c r="C5991" s="227" t="inlineStr">
        <is>
          <t>Dons</t>
        </is>
      </c>
      <c r="D5991" s="233" t="inlineStr">
        <is>
          <t>39</t>
        </is>
      </c>
      <c r="E5991" s="233" t="inlineStr">
        <is>
          <t>45</t>
        </is>
      </c>
      <c r="F5991" s="237" t="inlineStr">
        <is>
          <t>DIVES</t>
        </is>
      </c>
    </row>
    <row r="5992">
      <c r="A5992" s="227">
        <f>TL[[#This Row],[Société]]&amp;" - "&amp;TL[[#This Row],[Compte]]</f>
        <v/>
      </c>
      <c r="B5992" s="233" t="inlineStr">
        <is>
          <t>67180000</t>
        </is>
      </c>
      <c r="C5992" s="227" t="inlineStr">
        <is>
          <t>Charges exceptionnelles gestion</t>
        </is>
      </c>
      <c r="D5992" s="233" t="inlineStr">
        <is>
          <t>39</t>
        </is>
      </c>
      <c r="E5992" s="233" t="inlineStr">
        <is>
          <t>45</t>
        </is>
      </c>
      <c r="F5992" s="237" t="inlineStr">
        <is>
          <t>DIVES</t>
        </is>
      </c>
    </row>
    <row r="5993">
      <c r="A5993" s="227">
        <f>TL[[#This Row],[Société]]&amp;" - "&amp;TL[[#This Row],[Compte]]</f>
        <v/>
      </c>
      <c r="B5993" s="233" t="inlineStr">
        <is>
          <t>67200000</t>
        </is>
      </c>
      <c r="C5993" s="227" t="inlineStr">
        <is>
          <t>Charges exploit./exer.ant</t>
        </is>
      </c>
      <c r="D5993" s="233" t="inlineStr">
        <is>
          <t>99</t>
        </is>
      </c>
      <c r="E5993" s="233" t="inlineStr">
        <is>
          <t>45</t>
        </is>
      </c>
      <c r="F5993" s="237" t="inlineStr">
        <is>
          <t>DIVES</t>
        </is>
      </c>
    </row>
    <row r="5994">
      <c r="A5994" s="227">
        <f>TL[[#This Row],[Société]]&amp;" - "&amp;TL[[#This Row],[Compte]]</f>
        <v/>
      </c>
      <c r="B5994" s="233" t="inlineStr">
        <is>
          <t>67510000</t>
        </is>
      </c>
      <c r="C5994" s="227" t="inlineStr">
        <is>
          <t>Vnc élé actif cédés - incorpor</t>
        </is>
      </c>
      <c r="D5994" s="233" t="inlineStr">
        <is>
          <t>35</t>
        </is>
      </c>
      <c r="E5994" s="233" t="inlineStr">
        <is>
          <t>45</t>
        </is>
      </c>
      <c r="F5994" s="237" t="inlineStr">
        <is>
          <t>DIVES</t>
        </is>
      </c>
    </row>
    <row r="5995">
      <c r="A5995" s="227">
        <f>TL[[#This Row],[Société]]&amp;" - "&amp;TL[[#This Row],[Compte]]</f>
        <v/>
      </c>
      <c r="B5995" s="233" t="inlineStr">
        <is>
          <t>67520000</t>
        </is>
      </c>
      <c r="C5995" s="227" t="inlineStr">
        <is>
          <t>Vnc élé actif cédés corporelles</t>
        </is>
      </c>
      <c r="D5995" s="233" t="inlineStr">
        <is>
          <t>35</t>
        </is>
      </c>
      <c r="E5995" s="233" t="inlineStr">
        <is>
          <t>45</t>
        </is>
      </c>
      <c r="F5995" s="237" t="inlineStr">
        <is>
          <t>DIVES</t>
        </is>
      </c>
    </row>
    <row r="5996">
      <c r="A5996" s="227">
        <f>TL[[#This Row],[Société]]&amp;" - "&amp;TL[[#This Row],[Compte]]</f>
        <v/>
      </c>
      <c r="B5996" s="233" t="inlineStr">
        <is>
          <t>68111000</t>
        </is>
      </c>
      <c r="C5996" s="227" t="inlineStr">
        <is>
          <t>Dot amort immo incorporelles</t>
        </is>
      </c>
      <c r="D5996" s="233" t="inlineStr">
        <is>
          <t>36</t>
        </is>
      </c>
      <c r="E5996" s="233" t="inlineStr">
        <is>
          <t>38</t>
        </is>
      </c>
      <c r="F5996" s="237" t="inlineStr">
        <is>
          <t>DIVES</t>
        </is>
      </c>
    </row>
    <row r="5997">
      <c r="A5997" s="227">
        <f>TL[[#This Row],[Société]]&amp;" - "&amp;TL[[#This Row],[Compte]]</f>
        <v/>
      </c>
      <c r="B5997" s="233" t="inlineStr">
        <is>
          <t>68112000</t>
        </is>
      </c>
      <c r="C5997" s="227" t="inlineStr">
        <is>
          <t>Dot amort immo corporelles</t>
        </is>
      </c>
      <c r="D5997" s="233" t="inlineStr">
        <is>
          <t>36</t>
        </is>
      </c>
      <c r="E5997" s="233" t="inlineStr">
        <is>
          <t>38</t>
        </is>
      </c>
      <c r="F5997" s="237" t="inlineStr">
        <is>
          <t>DIVES</t>
        </is>
      </c>
    </row>
    <row r="5998">
      <c r="A5998" s="227">
        <f>TL[[#This Row],[Société]]&amp;" - "&amp;TL[[#This Row],[Compte]]</f>
        <v/>
      </c>
      <c r="B5998" s="233" t="inlineStr">
        <is>
          <t>68150000</t>
        </is>
      </c>
      <c r="C5998" s="227" t="inlineStr">
        <is>
          <t>Dot.prov.risq.&amp; chrg.expl</t>
        </is>
      </c>
      <c r="D5998" s="233" t="inlineStr">
        <is>
          <t>36</t>
        </is>
      </c>
      <c r="E5998" s="233" t="inlineStr">
        <is>
          <t>38</t>
        </is>
      </c>
      <c r="F5998" s="237" t="inlineStr">
        <is>
          <t>DIVES</t>
        </is>
      </c>
    </row>
    <row r="5999">
      <c r="A5999" s="227">
        <f>TL[[#This Row],[Société]]&amp;" - "&amp;TL[[#This Row],[Compte]]</f>
        <v/>
      </c>
      <c r="B5999" s="233" t="inlineStr">
        <is>
          <t>68152000</t>
        </is>
      </c>
      <c r="C5999" s="227" t="inlineStr">
        <is>
          <t>Ne pas utiliser</t>
        </is>
      </c>
      <c r="D5999" s="233" t="inlineStr">
        <is>
          <t>99</t>
        </is>
      </c>
      <c r="F5999" s="237" t="inlineStr">
        <is>
          <t>DIVES</t>
        </is>
      </c>
    </row>
    <row r="6000">
      <c r="A6000" s="227">
        <f>TL[[#This Row],[Société]]&amp;" - "&amp;TL[[#This Row],[Compte]]</f>
        <v/>
      </c>
      <c r="B6000" s="233" t="inlineStr">
        <is>
          <t>68153000</t>
        </is>
      </c>
      <c r="C6000" s="227" t="inlineStr">
        <is>
          <t>Ne pas utiliser</t>
        </is>
      </c>
      <c r="D6000" s="233" t="inlineStr">
        <is>
          <t>99</t>
        </is>
      </c>
      <c r="F6000" s="237" t="inlineStr">
        <is>
          <t>DIVES</t>
        </is>
      </c>
    </row>
    <row r="6001">
      <c r="A6001" s="227">
        <f>TL[[#This Row],[Société]]&amp;" - "&amp;TL[[#This Row],[Compte]]</f>
        <v/>
      </c>
      <c r="B6001" s="233" t="inlineStr">
        <is>
          <t>68711000</t>
        </is>
      </c>
      <c r="C6001" s="227" t="inlineStr">
        <is>
          <t>Dot. amort. exce s/immob incorpore.</t>
        </is>
      </c>
      <c r="D6001" s="233" t="inlineStr">
        <is>
          <t>36</t>
        </is>
      </c>
      <c r="E6001" s="233" t="inlineStr">
        <is>
          <t>38</t>
        </is>
      </c>
      <c r="F6001" s="237" t="inlineStr">
        <is>
          <t>DIVES</t>
        </is>
      </c>
    </row>
    <row r="6002">
      <c r="A6002" s="227">
        <f>TL[[#This Row],[Société]]&amp;" - "&amp;TL[[#This Row],[Compte]]</f>
        <v/>
      </c>
      <c r="B6002" s="233" t="inlineStr">
        <is>
          <t>68712000</t>
        </is>
      </c>
      <c r="C6002" s="227" t="inlineStr">
        <is>
          <t>Dot. amort. exce s/immob corporel.</t>
        </is>
      </c>
      <c r="D6002" s="233" t="inlineStr">
        <is>
          <t>36</t>
        </is>
      </c>
      <c r="E6002" s="233" t="inlineStr">
        <is>
          <t>38</t>
        </is>
      </c>
      <c r="F6002" s="237" t="inlineStr">
        <is>
          <t>DIVES</t>
        </is>
      </c>
    </row>
    <row r="6003">
      <c r="A6003" s="227">
        <f>TL[[#This Row],[Société]]&amp;" - "&amp;TL[[#This Row],[Compte]]</f>
        <v/>
      </c>
      <c r="B6003" s="233" t="inlineStr">
        <is>
          <t>68725000</t>
        </is>
      </c>
      <c r="C6003" s="227" t="inlineStr">
        <is>
          <t>Dot. amortissements dÉrogatoires</t>
        </is>
      </c>
      <c r="F6003" s="237" t="inlineStr">
        <is>
          <t>DIVES</t>
        </is>
      </c>
    </row>
    <row r="6004">
      <c r="A6004" s="227">
        <f>TL[[#This Row],[Société]]&amp;" - "&amp;TL[[#This Row],[Compte]]</f>
        <v/>
      </c>
      <c r="B6004" s="233" t="inlineStr">
        <is>
          <t>69510000</t>
        </is>
      </c>
      <c r="C6004" s="227" t="inlineStr">
        <is>
          <t>Impots sur les benefices</t>
        </is>
      </c>
      <c r="D6004" s="233" t="inlineStr">
        <is>
          <t>99</t>
        </is>
      </c>
      <c r="E6004" s="233" t="inlineStr">
        <is>
          <t>48</t>
        </is>
      </c>
      <c r="F6004" s="237" t="inlineStr">
        <is>
          <t>DIVES</t>
        </is>
      </c>
    </row>
    <row r="6005">
      <c r="A6005" s="227">
        <f>TL[[#This Row],[Société]]&amp;" - "&amp;TL[[#This Row],[Compte]]</f>
        <v/>
      </c>
      <c r="B6005" s="233" t="inlineStr">
        <is>
          <t>69511000</t>
        </is>
      </c>
      <c r="C6005" s="227" t="inlineStr">
        <is>
          <t>Crédit mécénat</t>
        </is>
      </c>
      <c r="D6005" s="233" t="inlineStr">
        <is>
          <t>56</t>
        </is>
      </c>
      <c r="E6005" s="233" t="inlineStr">
        <is>
          <t>48</t>
        </is>
      </c>
      <c r="F6005" s="237" t="inlineStr">
        <is>
          <t>DIVES</t>
        </is>
      </c>
    </row>
    <row r="6006">
      <c r="A6006" s="227">
        <f>TL[[#This Row],[Société]]&amp;" - "&amp;TL[[#This Row],[Compte]]</f>
        <v/>
      </c>
      <c r="B6006" s="233" t="inlineStr">
        <is>
          <t>69891000</t>
        </is>
      </c>
      <c r="C6006" s="227" t="inlineStr">
        <is>
          <t>Crédit mécénat GIE</t>
        </is>
      </c>
      <c r="F6006" s="237" t="inlineStr">
        <is>
          <t>DIVES</t>
        </is>
      </c>
    </row>
    <row r="6007">
      <c r="A6007" s="227">
        <f>TL[[#This Row],[Société]]&amp;" - "&amp;TL[[#This Row],[Compte]]</f>
        <v/>
      </c>
      <c r="B6007" s="233" t="inlineStr">
        <is>
          <t>69892000</t>
        </is>
      </c>
      <c r="C6007" s="227" t="inlineStr">
        <is>
          <t>Cice GIE</t>
        </is>
      </c>
      <c r="F6007" s="237" t="inlineStr">
        <is>
          <t>DIVES</t>
        </is>
      </c>
    </row>
    <row r="6008">
      <c r="A6008" s="227">
        <f>TL[[#This Row],[Société]]&amp;" - "&amp;TL[[#This Row],[Compte]]</f>
        <v/>
      </c>
      <c r="B6008" s="233" t="inlineStr">
        <is>
          <t>69899900</t>
        </is>
      </c>
      <c r="C6008" s="227" t="inlineStr">
        <is>
          <t>Bidon analytique ne pas utiliser</t>
        </is>
      </c>
      <c r="F6008" s="237" t="inlineStr">
        <is>
          <t>DIVES</t>
        </is>
      </c>
    </row>
    <row r="6009">
      <c r="A6009" s="227">
        <f>TL[[#This Row],[Société]]&amp;" - "&amp;TL[[#This Row],[Compte]]</f>
        <v/>
      </c>
      <c r="B6009" s="233" t="inlineStr">
        <is>
          <t>69910000</t>
        </is>
      </c>
      <c r="C6009" s="227" t="inlineStr">
        <is>
          <t>Crédit impot mécénat</t>
        </is>
      </c>
      <c r="D6009" s="233" t="inlineStr">
        <is>
          <t>99</t>
        </is>
      </c>
      <c r="E6009" s="233" t="inlineStr">
        <is>
          <t>48</t>
        </is>
      </c>
      <c r="F6009" s="237" t="inlineStr">
        <is>
          <t>DIVES</t>
        </is>
      </c>
    </row>
    <row r="6010">
      <c r="A6010" s="227">
        <f>TL[[#This Row],[Société]]&amp;" - "&amp;TL[[#This Row],[Compte]]</f>
        <v/>
      </c>
      <c r="B6010" s="233" t="inlineStr">
        <is>
          <t>70100100</t>
        </is>
      </c>
      <c r="C6010" s="227" t="inlineStr">
        <is>
          <t>Ventes de produits finis</t>
        </is>
      </c>
      <c r="D6010" s="233" t="inlineStr">
        <is>
          <t>1</t>
        </is>
      </c>
      <c r="E6010" s="233" t="inlineStr">
        <is>
          <t>2</t>
        </is>
      </c>
      <c r="F6010" s="237" t="inlineStr">
        <is>
          <t>DIVES</t>
        </is>
      </c>
    </row>
    <row r="6011">
      <c r="A6011" s="227">
        <f>TL[[#This Row],[Société]]&amp;" - "&amp;TL[[#This Row],[Compte]]</f>
        <v/>
      </c>
      <c r="B6011" s="233" t="inlineStr">
        <is>
          <t>70100200</t>
        </is>
      </c>
      <c r="C6011" s="227" t="inlineStr">
        <is>
          <t>Ventes à 5.5%</t>
        </is>
      </c>
      <c r="D6011" s="233" t="inlineStr">
        <is>
          <t>1</t>
        </is>
      </c>
      <c r="E6011" s="233" t="inlineStr">
        <is>
          <t>2</t>
        </is>
      </c>
      <c r="F6011" s="237" t="inlineStr">
        <is>
          <t>DIVES</t>
        </is>
      </c>
    </row>
    <row r="6012">
      <c r="A6012" s="227">
        <f>TL[[#This Row],[Société]]&amp;" - "&amp;TL[[#This Row],[Compte]]</f>
        <v/>
      </c>
      <c r="B6012" s="233" t="inlineStr">
        <is>
          <t>70100300</t>
        </is>
      </c>
      <c r="C6012" s="227" t="inlineStr">
        <is>
          <t>Ventes à 7%</t>
        </is>
      </c>
      <c r="D6012" s="233" t="inlineStr">
        <is>
          <t>1</t>
        </is>
      </c>
      <c r="E6012" s="233" t="inlineStr">
        <is>
          <t>1</t>
        </is>
      </c>
      <c r="F6012" s="237" t="inlineStr">
        <is>
          <t>DIVES</t>
        </is>
      </c>
    </row>
    <row r="6013">
      <c r="A6013" s="227">
        <f>TL[[#This Row],[Société]]&amp;" - "&amp;TL[[#This Row],[Compte]]</f>
        <v/>
      </c>
      <c r="B6013" s="233" t="inlineStr">
        <is>
          <t>70100400</t>
        </is>
      </c>
      <c r="C6013" s="227" t="inlineStr">
        <is>
          <t>Ventes à 19.6%</t>
        </is>
      </c>
      <c r="D6013" s="233" t="inlineStr">
        <is>
          <t>1</t>
        </is>
      </c>
      <c r="E6013" s="233" t="inlineStr">
        <is>
          <t>1</t>
        </is>
      </c>
      <c r="F6013" s="237" t="inlineStr">
        <is>
          <t>DIVES</t>
        </is>
      </c>
    </row>
    <row r="6014">
      <c r="A6014" s="227">
        <f>TL[[#This Row],[Société]]&amp;" - "&amp;TL[[#This Row],[Compte]]</f>
        <v/>
      </c>
      <c r="B6014" s="233" t="inlineStr">
        <is>
          <t>70100500</t>
        </is>
      </c>
      <c r="C6014" s="227" t="inlineStr">
        <is>
          <t>vente 11/07</t>
        </is>
      </c>
      <c r="F6014" s="237" t="inlineStr">
        <is>
          <t>DIVES</t>
        </is>
      </c>
    </row>
    <row r="6015">
      <c r="A6015" s="227">
        <f>TL[[#This Row],[Société]]&amp;" - "&amp;TL[[#This Row],[Compte]]</f>
        <v/>
      </c>
      <c r="B6015" s="233" t="inlineStr">
        <is>
          <t>70100600</t>
        </is>
      </c>
      <c r="C6015" s="227" t="inlineStr">
        <is>
          <t>vente 11/07</t>
        </is>
      </c>
      <c r="F6015" s="237" t="inlineStr">
        <is>
          <t>DIVES</t>
        </is>
      </c>
    </row>
    <row r="6016">
      <c r="A6016" s="227">
        <f>TL[[#This Row],[Société]]&amp;" - "&amp;TL[[#This Row],[Compte]]</f>
        <v/>
      </c>
      <c r="B6016" s="233" t="inlineStr">
        <is>
          <t>70101000</t>
        </is>
      </c>
      <c r="C6016" s="227" t="inlineStr">
        <is>
          <t>Ventes à 10 %</t>
        </is>
      </c>
      <c r="D6016" s="233" t="inlineStr">
        <is>
          <t>1</t>
        </is>
      </c>
      <c r="E6016" s="233" t="inlineStr">
        <is>
          <t>2</t>
        </is>
      </c>
      <c r="F6016" s="237" t="inlineStr">
        <is>
          <t>DIVES</t>
        </is>
      </c>
    </row>
    <row r="6017">
      <c r="A6017" s="227">
        <f>TL[[#This Row],[Société]]&amp;" - "&amp;TL[[#This Row],[Compte]]</f>
        <v/>
      </c>
      <c r="B6017" s="233" t="inlineStr">
        <is>
          <t>70102000</t>
        </is>
      </c>
      <c r="C6017" s="227" t="inlineStr">
        <is>
          <t>Ventes à 20 %</t>
        </is>
      </c>
      <c r="D6017" s="233" t="inlineStr">
        <is>
          <t>1</t>
        </is>
      </c>
      <c r="E6017" s="233" t="inlineStr">
        <is>
          <t>2</t>
        </is>
      </c>
      <c r="F6017" s="237" t="inlineStr">
        <is>
          <t>DIVES</t>
        </is>
      </c>
    </row>
    <row r="6018">
      <c r="A6018" s="227">
        <f>TL[[#This Row],[Société]]&amp;" - "&amp;TL[[#This Row],[Compte]]</f>
        <v/>
      </c>
      <c r="B6018" s="233" t="inlineStr">
        <is>
          <t>70230000</t>
        </is>
      </c>
      <c r="C6018" s="227" t="inlineStr">
        <is>
          <t>Ventes de produits interm</t>
        </is>
      </c>
      <c r="D6018" s="233" t="inlineStr">
        <is>
          <t>60</t>
        </is>
      </c>
      <c r="E6018" s="233" t="inlineStr">
        <is>
          <t>50</t>
        </is>
      </c>
      <c r="F6018" s="237" t="inlineStr">
        <is>
          <t>DIVES</t>
        </is>
      </c>
    </row>
    <row r="6019">
      <c r="A6019" s="227">
        <f>TL[[#This Row],[Société]]&amp;" - "&amp;TL[[#This Row],[Compte]]</f>
        <v/>
      </c>
      <c r="B6019" s="233" t="inlineStr">
        <is>
          <t>70630000</t>
        </is>
      </c>
      <c r="C6019" s="227" t="inlineStr">
        <is>
          <t>FA Bourg Achard  réfection trottoir</t>
        </is>
      </c>
      <c r="F6019" s="237" t="inlineStr">
        <is>
          <t>DIVES</t>
        </is>
      </c>
    </row>
    <row r="6020">
      <c r="A6020" s="227">
        <f>TL[[#This Row],[Société]]&amp;" - "&amp;TL[[#This Row],[Compte]]</f>
        <v/>
      </c>
      <c r="B6020" s="233" t="inlineStr">
        <is>
          <t>70800000</t>
        </is>
      </c>
      <c r="C6020" s="227" t="inlineStr">
        <is>
          <t>Remise Martin Brower</t>
        </is>
      </c>
      <c r="D6020" s="233" t="inlineStr">
        <is>
          <t>6</t>
        </is>
      </c>
      <c r="E6020" s="233" t="inlineStr">
        <is>
          <t>3</t>
        </is>
      </c>
      <c r="F6020" s="237" t="inlineStr">
        <is>
          <t>DIVES</t>
        </is>
      </c>
    </row>
    <row r="6021">
      <c r="A6021" s="227">
        <f>TL[[#This Row],[Société]]&amp;" - "&amp;TL[[#This Row],[Compte]]</f>
        <v/>
      </c>
      <c r="B6021" s="233" t="inlineStr">
        <is>
          <t>70810000</t>
        </is>
      </c>
      <c r="C6021" s="227" t="inlineStr">
        <is>
          <t>Pret personnel</t>
        </is>
      </c>
      <c r="D6021" s="233" t="inlineStr">
        <is>
          <t>11</t>
        </is>
      </c>
      <c r="E6021" s="233" t="inlineStr">
        <is>
          <t>13</t>
        </is>
      </c>
      <c r="F6021" s="237" t="inlineStr">
        <is>
          <t>DIVES</t>
        </is>
      </c>
    </row>
    <row r="6022">
      <c r="A6022" s="227">
        <f>TL[[#This Row],[Société]]&amp;" - "&amp;TL[[#This Row],[Compte]]</f>
        <v/>
      </c>
      <c r="B6022" s="233" t="inlineStr">
        <is>
          <t>70810100</t>
        </is>
      </c>
      <c r="C6022" s="227" t="inlineStr">
        <is>
          <t>Refacturation personnel (Équipiers)</t>
        </is>
      </c>
      <c r="D6022" s="233" t="inlineStr">
        <is>
          <t>10</t>
        </is>
      </c>
      <c r="E6022" s="233" t="inlineStr">
        <is>
          <t>8</t>
        </is>
      </c>
      <c r="F6022" s="237" t="inlineStr">
        <is>
          <t>DIVES</t>
        </is>
      </c>
    </row>
    <row r="6023">
      <c r="A6023" s="227">
        <f>TL[[#This Row],[Société]]&amp;" - "&amp;TL[[#This Row],[Compte]]</f>
        <v/>
      </c>
      <c r="B6023" s="233" t="inlineStr">
        <is>
          <t>70810400</t>
        </is>
      </c>
      <c r="C6023" s="227" t="inlineStr">
        <is>
          <t>Refacturation personnel (managers)</t>
        </is>
      </c>
      <c r="D6023" s="233" t="inlineStr">
        <is>
          <t>11</t>
        </is>
      </c>
      <c r="E6023" s="233" t="inlineStr">
        <is>
          <t>10</t>
        </is>
      </c>
      <c r="F6023" s="237" t="inlineStr">
        <is>
          <t>DIVES</t>
        </is>
      </c>
    </row>
    <row r="6024">
      <c r="A6024" s="227">
        <f>TL[[#This Row],[Société]]&amp;" - "&amp;TL[[#This Row],[Compte]]</f>
        <v/>
      </c>
      <c r="B6024" s="233" t="inlineStr">
        <is>
          <t>70820000</t>
        </is>
      </c>
      <c r="C6024" s="227" t="inlineStr">
        <is>
          <t>Refacturation nourriture</t>
        </is>
      </c>
      <c r="D6024" s="233" t="inlineStr">
        <is>
          <t>6</t>
        </is>
      </c>
      <c r="E6024" s="233" t="inlineStr">
        <is>
          <t>3</t>
        </is>
      </c>
      <c r="F6024" s="237" t="inlineStr">
        <is>
          <t>DIVES</t>
        </is>
      </c>
    </row>
    <row r="6025">
      <c r="A6025" s="227">
        <f>TL[[#This Row],[Société]]&amp;" - "&amp;TL[[#This Row],[Compte]]</f>
        <v/>
      </c>
      <c r="B6025" s="233" t="inlineStr">
        <is>
          <t>70830000</t>
        </is>
      </c>
      <c r="C6025" s="227" t="inlineStr">
        <is>
          <t>Refacturation papier</t>
        </is>
      </c>
      <c r="D6025" s="233" t="inlineStr">
        <is>
          <t>3</t>
        </is>
      </c>
      <c r="E6025" s="233" t="inlineStr">
        <is>
          <t>6</t>
        </is>
      </c>
      <c r="F6025" s="237" t="inlineStr">
        <is>
          <t>DIVES</t>
        </is>
      </c>
    </row>
    <row r="6026">
      <c r="A6026" s="227">
        <f>TL[[#This Row],[Société]]&amp;" - "&amp;TL[[#This Row],[Compte]]</f>
        <v/>
      </c>
      <c r="B6026" s="233" t="inlineStr">
        <is>
          <t>70840000</t>
        </is>
      </c>
      <c r="C6026" s="227" t="inlineStr">
        <is>
          <t>Refacturation fournitures exploit.</t>
        </is>
      </c>
      <c r="D6026" s="233" t="inlineStr">
        <is>
          <t>18</t>
        </is>
      </c>
      <c r="E6026" s="233" t="inlineStr">
        <is>
          <t>25</t>
        </is>
      </c>
      <c r="F6026" s="237" t="inlineStr">
        <is>
          <t>DIVES</t>
        </is>
      </c>
    </row>
    <row r="6027">
      <c r="A6027" s="227">
        <f>TL[[#This Row],[Société]]&amp;" - "&amp;TL[[#This Row],[Compte]]</f>
        <v/>
      </c>
      <c r="B6027" s="233" t="inlineStr">
        <is>
          <t>70850000</t>
        </is>
      </c>
      <c r="C6027" s="227" t="inlineStr">
        <is>
          <t>Refact happy meals</t>
        </is>
      </c>
      <c r="D6027" s="233" t="inlineStr">
        <is>
          <t>62</t>
        </is>
      </c>
      <c r="E6027" s="233" t="inlineStr">
        <is>
          <t>41</t>
        </is>
      </c>
      <c r="F6027" s="237" t="inlineStr">
        <is>
          <t>DIVES</t>
        </is>
      </c>
    </row>
    <row r="6028">
      <c r="A6028" s="227">
        <f>TL[[#This Row],[Société]]&amp;" - "&amp;TL[[#This Row],[Compte]]</f>
        <v/>
      </c>
      <c r="B6028" s="233" t="inlineStr">
        <is>
          <t>70860000</t>
        </is>
      </c>
      <c r="C6028" s="227" t="inlineStr">
        <is>
          <t>Refacturation pub gie</t>
        </is>
      </c>
      <c r="D6028" s="233" t="inlineStr">
        <is>
          <t>15</t>
        </is>
      </c>
      <c r="E6028" s="233" t="inlineStr">
        <is>
          <t>22</t>
        </is>
      </c>
      <c r="F6028" s="237" t="inlineStr">
        <is>
          <t>DIVES</t>
        </is>
      </c>
    </row>
    <row r="6029">
      <c r="A6029" s="227">
        <f>TL[[#This Row],[Société]]&amp;" - "&amp;TL[[#This Row],[Compte]]</f>
        <v/>
      </c>
      <c r="B6029" s="233" t="inlineStr">
        <is>
          <t>70880000</t>
        </is>
      </c>
      <c r="C6029" s="227" t="inlineStr">
        <is>
          <t>Refact huiles usagées</t>
        </is>
      </c>
      <c r="D6029" s="233" t="inlineStr">
        <is>
          <t>6</t>
        </is>
      </c>
      <c r="E6029" s="233" t="inlineStr">
        <is>
          <t>19</t>
        </is>
      </c>
      <c r="F6029" s="237" t="inlineStr">
        <is>
          <t>DIVES</t>
        </is>
      </c>
    </row>
    <row r="6030">
      <c r="A6030" s="227">
        <f>TL[[#This Row],[Société]]&amp;" - "&amp;TL[[#This Row],[Compte]]</f>
        <v/>
      </c>
      <c r="B6030" s="233" t="inlineStr">
        <is>
          <t>70881000</t>
        </is>
      </c>
      <c r="C6030" s="227" t="inlineStr">
        <is>
          <t>Refacturation formations managers</t>
        </is>
      </c>
      <c r="D6030" s="233" t="inlineStr">
        <is>
          <t>11</t>
        </is>
      </c>
      <c r="E6030" s="233" t="inlineStr">
        <is>
          <t>10</t>
        </is>
      </c>
      <c r="F6030" s="237" t="inlineStr">
        <is>
          <t>DIVES</t>
        </is>
      </c>
    </row>
    <row r="6031">
      <c r="A6031" s="227">
        <f>TL[[#This Row],[Société]]&amp;" - "&amp;TL[[#This Row],[Compte]]</f>
        <v/>
      </c>
      <c r="B6031" s="233" t="inlineStr">
        <is>
          <t>70881100</t>
        </is>
      </c>
      <c r="C6031" s="227" t="inlineStr">
        <is>
          <t>Refacturation formations équipiers</t>
        </is>
      </c>
      <c r="D6031" s="233" t="inlineStr">
        <is>
          <t>10</t>
        </is>
      </c>
      <c r="E6031" s="233" t="inlineStr">
        <is>
          <t>8</t>
        </is>
      </c>
      <c r="F6031" s="237" t="inlineStr">
        <is>
          <t>DIVES</t>
        </is>
      </c>
    </row>
    <row r="6032">
      <c r="A6032" s="227">
        <f>TL[[#This Row],[Société]]&amp;" - "&amp;TL[[#This Row],[Compte]]</f>
        <v/>
      </c>
      <c r="B6032" s="233" t="inlineStr">
        <is>
          <t>70881200</t>
        </is>
      </c>
      <c r="C6032" s="227" t="inlineStr">
        <is>
          <t>Refacturation cadeaux</t>
        </is>
      </c>
      <c r="D6032" s="233" t="inlineStr">
        <is>
          <t>15</t>
        </is>
      </c>
      <c r="E6032" s="233" t="inlineStr">
        <is>
          <t>23</t>
        </is>
      </c>
      <c r="F6032" s="237" t="inlineStr">
        <is>
          <t>DIVES</t>
        </is>
      </c>
    </row>
    <row r="6033">
      <c r="A6033" s="227">
        <f>TL[[#This Row],[Société]]&amp;" - "&amp;TL[[#This Row],[Compte]]</f>
        <v/>
      </c>
      <c r="B6033" s="233" t="inlineStr">
        <is>
          <t>72610000</t>
        </is>
      </c>
      <c r="C6033" s="227" t="inlineStr">
        <is>
          <t>AN nourriture équipiers</t>
        </is>
      </c>
      <c r="D6033" s="233" t="inlineStr">
        <is>
          <t>10</t>
        </is>
      </c>
      <c r="E6033" s="233" t="inlineStr">
        <is>
          <t>8</t>
        </is>
      </c>
      <c r="F6033" s="237" t="inlineStr">
        <is>
          <t>DIVES</t>
        </is>
      </c>
    </row>
    <row r="6034">
      <c r="A6034" s="227">
        <f>TL[[#This Row],[Société]]&amp;" - "&amp;TL[[#This Row],[Compte]]</f>
        <v/>
      </c>
      <c r="B6034" s="233" t="inlineStr">
        <is>
          <t>72611000</t>
        </is>
      </c>
      <c r="C6034" s="227" t="inlineStr">
        <is>
          <t>AN nourriture managers</t>
        </is>
      </c>
      <c r="D6034" s="233" t="inlineStr">
        <is>
          <t>11</t>
        </is>
      </c>
      <c r="E6034" s="233" t="inlineStr">
        <is>
          <t>10</t>
        </is>
      </c>
      <c r="F6034" s="237" t="inlineStr">
        <is>
          <t>DIVES</t>
        </is>
      </c>
    </row>
    <row r="6035">
      <c r="A6035" s="227">
        <f>TL[[#This Row],[Société]]&amp;" - "&amp;TL[[#This Row],[Compte]]</f>
        <v/>
      </c>
      <c r="B6035" s="233" t="inlineStr">
        <is>
          <t>74010000</t>
        </is>
      </c>
      <c r="C6035" s="227" t="inlineStr">
        <is>
          <t>Subventions emploi</t>
        </is>
      </c>
      <c r="D6035" s="233" t="inlineStr">
        <is>
          <t>39</t>
        </is>
      </c>
      <c r="E6035" s="233" t="inlineStr">
        <is>
          <t>9</t>
        </is>
      </c>
      <c r="F6035" s="237" t="inlineStr">
        <is>
          <t>DIVES</t>
        </is>
      </c>
    </row>
    <row r="6036">
      <c r="A6036" s="227">
        <f>TL[[#This Row],[Société]]&amp;" - "&amp;TL[[#This Row],[Compte]]</f>
        <v/>
      </c>
      <c r="B6036" s="233" t="inlineStr">
        <is>
          <t>74020000</t>
        </is>
      </c>
      <c r="C6036" s="227" t="inlineStr">
        <is>
          <t>Subvention équipement</t>
        </is>
      </c>
      <c r="D6036" s="233" t="inlineStr">
        <is>
          <t>39</t>
        </is>
      </c>
      <c r="E6036" s="233" t="inlineStr">
        <is>
          <t>45</t>
        </is>
      </c>
      <c r="F6036" s="237" t="inlineStr">
        <is>
          <t>DIVES</t>
        </is>
      </c>
    </row>
    <row r="6037">
      <c r="A6037" s="227">
        <f>TL[[#This Row],[Société]]&amp;" - "&amp;TL[[#This Row],[Compte]]</f>
        <v/>
      </c>
      <c r="B6037" s="233" t="inlineStr">
        <is>
          <t>74041000</t>
        </is>
      </c>
      <c r="C6037" s="227" t="inlineStr">
        <is>
          <t>Aide fonds solidarité</t>
        </is>
      </c>
      <c r="D6037" s="233" t="inlineStr">
        <is>
          <t>39</t>
        </is>
      </c>
      <c r="E6037" s="233" t="inlineStr">
        <is>
          <t>45</t>
        </is>
      </c>
      <c r="F6037" s="237" t="inlineStr">
        <is>
          <t>DIVES</t>
        </is>
      </c>
    </row>
    <row r="6038">
      <c r="A6038" s="227">
        <f>TL[[#This Row],[Société]]&amp;" - "&amp;TL[[#This Row],[Compte]]</f>
        <v/>
      </c>
      <c r="B6038" s="233" t="inlineStr">
        <is>
          <t>75800000</t>
        </is>
      </c>
      <c r="C6038" s="227" t="inlineStr">
        <is>
          <t>Prod.divers de gest.cour.</t>
        </is>
      </c>
      <c r="D6038" s="233" t="inlineStr">
        <is>
          <t>39</t>
        </is>
      </c>
      <c r="E6038" s="233" t="inlineStr">
        <is>
          <t>27</t>
        </is>
      </c>
      <c r="F6038" s="237" t="inlineStr">
        <is>
          <t>DIVES</t>
        </is>
      </c>
    </row>
    <row r="6039">
      <c r="A6039" s="227">
        <f>TL[[#This Row],[Société]]&amp;" - "&amp;TL[[#This Row],[Compte]]</f>
        <v/>
      </c>
      <c r="B6039" s="233" t="inlineStr">
        <is>
          <t>76380000</t>
        </is>
      </c>
      <c r="C6039" s="227" t="inlineStr">
        <is>
          <t>Intérêts créditeurs</t>
        </is>
      </c>
      <c r="D6039" s="233" t="inlineStr">
        <is>
          <t>37</t>
        </is>
      </c>
      <c r="E6039" s="233" t="inlineStr">
        <is>
          <t>42</t>
        </is>
      </c>
      <c r="F6039" s="237" t="inlineStr">
        <is>
          <t>DIVES</t>
        </is>
      </c>
    </row>
    <row r="6040">
      <c r="A6040" s="227">
        <f>TL[[#This Row],[Société]]&amp;" - "&amp;TL[[#This Row],[Compte]]</f>
        <v/>
      </c>
      <c r="B6040" s="233" t="inlineStr">
        <is>
          <t>76400000</t>
        </is>
      </c>
      <c r="C6040" s="227" t="inlineStr">
        <is>
          <t>Coupons</t>
        </is>
      </c>
      <c r="D6040" s="233" t="inlineStr">
        <is>
          <t>99</t>
        </is>
      </c>
      <c r="E6040" s="233" t="inlineStr">
        <is>
          <t>42</t>
        </is>
      </c>
      <c r="F6040" s="237" t="inlineStr">
        <is>
          <t>DIVES</t>
        </is>
      </c>
    </row>
    <row r="6041">
      <c r="A6041" s="227">
        <f>TL[[#This Row],[Société]]&amp;" - "&amp;TL[[#This Row],[Compte]]</f>
        <v/>
      </c>
      <c r="B6041" s="233" t="inlineStr">
        <is>
          <t>76600000</t>
        </is>
      </c>
      <c r="C6041" s="227" t="inlineStr">
        <is>
          <t>Gains de change</t>
        </is>
      </c>
      <c r="F6041" s="237" t="inlineStr">
        <is>
          <t>DIVES</t>
        </is>
      </c>
    </row>
    <row r="6042">
      <c r="A6042" s="227">
        <f>TL[[#This Row],[Société]]&amp;" - "&amp;TL[[#This Row],[Compte]]</f>
        <v/>
      </c>
      <c r="B6042" s="233" t="inlineStr">
        <is>
          <t>76700000</t>
        </is>
      </c>
      <c r="C6042" s="227" t="inlineStr">
        <is>
          <t>Prod.nets/ces.val.mob.pla</t>
        </is>
      </c>
      <c r="D6042" s="233" t="inlineStr">
        <is>
          <t>38</t>
        </is>
      </c>
      <c r="E6042" s="233" t="inlineStr">
        <is>
          <t>42</t>
        </is>
      </c>
      <c r="F6042" s="237" t="inlineStr">
        <is>
          <t>DIVES</t>
        </is>
      </c>
    </row>
    <row r="6043">
      <c r="A6043" s="227">
        <f>TL[[#This Row],[Société]]&amp;" - "&amp;TL[[#This Row],[Compte]]</f>
        <v/>
      </c>
      <c r="B6043" s="233" t="inlineStr">
        <is>
          <t>76800000</t>
        </is>
      </c>
      <c r="C6043" s="227" t="inlineStr">
        <is>
          <t>Autr. produits financiers</t>
        </is>
      </c>
      <c r="D6043" s="233" t="inlineStr">
        <is>
          <t>38</t>
        </is>
      </c>
      <c r="E6043" s="233" t="inlineStr">
        <is>
          <t>42</t>
        </is>
      </c>
      <c r="F6043" s="237" t="inlineStr">
        <is>
          <t>DIVES</t>
        </is>
      </c>
    </row>
    <row r="6044">
      <c r="A6044" s="227">
        <f>TL[[#This Row],[Société]]&amp;" - "&amp;TL[[#This Row],[Compte]]</f>
        <v/>
      </c>
      <c r="B6044" s="233" t="inlineStr">
        <is>
          <t>76810000</t>
        </is>
      </c>
      <c r="C6044" s="227" t="inlineStr">
        <is>
          <t>Pdts sur placements cpt à terme</t>
        </is>
      </c>
      <c r="D6044" s="233" t="inlineStr">
        <is>
          <t>37</t>
        </is>
      </c>
      <c r="E6044" s="233" t="inlineStr">
        <is>
          <t>42</t>
        </is>
      </c>
      <c r="F6044" s="237" t="inlineStr">
        <is>
          <t>DIVES</t>
        </is>
      </c>
    </row>
    <row r="6045">
      <c r="A6045" s="227">
        <f>TL[[#This Row],[Société]]&amp;" - "&amp;TL[[#This Row],[Compte]]</f>
        <v/>
      </c>
      <c r="B6045" s="233" t="inlineStr">
        <is>
          <t>76880000</t>
        </is>
      </c>
      <c r="C6045" s="227" t="inlineStr">
        <is>
          <t>Ecarts de convers°</t>
        </is>
      </c>
      <c r="F6045" s="237" t="inlineStr">
        <is>
          <t>DIVES</t>
        </is>
      </c>
    </row>
    <row r="6046">
      <c r="A6046" s="227">
        <f>TL[[#This Row],[Société]]&amp;" - "&amp;TL[[#This Row],[Compte]]</f>
        <v/>
      </c>
      <c r="B6046" s="233" t="inlineStr">
        <is>
          <t>77110000</t>
        </is>
      </c>
      <c r="C6046" s="227" t="inlineStr">
        <is>
          <t>Ecarts caisse</t>
        </is>
      </c>
      <c r="D6046" s="233" t="inlineStr">
        <is>
          <t>22</t>
        </is>
      </c>
      <c r="E6046" s="233" t="inlineStr">
        <is>
          <t>27</t>
        </is>
      </c>
      <c r="F6046" s="237" t="inlineStr">
        <is>
          <t>DIVES</t>
        </is>
      </c>
    </row>
    <row r="6047">
      <c r="A6047" s="227">
        <f>TL[[#This Row],[Société]]&amp;" - "&amp;TL[[#This Row],[Compte]]</f>
        <v/>
      </c>
      <c r="B6047" s="233" t="inlineStr">
        <is>
          <t>77180000</t>
        </is>
      </c>
      <c r="C6047" s="227" t="inlineStr">
        <is>
          <t>Autres produits except. de gestion</t>
        </is>
      </c>
      <c r="D6047" s="233" t="inlineStr">
        <is>
          <t>39</t>
        </is>
      </c>
      <c r="E6047" s="233" t="inlineStr">
        <is>
          <t>45</t>
        </is>
      </c>
      <c r="F6047" s="237" t="inlineStr">
        <is>
          <t>DIVES</t>
        </is>
      </c>
    </row>
    <row r="6048">
      <c r="A6048" s="227">
        <f>TL[[#This Row],[Société]]&amp;" - "&amp;TL[[#This Row],[Compte]]</f>
        <v/>
      </c>
      <c r="B6048" s="233" t="inlineStr">
        <is>
          <t>77200000</t>
        </is>
      </c>
      <c r="C6048" s="227" t="inlineStr">
        <is>
          <t>Prod.exploit./exerc.anter</t>
        </is>
      </c>
      <c r="D6048" s="233" t="inlineStr">
        <is>
          <t>39</t>
        </is>
      </c>
      <c r="E6048" s="233" t="inlineStr">
        <is>
          <t>45</t>
        </is>
      </c>
      <c r="F6048" s="237" t="inlineStr">
        <is>
          <t>DIVES</t>
        </is>
      </c>
    </row>
    <row r="6049">
      <c r="A6049" s="227">
        <f>TL[[#This Row],[Société]]&amp;" - "&amp;TL[[#This Row],[Compte]]</f>
        <v/>
      </c>
      <c r="B6049" s="233" t="inlineStr">
        <is>
          <t>77520000</t>
        </is>
      </c>
      <c r="C6049" s="227" t="inlineStr">
        <is>
          <t>Prod cessions actifs - Immo corp</t>
        </is>
      </c>
      <c r="D6049" s="233" t="inlineStr">
        <is>
          <t>39</t>
        </is>
      </c>
      <c r="E6049" s="233" t="inlineStr">
        <is>
          <t>45</t>
        </is>
      </c>
      <c r="F6049" s="237" t="inlineStr">
        <is>
          <t>DIVES</t>
        </is>
      </c>
    </row>
    <row r="6050">
      <c r="A6050" s="227">
        <f>TL[[#This Row],[Société]]&amp;" - "&amp;TL[[#This Row],[Compte]]</f>
        <v/>
      </c>
      <c r="B6050" s="233" t="inlineStr">
        <is>
          <t>77800000</t>
        </is>
      </c>
      <c r="C6050" s="227" t="inlineStr">
        <is>
          <t>Annul erreur integratin hed</t>
        </is>
      </c>
      <c r="F6050" s="237" t="inlineStr">
        <is>
          <t>DIVES</t>
        </is>
      </c>
    </row>
    <row r="6051">
      <c r="A6051" s="227">
        <f>TL[[#This Row],[Société]]&amp;" - "&amp;TL[[#This Row],[Compte]]</f>
        <v/>
      </c>
      <c r="B6051" s="233" t="inlineStr">
        <is>
          <t>78111000</t>
        </is>
      </c>
      <c r="C6051" s="227" t="inlineStr">
        <is>
          <t>Repris.s/amort. immob. incorporelle</t>
        </is>
      </c>
      <c r="D6051" s="233" t="inlineStr">
        <is>
          <t>36</t>
        </is>
      </c>
      <c r="E6051" s="233" t="inlineStr">
        <is>
          <t>38</t>
        </is>
      </c>
      <c r="F6051" s="237" t="inlineStr">
        <is>
          <t>DIVES</t>
        </is>
      </c>
    </row>
    <row r="6052">
      <c r="A6052" s="227">
        <f>TL[[#This Row],[Société]]&amp;" - "&amp;TL[[#This Row],[Compte]]</f>
        <v/>
      </c>
      <c r="B6052" s="233" t="inlineStr">
        <is>
          <t>78112000</t>
        </is>
      </c>
      <c r="C6052" s="227" t="inlineStr">
        <is>
          <t>Repris.s/amort. immob. corporelle</t>
        </is>
      </c>
      <c r="D6052" s="233" t="inlineStr">
        <is>
          <t>36</t>
        </is>
      </c>
      <c r="E6052" s="233" t="inlineStr">
        <is>
          <t>38</t>
        </is>
      </c>
      <c r="F6052" s="237" t="inlineStr">
        <is>
          <t>DIVES</t>
        </is>
      </c>
    </row>
    <row r="6053">
      <c r="A6053" s="227">
        <f>TL[[#This Row],[Société]]&amp;" - "&amp;TL[[#This Row],[Compte]]</f>
        <v/>
      </c>
      <c r="B6053" s="233" t="inlineStr">
        <is>
          <t>78150000</t>
        </is>
      </c>
      <c r="C6053" s="227" t="inlineStr">
        <is>
          <t>Repris.s/provis.risques &amp; charges</t>
        </is>
      </c>
      <c r="D6053" s="233" t="inlineStr">
        <is>
          <t>36</t>
        </is>
      </c>
      <c r="E6053" s="233" t="inlineStr">
        <is>
          <t>38</t>
        </is>
      </c>
      <c r="F6053" s="237" t="inlineStr">
        <is>
          <t>DIVES</t>
        </is>
      </c>
    </row>
    <row r="6054">
      <c r="A6054" s="227">
        <f>TL[[#This Row],[Société]]&amp;" - "&amp;TL[[#This Row],[Compte]]</f>
        <v/>
      </c>
      <c r="B6054" s="233" t="inlineStr">
        <is>
          <t>78711000</t>
        </is>
      </c>
      <c r="C6054" s="227" t="inlineStr">
        <is>
          <t>Repris.s/amort.immob.incorpo (exce)</t>
        </is>
      </c>
      <c r="F6054" s="237" t="inlineStr">
        <is>
          <t>DIVES</t>
        </is>
      </c>
    </row>
    <row r="6055">
      <c r="A6055" s="227">
        <f>TL[[#This Row],[Société]]&amp;" - "&amp;TL[[#This Row],[Compte]]</f>
        <v/>
      </c>
      <c r="B6055" s="233" t="inlineStr">
        <is>
          <t>78712000</t>
        </is>
      </c>
      <c r="C6055" s="227" t="inlineStr">
        <is>
          <t>Repris.s/amort.immob.corpor. (exce)</t>
        </is>
      </c>
      <c r="F6055" s="237" t="inlineStr">
        <is>
          <t>DIVES</t>
        </is>
      </c>
    </row>
    <row r="6056">
      <c r="A6056" s="227">
        <f>TL[[#This Row],[Société]]&amp;" - "&amp;TL[[#This Row],[Compte]]</f>
        <v/>
      </c>
      <c r="B6056" s="233" t="inlineStr">
        <is>
          <t>78725000</t>
        </is>
      </c>
      <c r="C6056" s="227" t="inlineStr">
        <is>
          <t>Reprises amortissements dérogatoire</t>
        </is>
      </c>
      <c r="D6056" s="233" t="inlineStr">
        <is>
          <t>36</t>
        </is>
      </c>
      <c r="E6056" s="233" t="inlineStr">
        <is>
          <t>38</t>
        </is>
      </c>
      <c r="F6056" s="237" t="inlineStr">
        <is>
          <t>DIVES</t>
        </is>
      </c>
    </row>
    <row r="6057">
      <c r="A6057" s="227">
        <f>TL[[#This Row],[Société]]&amp;" - "&amp;TL[[#This Row],[Compte]]</f>
        <v/>
      </c>
      <c r="B6057" s="233" t="inlineStr">
        <is>
          <t>79100000</t>
        </is>
      </c>
      <c r="C6057" s="227" t="inlineStr">
        <is>
          <t>Transfert de charges</t>
        </is>
      </c>
      <c r="D6057" s="233" t="inlineStr">
        <is>
          <t>39</t>
        </is>
      </c>
      <c r="E6057" s="233" t="inlineStr">
        <is>
          <t>40</t>
        </is>
      </c>
      <c r="F6057" s="237" t="inlineStr">
        <is>
          <t>DIVES</t>
        </is>
      </c>
    </row>
    <row r="6058">
      <c r="A6058" s="227">
        <f>TL[[#This Row],[Société]]&amp;" - "&amp;TL[[#This Row],[Compte]]</f>
        <v/>
      </c>
      <c r="B6058" s="233" t="inlineStr">
        <is>
          <t>79110000</t>
        </is>
      </c>
      <c r="C6058" s="227" t="inlineStr">
        <is>
          <t>Avantage nature mgr</t>
        </is>
      </c>
      <c r="D6058" s="233" t="inlineStr">
        <is>
          <t>11</t>
        </is>
      </c>
      <c r="E6058" s="233" t="inlineStr">
        <is>
          <t>10</t>
        </is>
      </c>
      <c r="F6058" s="237" t="inlineStr">
        <is>
          <t>DIVES</t>
        </is>
      </c>
    </row>
    <row r="6059">
      <c r="A6059" s="227">
        <f>TL[[#This Row],[Société]]&amp;" - "&amp;TL[[#This Row],[Compte]]</f>
        <v/>
      </c>
      <c r="B6059" s="233" t="inlineStr">
        <is>
          <t>79110100</t>
        </is>
      </c>
      <c r="C6059" s="227" t="inlineStr">
        <is>
          <t>Avantages en nat.equipiers</t>
        </is>
      </c>
      <c r="D6059" s="233" t="inlineStr">
        <is>
          <t>10</t>
        </is>
      </c>
      <c r="E6059" s="233" t="inlineStr">
        <is>
          <t>8</t>
        </is>
      </c>
      <c r="F6059" s="237" t="inlineStr">
        <is>
          <t>DIVES</t>
        </is>
      </c>
    </row>
    <row r="6060">
      <c r="A6060" s="227">
        <f>TL[[#This Row],[Société]]&amp;" - "&amp;TL[[#This Row],[Compte]]</f>
        <v/>
      </c>
      <c r="B6060" s="233" t="inlineStr">
        <is>
          <t>79110400</t>
        </is>
      </c>
      <c r="C6060" s="227" t="inlineStr">
        <is>
          <t>Avantages en nature managers</t>
        </is>
      </c>
      <c r="D6060" s="233" t="inlineStr">
        <is>
          <t>11</t>
        </is>
      </c>
      <c r="E6060" s="233" t="inlineStr">
        <is>
          <t>10</t>
        </is>
      </c>
      <c r="F6060" s="237" t="inlineStr">
        <is>
          <t>DIVES</t>
        </is>
      </c>
    </row>
    <row r="6061">
      <c r="A6061" s="227">
        <f>TL[[#This Row],[Société]]&amp;" - "&amp;TL[[#This Row],[Compte]]</f>
        <v/>
      </c>
      <c r="B6061" s="233" t="inlineStr">
        <is>
          <t>79111000</t>
        </is>
      </c>
      <c r="C6061" s="227" t="inlineStr">
        <is>
          <t>Avantage nature équipie</t>
        </is>
      </c>
      <c r="D6061" s="233" t="inlineStr">
        <is>
          <t>10</t>
        </is>
      </c>
      <c r="E6061" s="233" t="inlineStr">
        <is>
          <t>8</t>
        </is>
      </c>
      <c r="F6061" s="237" t="inlineStr">
        <is>
          <t>DIVES</t>
        </is>
      </c>
    </row>
    <row r="6062">
      <c r="A6062" s="227">
        <f>TL[[#This Row],[Société]]&amp;" - "&amp;TL[[#This Row],[Compte]]</f>
        <v/>
      </c>
      <c r="B6062" s="233" t="inlineStr">
        <is>
          <t>79112000</t>
        </is>
      </c>
      <c r="C6062" s="227" t="inlineStr">
        <is>
          <t>Transf. charges taxables</t>
        </is>
      </c>
      <c r="F6062" s="237" t="inlineStr">
        <is>
          <t>DIVES</t>
        </is>
      </c>
    </row>
    <row r="6063">
      <c r="A6063" s="227">
        <f>TL[[#This Row],[Société]]&amp;" - "&amp;TL[[#This Row],[Compte]]</f>
        <v/>
      </c>
      <c r="B6063" s="233" t="inlineStr">
        <is>
          <t>79120000</t>
        </is>
      </c>
      <c r="C6063" s="227" t="inlineStr">
        <is>
          <t>Transferts charges avec tva</t>
        </is>
      </c>
      <c r="D6063" s="233" t="inlineStr">
        <is>
          <t>99</t>
        </is>
      </c>
      <c r="E6063" s="233" t="inlineStr">
        <is>
          <t>40</t>
        </is>
      </c>
      <c r="F6063" s="237" t="inlineStr">
        <is>
          <t>DIVES</t>
        </is>
      </c>
    </row>
    <row r="6064">
      <c r="A6064" s="227">
        <f>TL[[#This Row],[Société]]&amp;" - "&amp;TL[[#This Row],[Compte]]</f>
        <v/>
      </c>
      <c r="B6064" s="233" t="inlineStr">
        <is>
          <t>79121000</t>
        </is>
      </c>
      <c r="C6064" s="227" t="inlineStr">
        <is>
          <t>Transfert de charges sans tva</t>
        </is>
      </c>
      <c r="F6064" s="237" t="inlineStr">
        <is>
          <t>DIVES</t>
        </is>
      </c>
    </row>
    <row r="6065">
      <c r="A6065" s="227">
        <f>TL[[#This Row],[Société]]&amp;" - "&amp;TL[[#This Row],[Compte]]</f>
        <v/>
      </c>
      <c r="B6065" s="233" t="inlineStr">
        <is>
          <t>79700000</t>
        </is>
      </c>
      <c r="C6065" s="227" t="inlineStr">
        <is>
          <t>Transfert de charges exceptionnell.</t>
        </is>
      </c>
      <c r="F6065" s="237" t="inlineStr">
        <is>
          <t>DIVES</t>
        </is>
      </c>
    </row>
    <row r="6066">
      <c r="A6066" s="227">
        <f>TL[[#This Row],[Société]]&amp;" - "&amp;TL[[#This Row],[Compte]]</f>
        <v/>
      </c>
      <c r="B6066" s="233" t="inlineStr">
        <is>
          <t>89000000</t>
        </is>
      </c>
      <c r="C6066" s="227" t="inlineStr">
        <is>
          <t>Compte de bilan</t>
        </is>
      </c>
      <c r="F6066" s="237" t="inlineStr">
        <is>
          <t>DIVES</t>
        </is>
      </c>
    </row>
    <row r="6067">
      <c r="A6067" s="227">
        <f>TL[[#This Row],[Société]]&amp;" - "&amp;TL[[#This Row],[Compte]]</f>
        <v/>
      </c>
      <c r="B6067" s="242" t="inlineStr">
        <is>
          <t>621407</t>
        </is>
      </c>
      <c r="C6067" s="237" t="inlineStr">
        <is>
          <t>Salariés - L40</t>
        </is>
      </c>
      <c r="D6067" s="242" t="inlineStr">
        <is>
          <t>39</t>
        </is>
      </c>
      <c r="E6067" s="242" t="inlineStr">
        <is>
          <t>40</t>
        </is>
      </c>
      <c r="F6067" s="237" t="inlineStr">
        <is>
          <t>GLR5</t>
        </is>
      </c>
    </row>
    <row r="6068">
      <c r="A6068" s="227">
        <f>TL[[#This Row],[Société]]&amp;" - "&amp;TL[[#This Row],[Compte]]</f>
        <v/>
      </c>
      <c r="B6068" s="242" t="inlineStr">
        <is>
          <t>625211</t>
        </is>
      </c>
      <c r="C6068" s="227" t="inlineStr">
        <is>
          <t>Voyages et déplacement L.40</t>
        </is>
      </c>
      <c r="D6068" s="227" t="inlineStr">
        <is>
          <t>39</t>
        </is>
      </c>
      <c r="E6068" s="227" t="inlineStr">
        <is>
          <t>40</t>
        </is>
      </c>
      <c r="F6068" s="227" t="inlineStr">
        <is>
          <t>GLR5</t>
        </is>
      </c>
    </row>
    <row r="6069">
      <c r="A6069" s="227">
        <f>TL[[#This Row],[Société]]&amp;" - "&amp;TL[[#This Row],[Compte]]</f>
        <v/>
      </c>
      <c r="B6069" s="227" t="inlineStr">
        <is>
          <t>61302400</t>
        </is>
      </c>
      <c r="C6069" s="227" t="inlineStr">
        <is>
          <t>Loyer veh.guerendel-resse</t>
        </is>
      </c>
      <c r="D6069" s="227" t="inlineStr">
        <is>
          <t>39</t>
        </is>
      </c>
      <c r="E6069" s="227" t="inlineStr">
        <is>
          <t>40</t>
        </is>
      </c>
      <c r="F6069" s="237" t="inlineStr">
        <is>
          <t>HTR8</t>
        </is>
      </c>
    </row>
    <row r="6070">
      <c r="A6070" s="227">
        <f>TL[[#This Row],[Société]]&amp;" - "&amp;TL[[#This Row],[Compte]]</f>
        <v/>
      </c>
      <c r="B6070" s="242" t="inlineStr">
        <is>
          <t>613267</t>
        </is>
      </c>
      <c r="C6070" s="227" t="inlineStr">
        <is>
          <t>Location véhicule FQ-525-RY</t>
        </is>
      </c>
      <c r="D6070" s="227" t="inlineStr">
        <is>
          <t>39</t>
        </is>
      </c>
      <c r="E6070" s="227" t="inlineStr">
        <is>
          <t>40</t>
        </is>
      </c>
      <c r="F6070" s="237" t="inlineStr">
        <is>
          <t>TURVILLA</t>
        </is>
      </c>
    </row>
    <row r="6071">
      <c r="A6071" s="227">
        <f>TL[[#This Row],[Société]]&amp;" - "&amp;TL[[#This Row],[Compte]]</f>
        <v/>
      </c>
      <c r="B6071" s="242" t="inlineStr">
        <is>
          <t>613268</t>
        </is>
      </c>
      <c r="C6071" s="227" t="inlineStr">
        <is>
          <t>Location Audi GD-751-GN</t>
        </is>
      </c>
      <c r="D6071" s="227" t="inlineStr">
        <is>
          <t>39</t>
        </is>
      </c>
      <c r="E6071" s="227" t="inlineStr">
        <is>
          <t>40</t>
        </is>
      </c>
      <c r="F6071" s="237" t="inlineStr">
        <is>
          <t>TURVILLA</t>
        </is>
      </c>
    </row>
    <row r="6072">
      <c r="A6072" s="227">
        <f>TL[[#This Row],[Société]]&amp;" - "&amp;TL[[#This Row],[Compte]]</f>
        <v/>
      </c>
      <c r="B6072" s="227" t="inlineStr">
        <is>
          <t>602612</t>
        </is>
      </c>
      <c r="C6072" s="227" t="inlineStr">
        <is>
          <t>Vaisselle réutilisable</t>
        </is>
      </c>
      <c r="D6072" s="227" t="inlineStr">
        <is>
          <t>06</t>
        </is>
      </c>
      <c r="E6072" s="227" t="inlineStr">
        <is>
          <t>6.1</t>
        </is>
      </c>
      <c r="F6072" s="237" t="inlineStr">
        <is>
          <t>HART</t>
        </is>
      </c>
    </row>
    <row r="6073">
      <c r="A6073" s="227">
        <f>TL[[#This Row],[Société]]&amp;" - "&amp;TL[[#This Row],[Compte]]</f>
        <v/>
      </c>
      <c r="B6073" s="244" t="inlineStr">
        <is>
          <t>621404</t>
        </is>
      </c>
      <c r="C6073" s="227" t="inlineStr">
        <is>
          <t>Personnel prété l.40</t>
        </is>
      </c>
      <c r="D6073" s="242" t="inlineStr">
        <is>
          <t>39</t>
        </is>
      </c>
      <c r="E6073" s="242" t="inlineStr">
        <is>
          <t>40</t>
        </is>
      </c>
      <c r="F6073" s="237" t="inlineStr">
        <is>
          <t>VICTOIRE</t>
        </is>
      </c>
    </row>
    <row r="6074">
      <c r="A6074" s="227">
        <f>TL[[#This Row],[Société]]&amp;" - "&amp;TL[[#This Row],[Compte]]</f>
        <v/>
      </c>
      <c r="B6074" s="227" t="inlineStr">
        <is>
          <t>626000</t>
        </is>
      </c>
      <c r="C6074" s="227" t="inlineStr">
        <is>
          <t>Orange</t>
        </is>
      </c>
      <c r="D6074" s="227" t="inlineStr">
        <is>
          <t>20</t>
        </is>
      </c>
      <c r="E6074" s="227" t="inlineStr">
        <is>
          <t>24</t>
        </is>
      </c>
      <c r="F6074" s="227" t="inlineStr">
        <is>
          <t>HART</t>
        </is>
      </c>
    </row>
    <row r="6075">
      <c r="A6075" s="227">
        <f>TL[[#This Row],[Société]]&amp;" - "&amp;TL[[#This Row],[Compte]]</f>
        <v/>
      </c>
      <c r="B6075" s="224" t="inlineStr">
        <is>
          <t>708841</t>
        </is>
      </c>
      <c r="C6075" s="245" t="inlineStr">
        <is>
          <t>Refacturation charges sociales</t>
        </is>
      </c>
      <c r="D6075" s="227" t="inlineStr">
        <is>
          <t>10</t>
        </is>
      </c>
      <c r="E6075" s="227" t="inlineStr">
        <is>
          <t>9</t>
        </is>
      </c>
      <c r="F6075" s="245" t="inlineStr">
        <is>
          <t>TIRR</t>
        </is>
      </c>
    </row>
    <row r="6076">
      <c r="A6076" s="227">
        <f>TL[[#This Row],[Société]]&amp;" - "&amp;TL[[#This Row],[Compte]]</f>
        <v/>
      </c>
      <c r="B6076" s="227" t="inlineStr">
        <is>
          <t>606402</t>
        </is>
      </c>
      <c r="C6076" s="227" t="inlineStr">
        <is>
          <t>Fournitures de bureau gth</t>
        </is>
      </c>
      <c r="D6076" s="247" t="inlineStr">
        <is>
          <t>21</t>
        </is>
      </c>
      <c r="E6076" s="247" t="inlineStr">
        <is>
          <t>25</t>
        </is>
      </c>
      <c r="F6076" s="246" t="inlineStr">
        <is>
          <t>GLR5</t>
        </is>
      </c>
    </row>
    <row r="6077">
      <c r="A6077" s="227">
        <f>TL[[#This Row],[Société]]&amp;" - "&amp;TL[[#This Row],[Compte]]</f>
        <v/>
      </c>
      <c r="B6077" s="227" t="inlineStr">
        <is>
          <t>708200</t>
        </is>
      </c>
      <c r="C6077" s="227" t="inlineStr">
        <is>
          <t>Refacturations réception</t>
        </is>
      </c>
      <c r="D6077" s="247" t="inlineStr">
        <is>
          <t>39</t>
        </is>
      </c>
      <c r="E6077" s="247" t="inlineStr">
        <is>
          <t>40</t>
        </is>
      </c>
      <c r="F6077" s="246" t="inlineStr">
        <is>
          <t>VR7</t>
        </is>
      </c>
    </row>
    <row r="6078">
      <c r="A6078" s="227">
        <f>TL[[#This Row],[Société]]&amp;" - "&amp;TL[[#This Row],[Compte]]</f>
        <v/>
      </c>
      <c r="B6078" s="227" t="inlineStr">
        <is>
          <t>609000</t>
        </is>
      </c>
      <c r="C6078" s="227" t="inlineStr">
        <is>
          <t>Rabais, remises &amp; ristourn. obtenus</t>
        </is>
      </c>
      <c r="D6078" s="247" t="inlineStr">
        <is>
          <t>06</t>
        </is>
      </c>
      <c r="E6078" s="247" t="inlineStr">
        <is>
          <t>03</t>
        </is>
      </c>
      <c r="F6078" s="246" t="inlineStr">
        <is>
          <t>VICTOIRE</t>
        </is>
      </c>
    </row>
    <row r="6079">
      <c r="A6079" s="227">
        <f>TL[[#This Row],[Société]]&amp;" - "&amp;TL[[#This Row],[Compte]]</f>
        <v/>
      </c>
      <c r="B6079" s="227" t="inlineStr">
        <is>
          <t>603211</t>
        </is>
      </c>
      <c r="C6079" s="227" t="inlineStr">
        <is>
          <t>Variation stock vaisselle</t>
        </is>
      </c>
      <c r="D6079" s="247" t="inlineStr">
        <is>
          <t>06</t>
        </is>
      </c>
      <c r="E6079" s="247" t="inlineStr">
        <is>
          <t>6.1</t>
        </is>
      </c>
      <c r="F6079" s="246" t="inlineStr">
        <is>
          <t>LYSE</t>
        </is>
      </c>
    </row>
    <row r="6080">
      <c r="A6080" s="227">
        <f>TL[[#This Row],[Société]]&amp;" - "&amp;TL[[#This Row],[Compte]]</f>
        <v/>
      </c>
      <c r="B6080" s="227" t="inlineStr">
        <is>
          <t>65140000</t>
        </is>
      </c>
      <c r="C6080" s="227" t="inlineStr">
        <is>
          <t>Avoir red. diverses</t>
        </is>
      </c>
      <c r="D6080" s="248" t="inlineStr">
        <is>
          <t>30</t>
        </is>
      </c>
      <c r="E6080" s="248" t="inlineStr">
        <is>
          <t>31</t>
        </is>
      </c>
      <c r="F6080" s="249" t="inlineStr">
        <is>
          <t>HTR8</t>
        </is>
      </c>
    </row>
    <row r="6081">
      <c r="A6081" s="227">
        <f>TL[[#This Row],[Société]]&amp;" - "&amp;TL[[#This Row],[Compte]]</f>
        <v/>
      </c>
      <c r="B6081" s="227" t="inlineStr">
        <is>
          <t>651400</t>
        </is>
      </c>
      <c r="C6081" s="227" t="inlineStr">
        <is>
          <t>Avoir red. mcdo diverses</t>
        </is>
      </c>
      <c r="D6081" s="227" t="inlineStr">
        <is>
          <t>30</t>
        </is>
      </c>
      <c r="E6081" s="227" t="inlineStr">
        <is>
          <t>31</t>
        </is>
      </c>
      <c r="F6081" s="249" t="inlineStr">
        <is>
          <t>TIRR</t>
        </is>
      </c>
    </row>
    <row r="6082">
      <c r="A6082" s="227">
        <f>TL[[#This Row],[Société]]&amp;" - "&amp;TL[[#This Row],[Compte]]</f>
        <v/>
      </c>
      <c r="B6082" s="227" t="inlineStr">
        <is>
          <t>651300</t>
        </is>
      </c>
      <c r="C6082" s="227" t="inlineStr">
        <is>
          <t>Avoir red. diverses</t>
        </is>
      </c>
      <c r="D6082" s="227" t="inlineStr">
        <is>
          <t>30</t>
        </is>
      </c>
      <c r="E6082" s="227" t="inlineStr">
        <is>
          <t>31</t>
        </is>
      </c>
      <c r="F6082" s="249" t="inlineStr">
        <is>
          <t>VR7</t>
        </is>
      </c>
    </row>
    <row r="6083">
      <c r="A6083" s="227">
        <f>TL[[#This Row],[Société]]&amp;" - "&amp;TL[[#This Row],[Compte]]</f>
        <v/>
      </c>
      <c r="B6083" s="227" t="inlineStr">
        <is>
          <t>651400</t>
        </is>
      </c>
      <c r="C6083" s="227" t="inlineStr">
        <is>
          <t>Avoir red. diverses</t>
        </is>
      </c>
      <c r="D6083" s="227" t="inlineStr">
        <is>
          <t>30</t>
        </is>
      </c>
      <c r="E6083" s="227" t="inlineStr">
        <is>
          <t>31</t>
        </is>
      </c>
      <c r="F6083" s="249" t="inlineStr">
        <is>
          <t>TURVILLA</t>
        </is>
      </c>
    </row>
    <row r="6084">
      <c r="A6084" s="227">
        <f>TL[[#This Row],[Société]]&amp;" - "&amp;TL[[#This Row],[Compte]]</f>
        <v/>
      </c>
      <c r="B6084" s="227" t="inlineStr">
        <is>
          <t>613100</t>
        </is>
      </c>
      <c r="C6084" s="227" t="inlineStr">
        <is>
          <t>Location bailart</t>
        </is>
      </c>
      <c r="D6084" s="248" t="inlineStr">
        <is>
          <t>39</t>
        </is>
      </c>
      <c r="E6084" s="227" t="n">
        <v>40</v>
      </c>
      <c r="F6084" s="249" t="inlineStr">
        <is>
          <t>VICTOIRE</t>
        </is>
      </c>
    </row>
    <row r="6085">
      <c r="A6085" s="227">
        <f>TL[[#This Row],[Société]]&amp;" - "&amp;TL[[#This Row],[Compte]]</f>
        <v/>
      </c>
      <c r="B6085" s="227" t="inlineStr">
        <is>
          <t>65132000</t>
        </is>
      </c>
      <c r="C6085" s="227" t="inlineStr">
        <is>
          <t>AVOIR REDV DIVERS</t>
        </is>
      </c>
      <c r="D6085" s="227" t="inlineStr">
        <is>
          <t>30</t>
        </is>
      </c>
      <c r="E6085" s="227" t="inlineStr">
        <is>
          <t>31</t>
        </is>
      </c>
      <c r="F6085" s="249" t="inlineStr">
        <is>
          <t>TH4</t>
        </is>
      </c>
    </row>
    <row r="6086">
      <c r="A6086" s="227">
        <f>TL[[#This Row],[Société]]&amp;" - "&amp;TL[[#This Row],[Compte]]</f>
        <v/>
      </c>
      <c r="B6086" s="227" t="inlineStr">
        <is>
          <t>65130000</t>
        </is>
      </c>
      <c r="C6086" s="227" t="inlineStr">
        <is>
          <t>AVOIR REDV DIVERS</t>
        </is>
      </c>
      <c r="D6086" s="227" t="inlineStr">
        <is>
          <t>30</t>
        </is>
      </c>
      <c r="E6086" s="227" t="inlineStr">
        <is>
          <t>31</t>
        </is>
      </c>
      <c r="F6086" s="249" t="inlineStr">
        <is>
          <t>R314</t>
        </is>
      </c>
    </row>
    <row r="6087">
      <c r="A6087" s="227">
        <f>TL[[#This Row],[Société]]&amp;" - "&amp;TL[[#This Row],[Compte]]</f>
        <v/>
      </c>
      <c r="B6087" s="227" t="inlineStr">
        <is>
          <t>615643</t>
        </is>
      </c>
      <c r="C6087" s="227" t="inlineStr">
        <is>
          <t>Contrat maint. autolaveuse</t>
        </is>
      </c>
      <c r="D6087" s="248" t="inlineStr">
        <is>
          <t>16</t>
        </is>
      </c>
      <c r="E6087" s="248" t="inlineStr">
        <is>
          <t>19</t>
        </is>
      </c>
      <c r="F6087" s="249" t="inlineStr">
        <is>
          <t>LYSE</t>
        </is>
      </c>
    </row>
    <row r="6088">
      <c r="A6088" s="227">
        <f>TL[[#This Row],[Société]]&amp;" - "&amp;TL[[#This Row],[Compte]]</f>
        <v/>
      </c>
      <c r="B6088" s="227" t="inlineStr">
        <is>
          <t>651300</t>
        </is>
      </c>
      <c r="C6088" s="227" t="inlineStr">
        <is>
          <t>AVOIR REDV DIVERS</t>
        </is>
      </c>
      <c r="D6088" s="227" t="inlineStr">
        <is>
          <t>30</t>
        </is>
      </c>
      <c r="E6088" s="227" t="inlineStr">
        <is>
          <t>31</t>
        </is>
      </c>
      <c r="F6088" s="249" t="inlineStr">
        <is>
          <t>LYSE</t>
        </is>
      </c>
    </row>
    <row r="6089">
      <c r="A6089" s="227">
        <f>TL[[#This Row],[Société]]&amp;" - "&amp;TL[[#This Row],[Compte]]</f>
        <v/>
      </c>
      <c r="B6089" s="227" t="inlineStr">
        <is>
          <t>64115000</t>
        </is>
      </c>
      <c r="C6089" s="251" t="inlineStr">
        <is>
          <t>SALAIRES LIGNE 13</t>
        </is>
      </c>
      <c r="D6089" s="250" t="inlineStr">
        <is>
          <t>13</t>
        </is>
      </c>
      <c r="E6089" s="250" t="inlineStr">
        <is>
          <t>13</t>
        </is>
      </c>
      <c r="F6089" s="251" t="inlineStr">
        <is>
          <t>HTR8</t>
        </is>
      </c>
    </row>
    <row r="6090">
      <c r="A6090" s="227">
        <f>TL[[#This Row],[Société]]&amp;" - "&amp;TL[[#This Row],[Compte]]</f>
        <v/>
      </c>
      <c r="B6090" s="227" t="inlineStr">
        <is>
          <t>740300</t>
        </is>
      </c>
      <c r="C6090" s="261" t="inlineStr">
        <is>
          <t>Aide énergie</t>
        </is>
      </c>
      <c r="D6090" s="227" t="inlineStr">
        <is>
          <t>20</t>
        </is>
      </c>
      <c r="E6090" s="227" t="inlineStr">
        <is>
          <t>24</t>
        </is>
      </c>
      <c r="F6090" s="261" t="inlineStr">
        <is>
          <t>GLR5</t>
        </is>
      </c>
    </row>
    <row r="6091">
      <c r="A6091" s="227">
        <f>TL[[#This Row],[Société]]&amp;" - "&amp;TL[[#This Row],[Compte]]</f>
        <v/>
      </c>
      <c r="B6091" s="224" t="inlineStr">
        <is>
          <t>628300</t>
        </is>
      </c>
      <c r="C6091" s="261" t="inlineStr">
        <is>
          <t>Divers</t>
        </is>
      </c>
      <c r="D6091" s="262" t="inlineStr">
        <is>
          <t>23</t>
        </is>
      </c>
      <c r="E6091" s="262" t="inlineStr">
        <is>
          <t>27</t>
        </is>
      </c>
      <c r="F6091" s="261" t="inlineStr">
        <is>
          <t>GLR5</t>
        </is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18.xml><?xml version="1.0" encoding="utf-8"?>
<worksheet xmlns="http://schemas.openxmlformats.org/spreadsheetml/2006/main">
  <sheetPr>
    <tabColor rgb="FFFFFF00"/>
    <outlinePr summaryBelow="1" summaryRight="1"/>
    <pageSetUpPr/>
  </sheetPr>
  <dimension ref="A1:H4560"/>
  <sheetViews>
    <sheetView topLeftCell="A314" zoomScaleNormal="100" workbookViewId="0">
      <selection activeCell="D332" sqref="D332"/>
    </sheetView>
  </sheetViews>
  <sheetFormatPr baseColWidth="10" defaultRowHeight="12.75"/>
  <cols>
    <col width="19.28515625" customWidth="1" style="161" min="1" max="1"/>
    <col width="11.5703125" customWidth="1" style="161" min="2" max="2"/>
    <col width="11.42578125" customWidth="1" style="228" min="3" max="3"/>
    <col width="18.42578125" customWidth="1" style="212" min="4" max="4"/>
  </cols>
  <sheetData>
    <row r="1">
      <c r="A1" s="348" t="inlineStr">
        <is>
          <t>SOCIETE</t>
        </is>
      </c>
      <c r="B1" s="348" t="inlineStr">
        <is>
          <t>MOIS</t>
        </is>
      </c>
      <c r="C1" s="228" t="inlineStr">
        <is>
          <t>TL2</t>
        </is>
      </c>
      <c r="D1" s="212" t="inlineStr">
        <is>
          <t>MONTANT</t>
        </is>
      </c>
      <c r="E1" s="212" t="inlineStr">
        <is>
          <t>TL2 CORRESPONDANCE</t>
        </is>
      </c>
    </row>
    <row r="2">
      <c r="A2" s="348" t="inlineStr">
        <is>
          <t>GLR5</t>
        </is>
      </c>
      <c r="B2" s="291" t="n">
        <v>1</v>
      </c>
      <c r="C2" s="228" t="n">
        <v>2</v>
      </c>
      <c r="D2" s="212" t="n">
        <v>-370437.56</v>
      </c>
      <c r="E2" s="212" t="n"/>
      <c r="H2" s="348" t="inlineStr">
        <is>
          <t>Remplacé 50 par 41.1</t>
        </is>
      </c>
    </row>
    <row r="3">
      <c r="A3" s="348" t="inlineStr">
        <is>
          <t>GLR5</t>
        </is>
      </c>
      <c r="B3" s="291" t="n">
        <v>1</v>
      </c>
      <c r="C3" s="228" t="n">
        <v>3</v>
      </c>
      <c r="D3" s="212" t="n">
        <v>84010.21000000001</v>
      </c>
      <c r="E3" s="212" t="n"/>
      <c r="H3" s="348" t="inlineStr">
        <is>
          <t>Remplacé 51 par 41.2</t>
        </is>
      </c>
    </row>
    <row r="4">
      <c r="A4" s="348" t="inlineStr">
        <is>
          <t>GLR5</t>
        </is>
      </c>
      <c r="B4" s="291" t="n">
        <v>1</v>
      </c>
      <c r="C4" s="228" t="n">
        <v>4</v>
      </c>
      <c r="D4" s="212" t="n">
        <v>1628.56</v>
      </c>
      <c r="E4" s="212" t="n"/>
    </row>
    <row r="5">
      <c r="A5" s="348" t="inlineStr">
        <is>
          <t>GLR5</t>
        </is>
      </c>
      <c r="B5" s="291" t="n">
        <v>1</v>
      </c>
      <c r="C5" s="228" t="n">
        <v>5</v>
      </c>
      <c r="D5" s="212" t="n">
        <v>1931.15</v>
      </c>
      <c r="E5" s="212" t="n"/>
    </row>
    <row r="6">
      <c r="A6" s="348" t="inlineStr">
        <is>
          <t>GLR5</t>
        </is>
      </c>
      <c r="B6" s="291" t="n">
        <v>1</v>
      </c>
      <c r="C6" s="228" t="n">
        <v>6</v>
      </c>
      <c r="D6" s="212" t="n">
        <v>8915.719999999999</v>
      </c>
      <c r="E6" s="212" t="n"/>
    </row>
    <row r="7">
      <c r="A7" s="348" t="inlineStr">
        <is>
          <t>GLR5</t>
        </is>
      </c>
      <c r="B7" s="291" t="n">
        <v>1</v>
      </c>
      <c r="C7" s="228" t="inlineStr">
        <is>
          <t>6.1</t>
        </is>
      </c>
      <c r="D7" s="212" t="n">
        <v>1300.76</v>
      </c>
      <c r="E7" s="212" t="n"/>
    </row>
    <row r="8">
      <c r="A8" s="348" t="inlineStr">
        <is>
          <t>GLR5</t>
        </is>
      </c>
      <c r="B8" s="291" t="n">
        <v>1</v>
      </c>
      <c r="C8" s="228" t="n">
        <v>8</v>
      </c>
      <c r="D8" s="212" t="n">
        <v>66031.39999999999</v>
      </c>
      <c r="E8" s="212" t="n"/>
    </row>
    <row r="9">
      <c r="A9" s="348" t="inlineStr">
        <is>
          <t>GLR5</t>
        </is>
      </c>
      <c r="B9" s="291" t="n">
        <v>1</v>
      </c>
      <c r="C9" s="228" t="n">
        <v>9</v>
      </c>
      <c r="D9" s="212" t="n">
        <v>7904.13</v>
      </c>
      <c r="E9" s="212" t="n"/>
    </row>
    <row r="10">
      <c r="A10" s="348" t="inlineStr">
        <is>
          <t>GLR5</t>
        </is>
      </c>
      <c r="B10" s="291" t="n">
        <v>1</v>
      </c>
      <c r="C10" s="228" t="n">
        <v>10</v>
      </c>
      <c r="D10" s="212" t="n">
        <v>21061.18</v>
      </c>
      <c r="E10" s="212" t="n"/>
    </row>
    <row r="11">
      <c r="A11" s="348" t="inlineStr">
        <is>
          <t>GLR5</t>
        </is>
      </c>
      <c r="B11" s="291" t="n">
        <v>1</v>
      </c>
      <c r="C11" s="228" t="n">
        <v>11</v>
      </c>
      <c r="D11" s="212" t="n">
        <v>4919.95</v>
      </c>
      <c r="E11" s="212" t="n"/>
    </row>
    <row r="12">
      <c r="A12" s="348" t="inlineStr">
        <is>
          <t>GLR5</t>
        </is>
      </c>
      <c r="B12" s="291" t="n">
        <v>1</v>
      </c>
      <c r="C12" s="228" t="n">
        <v>15</v>
      </c>
      <c r="D12" s="212" t="n">
        <v>140</v>
      </c>
      <c r="E12" s="212" t="n"/>
    </row>
    <row r="13">
      <c r="A13" s="348" t="inlineStr">
        <is>
          <t>GLR5</t>
        </is>
      </c>
      <c r="B13" s="291" t="n">
        <v>1</v>
      </c>
      <c r="C13" s="228" t="n">
        <v>16</v>
      </c>
      <c r="D13" s="212" t="n">
        <v>82.3</v>
      </c>
      <c r="E13" s="212" t="n"/>
    </row>
    <row r="14">
      <c r="A14" s="348" t="inlineStr">
        <is>
          <t>GLR5</t>
        </is>
      </c>
      <c r="B14" s="291" t="n">
        <v>1</v>
      </c>
      <c r="C14" s="228" t="n">
        <v>17</v>
      </c>
      <c r="D14" s="212" t="n">
        <v>3123.78</v>
      </c>
      <c r="E14" s="212" t="n"/>
    </row>
    <row r="15">
      <c r="A15" s="348" t="inlineStr">
        <is>
          <t>GLR5</t>
        </is>
      </c>
      <c r="B15" s="291" t="n">
        <v>1</v>
      </c>
      <c r="C15" s="228" t="n">
        <v>18</v>
      </c>
      <c r="D15" s="212" t="n">
        <v>-2870.94</v>
      </c>
      <c r="E15" s="212" t="n"/>
    </row>
    <row r="16">
      <c r="A16" s="348" t="inlineStr">
        <is>
          <t>GLR5</t>
        </is>
      </c>
      <c r="B16" s="291" t="n">
        <v>1</v>
      </c>
      <c r="C16" s="228" t="n">
        <v>19</v>
      </c>
      <c r="D16" s="212" t="n">
        <v>8968.77</v>
      </c>
      <c r="E16" s="212" t="n"/>
    </row>
    <row r="17">
      <c r="A17" s="348" t="inlineStr">
        <is>
          <t>GLR5</t>
        </is>
      </c>
      <c r="B17" s="291" t="n">
        <v>1</v>
      </c>
      <c r="C17" s="228" t="n">
        <v>21</v>
      </c>
      <c r="D17" s="212" t="n">
        <v>2169.64</v>
      </c>
      <c r="E17" s="212" t="n"/>
    </row>
    <row r="18">
      <c r="A18" s="348" t="inlineStr">
        <is>
          <t>GLR5</t>
        </is>
      </c>
      <c r="B18" s="291" t="n">
        <v>1</v>
      </c>
      <c r="C18" s="228" t="n">
        <v>22</v>
      </c>
      <c r="D18" s="212" t="n">
        <v>14946.67</v>
      </c>
      <c r="E18" s="212" t="n"/>
    </row>
    <row r="19">
      <c r="A19" s="348" t="inlineStr">
        <is>
          <t>GLR5</t>
        </is>
      </c>
      <c r="B19" s="291" t="n">
        <v>1</v>
      </c>
      <c r="C19" s="228" t="n">
        <v>23</v>
      </c>
      <c r="D19" s="212" t="n">
        <v>6675.63</v>
      </c>
      <c r="E19" s="212" t="n"/>
    </row>
    <row r="20">
      <c r="A20" s="348" t="inlineStr">
        <is>
          <t>GLR5</t>
        </is>
      </c>
      <c r="B20" s="291" t="n">
        <v>1</v>
      </c>
      <c r="C20" s="228" t="n">
        <v>24</v>
      </c>
      <c r="D20" s="212" t="n">
        <v>12395.8</v>
      </c>
      <c r="E20" s="212" t="n"/>
    </row>
    <row r="21">
      <c r="A21" s="348" t="inlineStr">
        <is>
          <t>GLR5</t>
        </is>
      </c>
      <c r="B21" s="291" t="n">
        <v>1</v>
      </c>
      <c r="C21" s="228" t="n">
        <v>25</v>
      </c>
      <c r="D21" s="212" t="n">
        <v>5008.83</v>
      </c>
      <c r="E21" s="212" t="n"/>
    </row>
    <row r="22">
      <c r="A22" s="348" t="inlineStr">
        <is>
          <t>GLR5</t>
        </is>
      </c>
      <c r="B22" s="291" t="n">
        <v>1</v>
      </c>
      <c r="C22" s="228" t="n">
        <v>26</v>
      </c>
      <c r="D22" s="212" t="n">
        <v>0</v>
      </c>
      <c r="E22" s="212" t="n"/>
    </row>
    <row r="23">
      <c r="A23" s="348" t="inlineStr">
        <is>
          <t>GLR5</t>
        </is>
      </c>
      <c r="B23" s="291" t="n">
        <v>1</v>
      </c>
      <c r="C23" s="228" t="n">
        <v>27</v>
      </c>
      <c r="D23" s="212" t="n">
        <v>879.6</v>
      </c>
      <c r="E23" s="212" t="n"/>
    </row>
    <row r="24">
      <c r="A24" s="348" t="inlineStr">
        <is>
          <t>GLR5</t>
        </is>
      </c>
      <c r="B24" s="291" t="n">
        <v>1</v>
      </c>
      <c r="C24" s="228" t="n">
        <v>29</v>
      </c>
      <c r="D24" s="212" t="n">
        <v>58602.82</v>
      </c>
      <c r="E24" s="212" t="n"/>
    </row>
    <row r="25">
      <c r="A25" s="348" t="inlineStr">
        <is>
          <t>GLR5</t>
        </is>
      </c>
      <c r="B25" s="291" t="n">
        <v>1</v>
      </c>
      <c r="C25" s="228" t="n">
        <v>31</v>
      </c>
      <c r="D25" s="212" t="n">
        <v>-905.28</v>
      </c>
      <c r="E25" s="212" t="n"/>
    </row>
    <row r="26">
      <c r="A26" s="348" t="inlineStr">
        <is>
          <t>GLR5</t>
        </is>
      </c>
      <c r="B26" s="291" t="n">
        <v>1</v>
      </c>
      <c r="C26" s="228" t="n">
        <v>33</v>
      </c>
      <c r="D26" s="212" t="n">
        <v>789</v>
      </c>
      <c r="E26" s="212" t="n"/>
    </row>
    <row r="27">
      <c r="A27" s="348" t="inlineStr">
        <is>
          <t>GLR5</t>
        </is>
      </c>
      <c r="B27" s="291" t="n">
        <v>1</v>
      </c>
      <c r="C27" s="228" t="n">
        <v>34</v>
      </c>
      <c r="D27" s="212" t="n">
        <v>18904.14</v>
      </c>
      <c r="E27" s="212" t="n"/>
    </row>
    <row r="28">
      <c r="A28" s="348" t="inlineStr">
        <is>
          <t>GLR5</t>
        </is>
      </c>
      <c r="B28" s="291" t="n">
        <v>1</v>
      </c>
      <c r="C28" s="228" t="n">
        <v>35</v>
      </c>
      <c r="D28" s="212" t="n">
        <v>1460.33</v>
      </c>
      <c r="E28" s="212" t="n"/>
    </row>
    <row r="29">
      <c r="A29" s="348" t="inlineStr">
        <is>
          <t>GLR5</t>
        </is>
      </c>
      <c r="B29" s="291" t="n">
        <v>1</v>
      </c>
      <c r="C29" s="228" t="n">
        <v>36</v>
      </c>
      <c r="D29" s="212" t="n">
        <v>1845.97</v>
      </c>
      <c r="E29" s="212" t="n"/>
    </row>
    <row r="30">
      <c r="A30" s="348" t="inlineStr">
        <is>
          <t>GLR5</t>
        </is>
      </c>
      <c r="B30" s="291" t="n">
        <v>1</v>
      </c>
      <c r="C30" s="228" t="n">
        <v>37</v>
      </c>
      <c r="D30" s="212" t="n">
        <v>3665.93</v>
      </c>
      <c r="E30" s="212" t="n"/>
    </row>
    <row r="31">
      <c r="A31" s="348" t="inlineStr">
        <is>
          <t>GLR5</t>
        </is>
      </c>
      <c r="B31" s="291" t="n">
        <v>1</v>
      </c>
      <c r="C31" s="228" t="n">
        <v>38</v>
      </c>
      <c r="D31" s="212" t="n">
        <v>10063.49</v>
      </c>
      <c r="E31" s="212" t="n"/>
    </row>
    <row r="32">
      <c r="A32" s="348" t="inlineStr">
        <is>
          <t>GLR5</t>
        </is>
      </c>
      <c r="B32" s="291" t="n">
        <v>1</v>
      </c>
      <c r="C32" s="228" t="n">
        <v>40</v>
      </c>
      <c r="D32" s="212" t="n">
        <v>1259.13</v>
      </c>
      <c r="E32" s="212" t="n"/>
    </row>
    <row r="33">
      <c r="A33" s="348" t="inlineStr">
        <is>
          <t>GLR5</t>
        </is>
      </c>
      <c r="B33" s="291" t="n">
        <v>1</v>
      </c>
      <c r="C33" s="228" t="n">
        <v>46</v>
      </c>
      <c r="D33" s="212" t="n">
        <v>26033</v>
      </c>
      <c r="E33" s="212" t="n"/>
    </row>
    <row r="34">
      <c r="A34" s="348" t="inlineStr">
        <is>
          <t>GLR5</t>
        </is>
      </c>
      <c r="B34" s="291" t="n">
        <v>1</v>
      </c>
      <c r="C34" s="228" t="inlineStr">
        <is>
          <t>41.1</t>
        </is>
      </c>
      <c r="D34" s="212" t="n">
        <v>-7645.14</v>
      </c>
      <c r="E34" s="212" t="n"/>
    </row>
    <row r="35">
      <c r="A35" s="348" t="inlineStr">
        <is>
          <t>GLR5</t>
        </is>
      </c>
      <c r="B35" s="291" t="n">
        <v>1</v>
      </c>
      <c r="C35" s="228" t="inlineStr">
        <is>
          <t>41.2</t>
        </is>
      </c>
      <c r="D35" s="212" t="n">
        <v>7852.76</v>
      </c>
      <c r="E35" s="212" t="n"/>
    </row>
    <row r="36">
      <c r="A36" s="348" t="inlineStr">
        <is>
          <t>HTR8</t>
        </is>
      </c>
      <c r="B36" s="291" t="n">
        <v>1</v>
      </c>
      <c r="C36" s="228" t="n">
        <v>2</v>
      </c>
      <c r="D36" s="212" t="n">
        <v>-191414.29</v>
      </c>
      <c r="E36" s="212" t="n"/>
    </row>
    <row r="37">
      <c r="A37" s="348" t="inlineStr">
        <is>
          <t>HTR8</t>
        </is>
      </c>
      <c r="B37" s="291" t="n">
        <v>1</v>
      </c>
      <c r="C37" s="228" t="n">
        <v>3</v>
      </c>
      <c r="D37" s="212" t="n">
        <v>43012.07</v>
      </c>
      <c r="E37" s="212" t="n"/>
    </row>
    <row r="38">
      <c r="A38" s="348" t="inlineStr">
        <is>
          <t>HTR8</t>
        </is>
      </c>
      <c r="B38" s="291" t="n">
        <v>1</v>
      </c>
      <c r="C38" s="228" t="n">
        <v>4</v>
      </c>
      <c r="D38" s="212" t="n">
        <v>1168.38</v>
      </c>
      <c r="E38" s="212" t="n"/>
    </row>
    <row r="39">
      <c r="A39" s="348" t="inlineStr">
        <is>
          <t>HTR8</t>
        </is>
      </c>
      <c r="B39" s="291" t="n">
        <v>1</v>
      </c>
      <c r="C39" s="228" t="n">
        <v>5</v>
      </c>
      <c r="D39" s="212" t="n">
        <v>1391.89</v>
      </c>
      <c r="E39" s="212" t="n"/>
    </row>
    <row r="40">
      <c r="A40" s="348" t="inlineStr">
        <is>
          <t>HTR8</t>
        </is>
      </c>
      <c r="B40" s="291" t="n">
        <v>1</v>
      </c>
      <c r="C40" s="228" t="n">
        <v>6</v>
      </c>
      <c r="D40" s="212" t="n">
        <v>4752.79</v>
      </c>
      <c r="E40" s="212" t="n"/>
    </row>
    <row r="41">
      <c r="A41" s="348" t="inlineStr">
        <is>
          <t>HTR8</t>
        </is>
      </c>
      <c r="B41" s="291" t="n">
        <v>1</v>
      </c>
      <c r="C41" s="228" t="inlineStr">
        <is>
          <t>6.1</t>
        </is>
      </c>
      <c r="D41" s="212" t="n">
        <v>188.39</v>
      </c>
      <c r="E41" s="212" t="n"/>
    </row>
    <row r="42">
      <c r="A42" s="348" t="inlineStr">
        <is>
          <t>HTR8</t>
        </is>
      </c>
      <c r="B42" s="291" t="n">
        <v>1</v>
      </c>
      <c r="C42" s="228" t="n">
        <v>8</v>
      </c>
      <c r="D42" s="212" t="n">
        <v>32367.49</v>
      </c>
      <c r="E42" s="212" t="n"/>
    </row>
    <row r="43">
      <c r="A43" s="348" t="inlineStr">
        <is>
          <t>HTR8</t>
        </is>
      </c>
      <c r="B43" s="291" t="n">
        <v>1</v>
      </c>
      <c r="C43" s="228" t="n">
        <v>9</v>
      </c>
      <c r="D43" s="212" t="n">
        <v>4091.35</v>
      </c>
      <c r="E43" s="212" t="n"/>
    </row>
    <row r="44">
      <c r="A44" s="348" t="inlineStr">
        <is>
          <t>HTR8</t>
        </is>
      </c>
      <c r="B44" s="291" t="n">
        <v>1</v>
      </c>
      <c r="C44" s="228" t="n">
        <v>10</v>
      </c>
      <c r="D44" s="212" t="n">
        <v>16439.97</v>
      </c>
      <c r="E44" s="212" t="n"/>
    </row>
    <row r="45">
      <c r="A45" s="348" t="inlineStr">
        <is>
          <t>HTR8</t>
        </is>
      </c>
      <c r="B45" s="291" t="n">
        <v>1</v>
      </c>
      <c r="C45" s="228" t="n">
        <v>11</v>
      </c>
      <c r="D45" s="212" t="n">
        <v>3301.84</v>
      </c>
      <c r="E45" s="212" t="n"/>
    </row>
    <row r="46">
      <c r="A46" s="348" t="inlineStr">
        <is>
          <t>HTR8</t>
        </is>
      </c>
      <c r="B46" s="291" t="n">
        <v>1</v>
      </c>
      <c r="C46" s="228" t="n">
        <v>15</v>
      </c>
      <c r="D46" s="212" t="n">
        <v>142.58</v>
      </c>
      <c r="E46" s="212" t="n"/>
    </row>
    <row r="47">
      <c r="A47" s="348" t="inlineStr">
        <is>
          <t>HTR8</t>
        </is>
      </c>
      <c r="B47" s="291" t="n">
        <v>1</v>
      </c>
      <c r="C47" s="228" t="n">
        <v>16</v>
      </c>
      <c r="D47" s="212" t="n">
        <v>84.34</v>
      </c>
      <c r="E47" s="212" t="n"/>
    </row>
    <row r="48">
      <c r="A48" s="348" t="inlineStr">
        <is>
          <t>HTR8</t>
        </is>
      </c>
      <c r="B48" s="291" t="n">
        <v>1</v>
      </c>
      <c r="C48" s="228" t="n">
        <v>17</v>
      </c>
      <c r="D48" s="212" t="n">
        <v>1491.67</v>
      </c>
      <c r="E48" s="212" t="n"/>
    </row>
    <row r="49">
      <c r="A49" s="348" t="inlineStr">
        <is>
          <t>HTR8</t>
        </is>
      </c>
      <c r="B49" s="291" t="n">
        <v>1</v>
      </c>
      <c r="C49" s="228" t="n">
        <v>18</v>
      </c>
      <c r="D49" s="212" t="n">
        <v>2543.97</v>
      </c>
      <c r="E49" s="212" t="n"/>
    </row>
    <row r="50">
      <c r="A50" s="348" t="inlineStr">
        <is>
          <t>HTR8</t>
        </is>
      </c>
      <c r="B50" s="291" t="n">
        <v>1</v>
      </c>
      <c r="C50" s="228" t="n">
        <v>19</v>
      </c>
      <c r="D50" s="212" t="n">
        <v>7707.87</v>
      </c>
      <c r="E50" s="212" t="n"/>
    </row>
    <row r="51">
      <c r="A51" s="348" t="inlineStr">
        <is>
          <t>HTR8</t>
        </is>
      </c>
      <c r="B51" s="291" t="n">
        <v>1</v>
      </c>
      <c r="C51" s="228" t="n">
        <v>22</v>
      </c>
      <c r="D51" s="212" t="n">
        <v>7686.7</v>
      </c>
      <c r="E51" s="212" t="n"/>
    </row>
    <row r="52">
      <c r="A52" s="348" t="inlineStr">
        <is>
          <t>HTR8</t>
        </is>
      </c>
      <c r="B52" s="291" t="n">
        <v>1</v>
      </c>
      <c r="C52" s="228" t="n">
        <v>23</v>
      </c>
      <c r="D52" s="212" t="n">
        <v>3657.71</v>
      </c>
      <c r="E52" s="212" t="n"/>
    </row>
    <row r="53">
      <c r="A53" s="348" t="inlineStr">
        <is>
          <t>HTR8</t>
        </is>
      </c>
      <c r="B53" s="291" t="n">
        <v>1</v>
      </c>
      <c r="C53" s="228" t="n">
        <v>24</v>
      </c>
      <c r="D53" s="212" t="n">
        <v>10289.59</v>
      </c>
      <c r="E53" s="212" t="n"/>
    </row>
    <row r="54">
      <c r="A54" s="348" t="inlineStr">
        <is>
          <t>HTR8</t>
        </is>
      </c>
      <c r="B54" s="291" t="n">
        <v>1</v>
      </c>
      <c r="C54" s="228" t="n">
        <v>25</v>
      </c>
      <c r="D54" s="212" t="n">
        <v>2747.15</v>
      </c>
      <c r="E54" s="212" t="n"/>
    </row>
    <row r="55">
      <c r="A55" s="348" t="inlineStr">
        <is>
          <t>HTR8</t>
        </is>
      </c>
      <c r="B55" s="291" t="n">
        <v>1</v>
      </c>
      <c r="C55" s="228" t="n">
        <v>26</v>
      </c>
      <c r="D55" s="212" t="n">
        <v>31.35</v>
      </c>
      <c r="E55" s="212" t="n"/>
    </row>
    <row r="56">
      <c r="A56" s="348" t="inlineStr">
        <is>
          <t>HTR8</t>
        </is>
      </c>
      <c r="B56" s="291" t="n">
        <v>1</v>
      </c>
      <c r="C56" s="228" t="n">
        <v>27</v>
      </c>
      <c r="D56" s="212" t="n">
        <v>393.76</v>
      </c>
      <c r="E56" s="212" t="n"/>
    </row>
    <row r="57">
      <c r="A57" s="348" t="inlineStr">
        <is>
          <t>HTR8</t>
        </is>
      </c>
      <c r="B57" s="291" t="n">
        <v>1</v>
      </c>
      <c r="C57" s="228" t="n">
        <v>29</v>
      </c>
      <c r="D57" s="212" t="n">
        <v>32032.24</v>
      </c>
      <c r="E57" s="212" t="n"/>
    </row>
    <row r="58">
      <c r="A58" s="348" t="inlineStr">
        <is>
          <t>HTR8</t>
        </is>
      </c>
      <c r="B58" s="291" t="n">
        <v>1</v>
      </c>
      <c r="C58" s="228" t="n">
        <v>31</v>
      </c>
      <c r="D58" s="212" t="n">
        <v>-423.12</v>
      </c>
      <c r="E58" s="212" t="n"/>
    </row>
    <row r="59">
      <c r="A59" s="348" t="inlineStr">
        <is>
          <t>HTR8</t>
        </is>
      </c>
      <c r="B59" s="291" t="n">
        <v>1</v>
      </c>
      <c r="C59" s="228" t="n">
        <v>33</v>
      </c>
      <c r="D59" s="212" t="n">
        <v>465</v>
      </c>
      <c r="E59" s="212" t="n"/>
    </row>
    <row r="60">
      <c r="A60" s="348" t="inlineStr">
        <is>
          <t>HTR8</t>
        </is>
      </c>
      <c r="B60" s="291" t="n">
        <v>1</v>
      </c>
      <c r="C60" s="228" t="n">
        <v>34</v>
      </c>
      <c r="D60" s="212" t="n">
        <v>9706.74</v>
      </c>
      <c r="E60" s="212" t="n"/>
    </row>
    <row r="61">
      <c r="A61" s="348" t="inlineStr">
        <is>
          <t>HTR8</t>
        </is>
      </c>
      <c r="B61" s="291" t="n">
        <v>1</v>
      </c>
      <c r="C61" s="228" t="n">
        <v>35</v>
      </c>
      <c r="D61" s="212" t="n">
        <v>986</v>
      </c>
      <c r="E61" s="212" t="n"/>
    </row>
    <row r="62">
      <c r="A62" s="348" t="inlineStr">
        <is>
          <t>HTR8</t>
        </is>
      </c>
      <c r="B62" s="291" t="n">
        <v>1</v>
      </c>
      <c r="C62" s="228" t="n">
        <v>36</v>
      </c>
      <c r="D62" s="212" t="n">
        <v>1121.86</v>
      </c>
      <c r="E62" s="212" t="n"/>
    </row>
    <row r="63">
      <c r="A63" s="348" t="inlineStr">
        <is>
          <t>HTR8</t>
        </is>
      </c>
      <c r="B63" s="291" t="n">
        <v>1</v>
      </c>
      <c r="C63" s="228" t="n">
        <v>37</v>
      </c>
      <c r="D63" s="212" t="n">
        <v>2075.25</v>
      </c>
      <c r="E63" s="212" t="n"/>
    </row>
    <row r="64">
      <c r="A64" s="348" t="inlineStr">
        <is>
          <t>HTR8</t>
        </is>
      </c>
      <c r="B64" s="291" t="n">
        <v>1</v>
      </c>
      <c r="C64" s="228" t="n">
        <v>38</v>
      </c>
      <c r="D64" s="212" t="n">
        <v>5620</v>
      </c>
      <c r="E64" s="212" t="n"/>
    </row>
    <row r="65">
      <c r="A65" s="348" t="inlineStr">
        <is>
          <t>HTR8</t>
        </is>
      </c>
      <c r="B65" s="291" t="n">
        <v>1</v>
      </c>
      <c r="C65" s="228" t="n">
        <v>40</v>
      </c>
      <c r="D65" s="212" t="n">
        <v>3032.3</v>
      </c>
      <c r="E65" s="212" t="n"/>
    </row>
    <row r="66">
      <c r="A66" s="348" t="inlineStr">
        <is>
          <t>HTR8</t>
        </is>
      </c>
      <c r="B66" s="291" t="n">
        <v>1</v>
      </c>
      <c r="C66" s="228" t="n">
        <v>42</v>
      </c>
      <c r="D66" s="212" t="n">
        <v>21.24</v>
      </c>
      <c r="E66" s="212" t="n"/>
    </row>
    <row r="67">
      <c r="A67" s="348" t="inlineStr">
        <is>
          <t>HTR8</t>
        </is>
      </c>
      <c r="B67" s="291" t="n">
        <v>1</v>
      </c>
      <c r="C67" s="228" t="n">
        <v>46</v>
      </c>
      <c r="D67" s="212" t="n">
        <v>12933.33</v>
      </c>
      <c r="E67" s="212" t="n"/>
    </row>
    <row r="68">
      <c r="A68" s="348" t="inlineStr">
        <is>
          <t>HTR8</t>
        </is>
      </c>
      <c r="B68" s="291" t="n">
        <v>1</v>
      </c>
      <c r="C68" s="228" t="inlineStr">
        <is>
          <t>41.1</t>
        </is>
      </c>
      <c r="D68" s="212" t="n">
        <v>-2720.48</v>
      </c>
      <c r="E68" s="212" t="n"/>
    </row>
    <row r="69">
      <c r="A69" s="348" t="inlineStr">
        <is>
          <t>HTR8</t>
        </is>
      </c>
      <c r="B69" s="291" t="n">
        <v>1</v>
      </c>
      <c r="C69" s="228" t="inlineStr">
        <is>
          <t>41.2</t>
        </is>
      </c>
      <c r="D69" s="212" t="n">
        <v>2182.52</v>
      </c>
      <c r="E69" s="212" t="n"/>
    </row>
    <row r="70">
      <c r="A70" s="348" t="inlineStr">
        <is>
          <t>TIRR</t>
        </is>
      </c>
      <c r="B70" s="291" t="n">
        <v>1</v>
      </c>
      <c r="C70" s="228" t="n">
        <v>2</v>
      </c>
      <c r="D70" s="212" t="n">
        <v>-258424.23</v>
      </c>
      <c r="E70" s="212" t="n"/>
    </row>
    <row r="71">
      <c r="A71" s="348" t="inlineStr">
        <is>
          <t>TIRR</t>
        </is>
      </c>
      <c r="B71" s="291" t="n">
        <v>1</v>
      </c>
      <c r="C71" s="228" t="n">
        <v>3</v>
      </c>
      <c r="D71" s="212" t="n">
        <v>55349.04</v>
      </c>
      <c r="E71" s="212" t="n"/>
    </row>
    <row r="72">
      <c r="A72" s="348" t="inlineStr">
        <is>
          <t>TIRR</t>
        </is>
      </c>
      <c r="B72" s="291" t="n">
        <v>1</v>
      </c>
      <c r="C72" s="228" t="n">
        <v>4</v>
      </c>
      <c r="D72" s="212" t="n">
        <v>901.77</v>
      </c>
      <c r="E72" s="212" t="n"/>
    </row>
    <row r="73">
      <c r="A73" s="348" t="inlineStr">
        <is>
          <t>TIRR</t>
        </is>
      </c>
      <c r="B73" s="291" t="n">
        <v>1</v>
      </c>
      <c r="C73" s="228" t="n">
        <v>5</v>
      </c>
      <c r="D73" s="212" t="n">
        <v>1196.79</v>
      </c>
      <c r="E73" s="212" t="n"/>
    </row>
    <row r="74">
      <c r="A74" s="348" t="inlineStr">
        <is>
          <t>TIRR</t>
        </is>
      </c>
      <c r="B74" s="291" t="n">
        <v>1</v>
      </c>
      <c r="C74" s="228" t="n">
        <v>6</v>
      </c>
      <c r="D74" s="212" t="n">
        <v>5465.52</v>
      </c>
      <c r="E74" s="212" t="n"/>
    </row>
    <row r="75">
      <c r="A75" s="348" t="inlineStr">
        <is>
          <t>TIRR</t>
        </is>
      </c>
      <c r="B75" s="291" t="n">
        <v>1</v>
      </c>
      <c r="C75" s="228" t="inlineStr">
        <is>
          <t>6.1</t>
        </is>
      </c>
      <c r="D75" s="212" t="n">
        <v>654.27</v>
      </c>
      <c r="E75" s="212" t="n"/>
    </row>
    <row r="76">
      <c r="A76" s="348" t="inlineStr">
        <is>
          <t>TIRR</t>
        </is>
      </c>
      <c r="B76" s="291" t="n">
        <v>1</v>
      </c>
      <c r="C76" s="228" t="n">
        <v>8</v>
      </c>
      <c r="D76" s="212" t="n">
        <v>32358.41</v>
      </c>
      <c r="E76" s="212" t="n"/>
    </row>
    <row r="77">
      <c r="A77" s="348" t="inlineStr">
        <is>
          <t>TIRR</t>
        </is>
      </c>
      <c r="B77" s="291" t="n">
        <v>1</v>
      </c>
      <c r="C77" s="228" t="n">
        <v>9</v>
      </c>
      <c r="D77" s="212" t="n">
        <v>4005.03</v>
      </c>
      <c r="E77" s="212" t="n"/>
    </row>
    <row r="78">
      <c r="A78" s="348" t="inlineStr">
        <is>
          <t>TIRR</t>
        </is>
      </c>
      <c r="B78" s="291" t="n">
        <v>1</v>
      </c>
      <c r="C78" s="228" t="n">
        <v>10</v>
      </c>
      <c r="D78" s="212" t="n">
        <v>32370.71</v>
      </c>
      <c r="E78" s="212" t="n"/>
    </row>
    <row r="79">
      <c r="A79" s="348" t="inlineStr">
        <is>
          <t>TIRR</t>
        </is>
      </c>
      <c r="B79" s="291" t="n">
        <v>1</v>
      </c>
      <c r="C79" s="228" t="n">
        <v>11</v>
      </c>
      <c r="D79" s="212" t="n">
        <v>4559.72</v>
      </c>
      <c r="E79" s="212" t="n"/>
    </row>
    <row r="80">
      <c r="A80" s="348" t="inlineStr">
        <is>
          <t>TIRR</t>
        </is>
      </c>
      <c r="B80" s="291" t="n">
        <v>1</v>
      </c>
      <c r="C80" s="228" t="n">
        <v>15</v>
      </c>
      <c r="D80" s="212" t="n">
        <v>325</v>
      </c>
      <c r="E80" s="212" t="n"/>
    </row>
    <row r="81">
      <c r="A81" s="348" t="inlineStr">
        <is>
          <t>TIRR</t>
        </is>
      </c>
      <c r="B81" s="291" t="n">
        <v>1</v>
      </c>
      <c r="C81" s="228" t="n">
        <v>16</v>
      </c>
      <c r="D81" s="212" t="n">
        <v>206.47</v>
      </c>
      <c r="E81" s="212" t="n"/>
    </row>
    <row r="82">
      <c r="A82" s="348" t="inlineStr">
        <is>
          <t>TIRR</t>
        </is>
      </c>
      <c r="B82" s="291" t="n">
        <v>1</v>
      </c>
      <c r="C82" s="228" t="n">
        <v>17</v>
      </c>
      <c r="D82" s="212" t="n">
        <v>1871.06</v>
      </c>
      <c r="E82" s="212" t="n"/>
    </row>
    <row r="83">
      <c r="A83" s="348" t="inlineStr">
        <is>
          <t>TIRR</t>
        </is>
      </c>
      <c r="B83" s="291" t="n">
        <v>1</v>
      </c>
      <c r="C83" s="228" t="n">
        <v>18</v>
      </c>
      <c r="D83" s="212" t="n">
        <v>1469.65</v>
      </c>
      <c r="E83" s="212" t="n"/>
    </row>
    <row r="84">
      <c r="A84" s="348" t="inlineStr">
        <is>
          <t>TIRR</t>
        </is>
      </c>
      <c r="B84" s="291" t="n">
        <v>1</v>
      </c>
      <c r="C84" s="228" t="n">
        <v>19</v>
      </c>
      <c r="D84" s="212" t="n">
        <v>6942.23</v>
      </c>
      <c r="E84" s="212" t="n"/>
    </row>
    <row r="85">
      <c r="A85" s="348" t="inlineStr">
        <is>
          <t>TIRR</t>
        </is>
      </c>
      <c r="B85" s="291" t="n">
        <v>1</v>
      </c>
      <c r="C85" s="228" t="n">
        <v>21</v>
      </c>
      <c r="D85" s="212" t="n">
        <v>5911.41</v>
      </c>
      <c r="E85" s="212" t="n"/>
    </row>
    <row r="86">
      <c r="A86" s="348" t="inlineStr">
        <is>
          <t>TIRR</t>
        </is>
      </c>
      <c r="B86" s="291" t="n">
        <v>1</v>
      </c>
      <c r="C86" s="228" t="n">
        <v>22</v>
      </c>
      <c r="D86" s="212" t="n">
        <v>10343.53</v>
      </c>
      <c r="E86" s="212" t="n"/>
    </row>
    <row r="87">
      <c r="A87" s="348" t="inlineStr">
        <is>
          <t>TIRR</t>
        </is>
      </c>
      <c r="B87" s="291" t="n">
        <v>1</v>
      </c>
      <c r="C87" s="228" t="n">
        <v>23</v>
      </c>
      <c r="D87" s="212" t="n">
        <v>5259.47</v>
      </c>
      <c r="E87" s="212" t="n"/>
    </row>
    <row r="88">
      <c r="A88" s="348" t="inlineStr">
        <is>
          <t>TIRR</t>
        </is>
      </c>
      <c r="B88" s="291" t="n">
        <v>1</v>
      </c>
      <c r="C88" s="228" t="n">
        <v>24</v>
      </c>
      <c r="D88" s="212" t="n">
        <v>12540</v>
      </c>
      <c r="E88" s="212" t="n"/>
    </row>
    <row r="89">
      <c r="A89" s="348" t="inlineStr">
        <is>
          <t>TIRR</t>
        </is>
      </c>
      <c r="B89" s="291" t="n">
        <v>1</v>
      </c>
      <c r="C89" s="228" t="n">
        <v>25</v>
      </c>
      <c r="D89" s="212" t="n">
        <v>818.3099999999999</v>
      </c>
      <c r="E89" s="212" t="n"/>
    </row>
    <row r="90">
      <c r="A90" s="348" t="inlineStr">
        <is>
          <t>TIRR</t>
        </is>
      </c>
      <c r="B90" s="291" t="n">
        <v>1</v>
      </c>
      <c r="C90" s="228" t="n">
        <v>26</v>
      </c>
      <c r="D90" s="212" t="n">
        <v>40.8</v>
      </c>
      <c r="E90" s="212" t="n"/>
    </row>
    <row r="91">
      <c r="A91" s="348" t="inlineStr">
        <is>
          <t>TIRR</t>
        </is>
      </c>
      <c r="B91" s="291" t="n">
        <v>1</v>
      </c>
      <c r="C91" s="228" t="n">
        <v>27</v>
      </c>
      <c r="D91" s="212" t="n">
        <v>615.83</v>
      </c>
      <c r="E91" s="212" t="n"/>
    </row>
    <row r="92">
      <c r="A92" s="348" t="inlineStr">
        <is>
          <t>TIRR</t>
        </is>
      </c>
      <c r="B92" s="291" t="n">
        <v>1</v>
      </c>
      <c r="C92" s="228" t="n">
        <v>29</v>
      </c>
      <c r="D92" s="212" t="n">
        <v>37968.89</v>
      </c>
      <c r="E92" s="212" t="n"/>
    </row>
    <row r="93">
      <c r="A93" s="348" t="inlineStr">
        <is>
          <t>TIRR</t>
        </is>
      </c>
      <c r="B93" s="291" t="n">
        <v>1</v>
      </c>
      <c r="C93" s="228" t="n">
        <v>31</v>
      </c>
      <c r="D93" s="212" t="n">
        <v>-980.37</v>
      </c>
      <c r="E93" s="212" t="n"/>
    </row>
    <row r="94">
      <c r="A94" s="348" t="inlineStr">
        <is>
          <t>TIRR</t>
        </is>
      </c>
      <c r="B94" s="291" t="n">
        <v>1</v>
      </c>
      <c r="C94" s="228" t="n">
        <v>33</v>
      </c>
      <c r="D94" s="212" t="n">
        <v>690</v>
      </c>
      <c r="E94" s="212" t="n"/>
    </row>
    <row r="95">
      <c r="A95" s="348" t="inlineStr">
        <is>
          <t>TIRR</t>
        </is>
      </c>
      <c r="B95" s="291" t="n">
        <v>1</v>
      </c>
      <c r="C95" s="228" t="n">
        <v>34</v>
      </c>
      <c r="D95" s="212" t="n">
        <v>13092.72</v>
      </c>
      <c r="E95" s="212" t="n"/>
    </row>
    <row r="96">
      <c r="A96" s="348" t="inlineStr">
        <is>
          <t>TIRR</t>
        </is>
      </c>
      <c r="B96" s="291" t="n">
        <v>1</v>
      </c>
      <c r="C96" s="228" t="n">
        <v>35</v>
      </c>
      <c r="D96" s="212" t="n">
        <v>977</v>
      </c>
      <c r="E96" s="212" t="n"/>
    </row>
    <row r="97">
      <c r="A97" s="348" t="inlineStr">
        <is>
          <t>TIRR</t>
        </is>
      </c>
      <c r="B97" s="291" t="n">
        <v>1</v>
      </c>
      <c r="C97" s="228" t="n">
        <v>36</v>
      </c>
      <c r="D97" s="212" t="n">
        <v>1300</v>
      </c>
      <c r="E97" s="212" t="n"/>
    </row>
    <row r="98">
      <c r="A98" s="348" t="inlineStr">
        <is>
          <t>TIRR</t>
        </is>
      </c>
      <c r="B98" s="291" t="n">
        <v>1</v>
      </c>
      <c r="C98" s="228" t="n">
        <v>37</v>
      </c>
      <c r="D98" s="212" t="n">
        <v>2273.2</v>
      </c>
      <c r="E98" s="212" t="n"/>
    </row>
    <row r="99">
      <c r="A99" s="348" t="inlineStr">
        <is>
          <t>TIRR</t>
        </is>
      </c>
      <c r="B99" s="291" t="n">
        <v>1</v>
      </c>
      <c r="C99" s="228" t="n">
        <v>38</v>
      </c>
      <c r="D99" s="212" t="n">
        <v>12458</v>
      </c>
      <c r="E99" s="212" t="n"/>
    </row>
    <row r="100">
      <c r="A100" s="348" t="inlineStr">
        <is>
          <t>TIRR</t>
        </is>
      </c>
      <c r="B100" s="291" t="n">
        <v>1</v>
      </c>
      <c r="C100" s="228" t="n">
        <v>40</v>
      </c>
      <c r="D100" s="212" t="n">
        <v>3467.3</v>
      </c>
      <c r="E100" s="212" t="n"/>
    </row>
    <row r="101">
      <c r="A101" s="348" t="inlineStr">
        <is>
          <t>TIRR</t>
        </is>
      </c>
      <c r="B101" s="291" t="n">
        <v>1</v>
      </c>
      <c r="C101" s="228" t="n">
        <v>42</v>
      </c>
      <c r="D101" s="212" t="n">
        <v>82.28</v>
      </c>
      <c r="E101" s="212" t="n"/>
    </row>
    <row r="102">
      <c r="A102" s="348" t="inlineStr">
        <is>
          <t>TIRR</t>
        </is>
      </c>
      <c r="B102" s="291" t="n">
        <v>1</v>
      </c>
      <c r="C102" s="228" t="n">
        <v>46</v>
      </c>
      <c r="D102" s="212" t="n">
        <v>18958.33</v>
      </c>
      <c r="E102" s="212" t="n"/>
    </row>
    <row r="103">
      <c r="A103" s="348" t="inlineStr">
        <is>
          <t>TIRR</t>
        </is>
      </c>
      <c r="B103" s="291" t="n">
        <v>1</v>
      </c>
      <c r="C103" s="228" t="inlineStr">
        <is>
          <t>41.1</t>
        </is>
      </c>
      <c r="D103" s="212" t="n">
        <v>-3430.18</v>
      </c>
      <c r="E103" s="212" t="n"/>
    </row>
    <row r="104">
      <c r="A104" s="348" t="inlineStr">
        <is>
          <t>TIRR</t>
        </is>
      </c>
      <c r="B104" s="291" t="n">
        <v>1</v>
      </c>
      <c r="C104" s="228" t="inlineStr">
        <is>
          <t>41.2</t>
        </is>
      </c>
      <c r="D104" s="212" t="n">
        <v>3626.97</v>
      </c>
      <c r="E104" s="212" t="n"/>
    </row>
    <row r="105">
      <c r="A105" s="348" t="inlineStr">
        <is>
          <t>TIRR</t>
        </is>
      </c>
      <c r="B105" s="291" t="n">
        <v>1</v>
      </c>
      <c r="C105" s="228" t="e">
        <v>#N/A</v>
      </c>
      <c r="D105" s="212" t="n">
        <v>-169533.33</v>
      </c>
      <c r="E105" s="212" t="n"/>
    </row>
    <row r="106">
      <c r="A106" s="348" t="inlineStr">
        <is>
          <t>VR7</t>
        </is>
      </c>
      <c r="B106" s="291" t="n">
        <v>1</v>
      </c>
      <c r="C106" s="228" t="n">
        <v>2</v>
      </c>
      <c r="D106" s="212" t="n">
        <v>-382463.66</v>
      </c>
      <c r="E106" s="212" t="n"/>
    </row>
    <row r="107">
      <c r="A107" s="348" t="inlineStr">
        <is>
          <t>VR7</t>
        </is>
      </c>
      <c r="B107" s="291" t="n">
        <v>1</v>
      </c>
      <c r="C107" s="228" t="n">
        <v>3</v>
      </c>
      <c r="D107" s="212" t="n">
        <v>78619.38</v>
      </c>
      <c r="E107" s="212" t="n"/>
    </row>
    <row r="108">
      <c r="A108" s="348" t="inlineStr">
        <is>
          <t>VR7</t>
        </is>
      </c>
      <c r="B108" s="291" t="n">
        <v>1</v>
      </c>
      <c r="C108" s="228" t="n">
        <v>4</v>
      </c>
      <c r="D108" s="212" t="n">
        <v>1705.16</v>
      </c>
      <c r="E108" s="212" t="n"/>
    </row>
    <row r="109">
      <c r="A109" s="348" t="inlineStr">
        <is>
          <t>VR7</t>
        </is>
      </c>
      <c r="B109" s="291" t="n">
        <v>1</v>
      </c>
      <c r="C109" s="228" t="n">
        <v>5</v>
      </c>
      <c r="D109" s="212" t="n">
        <v>1608.8</v>
      </c>
      <c r="E109" s="212" t="n"/>
    </row>
    <row r="110">
      <c r="A110" s="348" t="inlineStr">
        <is>
          <t>VR7</t>
        </is>
      </c>
      <c r="B110" s="291" t="n">
        <v>1</v>
      </c>
      <c r="C110" s="228" t="n">
        <v>6</v>
      </c>
      <c r="D110" s="212" t="n">
        <v>8425.219999999999</v>
      </c>
      <c r="E110" s="212" t="n"/>
    </row>
    <row r="111">
      <c r="A111" s="348" t="inlineStr">
        <is>
          <t>VR7</t>
        </is>
      </c>
      <c r="B111" s="291" t="n">
        <v>1</v>
      </c>
      <c r="C111" s="228" t="inlineStr">
        <is>
          <t>6.1</t>
        </is>
      </c>
      <c r="D111" s="212" t="n">
        <v>317.51</v>
      </c>
      <c r="E111" s="212" t="n"/>
    </row>
    <row r="112">
      <c r="A112" s="348" t="inlineStr">
        <is>
          <t>VR7</t>
        </is>
      </c>
      <c r="B112" s="291" t="n">
        <v>1</v>
      </c>
      <c r="C112" s="228" t="n">
        <v>8</v>
      </c>
      <c r="D112" s="212" t="n">
        <v>61266.04</v>
      </c>
      <c r="E112" s="212" t="n"/>
    </row>
    <row r="113">
      <c r="A113" s="348" t="inlineStr">
        <is>
          <t>VR7</t>
        </is>
      </c>
      <c r="B113" s="291" t="n">
        <v>1</v>
      </c>
      <c r="C113" s="228" t="n">
        <v>9</v>
      </c>
      <c r="D113" s="212" t="n">
        <v>8219.290000000001</v>
      </c>
      <c r="E113" s="212" t="n"/>
    </row>
    <row r="114">
      <c r="A114" s="348" t="inlineStr">
        <is>
          <t>VR7</t>
        </is>
      </c>
      <c r="B114" s="291" t="n">
        <v>1</v>
      </c>
      <c r="C114" s="228" t="n">
        <v>10</v>
      </c>
      <c r="D114" s="212" t="n">
        <v>27377.73</v>
      </c>
      <c r="E114" s="212" t="n"/>
    </row>
    <row r="115">
      <c r="A115" s="348" t="inlineStr">
        <is>
          <t>VR7</t>
        </is>
      </c>
      <c r="B115" s="291" t="n">
        <v>1</v>
      </c>
      <c r="C115" s="228" t="n">
        <v>11</v>
      </c>
      <c r="D115" s="212" t="n">
        <v>5340.29</v>
      </c>
      <c r="E115" s="212" t="n"/>
    </row>
    <row r="116">
      <c r="A116" s="348" t="inlineStr">
        <is>
          <t>VR7</t>
        </is>
      </c>
      <c r="B116" s="291" t="n">
        <v>1</v>
      </c>
      <c r="C116" s="228" t="n">
        <v>15</v>
      </c>
      <c r="D116" s="212" t="n">
        <v>281.25</v>
      </c>
      <c r="E116" s="212" t="n"/>
    </row>
    <row r="117">
      <c r="A117" s="348" t="inlineStr">
        <is>
          <t>VR7</t>
        </is>
      </c>
      <c r="B117" s="291" t="n">
        <v>1</v>
      </c>
      <c r="C117" s="228" t="n">
        <v>16</v>
      </c>
      <c r="D117" s="212" t="n">
        <v>81.47</v>
      </c>
      <c r="E117" s="212" t="n"/>
    </row>
    <row r="118">
      <c r="A118" s="348" t="inlineStr">
        <is>
          <t>VR7</t>
        </is>
      </c>
      <c r="B118" s="291" t="n">
        <v>1</v>
      </c>
      <c r="C118" s="228" t="n">
        <v>17</v>
      </c>
      <c r="D118" s="212" t="n">
        <v>2864.41</v>
      </c>
      <c r="E118" s="212" t="n"/>
    </row>
    <row r="119">
      <c r="A119" s="348" t="inlineStr">
        <is>
          <t>VR7</t>
        </is>
      </c>
      <c r="B119" s="291" t="n">
        <v>1</v>
      </c>
      <c r="C119" s="228" t="n">
        <v>18</v>
      </c>
      <c r="D119" s="212" t="n">
        <v>1074.64</v>
      </c>
      <c r="E119" s="212" t="n"/>
    </row>
    <row r="120">
      <c r="A120" s="348" t="inlineStr">
        <is>
          <t>VR7</t>
        </is>
      </c>
      <c r="B120" s="291" t="n">
        <v>1</v>
      </c>
      <c r="C120" s="228" t="n">
        <v>19</v>
      </c>
      <c r="D120" s="212" t="n">
        <v>7886.51</v>
      </c>
      <c r="E120" s="212" t="n"/>
    </row>
    <row r="121">
      <c r="A121" s="348" t="inlineStr">
        <is>
          <t>VR7</t>
        </is>
      </c>
      <c r="B121" s="291" t="n">
        <v>1</v>
      </c>
      <c r="C121" s="228" t="n">
        <v>21</v>
      </c>
      <c r="D121" s="212" t="n">
        <v>3907.89</v>
      </c>
      <c r="E121" s="212" t="n"/>
    </row>
    <row r="122">
      <c r="A122" s="348" t="inlineStr">
        <is>
          <t>VR7</t>
        </is>
      </c>
      <c r="B122" s="291" t="n">
        <v>1</v>
      </c>
      <c r="C122" s="228" t="n">
        <v>22</v>
      </c>
      <c r="D122" s="212" t="n">
        <v>15282.82</v>
      </c>
      <c r="E122" s="212" t="n"/>
    </row>
    <row r="123">
      <c r="A123" s="348" t="inlineStr">
        <is>
          <t>VR7</t>
        </is>
      </c>
      <c r="B123" s="291" t="n">
        <v>1</v>
      </c>
      <c r="C123" s="228" t="n">
        <v>23</v>
      </c>
      <c r="D123" s="212" t="n">
        <v>6491.47</v>
      </c>
      <c r="E123" s="212" t="n"/>
    </row>
    <row r="124">
      <c r="A124" s="348" t="inlineStr">
        <is>
          <t>VR7</t>
        </is>
      </c>
      <c r="B124" s="291" t="n">
        <v>1</v>
      </c>
      <c r="C124" s="228" t="n">
        <v>24</v>
      </c>
      <c r="D124" s="212" t="n">
        <v>11356.53</v>
      </c>
      <c r="E124" s="212" t="n"/>
    </row>
    <row r="125">
      <c r="A125" s="348" t="inlineStr">
        <is>
          <t>VR7</t>
        </is>
      </c>
      <c r="B125" s="291" t="n">
        <v>1</v>
      </c>
      <c r="C125" s="228" t="n">
        <v>25</v>
      </c>
      <c r="D125" s="212" t="n">
        <v>2187.75</v>
      </c>
      <c r="E125" s="212" t="n"/>
    </row>
    <row r="126">
      <c r="A126" s="348" t="inlineStr">
        <is>
          <t>VR7</t>
        </is>
      </c>
      <c r="B126" s="291" t="n">
        <v>1</v>
      </c>
      <c r="C126" s="228" t="n">
        <v>27</v>
      </c>
      <c r="D126" s="212" t="n">
        <v>460.73</v>
      </c>
      <c r="E126" s="212" t="n"/>
    </row>
    <row r="127">
      <c r="A127" s="348" t="inlineStr">
        <is>
          <t>VR7</t>
        </is>
      </c>
      <c r="B127" s="291" t="n">
        <v>1</v>
      </c>
      <c r="C127" s="228" t="n">
        <v>29</v>
      </c>
      <c r="D127" s="212" t="n">
        <v>59949.17</v>
      </c>
      <c r="E127" s="212" t="n"/>
    </row>
    <row r="128">
      <c r="A128" s="348" t="inlineStr">
        <is>
          <t>VR7</t>
        </is>
      </c>
      <c r="B128" s="291" t="n">
        <v>1</v>
      </c>
      <c r="C128" s="228" t="n">
        <v>31</v>
      </c>
      <c r="D128" s="212" t="n">
        <v>-963.25</v>
      </c>
      <c r="E128" s="212" t="n"/>
    </row>
    <row r="129">
      <c r="A129" s="348" t="inlineStr">
        <is>
          <t>VR7</t>
        </is>
      </c>
      <c r="B129" s="291" t="n">
        <v>1</v>
      </c>
      <c r="C129" s="228" t="n">
        <v>33</v>
      </c>
      <c r="D129" s="212" t="n">
        <v>1100</v>
      </c>
      <c r="E129" s="212" t="n"/>
    </row>
    <row r="130">
      <c r="A130" s="348" t="inlineStr">
        <is>
          <t>VR7</t>
        </is>
      </c>
      <c r="B130" s="291" t="n">
        <v>1</v>
      </c>
      <c r="C130" s="228" t="n">
        <v>34</v>
      </c>
      <c r="D130" s="212" t="n">
        <v>19338.44</v>
      </c>
      <c r="E130" s="212" t="n"/>
    </row>
    <row r="131">
      <c r="A131" s="348" t="inlineStr">
        <is>
          <t>VR7</t>
        </is>
      </c>
      <c r="B131" s="291" t="n">
        <v>1</v>
      </c>
      <c r="C131" s="228" t="n">
        <v>35</v>
      </c>
      <c r="D131" s="212" t="n">
        <v>1649</v>
      </c>
      <c r="E131" s="212" t="n"/>
    </row>
    <row r="132">
      <c r="A132" s="348" t="inlineStr">
        <is>
          <t>VR7</t>
        </is>
      </c>
      <c r="B132" s="291" t="n">
        <v>1</v>
      </c>
      <c r="C132" s="228" t="n">
        <v>36</v>
      </c>
      <c r="D132" s="212" t="n">
        <v>1541.86</v>
      </c>
      <c r="E132" s="212" t="n"/>
    </row>
    <row r="133">
      <c r="A133" s="348" t="inlineStr">
        <is>
          <t>VR7</t>
        </is>
      </c>
      <c r="B133" s="291" t="n">
        <v>1</v>
      </c>
      <c r="C133" s="228" t="n">
        <v>37</v>
      </c>
      <c r="D133" s="212" t="n">
        <v>4006.61</v>
      </c>
      <c r="E133" s="212" t="n"/>
    </row>
    <row r="134">
      <c r="A134" s="348" t="inlineStr">
        <is>
          <t>VR7</t>
        </is>
      </c>
      <c r="B134" s="291" t="n">
        <v>1</v>
      </c>
      <c r="C134" s="228" t="n">
        <v>38</v>
      </c>
      <c r="D134" s="212" t="n">
        <v>23000</v>
      </c>
      <c r="E134" s="212" t="n"/>
    </row>
    <row r="135">
      <c r="A135" s="348" t="inlineStr">
        <is>
          <t>VR7</t>
        </is>
      </c>
      <c r="B135" s="291" t="n">
        <v>1</v>
      </c>
      <c r="C135" s="228" t="n">
        <v>40</v>
      </c>
      <c r="D135" s="212" t="n">
        <v>2279.71</v>
      </c>
      <c r="E135" s="212" t="n"/>
    </row>
    <row r="136">
      <c r="A136" s="348" t="inlineStr">
        <is>
          <t>VR7</t>
        </is>
      </c>
      <c r="B136" s="291" t="n">
        <v>1</v>
      </c>
      <c r="C136" s="228" t="n">
        <v>42</v>
      </c>
      <c r="D136" s="212" t="n">
        <v>438.64</v>
      </c>
      <c r="E136" s="212" t="n"/>
    </row>
    <row r="137">
      <c r="A137" s="348" t="inlineStr">
        <is>
          <t>VR7</t>
        </is>
      </c>
      <c r="B137" s="291" t="n">
        <v>1</v>
      </c>
      <c r="C137" s="228" t="n">
        <v>45</v>
      </c>
      <c r="D137" s="212" t="n">
        <v>0</v>
      </c>
      <c r="E137" s="212" t="n"/>
    </row>
    <row r="138">
      <c r="A138" s="348" t="inlineStr">
        <is>
          <t>VR7</t>
        </is>
      </c>
      <c r="B138" s="291" t="n">
        <v>1</v>
      </c>
      <c r="C138" s="228" t="n">
        <v>46</v>
      </c>
      <c r="D138" s="212" t="n">
        <v>26891.75</v>
      </c>
      <c r="E138" s="212" t="n"/>
    </row>
    <row r="139">
      <c r="A139" s="348" t="inlineStr">
        <is>
          <t>VR7</t>
        </is>
      </c>
      <c r="B139" s="291" t="n">
        <v>1</v>
      </c>
      <c r="C139" s="228" t="inlineStr">
        <is>
          <t>41.1</t>
        </is>
      </c>
      <c r="D139" s="212" t="n">
        <v>-4305.17</v>
      </c>
      <c r="E139" s="212" t="n"/>
    </row>
    <row r="140">
      <c r="A140" s="348" t="inlineStr">
        <is>
          <t>VR7</t>
        </is>
      </c>
      <c r="B140" s="291" t="n">
        <v>1</v>
      </c>
      <c r="C140" s="228" t="inlineStr">
        <is>
          <t>41.2</t>
        </is>
      </c>
      <c r="D140" s="212" t="n">
        <v>2820.3</v>
      </c>
      <c r="E140" s="212" t="n"/>
    </row>
    <row r="141">
      <c r="A141" s="348" t="inlineStr">
        <is>
          <t>VR7</t>
        </is>
      </c>
      <c r="B141" s="291" t="n">
        <v>1</v>
      </c>
      <c r="C141" s="228" t="e">
        <v>#N/A</v>
      </c>
      <c r="D141" s="212" t="n">
        <v>-57295.28</v>
      </c>
      <c r="E141" s="212" t="n"/>
    </row>
    <row r="142">
      <c r="A142" s="348" t="inlineStr">
        <is>
          <t>TURVILLA</t>
        </is>
      </c>
      <c r="B142" s="291" t="n">
        <v>1</v>
      </c>
      <c r="C142" s="228" t="n">
        <v>2</v>
      </c>
      <c r="D142" s="212" t="n">
        <v>-448803.22</v>
      </c>
      <c r="E142" s="212" t="n"/>
    </row>
    <row r="143">
      <c r="A143" s="348" t="inlineStr">
        <is>
          <t>TURVILLA</t>
        </is>
      </c>
      <c r="B143" s="291" t="n">
        <v>1</v>
      </c>
      <c r="C143" s="228" t="n">
        <v>3</v>
      </c>
      <c r="D143" s="212" t="n">
        <v>99520.28</v>
      </c>
      <c r="E143" s="212" t="n"/>
    </row>
    <row r="144">
      <c r="A144" s="348" t="inlineStr">
        <is>
          <t>TURVILLA</t>
        </is>
      </c>
      <c r="B144" s="291" t="n">
        <v>1</v>
      </c>
      <c r="C144" s="228" t="n">
        <v>4</v>
      </c>
      <c r="D144" s="212" t="n">
        <v>1842.96</v>
      </c>
      <c r="E144" s="212" t="n"/>
    </row>
    <row r="145">
      <c r="A145" s="348" t="inlineStr">
        <is>
          <t>TURVILLA</t>
        </is>
      </c>
      <c r="B145" s="291" t="n">
        <v>1</v>
      </c>
      <c r="C145" s="228" t="n">
        <v>5</v>
      </c>
      <c r="D145" s="212" t="n">
        <v>1770.54</v>
      </c>
      <c r="E145" s="212" t="n"/>
    </row>
    <row r="146">
      <c r="A146" s="348" t="inlineStr">
        <is>
          <t>TURVILLA</t>
        </is>
      </c>
      <c r="B146" s="291" t="n">
        <v>1</v>
      </c>
      <c r="C146" s="228" t="n">
        <v>6</v>
      </c>
      <c r="D146" s="212" t="n">
        <v>9144.110000000001</v>
      </c>
      <c r="E146" s="212" t="n"/>
    </row>
    <row r="147">
      <c r="A147" s="348" t="inlineStr">
        <is>
          <t>TURVILLA</t>
        </is>
      </c>
      <c r="B147" s="291" t="n">
        <v>1</v>
      </c>
      <c r="C147" s="228" t="inlineStr">
        <is>
          <t>6.1</t>
        </is>
      </c>
      <c r="D147" s="212" t="n">
        <v>3089.11</v>
      </c>
      <c r="E147" s="212" t="n"/>
    </row>
    <row r="148">
      <c r="A148" s="348" t="inlineStr">
        <is>
          <t>TURVILLA</t>
        </is>
      </c>
      <c r="B148" s="291" t="n">
        <v>1</v>
      </c>
      <c r="C148" s="228" t="n">
        <v>8</v>
      </c>
      <c r="D148" s="212" t="n">
        <v>79042.67</v>
      </c>
      <c r="E148" s="212" t="n"/>
    </row>
    <row r="149">
      <c r="A149" s="348" t="inlineStr">
        <is>
          <t>TURVILLA</t>
        </is>
      </c>
      <c r="B149" s="291" t="n">
        <v>1</v>
      </c>
      <c r="C149" s="228" t="n">
        <v>9</v>
      </c>
      <c r="D149" s="212" t="n">
        <v>8981.559999999999</v>
      </c>
      <c r="E149" s="212" t="n"/>
    </row>
    <row r="150">
      <c r="A150" s="348" t="inlineStr">
        <is>
          <t>TURVILLA</t>
        </is>
      </c>
      <c r="B150" s="291" t="n">
        <v>1</v>
      </c>
      <c r="C150" s="228" t="n">
        <v>10</v>
      </c>
      <c r="D150" s="212" t="n">
        <v>17063.32</v>
      </c>
      <c r="E150" s="212" t="n"/>
    </row>
    <row r="151">
      <c r="A151" s="348" t="inlineStr">
        <is>
          <t>TURVILLA</t>
        </is>
      </c>
      <c r="B151" s="291" t="n">
        <v>1</v>
      </c>
      <c r="C151" s="228" t="n">
        <v>11</v>
      </c>
      <c r="D151" s="212" t="n">
        <v>4516.06</v>
      </c>
      <c r="E151" s="212" t="n"/>
    </row>
    <row r="152">
      <c r="A152" s="348" t="inlineStr">
        <is>
          <t>TURVILLA</t>
        </is>
      </c>
      <c r="B152" s="291" t="n">
        <v>1</v>
      </c>
      <c r="C152" s="228" t="n">
        <v>16</v>
      </c>
      <c r="D152" s="212" t="n">
        <v>29</v>
      </c>
      <c r="E152" s="212" t="n"/>
    </row>
    <row r="153">
      <c r="A153" s="348" t="inlineStr">
        <is>
          <t>TURVILLA</t>
        </is>
      </c>
      <c r="B153" s="291" t="n">
        <v>1</v>
      </c>
      <c r="C153" s="228" t="n">
        <v>17</v>
      </c>
      <c r="D153" s="212" t="n">
        <v>4199.69</v>
      </c>
      <c r="E153" s="212" t="n"/>
    </row>
    <row r="154">
      <c r="A154" s="348" t="inlineStr">
        <is>
          <t>TURVILLA</t>
        </is>
      </c>
      <c r="B154" s="291" t="n">
        <v>1</v>
      </c>
      <c r="C154" s="228" t="n">
        <v>18</v>
      </c>
      <c r="D154" s="212" t="n">
        <v>1632.07</v>
      </c>
      <c r="E154" s="212" t="n"/>
    </row>
    <row r="155">
      <c r="A155" s="348" t="inlineStr">
        <is>
          <t>TURVILLA</t>
        </is>
      </c>
      <c r="B155" s="291" t="n">
        <v>1</v>
      </c>
      <c r="C155" s="228" t="n">
        <v>19</v>
      </c>
      <c r="D155" s="212" t="n">
        <v>9083.879999999999</v>
      </c>
      <c r="E155" s="212" t="n"/>
    </row>
    <row r="156">
      <c r="A156" s="348" t="inlineStr">
        <is>
          <t>TURVILLA</t>
        </is>
      </c>
      <c r="B156" s="291" t="n">
        <v>1</v>
      </c>
      <c r="C156" s="228" t="n">
        <v>21</v>
      </c>
      <c r="D156" s="212" t="n">
        <v>1308.83</v>
      </c>
      <c r="E156" s="212" t="n"/>
    </row>
    <row r="157">
      <c r="A157" s="348" t="inlineStr">
        <is>
          <t>TURVILLA</t>
        </is>
      </c>
      <c r="B157" s="291" t="n">
        <v>1</v>
      </c>
      <c r="C157" s="228" t="n">
        <v>22</v>
      </c>
      <c r="D157" s="212" t="n">
        <v>17994.57</v>
      </c>
      <c r="E157" s="212" t="n"/>
    </row>
    <row r="158">
      <c r="A158" s="348" t="inlineStr">
        <is>
          <t>TURVILLA</t>
        </is>
      </c>
      <c r="B158" s="291" t="n">
        <v>1</v>
      </c>
      <c r="C158" s="228" t="n">
        <v>23</v>
      </c>
      <c r="D158" s="212" t="n">
        <v>7457.26</v>
      </c>
      <c r="E158" s="212" t="n"/>
    </row>
    <row r="159">
      <c r="A159" s="348" t="inlineStr">
        <is>
          <t>TURVILLA</t>
        </is>
      </c>
      <c r="B159" s="291" t="n">
        <v>1</v>
      </c>
      <c r="C159" s="228" t="n">
        <v>24</v>
      </c>
      <c r="D159" s="212" t="n">
        <v>13424</v>
      </c>
      <c r="E159" s="212" t="n"/>
    </row>
    <row r="160">
      <c r="A160" s="348" t="inlineStr">
        <is>
          <t>TURVILLA</t>
        </is>
      </c>
      <c r="B160" s="291" t="n">
        <v>1</v>
      </c>
      <c r="C160" s="228" t="n">
        <v>25</v>
      </c>
      <c r="D160" s="212" t="n">
        <v>4207.96</v>
      </c>
      <c r="E160" s="212" t="n"/>
    </row>
    <row r="161">
      <c r="A161" s="348" t="inlineStr">
        <is>
          <t>TURVILLA</t>
        </is>
      </c>
      <c r="B161" s="291" t="n">
        <v>1</v>
      </c>
      <c r="C161" s="228" t="n">
        <v>26</v>
      </c>
      <c r="D161" s="212" t="n">
        <v>20.32</v>
      </c>
      <c r="E161" s="212" t="n"/>
    </row>
    <row r="162">
      <c r="A162" s="348" t="inlineStr">
        <is>
          <t>TURVILLA</t>
        </is>
      </c>
      <c r="B162" s="291" t="n">
        <v>1</v>
      </c>
      <c r="C162" s="228" t="n">
        <v>27</v>
      </c>
      <c r="D162" s="212" t="n">
        <v>2809.24</v>
      </c>
      <c r="E162" s="212" t="n"/>
    </row>
    <row r="163">
      <c r="A163" s="348" t="inlineStr">
        <is>
          <t>TURVILLA</t>
        </is>
      </c>
      <c r="B163" s="291" t="n">
        <v>1</v>
      </c>
      <c r="C163" s="228" t="n">
        <v>29</v>
      </c>
      <c r="D163" s="212" t="n">
        <v>63901.78</v>
      </c>
      <c r="E163" s="212" t="n"/>
    </row>
    <row r="164">
      <c r="A164" s="348" t="inlineStr">
        <is>
          <t>TURVILLA</t>
        </is>
      </c>
      <c r="B164" s="291" t="n">
        <v>1</v>
      </c>
      <c r="C164" s="228" t="n">
        <v>30</v>
      </c>
      <c r="D164" s="212" t="n">
        <v>1624.14</v>
      </c>
      <c r="E164" s="212" t="n"/>
    </row>
    <row r="165">
      <c r="A165" s="348" t="inlineStr">
        <is>
          <t>TURVILLA</t>
        </is>
      </c>
      <c r="B165" s="291" t="n">
        <v>1</v>
      </c>
      <c r="C165" s="228" t="n">
        <v>31</v>
      </c>
      <c r="D165" s="212" t="n">
        <v>-3959.6</v>
      </c>
      <c r="E165" s="212" t="n"/>
    </row>
    <row r="166">
      <c r="A166" s="348" t="inlineStr">
        <is>
          <t>TURVILLA</t>
        </is>
      </c>
      <c r="B166" s="291" t="n">
        <v>1</v>
      </c>
      <c r="C166" s="228" t="n">
        <v>33</v>
      </c>
      <c r="D166" s="212" t="n">
        <v>816</v>
      </c>
      <c r="E166" s="212" t="n"/>
    </row>
    <row r="167">
      <c r="A167" s="348" t="inlineStr">
        <is>
          <t>TURVILLA</t>
        </is>
      </c>
      <c r="B167" s="291" t="n">
        <v>1</v>
      </c>
      <c r="C167" s="228" t="n">
        <v>34</v>
      </c>
      <c r="D167" s="212" t="n">
        <v>22822.06</v>
      </c>
      <c r="E167" s="212" t="n"/>
    </row>
    <row r="168">
      <c r="A168" s="348" t="inlineStr">
        <is>
          <t>TURVILLA</t>
        </is>
      </c>
      <c r="B168" s="291" t="n">
        <v>1</v>
      </c>
      <c r="C168" s="228" t="n">
        <v>35</v>
      </c>
      <c r="D168" s="212" t="n">
        <v>1502</v>
      </c>
      <c r="E168" s="212" t="n"/>
    </row>
    <row r="169">
      <c r="A169" s="348" t="inlineStr">
        <is>
          <t>TURVILLA</t>
        </is>
      </c>
      <c r="B169" s="291" t="n">
        <v>1</v>
      </c>
      <c r="C169" s="228" t="n">
        <v>36</v>
      </c>
      <c r="D169" s="212" t="n">
        <v>1798.64</v>
      </c>
      <c r="E169" s="212" t="n"/>
    </row>
    <row r="170">
      <c r="A170" s="348" t="inlineStr">
        <is>
          <t>TURVILLA</t>
        </is>
      </c>
      <c r="B170" s="291" t="n">
        <v>1</v>
      </c>
      <c r="C170" s="228" t="n">
        <v>37</v>
      </c>
      <c r="D170" s="212" t="n">
        <v>3809.51</v>
      </c>
      <c r="E170" s="212" t="n"/>
    </row>
    <row r="171">
      <c r="A171" s="348" t="inlineStr">
        <is>
          <t>TURVILLA</t>
        </is>
      </c>
      <c r="B171" s="291" t="n">
        <v>1</v>
      </c>
      <c r="C171" s="228" t="n">
        <v>38</v>
      </c>
      <c r="D171" s="212" t="n">
        <v>27578.74</v>
      </c>
      <c r="E171" s="212" t="n"/>
    </row>
    <row r="172">
      <c r="A172" s="348" t="inlineStr">
        <is>
          <t>TURVILLA</t>
        </is>
      </c>
      <c r="B172" s="291" t="n">
        <v>1</v>
      </c>
      <c r="C172" s="228" t="n">
        <v>40</v>
      </c>
      <c r="D172" s="212" t="n">
        <v>1162.94</v>
      </c>
      <c r="E172" s="212" t="n"/>
    </row>
    <row r="173">
      <c r="A173" s="348" t="inlineStr">
        <is>
          <t>TURVILLA</t>
        </is>
      </c>
      <c r="B173" s="291" t="n">
        <v>1</v>
      </c>
      <c r="C173" s="228" t="n">
        <v>42</v>
      </c>
      <c r="D173" s="212" t="n">
        <v>722.5599999999999</v>
      </c>
      <c r="E173" s="212" t="n"/>
    </row>
    <row r="174">
      <c r="A174" s="348" t="inlineStr">
        <is>
          <t>TURVILLA</t>
        </is>
      </c>
      <c r="B174" s="291" t="n">
        <v>1</v>
      </c>
      <c r="C174" s="228" t="n">
        <v>46</v>
      </c>
      <c r="D174" s="212" t="n">
        <v>32952</v>
      </c>
      <c r="E174" s="212" t="n"/>
    </row>
    <row r="175">
      <c r="A175" s="348" t="inlineStr">
        <is>
          <t>TURVILLA</t>
        </is>
      </c>
      <c r="B175" s="291" t="n">
        <v>1</v>
      </c>
      <c r="C175" s="228" t="inlineStr">
        <is>
          <t>41.1</t>
        </is>
      </c>
      <c r="D175" s="212" t="n">
        <v>-7638.04</v>
      </c>
      <c r="E175" s="212" t="n"/>
    </row>
    <row r="176">
      <c r="A176" s="348" t="inlineStr">
        <is>
          <t>TURVILLA</t>
        </is>
      </c>
      <c r="B176" s="291" t="n">
        <v>1</v>
      </c>
      <c r="C176" s="228" t="inlineStr">
        <is>
          <t>41.2</t>
        </is>
      </c>
      <c r="D176" s="212" t="n">
        <v>7088.84</v>
      </c>
      <c r="E176" s="212" t="n"/>
    </row>
    <row r="177">
      <c r="A177" s="348" t="inlineStr">
        <is>
          <t>HART</t>
        </is>
      </c>
      <c r="B177" s="291" t="n">
        <v>1</v>
      </c>
      <c r="C177" s="228" t="n">
        <v>2</v>
      </c>
      <c r="D177" s="212" t="n">
        <v>-242390</v>
      </c>
      <c r="E177" s="212" t="n"/>
    </row>
    <row r="178">
      <c r="A178" s="348" t="inlineStr">
        <is>
          <t>HART</t>
        </is>
      </c>
      <c r="B178" s="291" t="n">
        <v>1</v>
      </c>
      <c r="C178" s="228" t="n">
        <v>3</v>
      </c>
      <c r="D178" s="212" t="n">
        <v>52826.01</v>
      </c>
      <c r="E178" s="212" t="n"/>
    </row>
    <row r="179">
      <c r="A179" s="348" t="inlineStr">
        <is>
          <t>HART</t>
        </is>
      </c>
      <c r="B179" s="291" t="n">
        <v>1</v>
      </c>
      <c r="C179" s="228" t="n">
        <v>4</v>
      </c>
      <c r="D179" s="212" t="n">
        <v>1231.93</v>
      </c>
      <c r="E179" s="212" t="n"/>
    </row>
    <row r="180">
      <c r="A180" s="348" t="inlineStr">
        <is>
          <t>HART</t>
        </is>
      </c>
      <c r="B180" s="291" t="n">
        <v>1</v>
      </c>
      <c r="C180" s="228" t="n">
        <v>5</v>
      </c>
      <c r="D180" s="212" t="n">
        <v>1503.01</v>
      </c>
      <c r="E180" s="212" t="n"/>
    </row>
    <row r="181">
      <c r="A181" s="348" t="inlineStr">
        <is>
          <t>HART</t>
        </is>
      </c>
      <c r="B181" s="291" t="n">
        <v>1</v>
      </c>
      <c r="C181" s="228" t="n">
        <v>6</v>
      </c>
      <c r="D181" s="212" t="n">
        <v>4996.81</v>
      </c>
      <c r="E181" s="212" t="n"/>
    </row>
    <row r="182">
      <c r="A182" s="348" t="inlineStr">
        <is>
          <t>HART</t>
        </is>
      </c>
      <c r="B182" s="291" t="n">
        <v>1</v>
      </c>
      <c r="C182" s="228" t="inlineStr">
        <is>
          <t>6.1</t>
        </is>
      </c>
      <c r="D182" s="212" t="n">
        <v>-24.32</v>
      </c>
      <c r="E182" s="212" t="n"/>
    </row>
    <row r="183">
      <c r="A183" s="348" t="inlineStr">
        <is>
          <t>HART</t>
        </is>
      </c>
      <c r="B183" s="291" t="n">
        <v>1</v>
      </c>
      <c r="C183" s="228" t="n">
        <v>8</v>
      </c>
      <c r="D183" s="212" t="n">
        <v>43283.99</v>
      </c>
      <c r="E183" s="212" t="n"/>
    </row>
    <row r="184">
      <c r="A184" s="348" t="inlineStr">
        <is>
          <t>HART</t>
        </is>
      </c>
      <c r="B184" s="291" t="n">
        <v>1</v>
      </c>
      <c r="C184" s="228" t="n">
        <v>9</v>
      </c>
      <c r="D184" s="212" t="n">
        <v>4934.94</v>
      </c>
      <c r="E184" s="212" t="n"/>
    </row>
    <row r="185">
      <c r="A185" s="348" t="inlineStr">
        <is>
          <t>HART</t>
        </is>
      </c>
      <c r="B185" s="291" t="n">
        <v>1</v>
      </c>
      <c r="C185" s="228" t="n">
        <v>10</v>
      </c>
      <c r="D185" s="212" t="n">
        <v>15393.56</v>
      </c>
      <c r="E185" s="212" t="n"/>
    </row>
    <row r="186">
      <c r="A186" s="348" t="inlineStr">
        <is>
          <t>HART</t>
        </is>
      </c>
      <c r="B186" s="291" t="n">
        <v>1</v>
      </c>
      <c r="C186" s="228" t="n">
        <v>11</v>
      </c>
      <c r="D186" s="212" t="n">
        <v>3484.86</v>
      </c>
      <c r="E186" s="212" t="n"/>
    </row>
    <row r="187">
      <c r="A187" s="348" t="inlineStr">
        <is>
          <t>HART</t>
        </is>
      </c>
      <c r="B187" s="291" t="n">
        <v>1</v>
      </c>
      <c r="C187" s="228" t="n">
        <v>15</v>
      </c>
      <c r="D187" s="212" t="n">
        <v>280</v>
      </c>
      <c r="E187" s="212" t="n"/>
    </row>
    <row r="188">
      <c r="A188" s="348" t="inlineStr">
        <is>
          <t>HART</t>
        </is>
      </c>
      <c r="B188" s="291" t="n">
        <v>1</v>
      </c>
      <c r="C188" s="228" t="n">
        <v>16</v>
      </c>
      <c r="D188" s="212" t="n">
        <v>77.44</v>
      </c>
      <c r="E188" s="212" t="n"/>
    </row>
    <row r="189">
      <c r="A189" s="348" t="inlineStr">
        <is>
          <t>HART</t>
        </is>
      </c>
      <c r="B189" s="291" t="n">
        <v>1</v>
      </c>
      <c r="C189" s="228" t="n">
        <v>17</v>
      </c>
      <c r="D189" s="212" t="n">
        <v>2128.66</v>
      </c>
      <c r="E189" s="212" t="n"/>
    </row>
    <row r="190">
      <c r="A190" s="348" t="inlineStr">
        <is>
          <t>HART</t>
        </is>
      </c>
      <c r="B190" s="291" t="n">
        <v>1</v>
      </c>
      <c r="C190" s="228" t="n">
        <v>18</v>
      </c>
      <c r="D190" s="212" t="n">
        <v>1022.47</v>
      </c>
      <c r="E190" s="212" t="n"/>
    </row>
    <row r="191">
      <c r="A191" s="348" t="inlineStr">
        <is>
          <t>HART</t>
        </is>
      </c>
      <c r="B191" s="291" t="n">
        <v>1</v>
      </c>
      <c r="C191" s="228" t="n">
        <v>19</v>
      </c>
      <c r="D191" s="212" t="n">
        <v>8960.969999999999</v>
      </c>
      <c r="E191" s="212" t="n"/>
    </row>
    <row r="192">
      <c r="A192" s="348" t="inlineStr">
        <is>
          <t>HART</t>
        </is>
      </c>
      <c r="B192" s="291" t="n">
        <v>1</v>
      </c>
      <c r="C192" s="228" t="n">
        <v>22</v>
      </c>
      <c r="D192" s="212" t="n">
        <v>9716.950000000001</v>
      </c>
      <c r="E192" s="212" t="n"/>
    </row>
    <row r="193">
      <c r="A193" s="348" t="inlineStr">
        <is>
          <t>HART</t>
        </is>
      </c>
      <c r="B193" s="291" t="n">
        <v>1</v>
      </c>
      <c r="C193" s="228" t="n">
        <v>23</v>
      </c>
      <c r="D193" s="212" t="n">
        <v>6144.66</v>
      </c>
      <c r="E193" s="212" t="n"/>
    </row>
    <row r="194">
      <c r="A194" s="348" t="inlineStr">
        <is>
          <t>HART</t>
        </is>
      </c>
      <c r="B194" s="291" t="n">
        <v>1</v>
      </c>
      <c r="C194" s="228" t="n">
        <v>24</v>
      </c>
      <c r="D194" s="212" t="n">
        <v>10150</v>
      </c>
      <c r="E194" s="212" t="n"/>
    </row>
    <row r="195">
      <c r="A195" s="348" t="inlineStr">
        <is>
          <t>HART</t>
        </is>
      </c>
      <c r="B195" s="291" t="n">
        <v>1</v>
      </c>
      <c r="C195" s="228" t="n">
        <v>25</v>
      </c>
      <c r="D195" s="212" t="n">
        <v>2218.45</v>
      </c>
      <c r="E195" s="212" t="n"/>
    </row>
    <row r="196">
      <c r="A196" s="348" t="inlineStr">
        <is>
          <t>HART</t>
        </is>
      </c>
      <c r="B196" s="291" t="n">
        <v>1</v>
      </c>
      <c r="C196" s="228" t="n">
        <v>27</v>
      </c>
      <c r="D196" s="212" t="n">
        <v>317.89</v>
      </c>
      <c r="E196" s="212" t="n"/>
    </row>
    <row r="197">
      <c r="A197" s="348" t="inlineStr">
        <is>
          <t>HART</t>
        </is>
      </c>
      <c r="B197" s="291" t="n">
        <v>1</v>
      </c>
      <c r="C197" s="228" t="n">
        <v>29</v>
      </c>
      <c r="D197" s="212" t="n">
        <v>35628.19</v>
      </c>
      <c r="E197" s="212" t="n"/>
    </row>
    <row r="198">
      <c r="A198" s="348" t="inlineStr">
        <is>
          <t>HART</t>
        </is>
      </c>
      <c r="B198" s="291" t="n">
        <v>1</v>
      </c>
      <c r="C198" s="228" t="n">
        <v>31</v>
      </c>
      <c r="D198" s="212" t="n">
        <v>-543.76</v>
      </c>
      <c r="E198" s="212" t="n"/>
    </row>
    <row r="199">
      <c r="A199" s="348" t="inlineStr">
        <is>
          <t>HART</t>
        </is>
      </c>
      <c r="B199" s="291" t="n">
        <v>1</v>
      </c>
      <c r="C199" s="228" t="n">
        <v>33</v>
      </c>
      <c r="D199" s="212" t="n">
        <v>545</v>
      </c>
      <c r="E199" s="212" t="n"/>
    </row>
    <row r="200">
      <c r="A200" s="348" t="inlineStr">
        <is>
          <t>HART</t>
        </is>
      </c>
      <c r="B200" s="291" t="n">
        <v>1</v>
      </c>
      <c r="C200" s="228" t="n">
        <v>34</v>
      </c>
      <c r="D200" s="212" t="n">
        <v>12285.58</v>
      </c>
      <c r="E200" s="212" t="n"/>
    </row>
    <row r="201">
      <c r="A201" s="348" t="inlineStr">
        <is>
          <t>HART</t>
        </is>
      </c>
      <c r="B201" s="291" t="n">
        <v>1</v>
      </c>
      <c r="C201" s="228" t="n">
        <v>35</v>
      </c>
      <c r="D201" s="212" t="n">
        <v>1086.5</v>
      </c>
      <c r="E201" s="212" t="n"/>
    </row>
    <row r="202">
      <c r="A202" s="348" t="inlineStr">
        <is>
          <t>HART</t>
        </is>
      </c>
      <c r="B202" s="291" t="n">
        <v>1</v>
      </c>
      <c r="C202" s="228" t="n">
        <v>36</v>
      </c>
      <c r="D202" s="212" t="n">
        <v>1000</v>
      </c>
      <c r="E202" s="212" t="n"/>
    </row>
    <row r="203">
      <c r="A203" s="348" t="inlineStr">
        <is>
          <t>HART</t>
        </is>
      </c>
      <c r="B203" s="291" t="n">
        <v>1</v>
      </c>
      <c r="C203" s="228" t="n">
        <v>37</v>
      </c>
      <c r="D203" s="212" t="n">
        <v>1998.74</v>
      </c>
      <c r="E203" s="212" t="n"/>
    </row>
    <row r="204">
      <c r="A204" s="348" t="inlineStr">
        <is>
          <t>HART</t>
        </is>
      </c>
      <c r="B204" s="291" t="n">
        <v>1</v>
      </c>
      <c r="C204" s="228" t="n">
        <v>38</v>
      </c>
      <c r="D204" s="212" t="n">
        <v>10000</v>
      </c>
      <c r="E204" s="212" t="n"/>
    </row>
    <row r="205">
      <c r="A205" s="348" t="inlineStr">
        <is>
          <t>HART</t>
        </is>
      </c>
      <c r="B205" s="291" t="n">
        <v>1</v>
      </c>
      <c r="C205" s="228" t="n">
        <v>46</v>
      </c>
      <c r="D205" s="212" t="n">
        <v>16333.33</v>
      </c>
      <c r="E205" s="212" t="n"/>
    </row>
    <row r="206">
      <c r="A206" s="348" t="inlineStr">
        <is>
          <t>HART</t>
        </is>
      </c>
      <c r="B206" s="291" t="n">
        <v>1</v>
      </c>
      <c r="C206" s="228" t="inlineStr">
        <is>
          <t>41.1</t>
        </is>
      </c>
      <c r="D206" s="212" t="n">
        <v>-3321.64</v>
      </c>
      <c r="E206" s="212" t="n"/>
    </row>
    <row r="207">
      <c r="A207" s="348" t="inlineStr">
        <is>
          <t>HART</t>
        </is>
      </c>
      <c r="B207" s="291" t="n">
        <v>1</v>
      </c>
      <c r="C207" s="228" t="inlineStr">
        <is>
          <t>41.2</t>
        </is>
      </c>
      <c r="D207" s="212" t="n">
        <v>1446.43</v>
      </c>
      <c r="E207" s="212" t="n"/>
    </row>
    <row r="208">
      <c r="A208" s="348" t="inlineStr">
        <is>
          <t>HART</t>
        </is>
      </c>
      <c r="B208" s="291" t="n">
        <v>1</v>
      </c>
      <c r="C208" s="228" t="e">
        <v>#N/A</v>
      </c>
      <c r="D208" s="212" t="n">
        <v>-88682.22</v>
      </c>
      <c r="E208" s="212" t="n"/>
    </row>
    <row r="209">
      <c r="A209" s="348" t="inlineStr">
        <is>
          <t>VICTOIRE</t>
        </is>
      </c>
      <c r="B209" s="291" t="n">
        <v>1</v>
      </c>
      <c r="C209" s="228" t="n">
        <v>2</v>
      </c>
      <c r="D209" s="212" t="n">
        <v>-246524.07</v>
      </c>
      <c r="E209" s="212" t="n"/>
    </row>
    <row r="210">
      <c r="A210" s="348" t="inlineStr">
        <is>
          <t>VICTOIRE</t>
        </is>
      </c>
      <c r="B210" s="291" t="n">
        <v>1</v>
      </c>
      <c r="C210" s="228" t="n">
        <v>3</v>
      </c>
      <c r="D210" s="212" t="n">
        <v>51504.92</v>
      </c>
      <c r="E210" s="212" t="n"/>
    </row>
    <row r="211">
      <c r="A211" s="348" t="inlineStr">
        <is>
          <t>VICTOIRE</t>
        </is>
      </c>
      <c r="B211" s="291" t="n">
        <v>1</v>
      </c>
      <c r="C211" s="228" t="n">
        <v>4</v>
      </c>
      <c r="D211" s="212" t="n">
        <v>1422.71</v>
      </c>
      <c r="E211" s="212" t="n"/>
    </row>
    <row r="212">
      <c r="A212" s="348" t="inlineStr">
        <is>
          <t>VICTOIRE</t>
        </is>
      </c>
      <c r="B212" s="291" t="n">
        <v>1</v>
      </c>
      <c r="C212" s="228" t="n">
        <v>5</v>
      </c>
      <c r="D212" s="212" t="n">
        <v>1576.58</v>
      </c>
      <c r="E212" s="212" t="n"/>
    </row>
    <row r="213">
      <c r="A213" s="348" t="inlineStr">
        <is>
          <t>VICTOIRE</t>
        </is>
      </c>
      <c r="B213" s="291" t="n">
        <v>1</v>
      </c>
      <c r="C213" s="228" t="n">
        <v>6</v>
      </c>
      <c r="D213" s="212" t="n">
        <v>4918.43</v>
      </c>
      <c r="E213" s="212" t="n"/>
    </row>
    <row r="214">
      <c r="A214" s="348" t="inlineStr">
        <is>
          <t>VICTOIRE</t>
        </is>
      </c>
      <c r="B214" s="291" t="n">
        <v>1</v>
      </c>
      <c r="C214" s="228" t="inlineStr">
        <is>
          <t>6.1</t>
        </is>
      </c>
      <c r="D214" s="212" t="n">
        <v>-82.48999999999999</v>
      </c>
      <c r="E214" s="212" t="n"/>
    </row>
    <row r="215">
      <c r="A215" s="348" t="inlineStr">
        <is>
          <t>VICTOIRE</t>
        </is>
      </c>
      <c r="B215" s="291" t="n">
        <v>1</v>
      </c>
      <c r="C215" s="228" t="n">
        <v>8</v>
      </c>
      <c r="D215" s="212" t="n">
        <v>35682.36</v>
      </c>
      <c r="E215" s="212" t="n"/>
    </row>
    <row r="216">
      <c r="A216" s="348" t="inlineStr">
        <is>
          <t>VICTOIRE</t>
        </is>
      </c>
      <c r="B216" s="291" t="n">
        <v>1</v>
      </c>
      <c r="C216" s="228" t="n">
        <v>9</v>
      </c>
      <c r="D216" s="212" t="n">
        <v>3798.85</v>
      </c>
      <c r="E216" s="212" t="n"/>
    </row>
    <row r="217">
      <c r="A217" s="348" t="inlineStr">
        <is>
          <t>VICTOIRE</t>
        </is>
      </c>
      <c r="B217" s="291" t="n">
        <v>1</v>
      </c>
      <c r="C217" s="228" t="n">
        <v>10</v>
      </c>
      <c r="D217" s="212" t="n">
        <v>21454.04</v>
      </c>
      <c r="E217" s="212" t="n"/>
    </row>
    <row r="218">
      <c r="A218" s="348" t="inlineStr">
        <is>
          <t>VICTOIRE</t>
        </is>
      </c>
      <c r="B218" s="291" t="n">
        <v>1</v>
      </c>
      <c r="C218" s="228" t="n">
        <v>11</v>
      </c>
      <c r="D218" s="212" t="n">
        <v>5237.35</v>
      </c>
      <c r="E218" s="212" t="n"/>
    </row>
    <row r="219">
      <c r="A219" s="348" t="inlineStr">
        <is>
          <t>VICTOIRE</t>
        </is>
      </c>
      <c r="B219" s="291" t="n">
        <v>1</v>
      </c>
      <c r="C219" s="228" t="n">
        <v>16</v>
      </c>
      <c r="D219" s="212" t="n">
        <v>57</v>
      </c>
      <c r="E219" s="212" t="n"/>
    </row>
    <row r="220">
      <c r="A220" s="348" t="inlineStr">
        <is>
          <t>VICTOIRE</t>
        </is>
      </c>
      <c r="B220" s="291" t="n">
        <v>1</v>
      </c>
      <c r="C220" s="228" t="n">
        <v>17</v>
      </c>
      <c r="D220" s="212" t="n">
        <v>2042.52</v>
      </c>
      <c r="E220" s="212" t="n"/>
    </row>
    <row r="221">
      <c r="A221" s="348" t="inlineStr">
        <is>
          <t>VICTOIRE</t>
        </is>
      </c>
      <c r="B221" s="291" t="n">
        <v>1</v>
      </c>
      <c r="C221" s="228" t="n">
        <v>18</v>
      </c>
      <c r="D221" s="212" t="n">
        <v>3331.04</v>
      </c>
      <c r="E221" s="212" t="n"/>
    </row>
    <row r="222">
      <c r="A222" s="348" t="inlineStr">
        <is>
          <t>VICTOIRE</t>
        </is>
      </c>
      <c r="B222" s="291" t="n">
        <v>1</v>
      </c>
      <c r="C222" s="228" t="n">
        <v>19</v>
      </c>
      <c r="D222" s="212" t="n">
        <v>8689.08</v>
      </c>
      <c r="E222" s="212" t="n"/>
    </row>
    <row r="223">
      <c r="A223" s="348" t="inlineStr">
        <is>
          <t>VICTOIRE</t>
        </is>
      </c>
      <c r="B223" s="291" t="n">
        <v>1</v>
      </c>
      <c r="C223" s="228" t="n">
        <v>22</v>
      </c>
      <c r="D223" s="212" t="n">
        <v>9870.25</v>
      </c>
      <c r="E223" s="212" t="n"/>
    </row>
    <row r="224">
      <c r="A224" s="348" t="inlineStr">
        <is>
          <t>VICTOIRE</t>
        </is>
      </c>
      <c r="B224" s="291" t="n">
        <v>1</v>
      </c>
      <c r="C224" s="228" t="n">
        <v>23</v>
      </c>
      <c r="D224" s="212" t="n">
        <v>5333.37</v>
      </c>
      <c r="E224" s="212" t="n"/>
    </row>
    <row r="225">
      <c r="A225" s="348" t="inlineStr">
        <is>
          <t>VICTOIRE</t>
        </is>
      </c>
      <c r="B225" s="291" t="n">
        <v>1</v>
      </c>
      <c r="C225" s="228" t="n">
        <v>24</v>
      </c>
      <c r="D225" s="212" t="n">
        <v>9078.49</v>
      </c>
      <c r="E225" s="212" t="n"/>
    </row>
    <row r="226">
      <c r="A226" s="348" t="inlineStr">
        <is>
          <t>VICTOIRE</t>
        </is>
      </c>
      <c r="B226" s="291" t="n">
        <v>1</v>
      </c>
      <c r="C226" s="228" t="n">
        <v>25</v>
      </c>
      <c r="D226" s="212" t="n">
        <v>2315.11</v>
      </c>
      <c r="E226" s="212" t="n"/>
    </row>
    <row r="227">
      <c r="A227" s="348" t="inlineStr">
        <is>
          <t>VICTOIRE</t>
        </is>
      </c>
      <c r="B227" s="291" t="n">
        <v>1</v>
      </c>
      <c r="C227" s="228" t="n">
        <v>26</v>
      </c>
      <c r="D227" s="212" t="n">
        <v>221.43</v>
      </c>
      <c r="E227" s="212" t="n"/>
    </row>
    <row r="228">
      <c r="A228" s="348" t="inlineStr">
        <is>
          <t>VICTOIRE</t>
        </is>
      </c>
      <c r="B228" s="291" t="n">
        <v>1</v>
      </c>
      <c r="C228" s="228" t="n">
        <v>27</v>
      </c>
      <c r="D228" s="212" t="n">
        <v>1222.55</v>
      </c>
      <c r="E228" s="212" t="n"/>
    </row>
    <row r="229">
      <c r="A229" s="348" t="inlineStr">
        <is>
          <t>VICTOIRE</t>
        </is>
      </c>
      <c r="B229" s="291" t="n">
        <v>1</v>
      </c>
      <c r="C229" s="228" t="n">
        <v>29</v>
      </c>
      <c r="D229" s="212" t="n">
        <v>31131.42</v>
      </c>
      <c r="E229" s="212" t="n"/>
    </row>
    <row r="230">
      <c r="A230" s="348" t="inlineStr">
        <is>
          <t>VICTOIRE</t>
        </is>
      </c>
      <c r="B230" s="291" t="n">
        <v>1</v>
      </c>
      <c r="C230" s="228" t="n">
        <v>31</v>
      </c>
      <c r="D230" s="212" t="n">
        <v>-401.63</v>
      </c>
      <c r="E230" s="212" t="n"/>
    </row>
    <row r="231">
      <c r="A231" s="348" t="inlineStr">
        <is>
          <t>VICTOIRE</t>
        </is>
      </c>
      <c r="B231" s="291" t="n">
        <v>1</v>
      </c>
      <c r="C231" s="228" t="n">
        <v>33</v>
      </c>
      <c r="D231" s="212" t="n">
        <v>301.08</v>
      </c>
      <c r="E231" s="212" t="n"/>
    </row>
    <row r="232">
      <c r="A232" s="348" t="inlineStr">
        <is>
          <t>VICTOIRE</t>
        </is>
      </c>
      <c r="B232" s="291" t="n">
        <v>1</v>
      </c>
      <c r="C232" s="228" t="n">
        <v>34</v>
      </c>
      <c r="D232" s="212" t="n">
        <v>12452.57</v>
      </c>
      <c r="E232" s="212" t="n"/>
    </row>
    <row r="233">
      <c r="A233" s="348" t="inlineStr">
        <is>
          <t>VICTOIRE</t>
        </is>
      </c>
      <c r="B233" s="291" t="n">
        <v>1</v>
      </c>
      <c r="C233" s="228" t="n">
        <v>35</v>
      </c>
      <c r="D233" s="212" t="n">
        <v>1302</v>
      </c>
      <c r="E233" s="212" t="n"/>
    </row>
    <row r="234">
      <c r="A234" s="348" t="inlineStr">
        <is>
          <t>VICTOIRE</t>
        </is>
      </c>
      <c r="B234" s="291" t="n">
        <v>1</v>
      </c>
      <c r="C234" s="228" t="n">
        <v>36</v>
      </c>
      <c r="D234" s="212" t="n">
        <v>1040</v>
      </c>
      <c r="E234" s="212" t="n"/>
    </row>
    <row r="235">
      <c r="A235" s="348" t="inlineStr">
        <is>
          <t>VICTOIRE</t>
        </is>
      </c>
      <c r="B235" s="291" t="n">
        <v>1</v>
      </c>
      <c r="C235" s="228" t="n">
        <v>37</v>
      </c>
      <c r="D235" s="212" t="n">
        <v>1671.7</v>
      </c>
      <c r="E235" s="212" t="n"/>
    </row>
    <row r="236">
      <c r="A236" s="348" t="inlineStr">
        <is>
          <t>VICTOIRE</t>
        </is>
      </c>
      <c r="B236" s="291" t="n">
        <v>1</v>
      </c>
      <c r="C236" s="228" t="n">
        <v>38</v>
      </c>
      <c r="D236" s="212" t="n">
        <v>6110</v>
      </c>
      <c r="E236" s="212" t="n"/>
    </row>
    <row r="237">
      <c r="A237" s="348" t="inlineStr">
        <is>
          <t>VICTOIRE</t>
        </is>
      </c>
      <c r="B237" s="291" t="n">
        <v>1</v>
      </c>
      <c r="C237" s="228" t="n">
        <v>40</v>
      </c>
      <c r="D237" s="212" t="n">
        <v>3209.12</v>
      </c>
      <c r="E237" s="212" t="n"/>
    </row>
    <row r="238">
      <c r="A238" s="348" t="inlineStr">
        <is>
          <t>VICTOIRE</t>
        </is>
      </c>
      <c r="B238" s="291" t="n">
        <v>1</v>
      </c>
      <c r="C238" s="228" t="n">
        <v>42</v>
      </c>
      <c r="D238" s="212" t="n">
        <v>23.7</v>
      </c>
      <c r="E238" s="212" t="n"/>
    </row>
    <row r="239">
      <c r="A239" s="348" t="inlineStr">
        <is>
          <t>VICTOIRE</t>
        </is>
      </c>
      <c r="B239" s="291" t="n">
        <v>1</v>
      </c>
      <c r="C239" s="228" t="n">
        <v>46</v>
      </c>
      <c r="D239" s="212" t="n">
        <v>17033</v>
      </c>
      <c r="E239" s="212" t="n"/>
    </row>
    <row r="240">
      <c r="A240" s="348" t="inlineStr">
        <is>
          <t>VICTOIRE</t>
        </is>
      </c>
      <c r="B240" s="291" t="n">
        <v>1</v>
      </c>
      <c r="C240" s="228" t="inlineStr">
        <is>
          <t>41.1</t>
        </is>
      </c>
      <c r="D240" s="212" t="n">
        <v>-2527.3</v>
      </c>
      <c r="E240" s="212" t="n"/>
    </row>
    <row r="241">
      <c r="A241" s="348" t="inlineStr">
        <is>
          <t>VICTOIRE</t>
        </is>
      </c>
      <c r="B241" s="291" t="n">
        <v>1</v>
      </c>
      <c r="C241" s="228" t="inlineStr">
        <is>
          <t>41.2</t>
        </is>
      </c>
      <c r="D241" s="212" t="n">
        <v>2458.47</v>
      </c>
      <c r="E241" s="212" t="n"/>
    </row>
    <row r="242">
      <c r="A242" s="348" t="inlineStr">
        <is>
          <t>VICTOIRE</t>
        </is>
      </c>
      <c r="B242" s="291" t="n">
        <v>1</v>
      </c>
      <c r="C242" s="228" t="e">
        <v>#N/A</v>
      </c>
      <c r="D242" s="212" t="n">
        <v>5046.35</v>
      </c>
      <c r="E242" s="212" t="n"/>
    </row>
    <row r="243">
      <c r="A243" s="348" t="inlineStr">
        <is>
          <t>TH4</t>
        </is>
      </c>
      <c r="B243" s="291" t="n">
        <v>1</v>
      </c>
      <c r="C243" s="228" t="n">
        <v>2</v>
      </c>
      <c r="D243" s="212" t="n">
        <v>-335149.37</v>
      </c>
      <c r="E243" s="212" t="n"/>
    </row>
    <row r="244">
      <c r="A244" s="348" t="inlineStr">
        <is>
          <t>TH4</t>
        </is>
      </c>
      <c r="B244" s="291" t="n">
        <v>1</v>
      </c>
      <c r="C244" s="228" t="n">
        <v>3</v>
      </c>
      <c r="D244" s="212" t="n">
        <v>73811.55</v>
      </c>
      <c r="E244" s="212" t="n"/>
    </row>
    <row r="245">
      <c r="A245" s="348" t="inlineStr">
        <is>
          <t>TH4</t>
        </is>
      </c>
      <c r="B245" s="291" t="n">
        <v>1</v>
      </c>
      <c r="C245" s="228" t="n">
        <v>4</v>
      </c>
      <c r="D245" s="212" t="n">
        <v>1373.44</v>
      </c>
      <c r="E245" s="212" t="n"/>
    </row>
    <row r="246">
      <c r="A246" s="348" t="inlineStr">
        <is>
          <t>TH4</t>
        </is>
      </c>
      <c r="B246" s="291" t="n">
        <v>1</v>
      </c>
      <c r="C246" s="228" t="n">
        <v>5</v>
      </c>
      <c r="D246" s="212" t="n">
        <v>2226.7</v>
      </c>
      <c r="E246" s="212" t="n"/>
    </row>
    <row r="247">
      <c r="A247" s="348" t="inlineStr">
        <is>
          <t>TH4</t>
        </is>
      </c>
      <c r="B247" s="291" t="n">
        <v>1</v>
      </c>
      <c r="C247" s="228" t="n">
        <v>6</v>
      </c>
      <c r="D247" s="212" t="n">
        <v>7311.17</v>
      </c>
      <c r="E247" s="212" t="n"/>
    </row>
    <row r="248">
      <c r="A248" s="348" t="inlineStr">
        <is>
          <t>TH4</t>
        </is>
      </c>
      <c r="B248" s="291" t="n">
        <v>1</v>
      </c>
      <c r="C248" s="228" t="inlineStr">
        <is>
          <t>6.1</t>
        </is>
      </c>
      <c r="D248" s="212" t="n">
        <v>564.77</v>
      </c>
      <c r="E248" s="212" t="n"/>
    </row>
    <row r="249">
      <c r="A249" s="348" t="inlineStr">
        <is>
          <t>TH4</t>
        </is>
      </c>
      <c r="B249" s="291" t="n">
        <v>1</v>
      </c>
      <c r="C249" s="228" t="n">
        <v>8</v>
      </c>
      <c r="D249" s="212" t="n">
        <v>49568.02</v>
      </c>
      <c r="E249" s="212" t="n"/>
    </row>
    <row r="250">
      <c r="A250" s="348" t="inlineStr">
        <is>
          <t>TH4</t>
        </is>
      </c>
      <c r="B250" s="291" t="n">
        <v>1</v>
      </c>
      <c r="C250" s="228" t="n">
        <v>9</v>
      </c>
      <c r="D250" s="212" t="n">
        <v>5728.4</v>
      </c>
      <c r="E250" s="212" t="n"/>
    </row>
    <row r="251">
      <c r="A251" s="348" t="inlineStr">
        <is>
          <t>TH4</t>
        </is>
      </c>
      <c r="B251" s="291" t="n">
        <v>1</v>
      </c>
      <c r="C251" s="228" t="n">
        <v>10</v>
      </c>
      <c r="D251" s="212" t="n">
        <v>21188.22</v>
      </c>
      <c r="E251" s="212" t="n"/>
    </row>
    <row r="252">
      <c r="A252" s="348" t="inlineStr">
        <is>
          <t>TH4</t>
        </is>
      </c>
      <c r="B252" s="291" t="n">
        <v>1</v>
      </c>
      <c r="C252" s="228" t="n">
        <v>11</v>
      </c>
      <c r="D252" s="212" t="n">
        <v>5110.61</v>
      </c>
      <c r="E252" s="212" t="n"/>
    </row>
    <row r="253">
      <c r="A253" s="348" t="inlineStr">
        <is>
          <t>TH4</t>
        </is>
      </c>
      <c r="B253" s="291" t="n">
        <v>1</v>
      </c>
      <c r="C253" s="228" t="n">
        <v>15</v>
      </c>
      <c r="D253" s="212" t="n">
        <v>549.17</v>
      </c>
      <c r="E253" s="212" t="n"/>
    </row>
    <row r="254">
      <c r="A254" s="348" t="inlineStr">
        <is>
          <t>TH4</t>
        </is>
      </c>
      <c r="B254" s="291" t="n">
        <v>1</v>
      </c>
      <c r="C254" s="228" t="n">
        <v>16</v>
      </c>
      <c r="D254" s="212" t="n">
        <v>591.3200000000001</v>
      </c>
      <c r="E254" s="212" t="n"/>
    </row>
    <row r="255">
      <c r="A255" s="348" t="inlineStr">
        <is>
          <t>TH4</t>
        </is>
      </c>
      <c r="B255" s="291" t="n">
        <v>1</v>
      </c>
      <c r="C255" s="228" t="n">
        <v>17</v>
      </c>
      <c r="D255" s="212" t="n">
        <v>2586.32</v>
      </c>
      <c r="E255" s="212" t="n"/>
    </row>
    <row r="256">
      <c r="A256" s="348" t="inlineStr">
        <is>
          <t>TH4</t>
        </is>
      </c>
      <c r="B256" s="291" t="n">
        <v>1</v>
      </c>
      <c r="C256" s="228" t="n">
        <v>18</v>
      </c>
      <c r="D256" s="212" t="n">
        <v>2795.93</v>
      </c>
      <c r="E256" s="212" t="n"/>
    </row>
    <row r="257">
      <c r="A257" s="348" t="inlineStr">
        <is>
          <t>TH4</t>
        </is>
      </c>
      <c r="B257" s="291" t="n">
        <v>1</v>
      </c>
      <c r="C257" s="228" t="n">
        <v>19</v>
      </c>
      <c r="D257" s="212" t="n">
        <v>6464.59</v>
      </c>
      <c r="E257" s="212" t="n"/>
    </row>
    <row r="258">
      <c r="A258" s="348" t="inlineStr">
        <is>
          <t>TH4</t>
        </is>
      </c>
      <c r="B258" s="291" t="n">
        <v>1</v>
      </c>
      <c r="C258" s="228" t="n">
        <v>22</v>
      </c>
      <c r="D258" s="212" t="n">
        <v>13394.96</v>
      </c>
      <c r="E258" s="212" t="n"/>
    </row>
    <row r="259">
      <c r="A259" s="348" t="inlineStr">
        <is>
          <t>TH4</t>
        </is>
      </c>
      <c r="B259" s="291" t="n">
        <v>1</v>
      </c>
      <c r="C259" s="228" t="n">
        <v>23</v>
      </c>
      <c r="D259" s="212" t="n">
        <v>7551.07</v>
      </c>
      <c r="E259" s="212" t="n"/>
    </row>
    <row r="260">
      <c r="A260" s="348" t="inlineStr">
        <is>
          <t>TH4</t>
        </is>
      </c>
      <c r="B260" s="291" t="n">
        <v>1</v>
      </c>
      <c r="C260" s="228" t="n">
        <v>24</v>
      </c>
      <c r="D260" s="212" t="n">
        <v>10821.79</v>
      </c>
      <c r="E260" s="212" t="n"/>
    </row>
    <row r="261">
      <c r="A261" s="348" t="inlineStr">
        <is>
          <t>TH4</t>
        </is>
      </c>
      <c r="B261" s="291" t="n">
        <v>1</v>
      </c>
      <c r="C261" s="228" t="n">
        <v>25</v>
      </c>
      <c r="D261" s="212" t="n">
        <v>2261.69</v>
      </c>
      <c r="E261" s="212" t="n"/>
    </row>
    <row r="262">
      <c r="A262" s="348" t="inlineStr">
        <is>
          <t>TH4</t>
        </is>
      </c>
      <c r="B262" s="291" t="n">
        <v>1</v>
      </c>
      <c r="C262" s="228" t="n">
        <v>26</v>
      </c>
      <c r="D262" s="212" t="n">
        <v>410.44</v>
      </c>
      <c r="E262" s="212" t="n"/>
    </row>
    <row r="263">
      <c r="A263" s="348" t="inlineStr">
        <is>
          <t>TH4</t>
        </is>
      </c>
      <c r="B263" s="291" t="n">
        <v>1</v>
      </c>
      <c r="C263" s="228" t="n">
        <v>27</v>
      </c>
      <c r="D263" s="212" t="n">
        <v>1070</v>
      </c>
      <c r="E263" s="212" t="n"/>
    </row>
    <row r="264">
      <c r="A264" s="348" t="inlineStr">
        <is>
          <t>TH4</t>
        </is>
      </c>
      <c r="B264" s="291" t="n">
        <v>1</v>
      </c>
      <c r="C264" s="228" t="n">
        <v>29</v>
      </c>
      <c r="D264" s="212" t="n">
        <v>47488.38</v>
      </c>
      <c r="E264" s="212" t="n"/>
    </row>
    <row r="265">
      <c r="A265" s="348" t="inlineStr">
        <is>
          <t>TH4</t>
        </is>
      </c>
      <c r="B265" s="291" t="n">
        <v>1</v>
      </c>
      <c r="C265" s="228" t="n">
        <v>31</v>
      </c>
      <c r="D265" s="212" t="n">
        <v>-839.85</v>
      </c>
      <c r="E265" s="212" t="n"/>
    </row>
    <row r="266">
      <c r="A266" s="348" t="inlineStr">
        <is>
          <t>TH4</t>
        </is>
      </c>
      <c r="B266" s="291" t="n">
        <v>1</v>
      </c>
      <c r="C266" s="228" t="n">
        <v>33</v>
      </c>
      <c r="D266" s="212" t="n">
        <v>550</v>
      </c>
      <c r="E266" s="212" t="n"/>
    </row>
    <row r="267">
      <c r="A267" s="348" t="inlineStr">
        <is>
          <t>TH4</t>
        </is>
      </c>
      <c r="B267" s="291" t="n">
        <v>1</v>
      </c>
      <c r="C267" s="228" t="n">
        <v>34</v>
      </c>
      <c r="D267" s="212" t="n">
        <v>16960.13</v>
      </c>
      <c r="E267" s="212" t="n"/>
    </row>
    <row r="268">
      <c r="A268" s="348" t="inlineStr">
        <is>
          <t>TH4</t>
        </is>
      </c>
      <c r="B268" s="291" t="n">
        <v>1</v>
      </c>
      <c r="C268" s="228" t="n">
        <v>35</v>
      </c>
      <c r="D268" s="212" t="n">
        <v>1439</v>
      </c>
      <c r="E268" s="212" t="n"/>
    </row>
    <row r="269">
      <c r="A269" s="348" t="inlineStr">
        <is>
          <t>TH4</t>
        </is>
      </c>
      <c r="B269" s="291" t="n">
        <v>1</v>
      </c>
      <c r="C269" s="228" t="n">
        <v>36</v>
      </c>
      <c r="D269" s="212" t="n">
        <v>1627.8</v>
      </c>
      <c r="E269" s="212" t="n"/>
    </row>
    <row r="270">
      <c r="A270" s="348" t="inlineStr">
        <is>
          <t>TH4</t>
        </is>
      </c>
      <c r="B270" s="291" t="n">
        <v>1</v>
      </c>
      <c r="C270" s="228" t="n">
        <v>37</v>
      </c>
      <c r="D270" s="212" t="n">
        <v>2711.8</v>
      </c>
      <c r="E270" s="212" t="n"/>
    </row>
    <row r="271">
      <c r="A271" s="348" t="inlineStr">
        <is>
          <t>TH4</t>
        </is>
      </c>
      <c r="B271" s="291" t="n">
        <v>1</v>
      </c>
      <c r="C271" s="228" t="n">
        <v>38</v>
      </c>
      <c r="D271" s="212" t="n">
        <v>12000</v>
      </c>
      <c r="E271" s="212" t="n"/>
    </row>
    <row r="272">
      <c r="A272" s="348" t="inlineStr">
        <is>
          <t>TH4</t>
        </is>
      </c>
      <c r="B272" s="291" t="n">
        <v>1</v>
      </c>
      <c r="C272" s="228" t="n">
        <v>40</v>
      </c>
      <c r="D272" s="212" t="n">
        <v>1113.97</v>
      </c>
      <c r="E272" s="212" t="n"/>
    </row>
    <row r="273">
      <c r="A273" s="348" t="inlineStr">
        <is>
          <t>TH4</t>
        </is>
      </c>
      <c r="B273" s="291" t="n">
        <v>1</v>
      </c>
      <c r="C273" s="228" t="n">
        <v>42</v>
      </c>
      <c r="D273" s="212" t="n">
        <v>30.11</v>
      </c>
      <c r="E273" s="212" t="n"/>
    </row>
    <row r="274">
      <c r="A274" s="348" t="inlineStr">
        <is>
          <t>TH4</t>
        </is>
      </c>
      <c r="B274" s="291" t="n">
        <v>1</v>
      </c>
      <c r="C274" s="228" t="n">
        <v>46</v>
      </c>
      <c r="D274" s="212" t="n">
        <v>21233.33</v>
      </c>
      <c r="E274" s="212" t="n"/>
    </row>
    <row r="275">
      <c r="A275" s="348" t="inlineStr">
        <is>
          <t>TH4</t>
        </is>
      </c>
      <c r="B275" s="291" t="n">
        <v>1</v>
      </c>
      <c r="C275" s="228" t="inlineStr">
        <is>
          <t>41.1</t>
        </is>
      </c>
      <c r="D275" s="212" t="n">
        <v>-4053.31</v>
      </c>
      <c r="E275" s="212" t="n"/>
    </row>
    <row r="276">
      <c r="A276" s="348" t="inlineStr">
        <is>
          <t>TH4</t>
        </is>
      </c>
      <c r="B276" s="291" t="n">
        <v>1</v>
      </c>
      <c r="C276" s="228" t="inlineStr">
        <is>
          <t>41.2</t>
        </is>
      </c>
      <c r="D276" s="212" t="n">
        <v>4503.93</v>
      </c>
      <c r="E276" s="212" t="n"/>
    </row>
    <row r="277">
      <c r="A277" s="348" t="inlineStr">
        <is>
          <t>TH4</t>
        </is>
      </c>
      <c r="B277" s="291" t="n">
        <v>1</v>
      </c>
      <c r="C277" s="228" t="e">
        <v>#N/A</v>
      </c>
      <c r="D277" s="212" t="n">
        <v>15003.92</v>
      </c>
      <c r="E277" s="212" t="n"/>
    </row>
    <row r="278">
      <c r="A278" s="348" t="inlineStr">
        <is>
          <t>DIVES</t>
        </is>
      </c>
      <c r="B278" s="291" t="n">
        <v>1</v>
      </c>
      <c r="C278" s="228" t="n">
        <v>2</v>
      </c>
      <c r="D278" s="212" t="n">
        <v>-232055.39</v>
      </c>
      <c r="E278" s="212" t="n"/>
    </row>
    <row r="279">
      <c r="A279" s="348" t="inlineStr">
        <is>
          <t>DIVES</t>
        </is>
      </c>
      <c r="B279" s="291" t="n">
        <v>1</v>
      </c>
      <c r="C279" s="228" t="n">
        <v>3</v>
      </c>
      <c r="D279" s="212" t="n">
        <v>52458.81</v>
      </c>
      <c r="E279" s="212" t="n"/>
    </row>
    <row r="280">
      <c r="A280" s="348" t="inlineStr">
        <is>
          <t>DIVES</t>
        </is>
      </c>
      <c r="B280" s="291" t="n">
        <v>1</v>
      </c>
      <c r="C280" s="228" t="n">
        <v>4</v>
      </c>
      <c r="D280" s="212" t="n">
        <v>854.89</v>
      </c>
      <c r="E280" s="212" t="n"/>
    </row>
    <row r="281">
      <c r="A281" s="348" t="inlineStr">
        <is>
          <t>DIVES</t>
        </is>
      </c>
      <c r="B281" s="291" t="n">
        <v>1</v>
      </c>
      <c r="C281" s="228" t="n">
        <v>5</v>
      </c>
      <c r="D281" s="212" t="n">
        <v>1092.3</v>
      </c>
      <c r="E281" s="212" t="n"/>
    </row>
    <row r="282">
      <c r="A282" s="348" t="inlineStr">
        <is>
          <t>DIVES</t>
        </is>
      </c>
      <c r="B282" s="291" t="n">
        <v>1</v>
      </c>
      <c r="C282" s="228" t="n">
        <v>6</v>
      </c>
      <c r="D282" s="212" t="n">
        <v>5484.25</v>
      </c>
      <c r="E282" s="212" t="n"/>
    </row>
    <row r="283">
      <c r="A283" s="348" t="inlineStr">
        <is>
          <t>DIVES</t>
        </is>
      </c>
      <c r="B283" s="291" t="n">
        <v>1</v>
      </c>
      <c r="C283" s="228" t="inlineStr">
        <is>
          <t>6.1</t>
        </is>
      </c>
      <c r="D283" s="212" t="n">
        <v>805.1799999999999</v>
      </c>
      <c r="E283" s="212" t="n"/>
    </row>
    <row r="284">
      <c r="A284" s="348" t="inlineStr">
        <is>
          <t>DIVES</t>
        </is>
      </c>
      <c r="B284" s="291" t="n">
        <v>1</v>
      </c>
      <c r="C284" s="228" t="n">
        <v>8</v>
      </c>
      <c r="D284" s="212" t="n">
        <v>37599.2</v>
      </c>
      <c r="E284" s="212" t="n"/>
    </row>
    <row r="285">
      <c r="A285" s="348" t="inlineStr">
        <is>
          <t>DIVES</t>
        </is>
      </c>
      <c r="B285" s="291" t="n">
        <v>1</v>
      </c>
      <c r="C285" s="228" t="n">
        <v>9</v>
      </c>
      <c r="D285" s="212" t="n">
        <v>4206.49</v>
      </c>
      <c r="E285" s="212" t="n"/>
    </row>
    <row r="286">
      <c r="A286" s="348" t="inlineStr">
        <is>
          <t>DIVES</t>
        </is>
      </c>
      <c r="B286" s="291" t="n">
        <v>1</v>
      </c>
      <c r="C286" s="228" t="n">
        <v>10</v>
      </c>
      <c r="D286" s="212" t="n">
        <v>15344.28</v>
      </c>
      <c r="E286" s="212" t="n"/>
    </row>
    <row r="287">
      <c r="A287" s="348" t="inlineStr">
        <is>
          <t>DIVES</t>
        </is>
      </c>
      <c r="B287" s="291" t="n">
        <v>1</v>
      </c>
      <c r="C287" s="228" t="n">
        <v>11</v>
      </c>
      <c r="D287" s="212" t="n">
        <v>4070.07</v>
      </c>
      <c r="E287" s="212" t="n"/>
    </row>
    <row r="288">
      <c r="A288" s="348" t="inlineStr">
        <is>
          <t>DIVES</t>
        </is>
      </c>
      <c r="B288" s="291" t="n">
        <v>1</v>
      </c>
      <c r="C288" s="228" t="n">
        <v>15</v>
      </c>
      <c r="D288" s="212" t="n">
        <v>3290</v>
      </c>
      <c r="E288" s="212" t="n"/>
    </row>
    <row r="289">
      <c r="A289" s="348" t="inlineStr">
        <is>
          <t>DIVES</t>
        </is>
      </c>
      <c r="B289" s="291" t="n">
        <v>1</v>
      </c>
      <c r="C289" s="228" t="n">
        <v>16</v>
      </c>
      <c r="D289" s="212" t="n">
        <v>562.13</v>
      </c>
      <c r="E289" s="212" t="n"/>
    </row>
    <row r="290">
      <c r="A290" s="348" t="inlineStr">
        <is>
          <t>DIVES</t>
        </is>
      </c>
      <c r="B290" s="291" t="n">
        <v>1</v>
      </c>
      <c r="C290" s="228" t="n">
        <v>17</v>
      </c>
      <c r="D290" s="212" t="n">
        <v>2239.54</v>
      </c>
      <c r="E290" s="212" t="n"/>
    </row>
    <row r="291">
      <c r="A291" s="348" t="inlineStr">
        <is>
          <t>DIVES</t>
        </is>
      </c>
      <c r="B291" s="291" t="n">
        <v>1</v>
      </c>
      <c r="C291" s="228" t="n">
        <v>18</v>
      </c>
      <c r="D291" s="212" t="n">
        <v>2581.67</v>
      </c>
      <c r="E291" s="212" t="n"/>
    </row>
    <row r="292">
      <c r="A292" s="348" t="inlineStr">
        <is>
          <t>DIVES</t>
        </is>
      </c>
      <c r="B292" s="291" t="n">
        <v>1</v>
      </c>
      <c r="C292" s="228" t="n">
        <v>19</v>
      </c>
      <c r="D292" s="212" t="n">
        <v>7111.06</v>
      </c>
      <c r="E292" s="212" t="n"/>
    </row>
    <row r="293">
      <c r="A293" s="348" t="inlineStr">
        <is>
          <t>DIVES</t>
        </is>
      </c>
      <c r="B293" s="291" t="n">
        <v>1</v>
      </c>
      <c r="C293" s="228" t="n">
        <v>22</v>
      </c>
      <c r="D293" s="212" t="n">
        <v>9273.610000000001</v>
      </c>
      <c r="E293" s="212" t="n"/>
    </row>
    <row r="294">
      <c r="A294" s="348" t="inlineStr">
        <is>
          <t>DIVES</t>
        </is>
      </c>
      <c r="B294" s="291" t="n">
        <v>1</v>
      </c>
      <c r="C294" s="228" t="n">
        <v>23</v>
      </c>
      <c r="D294" s="212" t="n">
        <v>5320.34</v>
      </c>
      <c r="E294" s="212" t="n"/>
    </row>
    <row r="295">
      <c r="A295" s="348" t="inlineStr">
        <is>
          <t>DIVES</t>
        </is>
      </c>
      <c r="B295" s="291" t="n">
        <v>1</v>
      </c>
      <c r="C295" s="228" t="n">
        <v>24</v>
      </c>
      <c r="D295" s="212" t="n">
        <v>9487.799999999999</v>
      </c>
      <c r="E295" s="212" t="n"/>
    </row>
    <row r="296">
      <c r="A296" s="348" t="inlineStr">
        <is>
          <t>DIVES</t>
        </is>
      </c>
      <c r="B296" s="291" t="n">
        <v>1</v>
      </c>
      <c r="C296" s="228" t="n">
        <v>25</v>
      </c>
      <c r="D296" s="212" t="n">
        <v>2205.36</v>
      </c>
      <c r="E296" s="212" t="n"/>
    </row>
    <row r="297">
      <c r="A297" s="348" t="inlineStr">
        <is>
          <t>DIVES</t>
        </is>
      </c>
      <c r="B297" s="291" t="n">
        <v>1</v>
      </c>
      <c r="C297" s="228" t="n">
        <v>26</v>
      </c>
      <c r="D297" s="212" t="n">
        <v>440.22</v>
      </c>
      <c r="E297" s="212" t="n"/>
    </row>
    <row r="298">
      <c r="A298" s="348" t="inlineStr">
        <is>
          <t>DIVES</t>
        </is>
      </c>
      <c r="B298" s="291" t="n">
        <v>1</v>
      </c>
      <c r="C298" s="228" t="n">
        <v>27</v>
      </c>
      <c r="D298" s="212" t="n">
        <v>906.98</v>
      </c>
      <c r="E298" s="212" t="n"/>
    </row>
    <row r="299">
      <c r="A299" s="348" t="inlineStr">
        <is>
          <t>DIVES</t>
        </is>
      </c>
      <c r="B299" s="291" t="n">
        <v>1</v>
      </c>
      <c r="C299" s="228" t="n">
        <v>29</v>
      </c>
      <c r="D299" s="212" t="n">
        <v>30449.45</v>
      </c>
      <c r="E299" s="212" t="n"/>
    </row>
    <row r="300">
      <c r="A300" s="348" t="inlineStr">
        <is>
          <t>DIVES</t>
        </is>
      </c>
      <c r="B300" s="291" t="n">
        <v>1</v>
      </c>
      <c r="C300" s="228" t="n">
        <v>31</v>
      </c>
      <c r="D300" s="212" t="n">
        <v>-429.57</v>
      </c>
      <c r="E300" s="212" t="n"/>
    </row>
    <row r="301">
      <c r="A301" s="348" t="inlineStr">
        <is>
          <t>DIVES</t>
        </is>
      </c>
      <c r="B301" s="291" t="n">
        <v>1</v>
      </c>
      <c r="C301" s="228" t="n">
        <v>33</v>
      </c>
      <c r="D301" s="212" t="n">
        <v>520</v>
      </c>
      <c r="E301" s="212" t="n"/>
    </row>
    <row r="302">
      <c r="A302" s="348" t="inlineStr">
        <is>
          <t>DIVES</t>
        </is>
      </c>
      <c r="B302" s="291" t="n">
        <v>1</v>
      </c>
      <c r="C302" s="228" t="n">
        <v>34</v>
      </c>
      <c r="D302" s="212" t="n">
        <v>11711.33</v>
      </c>
      <c r="E302" s="212" t="n"/>
    </row>
    <row r="303">
      <c r="A303" s="348" t="inlineStr">
        <is>
          <t>DIVES</t>
        </is>
      </c>
      <c r="B303" s="291" t="n">
        <v>1</v>
      </c>
      <c r="C303" s="228" t="n">
        <v>35</v>
      </c>
      <c r="D303" s="212" t="n">
        <v>1006.5</v>
      </c>
      <c r="E303" s="212" t="n"/>
    </row>
    <row r="304">
      <c r="A304" s="348" t="inlineStr">
        <is>
          <t>DIVES</t>
        </is>
      </c>
      <c r="B304" s="291" t="n">
        <v>1</v>
      </c>
      <c r="C304" s="228" t="n">
        <v>36</v>
      </c>
      <c r="D304" s="212" t="n">
        <v>1812.54</v>
      </c>
      <c r="E304" s="212" t="n"/>
    </row>
    <row r="305">
      <c r="A305" s="348" t="inlineStr">
        <is>
          <t>DIVES</t>
        </is>
      </c>
      <c r="B305" s="291" t="n">
        <v>1</v>
      </c>
      <c r="C305" s="228" t="n">
        <v>37</v>
      </c>
      <c r="D305" s="212" t="n">
        <v>3450.96</v>
      </c>
      <c r="E305" s="212" t="n"/>
    </row>
    <row r="306">
      <c r="A306" s="348" t="inlineStr">
        <is>
          <t>DIVES</t>
        </is>
      </c>
      <c r="B306" s="291" t="n">
        <v>1</v>
      </c>
      <c r="C306" s="228" t="n">
        <v>38</v>
      </c>
      <c r="D306" s="212" t="n">
        <v>11000</v>
      </c>
      <c r="E306" s="212" t="n"/>
    </row>
    <row r="307">
      <c r="A307" s="348" t="inlineStr">
        <is>
          <t>DIVES</t>
        </is>
      </c>
      <c r="B307" s="291" t="n">
        <v>1</v>
      </c>
      <c r="C307" s="228" t="n">
        <v>40</v>
      </c>
      <c r="D307" s="212" t="n">
        <v>4513.42</v>
      </c>
      <c r="E307" s="212" t="n"/>
    </row>
    <row r="308">
      <c r="A308" s="348" t="inlineStr">
        <is>
          <t>DIVES</t>
        </is>
      </c>
      <c r="B308" s="291" t="n">
        <v>1</v>
      </c>
      <c r="C308" s="228" t="n">
        <v>42</v>
      </c>
      <c r="D308" s="212" t="n">
        <v>16.37</v>
      </c>
      <c r="E308" s="212" t="n"/>
    </row>
    <row r="309">
      <c r="A309" s="348" t="inlineStr">
        <is>
          <t>DIVES</t>
        </is>
      </c>
      <c r="B309" s="291" t="n">
        <v>1</v>
      </c>
      <c r="C309" s="228" t="n">
        <v>46</v>
      </c>
      <c r="D309" s="212" t="n">
        <v>18233.33</v>
      </c>
      <c r="E309" s="212" t="n"/>
    </row>
    <row r="310">
      <c r="A310" s="348" t="inlineStr">
        <is>
          <t>DIVES</t>
        </is>
      </c>
      <c r="B310" s="291" t="n">
        <v>1</v>
      </c>
      <c r="C310" s="228" t="inlineStr">
        <is>
          <t>41.1</t>
        </is>
      </c>
      <c r="D310" s="212" t="n">
        <v>-2171.15</v>
      </c>
      <c r="E310" s="212" t="n"/>
    </row>
    <row r="311">
      <c r="A311" s="348" t="inlineStr">
        <is>
          <t>DIVES</t>
        </is>
      </c>
      <c r="B311" s="291" t="n">
        <v>1</v>
      </c>
      <c r="C311" s="228" t="inlineStr">
        <is>
          <t>41.2</t>
        </is>
      </c>
      <c r="D311" s="212" t="n">
        <v>2747.77</v>
      </c>
      <c r="E311" s="212" t="n"/>
    </row>
    <row r="312">
      <c r="A312" s="348" t="inlineStr">
        <is>
          <t>DIVES</t>
        </is>
      </c>
      <c r="B312" s="291" t="n">
        <v>1</v>
      </c>
      <c r="C312" s="228" t="e">
        <v>#N/A</v>
      </c>
      <c r="D312" s="212" t="n">
        <v>-30900.01</v>
      </c>
      <c r="E312" s="212" t="n"/>
    </row>
    <row r="313">
      <c r="A313" s="348" t="inlineStr">
        <is>
          <t>R314</t>
        </is>
      </c>
      <c r="B313" s="291" t="n">
        <v>1</v>
      </c>
      <c r="C313" s="228" t="n">
        <v>2</v>
      </c>
      <c r="D313" s="212" t="n">
        <v>-360434.46</v>
      </c>
      <c r="E313" s="212" t="n"/>
    </row>
    <row r="314">
      <c r="A314" s="348" t="inlineStr">
        <is>
          <t>R314</t>
        </is>
      </c>
      <c r="B314" s="291" t="n">
        <v>1</v>
      </c>
      <c r="C314" s="228" t="n">
        <v>3</v>
      </c>
      <c r="D314" s="212" t="n">
        <v>77642.28999999999</v>
      </c>
      <c r="E314" s="212" t="n"/>
    </row>
    <row r="315">
      <c r="A315" s="348" t="inlineStr">
        <is>
          <t>R314</t>
        </is>
      </c>
      <c r="B315" s="291" t="n">
        <v>1</v>
      </c>
      <c r="C315" s="228" t="n">
        <v>4</v>
      </c>
      <c r="D315" s="212" t="n">
        <v>1865.61</v>
      </c>
      <c r="E315" s="212" t="n"/>
    </row>
    <row r="316">
      <c r="A316" s="348" t="inlineStr">
        <is>
          <t>R314</t>
        </is>
      </c>
      <c r="B316" s="291" t="n">
        <v>1</v>
      </c>
      <c r="C316" s="228" t="n">
        <v>5</v>
      </c>
      <c r="D316" s="212" t="n">
        <v>1980.99</v>
      </c>
      <c r="E316" s="212" t="n"/>
    </row>
    <row r="317">
      <c r="A317" s="348" t="inlineStr">
        <is>
          <t>R314</t>
        </is>
      </c>
      <c r="B317" s="291" t="n">
        <v>1</v>
      </c>
      <c r="C317" s="228" t="n">
        <v>6</v>
      </c>
      <c r="D317" s="212" t="n">
        <v>8207.690000000001</v>
      </c>
      <c r="E317" s="212" t="n"/>
    </row>
    <row r="318">
      <c r="A318" s="348" t="inlineStr">
        <is>
          <t>R314</t>
        </is>
      </c>
      <c r="B318" s="291" t="n">
        <v>1</v>
      </c>
      <c r="C318" s="228" t="inlineStr">
        <is>
          <t>6.1</t>
        </is>
      </c>
      <c r="D318" s="212" t="n">
        <v>47.57</v>
      </c>
      <c r="E318" s="212" t="n"/>
    </row>
    <row r="319">
      <c r="A319" s="348" t="inlineStr">
        <is>
          <t>R314</t>
        </is>
      </c>
      <c r="B319" s="291" t="n">
        <v>1</v>
      </c>
      <c r="C319" s="228" t="n">
        <v>8</v>
      </c>
      <c r="D319" s="212" t="n">
        <v>48977.82</v>
      </c>
      <c r="E319" s="212" t="n"/>
    </row>
    <row r="320">
      <c r="A320" s="348" t="inlineStr">
        <is>
          <t>R314</t>
        </is>
      </c>
      <c r="B320" s="291" t="n">
        <v>1</v>
      </c>
      <c r="C320" s="228" t="n">
        <v>9</v>
      </c>
      <c r="D320" s="212" t="n">
        <v>5723.62</v>
      </c>
      <c r="E320" s="212" t="n"/>
    </row>
    <row r="321">
      <c r="A321" s="348" t="inlineStr">
        <is>
          <t>R314</t>
        </is>
      </c>
      <c r="B321" s="291" t="n">
        <v>1</v>
      </c>
      <c r="C321" s="228" t="n">
        <v>10</v>
      </c>
      <c r="D321" s="212" t="n">
        <v>17075.28</v>
      </c>
      <c r="E321" s="212" t="n"/>
    </row>
    <row r="322">
      <c r="A322" s="348" t="inlineStr">
        <is>
          <t>R314</t>
        </is>
      </c>
      <c r="B322" s="291" t="n">
        <v>1</v>
      </c>
      <c r="C322" s="228" t="n">
        <v>11</v>
      </c>
      <c r="D322" s="212" t="n">
        <v>4031.72</v>
      </c>
      <c r="E322" s="212" t="n"/>
    </row>
    <row r="323">
      <c r="A323" s="348" t="inlineStr">
        <is>
          <t>R314</t>
        </is>
      </c>
      <c r="B323" s="291" t="n">
        <v>1</v>
      </c>
      <c r="C323" s="228" t="n">
        <v>15</v>
      </c>
      <c r="D323" s="212" t="n">
        <v>7577.01</v>
      </c>
      <c r="E323" s="212" t="n"/>
    </row>
    <row r="324">
      <c r="A324" s="348" t="inlineStr">
        <is>
          <t>R314</t>
        </is>
      </c>
      <c r="B324" s="291" t="n">
        <v>1</v>
      </c>
      <c r="C324" s="228" t="n">
        <v>16</v>
      </c>
      <c r="D324" s="212" t="n">
        <v>550.11</v>
      </c>
      <c r="E324" s="212" t="n"/>
    </row>
    <row r="325">
      <c r="A325" s="348" t="inlineStr">
        <is>
          <t>R314</t>
        </is>
      </c>
      <c r="B325" s="291" t="n">
        <v>1</v>
      </c>
      <c r="C325" s="228" t="n">
        <v>17</v>
      </c>
      <c r="D325" s="212" t="n">
        <v>2472.01</v>
      </c>
      <c r="E325" s="212" t="n"/>
    </row>
    <row r="326">
      <c r="A326" s="348" t="inlineStr">
        <is>
          <t>R314</t>
        </is>
      </c>
      <c r="B326" s="291" t="n">
        <v>1</v>
      </c>
      <c r="C326" s="228" t="n">
        <v>18</v>
      </c>
      <c r="D326" s="212" t="n">
        <v>2091.7</v>
      </c>
      <c r="E326" s="212" t="n"/>
    </row>
    <row r="327">
      <c r="A327" s="348" t="inlineStr">
        <is>
          <t>R314</t>
        </is>
      </c>
      <c r="B327" s="291" t="n">
        <v>1</v>
      </c>
      <c r="C327" s="228" t="n">
        <v>19</v>
      </c>
      <c r="D327" s="212" t="n">
        <v>8876.190000000001</v>
      </c>
      <c r="E327" s="212" t="n"/>
    </row>
    <row r="328">
      <c r="A328" s="348" t="inlineStr">
        <is>
          <t>R314</t>
        </is>
      </c>
      <c r="B328" s="291" t="n">
        <v>1</v>
      </c>
      <c r="C328" s="228" t="n">
        <v>21</v>
      </c>
      <c r="D328" s="212" t="n">
        <v>2698.52</v>
      </c>
      <c r="E328" s="212" t="n"/>
    </row>
    <row r="329">
      <c r="A329" s="348" t="inlineStr">
        <is>
          <t>R314</t>
        </is>
      </c>
      <c r="B329" s="291" t="n">
        <v>1</v>
      </c>
      <c r="C329" s="228" t="n">
        <v>22</v>
      </c>
      <c r="D329" s="212" t="n">
        <v>14424.79</v>
      </c>
      <c r="E329" s="212" t="n"/>
    </row>
    <row r="330">
      <c r="A330" s="348" t="inlineStr">
        <is>
          <t>R314</t>
        </is>
      </c>
      <c r="B330" s="291" t="n">
        <v>1</v>
      </c>
      <c r="C330" s="228" t="n">
        <v>23</v>
      </c>
      <c r="D330" s="212" t="n">
        <v>4748.97</v>
      </c>
      <c r="E330" s="212" t="n"/>
    </row>
    <row r="331">
      <c r="A331" s="348" t="inlineStr">
        <is>
          <t>R314</t>
        </is>
      </c>
      <c r="B331" s="291" t="n">
        <v>1</v>
      </c>
      <c r="C331" s="228" t="n">
        <v>24</v>
      </c>
      <c r="D331" s="212" t="n">
        <v>12410.8</v>
      </c>
      <c r="E331" s="212" t="n"/>
    </row>
    <row r="332">
      <c r="A332" s="348" t="inlineStr">
        <is>
          <t>R314</t>
        </is>
      </c>
      <c r="B332" s="291" t="n">
        <v>1</v>
      </c>
      <c r="C332" s="228" t="n">
        <v>25</v>
      </c>
      <c r="D332" s="212" t="n">
        <v>3228.94</v>
      </c>
      <c r="E332" s="212" t="n"/>
    </row>
    <row r="333">
      <c r="A333" s="348" t="inlineStr">
        <is>
          <t>R314</t>
        </is>
      </c>
      <c r="B333" s="291" t="n">
        <v>1</v>
      </c>
      <c r="C333" s="228" t="n">
        <v>26</v>
      </c>
      <c r="D333" s="212" t="n">
        <v>52.96</v>
      </c>
      <c r="E333" s="212" t="n"/>
    </row>
    <row r="334">
      <c r="A334" s="348" t="inlineStr">
        <is>
          <t>R314</t>
        </is>
      </c>
      <c r="B334" s="291" t="n">
        <v>1</v>
      </c>
      <c r="C334" s="228" t="n">
        <v>27</v>
      </c>
      <c r="D334" s="212" t="n">
        <v>924.22</v>
      </c>
      <c r="E334" s="212" t="n"/>
    </row>
    <row r="335">
      <c r="A335" s="348" t="inlineStr">
        <is>
          <t>R314</t>
        </is>
      </c>
      <c r="B335" s="291" t="n">
        <v>1</v>
      </c>
      <c r="C335" s="228" t="n">
        <v>29</v>
      </c>
      <c r="D335" s="212" t="n">
        <v>60005.91</v>
      </c>
      <c r="E335" s="212" t="n"/>
    </row>
    <row r="336">
      <c r="A336" s="348" t="inlineStr">
        <is>
          <t>R314</t>
        </is>
      </c>
      <c r="B336" s="291" t="n">
        <v>1</v>
      </c>
      <c r="C336" s="228" t="n">
        <v>31</v>
      </c>
      <c r="D336" s="212" t="n">
        <v>-833.8</v>
      </c>
      <c r="E336" s="212" t="n"/>
    </row>
    <row r="337">
      <c r="A337" s="348" t="inlineStr">
        <is>
          <t>R314</t>
        </is>
      </c>
      <c r="B337" s="291" t="n">
        <v>1</v>
      </c>
      <c r="C337" s="228" t="n">
        <v>33</v>
      </c>
      <c r="D337" s="212" t="n">
        <v>350</v>
      </c>
      <c r="E337" s="212" t="n"/>
    </row>
    <row r="338">
      <c r="A338" s="348" t="inlineStr">
        <is>
          <t>R314</t>
        </is>
      </c>
      <c r="B338" s="291" t="n">
        <v>1</v>
      </c>
      <c r="C338" s="228" t="n">
        <v>34</v>
      </c>
      <c r="D338" s="212" t="n">
        <v>18183.61</v>
      </c>
      <c r="E338" s="212" t="n"/>
    </row>
    <row r="339">
      <c r="A339" s="348" t="inlineStr">
        <is>
          <t>R314</t>
        </is>
      </c>
      <c r="B339" s="291" t="n">
        <v>1</v>
      </c>
      <c r="C339" s="228" t="n">
        <v>35</v>
      </c>
      <c r="D339" s="212" t="n">
        <v>1436</v>
      </c>
      <c r="E339" s="212" t="n"/>
    </row>
    <row r="340">
      <c r="A340" s="348" t="inlineStr">
        <is>
          <t>R314</t>
        </is>
      </c>
      <c r="B340" s="291" t="n">
        <v>1</v>
      </c>
      <c r="C340" s="228" t="n">
        <v>36</v>
      </c>
      <c r="D340" s="212" t="n">
        <v>1728.8</v>
      </c>
      <c r="E340" s="212" t="n"/>
    </row>
    <row r="341">
      <c r="A341" s="348" t="inlineStr">
        <is>
          <t>R314</t>
        </is>
      </c>
      <c r="B341" s="291" t="n">
        <v>1</v>
      </c>
      <c r="C341" s="228" t="n">
        <v>37</v>
      </c>
      <c r="D341" s="212" t="n">
        <v>4717.59</v>
      </c>
      <c r="E341" s="212" t="n"/>
    </row>
    <row r="342">
      <c r="A342" s="348" t="inlineStr">
        <is>
          <t>R314</t>
        </is>
      </c>
      <c r="B342" s="291" t="n">
        <v>1</v>
      </c>
      <c r="C342" s="228" t="n">
        <v>38</v>
      </c>
      <c r="D342" s="212" t="n">
        <v>22504</v>
      </c>
      <c r="E342" s="212" t="n"/>
    </row>
    <row r="343">
      <c r="A343" s="348" t="inlineStr">
        <is>
          <t>R314</t>
        </is>
      </c>
      <c r="B343" s="291" t="n">
        <v>1</v>
      </c>
      <c r="C343" s="228" t="n">
        <v>39</v>
      </c>
      <c r="D343" s="212" t="n">
        <v>0</v>
      </c>
      <c r="E343" s="212" t="n"/>
    </row>
    <row r="344">
      <c r="A344" s="348" t="inlineStr">
        <is>
          <t>R314</t>
        </is>
      </c>
      <c r="B344" s="291" t="n">
        <v>1</v>
      </c>
      <c r="C344" s="228" t="n">
        <v>40</v>
      </c>
      <c r="D344" s="212" t="n">
        <v>4940.41</v>
      </c>
      <c r="E344" s="212" t="n"/>
    </row>
    <row r="345">
      <c r="A345" s="348" t="inlineStr">
        <is>
          <t>R314</t>
        </is>
      </c>
      <c r="B345" s="291" t="n">
        <v>1</v>
      </c>
      <c r="C345" s="228" t="n">
        <v>42</v>
      </c>
      <c r="D345" s="212" t="n">
        <v>406.58</v>
      </c>
      <c r="E345" s="212" t="n"/>
    </row>
    <row r="346">
      <c r="A346" s="348" t="inlineStr">
        <is>
          <t>R314</t>
        </is>
      </c>
      <c r="B346" s="291" t="n">
        <v>1</v>
      </c>
      <c r="C346" s="228" t="n">
        <v>46</v>
      </c>
      <c r="D346" s="212" t="n">
        <v>25533.33</v>
      </c>
      <c r="E346" s="212" t="n"/>
    </row>
    <row r="347">
      <c r="A347" s="348" t="inlineStr">
        <is>
          <t>R314</t>
        </is>
      </c>
      <c r="B347" s="291" t="n">
        <v>1</v>
      </c>
      <c r="C347" s="228" t="inlineStr">
        <is>
          <t>41.1</t>
        </is>
      </c>
      <c r="D347" s="212" t="n">
        <v>-3237.69</v>
      </c>
      <c r="E347" s="212" t="n"/>
    </row>
    <row r="348">
      <c r="A348" s="348" t="inlineStr">
        <is>
          <t>R314</t>
        </is>
      </c>
      <c r="B348" s="291" t="n">
        <v>1</v>
      </c>
      <c r="C348" s="228" t="inlineStr">
        <is>
          <t>41.2</t>
        </is>
      </c>
      <c r="D348" s="212" t="n">
        <v>2779.32</v>
      </c>
      <c r="E348" s="212" t="n"/>
    </row>
    <row r="349">
      <c r="A349" s="348" t="inlineStr">
        <is>
          <t>LYSE</t>
        </is>
      </c>
      <c r="B349" s="291" t="n">
        <v>1</v>
      </c>
      <c r="C349" s="228" t="n">
        <v>2</v>
      </c>
      <c r="D349" s="212" t="n">
        <v>-316396.07</v>
      </c>
      <c r="E349" s="212" t="n"/>
    </row>
    <row r="350">
      <c r="A350" s="348" t="inlineStr">
        <is>
          <t>LYSE</t>
        </is>
      </c>
      <c r="B350" s="291" t="n">
        <v>1</v>
      </c>
      <c r="C350" s="228" t="n">
        <v>3</v>
      </c>
      <c r="D350" s="212" t="n">
        <v>70289.44</v>
      </c>
      <c r="E350" s="212" t="n"/>
    </row>
    <row r="351">
      <c r="A351" s="348" t="inlineStr">
        <is>
          <t>LYSE</t>
        </is>
      </c>
      <c r="B351" s="291" t="n">
        <v>1</v>
      </c>
      <c r="C351" s="228" t="n">
        <v>4</v>
      </c>
      <c r="D351" s="212" t="n">
        <v>1966.73</v>
      </c>
      <c r="E351" s="212" t="n"/>
    </row>
    <row r="352">
      <c r="A352" s="348" t="inlineStr">
        <is>
          <t>LYSE</t>
        </is>
      </c>
      <c r="B352" s="291" t="n">
        <v>1</v>
      </c>
      <c r="C352" s="228" t="n">
        <v>5</v>
      </c>
      <c r="D352" s="212" t="n">
        <v>1924.48</v>
      </c>
      <c r="E352" s="212" t="n"/>
    </row>
    <row r="353">
      <c r="A353" s="348" t="inlineStr">
        <is>
          <t>LYSE</t>
        </is>
      </c>
      <c r="B353" s="291" t="n">
        <v>1</v>
      </c>
      <c r="C353" s="228" t="n">
        <v>6</v>
      </c>
      <c r="D353" s="212" t="n">
        <v>7191.63</v>
      </c>
      <c r="E353" s="212" t="n"/>
    </row>
    <row r="354">
      <c r="A354" s="348" t="inlineStr">
        <is>
          <t>LYSE</t>
        </is>
      </c>
      <c r="B354" s="291" t="n">
        <v>1</v>
      </c>
      <c r="C354" s="228" t="inlineStr">
        <is>
          <t>6.1</t>
        </is>
      </c>
      <c r="D354" s="212" t="n">
        <v>233.14</v>
      </c>
      <c r="E354" s="212" t="n"/>
    </row>
    <row r="355">
      <c r="A355" s="348" t="inlineStr">
        <is>
          <t>LYSE</t>
        </is>
      </c>
      <c r="B355" s="291" t="n">
        <v>1</v>
      </c>
      <c r="C355" s="228" t="n">
        <v>8</v>
      </c>
      <c r="D355" s="212" t="n">
        <v>63548.7</v>
      </c>
      <c r="E355" s="212" t="n"/>
    </row>
    <row r="356">
      <c r="A356" s="348" t="inlineStr">
        <is>
          <t>LYSE</t>
        </is>
      </c>
      <c r="B356" s="291" t="n">
        <v>1</v>
      </c>
      <c r="C356" s="228" t="n">
        <v>9</v>
      </c>
      <c r="D356" s="212" t="n">
        <v>5602.49</v>
      </c>
      <c r="E356" s="212" t="n"/>
    </row>
    <row r="357">
      <c r="A357" s="348" t="inlineStr">
        <is>
          <t>LYSE</t>
        </is>
      </c>
      <c r="B357" s="291" t="n">
        <v>1</v>
      </c>
      <c r="C357" s="228" t="n">
        <v>10</v>
      </c>
      <c r="D357" s="212" t="n">
        <v>22103.54</v>
      </c>
      <c r="E357" s="212" t="n"/>
    </row>
    <row r="358">
      <c r="A358" s="348" t="inlineStr">
        <is>
          <t>LYSE</t>
        </is>
      </c>
      <c r="B358" s="291" t="n">
        <v>1</v>
      </c>
      <c r="C358" s="228" t="n">
        <v>11</v>
      </c>
      <c r="D358" s="212" t="n">
        <v>5680.01</v>
      </c>
      <c r="E358" s="212" t="n"/>
    </row>
    <row r="359">
      <c r="A359" s="348" t="inlineStr">
        <is>
          <t>LYSE</t>
        </is>
      </c>
      <c r="B359" s="291" t="n">
        <v>1</v>
      </c>
      <c r="C359" s="228" t="n">
        <v>15</v>
      </c>
      <c r="D359" s="212" t="n">
        <v>395.83</v>
      </c>
      <c r="E359" s="212" t="n"/>
    </row>
    <row r="360">
      <c r="A360" s="348" t="inlineStr">
        <is>
          <t>LYSE</t>
        </is>
      </c>
      <c r="B360" s="291" t="n">
        <v>1</v>
      </c>
      <c r="C360" s="228" t="n">
        <v>16</v>
      </c>
      <c r="D360" s="212" t="n">
        <v>521.23</v>
      </c>
      <c r="E360" s="212" t="n"/>
    </row>
    <row r="361">
      <c r="A361" s="348" t="inlineStr">
        <is>
          <t>LYSE</t>
        </is>
      </c>
      <c r="B361" s="291" t="n">
        <v>1</v>
      </c>
      <c r="C361" s="228" t="n">
        <v>17</v>
      </c>
      <c r="D361" s="212" t="n">
        <v>2453.13</v>
      </c>
      <c r="E361" s="212" t="n"/>
    </row>
    <row r="362">
      <c r="A362" s="348" t="inlineStr">
        <is>
          <t>LYSE</t>
        </is>
      </c>
      <c r="B362" s="291" t="n">
        <v>1</v>
      </c>
      <c r="C362" s="228" t="n">
        <v>18</v>
      </c>
      <c r="D362" s="212" t="n">
        <v>7338.67</v>
      </c>
      <c r="E362" s="212" t="n"/>
    </row>
    <row r="363">
      <c r="A363" s="348" t="inlineStr">
        <is>
          <t>LYSE</t>
        </is>
      </c>
      <c r="B363" s="291" t="n">
        <v>1</v>
      </c>
      <c r="C363" s="228" t="n">
        <v>19</v>
      </c>
      <c r="D363" s="212" t="n">
        <v>8012.94</v>
      </c>
      <c r="E363" s="212" t="n"/>
    </row>
    <row r="364">
      <c r="A364" s="348" t="inlineStr">
        <is>
          <t>LYSE</t>
        </is>
      </c>
      <c r="B364" s="291" t="n">
        <v>1</v>
      </c>
      <c r="C364" s="228" t="n">
        <v>21</v>
      </c>
      <c r="D364" s="212" t="n">
        <v>4522.33</v>
      </c>
      <c r="E364" s="212" t="n"/>
    </row>
    <row r="365">
      <c r="A365" s="348" t="inlineStr">
        <is>
          <t>LYSE</t>
        </is>
      </c>
      <c r="B365" s="291" t="n">
        <v>1</v>
      </c>
      <c r="C365" s="228" t="n">
        <v>22</v>
      </c>
      <c r="D365" s="212" t="n">
        <v>12649.31</v>
      </c>
      <c r="E365" s="212" t="n"/>
    </row>
    <row r="366">
      <c r="A366" s="348" t="inlineStr">
        <is>
          <t>LYSE</t>
        </is>
      </c>
      <c r="B366" s="291" t="n">
        <v>1</v>
      </c>
      <c r="C366" s="228" t="n">
        <v>23</v>
      </c>
      <c r="D366" s="212" t="n">
        <v>5689.32</v>
      </c>
      <c r="E366" s="212" t="n"/>
    </row>
    <row r="367">
      <c r="A367" s="348" t="inlineStr">
        <is>
          <t>LYSE</t>
        </is>
      </c>
      <c r="B367" s="291" t="n">
        <v>1</v>
      </c>
      <c r="C367" s="228" t="n">
        <v>24</v>
      </c>
      <c r="D367" s="212" t="n">
        <v>11331.8</v>
      </c>
      <c r="E367" s="212" t="n"/>
    </row>
    <row r="368">
      <c r="A368" s="348" t="inlineStr">
        <is>
          <t>LYSE</t>
        </is>
      </c>
      <c r="B368" s="291" t="n">
        <v>1</v>
      </c>
      <c r="C368" s="228" t="n">
        <v>25</v>
      </c>
      <c r="D368" s="212" t="n">
        <v>2674.53</v>
      </c>
      <c r="E368" s="212" t="n"/>
    </row>
    <row r="369">
      <c r="A369" s="348" t="inlineStr">
        <is>
          <t>LYSE</t>
        </is>
      </c>
      <c r="B369" s="291" t="n">
        <v>1</v>
      </c>
      <c r="C369" s="228" t="n">
        <v>26</v>
      </c>
      <c r="D369" s="212" t="n">
        <v>267.56</v>
      </c>
      <c r="E369" s="212" t="n"/>
    </row>
    <row r="370">
      <c r="A370" s="348" t="inlineStr">
        <is>
          <t>LYSE</t>
        </is>
      </c>
      <c r="B370" s="291" t="n">
        <v>1</v>
      </c>
      <c r="C370" s="228" t="n">
        <v>27</v>
      </c>
      <c r="D370" s="212" t="n">
        <v>868.91</v>
      </c>
      <c r="E370" s="212" t="n"/>
    </row>
    <row r="371">
      <c r="A371" s="348" t="inlineStr">
        <is>
          <t>LYSE</t>
        </is>
      </c>
      <c r="B371" s="291" t="n">
        <v>1</v>
      </c>
      <c r="C371" s="228" t="n">
        <v>29</v>
      </c>
      <c r="D371" s="212" t="n">
        <v>44819.66</v>
      </c>
      <c r="E371" s="212" t="n"/>
    </row>
    <row r="372">
      <c r="A372" s="348" t="inlineStr">
        <is>
          <t>LYSE</t>
        </is>
      </c>
      <c r="B372" s="291" t="n">
        <v>1</v>
      </c>
      <c r="C372" s="228" t="n">
        <v>31</v>
      </c>
      <c r="D372" s="212" t="n">
        <v>-1083.34</v>
      </c>
      <c r="E372" s="212" t="n"/>
    </row>
    <row r="373">
      <c r="A373" s="348" t="inlineStr">
        <is>
          <t>LYSE</t>
        </is>
      </c>
      <c r="B373" s="291" t="n">
        <v>1</v>
      </c>
      <c r="C373" s="228" t="n">
        <v>33</v>
      </c>
      <c r="D373" s="212" t="n">
        <v>563</v>
      </c>
      <c r="E373" s="212" t="n"/>
    </row>
    <row r="374">
      <c r="A374" s="348" t="inlineStr">
        <is>
          <t>LYSE</t>
        </is>
      </c>
      <c r="B374" s="291" t="n">
        <v>1</v>
      </c>
      <c r="C374" s="228" t="n">
        <v>34</v>
      </c>
      <c r="D374" s="212" t="n">
        <v>16007.02</v>
      </c>
      <c r="E374" s="212" t="n"/>
    </row>
    <row r="375">
      <c r="A375" s="348" t="inlineStr">
        <is>
          <t>LYSE</t>
        </is>
      </c>
      <c r="B375" s="291" t="n">
        <v>1</v>
      </c>
      <c r="C375" s="228" t="n">
        <v>35</v>
      </c>
      <c r="D375" s="212" t="n">
        <v>1450</v>
      </c>
      <c r="E375" s="212" t="n"/>
    </row>
    <row r="376">
      <c r="A376" s="348" t="inlineStr">
        <is>
          <t>LYSE</t>
        </is>
      </c>
      <c r="B376" s="291" t="n">
        <v>1</v>
      </c>
      <c r="C376" s="228" t="n">
        <v>36</v>
      </c>
      <c r="D376" s="212" t="n">
        <v>1988.09</v>
      </c>
      <c r="E376" s="212" t="n"/>
    </row>
    <row r="377">
      <c r="A377" s="348" t="inlineStr">
        <is>
          <t>LYSE</t>
        </is>
      </c>
      <c r="B377" s="291" t="n">
        <v>1</v>
      </c>
      <c r="C377" s="228" t="n">
        <v>37</v>
      </c>
      <c r="D377" s="212" t="n">
        <v>3058.27</v>
      </c>
      <c r="E377" s="212" t="n"/>
    </row>
    <row r="378">
      <c r="A378" s="348" t="inlineStr">
        <is>
          <t>LYSE</t>
        </is>
      </c>
      <c r="B378" s="291" t="n">
        <v>1</v>
      </c>
      <c r="C378" s="228" t="n">
        <v>38</v>
      </c>
      <c r="D378" s="212" t="n">
        <v>15264.88</v>
      </c>
      <c r="E378" s="212" t="n"/>
    </row>
    <row r="379">
      <c r="A379" s="348" t="inlineStr">
        <is>
          <t>LYSE</t>
        </is>
      </c>
      <c r="B379" s="291" t="n">
        <v>1</v>
      </c>
      <c r="C379" s="228" t="n">
        <v>40</v>
      </c>
      <c r="D379" s="212" t="n">
        <v>1033.42</v>
      </c>
      <c r="E379" s="212" t="n"/>
    </row>
    <row r="380">
      <c r="A380" s="348" t="inlineStr">
        <is>
          <t>LYSE</t>
        </is>
      </c>
      <c r="B380" s="291" t="n">
        <v>1</v>
      </c>
      <c r="C380" s="228" t="n">
        <v>42</v>
      </c>
      <c r="D380" s="212" t="n">
        <v>522.5599999999999</v>
      </c>
      <c r="E380" s="212" t="n"/>
    </row>
    <row r="381">
      <c r="A381" s="348" t="inlineStr">
        <is>
          <t>LYSE</t>
        </is>
      </c>
      <c r="B381" s="291" t="n">
        <v>1</v>
      </c>
      <c r="C381" s="228" t="n">
        <v>46</v>
      </c>
      <c r="D381" s="212" t="n">
        <v>21733.33</v>
      </c>
      <c r="E381" s="212" t="n"/>
    </row>
    <row r="382">
      <c r="A382" s="348" t="inlineStr">
        <is>
          <t>LYSE</t>
        </is>
      </c>
      <c r="B382" s="291" t="n">
        <v>1</v>
      </c>
      <c r="C382" s="228" t="inlineStr">
        <is>
          <t>41.1</t>
        </is>
      </c>
      <c r="D382" s="212" t="n">
        <v>-3744.36</v>
      </c>
      <c r="E382" s="212" t="n"/>
    </row>
    <row r="383">
      <c r="A383" s="348" t="inlineStr">
        <is>
          <t>LYSE</t>
        </is>
      </c>
      <c r="B383" s="291" t="n">
        <v>1</v>
      </c>
      <c r="C383" s="228" t="inlineStr">
        <is>
          <t>41.2</t>
        </is>
      </c>
      <c r="D383" s="212" t="n">
        <v>4073.23</v>
      </c>
      <c r="E383" s="212" t="n"/>
    </row>
    <row r="384">
      <c r="A384" s="348" t="inlineStr">
        <is>
          <t>ARTHUR</t>
        </is>
      </c>
      <c r="B384" s="291" t="n">
        <v>1</v>
      </c>
      <c r="C384" s="228" t="n">
        <v>2</v>
      </c>
      <c r="D384" s="212" t="n">
        <v>-414258.29</v>
      </c>
      <c r="E384" s="212" t="n"/>
    </row>
    <row r="385">
      <c r="A385" s="348" t="inlineStr">
        <is>
          <t>ARTHUR</t>
        </is>
      </c>
      <c r="B385" s="291" t="n">
        <v>1</v>
      </c>
      <c r="C385" s="228" t="n">
        <v>3</v>
      </c>
      <c r="D385" s="212" t="n">
        <v>87116.78999999999</v>
      </c>
      <c r="E385" s="212" t="n"/>
    </row>
    <row r="386">
      <c r="A386" s="348" t="inlineStr">
        <is>
          <t>ARTHUR</t>
        </is>
      </c>
      <c r="B386" s="291" t="n">
        <v>1</v>
      </c>
      <c r="C386" s="228" t="n">
        <v>4</v>
      </c>
      <c r="D386" s="212" t="n">
        <v>2095.84</v>
      </c>
      <c r="E386" s="212" t="n"/>
    </row>
    <row r="387">
      <c r="A387" s="348" t="inlineStr">
        <is>
          <t>ARTHUR</t>
        </is>
      </c>
      <c r="B387" s="291" t="n">
        <v>1</v>
      </c>
      <c r="C387" s="228" t="n">
        <v>5</v>
      </c>
      <c r="D387" s="212" t="n">
        <v>3169.09</v>
      </c>
      <c r="E387" s="212" t="n"/>
    </row>
    <row r="388">
      <c r="A388" s="348" t="inlineStr">
        <is>
          <t>ARTHUR</t>
        </is>
      </c>
      <c r="B388" s="291" t="n">
        <v>1</v>
      </c>
      <c r="C388" s="228" t="n">
        <v>6</v>
      </c>
      <c r="D388" s="212" t="n">
        <v>8803.99</v>
      </c>
      <c r="E388" s="212" t="n"/>
    </row>
    <row r="389">
      <c r="A389" s="348" t="inlineStr">
        <is>
          <t>ARTHUR</t>
        </is>
      </c>
      <c r="B389" s="291" t="n">
        <v>1</v>
      </c>
      <c r="C389" s="228" t="inlineStr">
        <is>
          <t>6.1</t>
        </is>
      </c>
      <c r="D389" s="212" t="n">
        <v>1001.56</v>
      </c>
      <c r="E389" s="212" t="n"/>
    </row>
    <row r="390">
      <c r="A390" s="348" t="inlineStr">
        <is>
          <t>ARTHUR</t>
        </is>
      </c>
      <c r="B390" s="291" t="n">
        <v>1</v>
      </c>
      <c r="C390" s="228" t="n">
        <v>7</v>
      </c>
      <c r="D390" s="212" t="n">
        <v>312071.02</v>
      </c>
      <c r="E390" s="212" t="n"/>
    </row>
    <row r="391">
      <c r="A391" s="348" t="inlineStr">
        <is>
          <t>ARTHUR</t>
        </is>
      </c>
      <c r="B391" s="291" t="n">
        <v>1</v>
      </c>
      <c r="C391" s="228" t="n">
        <v>8</v>
      </c>
      <c r="D391" s="212" t="n">
        <v>61128.46000000001</v>
      </c>
      <c r="E391" s="212" t="n"/>
    </row>
    <row r="392">
      <c r="A392" s="348" t="inlineStr">
        <is>
          <t>ARTHUR</t>
        </is>
      </c>
      <c r="B392" s="291" t="n">
        <v>1</v>
      </c>
      <c r="C392" s="228" t="n">
        <v>9</v>
      </c>
      <c r="D392" s="212" t="n">
        <v>9486.940000000001</v>
      </c>
      <c r="E392" s="212" t="n"/>
    </row>
    <row r="393">
      <c r="A393" s="348" t="inlineStr">
        <is>
          <t>ARTHUR</t>
        </is>
      </c>
      <c r="B393" s="291" t="n">
        <v>1</v>
      </c>
      <c r="C393" s="228" t="n">
        <v>10</v>
      </c>
      <c r="D393" s="212" t="n">
        <v>26095.18</v>
      </c>
      <c r="E393" s="212" t="n"/>
    </row>
    <row r="394">
      <c r="A394" s="348" t="inlineStr">
        <is>
          <t>ARTHUR</t>
        </is>
      </c>
      <c r="B394" s="291" t="n">
        <v>1</v>
      </c>
      <c r="C394" s="228" t="n">
        <v>11</v>
      </c>
      <c r="D394" s="212" t="n">
        <v>6144.030000000001</v>
      </c>
      <c r="E394" s="212" t="n"/>
    </row>
    <row r="395">
      <c r="A395" s="348" t="inlineStr">
        <is>
          <t>ARTHUR</t>
        </is>
      </c>
      <c r="B395" s="291" t="n">
        <v>1</v>
      </c>
      <c r="C395" s="228" t="n">
        <v>12</v>
      </c>
      <c r="D395" s="212" t="n">
        <v>0</v>
      </c>
      <c r="E395" s="212" t="n"/>
    </row>
    <row r="396">
      <c r="A396" s="348" t="inlineStr">
        <is>
          <t>ARTHUR</t>
        </is>
      </c>
      <c r="B396" s="291" t="n">
        <v>1</v>
      </c>
      <c r="C396" s="228" t="n">
        <v>13</v>
      </c>
      <c r="D396" s="212" t="n">
        <v>0</v>
      </c>
      <c r="E396" s="212" t="n"/>
    </row>
    <row r="397">
      <c r="A397" s="348" t="inlineStr">
        <is>
          <t>ARTHUR</t>
        </is>
      </c>
      <c r="B397" s="291" t="n">
        <v>1</v>
      </c>
      <c r="C397" s="228" t="n">
        <v>14</v>
      </c>
      <c r="D397" s="212" t="n">
        <v>102854.61</v>
      </c>
      <c r="E397" s="212" t="n"/>
    </row>
    <row r="398">
      <c r="A398" s="348" t="inlineStr">
        <is>
          <t>ARTHUR</t>
        </is>
      </c>
      <c r="B398" s="291" t="n">
        <v>1</v>
      </c>
      <c r="C398" s="228" t="n">
        <v>15</v>
      </c>
      <c r="D398" s="212" t="n">
        <v>7977</v>
      </c>
      <c r="E398" s="212" t="n"/>
    </row>
    <row r="399">
      <c r="A399" s="348" t="inlineStr">
        <is>
          <t>ARTHUR</t>
        </is>
      </c>
      <c r="B399" s="291" t="n">
        <v>1</v>
      </c>
      <c r="C399" s="228" t="n">
        <v>16</v>
      </c>
      <c r="D399" s="212" t="n">
        <v>1287.25</v>
      </c>
      <c r="E399" s="212" t="n"/>
    </row>
    <row r="400">
      <c r="A400" s="348" t="inlineStr">
        <is>
          <t>ARTHUR</t>
        </is>
      </c>
      <c r="B400" s="291" t="n">
        <v>1</v>
      </c>
      <c r="C400" s="228" t="n">
        <v>17</v>
      </c>
      <c r="D400" s="212" t="n">
        <v>2139.63</v>
      </c>
      <c r="E400" s="212" t="n"/>
    </row>
    <row r="401">
      <c r="A401" s="348" t="inlineStr">
        <is>
          <t>ARTHUR</t>
        </is>
      </c>
      <c r="B401" s="291" t="n">
        <v>1</v>
      </c>
      <c r="C401" s="228" t="n">
        <v>18</v>
      </c>
      <c r="D401" s="212" t="n">
        <v>5202.200000000001</v>
      </c>
      <c r="E401" s="212" t="n"/>
    </row>
    <row r="402">
      <c r="A402" s="348" t="inlineStr">
        <is>
          <t>ARTHUR</t>
        </is>
      </c>
      <c r="B402" s="291" t="n">
        <v>1</v>
      </c>
      <c r="C402" s="228" t="n">
        <v>19</v>
      </c>
      <c r="D402" s="212" t="n">
        <v>5280.59</v>
      </c>
      <c r="E402" s="212" t="n"/>
    </row>
    <row r="403">
      <c r="A403" s="348" t="inlineStr">
        <is>
          <t>ARTHUR</t>
        </is>
      </c>
      <c r="B403" s="291" t="n">
        <v>1</v>
      </c>
      <c r="C403" s="228" t="n">
        <v>20</v>
      </c>
      <c r="D403" s="212" t="n">
        <v>21886.67</v>
      </c>
      <c r="E403" s="212" t="n"/>
    </row>
    <row r="404">
      <c r="A404" s="348" t="inlineStr">
        <is>
          <t>ARTHUR</t>
        </is>
      </c>
      <c r="B404" s="291" t="n">
        <v>1</v>
      </c>
      <c r="C404" s="228" t="n">
        <v>21</v>
      </c>
      <c r="D404" s="212" t="n">
        <v>12523.03</v>
      </c>
      <c r="E404" s="212" t="n"/>
    </row>
    <row r="405">
      <c r="A405" s="348" t="inlineStr">
        <is>
          <t>ARTHUR</t>
        </is>
      </c>
      <c r="B405" s="291" t="n">
        <v>1</v>
      </c>
      <c r="C405" s="228" t="n">
        <v>22</v>
      </c>
      <c r="D405" s="212" t="n">
        <v>16648.33</v>
      </c>
      <c r="E405" s="212" t="n"/>
    </row>
    <row r="406">
      <c r="A406" s="348" t="inlineStr">
        <is>
          <t>ARTHUR</t>
        </is>
      </c>
      <c r="B406" s="291" t="n">
        <v>1</v>
      </c>
      <c r="C406" s="228" t="n">
        <v>23</v>
      </c>
      <c r="D406" s="212" t="n">
        <v>5340.46</v>
      </c>
      <c r="E406" s="212" t="n"/>
    </row>
    <row r="407">
      <c r="A407" s="348" t="inlineStr">
        <is>
          <t>ARTHUR</t>
        </is>
      </c>
      <c r="B407" s="291" t="n">
        <v>1</v>
      </c>
      <c r="C407" s="228" t="n">
        <v>24</v>
      </c>
      <c r="D407" s="212" t="n">
        <v>19150.32</v>
      </c>
      <c r="E407" s="212" t="n"/>
    </row>
    <row r="408">
      <c r="A408" s="348" t="inlineStr">
        <is>
          <t>ARTHUR</t>
        </is>
      </c>
      <c r="B408" s="291" t="n">
        <v>1</v>
      </c>
      <c r="C408" s="228" t="n">
        <v>25</v>
      </c>
      <c r="D408" s="212" t="n">
        <v>8848.289999999999</v>
      </c>
      <c r="E408" s="212" t="n"/>
    </row>
    <row r="409">
      <c r="A409" s="348" t="inlineStr">
        <is>
          <t>ARTHUR</t>
        </is>
      </c>
      <c r="B409" s="291" t="n">
        <v>1</v>
      </c>
      <c r="C409" s="228" t="n">
        <v>26</v>
      </c>
      <c r="D409" s="212" t="n">
        <v>748.15</v>
      </c>
      <c r="E409" s="212" t="n"/>
    </row>
    <row r="410">
      <c r="A410" s="348" t="inlineStr">
        <is>
          <t>ARTHUR</t>
        </is>
      </c>
      <c r="B410" s="291" t="n">
        <v>1</v>
      </c>
      <c r="C410" s="228" t="n">
        <v>27</v>
      </c>
      <c r="D410" s="212" t="n">
        <v>603.5600000000001</v>
      </c>
      <c r="E410" s="212" t="n"/>
    </row>
    <row r="411">
      <c r="A411" s="348" t="inlineStr">
        <is>
          <t>ARTHUR</t>
        </is>
      </c>
      <c r="B411" s="291" t="n">
        <v>1</v>
      </c>
      <c r="C411" s="228" t="n">
        <v>28</v>
      </c>
      <c r="D411" s="212" t="n">
        <v>123467.6</v>
      </c>
      <c r="E411" s="212" t="n"/>
    </row>
    <row r="412">
      <c r="A412" s="348" t="inlineStr">
        <is>
          <t>ARTHUR</t>
        </is>
      </c>
      <c r="B412" s="291" t="n">
        <v>1</v>
      </c>
      <c r="C412" s="228" t="n">
        <v>29</v>
      </c>
      <c r="D412" s="212" t="n">
        <v>62431.24</v>
      </c>
      <c r="E412" s="212" t="n"/>
    </row>
    <row r="413">
      <c r="A413" s="348" t="inlineStr">
        <is>
          <t>ARTHUR</t>
        </is>
      </c>
      <c r="B413" s="291" t="n">
        <v>1</v>
      </c>
      <c r="C413" s="228" t="n">
        <v>30</v>
      </c>
      <c r="D413" s="212" t="n">
        <v>0</v>
      </c>
      <c r="E413" s="212" t="n"/>
    </row>
    <row r="414">
      <c r="A414" s="348" t="inlineStr">
        <is>
          <t>ARTHUR</t>
        </is>
      </c>
      <c r="B414" s="291" t="n">
        <v>1</v>
      </c>
      <c r="C414" s="228" t="n">
        <v>31</v>
      </c>
      <c r="D414" s="212" t="n">
        <v>0</v>
      </c>
      <c r="E414" s="212" t="n"/>
    </row>
    <row r="415">
      <c r="A415" s="348" t="inlineStr">
        <is>
          <t>ARTHUR</t>
        </is>
      </c>
      <c r="B415" s="291" t="n">
        <v>1</v>
      </c>
      <c r="C415" s="228" t="n">
        <v>32</v>
      </c>
      <c r="D415" s="212" t="n">
        <v>62431.24</v>
      </c>
      <c r="E415" s="212" t="n"/>
    </row>
    <row r="416">
      <c r="A416" s="348" t="inlineStr">
        <is>
          <t>ARTHUR</t>
        </is>
      </c>
      <c r="B416" s="291" t="n">
        <v>1</v>
      </c>
      <c r="C416" s="228" t="n">
        <v>33</v>
      </c>
      <c r="D416" s="212" t="n">
        <v>0</v>
      </c>
      <c r="E416" s="212" t="n"/>
    </row>
    <row r="417">
      <c r="A417" s="348" t="inlineStr">
        <is>
          <t>ARTHUR</t>
        </is>
      </c>
      <c r="B417" s="291" t="n">
        <v>1</v>
      </c>
      <c r="C417" s="228" t="n">
        <v>34</v>
      </c>
      <c r="D417" s="212" t="n">
        <v>20810.41</v>
      </c>
      <c r="E417" s="212" t="n"/>
    </row>
    <row r="418">
      <c r="A418" s="348" t="inlineStr">
        <is>
          <t>ARTHUR</t>
        </is>
      </c>
      <c r="B418" s="291" t="n">
        <v>1</v>
      </c>
      <c r="C418" s="228" t="n">
        <v>35</v>
      </c>
      <c r="D418" s="212" t="n">
        <v>1210</v>
      </c>
      <c r="E418" s="212" t="n"/>
    </row>
    <row r="419">
      <c r="A419" s="348" t="inlineStr">
        <is>
          <t>ARTHUR</t>
        </is>
      </c>
      <c r="B419" s="291" t="n">
        <v>1</v>
      </c>
      <c r="C419" s="228" t="n">
        <v>36</v>
      </c>
      <c r="D419" s="212" t="n">
        <v>1883.98</v>
      </c>
      <c r="E419" s="212" t="n"/>
    </row>
    <row r="420">
      <c r="A420" s="348" t="inlineStr">
        <is>
          <t>ARTHUR</t>
        </is>
      </c>
      <c r="B420" s="291" t="n">
        <v>1</v>
      </c>
      <c r="C420" s="228" t="n">
        <v>37</v>
      </c>
      <c r="D420" s="212" t="n">
        <v>4259.12</v>
      </c>
      <c r="E420" s="212" t="n"/>
    </row>
    <row r="421">
      <c r="A421" s="348" t="inlineStr">
        <is>
          <t>ARTHUR</t>
        </is>
      </c>
      <c r="B421" s="291" t="n">
        <v>1</v>
      </c>
      <c r="C421" s="228" t="n">
        <v>38</v>
      </c>
      <c r="D421" s="212" t="n">
        <v>10000</v>
      </c>
      <c r="E421" s="212" t="n"/>
    </row>
    <row r="422">
      <c r="A422" s="348" t="inlineStr">
        <is>
          <t>ARTHUR</t>
        </is>
      </c>
      <c r="B422" s="291" t="n">
        <v>1</v>
      </c>
      <c r="C422" s="228" t="n">
        <v>39</v>
      </c>
      <c r="D422" s="212" t="n">
        <v>1020.5</v>
      </c>
      <c r="E422" s="212" t="n"/>
    </row>
    <row r="423">
      <c r="A423" s="348" t="inlineStr">
        <is>
          <t>ARTHUR</t>
        </is>
      </c>
      <c r="B423" s="291" t="n">
        <v>1</v>
      </c>
      <c r="C423" s="228" t="n">
        <v>40</v>
      </c>
      <c r="D423" s="212" t="n">
        <v>35</v>
      </c>
      <c r="E423" s="212" t="n"/>
    </row>
    <row r="424">
      <c r="A424" s="348" t="inlineStr">
        <is>
          <t>ARTHUR</t>
        </is>
      </c>
      <c r="B424" s="291" t="n">
        <v>1</v>
      </c>
      <c r="C424" s="228" t="inlineStr">
        <is>
          <t>41.1</t>
        </is>
      </c>
      <c r="D424" s="212" t="n">
        <v>-4658.559999999999</v>
      </c>
      <c r="E424" s="212" t="n"/>
    </row>
    <row r="425">
      <c r="A425" s="348" t="inlineStr">
        <is>
          <t>ARTHUR</t>
        </is>
      </c>
      <c r="B425" s="291" t="n">
        <v>1</v>
      </c>
      <c r="C425" s="228" t="inlineStr">
        <is>
          <t>41.2</t>
        </is>
      </c>
      <c r="D425" s="212" t="n">
        <v>4431.8</v>
      </c>
      <c r="E425" s="212" t="n"/>
    </row>
    <row r="426">
      <c r="A426" s="348" t="inlineStr">
        <is>
          <t>ARTHUR</t>
        </is>
      </c>
      <c r="B426" s="291" t="n">
        <v>1</v>
      </c>
      <c r="C426" s="228" t="n">
        <v>41</v>
      </c>
      <c r="D426" s="212" t="n">
        <v>226.7599999999993</v>
      </c>
      <c r="E426" s="212" t="n"/>
    </row>
    <row r="427">
      <c r="A427" s="348" t="inlineStr">
        <is>
          <t>ARTHUR</t>
        </is>
      </c>
      <c r="B427" s="291" t="n">
        <v>1</v>
      </c>
      <c r="C427" s="228" t="n">
        <v>42</v>
      </c>
      <c r="D427" s="212" t="n">
        <v>33.55</v>
      </c>
      <c r="E427" s="212" t="n"/>
    </row>
    <row r="428">
      <c r="A428" s="348" t="inlineStr">
        <is>
          <t>ARTHUR</t>
        </is>
      </c>
      <c r="B428" s="291" t="n">
        <v>1</v>
      </c>
      <c r="C428" s="228" t="n">
        <v>43</v>
      </c>
      <c r="D428" s="212" t="n">
        <v>22010.56</v>
      </c>
      <c r="E428" s="212" t="n"/>
    </row>
    <row r="429">
      <c r="A429" s="348" t="inlineStr">
        <is>
          <t>ARTHUR</t>
        </is>
      </c>
      <c r="B429" s="291" t="n">
        <v>1</v>
      </c>
      <c r="C429" s="228" t="n">
        <v>44</v>
      </c>
      <c r="D429" s="212" t="n">
        <v>33064.61000000001</v>
      </c>
      <c r="E429" s="212" t="n"/>
    </row>
    <row r="430">
      <c r="A430" s="348" t="inlineStr">
        <is>
          <t>ARTHUR</t>
        </is>
      </c>
      <c r="B430" s="291" t="n">
        <v>1</v>
      </c>
      <c r="C430" s="228" t="n">
        <v>45</v>
      </c>
      <c r="D430" s="212" t="n">
        <v>0</v>
      </c>
      <c r="E430" s="212" t="n"/>
    </row>
    <row r="431">
      <c r="A431" s="348" t="inlineStr">
        <is>
          <t>ARTHUR</t>
        </is>
      </c>
      <c r="B431" s="291" t="n">
        <v>1</v>
      </c>
      <c r="C431" s="228" t="n">
        <v>46</v>
      </c>
      <c r="D431" s="212" t="n">
        <v>24700</v>
      </c>
      <c r="E431" s="212" t="n"/>
    </row>
    <row r="432">
      <c r="A432" s="348" t="inlineStr">
        <is>
          <t>HUGO</t>
        </is>
      </c>
      <c r="B432" s="291" t="n">
        <v>1</v>
      </c>
      <c r="C432" s="228" t="n">
        <v>2</v>
      </c>
      <c r="D432" s="212" t="n">
        <v>-507935.03</v>
      </c>
      <c r="E432" s="212" t="n"/>
    </row>
    <row r="433">
      <c r="A433" s="348" t="inlineStr">
        <is>
          <t>HUGO</t>
        </is>
      </c>
      <c r="B433" s="291" t="n">
        <v>1</v>
      </c>
      <c r="C433" s="228" t="n">
        <v>3</v>
      </c>
      <c r="D433" s="212" t="n">
        <v>113230.04</v>
      </c>
      <c r="E433" s="212" t="n"/>
    </row>
    <row r="434">
      <c r="A434" s="348" t="inlineStr">
        <is>
          <t>HUGO</t>
        </is>
      </c>
      <c r="B434" s="291" t="n">
        <v>1</v>
      </c>
      <c r="C434" s="228" t="n">
        <v>4</v>
      </c>
      <c r="D434" s="212" t="n">
        <v>2216.99</v>
      </c>
      <c r="E434" s="212" t="n"/>
    </row>
    <row r="435">
      <c r="A435" s="348" t="inlineStr">
        <is>
          <t>HUGO</t>
        </is>
      </c>
      <c r="B435" s="291" t="n">
        <v>1</v>
      </c>
      <c r="C435" s="228" t="n">
        <v>5</v>
      </c>
      <c r="D435" s="212" t="n">
        <v>4094.03</v>
      </c>
      <c r="E435" s="212" t="n"/>
    </row>
    <row r="436">
      <c r="A436" s="348" t="inlineStr">
        <is>
          <t>HUGO</t>
        </is>
      </c>
      <c r="B436" s="291" t="n">
        <v>1</v>
      </c>
      <c r="C436" s="228" t="n">
        <v>6</v>
      </c>
      <c r="D436" s="212" t="n">
        <v>10792.77</v>
      </c>
      <c r="E436" s="212" t="n"/>
    </row>
    <row r="437">
      <c r="A437" s="348" t="inlineStr">
        <is>
          <t>HUGO</t>
        </is>
      </c>
      <c r="B437" s="291" t="n">
        <v>1</v>
      </c>
      <c r="C437" s="228" t="inlineStr">
        <is>
          <t>6.1</t>
        </is>
      </c>
      <c r="D437" s="212" t="n">
        <v>1048.92</v>
      </c>
      <c r="E437" s="212" t="n"/>
    </row>
    <row r="438">
      <c r="A438" s="348" t="inlineStr">
        <is>
          <t>HUGO</t>
        </is>
      </c>
      <c r="B438" s="291" t="n">
        <v>1</v>
      </c>
      <c r="C438" s="228" t="n">
        <v>7</v>
      </c>
      <c r="D438" s="212" t="n">
        <v>376552.28</v>
      </c>
      <c r="E438" s="212" t="n"/>
    </row>
    <row r="439">
      <c r="A439" s="348" t="inlineStr">
        <is>
          <t>HUGO</t>
        </is>
      </c>
      <c r="B439" s="291" t="n">
        <v>1</v>
      </c>
      <c r="C439" s="228" t="n">
        <v>8</v>
      </c>
      <c r="D439" s="212" t="n">
        <v>70920.37000000001</v>
      </c>
      <c r="E439" s="212" t="n"/>
    </row>
    <row r="440">
      <c r="A440" s="348" t="inlineStr">
        <is>
          <t>HUGO</t>
        </is>
      </c>
      <c r="B440" s="291" t="n">
        <v>1</v>
      </c>
      <c r="C440" s="228" t="n">
        <v>9</v>
      </c>
      <c r="D440" s="212" t="n">
        <v>14430.77</v>
      </c>
      <c r="E440" s="212" t="n"/>
    </row>
    <row r="441">
      <c r="A441" s="348" t="inlineStr">
        <is>
          <t>HUGO</t>
        </is>
      </c>
      <c r="B441" s="291" t="n">
        <v>1</v>
      </c>
      <c r="C441" s="228" t="n">
        <v>10</v>
      </c>
      <c r="D441" s="212" t="n">
        <v>29840.02</v>
      </c>
      <c r="E441" s="212" t="n"/>
    </row>
    <row r="442">
      <c r="A442" s="348" t="inlineStr">
        <is>
          <t>HUGO</t>
        </is>
      </c>
      <c r="B442" s="291" t="n">
        <v>1</v>
      </c>
      <c r="C442" s="228" t="n">
        <v>11</v>
      </c>
      <c r="D442" s="212" t="n">
        <v>9374.25</v>
      </c>
      <c r="E442" s="212" t="n"/>
    </row>
    <row r="443">
      <c r="A443" s="348" t="inlineStr">
        <is>
          <t>HUGO</t>
        </is>
      </c>
      <c r="B443" s="291" t="n">
        <v>1</v>
      </c>
      <c r="C443" s="228" t="n">
        <v>12</v>
      </c>
      <c r="D443" s="212" t="n">
        <v>0</v>
      </c>
      <c r="E443" s="212" t="n"/>
    </row>
    <row r="444">
      <c r="A444" s="348" t="inlineStr">
        <is>
          <t>HUGO</t>
        </is>
      </c>
      <c r="B444" s="291" t="n">
        <v>1</v>
      </c>
      <c r="C444" s="228" t="n">
        <v>13</v>
      </c>
      <c r="D444" s="212" t="n">
        <v>0</v>
      </c>
      <c r="E444" s="212" t="n"/>
    </row>
    <row r="445">
      <c r="A445" s="348" t="inlineStr">
        <is>
          <t>HUGO</t>
        </is>
      </c>
      <c r="B445" s="291" t="n">
        <v>1</v>
      </c>
      <c r="C445" s="228" t="n">
        <v>14</v>
      </c>
      <c r="D445" s="212" t="n">
        <v>124565.41</v>
      </c>
      <c r="E445" s="212" t="n"/>
    </row>
    <row r="446">
      <c r="A446" s="348" t="inlineStr">
        <is>
          <t>HUGO</t>
        </is>
      </c>
      <c r="B446" s="291" t="n">
        <v>1</v>
      </c>
      <c r="C446" s="228" t="n">
        <v>15</v>
      </c>
      <c r="D446" s="212" t="n">
        <v>7897.04</v>
      </c>
      <c r="E446" s="212" t="n"/>
    </row>
    <row r="447">
      <c r="A447" s="348" t="inlineStr">
        <is>
          <t>HUGO</t>
        </is>
      </c>
      <c r="B447" s="291" t="n">
        <v>1</v>
      </c>
      <c r="C447" s="228" t="n">
        <v>16</v>
      </c>
      <c r="D447" s="212" t="n">
        <v>97.39</v>
      </c>
      <c r="E447" s="212" t="n"/>
    </row>
    <row r="448">
      <c r="A448" s="348" t="inlineStr">
        <is>
          <t>HUGO</t>
        </is>
      </c>
      <c r="B448" s="291" t="n">
        <v>1</v>
      </c>
      <c r="C448" s="228" t="n">
        <v>17</v>
      </c>
      <c r="D448" s="212" t="n">
        <v>3016.45</v>
      </c>
      <c r="E448" s="212" t="n"/>
    </row>
    <row r="449">
      <c r="A449" s="348" t="inlineStr">
        <is>
          <t>HUGO</t>
        </is>
      </c>
      <c r="B449" s="291" t="n">
        <v>1</v>
      </c>
      <c r="C449" s="228" t="n">
        <v>18</v>
      </c>
      <c r="D449" s="212" t="n">
        <v>4476.46</v>
      </c>
      <c r="E449" s="212" t="n"/>
    </row>
    <row r="450">
      <c r="A450" s="348" t="inlineStr">
        <is>
          <t>HUGO</t>
        </is>
      </c>
      <c r="B450" s="291" t="n">
        <v>1</v>
      </c>
      <c r="C450" s="228" t="n">
        <v>19</v>
      </c>
      <c r="D450" s="212" t="n">
        <v>5729.57</v>
      </c>
      <c r="E450" s="212" t="n"/>
    </row>
    <row r="451">
      <c r="A451" s="348" t="inlineStr">
        <is>
          <t>HUGO</t>
        </is>
      </c>
      <c r="B451" s="291" t="n">
        <v>1</v>
      </c>
      <c r="C451" s="228" t="n">
        <v>20</v>
      </c>
      <c r="D451" s="212" t="n">
        <v>21216.91</v>
      </c>
      <c r="E451" s="212" t="n"/>
    </row>
    <row r="452">
      <c r="A452" s="348" t="inlineStr">
        <is>
          <t>HUGO</t>
        </is>
      </c>
      <c r="B452" s="291" t="n">
        <v>1</v>
      </c>
      <c r="C452" s="228" t="n">
        <v>21</v>
      </c>
      <c r="D452" s="212" t="n">
        <v>0</v>
      </c>
      <c r="E452" s="212" t="n"/>
    </row>
    <row r="453">
      <c r="A453" s="348" t="inlineStr">
        <is>
          <t>HUGO</t>
        </is>
      </c>
      <c r="B453" s="291" t="n">
        <v>1</v>
      </c>
      <c r="C453" s="228" t="n">
        <v>22</v>
      </c>
      <c r="D453" s="212" t="n">
        <v>20357.69</v>
      </c>
      <c r="E453" s="212" t="n"/>
    </row>
    <row r="454">
      <c r="A454" s="348" t="inlineStr">
        <is>
          <t>HUGO</t>
        </is>
      </c>
      <c r="B454" s="291" t="n">
        <v>1</v>
      </c>
      <c r="C454" s="228" t="n">
        <v>23</v>
      </c>
      <c r="D454" s="212" t="n">
        <v>6179.51</v>
      </c>
      <c r="E454" s="212" t="n"/>
    </row>
    <row r="455">
      <c r="A455" s="348" t="inlineStr">
        <is>
          <t>HUGO</t>
        </is>
      </c>
      <c r="B455" s="291" t="n">
        <v>1</v>
      </c>
      <c r="C455" s="228" t="n">
        <v>24</v>
      </c>
      <c r="D455" s="212" t="n">
        <v>23402.48</v>
      </c>
      <c r="E455" s="212" t="n"/>
    </row>
    <row r="456">
      <c r="A456" s="348" t="inlineStr">
        <is>
          <t>HUGO</t>
        </is>
      </c>
      <c r="B456" s="291" t="n">
        <v>1</v>
      </c>
      <c r="C456" s="228" t="n">
        <v>25</v>
      </c>
      <c r="D456" s="212" t="n">
        <v>6101.05</v>
      </c>
      <c r="E456" s="212" t="n"/>
    </row>
    <row r="457">
      <c r="A457" s="348" t="inlineStr">
        <is>
          <t>HUGO</t>
        </is>
      </c>
      <c r="B457" s="291" t="n">
        <v>1</v>
      </c>
      <c r="C457" s="228" t="n">
        <v>26</v>
      </c>
      <c r="D457" s="212" t="n">
        <v>800.03</v>
      </c>
      <c r="E457" s="212" t="n"/>
    </row>
    <row r="458">
      <c r="A458" s="348" t="inlineStr">
        <is>
          <t>HUGO</t>
        </is>
      </c>
      <c r="B458" s="291" t="n">
        <v>1</v>
      </c>
      <c r="C458" s="228" t="n">
        <v>27</v>
      </c>
      <c r="D458" s="212" t="n">
        <v>1421.3</v>
      </c>
      <c r="E458" s="212" t="n"/>
    </row>
    <row r="459">
      <c r="A459" s="348" t="inlineStr">
        <is>
          <t>HUGO</t>
        </is>
      </c>
      <c r="B459" s="291" t="n">
        <v>1</v>
      </c>
      <c r="C459" s="228" t="n">
        <v>28</v>
      </c>
      <c r="D459" s="212" t="n">
        <v>172507.9</v>
      </c>
      <c r="E459" s="212" t="n"/>
    </row>
    <row r="460">
      <c r="A460" s="348" t="inlineStr">
        <is>
          <t>HUGO</t>
        </is>
      </c>
      <c r="B460" s="291" t="n">
        <v>1</v>
      </c>
      <c r="C460" s="228" t="n">
        <v>29</v>
      </c>
      <c r="D460" s="212" t="n">
        <v>76341.35000000001</v>
      </c>
      <c r="E460" s="212" t="n"/>
    </row>
    <row r="461">
      <c r="A461" s="348" t="inlineStr">
        <is>
          <t>HUGO</t>
        </is>
      </c>
      <c r="B461" s="291" t="n">
        <v>1</v>
      </c>
      <c r="C461" s="228" t="n">
        <v>30</v>
      </c>
      <c r="D461" s="212" t="n">
        <v>0</v>
      </c>
      <c r="E461" s="212" t="n"/>
    </row>
    <row r="462">
      <c r="A462" s="348" t="inlineStr">
        <is>
          <t>HUGO</t>
        </is>
      </c>
      <c r="B462" s="291" t="n">
        <v>1</v>
      </c>
      <c r="C462" s="228" t="n">
        <v>31</v>
      </c>
      <c r="D462" s="212" t="n">
        <v>0</v>
      </c>
      <c r="E462" s="212" t="n"/>
    </row>
    <row r="463">
      <c r="A463" s="348" t="inlineStr">
        <is>
          <t>HUGO</t>
        </is>
      </c>
      <c r="B463" s="291" t="n">
        <v>1</v>
      </c>
      <c r="C463" s="228" t="n">
        <v>32</v>
      </c>
      <c r="D463" s="212" t="n">
        <v>76341.35000000001</v>
      </c>
      <c r="E463" s="212" t="n"/>
    </row>
    <row r="464">
      <c r="A464" s="348" t="inlineStr">
        <is>
          <t>HUGO</t>
        </is>
      </c>
      <c r="B464" s="291" t="n">
        <v>1</v>
      </c>
      <c r="C464" s="228" t="n">
        <v>33</v>
      </c>
      <c r="D464" s="212" t="n">
        <v>0</v>
      </c>
      <c r="E464" s="212" t="n"/>
    </row>
    <row r="465">
      <c r="A465" s="348" t="inlineStr">
        <is>
          <t>HUGO</t>
        </is>
      </c>
      <c r="B465" s="291" t="n">
        <v>1</v>
      </c>
      <c r="C465" s="228" t="n">
        <v>34</v>
      </c>
      <c r="D465" s="212" t="n">
        <v>25447.12</v>
      </c>
      <c r="E465" s="212" t="n"/>
    </row>
    <row r="466">
      <c r="A466" s="348" t="inlineStr">
        <is>
          <t>HUGO</t>
        </is>
      </c>
      <c r="B466" s="291" t="n">
        <v>1</v>
      </c>
      <c r="C466" s="228" t="n">
        <v>35</v>
      </c>
      <c r="D466" s="212" t="n">
        <v>1161.6</v>
      </c>
      <c r="E466" s="212" t="n"/>
    </row>
    <row r="467">
      <c r="A467" s="348" t="inlineStr">
        <is>
          <t>HUGO</t>
        </is>
      </c>
      <c r="B467" s="291" t="n">
        <v>1</v>
      </c>
      <c r="C467" s="228" t="n">
        <v>36</v>
      </c>
      <c r="D467" s="212" t="n">
        <v>2162.49</v>
      </c>
      <c r="E467" s="212" t="n"/>
    </row>
    <row r="468">
      <c r="A468" s="348" t="inlineStr">
        <is>
          <t>HUGO</t>
        </is>
      </c>
      <c r="B468" s="291" t="n">
        <v>1</v>
      </c>
      <c r="C468" s="228" t="n">
        <v>37</v>
      </c>
      <c r="D468" s="212" t="n">
        <v>7461.650000000001</v>
      </c>
      <c r="E468" s="212" t="n"/>
    </row>
    <row r="469">
      <c r="A469" s="348" t="inlineStr">
        <is>
          <t>HUGO</t>
        </is>
      </c>
      <c r="B469" s="291" t="n">
        <v>1</v>
      </c>
      <c r="C469" s="228" t="n">
        <v>38</v>
      </c>
      <c r="D469" s="212" t="n">
        <v>7500</v>
      </c>
      <c r="E469" s="212" t="n"/>
    </row>
    <row r="470">
      <c r="A470" s="348" t="inlineStr">
        <is>
          <t>HUGO</t>
        </is>
      </c>
      <c r="B470" s="291" t="n">
        <v>1</v>
      </c>
      <c r="C470" s="228" t="n">
        <v>39</v>
      </c>
      <c r="D470" s="212" t="n">
        <v>1156.72</v>
      </c>
      <c r="E470" s="212" t="n"/>
    </row>
    <row r="471">
      <c r="A471" s="348" t="inlineStr">
        <is>
          <t>HUGO</t>
        </is>
      </c>
      <c r="B471" s="291" t="n">
        <v>1</v>
      </c>
      <c r="C471" s="228" t="n">
        <v>40</v>
      </c>
      <c r="D471" s="212" t="n">
        <v>35</v>
      </c>
      <c r="E471" s="212" t="n"/>
    </row>
    <row r="472">
      <c r="A472" s="348" t="inlineStr">
        <is>
          <t>HUGO</t>
        </is>
      </c>
      <c r="B472" s="291" t="n">
        <v>1</v>
      </c>
      <c r="C472" s="228" t="inlineStr">
        <is>
          <t>41.1</t>
        </is>
      </c>
      <c r="D472" s="212" t="n">
        <v>-7345.800000000001</v>
      </c>
      <c r="E472" s="212" t="n"/>
    </row>
    <row r="473">
      <c r="A473" s="348" t="inlineStr">
        <is>
          <t>HUGO</t>
        </is>
      </c>
      <c r="B473" s="291" t="n">
        <v>1</v>
      </c>
      <c r="C473" s="228" t="inlineStr">
        <is>
          <t>41.2</t>
        </is>
      </c>
      <c r="D473" s="212" t="n">
        <v>7146.059999999999</v>
      </c>
      <c r="E473" s="212" t="n"/>
    </row>
    <row r="474">
      <c r="A474" s="348" t="inlineStr">
        <is>
          <t>HUGO</t>
        </is>
      </c>
      <c r="B474" s="291" t="n">
        <v>1</v>
      </c>
      <c r="C474" s="228" t="n">
        <v>41</v>
      </c>
      <c r="D474" s="212" t="n">
        <v>199.7400000000016</v>
      </c>
      <c r="E474" s="212" t="n"/>
    </row>
    <row r="475">
      <c r="A475" s="348" t="inlineStr">
        <is>
          <t>HUGO</t>
        </is>
      </c>
      <c r="B475" s="291" t="n">
        <v>1</v>
      </c>
      <c r="C475" s="228" t="n">
        <v>42</v>
      </c>
      <c r="D475" s="212" t="n">
        <v>-680.62</v>
      </c>
      <c r="E475" s="212" t="n"/>
    </row>
    <row r="476">
      <c r="A476" s="348" t="inlineStr">
        <is>
          <t>HUGO</t>
        </is>
      </c>
      <c r="B476" s="291" t="n">
        <v>1</v>
      </c>
      <c r="C476" s="228" t="n">
        <v>43</v>
      </c>
      <c r="D476" s="212" t="n">
        <v>52122.32999999999</v>
      </c>
      <c r="E476" s="212" t="n"/>
    </row>
    <row r="477">
      <c r="A477" s="348" t="inlineStr">
        <is>
          <t>HUGO</t>
        </is>
      </c>
      <c r="B477" s="291" t="n">
        <v>1</v>
      </c>
      <c r="C477" s="228" t="n">
        <v>44</v>
      </c>
      <c r="D477" s="212" t="n">
        <v>60098.42999999999</v>
      </c>
      <c r="E477" s="212" t="n"/>
    </row>
    <row r="478">
      <c r="A478" s="348" t="inlineStr">
        <is>
          <t>HUGO</t>
        </is>
      </c>
      <c r="B478" s="291" t="n">
        <v>1</v>
      </c>
      <c r="C478" s="228" t="n">
        <v>45</v>
      </c>
      <c r="D478" s="212" t="n">
        <v>0</v>
      </c>
      <c r="E478" s="212" t="n"/>
    </row>
    <row r="479">
      <c r="A479" s="348" t="inlineStr">
        <is>
          <t>HUGO</t>
        </is>
      </c>
      <c r="B479" s="291" t="n">
        <v>1</v>
      </c>
      <c r="C479" s="228" t="n">
        <v>46</v>
      </c>
      <c r="D479" s="212" t="n">
        <v>29800</v>
      </c>
      <c r="E479" s="212" t="n"/>
    </row>
    <row r="480">
      <c r="A480" s="348" t="inlineStr">
        <is>
          <t>JEANCLO</t>
        </is>
      </c>
      <c r="B480" s="291" t="n">
        <v>1</v>
      </c>
      <c r="C480" s="228" t="n">
        <v>2</v>
      </c>
      <c r="D480" s="212" t="n">
        <v>-210623.51</v>
      </c>
      <c r="E480" s="212" t="n"/>
    </row>
    <row r="481">
      <c r="A481" s="348" t="inlineStr">
        <is>
          <t>JEANCLO</t>
        </is>
      </c>
      <c r="B481" s="291" t="n">
        <v>1</v>
      </c>
      <c r="C481" s="228" t="n">
        <v>3</v>
      </c>
      <c r="D481" s="212" t="n">
        <v>43794.62</v>
      </c>
      <c r="E481" s="212" t="n"/>
    </row>
    <row r="482">
      <c r="A482" s="348" t="inlineStr">
        <is>
          <t>JEANCLO</t>
        </is>
      </c>
      <c r="B482" s="291" t="n">
        <v>1</v>
      </c>
      <c r="C482" s="228" t="n">
        <v>4</v>
      </c>
      <c r="D482" s="212" t="n">
        <v>1059.16</v>
      </c>
      <c r="E482" s="212" t="n"/>
    </row>
    <row r="483">
      <c r="A483" s="348" t="inlineStr">
        <is>
          <t>JEANCLO</t>
        </is>
      </c>
      <c r="B483" s="291" t="n">
        <v>1</v>
      </c>
      <c r="C483" s="228" t="n">
        <v>5</v>
      </c>
      <c r="D483" s="212" t="n">
        <v>1685.57</v>
      </c>
      <c r="E483" s="212" t="n"/>
    </row>
    <row r="484">
      <c r="A484" s="348" t="inlineStr">
        <is>
          <t>JEANCLO</t>
        </is>
      </c>
      <c r="B484" s="291" t="n">
        <v>1</v>
      </c>
      <c r="C484" s="228" t="n">
        <v>6</v>
      </c>
      <c r="D484" s="212" t="n">
        <v>4944.429999999999</v>
      </c>
      <c r="E484" s="212" t="n"/>
    </row>
    <row r="485">
      <c r="A485" s="348" t="inlineStr">
        <is>
          <t>JEANCLO</t>
        </is>
      </c>
      <c r="B485" s="291" t="n">
        <v>1</v>
      </c>
      <c r="C485" s="228" t="inlineStr">
        <is>
          <t>6.1</t>
        </is>
      </c>
      <c r="D485" s="212" t="n">
        <v>0</v>
      </c>
      <c r="E485" s="212" t="n"/>
    </row>
    <row r="486">
      <c r="A486" s="348" t="inlineStr">
        <is>
          <t>JEANCLO</t>
        </is>
      </c>
      <c r="B486" s="291" t="n">
        <v>1</v>
      </c>
      <c r="C486" s="228" t="n">
        <v>7</v>
      </c>
      <c r="D486" s="212" t="n">
        <v>159139.73</v>
      </c>
      <c r="E486" s="212" t="n"/>
    </row>
    <row r="487">
      <c r="A487" s="348" t="inlineStr">
        <is>
          <t>JEANCLO</t>
        </is>
      </c>
      <c r="B487" s="291" t="n">
        <v>1</v>
      </c>
      <c r="C487" s="228" t="n">
        <v>8</v>
      </c>
      <c r="D487" s="212" t="n">
        <v>38038.68000000001</v>
      </c>
      <c r="E487" s="212" t="n"/>
    </row>
    <row r="488">
      <c r="A488" s="348" t="inlineStr">
        <is>
          <t>JEANCLO</t>
        </is>
      </c>
      <c r="B488" s="291" t="n">
        <v>1</v>
      </c>
      <c r="C488" s="228" t="n">
        <v>9</v>
      </c>
      <c r="D488" s="212" t="n">
        <v>6756.9</v>
      </c>
      <c r="E488" s="212" t="n"/>
    </row>
    <row r="489">
      <c r="A489" s="348" t="inlineStr">
        <is>
          <t>JEANCLO</t>
        </is>
      </c>
      <c r="B489" s="291" t="n">
        <v>1</v>
      </c>
      <c r="C489" s="228" t="n">
        <v>10</v>
      </c>
      <c r="D489" s="212" t="n">
        <v>13124.72</v>
      </c>
      <c r="E489" s="212" t="n"/>
    </row>
    <row r="490">
      <c r="A490" s="348" t="inlineStr">
        <is>
          <t>JEANCLO</t>
        </is>
      </c>
      <c r="B490" s="291" t="n">
        <v>1</v>
      </c>
      <c r="C490" s="228" t="n">
        <v>11</v>
      </c>
      <c r="D490" s="212" t="n">
        <v>3435.35</v>
      </c>
      <c r="E490" s="212" t="n"/>
    </row>
    <row r="491">
      <c r="A491" s="348" t="inlineStr">
        <is>
          <t>JEANCLO</t>
        </is>
      </c>
      <c r="B491" s="291" t="n">
        <v>1</v>
      </c>
      <c r="C491" s="228" t="n">
        <v>12</v>
      </c>
      <c r="D491" s="212" t="n">
        <v>0</v>
      </c>
      <c r="E491" s="212" t="n"/>
    </row>
    <row r="492">
      <c r="A492" s="348" t="inlineStr">
        <is>
          <t>JEANCLO</t>
        </is>
      </c>
      <c r="B492" s="291" t="n">
        <v>1</v>
      </c>
      <c r="C492" s="228" t="n">
        <v>13</v>
      </c>
      <c r="D492" s="212" t="n">
        <v>0</v>
      </c>
      <c r="E492" s="212" t="n"/>
    </row>
    <row r="493">
      <c r="A493" s="348" t="inlineStr">
        <is>
          <t>JEANCLO</t>
        </is>
      </c>
      <c r="B493" s="291" t="n">
        <v>1</v>
      </c>
      <c r="C493" s="228" t="n">
        <v>14</v>
      </c>
      <c r="D493" s="212" t="n">
        <v>61355.65000000001</v>
      </c>
      <c r="E493" s="212" t="n"/>
    </row>
    <row r="494">
      <c r="A494" s="348" t="inlineStr">
        <is>
          <t>JEANCLO</t>
        </is>
      </c>
      <c r="B494" s="291" t="n">
        <v>1</v>
      </c>
      <c r="C494" s="228" t="n">
        <v>15</v>
      </c>
      <c r="D494" s="212" t="n">
        <v>85.23</v>
      </c>
      <c r="E494" s="212" t="n"/>
    </row>
    <row r="495">
      <c r="A495" s="348" t="inlineStr">
        <is>
          <t>JEANCLO</t>
        </is>
      </c>
      <c r="B495" s="291" t="n">
        <v>1</v>
      </c>
      <c r="C495" s="228" t="n">
        <v>16</v>
      </c>
      <c r="D495" s="212" t="n">
        <v>97.39</v>
      </c>
      <c r="E495" s="212" t="n"/>
    </row>
    <row r="496">
      <c r="A496" s="348" t="inlineStr">
        <is>
          <t>JEANCLO</t>
        </is>
      </c>
      <c r="B496" s="291" t="n">
        <v>1</v>
      </c>
      <c r="C496" s="228" t="n">
        <v>17</v>
      </c>
      <c r="D496" s="212" t="n">
        <v>756.5599999999999</v>
      </c>
      <c r="E496" s="212" t="n"/>
    </row>
    <row r="497">
      <c r="A497" s="348" t="inlineStr">
        <is>
          <t>JEANCLO</t>
        </is>
      </c>
      <c r="B497" s="291" t="n">
        <v>1</v>
      </c>
      <c r="C497" s="228" t="n">
        <v>18</v>
      </c>
      <c r="D497" s="212" t="n">
        <v>3534.75</v>
      </c>
      <c r="E497" s="212" t="n"/>
    </row>
    <row r="498">
      <c r="A498" s="348" t="inlineStr">
        <is>
          <t>JEANCLO</t>
        </is>
      </c>
      <c r="B498" s="291" t="n">
        <v>1</v>
      </c>
      <c r="C498" s="228" t="n">
        <v>19</v>
      </c>
      <c r="D498" s="212" t="n">
        <v>2810.47</v>
      </c>
      <c r="E498" s="212" t="n"/>
    </row>
    <row r="499">
      <c r="A499" s="348" t="inlineStr">
        <is>
          <t>JEANCLO</t>
        </is>
      </c>
      <c r="B499" s="291" t="n">
        <v>1</v>
      </c>
      <c r="C499" s="228" t="n">
        <v>20</v>
      </c>
      <c r="D499" s="212" t="n">
        <v>7284.4</v>
      </c>
      <c r="E499" s="212" t="n"/>
    </row>
    <row r="500">
      <c r="A500" s="348" t="inlineStr">
        <is>
          <t>JEANCLO</t>
        </is>
      </c>
      <c r="B500" s="291" t="n">
        <v>1</v>
      </c>
      <c r="C500" s="228" t="n">
        <v>21</v>
      </c>
      <c r="D500" s="212" t="n">
        <v>11851.04</v>
      </c>
      <c r="E500" s="212" t="n"/>
    </row>
    <row r="501">
      <c r="A501" s="348" t="inlineStr">
        <is>
          <t>JEANCLO</t>
        </is>
      </c>
      <c r="B501" s="291" t="n">
        <v>1</v>
      </c>
      <c r="C501" s="228" t="n">
        <v>22</v>
      </c>
      <c r="D501" s="212" t="n">
        <v>8490.309999999999</v>
      </c>
      <c r="E501" s="212" t="n"/>
    </row>
    <row r="502">
      <c r="A502" s="348" t="inlineStr">
        <is>
          <t>JEANCLO</t>
        </is>
      </c>
      <c r="B502" s="291" t="n">
        <v>1</v>
      </c>
      <c r="C502" s="228" t="n">
        <v>23</v>
      </c>
      <c r="D502" s="212" t="n">
        <v>3402.41</v>
      </c>
      <c r="E502" s="212" t="n"/>
    </row>
    <row r="503">
      <c r="A503" s="348" t="inlineStr">
        <is>
          <t>JEANCLO</t>
        </is>
      </c>
      <c r="B503" s="291" t="n">
        <v>1</v>
      </c>
      <c r="C503" s="228" t="n">
        <v>24</v>
      </c>
      <c r="D503" s="212" t="n">
        <v>19326.51</v>
      </c>
      <c r="E503" s="212" t="n"/>
    </row>
    <row r="504">
      <c r="A504" s="348" t="inlineStr">
        <is>
          <t>JEANCLO</t>
        </is>
      </c>
      <c r="B504" s="291" t="n">
        <v>1</v>
      </c>
      <c r="C504" s="228" t="n">
        <v>25</v>
      </c>
      <c r="D504" s="212" t="n">
        <v>9357.049999999999</v>
      </c>
      <c r="E504" s="212" t="n"/>
    </row>
    <row r="505">
      <c r="A505" s="348" t="inlineStr">
        <is>
          <t>JEANCLO</t>
        </is>
      </c>
      <c r="B505" s="291" t="n">
        <v>1</v>
      </c>
      <c r="C505" s="228" t="n">
        <v>26</v>
      </c>
      <c r="D505" s="212" t="n">
        <v>533.01</v>
      </c>
      <c r="E505" s="212" t="n"/>
    </row>
    <row r="506">
      <c r="A506" s="348" t="inlineStr">
        <is>
          <t>JEANCLO</t>
        </is>
      </c>
      <c r="B506" s="291" t="n">
        <v>1</v>
      </c>
      <c r="C506" s="228" t="n">
        <v>27</v>
      </c>
      <c r="D506" s="212" t="n">
        <v>1521.58</v>
      </c>
      <c r="E506" s="212" t="n"/>
    </row>
    <row r="507">
      <c r="A507" s="348" t="inlineStr">
        <is>
          <t>JEANCLO</t>
        </is>
      </c>
      <c r="B507" s="291" t="n">
        <v>1</v>
      </c>
      <c r="C507" s="228" t="n">
        <v>28</v>
      </c>
      <c r="D507" s="212" t="n">
        <v>36017.77000000001</v>
      </c>
      <c r="E507" s="212" t="n"/>
    </row>
    <row r="508">
      <c r="A508" s="348" t="inlineStr">
        <is>
          <t>JEANCLO</t>
        </is>
      </c>
      <c r="B508" s="291" t="n">
        <v>1</v>
      </c>
      <c r="C508" s="228" t="n">
        <v>29</v>
      </c>
      <c r="D508" s="212" t="n">
        <v>21225.78</v>
      </c>
      <c r="E508" s="212" t="n"/>
    </row>
    <row r="509">
      <c r="A509" s="348" t="inlineStr">
        <is>
          <t>JEANCLO</t>
        </is>
      </c>
      <c r="B509" s="291" t="n">
        <v>1</v>
      </c>
      <c r="C509" s="228" t="n">
        <v>30</v>
      </c>
      <c r="D509" s="212" t="n">
        <v>2100.18</v>
      </c>
      <c r="E509" s="212" t="n"/>
    </row>
    <row r="510">
      <c r="A510" s="348" t="inlineStr">
        <is>
          <t>JEANCLO</t>
        </is>
      </c>
      <c r="B510" s="291" t="n">
        <v>1</v>
      </c>
      <c r="C510" s="228" t="n">
        <v>31</v>
      </c>
      <c r="D510" s="212" t="n">
        <v>0</v>
      </c>
      <c r="E510" s="212" t="n"/>
    </row>
    <row r="511">
      <c r="A511" s="348" t="inlineStr">
        <is>
          <t>JEANCLO</t>
        </is>
      </c>
      <c r="B511" s="291" t="n">
        <v>1</v>
      </c>
      <c r="C511" s="228" t="n">
        <v>32</v>
      </c>
      <c r="D511" s="212" t="n">
        <v>23325.96</v>
      </c>
      <c r="E511" s="212" t="n"/>
    </row>
    <row r="512">
      <c r="A512" s="348" t="inlineStr">
        <is>
          <t>JEANCLO</t>
        </is>
      </c>
      <c r="B512" s="291" t="n">
        <v>1</v>
      </c>
      <c r="C512" s="228" t="n">
        <v>33</v>
      </c>
      <c r="D512" s="212" t="n">
        <v>2711.82</v>
      </c>
      <c r="E512" s="212" t="n"/>
    </row>
    <row r="513">
      <c r="A513" s="348" t="inlineStr">
        <is>
          <t>JEANCLO</t>
        </is>
      </c>
      <c r="B513" s="291" t="n">
        <v>1</v>
      </c>
      <c r="C513" s="228" t="n">
        <v>34</v>
      </c>
      <c r="D513" s="212" t="n">
        <v>10612.88</v>
      </c>
      <c r="E513" s="212" t="n"/>
    </row>
    <row r="514">
      <c r="A514" s="348" t="inlineStr">
        <is>
          <t>JEANCLO</t>
        </is>
      </c>
      <c r="B514" s="291" t="n">
        <v>1</v>
      </c>
      <c r="C514" s="228" t="n">
        <v>35</v>
      </c>
      <c r="D514" s="212" t="n">
        <v>733.85</v>
      </c>
      <c r="E514" s="212" t="n"/>
    </row>
    <row r="515">
      <c r="A515" s="348" t="inlineStr">
        <is>
          <t>JEANCLO</t>
        </is>
      </c>
      <c r="B515" s="291" t="n">
        <v>1</v>
      </c>
      <c r="C515" s="228" t="n">
        <v>36</v>
      </c>
      <c r="D515" s="212" t="n">
        <v>872.04</v>
      </c>
      <c r="E515" s="212" t="n"/>
    </row>
    <row r="516">
      <c r="A516" s="348" t="inlineStr">
        <is>
          <t>JEANCLO</t>
        </is>
      </c>
      <c r="B516" s="291" t="n">
        <v>1</v>
      </c>
      <c r="C516" s="228" t="n">
        <v>37</v>
      </c>
      <c r="D516" s="212" t="n">
        <v>2018.14</v>
      </c>
      <c r="E516" s="212" t="n"/>
    </row>
    <row r="517">
      <c r="A517" s="348" t="inlineStr">
        <is>
          <t>JEANCLO</t>
        </is>
      </c>
      <c r="B517" s="291" t="n">
        <v>1</v>
      </c>
      <c r="C517" s="228" t="n">
        <v>38</v>
      </c>
      <c r="D517" s="212" t="n">
        <v>9200</v>
      </c>
      <c r="E517" s="212" t="n"/>
    </row>
    <row r="518">
      <c r="A518" s="348" t="inlineStr">
        <is>
          <t>JEANCLO</t>
        </is>
      </c>
      <c r="B518" s="291" t="n">
        <v>1</v>
      </c>
      <c r="C518" s="228" t="n">
        <v>39</v>
      </c>
      <c r="D518" s="212" t="n">
        <v>556.53</v>
      </c>
      <c r="E518" s="212" t="n"/>
    </row>
    <row r="519">
      <c r="A519" s="348" t="inlineStr">
        <is>
          <t>JEANCLO</t>
        </is>
      </c>
      <c r="B519" s="291" t="n">
        <v>1</v>
      </c>
      <c r="C519" s="228" t="n">
        <v>40</v>
      </c>
      <c r="D519" s="212" t="n">
        <v>35</v>
      </c>
      <c r="E519" s="212" t="n"/>
    </row>
    <row r="520">
      <c r="A520" s="348" t="inlineStr">
        <is>
          <t>JEANCLO</t>
        </is>
      </c>
      <c r="B520" s="291" t="n">
        <v>1</v>
      </c>
      <c r="C520" s="228" t="inlineStr">
        <is>
          <t>41.1</t>
        </is>
      </c>
      <c r="D520" s="212" t="n">
        <v>-2325.94</v>
      </c>
      <c r="E520" s="212" t="n"/>
    </row>
    <row r="521">
      <c r="A521" s="348" t="inlineStr">
        <is>
          <t>JEANCLO</t>
        </is>
      </c>
      <c r="B521" s="291" t="n">
        <v>1</v>
      </c>
      <c r="C521" s="228" t="inlineStr">
        <is>
          <t>41.2</t>
        </is>
      </c>
      <c r="D521" s="212" t="n">
        <v>2058.79</v>
      </c>
      <c r="E521" s="212" t="n"/>
    </row>
    <row r="522">
      <c r="A522" s="348" t="inlineStr">
        <is>
          <t>JEANCLO</t>
        </is>
      </c>
      <c r="B522" s="291" t="n">
        <v>1</v>
      </c>
      <c r="C522" s="228" t="n">
        <v>41</v>
      </c>
      <c r="D522" s="212" t="n">
        <v>267.1500000000001</v>
      </c>
      <c r="E522" s="212" t="n"/>
    </row>
    <row r="523">
      <c r="A523" s="348" t="inlineStr">
        <is>
          <t>JEANCLO</t>
        </is>
      </c>
      <c r="B523" s="291" t="n">
        <v>1</v>
      </c>
      <c r="C523" s="228" t="n">
        <v>42</v>
      </c>
      <c r="D523" s="212" t="n">
        <v>303.48</v>
      </c>
      <c r="E523" s="212" t="n"/>
    </row>
    <row r="524">
      <c r="A524" s="348" t="inlineStr">
        <is>
          <t>JEANCLO</t>
        </is>
      </c>
      <c r="B524" s="291" t="n">
        <v>1</v>
      </c>
      <c r="C524" s="228" t="n">
        <v>43</v>
      </c>
      <c r="D524" s="212" t="n">
        <v>-14084.77999999998</v>
      </c>
      <c r="E524" s="212" t="n"/>
    </row>
    <row r="525">
      <c r="A525" s="348" t="inlineStr">
        <is>
          <t>JEANCLO</t>
        </is>
      </c>
      <c r="B525" s="291" t="n">
        <v>1</v>
      </c>
      <c r="C525" s="228" t="n">
        <v>44</v>
      </c>
      <c r="D525" s="212" t="n">
        <v>-4024.769999999983</v>
      </c>
      <c r="E525" s="212" t="n"/>
    </row>
    <row r="526">
      <c r="A526" s="348" t="inlineStr">
        <is>
          <t>JEANCLO</t>
        </is>
      </c>
      <c r="B526" s="291" t="n">
        <v>1</v>
      </c>
      <c r="C526" s="228" t="n">
        <v>45</v>
      </c>
      <c r="D526" s="212" t="n">
        <v>0</v>
      </c>
      <c r="E526" s="212" t="n"/>
    </row>
    <row r="527">
      <c r="A527" s="348" t="inlineStr">
        <is>
          <t>JEANCLO</t>
        </is>
      </c>
      <c r="B527" s="291" t="n">
        <v>1</v>
      </c>
      <c r="C527" s="228" t="n">
        <v>46</v>
      </c>
      <c r="D527" s="212" t="n">
        <v>12000</v>
      </c>
      <c r="E527" s="212" t="n"/>
    </row>
    <row r="528">
      <c r="A528" s="348" t="inlineStr">
        <is>
          <t>THOMAS</t>
        </is>
      </c>
      <c r="B528" s="291" t="n">
        <v>1</v>
      </c>
      <c r="C528" s="228" t="n">
        <v>2</v>
      </c>
      <c r="D528" s="212" t="n">
        <v>-349402.23</v>
      </c>
      <c r="E528" s="212" t="n"/>
    </row>
    <row r="529">
      <c r="A529" s="348" t="inlineStr">
        <is>
          <t>THOMAS</t>
        </is>
      </c>
      <c r="B529" s="291" t="n">
        <v>1</v>
      </c>
      <c r="C529" s="228" t="n">
        <v>3</v>
      </c>
      <c r="D529" s="212" t="n">
        <v>77023.95000000001</v>
      </c>
      <c r="E529" s="212" t="n"/>
    </row>
    <row r="530">
      <c r="A530" s="348" t="inlineStr">
        <is>
          <t>THOMAS</t>
        </is>
      </c>
      <c r="B530" s="291" t="n">
        <v>1</v>
      </c>
      <c r="C530" s="228" t="n">
        <v>4</v>
      </c>
      <c r="D530" s="212" t="n">
        <v>1700.81</v>
      </c>
      <c r="E530" s="212" t="n"/>
    </row>
    <row r="531">
      <c r="A531" s="348" t="inlineStr">
        <is>
          <t>THOMAS</t>
        </is>
      </c>
      <c r="B531" s="291" t="n">
        <v>1</v>
      </c>
      <c r="C531" s="228" t="n">
        <v>5</v>
      </c>
      <c r="D531" s="212" t="n">
        <v>3010.68</v>
      </c>
      <c r="E531" s="212" t="n"/>
    </row>
    <row r="532">
      <c r="A532" s="348" t="inlineStr">
        <is>
          <t>THOMAS</t>
        </is>
      </c>
      <c r="B532" s="291" t="n">
        <v>1</v>
      </c>
      <c r="C532" s="228" t="n">
        <v>6</v>
      </c>
      <c r="D532" s="212" t="n">
        <v>9108.709999999999</v>
      </c>
      <c r="E532" s="212" t="n"/>
    </row>
    <row r="533">
      <c r="A533" s="348" t="inlineStr">
        <is>
          <t>THOMAS</t>
        </is>
      </c>
      <c r="B533" s="291" t="n">
        <v>1</v>
      </c>
      <c r="C533" s="228" t="inlineStr">
        <is>
          <t>6.1</t>
        </is>
      </c>
      <c r="D533" s="212" t="n">
        <v>490.85</v>
      </c>
      <c r="E533" s="212" t="n"/>
    </row>
    <row r="534">
      <c r="A534" s="348" t="inlineStr">
        <is>
          <t>THOMAS</t>
        </is>
      </c>
      <c r="B534" s="291" t="n">
        <v>1</v>
      </c>
      <c r="C534" s="228" t="n">
        <v>7</v>
      </c>
      <c r="D534" s="212" t="n">
        <v>258067.23</v>
      </c>
      <c r="E534" s="212" t="n"/>
    </row>
    <row r="535">
      <c r="A535" s="348" t="inlineStr">
        <is>
          <t>THOMAS</t>
        </is>
      </c>
      <c r="B535" s="291" t="n">
        <v>1</v>
      </c>
      <c r="C535" s="228" t="n">
        <v>8</v>
      </c>
      <c r="D535" s="212" t="n">
        <v>58903.05</v>
      </c>
      <c r="E535" s="212" t="n"/>
    </row>
    <row r="536">
      <c r="A536" s="348" t="inlineStr">
        <is>
          <t>THOMAS</t>
        </is>
      </c>
      <c r="B536" s="291" t="n">
        <v>1</v>
      </c>
      <c r="C536" s="228" t="n">
        <v>9</v>
      </c>
      <c r="D536" s="212" t="n">
        <v>11776.67</v>
      </c>
      <c r="E536" s="212" t="n"/>
    </row>
    <row r="537">
      <c r="A537" s="348" t="inlineStr">
        <is>
          <t>THOMAS</t>
        </is>
      </c>
      <c r="B537" s="291" t="n">
        <v>1</v>
      </c>
      <c r="C537" s="228" t="n">
        <v>10</v>
      </c>
      <c r="D537" s="212" t="n">
        <v>20461.65</v>
      </c>
      <c r="E537" s="212" t="n"/>
    </row>
    <row r="538">
      <c r="A538" s="348" t="inlineStr">
        <is>
          <t>THOMAS</t>
        </is>
      </c>
      <c r="B538" s="291" t="n">
        <v>1</v>
      </c>
      <c r="C538" s="228" t="n">
        <v>11</v>
      </c>
      <c r="D538" s="212" t="n">
        <v>5981.220000000001</v>
      </c>
      <c r="E538" s="212" t="n"/>
    </row>
    <row r="539">
      <c r="A539" s="348" t="inlineStr">
        <is>
          <t>THOMAS</t>
        </is>
      </c>
      <c r="B539" s="291" t="n">
        <v>1</v>
      </c>
      <c r="C539" s="228" t="n">
        <v>12</v>
      </c>
      <c r="D539" s="212" t="n">
        <v>0</v>
      </c>
      <c r="E539" s="212" t="n"/>
    </row>
    <row r="540">
      <c r="A540" s="348" t="inlineStr">
        <is>
          <t>THOMAS</t>
        </is>
      </c>
      <c r="B540" s="291" t="n">
        <v>1</v>
      </c>
      <c r="C540" s="228" t="n">
        <v>13</v>
      </c>
      <c r="D540" s="212" t="n">
        <v>0</v>
      </c>
      <c r="E540" s="212" t="n"/>
    </row>
    <row r="541">
      <c r="A541" s="348" t="inlineStr">
        <is>
          <t>THOMAS</t>
        </is>
      </c>
      <c r="B541" s="291" t="n">
        <v>1</v>
      </c>
      <c r="C541" s="228" t="n">
        <v>14</v>
      </c>
      <c r="D541" s="212" t="n">
        <v>97122.59</v>
      </c>
      <c r="E541" s="212" t="n"/>
    </row>
    <row r="542">
      <c r="A542" s="348" t="inlineStr">
        <is>
          <t>THOMAS</t>
        </is>
      </c>
      <c r="B542" s="291" t="n">
        <v>1</v>
      </c>
      <c r="C542" s="228" t="n">
        <v>15</v>
      </c>
      <c r="D542" s="212" t="n">
        <v>109.12</v>
      </c>
      <c r="E542" s="212" t="n"/>
    </row>
    <row r="543">
      <c r="A543" s="348" t="inlineStr">
        <is>
          <t>THOMAS</t>
        </is>
      </c>
      <c r="B543" s="291" t="n">
        <v>1</v>
      </c>
      <c r="C543" s="228" t="n">
        <v>16</v>
      </c>
      <c r="D543" s="212" t="n">
        <v>65.39</v>
      </c>
      <c r="E543" s="212" t="n"/>
    </row>
    <row r="544">
      <c r="A544" s="348" t="inlineStr">
        <is>
          <t>THOMAS</t>
        </is>
      </c>
      <c r="B544" s="291" t="n">
        <v>1</v>
      </c>
      <c r="C544" s="228" t="n">
        <v>17</v>
      </c>
      <c r="D544" s="212" t="n">
        <v>1949.2</v>
      </c>
      <c r="E544" s="212" t="n"/>
    </row>
    <row r="545">
      <c r="A545" s="348" t="inlineStr">
        <is>
          <t>THOMAS</t>
        </is>
      </c>
      <c r="B545" s="291" t="n">
        <v>1</v>
      </c>
      <c r="C545" s="228" t="n">
        <v>18</v>
      </c>
      <c r="D545" s="212" t="n">
        <v>4641.37</v>
      </c>
      <c r="E545" s="212" t="n"/>
    </row>
    <row r="546">
      <c r="A546" s="348" t="inlineStr">
        <is>
          <t>THOMAS</t>
        </is>
      </c>
      <c r="B546" s="291" t="n">
        <v>1</v>
      </c>
      <c r="C546" s="228" t="n">
        <v>19</v>
      </c>
      <c r="D546" s="212" t="n">
        <v>4002.36</v>
      </c>
      <c r="E546" s="212" t="n"/>
    </row>
    <row r="547">
      <c r="A547" s="348" t="inlineStr">
        <is>
          <t>THOMAS</t>
        </is>
      </c>
      <c r="B547" s="291" t="n">
        <v>1</v>
      </c>
      <c r="C547" s="228" t="n">
        <v>20</v>
      </c>
      <c r="D547" s="212" t="n">
        <v>10767.44</v>
      </c>
      <c r="E547" s="212" t="n"/>
    </row>
    <row r="548">
      <c r="A548" s="348" t="inlineStr">
        <is>
          <t>THOMAS</t>
        </is>
      </c>
      <c r="B548" s="291" t="n">
        <v>1</v>
      </c>
      <c r="C548" s="228" t="n">
        <v>21</v>
      </c>
      <c r="D548" s="212" t="n">
        <v>6492.02</v>
      </c>
      <c r="E548" s="212" t="n"/>
    </row>
    <row r="549">
      <c r="A549" s="348" t="inlineStr">
        <is>
          <t>THOMAS</t>
        </is>
      </c>
      <c r="B549" s="291" t="n">
        <v>1</v>
      </c>
      <c r="C549" s="228" t="n">
        <v>22</v>
      </c>
      <c r="D549" s="212" t="n">
        <v>13991.45</v>
      </c>
      <c r="E549" s="212" t="n"/>
    </row>
    <row r="550">
      <c r="A550" s="348" t="inlineStr">
        <is>
          <t>THOMAS</t>
        </is>
      </c>
      <c r="B550" s="291" t="n">
        <v>1</v>
      </c>
      <c r="C550" s="228" t="n">
        <v>23</v>
      </c>
      <c r="D550" s="212" t="n">
        <v>4333.13</v>
      </c>
      <c r="E550" s="212" t="n"/>
    </row>
    <row r="551">
      <c r="A551" s="348" t="inlineStr">
        <is>
          <t>THOMAS</t>
        </is>
      </c>
      <c r="B551" s="291" t="n">
        <v>1</v>
      </c>
      <c r="C551" s="228" t="n">
        <v>24</v>
      </c>
      <c r="D551" s="212" t="n">
        <v>19297.62</v>
      </c>
      <c r="E551" s="212" t="n"/>
    </row>
    <row r="552">
      <c r="A552" s="348" t="inlineStr">
        <is>
          <t>THOMAS</t>
        </is>
      </c>
      <c r="B552" s="291" t="n">
        <v>1</v>
      </c>
      <c r="C552" s="228" t="n">
        <v>25</v>
      </c>
      <c r="D552" s="212" t="n">
        <v>4683.66</v>
      </c>
      <c r="E552" s="212" t="n"/>
    </row>
    <row r="553">
      <c r="A553" s="348" t="inlineStr">
        <is>
          <t>THOMAS</t>
        </is>
      </c>
      <c r="B553" s="291" t="n">
        <v>1</v>
      </c>
      <c r="C553" s="228" t="n">
        <v>26</v>
      </c>
      <c r="D553" s="212" t="n">
        <v>802.97</v>
      </c>
      <c r="E553" s="212" t="n"/>
    </row>
    <row r="554">
      <c r="A554" s="348" t="inlineStr">
        <is>
          <t>THOMAS</t>
        </is>
      </c>
      <c r="B554" s="291" t="n">
        <v>1</v>
      </c>
      <c r="C554" s="228" t="n">
        <v>27</v>
      </c>
      <c r="D554" s="212" t="n">
        <v>192.87</v>
      </c>
      <c r="E554" s="212" t="n"/>
    </row>
    <row r="555">
      <c r="A555" s="348" t="inlineStr">
        <is>
          <t>THOMAS</t>
        </is>
      </c>
      <c r="B555" s="291" t="n">
        <v>1</v>
      </c>
      <c r="C555" s="228" t="n">
        <v>28</v>
      </c>
      <c r="D555" s="212" t="n">
        <v>100383.48</v>
      </c>
      <c r="E555" s="212" t="n"/>
    </row>
    <row r="556">
      <c r="A556" s="348" t="inlineStr">
        <is>
          <t>THOMAS</t>
        </is>
      </c>
      <c r="B556" s="291" t="n">
        <v>1</v>
      </c>
      <c r="C556" s="228" t="n">
        <v>29</v>
      </c>
      <c r="D556" s="212" t="n">
        <v>62961.53</v>
      </c>
      <c r="E556" s="212" t="n"/>
    </row>
    <row r="557">
      <c r="A557" s="348" t="inlineStr">
        <is>
          <t>THOMAS</t>
        </is>
      </c>
      <c r="B557" s="291" t="n">
        <v>1</v>
      </c>
      <c r="C557" s="228" t="n">
        <v>30</v>
      </c>
      <c r="D557" s="212" t="n">
        <v>0</v>
      </c>
      <c r="E557" s="212" t="n"/>
    </row>
    <row r="558">
      <c r="A558" s="348" t="inlineStr">
        <is>
          <t>THOMAS</t>
        </is>
      </c>
      <c r="B558" s="291" t="n">
        <v>1</v>
      </c>
      <c r="C558" s="228" t="n">
        <v>31</v>
      </c>
      <c r="D558" s="212" t="n">
        <v>0</v>
      </c>
      <c r="E558" s="212" t="n"/>
    </row>
    <row r="559">
      <c r="A559" s="348" t="inlineStr">
        <is>
          <t>THOMAS</t>
        </is>
      </c>
      <c r="B559" s="291" t="n">
        <v>1</v>
      </c>
      <c r="C559" s="228" t="n">
        <v>32</v>
      </c>
      <c r="D559" s="212" t="n">
        <v>62961.53</v>
      </c>
      <c r="E559" s="212" t="n"/>
    </row>
    <row r="560">
      <c r="A560" s="348" t="inlineStr">
        <is>
          <t>THOMAS</t>
        </is>
      </c>
      <c r="B560" s="291" t="n">
        <v>1</v>
      </c>
      <c r="C560" s="228" t="n">
        <v>33</v>
      </c>
      <c r="D560" s="212" t="n">
        <v>0</v>
      </c>
      <c r="E560" s="212" t="n"/>
    </row>
    <row r="561">
      <c r="A561" s="348" t="inlineStr">
        <is>
          <t>THOMAS</t>
        </is>
      </c>
      <c r="B561" s="291" t="n">
        <v>1</v>
      </c>
      <c r="C561" s="228" t="n">
        <v>34</v>
      </c>
      <c r="D561" s="212" t="n">
        <v>17489.32</v>
      </c>
      <c r="E561" s="212" t="n"/>
    </row>
    <row r="562">
      <c r="A562" s="348" t="inlineStr">
        <is>
          <t>THOMAS</t>
        </is>
      </c>
      <c r="B562" s="291" t="n">
        <v>1</v>
      </c>
      <c r="C562" s="228" t="n">
        <v>35</v>
      </c>
      <c r="D562" s="212" t="n">
        <v>1059.5</v>
      </c>
      <c r="E562" s="212" t="n"/>
    </row>
    <row r="563">
      <c r="A563" s="348" t="inlineStr">
        <is>
          <t>THOMAS</t>
        </is>
      </c>
      <c r="B563" s="291" t="n">
        <v>1</v>
      </c>
      <c r="C563" s="228" t="n">
        <v>36</v>
      </c>
      <c r="D563" s="212" t="n">
        <v>1565.76</v>
      </c>
      <c r="E563" s="212" t="n"/>
    </row>
    <row r="564">
      <c r="A564" s="348" t="inlineStr">
        <is>
          <t>THOMAS</t>
        </is>
      </c>
      <c r="B564" s="291" t="n">
        <v>1</v>
      </c>
      <c r="C564" s="228" t="n">
        <v>37</v>
      </c>
      <c r="D564" s="212" t="n">
        <v>4509.01</v>
      </c>
      <c r="E564" s="212" t="n"/>
    </row>
    <row r="565">
      <c r="A565" s="348" t="inlineStr">
        <is>
          <t>THOMAS</t>
        </is>
      </c>
      <c r="B565" s="291" t="n">
        <v>1</v>
      </c>
      <c r="C565" s="228" t="n">
        <v>38</v>
      </c>
      <c r="D565" s="212" t="n">
        <v>5000</v>
      </c>
      <c r="E565" s="212" t="n"/>
    </row>
    <row r="566">
      <c r="A566" s="348" t="inlineStr">
        <is>
          <t>THOMAS</t>
        </is>
      </c>
      <c r="B566" s="291" t="n">
        <v>1</v>
      </c>
      <c r="C566" s="228" t="n">
        <v>39</v>
      </c>
      <c r="D566" s="212" t="n">
        <v>1038.23</v>
      </c>
      <c r="E566" s="212" t="n"/>
    </row>
    <row r="567">
      <c r="A567" s="348" t="inlineStr">
        <is>
          <t>THOMAS</t>
        </is>
      </c>
      <c r="B567" s="291" t="n">
        <v>1</v>
      </c>
      <c r="C567" s="228" t="n">
        <v>40</v>
      </c>
      <c r="D567" s="212" t="n">
        <v>35</v>
      </c>
      <c r="E567" s="212" t="n"/>
    </row>
    <row r="568">
      <c r="A568" s="348" t="inlineStr">
        <is>
          <t>THOMAS</t>
        </is>
      </c>
      <c r="B568" s="291" t="n">
        <v>1</v>
      </c>
      <c r="C568" s="228" t="inlineStr">
        <is>
          <t>41.1</t>
        </is>
      </c>
      <c r="D568" s="212" t="n">
        <v>-4809.01</v>
      </c>
      <c r="E568" s="212" t="n"/>
    </row>
    <row r="569">
      <c r="A569" s="348" t="inlineStr">
        <is>
          <t>THOMAS</t>
        </is>
      </c>
      <c r="B569" s="291" t="n">
        <v>1</v>
      </c>
      <c r="C569" s="228" t="inlineStr">
        <is>
          <t>41.2</t>
        </is>
      </c>
      <c r="D569" s="212" t="n">
        <v>4836.38</v>
      </c>
      <c r="E569" s="212" t="n"/>
    </row>
    <row r="570">
      <c r="A570" s="348" t="inlineStr">
        <is>
          <t>THOMAS</t>
        </is>
      </c>
      <c r="B570" s="291" t="n">
        <v>1</v>
      </c>
      <c r="C570" s="228" t="n">
        <v>41</v>
      </c>
      <c r="D570" s="212" t="n">
        <v>-27.36999999999989</v>
      </c>
      <c r="E570" s="212" t="n"/>
    </row>
    <row r="571">
      <c r="A571" s="348" t="inlineStr">
        <is>
          <t>THOMAS</t>
        </is>
      </c>
      <c r="B571" s="291" t="n">
        <v>1</v>
      </c>
      <c r="C571" s="228" t="n">
        <v>42</v>
      </c>
      <c r="D571" s="212" t="n">
        <v>26.49</v>
      </c>
      <c r="E571" s="212" t="n"/>
    </row>
    <row r="572">
      <c r="A572" s="348" t="inlineStr">
        <is>
          <t>THOMAS</t>
        </is>
      </c>
      <c r="B572" s="291" t="n">
        <v>1</v>
      </c>
      <c r="C572" s="228" t="n">
        <v>43</v>
      </c>
      <c r="D572" s="212" t="n">
        <v>6671.270000000049</v>
      </c>
      <c r="E572" s="212" t="n"/>
    </row>
    <row r="573">
      <c r="A573" s="348" t="inlineStr">
        <is>
          <t>THOMAS</t>
        </is>
      </c>
      <c r="B573" s="291" t="n">
        <v>1</v>
      </c>
      <c r="C573" s="228" t="n">
        <v>44</v>
      </c>
      <c r="D573" s="212" t="n">
        <v>12735.99000000005</v>
      </c>
      <c r="E573" s="212" t="n"/>
    </row>
    <row r="574">
      <c r="A574" s="348" t="inlineStr">
        <is>
          <t>THOMAS</t>
        </is>
      </c>
      <c r="B574" s="291" t="n">
        <v>1</v>
      </c>
      <c r="C574" s="228" t="n">
        <v>45</v>
      </c>
      <c r="D574" s="212" t="n">
        <v>0</v>
      </c>
      <c r="E574" s="212" t="n"/>
    </row>
    <row r="575">
      <c r="A575" s="348" t="inlineStr">
        <is>
          <t>THOMAS</t>
        </is>
      </c>
      <c r="B575" s="291" t="n">
        <v>1</v>
      </c>
      <c r="C575" s="228" t="n">
        <v>46</v>
      </c>
      <c r="D575" s="212" t="n">
        <v>21400</v>
      </c>
      <c r="E575" s="212" t="n"/>
    </row>
    <row r="576">
      <c r="B576" s="291" t="n"/>
      <c r="E576" s="212" t="n"/>
    </row>
    <row r="577">
      <c r="B577" s="291" t="n"/>
      <c r="E577" s="212" t="n"/>
    </row>
    <row r="578">
      <c r="B578" s="291" t="n"/>
      <c r="E578" s="212" t="n"/>
    </row>
    <row r="579">
      <c r="B579" s="291" t="n"/>
      <c r="E579" s="212" t="n"/>
    </row>
    <row r="580">
      <c r="B580" s="291" t="n"/>
      <c r="E580" s="212" t="n"/>
    </row>
    <row r="581">
      <c r="B581" s="291" t="n"/>
      <c r="E581" s="212" t="n"/>
    </row>
    <row r="582">
      <c r="B582" s="291" t="n"/>
      <c r="E582" s="212" t="n"/>
    </row>
    <row r="583">
      <c r="B583" s="291" t="n"/>
      <c r="E583" s="212" t="n"/>
    </row>
    <row r="584">
      <c r="B584" s="291" t="n"/>
      <c r="E584" s="212" t="n"/>
    </row>
    <row r="585">
      <c r="B585" s="291" t="n"/>
      <c r="E585" s="212" t="n"/>
    </row>
    <row r="586">
      <c r="B586" s="291" t="n"/>
      <c r="E586" s="212" t="n"/>
    </row>
    <row r="587">
      <c r="B587" s="291" t="n"/>
      <c r="E587" s="212" t="n"/>
    </row>
    <row r="588">
      <c r="B588" s="291" t="n"/>
      <c r="E588" s="212" t="n"/>
    </row>
    <row r="589">
      <c r="B589" s="291" t="n"/>
      <c r="E589" s="212" t="n"/>
    </row>
    <row r="590">
      <c r="B590" s="291" t="n"/>
      <c r="E590" s="212" t="n"/>
    </row>
    <row r="591">
      <c r="B591" s="291" t="n"/>
      <c r="E591" s="212" t="n"/>
    </row>
    <row r="592">
      <c r="B592" s="291" t="n"/>
      <c r="E592" s="212" t="n"/>
    </row>
    <row r="593">
      <c r="B593" s="291" t="n"/>
      <c r="E593" s="212" t="n"/>
    </row>
    <row r="594">
      <c r="B594" s="291" t="n"/>
      <c r="E594" s="212" t="n"/>
    </row>
    <row r="595">
      <c r="B595" s="291" t="n"/>
      <c r="E595" s="212" t="n"/>
    </row>
    <row r="596">
      <c r="B596" s="291" t="n"/>
      <c r="E596" s="212" t="n"/>
    </row>
    <row r="597">
      <c r="B597" s="291" t="n"/>
      <c r="E597" s="212" t="n"/>
    </row>
    <row r="598">
      <c r="B598" s="291" t="n"/>
      <c r="E598" s="212" t="n"/>
    </row>
    <row r="599">
      <c r="B599" s="291" t="n"/>
      <c r="E599" s="212" t="n"/>
    </row>
    <row r="600">
      <c r="B600" s="291" t="n"/>
      <c r="E600" s="212" t="n"/>
    </row>
    <row r="601">
      <c r="B601" s="291" t="n"/>
      <c r="E601" s="212" t="n"/>
    </row>
    <row r="602">
      <c r="B602" s="291" t="n"/>
      <c r="E602" s="212" t="n"/>
    </row>
    <row r="603">
      <c r="B603" s="291" t="n"/>
      <c r="E603" s="212" t="n"/>
    </row>
    <row r="604">
      <c r="B604" s="291" t="n"/>
      <c r="E604" s="212" t="n"/>
    </row>
    <row r="605">
      <c r="B605" s="291" t="n"/>
      <c r="E605" s="212" t="n"/>
    </row>
    <row r="606">
      <c r="B606" s="291" t="n"/>
      <c r="E606" s="212" t="n"/>
    </row>
    <row r="607">
      <c r="B607" s="291" t="n"/>
      <c r="E607" s="212" t="n"/>
    </row>
    <row r="608">
      <c r="B608" s="291" t="n"/>
      <c r="E608" s="212" t="n"/>
    </row>
    <row r="609">
      <c r="B609" s="291" t="n"/>
      <c r="E609" s="212" t="n"/>
    </row>
    <row r="610">
      <c r="B610" s="291" t="n"/>
      <c r="E610" s="212" t="n"/>
    </row>
    <row r="611">
      <c r="B611" s="291" t="n"/>
      <c r="E611" s="212" t="n"/>
    </row>
    <row r="612">
      <c r="B612" s="291" t="n"/>
      <c r="E612" s="212" t="n"/>
    </row>
    <row r="613">
      <c r="B613" s="291" t="n"/>
      <c r="E613" s="212" t="n"/>
    </row>
    <row r="614">
      <c r="B614" s="291" t="n"/>
      <c r="E614" s="212" t="n"/>
    </row>
    <row r="615">
      <c r="B615" s="291" t="n"/>
      <c r="E615" s="212" t="n"/>
    </row>
    <row r="616">
      <c r="B616" s="291" t="n"/>
      <c r="E616" s="212" t="n"/>
    </row>
    <row r="617">
      <c r="B617" s="291" t="n"/>
      <c r="E617" s="212" t="n"/>
    </row>
    <row r="618">
      <c r="B618" s="291" t="n"/>
      <c r="E618" s="212" t="n"/>
    </row>
    <row r="619">
      <c r="B619" s="291" t="n"/>
      <c r="E619" s="212" t="n"/>
    </row>
    <row r="620">
      <c r="B620" s="291" t="n"/>
      <c r="E620" s="212" t="n"/>
    </row>
    <row r="621">
      <c r="B621" s="291" t="n"/>
      <c r="E621" s="212" t="n"/>
    </row>
    <row r="622">
      <c r="B622" s="291" t="n"/>
      <c r="E622" s="212" t="n"/>
    </row>
    <row r="623">
      <c r="B623" s="291" t="n"/>
      <c r="E623" s="212" t="n"/>
    </row>
    <row r="624">
      <c r="B624" s="291" t="n"/>
      <c r="E624" s="212" t="n"/>
    </row>
    <row r="625">
      <c r="B625" s="291" t="n"/>
      <c r="E625" s="212" t="n"/>
    </row>
    <row r="626">
      <c r="B626" s="291" t="n"/>
      <c r="E626" s="212" t="n"/>
    </row>
    <row r="627">
      <c r="B627" s="291" t="n"/>
      <c r="E627" s="212" t="n"/>
    </row>
    <row r="628">
      <c r="B628" s="291" t="n"/>
      <c r="E628" s="212" t="n"/>
    </row>
    <row r="629">
      <c r="B629" s="291" t="n"/>
      <c r="E629" s="212" t="n"/>
    </row>
    <row r="630">
      <c r="B630" s="291" t="n"/>
      <c r="E630" s="212" t="n"/>
    </row>
    <row r="631">
      <c r="B631" s="291" t="n"/>
      <c r="E631" s="212" t="n"/>
    </row>
    <row r="632">
      <c r="B632" s="291" t="n"/>
      <c r="E632" s="212" t="n"/>
    </row>
    <row r="633">
      <c r="B633" s="291" t="n"/>
      <c r="E633" s="212" t="n"/>
    </row>
    <row r="634">
      <c r="B634" s="291" t="n"/>
      <c r="E634" s="212" t="n"/>
    </row>
    <row r="635">
      <c r="B635" s="291" t="n"/>
      <c r="E635" s="212" t="n"/>
    </row>
    <row r="636">
      <c r="B636" s="291" t="n"/>
      <c r="E636" s="212" t="n"/>
    </row>
    <row r="637">
      <c r="B637" s="291" t="n"/>
      <c r="E637" s="212" t="n"/>
    </row>
    <row r="638">
      <c r="B638" s="291" t="n"/>
      <c r="E638" s="212" t="n"/>
    </row>
    <row r="639">
      <c r="B639" s="291" t="n"/>
      <c r="E639" s="212" t="n"/>
    </row>
    <row r="640">
      <c r="B640" s="291" t="n"/>
      <c r="E640" s="212" t="n"/>
    </row>
    <row r="641">
      <c r="B641" s="291" t="n"/>
      <c r="E641" s="212" t="n"/>
    </row>
    <row r="642">
      <c r="B642" s="291" t="n"/>
      <c r="E642" s="212" t="n"/>
    </row>
    <row r="643">
      <c r="B643" s="291" t="n"/>
      <c r="E643" s="212" t="n"/>
    </row>
    <row r="644">
      <c r="B644" s="291" t="n"/>
      <c r="E644" s="212" t="n"/>
    </row>
    <row r="645">
      <c r="B645" s="291" t="n"/>
      <c r="E645" s="212" t="n"/>
    </row>
    <row r="646">
      <c r="B646" s="291" t="n"/>
      <c r="E646" s="212" t="n"/>
    </row>
    <row r="647">
      <c r="B647" s="291" t="n"/>
      <c r="E647" s="212" t="n"/>
    </row>
    <row r="648">
      <c r="B648" s="291" t="n"/>
      <c r="E648" s="212" t="n"/>
    </row>
    <row r="649">
      <c r="B649" s="291" t="n"/>
      <c r="E649" s="212" t="n"/>
    </row>
    <row r="650">
      <c r="B650" s="291" t="n"/>
      <c r="E650" s="212" t="n"/>
    </row>
    <row r="651">
      <c r="B651" s="291" t="n"/>
      <c r="E651" s="212" t="n"/>
    </row>
    <row r="652">
      <c r="B652" s="291" t="n"/>
      <c r="E652" s="212" t="n"/>
    </row>
    <row r="653">
      <c r="B653" s="291" t="n"/>
      <c r="E653" s="212" t="n"/>
    </row>
    <row r="654">
      <c r="B654" s="291" t="n"/>
      <c r="E654" s="212" t="n"/>
    </row>
    <row r="655">
      <c r="B655" s="291" t="n"/>
      <c r="E655" s="212" t="n"/>
    </row>
    <row r="656">
      <c r="B656" s="291" t="n"/>
      <c r="E656" s="212" t="n"/>
    </row>
    <row r="657">
      <c r="B657" s="291" t="n"/>
      <c r="E657" s="212" t="n"/>
    </row>
    <row r="658">
      <c r="B658" s="291" t="n"/>
      <c r="E658" s="212" t="n"/>
    </row>
    <row r="659">
      <c r="B659" s="291" t="n"/>
      <c r="E659" s="212" t="n"/>
    </row>
    <row r="660">
      <c r="B660" s="291" t="n"/>
      <c r="E660" s="212" t="n"/>
    </row>
    <row r="661">
      <c r="B661" s="291" t="n"/>
      <c r="E661" s="212" t="n"/>
    </row>
    <row r="662">
      <c r="B662" s="291" t="n"/>
      <c r="E662" s="212" t="n"/>
    </row>
    <row r="663">
      <c r="B663" s="291" t="n"/>
      <c r="E663" s="212" t="n"/>
    </row>
    <row r="664">
      <c r="B664" s="291" t="n"/>
      <c r="E664" s="212" t="n"/>
    </row>
    <row r="665">
      <c r="B665" s="291" t="n"/>
      <c r="E665" s="212" t="n"/>
    </row>
    <row r="666">
      <c r="B666" s="291" t="n"/>
      <c r="E666" s="212" t="n"/>
    </row>
    <row r="667">
      <c r="B667" s="291" t="n"/>
      <c r="E667" s="212" t="n"/>
    </row>
    <row r="668">
      <c r="B668" s="291" t="n"/>
      <c r="E668" s="212" t="n"/>
    </row>
    <row r="669">
      <c r="B669" s="291" t="n"/>
      <c r="E669" s="212" t="n"/>
    </row>
    <row r="670">
      <c r="B670" s="291" t="n"/>
      <c r="E670" s="212" t="n"/>
    </row>
    <row r="671">
      <c r="B671" s="291" t="n"/>
      <c r="E671" s="212" t="n"/>
    </row>
    <row r="672">
      <c r="B672" s="291" t="n"/>
      <c r="E672" s="212" t="n"/>
    </row>
    <row r="673">
      <c r="B673" s="291" t="n"/>
      <c r="E673" s="212" t="n"/>
    </row>
    <row r="674">
      <c r="B674" s="291" t="n"/>
      <c r="E674" s="212" t="n"/>
    </row>
    <row r="675">
      <c r="B675" s="291" t="n"/>
      <c r="E675" s="212" t="n"/>
    </row>
    <row r="676">
      <c r="B676" s="291" t="n"/>
      <c r="E676" s="212" t="n"/>
    </row>
    <row r="677">
      <c r="B677" s="291" t="n"/>
      <c r="E677" s="212" t="n"/>
    </row>
    <row r="678">
      <c r="B678" s="291" t="n"/>
      <c r="E678" s="212" t="n"/>
    </row>
    <row r="679">
      <c r="B679" s="291" t="n"/>
      <c r="E679" s="212" t="n"/>
    </row>
    <row r="680">
      <c r="B680" s="291" t="n"/>
      <c r="E680" s="212" t="n"/>
    </row>
    <row r="681">
      <c r="B681" s="291" t="n"/>
      <c r="E681" s="212" t="n"/>
    </row>
    <row r="682">
      <c r="B682" s="291" t="n"/>
      <c r="E682" s="212" t="n"/>
    </row>
    <row r="683">
      <c r="B683" s="291" t="n"/>
      <c r="E683" s="212" t="n"/>
    </row>
    <row r="684">
      <c r="B684" s="291" t="n"/>
      <c r="E684" s="212" t="n"/>
    </row>
    <row r="685">
      <c r="B685" s="291" t="n"/>
      <c r="E685" s="212" t="n"/>
    </row>
    <row r="686">
      <c r="B686" s="291" t="n"/>
      <c r="E686" s="212" t="n"/>
    </row>
    <row r="687">
      <c r="B687" s="291" t="n"/>
      <c r="E687" s="212" t="n"/>
    </row>
    <row r="688">
      <c r="B688" s="291" t="n"/>
      <c r="E688" s="212" t="n"/>
    </row>
    <row r="689">
      <c r="B689" s="291" t="n"/>
      <c r="E689" s="212" t="n"/>
    </row>
    <row r="690">
      <c r="B690" s="291" t="n"/>
      <c r="E690" s="212" t="n"/>
    </row>
    <row r="691">
      <c r="B691" s="291" t="n"/>
      <c r="E691" s="212" t="n"/>
    </row>
    <row r="692">
      <c r="B692" s="291" t="n"/>
      <c r="E692" s="212" t="n"/>
    </row>
    <row r="693">
      <c r="B693" s="291" t="n"/>
      <c r="E693" s="212" t="n"/>
    </row>
    <row r="694">
      <c r="B694" s="291" t="n"/>
      <c r="E694" s="212" t="n"/>
    </row>
    <row r="695">
      <c r="B695" s="291" t="n"/>
      <c r="E695" s="212" t="n"/>
    </row>
    <row r="696">
      <c r="B696" s="291" t="n"/>
      <c r="E696" s="212" t="n"/>
    </row>
    <row r="697">
      <c r="B697" s="291" t="n"/>
      <c r="E697" s="212" t="n"/>
    </row>
    <row r="698">
      <c r="B698" s="291" t="n"/>
      <c r="E698" s="212" t="n"/>
    </row>
    <row r="699">
      <c r="B699" s="291" t="n"/>
      <c r="E699" s="212" t="n"/>
    </row>
    <row r="700">
      <c r="B700" s="291" t="n"/>
      <c r="E700" s="212" t="n"/>
    </row>
    <row r="701">
      <c r="B701" s="291" t="n"/>
      <c r="E701" s="212" t="n"/>
    </row>
    <row r="702">
      <c r="B702" s="291" t="n"/>
      <c r="E702" s="212" t="n"/>
    </row>
    <row r="703">
      <c r="B703" s="291" t="n"/>
      <c r="E703" s="212" t="n"/>
    </row>
    <row r="704">
      <c r="B704" s="291" t="n"/>
      <c r="E704" s="212" t="n"/>
    </row>
    <row r="705">
      <c r="B705" s="291" t="n"/>
      <c r="E705" s="212" t="n"/>
    </row>
    <row r="706">
      <c r="B706" s="291" t="n"/>
      <c r="E706" s="212" t="n"/>
    </row>
    <row r="707">
      <c r="B707" s="291" t="n"/>
      <c r="E707" s="212" t="n"/>
    </row>
    <row r="708">
      <c r="B708" s="291" t="n"/>
      <c r="E708" s="212" t="n"/>
    </row>
    <row r="709">
      <c r="B709" s="291" t="n"/>
      <c r="E709" s="212" t="n"/>
    </row>
    <row r="710">
      <c r="B710" s="291" t="n"/>
      <c r="E710" s="212" t="n"/>
    </row>
    <row r="711">
      <c r="B711" s="291" t="n"/>
      <c r="E711" s="212" t="n"/>
    </row>
    <row r="712">
      <c r="B712" s="291" t="n"/>
      <c r="E712" s="212" t="n"/>
    </row>
    <row r="713">
      <c r="B713" s="291" t="n"/>
      <c r="E713" s="212" t="n"/>
    </row>
    <row r="714">
      <c r="B714" s="291" t="n"/>
      <c r="E714" s="212" t="n"/>
    </row>
    <row r="715">
      <c r="B715" s="291" t="n"/>
      <c r="E715" s="212" t="n"/>
    </row>
    <row r="716">
      <c r="B716" s="291" t="n"/>
      <c r="E716" s="212" t="n"/>
    </row>
    <row r="717">
      <c r="B717" s="291" t="n"/>
      <c r="E717" s="212" t="n"/>
    </row>
    <row r="718">
      <c r="B718" s="291" t="n"/>
      <c r="E718" s="212" t="n"/>
    </row>
    <row r="719">
      <c r="B719" s="291" t="n"/>
      <c r="E719" s="212" t="n"/>
    </row>
    <row r="720">
      <c r="B720" s="291" t="n"/>
      <c r="E720" s="212" t="n"/>
    </row>
    <row r="721">
      <c r="B721" s="291" t="n"/>
      <c r="E721" s="212" t="n"/>
    </row>
    <row r="722">
      <c r="B722" s="291" t="n"/>
      <c r="E722" s="212" t="n"/>
    </row>
    <row r="723">
      <c r="B723" s="291" t="n"/>
      <c r="E723" s="212" t="n"/>
    </row>
    <row r="724">
      <c r="B724" s="291" t="n"/>
      <c r="E724" s="212" t="n"/>
    </row>
    <row r="725">
      <c r="B725" s="291" t="n"/>
      <c r="E725" s="212" t="n"/>
    </row>
    <row r="726">
      <c r="B726" s="291" t="n"/>
      <c r="E726" s="212" t="n"/>
    </row>
    <row r="727">
      <c r="B727" s="291" t="n"/>
      <c r="E727" s="212" t="n"/>
    </row>
    <row r="728">
      <c r="B728" s="291" t="n"/>
      <c r="E728" s="212" t="n"/>
    </row>
    <row r="729">
      <c r="B729" s="291" t="n"/>
      <c r="E729" s="212" t="n"/>
    </row>
    <row r="730">
      <c r="B730" s="291" t="n"/>
      <c r="E730" s="212" t="n"/>
    </row>
    <row r="731">
      <c r="B731" s="291" t="n"/>
      <c r="E731" s="212" t="n"/>
    </row>
    <row r="732">
      <c r="B732" s="291" t="n"/>
      <c r="E732" s="212" t="n"/>
    </row>
    <row r="733">
      <c r="B733" s="291" t="n"/>
      <c r="E733" s="212" t="n"/>
    </row>
    <row r="734">
      <c r="B734" s="291" t="n"/>
      <c r="E734" s="212" t="n"/>
    </row>
    <row r="735">
      <c r="B735" s="291" t="n"/>
      <c r="E735" s="212" t="n"/>
    </row>
    <row r="736">
      <c r="B736" s="291" t="n"/>
      <c r="E736" s="212" t="n"/>
    </row>
    <row r="737">
      <c r="B737" s="291" t="n"/>
      <c r="E737" s="212" t="n"/>
    </row>
    <row r="738">
      <c r="B738" s="291" t="n"/>
      <c r="E738" s="212" t="n"/>
    </row>
    <row r="739">
      <c r="B739" s="291" t="n"/>
      <c r="E739" s="212" t="n"/>
    </row>
    <row r="740">
      <c r="B740" s="291" t="n"/>
      <c r="E740" s="212" t="n"/>
    </row>
    <row r="741">
      <c r="B741" s="291" t="n"/>
      <c r="E741" s="212" t="n"/>
    </row>
    <row r="742">
      <c r="B742" s="291" t="n"/>
      <c r="E742" s="212" t="n"/>
    </row>
    <row r="743">
      <c r="B743" s="291" t="n"/>
      <c r="E743" s="212" t="n"/>
    </row>
    <row r="744">
      <c r="B744" s="291" t="n"/>
      <c r="E744" s="212" t="n"/>
    </row>
    <row r="745">
      <c r="B745" s="291" t="n"/>
      <c r="E745" s="212" t="n"/>
    </row>
    <row r="746">
      <c r="B746" s="291" t="n"/>
      <c r="E746" s="212" t="n"/>
    </row>
    <row r="747">
      <c r="B747" s="291" t="n"/>
      <c r="E747" s="212" t="n"/>
    </row>
    <row r="748">
      <c r="B748" s="291" t="n"/>
      <c r="E748" s="212" t="n"/>
    </row>
    <row r="749">
      <c r="B749" s="291" t="n"/>
      <c r="E749" s="212" t="n"/>
    </row>
    <row r="750">
      <c r="B750" s="291" t="n"/>
      <c r="E750" s="212" t="n"/>
    </row>
    <row r="751">
      <c r="B751" s="291" t="n"/>
      <c r="E751" s="212" t="n"/>
    </row>
    <row r="752">
      <c r="B752" s="291" t="n"/>
      <c r="E752" s="212" t="n"/>
    </row>
    <row r="753">
      <c r="B753" s="291" t="n"/>
      <c r="E753" s="212" t="n"/>
    </row>
    <row r="754">
      <c r="B754" s="291" t="n"/>
      <c r="E754" s="212" t="n"/>
    </row>
    <row r="755">
      <c r="B755" s="291" t="n"/>
      <c r="E755" s="212" t="n"/>
    </row>
    <row r="756">
      <c r="B756" s="291" t="n"/>
      <c r="E756" s="212" t="n"/>
    </row>
    <row r="757">
      <c r="B757" s="291" t="n"/>
      <c r="E757" s="212" t="n"/>
    </row>
    <row r="758">
      <c r="B758" s="291" t="n"/>
      <c r="E758" s="212" t="n"/>
    </row>
    <row r="759">
      <c r="B759" s="291" t="n"/>
      <c r="E759" s="212" t="n"/>
    </row>
    <row r="760">
      <c r="B760" s="291" t="n"/>
      <c r="E760" s="212" t="n"/>
    </row>
    <row r="761">
      <c r="B761" s="291" t="n"/>
      <c r="E761" s="212" t="n"/>
    </row>
    <row r="762">
      <c r="B762" s="291" t="n"/>
      <c r="E762" s="212" t="n"/>
    </row>
    <row r="763">
      <c r="B763" s="291" t="n"/>
      <c r="E763" s="212" t="n"/>
    </row>
    <row r="764">
      <c r="B764" s="291" t="n"/>
      <c r="E764" s="212" t="n"/>
    </row>
    <row r="765">
      <c r="B765" s="291" t="n"/>
      <c r="E765" s="212" t="n"/>
    </row>
    <row r="766">
      <c r="B766" s="291" t="n"/>
      <c r="E766" s="212" t="n"/>
    </row>
    <row r="767">
      <c r="B767" s="291" t="n"/>
      <c r="E767" s="212" t="n"/>
    </row>
    <row r="768">
      <c r="B768" s="291" t="n"/>
      <c r="E768" s="212" t="n"/>
    </row>
    <row r="769">
      <c r="B769" s="291" t="n"/>
      <c r="E769" s="212" t="n"/>
    </row>
    <row r="770">
      <c r="B770" s="291" t="n"/>
      <c r="E770" s="212" t="n"/>
    </row>
    <row r="771">
      <c r="B771" s="291" t="n"/>
      <c r="E771" s="212" t="n"/>
    </row>
    <row r="772">
      <c r="B772" s="291" t="n"/>
      <c r="E772" s="212" t="n"/>
    </row>
    <row r="773">
      <c r="B773" s="291" t="n"/>
      <c r="E773" s="212" t="n"/>
    </row>
    <row r="774">
      <c r="B774" s="291" t="n"/>
      <c r="E774" s="212" t="n"/>
    </row>
    <row r="775">
      <c r="B775" s="291" t="n"/>
      <c r="E775" s="212" t="n"/>
    </row>
    <row r="776">
      <c r="B776" s="291" t="n"/>
      <c r="E776" s="212" t="n"/>
    </row>
    <row r="777">
      <c r="B777" s="291" t="n"/>
      <c r="E777" s="212" t="n"/>
    </row>
    <row r="778">
      <c r="B778" s="291" t="n"/>
      <c r="E778" s="212" t="n"/>
    </row>
    <row r="779">
      <c r="B779" s="291" t="n"/>
      <c r="E779" s="212" t="n"/>
    </row>
    <row r="780">
      <c r="B780" s="291" t="n"/>
      <c r="E780" s="212" t="n"/>
    </row>
    <row r="781">
      <c r="B781" s="291" t="n"/>
      <c r="E781" s="212" t="n"/>
    </row>
    <row r="782">
      <c r="B782" s="291" t="n"/>
      <c r="E782" s="212" t="n"/>
    </row>
    <row r="783">
      <c r="B783" s="291" t="n"/>
      <c r="E783" s="212" t="n"/>
    </row>
    <row r="784">
      <c r="B784" s="291" t="n"/>
      <c r="E784" s="212" t="n"/>
    </row>
    <row r="785">
      <c r="B785" s="291" t="n"/>
      <c r="E785" s="212" t="n"/>
    </row>
    <row r="786">
      <c r="B786" s="291" t="n"/>
      <c r="E786" s="212" t="n"/>
    </row>
    <row r="787">
      <c r="B787" s="291" t="n"/>
      <c r="E787" s="212" t="n"/>
    </row>
    <row r="788">
      <c r="B788" s="291" t="n"/>
      <c r="E788" s="212" t="n"/>
    </row>
    <row r="789">
      <c r="B789" s="291" t="n"/>
      <c r="E789" s="212" t="n"/>
    </row>
    <row r="790">
      <c r="B790" s="291" t="n"/>
      <c r="E790" s="212" t="n"/>
    </row>
    <row r="791">
      <c r="B791" s="291" t="n"/>
      <c r="E791" s="212" t="n"/>
    </row>
    <row r="792">
      <c r="B792" s="291" t="n"/>
      <c r="E792" s="212" t="n"/>
    </row>
    <row r="793">
      <c r="B793" s="291" t="n"/>
      <c r="E793" s="212" t="n"/>
    </row>
    <row r="794">
      <c r="B794" s="291" t="n"/>
      <c r="E794" s="212" t="n"/>
    </row>
    <row r="795">
      <c r="B795" s="291" t="n"/>
      <c r="E795" s="212" t="n"/>
    </row>
    <row r="796">
      <c r="B796" s="291" t="n"/>
      <c r="E796" s="212" t="n"/>
    </row>
    <row r="797">
      <c r="B797" s="291" t="n"/>
      <c r="E797" s="212" t="n"/>
    </row>
    <row r="798">
      <c r="B798" s="291" t="n"/>
      <c r="E798" s="212" t="n"/>
    </row>
    <row r="799">
      <c r="B799" s="291" t="n"/>
      <c r="E799" s="212" t="n"/>
    </row>
    <row r="800">
      <c r="B800" s="291" t="n"/>
      <c r="E800" s="212" t="n"/>
    </row>
    <row r="801">
      <c r="B801" s="291" t="n"/>
      <c r="E801" s="212" t="n"/>
    </row>
    <row r="802">
      <c r="B802" s="291" t="n"/>
      <c r="E802" s="212" t="n"/>
    </row>
    <row r="803">
      <c r="B803" s="291" t="n"/>
      <c r="E803" s="212" t="n"/>
    </row>
    <row r="804">
      <c r="B804" s="291" t="n"/>
      <c r="E804" s="212" t="n"/>
    </row>
    <row r="805">
      <c r="B805" s="291" t="n"/>
      <c r="E805" s="212" t="n"/>
    </row>
    <row r="806">
      <c r="B806" s="291" t="n"/>
      <c r="E806" s="212" t="n"/>
    </row>
    <row r="807">
      <c r="B807" s="291" t="n"/>
      <c r="E807" s="212" t="n"/>
    </row>
    <row r="808">
      <c r="B808" s="291" t="n"/>
      <c r="E808" s="212" t="n"/>
    </row>
    <row r="809">
      <c r="B809" s="291" t="n"/>
      <c r="E809" s="212" t="n"/>
    </row>
    <row r="810">
      <c r="B810" s="291" t="n"/>
      <c r="E810" s="212" t="n"/>
    </row>
    <row r="811">
      <c r="B811" s="291" t="n"/>
      <c r="E811" s="212" t="n"/>
    </row>
    <row r="812">
      <c r="B812" s="291" t="n"/>
      <c r="E812" s="212" t="n"/>
    </row>
    <row r="813">
      <c r="B813" s="291" t="n"/>
      <c r="E813" s="212" t="n"/>
    </row>
    <row r="814">
      <c r="B814" s="291" t="n"/>
      <c r="E814" s="212" t="n"/>
    </row>
    <row r="815">
      <c r="B815" s="291" t="n"/>
      <c r="E815" s="212" t="n"/>
    </row>
    <row r="816">
      <c r="B816" s="291" t="n"/>
      <c r="E816" s="212" t="n"/>
    </row>
    <row r="817">
      <c r="B817" s="291" t="n"/>
      <c r="E817" s="212" t="n"/>
    </row>
    <row r="818">
      <c r="B818" s="291" t="n"/>
      <c r="E818" s="212" t="n"/>
    </row>
    <row r="819">
      <c r="B819" s="291" t="n"/>
      <c r="E819" s="212" t="n"/>
    </row>
    <row r="820">
      <c r="B820" s="291" t="n"/>
      <c r="E820" s="212" t="n"/>
    </row>
    <row r="821">
      <c r="B821" s="291" t="n"/>
      <c r="E821" s="212" t="n"/>
    </row>
    <row r="822">
      <c r="B822" s="291" t="n"/>
      <c r="E822" s="212" t="n"/>
    </row>
    <row r="823">
      <c r="B823" s="291" t="n"/>
      <c r="E823" s="212" t="n"/>
    </row>
    <row r="824">
      <c r="B824" s="291" t="n"/>
      <c r="E824" s="212" t="n"/>
    </row>
    <row r="825">
      <c r="B825" s="291" t="n"/>
      <c r="E825" s="212" t="n"/>
    </row>
    <row r="826">
      <c r="B826" s="291" t="n"/>
      <c r="E826" s="212" t="n"/>
    </row>
    <row r="827">
      <c r="B827" s="291" t="n"/>
      <c r="E827" s="212" t="n"/>
    </row>
    <row r="828">
      <c r="B828" s="291" t="n"/>
      <c r="E828" s="212" t="n"/>
    </row>
    <row r="829">
      <c r="B829" s="291" t="n"/>
      <c r="E829" s="212" t="n"/>
    </row>
    <row r="830">
      <c r="B830" s="291" t="n"/>
      <c r="E830" s="212" t="n"/>
    </row>
    <row r="831">
      <c r="B831" s="291" t="n"/>
      <c r="E831" s="212" t="n"/>
    </row>
    <row r="832">
      <c r="B832" s="291" t="n"/>
      <c r="E832" s="212" t="n"/>
    </row>
    <row r="833">
      <c r="B833" s="291" t="n"/>
      <c r="E833" s="212" t="n"/>
    </row>
    <row r="834">
      <c r="B834" s="291" t="n"/>
      <c r="E834" s="212" t="n"/>
    </row>
    <row r="835">
      <c r="B835" s="291" t="n"/>
      <c r="E835" s="212" t="n"/>
    </row>
    <row r="836">
      <c r="B836" s="291" t="n"/>
      <c r="E836" s="212" t="n"/>
    </row>
    <row r="837">
      <c r="B837" s="291" t="n"/>
      <c r="E837" s="212" t="n"/>
    </row>
    <row r="838">
      <c r="B838" s="291" t="n"/>
      <c r="E838" s="212" t="n"/>
    </row>
    <row r="839">
      <c r="B839" s="291" t="n"/>
      <c r="E839" s="212" t="n"/>
    </row>
    <row r="840">
      <c r="B840" s="291" t="n"/>
      <c r="E840" s="212" t="n"/>
    </row>
    <row r="841">
      <c r="B841" s="291" t="n"/>
      <c r="E841" s="212" t="n"/>
    </row>
    <row r="842">
      <c r="B842" s="291" t="n"/>
      <c r="E842" s="212" t="n"/>
    </row>
    <row r="843">
      <c r="B843" s="291" t="n"/>
      <c r="E843" s="212" t="n"/>
    </row>
    <row r="844">
      <c r="B844" s="291" t="n"/>
      <c r="E844" s="212" t="n"/>
    </row>
    <row r="845">
      <c r="B845" s="291" t="n"/>
      <c r="E845" s="212" t="n"/>
    </row>
    <row r="846">
      <c r="B846" s="291" t="n"/>
      <c r="E846" s="212" t="n"/>
    </row>
    <row r="847">
      <c r="B847" s="291" t="n"/>
      <c r="E847" s="212" t="n"/>
    </row>
    <row r="848">
      <c r="B848" s="291" t="n"/>
      <c r="E848" s="212" t="n"/>
    </row>
    <row r="849">
      <c r="B849" s="291" t="n"/>
      <c r="E849" s="212" t="n"/>
    </row>
    <row r="850">
      <c r="B850" s="291" t="n"/>
      <c r="E850" s="212" t="n"/>
    </row>
    <row r="851">
      <c r="B851" s="291" t="n"/>
      <c r="E851" s="212" t="n"/>
    </row>
    <row r="852">
      <c r="B852" s="291" t="n"/>
      <c r="E852" s="212" t="n"/>
    </row>
    <row r="853">
      <c r="B853" s="291" t="n"/>
      <c r="E853" s="212" t="n"/>
    </row>
    <row r="854">
      <c r="B854" s="291" t="n"/>
      <c r="E854" s="212" t="n"/>
    </row>
    <row r="855">
      <c r="B855" s="291" t="n"/>
      <c r="E855" s="212" t="n"/>
    </row>
    <row r="856">
      <c r="B856" s="291" t="n"/>
      <c r="E856" s="212" t="n"/>
    </row>
    <row r="857">
      <c r="B857" s="291" t="n"/>
      <c r="E857" s="212" t="n"/>
    </row>
    <row r="858">
      <c r="B858" s="291" t="n"/>
      <c r="E858" s="212" t="n"/>
    </row>
    <row r="859">
      <c r="B859" s="291" t="n"/>
      <c r="E859" s="212" t="n"/>
    </row>
    <row r="860">
      <c r="B860" s="291" t="n"/>
      <c r="E860" s="212" t="n"/>
    </row>
    <row r="861">
      <c r="B861" s="291" t="n"/>
      <c r="E861" s="212" t="n"/>
    </row>
    <row r="862">
      <c r="B862" s="291" t="n"/>
      <c r="E862" s="212" t="n"/>
    </row>
    <row r="863">
      <c r="B863" s="291" t="n"/>
      <c r="E863" s="212" t="n"/>
    </row>
    <row r="864">
      <c r="B864" s="291" t="n"/>
      <c r="E864" s="212" t="n"/>
    </row>
    <row r="865">
      <c r="B865" s="291" t="n"/>
      <c r="E865" s="212" t="n"/>
    </row>
    <row r="866">
      <c r="B866" s="291" t="n"/>
      <c r="E866" s="212" t="n"/>
    </row>
    <row r="867">
      <c r="B867" s="291" t="n"/>
      <c r="E867" s="212" t="n"/>
    </row>
    <row r="868">
      <c r="B868" s="291" t="n"/>
      <c r="E868" s="212" t="n"/>
    </row>
    <row r="869">
      <c r="B869" s="291" t="n"/>
      <c r="E869" s="212" t="n"/>
    </row>
    <row r="870">
      <c r="B870" s="291" t="n"/>
      <c r="E870" s="212" t="n"/>
    </row>
    <row r="871">
      <c r="B871" s="291" t="n"/>
      <c r="E871" s="212" t="n"/>
    </row>
    <row r="872">
      <c r="B872" s="291" t="n"/>
      <c r="E872" s="212" t="n"/>
    </row>
    <row r="873">
      <c r="B873" s="291" t="n"/>
      <c r="E873" s="212" t="n"/>
    </row>
    <row r="874">
      <c r="B874" s="291" t="n"/>
      <c r="E874" s="212" t="n"/>
    </row>
    <row r="875">
      <c r="B875" s="291" t="n"/>
      <c r="E875" s="212" t="n"/>
    </row>
    <row r="876">
      <c r="B876" s="291" t="n"/>
      <c r="E876" s="212" t="n"/>
    </row>
    <row r="877">
      <c r="B877" s="291" t="n"/>
      <c r="E877" s="212" t="n"/>
    </row>
    <row r="878">
      <c r="B878" s="291" t="n"/>
      <c r="E878" s="212" t="n"/>
    </row>
    <row r="879">
      <c r="B879" s="291" t="n"/>
      <c r="E879" s="212" t="n"/>
    </row>
    <row r="880">
      <c r="B880" s="291" t="n"/>
      <c r="E880" s="212" t="n"/>
    </row>
    <row r="881">
      <c r="B881" s="291" t="n"/>
      <c r="E881" s="212" t="n"/>
    </row>
    <row r="882">
      <c r="B882" s="291" t="n"/>
      <c r="E882" s="212" t="n"/>
    </row>
    <row r="883">
      <c r="B883" s="291" t="n"/>
      <c r="E883" s="212" t="n"/>
    </row>
    <row r="884">
      <c r="B884" s="291" t="n"/>
      <c r="E884" s="212" t="n"/>
    </row>
    <row r="885">
      <c r="B885" s="291" t="n"/>
      <c r="E885" s="212" t="n"/>
    </row>
    <row r="886">
      <c r="B886" s="291" t="n"/>
      <c r="E886" s="212" t="n"/>
    </row>
    <row r="887">
      <c r="B887" s="291" t="n"/>
      <c r="E887" s="212" t="n"/>
    </row>
    <row r="888">
      <c r="B888" s="291" t="n"/>
      <c r="E888" s="212" t="n"/>
    </row>
    <row r="889">
      <c r="B889" s="291" t="n"/>
      <c r="E889" s="212" t="n"/>
    </row>
    <row r="890">
      <c r="B890" s="291" t="n"/>
      <c r="E890" s="212" t="n"/>
    </row>
    <row r="891">
      <c r="B891" s="291" t="n"/>
      <c r="E891" s="212" t="n"/>
    </row>
    <row r="892">
      <c r="B892" s="291" t="n"/>
      <c r="E892" s="212" t="n"/>
    </row>
    <row r="893">
      <c r="B893" s="291" t="n"/>
      <c r="E893" s="212" t="n"/>
    </row>
    <row r="894">
      <c r="B894" s="291" t="n"/>
      <c r="E894" s="212" t="n"/>
    </row>
    <row r="895">
      <c r="B895" s="291" t="n"/>
      <c r="E895" s="212" t="n"/>
    </row>
    <row r="896">
      <c r="B896" s="291" t="n"/>
      <c r="E896" s="212" t="n"/>
    </row>
    <row r="897">
      <c r="B897" s="291" t="n"/>
      <c r="E897" s="212" t="n"/>
    </row>
    <row r="898">
      <c r="B898" s="291" t="n"/>
      <c r="E898" s="212" t="n"/>
    </row>
    <row r="899">
      <c r="B899" s="291" t="n"/>
      <c r="E899" s="212" t="n"/>
    </row>
    <row r="900">
      <c r="B900" s="291" t="n"/>
      <c r="E900" s="212" t="n"/>
    </row>
    <row r="901">
      <c r="B901" s="291" t="n"/>
      <c r="E901" s="212" t="n"/>
    </row>
    <row r="902">
      <c r="B902" s="291" t="n"/>
      <c r="E902" s="212" t="n"/>
    </row>
    <row r="903">
      <c r="B903" s="291" t="n"/>
      <c r="E903" s="212" t="n"/>
    </row>
    <row r="904">
      <c r="B904" s="291" t="n"/>
      <c r="E904" s="212" t="n"/>
    </row>
    <row r="905">
      <c r="B905" s="291" t="n"/>
      <c r="E905" s="212" t="n"/>
    </row>
    <row r="906">
      <c r="B906" s="291" t="n"/>
      <c r="E906" s="212" t="n"/>
    </row>
    <row r="907">
      <c r="B907" s="291" t="n"/>
      <c r="E907" s="212" t="n"/>
    </row>
    <row r="908">
      <c r="B908" s="291" t="n"/>
      <c r="E908" s="212" t="n"/>
    </row>
    <row r="909">
      <c r="B909" s="291" t="n"/>
      <c r="E909" s="212" t="n"/>
    </row>
    <row r="910">
      <c r="B910" s="291" t="n"/>
      <c r="E910" s="212" t="n"/>
    </row>
    <row r="911">
      <c r="B911" s="291" t="n"/>
      <c r="E911" s="212" t="n"/>
    </row>
    <row r="912">
      <c r="B912" s="291" t="n"/>
      <c r="E912" s="212" t="n"/>
    </row>
    <row r="913">
      <c r="B913" s="291" t="n"/>
      <c r="E913" s="212" t="n"/>
    </row>
    <row r="914">
      <c r="B914" s="291" t="n"/>
      <c r="E914" s="212" t="n"/>
    </row>
    <row r="915">
      <c r="B915" s="291" t="n"/>
      <c r="E915" s="212" t="n"/>
    </row>
    <row r="916">
      <c r="B916" s="291" t="n"/>
      <c r="E916" s="212" t="n"/>
    </row>
    <row r="917">
      <c r="B917" s="291" t="n"/>
      <c r="E917" s="212" t="n"/>
    </row>
    <row r="918">
      <c r="B918" s="291" t="n"/>
      <c r="E918" s="212" t="n"/>
    </row>
    <row r="919">
      <c r="B919" s="291" t="n"/>
      <c r="E919" s="212" t="n"/>
    </row>
    <row r="920">
      <c r="B920" s="291" t="n"/>
      <c r="E920" s="212" t="n"/>
    </row>
    <row r="921">
      <c r="B921" s="291" t="n"/>
      <c r="E921" s="212" t="n"/>
    </row>
    <row r="922">
      <c r="B922" s="291" t="n"/>
      <c r="E922" s="212" t="n"/>
    </row>
    <row r="923">
      <c r="B923" s="291" t="n"/>
      <c r="E923" s="212" t="n"/>
    </row>
    <row r="924">
      <c r="B924" s="291" t="n"/>
      <c r="E924" s="212" t="n"/>
    </row>
    <row r="925">
      <c r="B925" s="291" t="n"/>
      <c r="E925" s="212" t="n"/>
    </row>
    <row r="926">
      <c r="B926" s="291" t="n"/>
      <c r="E926" s="212" t="n"/>
    </row>
    <row r="927">
      <c r="B927" s="291" t="n"/>
      <c r="E927" s="212" t="n"/>
    </row>
    <row r="928">
      <c r="B928" s="291" t="n"/>
      <c r="E928" s="212" t="n"/>
    </row>
    <row r="929">
      <c r="B929" s="291" t="n"/>
      <c r="E929" s="212" t="n"/>
    </row>
    <row r="930">
      <c r="B930" s="291" t="n"/>
      <c r="E930" s="212" t="n"/>
    </row>
    <row r="931">
      <c r="B931" s="291" t="n"/>
      <c r="E931" s="212" t="n"/>
    </row>
    <row r="932">
      <c r="B932" s="291" t="n"/>
      <c r="E932" s="212" t="n"/>
    </row>
    <row r="933">
      <c r="B933" s="291" t="n"/>
      <c r="E933" s="212" t="n"/>
    </row>
    <row r="934">
      <c r="B934" s="291" t="n"/>
      <c r="E934" s="212" t="n"/>
    </row>
    <row r="935">
      <c r="B935" s="291" t="n"/>
      <c r="E935" s="212" t="n"/>
    </row>
    <row r="936">
      <c r="B936" s="291" t="n"/>
      <c r="E936" s="212" t="n"/>
    </row>
    <row r="937">
      <c r="B937" s="291" t="n"/>
      <c r="E937" s="212" t="n"/>
    </row>
    <row r="938">
      <c r="B938" s="291" t="n"/>
      <c r="E938" s="212" t="n"/>
    </row>
    <row r="939">
      <c r="B939" s="291" t="n"/>
      <c r="E939" s="212" t="n"/>
    </row>
    <row r="940">
      <c r="B940" s="291" t="n"/>
      <c r="E940" s="212" t="n"/>
    </row>
    <row r="941">
      <c r="B941" s="291" t="n"/>
      <c r="E941" s="212" t="n"/>
    </row>
    <row r="942">
      <c r="B942" s="291" t="n"/>
      <c r="E942" s="212" t="n"/>
    </row>
    <row r="943">
      <c r="B943" s="291" t="n"/>
      <c r="E943" s="212" t="n"/>
    </row>
    <row r="944">
      <c r="B944" s="291" t="n"/>
      <c r="E944" s="212" t="n"/>
    </row>
    <row r="945">
      <c r="B945" s="291" t="n"/>
      <c r="E945" s="212" t="n"/>
    </row>
    <row r="946">
      <c r="B946" s="291" t="n"/>
      <c r="E946" s="212" t="n"/>
    </row>
    <row r="947">
      <c r="B947" s="291" t="n"/>
      <c r="E947" s="212" t="n"/>
    </row>
    <row r="948">
      <c r="B948" s="291" t="n"/>
      <c r="E948" s="212" t="n"/>
    </row>
    <row r="949">
      <c r="B949" s="291" t="n"/>
      <c r="E949" s="212" t="n"/>
    </row>
    <row r="950">
      <c r="B950" s="291" t="n"/>
      <c r="E950" s="212" t="n"/>
    </row>
    <row r="951">
      <c r="B951" s="291" t="n"/>
      <c r="E951" s="212" t="n"/>
    </row>
    <row r="952">
      <c r="B952" s="291" t="n"/>
      <c r="E952" s="212" t="n"/>
    </row>
    <row r="953">
      <c r="B953" s="291" t="n"/>
      <c r="E953" s="212" t="n"/>
    </row>
    <row r="954">
      <c r="B954" s="291" t="n"/>
      <c r="E954" s="212" t="n"/>
    </row>
    <row r="955">
      <c r="B955" s="291" t="n"/>
      <c r="E955" s="212" t="n"/>
    </row>
    <row r="956">
      <c r="B956" s="291" t="n"/>
      <c r="E956" s="212" t="n"/>
    </row>
    <row r="957">
      <c r="B957" s="291" t="n"/>
      <c r="E957" s="212" t="n"/>
    </row>
    <row r="958">
      <c r="B958" s="291" t="n"/>
      <c r="E958" s="212" t="n"/>
    </row>
    <row r="959">
      <c r="B959" s="291" t="n"/>
      <c r="E959" s="212" t="n"/>
    </row>
    <row r="960">
      <c r="B960" s="291" t="n"/>
      <c r="E960" s="212" t="n"/>
    </row>
    <row r="961">
      <c r="B961" s="291" t="n"/>
      <c r="E961" s="212" t="n"/>
    </row>
    <row r="962">
      <c r="B962" s="291" t="n"/>
      <c r="E962" s="212" t="n"/>
    </row>
    <row r="963">
      <c r="B963" s="291" t="n"/>
      <c r="E963" s="212" t="n"/>
    </row>
    <row r="964">
      <c r="B964" s="291" t="n"/>
      <c r="E964" s="212" t="n"/>
    </row>
    <row r="965">
      <c r="B965" s="291" t="n"/>
      <c r="E965" s="212" t="n"/>
    </row>
    <row r="966">
      <c r="B966" s="291" t="n"/>
      <c r="E966" s="212" t="n"/>
    </row>
    <row r="967">
      <c r="B967" s="291" t="n"/>
      <c r="E967" s="212" t="n"/>
    </row>
    <row r="968">
      <c r="B968" s="291" t="n"/>
      <c r="E968" s="212" t="n"/>
    </row>
    <row r="969">
      <c r="B969" s="291" t="n"/>
      <c r="E969" s="212" t="n"/>
    </row>
    <row r="970">
      <c r="B970" s="291" t="n"/>
      <c r="E970" s="212" t="n"/>
    </row>
    <row r="971">
      <c r="B971" s="291" t="n"/>
      <c r="E971" s="212" t="n"/>
    </row>
    <row r="972">
      <c r="B972" s="291" t="n"/>
      <c r="E972" s="212" t="n"/>
    </row>
    <row r="973">
      <c r="B973" s="291" t="n"/>
      <c r="E973" s="212" t="n"/>
    </row>
    <row r="974">
      <c r="B974" s="291" t="n"/>
      <c r="E974" s="212" t="n"/>
    </row>
    <row r="975">
      <c r="B975" s="291" t="n"/>
      <c r="E975" s="212" t="n"/>
    </row>
    <row r="976">
      <c r="B976" s="291" t="n"/>
      <c r="E976" s="212" t="n"/>
    </row>
    <row r="977">
      <c r="B977" s="291" t="n"/>
      <c r="E977" s="212" t="n"/>
    </row>
    <row r="978">
      <c r="B978" s="291" t="n"/>
      <c r="E978" s="212" t="n"/>
    </row>
    <row r="979">
      <c r="B979" s="291" t="n"/>
      <c r="E979" s="212" t="n"/>
    </row>
    <row r="980">
      <c r="B980" s="291" t="n"/>
      <c r="E980" s="212" t="n"/>
    </row>
    <row r="981">
      <c r="B981" s="291" t="n"/>
      <c r="E981" s="212" t="n"/>
    </row>
    <row r="982">
      <c r="B982" s="291" t="n"/>
      <c r="E982" s="212" t="n"/>
    </row>
    <row r="983">
      <c r="B983" s="291" t="n"/>
      <c r="E983" s="212" t="n"/>
    </row>
    <row r="984">
      <c r="B984" s="291" t="n"/>
      <c r="E984" s="212" t="n"/>
    </row>
    <row r="985">
      <c r="B985" s="291" t="n"/>
      <c r="E985" s="212" t="n"/>
    </row>
    <row r="986">
      <c r="B986" s="291" t="n"/>
      <c r="E986" s="212" t="n"/>
    </row>
    <row r="987">
      <c r="B987" s="291" t="n"/>
      <c r="E987" s="212" t="n"/>
    </row>
    <row r="988">
      <c r="B988" s="291" t="n"/>
      <c r="E988" s="212" t="n"/>
    </row>
    <row r="989">
      <c r="B989" s="291" t="n"/>
      <c r="E989" s="212" t="n"/>
    </row>
    <row r="990">
      <c r="B990" s="291" t="n"/>
      <c r="E990" s="212" t="n"/>
    </row>
    <row r="991">
      <c r="B991" s="291" t="n"/>
      <c r="E991" s="212" t="n"/>
    </row>
    <row r="992">
      <c r="B992" s="291" t="n"/>
      <c r="E992" s="212" t="n"/>
    </row>
    <row r="993">
      <c r="B993" s="291" t="n"/>
      <c r="E993" s="212" t="n"/>
    </row>
    <row r="994">
      <c r="B994" s="291" t="n"/>
      <c r="E994" s="212" t="n"/>
    </row>
    <row r="995">
      <c r="B995" s="291" t="n"/>
      <c r="E995" s="212" t="n"/>
    </row>
    <row r="996">
      <c r="B996" s="291" t="n"/>
      <c r="E996" s="212" t="n"/>
    </row>
    <row r="997">
      <c r="B997" s="291" t="n"/>
      <c r="E997" s="212" t="n"/>
    </row>
    <row r="998">
      <c r="B998" s="291" t="n"/>
      <c r="E998" s="212" t="n"/>
    </row>
    <row r="999">
      <c r="B999" s="291" t="n"/>
      <c r="E999" s="212" t="n"/>
    </row>
    <row r="1000">
      <c r="B1000" s="291" t="n"/>
      <c r="E1000" s="212" t="n"/>
    </row>
    <row r="1001">
      <c r="B1001" s="291" t="n"/>
      <c r="E1001" s="212" t="n"/>
    </row>
    <row r="1002">
      <c r="B1002" s="291" t="n"/>
      <c r="E1002" s="212" t="n"/>
    </row>
    <row r="1003">
      <c r="B1003" s="291" t="n"/>
      <c r="E1003" s="212" t="n"/>
    </row>
    <row r="1004">
      <c r="B1004" s="291" t="n"/>
      <c r="E1004" s="212" t="n"/>
    </row>
    <row r="1005">
      <c r="B1005" s="291" t="n"/>
      <c r="E1005" s="212" t="n"/>
    </row>
    <row r="1006">
      <c r="B1006" s="291" t="n"/>
      <c r="E1006" s="212" t="n"/>
    </row>
    <row r="1007">
      <c r="B1007" s="291" t="n"/>
      <c r="E1007" s="212" t="n"/>
    </row>
    <row r="1008">
      <c r="B1008" s="291" t="n"/>
      <c r="E1008" s="212" t="n"/>
    </row>
    <row r="1009">
      <c r="B1009" s="291" t="n"/>
      <c r="E1009" s="212" t="n"/>
    </row>
    <row r="1010">
      <c r="B1010" s="291" t="n"/>
      <c r="E1010" s="212" t="n"/>
    </row>
    <row r="1011">
      <c r="B1011" s="291" t="n"/>
      <c r="E1011" s="212" t="n"/>
    </row>
    <row r="1012">
      <c r="B1012" s="291" t="n"/>
      <c r="E1012" s="212" t="n"/>
    </row>
    <row r="1013">
      <c r="B1013" s="291" t="n"/>
      <c r="E1013" s="212" t="n"/>
    </row>
    <row r="1014">
      <c r="B1014" s="291" t="n"/>
      <c r="E1014" s="212" t="n"/>
    </row>
    <row r="1015">
      <c r="B1015" s="291" t="n"/>
      <c r="E1015" s="212" t="n"/>
    </row>
    <row r="1016">
      <c r="B1016" s="291" t="n"/>
      <c r="E1016" s="212" t="n"/>
    </row>
    <row r="1017">
      <c r="B1017" s="291" t="n"/>
      <c r="E1017" s="212" t="n"/>
    </row>
    <row r="1018">
      <c r="B1018" s="291" t="n"/>
      <c r="E1018" s="212" t="n"/>
    </row>
    <row r="1019">
      <c r="B1019" s="291" t="n"/>
      <c r="E1019" s="212" t="n"/>
    </row>
    <row r="1020">
      <c r="B1020" s="291" t="n"/>
      <c r="E1020" s="212" t="n"/>
    </row>
    <row r="1021">
      <c r="B1021" s="291" t="n"/>
      <c r="E1021" s="212" t="n"/>
    </row>
    <row r="1022">
      <c r="B1022" s="291" t="n"/>
      <c r="E1022" s="212" t="n"/>
    </row>
    <row r="1023">
      <c r="B1023" s="291" t="n"/>
      <c r="E1023" s="212" t="n"/>
    </row>
    <row r="1024">
      <c r="B1024" s="291" t="n"/>
      <c r="E1024" s="212" t="n"/>
    </row>
    <row r="1025">
      <c r="B1025" s="291" t="n"/>
      <c r="E1025" s="212" t="n"/>
    </row>
    <row r="1026">
      <c r="B1026" s="291" t="n"/>
      <c r="E1026" s="212" t="n"/>
    </row>
    <row r="1027">
      <c r="B1027" s="291" t="n"/>
      <c r="E1027" s="212" t="n"/>
    </row>
    <row r="1028">
      <c r="B1028" s="291" t="n"/>
      <c r="E1028" s="212" t="n"/>
    </row>
    <row r="1029">
      <c r="B1029" s="291" t="n"/>
      <c r="E1029" s="212" t="n"/>
    </row>
    <row r="1030">
      <c r="B1030" s="291" t="n"/>
      <c r="E1030" s="212" t="n"/>
    </row>
    <row r="1031">
      <c r="B1031" s="291" t="n"/>
      <c r="E1031" s="212" t="n"/>
    </row>
    <row r="1032">
      <c r="B1032" s="291" t="n"/>
      <c r="E1032" s="212" t="n"/>
    </row>
    <row r="1033">
      <c r="B1033" s="291" t="n"/>
      <c r="E1033" s="212" t="n"/>
    </row>
    <row r="1034">
      <c r="B1034" s="291" t="n"/>
      <c r="E1034" s="212" t="n"/>
    </row>
    <row r="1035">
      <c r="B1035" s="291" t="n"/>
      <c r="E1035" s="212" t="n"/>
    </row>
    <row r="1036">
      <c r="B1036" s="291" t="n"/>
      <c r="E1036" s="212" t="n"/>
    </row>
    <row r="1037">
      <c r="B1037" s="291" t="n"/>
      <c r="E1037" s="212" t="n"/>
    </row>
    <row r="1038">
      <c r="B1038" s="291" t="n"/>
      <c r="E1038" s="212" t="n"/>
    </row>
    <row r="1039">
      <c r="B1039" s="291" t="n"/>
      <c r="E1039" s="212" t="n"/>
    </row>
    <row r="1040">
      <c r="B1040" s="291" t="n"/>
      <c r="E1040" s="212" t="n"/>
    </row>
    <row r="1041">
      <c r="B1041" s="291" t="n"/>
      <c r="E1041" s="212" t="n"/>
    </row>
    <row r="1042">
      <c r="B1042" s="291" t="n"/>
      <c r="E1042" s="212" t="n"/>
    </row>
    <row r="1043">
      <c r="B1043" s="291" t="n"/>
      <c r="E1043" s="212" t="n"/>
    </row>
    <row r="1044">
      <c r="B1044" s="291" t="n"/>
      <c r="E1044" s="212" t="n"/>
    </row>
    <row r="1045">
      <c r="B1045" s="291" t="n"/>
      <c r="E1045" s="212" t="n"/>
    </row>
    <row r="1046">
      <c r="B1046" s="291" t="n"/>
      <c r="E1046" s="212" t="n"/>
    </row>
    <row r="1047">
      <c r="B1047" s="291" t="n"/>
      <c r="E1047" s="212" t="n"/>
    </row>
    <row r="1048">
      <c r="B1048" s="291" t="n"/>
      <c r="E1048" s="212" t="n"/>
    </row>
    <row r="1049">
      <c r="B1049" s="291" t="n"/>
      <c r="E1049" s="212" t="n"/>
    </row>
    <row r="1050">
      <c r="B1050" s="291" t="n"/>
      <c r="E1050" s="212" t="n"/>
    </row>
    <row r="1051">
      <c r="B1051" s="291" t="n"/>
      <c r="E1051" s="212" t="n"/>
    </row>
    <row r="1052">
      <c r="B1052" s="291" t="n"/>
      <c r="E1052" s="212" t="n"/>
    </row>
    <row r="1053">
      <c r="B1053" s="291" t="n"/>
      <c r="E1053" s="212" t="n"/>
    </row>
    <row r="1054">
      <c r="B1054" s="291" t="n"/>
      <c r="E1054" s="212" t="n"/>
    </row>
    <row r="1055">
      <c r="B1055" s="291" t="n"/>
      <c r="E1055" s="212" t="n"/>
    </row>
    <row r="1056">
      <c r="B1056" s="291" t="n"/>
      <c r="E1056" s="212" t="n"/>
    </row>
    <row r="1057">
      <c r="B1057" s="291" t="n"/>
      <c r="E1057" s="212" t="n"/>
    </row>
    <row r="1058">
      <c r="B1058" s="291" t="n"/>
      <c r="E1058" s="212" t="n"/>
    </row>
    <row r="1059">
      <c r="B1059" s="291" t="n"/>
      <c r="E1059" s="212" t="n"/>
    </row>
    <row r="1060">
      <c r="B1060" s="291" t="n"/>
      <c r="E1060" s="212" t="n"/>
    </row>
    <row r="1061">
      <c r="B1061" s="291" t="n"/>
      <c r="E1061" s="212" t="n"/>
    </row>
    <row r="1062">
      <c r="B1062" s="291" t="n"/>
      <c r="E1062" s="212" t="n"/>
    </row>
    <row r="1063">
      <c r="B1063" s="291" t="n"/>
      <c r="E1063" s="212" t="n"/>
    </row>
    <row r="1064">
      <c r="B1064" s="291" t="n"/>
      <c r="E1064" s="212" t="n"/>
    </row>
    <row r="1065">
      <c r="B1065" s="291" t="n"/>
      <c r="E1065" s="212" t="n"/>
    </row>
    <row r="1066">
      <c r="B1066" s="291" t="n"/>
      <c r="E1066" s="212" t="n"/>
    </row>
    <row r="1067">
      <c r="B1067" s="291" t="n"/>
      <c r="E1067" s="212" t="n"/>
    </row>
    <row r="1068">
      <c r="B1068" s="291" t="n"/>
      <c r="E1068" s="212" t="n"/>
    </row>
    <row r="1069">
      <c r="B1069" s="291" t="n"/>
      <c r="E1069" s="212" t="n"/>
    </row>
    <row r="1070">
      <c r="B1070" s="291" t="n"/>
      <c r="E1070" s="212" t="n"/>
    </row>
    <row r="1071">
      <c r="B1071" s="291" t="n"/>
      <c r="E1071" s="212" t="n"/>
    </row>
    <row r="1072">
      <c r="B1072" s="291" t="n"/>
      <c r="E1072" s="212" t="n"/>
    </row>
    <row r="1073">
      <c r="B1073" s="291" t="n"/>
      <c r="E1073" s="212" t="n"/>
    </row>
    <row r="1074">
      <c r="B1074" s="291" t="n"/>
      <c r="E1074" s="212" t="n"/>
    </row>
    <row r="1075">
      <c r="B1075" s="291" t="n"/>
      <c r="E1075" s="212" t="n"/>
    </row>
    <row r="1076">
      <c r="B1076" s="291" t="n"/>
      <c r="E1076" s="212" t="n"/>
    </row>
    <row r="1077">
      <c r="B1077" s="291" t="n"/>
      <c r="E1077" s="212" t="n"/>
    </row>
    <row r="1078">
      <c r="B1078" s="291" t="n"/>
      <c r="E1078" s="212" t="n"/>
    </row>
    <row r="1079">
      <c r="B1079" s="291" t="n"/>
      <c r="E1079" s="212" t="n"/>
    </row>
    <row r="1080">
      <c r="B1080" s="291" t="n"/>
      <c r="E1080" s="212" t="n"/>
    </row>
    <row r="1081">
      <c r="B1081" s="291" t="n"/>
      <c r="E1081" s="212" t="n"/>
    </row>
    <row r="1082">
      <c r="B1082" s="291" t="n"/>
      <c r="E1082" s="212" t="n"/>
    </row>
    <row r="1083">
      <c r="B1083" s="291" t="n"/>
      <c r="E1083" s="212" t="n"/>
    </row>
    <row r="1084">
      <c r="B1084" s="291" t="n"/>
      <c r="E1084" s="212" t="n"/>
    </row>
    <row r="1085">
      <c r="B1085" s="291" t="n"/>
      <c r="E1085" s="212" t="n"/>
    </row>
    <row r="1086">
      <c r="B1086" s="291" t="n"/>
      <c r="E1086" s="212" t="n"/>
    </row>
    <row r="1087">
      <c r="B1087" s="291" t="n"/>
      <c r="E1087" s="212" t="n"/>
    </row>
    <row r="1088">
      <c r="B1088" s="291" t="n"/>
      <c r="E1088" s="212" t="n"/>
    </row>
    <row r="1089">
      <c r="B1089" s="291" t="n"/>
      <c r="E1089" s="212" t="n"/>
    </row>
    <row r="1090">
      <c r="B1090" s="291" t="n"/>
      <c r="E1090" s="212" t="n"/>
    </row>
    <row r="1091">
      <c r="B1091" s="291" t="n"/>
      <c r="E1091" s="212" t="n"/>
    </row>
    <row r="1092">
      <c r="B1092" s="291" t="n"/>
      <c r="E1092" s="212" t="n"/>
    </row>
    <row r="1093">
      <c r="B1093" s="291" t="n"/>
      <c r="E1093" s="212" t="n"/>
    </row>
    <row r="1094">
      <c r="B1094" s="291" t="n"/>
      <c r="E1094" s="212" t="n"/>
    </row>
    <row r="1095">
      <c r="B1095" s="291" t="n"/>
      <c r="E1095" s="212" t="n"/>
    </row>
    <row r="1096">
      <c r="B1096" s="291" t="n"/>
      <c r="E1096" s="212" t="n"/>
    </row>
    <row r="1097">
      <c r="B1097" s="291" t="n"/>
      <c r="E1097" s="212" t="n"/>
    </row>
    <row r="1098">
      <c r="B1098" s="291" t="n"/>
      <c r="E1098" s="212" t="n"/>
    </row>
    <row r="1099">
      <c r="B1099" s="291" t="n"/>
      <c r="E1099" s="212" t="n"/>
    </row>
    <row r="1100">
      <c r="B1100" s="291" t="n"/>
      <c r="E1100" s="212" t="n"/>
    </row>
    <row r="1101">
      <c r="B1101" s="291" t="n"/>
      <c r="E1101" s="212" t="n"/>
    </row>
    <row r="1102">
      <c r="B1102" s="291" t="n"/>
      <c r="E1102" s="212" t="n"/>
    </row>
    <row r="1103">
      <c r="B1103" s="291" t="n"/>
      <c r="E1103" s="212" t="n"/>
    </row>
    <row r="1104">
      <c r="B1104" s="291" t="n"/>
      <c r="E1104" s="212" t="n"/>
    </row>
    <row r="1105">
      <c r="B1105" s="291" t="n"/>
      <c r="E1105" s="212" t="n"/>
    </row>
    <row r="1106">
      <c r="B1106" s="291" t="n"/>
      <c r="E1106" s="212" t="n"/>
    </row>
    <row r="1107">
      <c r="B1107" s="291" t="n"/>
      <c r="E1107" s="212" t="n"/>
    </row>
    <row r="1108">
      <c r="B1108" s="291" t="n"/>
      <c r="E1108" s="212" t="n"/>
    </row>
    <row r="1109">
      <c r="B1109" s="291" t="n"/>
      <c r="E1109" s="212" t="n"/>
    </row>
    <row r="1110">
      <c r="B1110" s="291" t="n"/>
      <c r="E1110" s="212" t="n"/>
    </row>
    <row r="1111">
      <c r="B1111" s="291" t="n"/>
      <c r="E1111" s="212" t="n"/>
    </row>
    <row r="1112">
      <c r="B1112" s="291" t="n"/>
      <c r="E1112" s="212" t="n"/>
    </row>
    <row r="1113">
      <c r="B1113" s="291" t="n"/>
      <c r="E1113" s="212" t="n"/>
    </row>
    <row r="1114">
      <c r="B1114" s="291" t="n"/>
      <c r="E1114" s="212" t="n"/>
    </row>
    <row r="1115">
      <c r="B1115" s="291" t="n"/>
      <c r="E1115" s="212" t="n"/>
    </row>
    <row r="1116">
      <c r="B1116" s="291" t="n"/>
      <c r="E1116" s="212" t="n"/>
    </row>
    <row r="1117">
      <c r="B1117" s="291" t="n"/>
      <c r="E1117" s="212" t="n"/>
    </row>
    <row r="1118">
      <c r="B1118" s="291" t="n"/>
      <c r="E1118" s="212" t="n"/>
    </row>
    <row r="1119">
      <c r="B1119" s="291" t="n"/>
      <c r="E1119" s="212" t="n"/>
    </row>
    <row r="1120">
      <c r="B1120" s="291" t="n"/>
      <c r="E1120" s="212" t="n"/>
    </row>
    <row r="1121">
      <c r="B1121" s="291" t="n"/>
      <c r="E1121" s="212" t="n"/>
    </row>
    <row r="1122">
      <c r="B1122" s="291" t="n"/>
      <c r="E1122" s="212" t="n"/>
    </row>
    <row r="1123">
      <c r="B1123" s="291" t="n"/>
      <c r="E1123" s="212" t="n"/>
    </row>
    <row r="1124">
      <c r="B1124" s="291" t="n"/>
      <c r="E1124" s="212" t="n"/>
    </row>
    <row r="1125">
      <c r="B1125" s="291" t="n"/>
      <c r="E1125" s="212" t="n"/>
    </row>
    <row r="1126">
      <c r="B1126" s="291" t="n"/>
      <c r="E1126" s="212" t="n"/>
    </row>
    <row r="1127">
      <c r="B1127" s="291" t="n"/>
      <c r="E1127" s="212" t="n"/>
    </row>
    <row r="1128">
      <c r="B1128" s="291" t="n"/>
      <c r="E1128" s="212" t="n"/>
    </row>
    <row r="1129">
      <c r="B1129" s="291" t="n"/>
      <c r="E1129" s="212" t="n"/>
    </row>
    <row r="1130">
      <c r="B1130" s="291" t="n"/>
      <c r="E1130" s="212" t="n"/>
    </row>
    <row r="1131">
      <c r="B1131" s="291" t="n"/>
      <c r="E1131" s="212" t="n"/>
    </row>
    <row r="1132">
      <c r="B1132" s="291" t="n"/>
      <c r="E1132" s="212" t="n"/>
    </row>
    <row r="1133">
      <c r="B1133" s="291" t="n"/>
      <c r="E1133" s="212" t="n"/>
    </row>
    <row r="1134">
      <c r="B1134" s="291" t="n"/>
      <c r="E1134" s="212" t="n"/>
    </row>
    <row r="1135">
      <c r="B1135" s="291" t="n"/>
      <c r="E1135" s="212" t="n"/>
    </row>
    <row r="1136">
      <c r="B1136" s="291" t="n"/>
      <c r="E1136" s="212" t="n"/>
    </row>
    <row r="1137">
      <c r="B1137" s="291" t="n"/>
      <c r="E1137" s="212" t="n"/>
    </row>
    <row r="1138">
      <c r="B1138" s="291" t="n"/>
      <c r="E1138" s="212" t="n"/>
    </row>
    <row r="1139">
      <c r="B1139" s="291" t="n"/>
      <c r="E1139" s="212" t="n"/>
    </row>
    <row r="1140">
      <c r="B1140" s="291" t="n"/>
      <c r="E1140" s="212" t="n"/>
    </row>
    <row r="1141">
      <c r="B1141" s="291" t="n"/>
      <c r="E1141" s="212" t="n"/>
    </row>
    <row r="1142">
      <c r="B1142" s="291" t="n"/>
      <c r="E1142" s="212" t="n"/>
    </row>
    <row r="1143">
      <c r="B1143" s="291" t="n"/>
      <c r="E1143" s="212" t="n"/>
    </row>
    <row r="1144">
      <c r="B1144" s="291" t="n"/>
      <c r="E1144" s="212" t="n"/>
    </row>
    <row r="1145">
      <c r="B1145" s="291" t="n"/>
      <c r="E1145" s="212" t="n"/>
    </row>
    <row r="1146">
      <c r="B1146" s="291" t="n"/>
      <c r="E1146" s="212" t="n"/>
    </row>
    <row r="1147">
      <c r="B1147" s="291" t="n"/>
      <c r="E1147" s="212" t="n"/>
    </row>
    <row r="1148">
      <c r="B1148" s="291" t="n"/>
      <c r="E1148" s="212" t="n"/>
    </row>
    <row r="1149">
      <c r="B1149" s="291" t="n"/>
      <c r="E1149" s="212" t="n"/>
    </row>
    <row r="1150">
      <c r="B1150" s="291" t="n"/>
      <c r="E1150" s="212" t="n"/>
    </row>
    <row r="1151">
      <c r="B1151" s="291" t="n"/>
      <c r="E1151" s="212" t="n"/>
    </row>
    <row r="1152">
      <c r="B1152" s="291" t="n"/>
      <c r="E1152" s="212" t="n"/>
    </row>
    <row r="1153">
      <c r="B1153" s="291" t="n"/>
      <c r="E1153" s="212" t="n"/>
    </row>
    <row r="1154">
      <c r="B1154" s="291" t="n"/>
      <c r="E1154" s="212" t="n"/>
    </row>
    <row r="1155">
      <c r="B1155" s="291" t="n"/>
      <c r="E1155" s="212" t="n"/>
    </row>
    <row r="1156">
      <c r="B1156" s="291" t="n"/>
      <c r="E1156" s="212" t="n"/>
    </row>
    <row r="1157">
      <c r="B1157" s="291" t="n"/>
      <c r="E1157" s="212" t="n"/>
    </row>
    <row r="1158">
      <c r="B1158" s="291" t="n"/>
      <c r="E1158" s="212" t="n"/>
    </row>
    <row r="1159">
      <c r="B1159" s="291" t="n"/>
      <c r="E1159" s="212" t="n"/>
    </row>
    <row r="1160">
      <c r="B1160" s="291" t="n"/>
      <c r="E1160" s="212" t="n"/>
    </row>
    <row r="1161">
      <c r="B1161" s="291" t="n"/>
      <c r="E1161" s="212" t="n"/>
    </row>
    <row r="1162">
      <c r="B1162" s="291" t="n"/>
      <c r="E1162" s="212" t="n"/>
    </row>
    <row r="1163">
      <c r="B1163" s="291" t="n"/>
      <c r="E1163" s="212" t="n"/>
    </row>
    <row r="1164">
      <c r="B1164" s="291" t="n"/>
      <c r="E1164" s="212" t="n"/>
    </row>
    <row r="1165">
      <c r="B1165" s="291" t="n"/>
      <c r="E1165" s="212" t="n"/>
    </row>
    <row r="1166">
      <c r="B1166" s="291" t="n"/>
      <c r="E1166" s="212" t="n"/>
    </row>
    <row r="1167">
      <c r="B1167" s="291" t="n"/>
      <c r="E1167" s="212" t="n"/>
    </row>
    <row r="1168">
      <c r="B1168" s="291" t="n"/>
      <c r="E1168" s="212" t="n"/>
    </row>
    <row r="1169">
      <c r="B1169" s="291" t="n"/>
      <c r="E1169" s="212" t="n"/>
    </row>
    <row r="1170">
      <c r="B1170" s="291" t="n"/>
      <c r="E1170" s="212" t="n"/>
    </row>
    <row r="1171">
      <c r="B1171" s="291" t="n"/>
      <c r="E1171" s="212" t="n"/>
    </row>
    <row r="1172">
      <c r="B1172" s="291" t="n"/>
      <c r="E1172" s="212" t="n"/>
    </row>
    <row r="1173">
      <c r="B1173" s="291" t="n"/>
      <c r="E1173" s="212" t="n"/>
    </row>
    <row r="1174">
      <c r="B1174" s="291" t="n"/>
      <c r="E1174" s="212" t="n"/>
    </row>
    <row r="1175">
      <c r="B1175" s="291" t="n"/>
      <c r="E1175" s="212" t="n"/>
    </row>
    <row r="1176">
      <c r="B1176" s="291" t="n"/>
      <c r="E1176" s="212" t="n"/>
    </row>
    <row r="1177">
      <c r="B1177" s="291" t="n"/>
      <c r="E1177" s="212" t="n"/>
    </row>
    <row r="1178">
      <c r="B1178" s="291" t="n"/>
      <c r="E1178" s="212" t="n"/>
    </row>
    <row r="1179">
      <c r="B1179" s="291" t="n"/>
      <c r="E1179" s="212" t="n"/>
    </row>
    <row r="1180">
      <c r="B1180" s="291" t="n"/>
      <c r="E1180" s="212" t="n"/>
    </row>
    <row r="1181">
      <c r="B1181" s="291" t="n"/>
      <c r="E1181" s="212" t="n"/>
    </row>
    <row r="1182">
      <c r="B1182" s="291" t="n"/>
      <c r="E1182" s="212" t="n"/>
    </row>
    <row r="1183">
      <c r="B1183" s="291" t="n"/>
      <c r="E1183" s="212" t="n"/>
    </row>
    <row r="1184">
      <c r="B1184" s="291" t="n"/>
      <c r="E1184" s="212" t="n"/>
    </row>
    <row r="1185">
      <c r="B1185" s="291" t="n"/>
      <c r="E1185" s="212" t="n"/>
    </row>
    <row r="1186">
      <c r="B1186" s="291" t="n"/>
      <c r="E1186" s="212" t="n"/>
    </row>
    <row r="1187">
      <c r="B1187" s="291" t="n"/>
      <c r="E1187" s="212" t="n"/>
    </row>
    <row r="1188">
      <c r="B1188" s="291" t="n"/>
      <c r="E1188" s="212" t="n"/>
    </row>
    <row r="1189">
      <c r="B1189" s="291" t="n"/>
      <c r="E1189" s="212" t="n"/>
    </row>
    <row r="1190">
      <c r="B1190" s="291" t="n"/>
      <c r="E1190" s="212" t="n"/>
    </row>
    <row r="1191">
      <c r="B1191" s="291" t="n"/>
      <c r="E1191" s="212" t="n"/>
    </row>
    <row r="1192">
      <c r="B1192" s="291" t="n"/>
      <c r="E1192" s="212" t="n"/>
    </row>
    <row r="1193">
      <c r="B1193" s="291" t="n"/>
      <c r="E1193" s="212" t="n"/>
    </row>
    <row r="1194">
      <c r="B1194" s="291" t="n"/>
      <c r="E1194" s="212" t="n"/>
    </row>
    <row r="1195">
      <c r="B1195" s="291" t="n"/>
      <c r="E1195" s="212" t="n"/>
    </row>
    <row r="1196">
      <c r="B1196" s="291" t="n"/>
      <c r="E1196" s="212" t="n"/>
    </row>
    <row r="1197">
      <c r="B1197" s="291" t="n"/>
      <c r="E1197" s="212" t="n"/>
    </row>
    <row r="1198">
      <c r="B1198" s="291" t="n"/>
      <c r="E1198" s="212" t="n"/>
    </row>
    <row r="1199">
      <c r="B1199" s="291" t="n"/>
      <c r="E1199" s="212" t="n"/>
    </row>
    <row r="1200">
      <c r="B1200" s="291" t="n"/>
      <c r="E1200" s="212" t="n"/>
    </row>
    <row r="1201">
      <c r="B1201" s="291" t="n"/>
      <c r="E1201" s="212" t="n"/>
    </row>
    <row r="1202">
      <c r="B1202" s="291" t="n"/>
      <c r="E1202" s="212" t="n"/>
    </row>
    <row r="1203">
      <c r="B1203" s="291" t="n"/>
      <c r="E1203" s="212" t="n"/>
    </row>
    <row r="1204">
      <c r="B1204" s="291" t="n"/>
      <c r="E1204" s="212" t="n"/>
    </row>
    <row r="1205">
      <c r="B1205" s="291" t="n"/>
      <c r="E1205" s="212" t="n"/>
    </row>
    <row r="1206">
      <c r="B1206" s="291" t="n"/>
      <c r="E1206" s="212" t="n"/>
    </row>
    <row r="1207">
      <c r="B1207" s="291" t="n"/>
      <c r="E1207" s="212" t="n"/>
    </row>
    <row r="1208">
      <c r="B1208" s="291" t="n"/>
      <c r="E1208" s="212" t="n"/>
    </row>
    <row r="1209">
      <c r="B1209" s="291" t="n"/>
      <c r="E1209" s="212" t="n"/>
    </row>
    <row r="1210">
      <c r="B1210" s="291" t="n"/>
      <c r="E1210" s="212" t="n"/>
    </row>
    <row r="1211">
      <c r="B1211" s="291" t="n"/>
      <c r="E1211" s="212" t="n"/>
    </row>
    <row r="1212">
      <c r="B1212" s="291" t="n"/>
      <c r="E1212" s="212" t="n"/>
    </row>
    <row r="1213">
      <c r="B1213" s="291" t="n"/>
      <c r="E1213" s="212" t="n"/>
    </row>
    <row r="1214">
      <c r="B1214" s="291" t="n"/>
      <c r="E1214" s="212" t="n"/>
    </row>
    <row r="1215">
      <c r="B1215" s="291" t="n"/>
      <c r="E1215" s="212" t="n"/>
    </row>
    <row r="1216">
      <c r="B1216" s="291" t="n"/>
      <c r="E1216" s="212" t="n"/>
    </row>
    <row r="1217">
      <c r="B1217" s="291" t="n"/>
      <c r="E1217" s="212" t="n"/>
    </row>
    <row r="1218">
      <c r="B1218" s="291" t="n"/>
      <c r="E1218" s="212" t="n"/>
    </row>
    <row r="1219">
      <c r="B1219" s="291" t="n"/>
      <c r="E1219" s="212" t="n"/>
    </row>
    <row r="1220">
      <c r="B1220" s="291" t="n"/>
      <c r="E1220" s="212" t="n"/>
    </row>
    <row r="1221">
      <c r="B1221" s="291" t="n"/>
      <c r="E1221" s="212" t="n"/>
    </row>
    <row r="1222">
      <c r="B1222" s="291" t="n"/>
      <c r="E1222" s="212" t="n"/>
    </row>
    <row r="1223">
      <c r="B1223" s="291" t="n"/>
      <c r="E1223" s="212" t="n"/>
    </row>
    <row r="1224">
      <c r="B1224" s="291" t="n"/>
      <c r="E1224" s="212" t="n"/>
    </row>
    <row r="1225">
      <c r="B1225" s="291" t="n"/>
      <c r="E1225" s="212" t="n"/>
    </row>
    <row r="1226">
      <c r="B1226" s="291" t="n"/>
      <c r="E1226" s="212" t="n"/>
    </row>
    <row r="1227">
      <c r="B1227" s="291" t="n"/>
      <c r="E1227" s="212" t="n"/>
    </row>
    <row r="1228">
      <c r="B1228" s="291" t="n"/>
      <c r="E1228" s="212" t="n"/>
    </row>
    <row r="1229">
      <c r="B1229" s="291" t="n"/>
      <c r="E1229" s="212" t="n"/>
    </row>
    <row r="1230">
      <c r="B1230" s="291" t="n"/>
      <c r="E1230" s="212" t="n"/>
    </row>
    <row r="1231">
      <c r="B1231" s="291" t="n"/>
      <c r="E1231" s="212" t="n"/>
    </row>
    <row r="1232">
      <c r="B1232" s="291" t="n"/>
      <c r="E1232" s="212" t="n"/>
    </row>
    <row r="1233">
      <c r="B1233" s="291" t="n"/>
      <c r="E1233" s="212" t="n"/>
    </row>
    <row r="1234">
      <c r="B1234" s="291" t="n"/>
      <c r="E1234" s="212" t="n"/>
    </row>
    <row r="1235">
      <c r="B1235" s="291" t="n"/>
      <c r="E1235" s="212" t="n"/>
    </row>
    <row r="1236">
      <c r="B1236" s="291" t="n"/>
      <c r="E1236" s="212" t="n"/>
    </row>
    <row r="1237">
      <c r="B1237" s="291" t="n"/>
      <c r="E1237" s="212" t="n"/>
    </row>
    <row r="1238">
      <c r="B1238" s="291" t="n"/>
      <c r="E1238" s="212" t="n"/>
    </row>
    <row r="1239">
      <c r="B1239" s="291" t="n"/>
      <c r="E1239" s="212" t="n"/>
    </row>
    <row r="1240">
      <c r="B1240" s="291" t="n"/>
      <c r="E1240" s="212" t="n"/>
    </row>
    <row r="1241">
      <c r="B1241" s="291" t="n"/>
      <c r="E1241" s="212" t="n"/>
    </row>
    <row r="1242">
      <c r="B1242" s="291" t="n"/>
      <c r="E1242" s="212" t="n"/>
    </row>
    <row r="1243">
      <c r="B1243" s="291" t="n"/>
      <c r="E1243" s="212" t="n"/>
    </row>
    <row r="1244">
      <c r="B1244" s="291" t="n"/>
      <c r="E1244" s="212" t="n"/>
    </row>
    <row r="1245">
      <c r="B1245" s="291" t="n"/>
      <c r="E1245" s="212" t="n"/>
    </row>
    <row r="1246">
      <c r="B1246" s="291" t="n"/>
      <c r="E1246" s="212" t="n"/>
    </row>
    <row r="1247">
      <c r="B1247" s="291" t="n"/>
      <c r="E1247" s="212" t="n"/>
    </row>
    <row r="1248">
      <c r="B1248" s="291" t="n"/>
      <c r="E1248" s="212" t="n"/>
    </row>
    <row r="1249">
      <c r="B1249" s="291" t="n"/>
      <c r="E1249" s="212" t="n"/>
    </row>
    <row r="1250">
      <c r="B1250" s="291" t="n"/>
      <c r="E1250" s="212" t="n"/>
    </row>
    <row r="1251">
      <c r="B1251" s="291" t="n"/>
      <c r="E1251" s="212" t="n"/>
    </row>
    <row r="1252">
      <c r="B1252" s="291" t="n"/>
      <c r="E1252" s="212" t="n"/>
    </row>
    <row r="1253">
      <c r="B1253" s="291" t="n"/>
      <c r="E1253" s="212" t="n"/>
    </row>
    <row r="1254">
      <c r="B1254" s="291" t="n"/>
      <c r="E1254" s="212" t="n"/>
    </row>
    <row r="1255">
      <c r="B1255" s="291" t="n"/>
      <c r="E1255" s="212" t="n"/>
    </row>
    <row r="1256">
      <c r="B1256" s="291" t="n"/>
      <c r="E1256" s="212" t="n"/>
    </row>
    <row r="1257">
      <c r="B1257" s="291" t="n"/>
      <c r="E1257" s="212" t="n"/>
    </row>
    <row r="1258">
      <c r="B1258" s="291" t="n"/>
      <c r="E1258" s="212" t="n"/>
    </row>
    <row r="1259">
      <c r="B1259" s="291" t="n"/>
      <c r="E1259" s="212" t="n"/>
    </row>
    <row r="1260">
      <c r="B1260" s="291" t="n"/>
      <c r="E1260" s="212" t="n"/>
    </row>
    <row r="1261">
      <c r="B1261" s="291" t="n"/>
      <c r="E1261" s="212" t="n"/>
    </row>
    <row r="1262">
      <c r="B1262" s="291" t="n"/>
      <c r="E1262" s="212" t="n"/>
    </row>
    <row r="1263">
      <c r="B1263" s="291" t="n"/>
      <c r="E1263" s="212" t="n"/>
    </row>
    <row r="1264">
      <c r="B1264" s="291" t="n"/>
      <c r="E1264" s="212" t="n"/>
    </row>
    <row r="1265">
      <c r="B1265" s="291" t="n"/>
      <c r="E1265" s="212" t="n"/>
    </row>
    <row r="1266">
      <c r="B1266" s="291" t="n"/>
      <c r="E1266" s="212" t="n"/>
    </row>
    <row r="1267">
      <c r="B1267" s="291" t="n"/>
      <c r="E1267" s="212" t="n"/>
    </row>
    <row r="1268">
      <c r="B1268" s="291" t="n"/>
      <c r="E1268" s="212" t="n"/>
    </row>
    <row r="1269">
      <c r="B1269" s="291" t="n"/>
      <c r="E1269" s="212" t="n"/>
    </row>
    <row r="1270">
      <c r="B1270" s="291" t="n"/>
      <c r="E1270" s="212" t="n"/>
    </row>
    <row r="1271">
      <c r="B1271" s="291" t="n"/>
      <c r="E1271" s="212" t="n"/>
    </row>
    <row r="1272">
      <c r="B1272" s="291" t="n"/>
      <c r="E1272" s="212" t="n"/>
    </row>
    <row r="1273">
      <c r="B1273" s="291" t="n"/>
      <c r="E1273" s="212" t="n"/>
    </row>
    <row r="1274">
      <c r="B1274" s="291" t="n"/>
      <c r="E1274" s="212" t="n"/>
    </row>
    <row r="1275">
      <c r="B1275" s="291" t="n"/>
      <c r="E1275" s="212" t="n"/>
    </row>
    <row r="1276">
      <c r="B1276" s="291" t="n"/>
      <c r="E1276" s="212" t="n"/>
    </row>
    <row r="1277">
      <c r="B1277" s="291" t="n"/>
      <c r="E1277" s="212" t="n"/>
    </row>
    <row r="1278">
      <c r="B1278" s="291" t="n"/>
      <c r="E1278" s="212" t="n"/>
    </row>
    <row r="1279">
      <c r="B1279" s="291" t="n"/>
      <c r="E1279" s="212" t="n"/>
    </row>
    <row r="1280">
      <c r="B1280" s="291" t="n"/>
      <c r="E1280" s="212" t="n"/>
    </row>
    <row r="1281">
      <c r="B1281" s="291" t="n"/>
      <c r="E1281" s="212" t="n"/>
    </row>
    <row r="1282">
      <c r="B1282" s="291" t="n"/>
      <c r="E1282" s="212" t="n"/>
    </row>
    <row r="1283">
      <c r="B1283" s="291" t="n"/>
      <c r="E1283" s="212" t="n"/>
    </row>
    <row r="1284">
      <c r="B1284" s="291" t="n"/>
      <c r="E1284" s="212" t="n"/>
    </row>
    <row r="1285">
      <c r="B1285" s="291" t="n"/>
      <c r="E1285" s="212" t="n"/>
    </row>
    <row r="1286">
      <c r="B1286" s="291" t="n"/>
      <c r="E1286" s="212" t="n"/>
    </row>
    <row r="1287">
      <c r="B1287" s="291" t="n"/>
      <c r="E1287" s="212" t="n"/>
    </row>
    <row r="1288">
      <c r="B1288" s="291" t="n"/>
      <c r="E1288" s="212" t="n"/>
    </row>
    <row r="1289">
      <c r="B1289" s="291" t="n"/>
      <c r="E1289" s="212" t="n"/>
    </row>
    <row r="1290">
      <c r="B1290" s="291" t="n"/>
      <c r="E1290" s="212" t="n"/>
    </row>
    <row r="1291">
      <c r="B1291" s="291" t="n"/>
      <c r="E1291" s="212" t="n"/>
    </row>
    <row r="1292">
      <c r="B1292" s="291" t="n"/>
      <c r="E1292" s="212" t="n"/>
    </row>
    <row r="1293">
      <c r="B1293" s="291" t="n"/>
      <c r="E1293" s="212" t="n"/>
    </row>
    <row r="1294">
      <c r="B1294" s="291" t="n"/>
      <c r="E1294" s="212" t="n"/>
    </row>
    <row r="1295">
      <c r="B1295" s="291" t="n"/>
      <c r="E1295" s="212" t="n"/>
    </row>
    <row r="1296">
      <c r="B1296" s="291" t="n"/>
      <c r="E1296" s="212" t="n"/>
    </row>
    <row r="1297">
      <c r="B1297" s="291" t="n"/>
      <c r="E1297" s="212" t="n"/>
    </row>
    <row r="1298">
      <c r="B1298" s="291" t="n"/>
      <c r="E1298" s="212" t="n"/>
    </row>
    <row r="1299">
      <c r="B1299" s="291" t="n"/>
      <c r="E1299" s="212" t="n"/>
    </row>
    <row r="1300">
      <c r="B1300" s="291" t="n"/>
      <c r="E1300" s="212" t="n"/>
    </row>
    <row r="1301">
      <c r="B1301" s="291" t="n"/>
      <c r="E1301" s="212" t="n"/>
    </row>
    <row r="1302">
      <c r="B1302" s="291" t="n"/>
      <c r="E1302" s="212" t="n"/>
    </row>
    <row r="1303">
      <c r="B1303" s="291" t="n"/>
      <c r="E1303" s="212" t="n"/>
    </row>
    <row r="1304">
      <c r="B1304" s="291" t="n"/>
      <c r="E1304" s="212" t="n"/>
    </row>
    <row r="1305">
      <c r="B1305" s="291" t="n"/>
      <c r="E1305" s="212" t="n"/>
    </row>
    <row r="1306">
      <c r="B1306" s="291" t="n"/>
      <c r="E1306" s="212" t="n"/>
    </row>
    <row r="1307">
      <c r="B1307" s="291" t="n"/>
      <c r="E1307" s="212" t="n"/>
    </row>
    <row r="1308">
      <c r="B1308" s="291" t="n"/>
      <c r="E1308" s="212" t="n"/>
    </row>
    <row r="1309">
      <c r="B1309" s="291" t="n"/>
      <c r="E1309" s="212" t="n"/>
    </row>
    <row r="1310">
      <c r="B1310" s="291" t="n"/>
      <c r="E1310" s="212" t="n"/>
    </row>
    <row r="1311">
      <c r="B1311" s="291" t="n"/>
      <c r="E1311" s="212" t="n"/>
    </row>
    <row r="1312">
      <c r="B1312" s="291" t="n"/>
      <c r="E1312" s="212" t="n"/>
    </row>
    <row r="1313">
      <c r="B1313" s="291" t="n"/>
      <c r="E1313" s="212" t="n"/>
    </row>
    <row r="1314">
      <c r="B1314" s="291" t="n"/>
      <c r="E1314" s="212" t="n"/>
    </row>
    <row r="1315">
      <c r="B1315" s="291" t="n"/>
      <c r="E1315" s="212" t="n"/>
    </row>
    <row r="1316">
      <c r="B1316" s="291" t="n"/>
      <c r="E1316" s="212" t="n"/>
    </row>
    <row r="1317">
      <c r="B1317" s="291" t="n"/>
      <c r="E1317" s="212" t="n"/>
    </row>
    <row r="1318">
      <c r="B1318" s="291" t="n"/>
      <c r="E1318" s="212" t="n"/>
    </row>
    <row r="1319">
      <c r="B1319" s="291" t="n"/>
      <c r="E1319" s="212" t="n"/>
    </row>
    <row r="1320">
      <c r="B1320" s="291" t="n"/>
      <c r="E1320" s="212" t="n"/>
    </row>
    <row r="1321">
      <c r="B1321" s="291" t="n"/>
      <c r="E1321" s="212" t="n"/>
    </row>
    <row r="1322">
      <c r="B1322" s="291" t="n"/>
      <c r="E1322" s="212" t="n"/>
    </row>
    <row r="1323">
      <c r="B1323" s="291" t="n"/>
      <c r="E1323" s="212" t="n"/>
    </row>
    <row r="1324">
      <c r="B1324" s="291" t="n"/>
      <c r="E1324" s="212" t="n"/>
    </row>
    <row r="1325">
      <c r="B1325" s="291" t="n"/>
      <c r="E1325" s="212" t="n"/>
    </row>
    <row r="1326">
      <c r="B1326" s="291" t="n"/>
      <c r="E1326" s="212" t="n"/>
    </row>
    <row r="1327">
      <c r="B1327" s="291" t="n"/>
      <c r="E1327" s="212" t="n"/>
    </row>
    <row r="1328">
      <c r="B1328" s="291" t="n"/>
      <c r="E1328" s="212" t="n"/>
    </row>
    <row r="1329">
      <c r="B1329" s="291" t="n"/>
      <c r="E1329" s="212" t="n"/>
    </row>
    <row r="1330">
      <c r="B1330" s="291" t="n"/>
      <c r="E1330" s="212" t="n"/>
    </row>
    <row r="1331">
      <c r="B1331" s="291" t="n"/>
      <c r="E1331" s="212" t="n"/>
    </row>
    <row r="1332">
      <c r="B1332" s="291" t="n"/>
      <c r="E1332" s="212" t="n"/>
    </row>
    <row r="1333">
      <c r="B1333" s="291" t="n"/>
      <c r="E1333" s="212" t="n"/>
    </row>
    <row r="1334">
      <c r="B1334" s="291" t="n"/>
      <c r="E1334" s="212" t="n"/>
    </row>
    <row r="1335">
      <c r="B1335" s="291" t="n"/>
      <c r="E1335" s="212" t="n"/>
    </row>
    <row r="1336">
      <c r="B1336" s="291" t="n"/>
      <c r="E1336" s="212" t="n"/>
    </row>
    <row r="1337">
      <c r="B1337" s="291" t="n"/>
      <c r="E1337" s="212" t="n"/>
    </row>
    <row r="1338">
      <c r="B1338" s="291" t="n"/>
      <c r="E1338" s="212" t="n"/>
    </row>
    <row r="1339">
      <c r="B1339" s="291" t="n"/>
      <c r="E1339" s="212" t="n"/>
    </row>
    <row r="1340">
      <c r="B1340" s="291" t="n"/>
      <c r="E1340" s="212" t="n"/>
    </row>
    <row r="1341">
      <c r="B1341" s="291" t="n"/>
      <c r="E1341" s="212" t="n"/>
    </row>
    <row r="1342">
      <c r="B1342" s="291" t="n"/>
      <c r="E1342" s="212" t="n"/>
    </row>
    <row r="1343">
      <c r="B1343" s="291" t="n"/>
      <c r="E1343" s="212" t="n"/>
    </row>
    <row r="1344">
      <c r="B1344" s="291" t="n"/>
      <c r="E1344" s="212" t="n"/>
    </row>
    <row r="1345">
      <c r="B1345" s="291" t="n"/>
      <c r="E1345" s="212" t="n"/>
    </row>
    <row r="1346">
      <c r="B1346" s="291" t="n"/>
      <c r="E1346" s="212" t="n"/>
    </row>
    <row r="1347">
      <c r="B1347" s="291" t="n"/>
      <c r="E1347" s="212" t="n"/>
    </row>
    <row r="1348">
      <c r="B1348" s="291" t="n"/>
      <c r="E1348" s="212" t="n"/>
    </row>
    <row r="1349">
      <c r="B1349" s="291" t="n"/>
      <c r="E1349" s="212" t="n"/>
    </row>
    <row r="1350">
      <c r="B1350" s="291" t="n"/>
      <c r="E1350" s="212" t="n"/>
    </row>
    <row r="1351">
      <c r="B1351" s="291" t="n"/>
      <c r="E1351" s="212" t="n"/>
    </row>
    <row r="1352">
      <c r="B1352" s="291" t="n"/>
      <c r="E1352" s="212" t="n"/>
    </row>
    <row r="1353">
      <c r="B1353" s="291" t="n"/>
      <c r="E1353" s="212" t="n"/>
    </row>
    <row r="1354">
      <c r="B1354" s="291" t="n"/>
      <c r="E1354" s="212" t="n"/>
    </row>
    <row r="1355">
      <c r="B1355" s="291" t="n"/>
      <c r="E1355" s="212" t="n"/>
    </row>
    <row r="1356">
      <c r="B1356" s="291" t="n"/>
      <c r="E1356" s="212" t="n"/>
    </row>
    <row r="1357">
      <c r="B1357" s="291" t="n"/>
      <c r="E1357" s="212" t="n"/>
    </row>
    <row r="1358">
      <c r="B1358" s="291" t="n"/>
      <c r="E1358" s="212" t="n"/>
    </row>
    <row r="1359">
      <c r="B1359" s="291" t="n"/>
      <c r="E1359" s="212" t="n"/>
    </row>
    <row r="1360">
      <c r="B1360" s="291" t="n"/>
      <c r="E1360" s="212" t="n"/>
    </row>
    <row r="1361">
      <c r="B1361" s="291" t="n"/>
      <c r="E1361" s="212" t="n"/>
    </row>
    <row r="1362">
      <c r="B1362" s="291" t="n"/>
      <c r="E1362" s="212" t="n"/>
    </row>
    <row r="1363">
      <c r="B1363" s="291" t="n"/>
      <c r="E1363" s="212" t="n"/>
    </row>
    <row r="1364">
      <c r="B1364" s="291" t="n"/>
      <c r="E1364" s="212" t="n"/>
    </row>
    <row r="1365">
      <c r="B1365" s="291" t="n"/>
      <c r="E1365" s="212" t="n"/>
    </row>
    <row r="1366">
      <c r="B1366" s="291" t="n"/>
      <c r="E1366" s="212" t="n"/>
    </row>
    <row r="1367">
      <c r="B1367" s="291" t="n"/>
      <c r="E1367" s="212" t="n"/>
    </row>
    <row r="1368">
      <c r="B1368" s="291" t="n"/>
      <c r="E1368" s="212" t="n"/>
    </row>
    <row r="1369">
      <c r="B1369" s="291" t="n"/>
      <c r="E1369" s="212" t="n"/>
    </row>
    <row r="1370">
      <c r="B1370" s="291" t="n"/>
      <c r="E1370" s="212" t="n"/>
    </row>
    <row r="1371">
      <c r="B1371" s="291" t="n"/>
      <c r="E1371" s="212" t="n"/>
    </row>
    <row r="1372">
      <c r="B1372" s="291" t="n"/>
      <c r="E1372" s="212" t="n"/>
    </row>
    <row r="1373">
      <c r="B1373" s="291" t="n"/>
      <c r="E1373" s="212" t="n"/>
    </row>
    <row r="1374">
      <c r="B1374" s="291" t="n"/>
      <c r="E1374" s="212" t="n"/>
    </row>
    <row r="1375">
      <c r="B1375" s="291" t="n"/>
      <c r="E1375" s="212" t="n"/>
    </row>
    <row r="1376">
      <c r="B1376" s="291" t="n"/>
      <c r="E1376" s="212" t="n"/>
    </row>
    <row r="1377">
      <c r="B1377" s="291" t="n"/>
      <c r="C1377" s="229" t="n"/>
      <c r="E1377" s="212" t="n"/>
    </row>
    <row r="1378">
      <c r="B1378" s="291" t="n"/>
      <c r="E1378" s="212" t="n"/>
    </row>
    <row r="1379">
      <c r="B1379" s="291" t="n"/>
      <c r="E1379" s="212" t="n"/>
    </row>
    <row r="1380">
      <c r="B1380" s="291" t="n"/>
      <c r="E1380" s="212" t="n"/>
    </row>
    <row r="1381">
      <c r="B1381" s="291" t="n"/>
      <c r="E1381" s="212" t="n"/>
    </row>
    <row r="1382">
      <c r="B1382" s="291" t="n"/>
      <c r="E1382" s="212" t="n"/>
    </row>
    <row r="1383">
      <c r="B1383" s="291" t="n"/>
      <c r="E1383" s="212" t="n"/>
    </row>
    <row r="1384">
      <c r="B1384" s="291" t="n"/>
      <c r="E1384" s="212" t="n"/>
    </row>
    <row r="1385">
      <c r="B1385" s="291" t="n"/>
      <c r="E1385" s="212" t="n"/>
    </row>
    <row r="1386">
      <c r="B1386" s="291" t="n"/>
      <c r="E1386" s="212" t="n"/>
    </row>
    <row r="1387">
      <c r="B1387" s="291" t="n"/>
      <c r="E1387" s="212" t="n"/>
    </row>
    <row r="1388">
      <c r="B1388" s="291" t="n"/>
      <c r="E1388" s="212" t="n"/>
    </row>
    <row r="1389">
      <c r="B1389" s="291" t="n"/>
      <c r="E1389" s="212" t="n"/>
    </row>
    <row r="1390">
      <c r="B1390" s="291" t="n"/>
      <c r="E1390" s="212" t="n"/>
    </row>
    <row r="1391">
      <c r="B1391" s="291" t="n"/>
      <c r="E1391" s="212" t="n"/>
    </row>
    <row r="1392">
      <c r="B1392" s="291" t="n"/>
      <c r="E1392" s="212" t="n"/>
    </row>
    <row r="1393">
      <c r="B1393" s="291" t="n"/>
      <c r="E1393" s="212" t="n"/>
    </row>
    <row r="1394">
      <c r="B1394" s="291" t="n"/>
      <c r="E1394" s="212" t="n"/>
    </row>
    <row r="1395">
      <c r="B1395" s="291" t="n"/>
      <c r="E1395" s="212" t="n"/>
    </row>
    <row r="1396">
      <c r="B1396" s="291" t="n"/>
      <c r="E1396" s="212" t="n"/>
    </row>
    <row r="1397">
      <c r="B1397" s="291" t="n"/>
      <c r="E1397" s="212" t="n"/>
    </row>
    <row r="1398">
      <c r="B1398" s="291" t="n"/>
      <c r="E1398" s="212" t="n"/>
    </row>
    <row r="1399">
      <c r="B1399" s="291" t="n"/>
      <c r="E1399" s="212" t="n"/>
    </row>
    <row r="1400">
      <c r="B1400" s="291" t="n"/>
      <c r="E1400" s="212" t="n"/>
    </row>
    <row r="1401">
      <c r="B1401" s="291" t="n"/>
      <c r="E1401" s="212" t="n"/>
    </row>
    <row r="1402">
      <c r="B1402" s="291" t="n"/>
      <c r="E1402" s="212" t="n"/>
    </row>
    <row r="1403">
      <c r="B1403" s="291" t="n"/>
      <c r="E1403" s="212" t="n"/>
    </row>
    <row r="1404">
      <c r="B1404" s="291" t="n"/>
      <c r="E1404" s="212" t="n"/>
    </row>
    <row r="1405">
      <c r="B1405" s="291" t="n"/>
      <c r="E1405" s="212" t="n"/>
    </row>
    <row r="1406">
      <c r="B1406" s="291" t="n"/>
      <c r="E1406" s="212" t="n"/>
    </row>
    <row r="1407">
      <c r="B1407" s="291" t="n"/>
      <c r="E1407" s="212" t="n"/>
    </row>
    <row r="1408">
      <c r="B1408" s="291" t="n"/>
      <c r="E1408" s="212" t="n"/>
    </row>
    <row r="1409">
      <c r="B1409" s="291" t="n"/>
      <c r="E1409" s="212" t="n"/>
    </row>
    <row r="1410">
      <c r="B1410" s="291" t="n"/>
      <c r="E1410" s="212" t="n"/>
    </row>
    <row r="1411">
      <c r="B1411" s="291" t="n"/>
      <c r="E1411" s="212" t="n"/>
    </row>
    <row r="1412">
      <c r="B1412" s="291" t="n"/>
      <c r="E1412" s="212" t="n"/>
    </row>
    <row r="1413">
      <c r="B1413" s="291" t="n"/>
      <c r="E1413" s="212" t="n"/>
    </row>
    <row r="1414">
      <c r="B1414" s="291" t="n"/>
      <c r="E1414" s="212" t="n"/>
    </row>
    <row r="1415">
      <c r="B1415" s="291" t="n"/>
      <c r="E1415" s="212" t="n"/>
    </row>
    <row r="1416">
      <c r="B1416" s="291" t="n"/>
      <c r="E1416" s="212" t="n"/>
    </row>
    <row r="1417">
      <c r="B1417" s="291" t="n"/>
      <c r="E1417" s="212" t="n"/>
    </row>
    <row r="1418">
      <c r="B1418" s="291" t="n"/>
      <c r="E1418" s="212" t="n"/>
    </row>
    <row r="1419">
      <c r="B1419" s="291" t="n"/>
      <c r="E1419" s="212" t="n"/>
    </row>
    <row r="1420">
      <c r="B1420" s="291" t="n"/>
      <c r="E1420" s="212" t="n"/>
    </row>
    <row r="1421">
      <c r="B1421" s="291" t="n"/>
      <c r="E1421" s="212" t="n"/>
    </row>
    <row r="1422">
      <c r="B1422" s="291" t="n"/>
      <c r="E1422" s="212" t="n"/>
    </row>
    <row r="1423">
      <c r="B1423" s="291" t="n"/>
      <c r="E1423" s="212" t="n"/>
    </row>
    <row r="1424">
      <c r="B1424" s="291" t="n"/>
      <c r="E1424" s="212" t="n"/>
    </row>
    <row r="1425">
      <c r="B1425" s="291" t="n"/>
      <c r="E1425" s="212" t="n"/>
    </row>
    <row r="1426">
      <c r="B1426" s="291" t="n"/>
      <c r="E1426" s="212" t="n"/>
    </row>
    <row r="1427">
      <c r="B1427" s="291" t="n"/>
      <c r="E1427" s="212" t="n"/>
    </row>
    <row r="1428">
      <c r="B1428" s="291" t="n"/>
      <c r="E1428" s="212" t="n"/>
    </row>
    <row r="1429">
      <c r="B1429" s="291" t="n"/>
      <c r="E1429" s="212" t="n"/>
    </row>
    <row r="1430">
      <c r="B1430" s="291" t="n"/>
      <c r="E1430" s="212" t="n"/>
    </row>
    <row r="1431">
      <c r="B1431" s="291" t="n"/>
      <c r="E1431" s="212" t="n"/>
    </row>
    <row r="1432">
      <c r="B1432" s="291" t="n"/>
      <c r="E1432" s="212" t="n"/>
    </row>
    <row r="1433">
      <c r="B1433" s="291" t="n"/>
      <c r="E1433" s="212" t="n"/>
    </row>
    <row r="1434">
      <c r="B1434" s="291" t="n"/>
      <c r="E1434" s="212" t="n"/>
    </row>
    <row r="1435">
      <c r="B1435" s="291" t="n"/>
      <c r="E1435" s="212" t="n"/>
    </row>
    <row r="1436">
      <c r="B1436" s="291" t="n"/>
      <c r="E1436" s="212" t="n"/>
    </row>
    <row r="1437">
      <c r="B1437" s="291" t="n"/>
      <c r="E1437" s="212" t="n"/>
    </row>
    <row r="1438">
      <c r="B1438" s="291" t="n"/>
      <c r="E1438" s="212" t="n"/>
    </row>
    <row r="1439">
      <c r="B1439" s="291" t="n"/>
      <c r="E1439" s="212" t="n"/>
    </row>
    <row r="1440">
      <c r="B1440" s="291" t="n"/>
      <c r="E1440" s="212" t="n"/>
    </row>
    <row r="1441">
      <c r="B1441" s="291" t="n"/>
      <c r="E1441" s="212" t="n"/>
    </row>
    <row r="1442">
      <c r="B1442" s="291" t="n"/>
      <c r="E1442" s="212" t="n"/>
    </row>
    <row r="1443">
      <c r="B1443" s="291" t="n"/>
      <c r="E1443" s="212" t="n"/>
    </row>
    <row r="1444">
      <c r="B1444" s="291" t="n"/>
      <c r="E1444" s="212" t="n"/>
    </row>
    <row r="1445">
      <c r="B1445" s="291" t="n"/>
      <c r="E1445" s="212" t="n"/>
    </row>
    <row r="1446">
      <c r="B1446" s="291" t="n"/>
      <c r="E1446" s="212" t="n"/>
    </row>
    <row r="1447">
      <c r="B1447" s="291" t="n"/>
      <c r="E1447" s="212" t="n"/>
    </row>
    <row r="1448">
      <c r="B1448" s="291" t="n"/>
      <c r="E1448" s="212" t="n"/>
    </row>
    <row r="1449">
      <c r="B1449" s="291" t="n"/>
      <c r="E1449" s="212" t="n"/>
    </row>
    <row r="1450">
      <c r="B1450" s="291" t="n"/>
      <c r="E1450" s="212" t="n"/>
    </row>
    <row r="1451">
      <c r="B1451" s="291" t="n"/>
      <c r="E1451" s="212" t="n"/>
    </row>
    <row r="1452">
      <c r="B1452" s="291" t="n"/>
      <c r="E1452" s="212" t="n"/>
    </row>
    <row r="1453">
      <c r="B1453" s="291" t="n"/>
      <c r="E1453" s="212" t="n"/>
    </row>
    <row r="1454">
      <c r="B1454" s="291" t="n"/>
      <c r="E1454" s="212" t="n"/>
    </row>
    <row r="1455">
      <c r="B1455" s="291" t="n"/>
      <c r="E1455" s="212" t="n"/>
    </row>
    <row r="1456">
      <c r="B1456" s="291" t="n"/>
      <c r="E1456" s="212" t="n"/>
    </row>
    <row r="1457">
      <c r="B1457" s="291" t="n"/>
      <c r="E1457" s="212" t="n"/>
    </row>
    <row r="1458">
      <c r="B1458" s="291" t="n"/>
      <c r="E1458" s="212" t="n"/>
    </row>
    <row r="1459">
      <c r="B1459" s="291" t="n"/>
      <c r="E1459" s="212" t="n"/>
    </row>
    <row r="1460">
      <c r="B1460" s="291" t="n"/>
      <c r="E1460" s="212" t="n"/>
    </row>
    <row r="1461">
      <c r="B1461" s="291" t="n"/>
      <c r="E1461" s="212" t="n"/>
    </row>
    <row r="1462">
      <c r="B1462" s="291" t="n"/>
      <c r="E1462" s="212" t="n"/>
    </row>
    <row r="1463">
      <c r="B1463" s="291" t="n"/>
      <c r="E1463" s="212" t="n"/>
    </row>
    <row r="1464">
      <c r="B1464" s="291" t="n"/>
      <c r="E1464" s="212" t="n"/>
    </row>
    <row r="1465">
      <c r="B1465" s="291" t="n"/>
      <c r="E1465" s="212" t="n"/>
    </row>
    <row r="1466">
      <c r="B1466" s="291" t="n"/>
      <c r="E1466" s="212" t="n"/>
    </row>
    <row r="1467">
      <c r="B1467" s="291" t="n"/>
      <c r="E1467" s="212" t="n"/>
    </row>
    <row r="1468">
      <c r="B1468" s="291" t="n"/>
      <c r="E1468" s="212" t="n"/>
    </row>
    <row r="1469">
      <c r="B1469" s="291" t="n"/>
      <c r="E1469" s="212" t="n"/>
    </row>
    <row r="1470">
      <c r="B1470" s="291" t="n"/>
      <c r="E1470" s="212" t="n"/>
    </row>
    <row r="1471">
      <c r="B1471" s="291" t="n"/>
      <c r="E1471" s="212" t="n"/>
    </row>
    <row r="1472">
      <c r="B1472" s="291" t="n"/>
      <c r="E1472" s="212" t="n"/>
    </row>
    <row r="1473">
      <c r="B1473" s="291" t="n"/>
      <c r="E1473" s="212" t="n"/>
    </row>
    <row r="1474">
      <c r="B1474" s="291" t="n"/>
      <c r="E1474" s="212" t="n"/>
    </row>
    <row r="1475">
      <c r="B1475" s="291" t="n"/>
      <c r="E1475" s="212" t="n"/>
    </row>
    <row r="1476">
      <c r="B1476" s="291" t="n"/>
      <c r="E1476" s="212" t="n"/>
    </row>
    <row r="1477">
      <c r="B1477" s="291" t="n"/>
      <c r="E1477" s="212" t="n"/>
    </row>
    <row r="1478">
      <c r="B1478" s="291" t="n"/>
      <c r="E1478" s="212" t="n"/>
    </row>
    <row r="1479">
      <c r="B1479" s="291" t="n"/>
      <c r="E1479" s="212" t="n"/>
    </row>
    <row r="1480">
      <c r="B1480" s="291" t="n"/>
      <c r="E1480" s="212" t="n"/>
    </row>
    <row r="1481">
      <c r="B1481" s="291" t="n"/>
      <c r="E1481" s="212" t="n"/>
    </row>
    <row r="1482">
      <c r="B1482" s="291" t="n"/>
      <c r="E1482" s="212" t="n"/>
    </row>
    <row r="1483">
      <c r="B1483" s="291" t="n"/>
      <c r="E1483" s="212" t="n"/>
    </row>
    <row r="1484">
      <c r="B1484" s="291" t="n"/>
      <c r="E1484" s="212" t="n"/>
    </row>
    <row r="1485">
      <c r="B1485" s="291" t="n"/>
      <c r="E1485" s="212" t="n"/>
    </row>
    <row r="1486">
      <c r="B1486" s="291" t="n"/>
      <c r="E1486" s="212" t="n"/>
    </row>
    <row r="1487">
      <c r="B1487" s="291" t="n"/>
      <c r="E1487" s="212" t="n"/>
    </row>
    <row r="1488">
      <c r="B1488" s="291" t="n"/>
      <c r="E1488" s="212" t="n"/>
    </row>
    <row r="1489">
      <c r="B1489" s="291" t="n"/>
      <c r="E1489" s="212" t="n"/>
    </row>
    <row r="1490">
      <c r="B1490" s="291" t="n"/>
      <c r="C1490" s="229" t="n"/>
      <c r="E1490" s="212" t="n"/>
    </row>
    <row r="1491">
      <c r="B1491" s="291" t="n"/>
      <c r="E1491" s="212" t="n"/>
    </row>
    <row r="1492">
      <c r="B1492" s="291" t="n"/>
      <c r="E1492" s="212" t="n"/>
    </row>
    <row r="1493">
      <c r="B1493" s="291" t="n"/>
      <c r="E1493" s="212" t="n"/>
    </row>
    <row r="1494">
      <c r="B1494" s="291" t="n"/>
      <c r="E1494" s="212" t="n"/>
    </row>
    <row r="1495">
      <c r="B1495" s="291" t="n"/>
      <c r="E1495" s="212" t="n"/>
    </row>
    <row r="1496">
      <c r="B1496" s="291" t="n"/>
      <c r="E1496" s="212" t="n"/>
    </row>
    <row r="1497">
      <c r="B1497" s="291" t="n"/>
      <c r="E1497" s="212" t="n"/>
    </row>
    <row r="1498">
      <c r="B1498" s="291" t="n"/>
      <c r="E1498" s="212" t="n"/>
    </row>
    <row r="1499">
      <c r="B1499" s="291" t="n"/>
      <c r="E1499" s="212" t="n"/>
    </row>
    <row r="1500">
      <c r="B1500" s="291" t="n"/>
      <c r="E1500" s="212" t="n"/>
    </row>
    <row r="1501">
      <c r="B1501" s="291" t="n"/>
      <c r="E1501" s="212" t="n"/>
    </row>
    <row r="1502">
      <c r="B1502" s="291" t="n"/>
      <c r="E1502" s="212" t="n"/>
    </row>
    <row r="1503">
      <c r="B1503" s="291" t="n"/>
      <c r="E1503" s="212" t="n"/>
    </row>
    <row r="1504">
      <c r="B1504" s="291" t="n"/>
      <c r="E1504" s="212" t="n"/>
    </row>
    <row r="1505">
      <c r="B1505" s="291" t="n"/>
      <c r="E1505" s="212" t="n"/>
    </row>
    <row r="1506">
      <c r="B1506" s="291" t="n"/>
      <c r="E1506" s="212" t="n"/>
    </row>
    <row r="1507">
      <c r="B1507" s="291" t="n"/>
      <c r="E1507" s="212" t="n"/>
    </row>
    <row r="1508">
      <c r="B1508" s="291" t="n"/>
      <c r="E1508" s="212" t="n"/>
    </row>
    <row r="1509">
      <c r="B1509" s="291" t="n"/>
      <c r="E1509" s="212" t="n"/>
    </row>
    <row r="1510">
      <c r="B1510" s="291" t="n"/>
      <c r="E1510" s="212" t="n"/>
    </row>
    <row r="1511">
      <c r="B1511" s="291" t="n"/>
      <c r="E1511" s="212" t="n"/>
    </row>
    <row r="1512">
      <c r="B1512" s="291" t="n"/>
      <c r="E1512" s="212" t="n"/>
    </row>
    <row r="1513">
      <c r="B1513" s="291" t="n"/>
      <c r="E1513" s="212" t="n"/>
    </row>
    <row r="1514">
      <c r="B1514" s="291" t="n"/>
      <c r="E1514" s="212" t="n"/>
    </row>
    <row r="1515">
      <c r="B1515" s="291" t="n"/>
      <c r="E1515" s="212" t="n"/>
    </row>
    <row r="1516">
      <c r="B1516" s="291" t="n"/>
      <c r="E1516" s="212" t="n"/>
    </row>
    <row r="1517">
      <c r="B1517" s="291" t="n"/>
      <c r="E1517" s="212" t="n"/>
    </row>
    <row r="1518">
      <c r="B1518" s="291" t="n"/>
      <c r="E1518" s="212" t="n"/>
    </row>
    <row r="1519">
      <c r="B1519" s="291" t="n"/>
      <c r="E1519" s="212" t="n"/>
    </row>
    <row r="1520">
      <c r="B1520" s="291" t="n"/>
      <c r="E1520" s="212" t="n"/>
    </row>
    <row r="1521">
      <c r="B1521" s="291" t="n"/>
      <c r="E1521" s="212" t="n"/>
    </row>
    <row r="1522">
      <c r="B1522" s="291" t="n"/>
      <c r="E1522" s="212" t="n"/>
    </row>
    <row r="1523">
      <c r="B1523" s="291" t="n"/>
      <c r="E1523" s="212" t="n"/>
    </row>
    <row r="1524">
      <c r="B1524" s="291" t="n"/>
      <c r="E1524" s="212" t="n"/>
    </row>
    <row r="1525">
      <c r="B1525" s="291" t="n"/>
      <c r="E1525" s="212" t="n"/>
    </row>
    <row r="1526">
      <c r="B1526" s="291" t="n"/>
      <c r="E1526" s="212" t="n"/>
    </row>
    <row r="1527">
      <c r="B1527" s="291" t="n"/>
      <c r="E1527" s="212" t="n"/>
    </row>
    <row r="1528">
      <c r="B1528" s="291" t="n"/>
      <c r="E1528" s="212" t="n"/>
    </row>
    <row r="1529">
      <c r="B1529" s="291" t="n"/>
      <c r="E1529" s="212" t="n"/>
    </row>
    <row r="1530">
      <c r="B1530" s="291" t="n"/>
      <c r="E1530" s="212" t="n"/>
    </row>
    <row r="1531">
      <c r="B1531" s="291" t="n"/>
      <c r="E1531" s="212" t="n"/>
    </row>
    <row r="1532">
      <c r="B1532" s="291" t="n"/>
      <c r="E1532" s="212" t="n"/>
    </row>
    <row r="1533">
      <c r="B1533" s="291" t="n"/>
      <c r="E1533" s="212" t="n"/>
    </row>
    <row r="1534">
      <c r="B1534" s="291" t="n"/>
      <c r="E1534" s="212" t="n"/>
    </row>
    <row r="1535">
      <c r="B1535" s="291" t="n"/>
      <c r="E1535" s="212" t="n"/>
    </row>
    <row r="1536">
      <c r="B1536" s="291" t="n"/>
      <c r="E1536" s="212" t="n"/>
    </row>
    <row r="1537">
      <c r="B1537" s="291" t="n"/>
      <c r="E1537" s="212" t="n"/>
    </row>
    <row r="1538">
      <c r="B1538" s="291" t="n"/>
      <c r="E1538" s="212" t="n"/>
    </row>
    <row r="1539">
      <c r="B1539" s="291" t="n"/>
      <c r="E1539" s="212" t="n"/>
    </row>
    <row r="1540">
      <c r="B1540" s="291" t="n"/>
      <c r="E1540" s="212" t="n"/>
    </row>
    <row r="1541">
      <c r="B1541" s="291" t="n"/>
      <c r="E1541" s="212" t="n"/>
    </row>
    <row r="1542">
      <c r="B1542" s="291" t="n"/>
      <c r="E1542" s="212" t="n"/>
    </row>
    <row r="1543">
      <c r="B1543" s="291" t="n"/>
      <c r="E1543" s="212" t="n"/>
    </row>
    <row r="1544">
      <c r="B1544" s="291" t="n"/>
      <c r="E1544" s="212" t="n"/>
    </row>
    <row r="1545">
      <c r="B1545" s="291" t="n"/>
      <c r="E1545" s="212" t="n"/>
    </row>
    <row r="1546">
      <c r="B1546" s="291" t="n"/>
      <c r="E1546" s="212" t="n"/>
    </row>
    <row r="1547">
      <c r="B1547" s="291" t="n"/>
      <c r="E1547" s="212" t="n"/>
    </row>
    <row r="1548">
      <c r="B1548" s="291" t="n"/>
      <c r="E1548" s="212" t="n"/>
    </row>
    <row r="1549">
      <c r="B1549" s="291" t="n"/>
      <c r="E1549" s="212" t="n"/>
    </row>
    <row r="1550">
      <c r="B1550" s="291" t="n"/>
      <c r="E1550" s="212" t="n"/>
    </row>
    <row r="1551">
      <c r="B1551" s="291" t="n"/>
      <c r="E1551" s="212" t="n"/>
    </row>
    <row r="1552">
      <c r="B1552" s="291" t="n"/>
      <c r="E1552" s="212" t="n"/>
    </row>
    <row r="1553">
      <c r="B1553" s="291" t="n"/>
      <c r="E1553" s="212" t="n"/>
    </row>
    <row r="1554">
      <c r="B1554" s="291" t="n"/>
      <c r="E1554" s="212" t="n"/>
    </row>
    <row r="1555">
      <c r="B1555" s="291" t="n"/>
      <c r="E1555" s="212" t="n"/>
    </row>
    <row r="1556">
      <c r="B1556" s="291" t="n"/>
      <c r="E1556" s="212" t="n"/>
    </row>
    <row r="1557">
      <c r="B1557" s="291" t="n"/>
      <c r="E1557" s="212" t="n"/>
    </row>
    <row r="1558">
      <c r="B1558" s="291" t="n"/>
      <c r="E1558" s="212" t="n"/>
    </row>
    <row r="1559">
      <c r="B1559" s="291" t="n"/>
      <c r="E1559" s="212" t="n"/>
    </row>
    <row r="1560">
      <c r="B1560" s="291" t="n"/>
      <c r="E1560" s="212" t="n"/>
    </row>
    <row r="1561">
      <c r="B1561" s="291" t="n"/>
      <c r="E1561" s="212" t="n"/>
    </row>
    <row r="1562">
      <c r="B1562" s="291" t="n"/>
      <c r="E1562" s="212" t="n"/>
    </row>
    <row r="1563">
      <c r="B1563" s="291" t="n"/>
      <c r="E1563" s="212" t="n"/>
    </row>
    <row r="1564">
      <c r="B1564" s="291" t="n"/>
      <c r="E1564" s="212" t="n"/>
    </row>
    <row r="1565">
      <c r="B1565" s="291" t="n"/>
      <c r="E1565" s="212" t="n"/>
    </row>
    <row r="1566">
      <c r="B1566" s="291" t="n"/>
      <c r="E1566" s="212" t="n"/>
    </row>
    <row r="1567">
      <c r="B1567" s="291" t="n"/>
      <c r="E1567" s="212" t="n"/>
    </row>
    <row r="1568">
      <c r="B1568" s="291" t="n"/>
      <c r="E1568" s="212" t="n"/>
    </row>
    <row r="1569">
      <c r="B1569" s="291" t="n"/>
      <c r="E1569" s="212" t="n"/>
    </row>
    <row r="1570">
      <c r="B1570" s="291" t="n"/>
      <c r="E1570" s="212" t="n"/>
    </row>
    <row r="1571">
      <c r="B1571" s="291" t="n"/>
      <c r="E1571" s="212" t="n"/>
    </row>
    <row r="1572">
      <c r="B1572" s="291" t="n"/>
      <c r="E1572" s="212" t="n"/>
    </row>
    <row r="1573">
      <c r="B1573" s="291" t="n"/>
      <c r="E1573" s="212" t="n"/>
    </row>
    <row r="1574">
      <c r="B1574" s="291" t="n"/>
      <c r="E1574" s="212" t="n"/>
    </row>
    <row r="1575">
      <c r="B1575" s="291" t="n"/>
      <c r="E1575" s="212" t="n"/>
    </row>
    <row r="1576">
      <c r="B1576" s="291" t="n"/>
      <c r="E1576" s="212" t="n"/>
    </row>
    <row r="1577">
      <c r="B1577" s="291" t="n"/>
      <c r="E1577" s="212" t="n"/>
    </row>
    <row r="1578">
      <c r="B1578" s="291" t="n"/>
      <c r="E1578" s="212" t="n"/>
    </row>
    <row r="1579">
      <c r="B1579" s="291" t="n"/>
      <c r="E1579" s="212" t="n"/>
    </row>
    <row r="1580">
      <c r="B1580" s="291" t="n"/>
      <c r="E1580" s="212" t="n"/>
    </row>
    <row r="1581">
      <c r="B1581" s="291" t="n"/>
      <c r="E1581" s="212" t="n"/>
    </row>
    <row r="1582">
      <c r="B1582" s="291" t="n"/>
      <c r="E1582" s="212" t="n"/>
    </row>
    <row r="1583">
      <c r="B1583" s="291" t="n"/>
      <c r="E1583" s="212" t="n"/>
    </row>
    <row r="1584">
      <c r="B1584" s="291" t="n"/>
      <c r="E1584" s="212" t="n"/>
    </row>
    <row r="1585">
      <c r="B1585" s="291" t="n"/>
      <c r="E1585" s="212" t="n"/>
    </row>
    <row r="1586">
      <c r="B1586" s="291" t="n"/>
      <c r="E1586" s="212" t="n"/>
    </row>
    <row r="1587">
      <c r="B1587" s="291" t="n"/>
      <c r="E1587" s="212" t="n"/>
    </row>
    <row r="1588">
      <c r="B1588" s="291" t="n"/>
      <c r="E1588" s="212" t="n"/>
    </row>
    <row r="1589">
      <c r="B1589" s="291" t="n"/>
      <c r="E1589" s="212" t="n"/>
    </row>
    <row r="1590">
      <c r="B1590" s="291" t="n"/>
      <c r="E1590" s="212" t="n"/>
    </row>
    <row r="1591">
      <c r="B1591" s="291" t="n"/>
      <c r="E1591" s="212" t="n"/>
    </row>
    <row r="1592">
      <c r="B1592" s="291" t="n"/>
      <c r="E1592" s="212" t="n"/>
    </row>
    <row r="1593">
      <c r="B1593" s="291" t="n"/>
      <c r="E1593" s="212" t="n"/>
    </row>
    <row r="1594">
      <c r="B1594" s="291" t="n"/>
      <c r="E1594" s="212" t="n"/>
    </row>
    <row r="1595">
      <c r="B1595" s="291" t="n"/>
      <c r="E1595" s="212" t="n"/>
    </row>
    <row r="1596">
      <c r="B1596" s="291" t="n"/>
      <c r="E1596" s="212" t="n"/>
    </row>
    <row r="1597">
      <c r="B1597" s="291" t="n"/>
      <c r="E1597" s="212" t="n"/>
    </row>
    <row r="1598">
      <c r="B1598" s="291" t="n"/>
      <c r="E1598" s="212" t="n"/>
    </row>
    <row r="1599">
      <c r="B1599" s="291" t="n"/>
      <c r="E1599" s="212" t="n"/>
    </row>
    <row r="1600">
      <c r="B1600" s="291" t="n"/>
      <c r="E1600" s="212" t="n"/>
    </row>
    <row r="1601">
      <c r="B1601" s="291" t="n"/>
      <c r="E1601" s="212" t="n"/>
    </row>
    <row r="1602">
      <c r="B1602" s="291" t="n"/>
      <c r="E1602" s="212" t="n"/>
    </row>
    <row r="1603">
      <c r="B1603" s="291" t="n"/>
      <c r="E1603" s="212" t="n"/>
    </row>
    <row r="1604">
      <c r="B1604" s="291" t="n"/>
      <c r="E1604" s="212" t="n"/>
    </row>
    <row r="1605">
      <c r="B1605" s="291" t="n"/>
      <c r="E1605" s="212" t="n"/>
    </row>
    <row r="1606">
      <c r="B1606" s="291" t="n"/>
      <c r="E1606" s="212" t="n"/>
    </row>
    <row r="1607">
      <c r="B1607" s="291" t="n"/>
      <c r="E1607" s="212" t="n"/>
    </row>
    <row r="1608">
      <c r="B1608" s="291" t="n"/>
      <c r="E1608" s="212" t="n"/>
    </row>
    <row r="1609">
      <c r="B1609" s="291" t="n"/>
      <c r="E1609" s="212" t="n"/>
    </row>
    <row r="1610">
      <c r="B1610" s="291" t="n"/>
      <c r="E1610" s="212" t="n"/>
    </row>
    <row r="1611">
      <c r="B1611" s="291" t="n"/>
      <c r="E1611" s="212" t="n"/>
    </row>
    <row r="1612">
      <c r="B1612" s="291" t="n"/>
      <c r="E1612" s="212" t="n"/>
    </row>
    <row r="1613">
      <c r="B1613" s="291" t="n"/>
      <c r="E1613" s="212" t="n"/>
    </row>
    <row r="1614">
      <c r="B1614" s="291" t="n"/>
      <c r="E1614" s="212" t="n"/>
    </row>
    <row r="1615">
      <c r="B1615" s="291" t="n"/>
      <c r="E1615" s="212" t="n"/>
    </row>
    <row r="1616">
      <c r="B1616" s="291" t="n"/>
      <c r="E1616" s="212" t="n"/>
    </row>
    <row r="1617">
      <c r="B1617" s="291" t="n"/>
      <c r="E1617" s="212" t="n"/>
    </row>
    <row r="1618">
      <c r="B1618" s="291" t="n"/>
      <c r="E1618" s="212" t="n"/>
    </row>
    <row r="1619">
      <c r="B1619" s="291" t="n"/>
      <c r="E1619" s="212" t="n"/>
    </row>
    <row r="1620">
      <c r="B1620" s="291" t="n"/>
      <c r="E1620" s="212" t="n"/>
    </row>
    <row r="1621">
      <c r="B1621" s="291" t="n"/>
      <c r="E1621" s="212" t="n"/>
    </row>
    <row r="1622">
      <c r="B1622" s="291" t="n"/>
      <c r="E1622" s="212" t="n"/>
    </row>
    <row r="1623">
      <c r="B1623" s="291" t="n"/>
      <c r="E1623" s="212" t="n"/>
    </row>
    <row r="1624">
      <c r="B1624" s="291" t="n"/>
      <c r="E1624" s="212" t="n"/>
    </row>
    <row r="1625">
      <c r="B1625" s="291" t="n"/>
      <c r="E1625" s="212" t="n"/>
    </row>
    <row r="1626">
      <c r="B1626" s="291" t="n"/>
      <c r="E1626" s="212" t="n"/>
    </row>
    <row r="1627">
      <c r="B1627" s="291" t="n"/>
      <c r="E1627" s="212" t="n"/>
    </row>
    <row r="1628">
      <c r="B1628" s="291" t="n"/>
      <c r="E1628" s="212" t="n"/>
    </row>
    <row r="1629">
      <c r="B1629" s="291" t="n"/>
      <c r="E1629" s="212" t="n"/>
    </row>
    <row r="1630">
      <c r="B1630" s="291" t="n"/>
      <c r="E1630" s="212" t="n"/>
    </row>
    <row r="1631">
      <c r="B1631" s="291" t="n"/>
      <c r="E1631" s="212" t="n"/>
    </row>
    <row r="1632">
      <c r="B1632" s="291" t="n"/>
      <c r="E1632" s="212" t="n"/>
    </row>
    <row r="1633">
      <c r="B1633" s="291" t="n"/>
      <c r="E1633" s="212" t="n"/>
    </row>
    <row r="1634">
      <c r="B1634" s="291" t="n"/>
      <c r="E1634" s="212" t="n"/>
    </row>
    <row r="1635">
      <c r="B1635" s="291" t="n"/>
      <c r="E1635" s="212" t="n"/>
    </row>
    <row r="1636">
      <c r="B1636" s="291" t="n"/>
      <c r="E1636" s="212" t="n"/>
    </row>
    <row r="1637">
      <c r="B1637" s="291" t="n"/>
      <c r="E1637" s="212" t="n"/>
    </row>
    <row r="1638">
      <c r="B1638" s="291" t="n"/>
      <c r="E1638" s="212" t="n"/>
    </row>
    <row r="1639">
      <c r="B1639" s="291" t="n"/>
      <c r="E1639" s="212" t="n"/>
    </row>
    <row r="1640">
      <c r="B1640" s="291" t="n"/>
      <c r="E1640" s="212" t="n"/>
    </row>
    <row r="1641">
      <c r="B1641" s="291" t="n"/>
      <c r="E1641" s="212" t="n"/>
    </row>
    <row r="1642">
      <c r="B1642" s="291" t="n"/>
      <c r="E1642" s="212" t="n"/>
    </row>
    <row r="1643">
      <c r="B1643" s="291" t="n"/>
      <c r="E1643" s="212" t="n"/>
    </row>
    <row r="1644">
      <c r="B1644" s="291" t="n"/>
      <c r="E1644" s="212" t="n"/>
    </row>
    <row r="1645">
      <c r="B1645" s="291" t="n"/>
      <c r="E1645" s="212" t="n"/>
    </row>
    <row r="1646">
      <c r="B1646" s="291" t="n"/>
      <c r="E1646" s="212" t="n"/>
    </row>
    <row r="1647">
      <c r="B1647" s="291" t="n"/>
      <c r="E1647" s="212" t="n"/>
    </row>
    <row r="1648">
      <c r="B1648" s="291" t="n"/>
      <c r="E1648" s="212" t="n"/>
    </row>
    <row r="1649">
      <c r="B1649" s="291" t="n"/>
      <c r="E1649" s="212" t="n"/>
    </row>
    <row r="1650">
      <c r="B1650" s="291" t="n"/>
      <c r="E1650" s="212" t="n"/>
    </row>
    <row r="1651">
      <c r="B1651" s="291" t="n"/>
      <c r="E1651" s="212" t="n"/>
    </row>
    <row r="1652">
      <c r="B1652" s="291" t="n"/>
      <c r="E1652" s="212" t="n"/>
    </row>
    <row r="1653">
      <c r="B1653" s="291" t="n"/>
      <c r="E1653" s="212" t="n"/>
    </row>
    <row r="1654">
      <c r="B1654" s="291" t="n"/>
      <c r="E1654" s="212" t="n"/>
    </row>
    <row r="1655">
      <c r="B1655" s="291" t="n"/>
      <c r="E1655" s="212" t="n"/>
    </row>
    <row r="1656">
      <c r="B1656" s="291" t="n"/>
      <c r="E1656" s="212" t="n"/>
    </row>
    <row r="1657">
      <c r="B1657" s="291" t="n"/>
      <c r="E1657" s="212" t="n"/>
    </row>
    <row r="1658">
      <c r="B1658" s="291" t="n"/>
      <c r="E1658" s="212" t="n"/>
    </row>
    <row r="1659">
      <c r="B1659" s="291" t="n"/>
      <c r="E1659" s="212" t="n"/>
    </row>
    <row r="1660">
      <c r="B1660" s="291" t="n"/>
      <c r="E1660" s="212" t="n"/>
    </row>
    <row r="1661">
      <c r="B1661" s="291" t="n"/>
      <c r="E1661" s="212" t="n"/>
    </row>
    <row r="1662">
      <c r="B1662" s="291" t="n"/>
      <c r="E1662" s="212" t="n"/>
    </row>
    <row r="1663">
      <c r="B1663" s="291" t="n"/>
      <c r="E1663" s="212" t="n"/>
    </row>
    <row r="1664">
      <c r="B1664" s="291" t="n"/>
      <c r="E1664" s="212" t="n"/>
    </row>
    <row r="1665">
      <c r="B1665" s="291" t="n"/>
      <c r="E1665" s="212" t="n"/>
    </row>
    <row r="1666">
      <c r="B1666" s="291" t="n"/>
      <c r="E1666" s="212" t="n"/>
    </row>
    <row r="1667">
      <c r="B1667" s="291" t="n"/>
      <c r="E1667" s="212" t="n"/>
    </row>
    <row r="1668">
      <c r="B1668" s="291" t="n"/>
      <c r="E1668" s="212" t="n"/>
    </row>
    <row r="1669">
      <c r="B1669" s="291" t="n"/>
      <c r="E1669" s="212" t="n"/>
    </row>
    <row r="1670">
      <c r="B1670" s="291" t="n"/>
      <c r="E1670" s="212" t="n"/>
    </row>
    <row r="1671">
      <c r="B1671" s="291" t="n"/>
      <c r="E1671" s="212" t="n"/>
    </row>
    <row r="1672">
      <c r="B1672" s="291" t="n"/>
      <c r="E1672" s="212" t="n"/>
    </row>
    <row r="1673">
      <c r="B1673" s="291" t="n"/>
      <c r="E1673" s="212" t="n"/>
    </row>
    <row r="1674">
      <c r="B1674" s="291" t="n"/>
      <c r="E1674" s="212" t="n"/>
    </row>
    <row r="1675">
      <c r="B1675" s="291" t="n"/>
      <c r="E1675" s="212" t="n"/>
    </row>
    <row r="1676">
      <c r="B1676" s="291" t="n"/>
      <c r="E1676" s="212" t="n"/>
    </row>
    <row r="1677">
      <c r="B1677" s="291" t="n"/>
      <c r="E1677" s="212" t="n"/>
    </row>
    <row r="1678">
      <c r="B1678" s="291" t="n"/>
      <c r="E1678" s="212" t="n"/>
    </row>
    <row r="1679">
      <c r="B1679" s="291" t="n"/>
      <c r="E1679" s="212" t="n"/>
    </row>
    <row r="1680">
      <c r="B1680" s="291" t="n"/>
      <c r="E1680" s="212" t="n"/>
    </row>
    <row r="1681">
      <c r="B1681" s="291" t="n"/>
      <c r="E1681" s="212" t="n"/>
    </row>
    <row r="1682">
      <c r="B1682" s="291" t="n"/>
      <c r="E1682" s="212" t="n"/>
    </row>
    <row r="1683">
      <c r="B1683" s="291" t="n"/>
      <c r="E1683" s="212" t="n"/>
    </row>
    <row r="1684">
      <c r="B1684" s="291" t="n"/>
      <c r="E1684" s="212" t="n"/>
    </row>
    <row r="1685">
      <c r="B1685" s="291" t="n"/>
      <c r="E1685" s="212" t="n"/>
    </row>
    <row r="1686">
      <c r="B1686" s="291" t="n"/>
      <c r="E1686" s="212" t="n"/>
    </row>
    <row r="1687">
      <c r="B1687" s="291" t="n"/>
      <c r="E1687" s="212" t="n"/>
    </row>
    <row r="1688">
      <c r="B1688" s="291" t="n"/>
      <c r="E1688" s="212" t="n"/>
    </row>
    <row r="1689">
      <c r="B1689" s="291" t="n"/>
      <c r="E1689" s="212" t="n"/>
    </row>
    <row r="1690">
      <c r="B1690" s="291" t="n"/>
      <c r="E1690" s="212" t="n"/>
    </row>
    <row r="1691">
      <c r="B1691" s="291" t="n"/>
      <c r="E1691" s="212" t="n"/>
    </row>
    <row r="1692">
      <c r="B1692" s="291" t="n"/>
      <c r="E1692" s="212" t="n"/>
    </row>
    <row r="1693">
      <c r="B1693" s="291" t="n"/>
      <c r="E1693" s="212" t="n"/>
    </row>
    <row r="1694">
      <c r="B1694" s="291" t="n"/>
      <c r="E1694" s="212" t="n"/>
    </row>
    <row r="1695">
      <c r="B1695" s="291" t="n"/>
      <c r="E1695" s="212" t="n"/>
    </row>
    <row r="1696">
      <c r="B1696" s="291" t="n"/>
      <c r="E1696" s="212" t="n"/>
    </row>
    <row r="1697">
      <c r="B1697" s="291" t="n"/>
      <c r="E1697" s="212" t="n"/>
    </row>
    <row r="1698">
      <c r="B1698" s="291" t="n"/>
      <c r="E1698" s="212" t="n"/>
    </row>
    <row r="1699">
      <c r="B1699" s="291" t="n"/>
      <c r="E1699" s="212" t="n"/>
    </row>
    <row r="1700">
      <c r="B1700" s="291" t="n"/>
      <c r="E1700" s="212" t="n"/>
    </row>
    <row r="1701">
      <c r="B1701" s="291" t="n"/>
      <c r="E1701" s="212" t="n"/>
    </row>
    <row r="1702">
      <c r="B1702" s="291" t="n"/>
      <c r="E1702" s="212" t="n"/>
    </row>
    <row r="1703">
      <c r="B1703" s="291" t="n"/>
      <c r="E1703" s="212" t="n"/>
    </row>
    <row r="1704">
      <c r="B1704" s="291" t="n"/>
      <c r="E1704" s="212" t="n"/>
    </row>
    <row r="1705">
      <c r="B1705" s="291" t="n"/>
      <c r="E1705" s="212" t="n"/>
    </row>
    <row r="1706">
      <c r="B1706" s="291" t="n"/>
      <c r="E1706" s="212" t="n"/>
    </row>
    <row r="1707">
      <c r="B1707" s="291" t="n"/>
      <c r="E1707" s="212" t="n"/>
    </row>
    <row r="1708">
      <c r="B1708" s="291" t="n"/>
      <c r="E1708" s="212" t="n"/>
    </row>
    <row r="1709">
      <c r="B1709" s="291" t="n"/>
      <c r="E1709" s="212" t="n"/>
    </row>
    <row r="1710">
      <c r="B1710" s="291" t="n"/>
      <c r="E1710" s="212" t="n"/>
    </row>
    <row r="1711">
      <c r="B1711" s="291" t="n"/>
      <c r="E1711" s="212" t="n"/>
    </row>
    <row r="1712">
      <c r="B1712" s="291" t="n"/>
      <c r="E1712" s="212" t="n"/>
    </row>
    <row r="1713">
      <c r="B1713" s="291" t="n"/>
      <c r="E1713" s="212" t="n"/>
    </row>
    <row r="1714">
      <c r="B1714" s="291" t="n"/>
      <c r="E1714" s="212" t="n"/>
    </row>
    <row r="1715">
      <c r="B1715" s="291" t="n"/>
      <c r="E1715" s="212" t="n"/>
    </row>
    <row r="1716">
      <c r="B1716" s="291" t="n"/>
      <c r="E1716" s="212" t="n"/>
    </row>
    <row r="1717">
      <c r="B1717" s="291" t="n"/>
      <c r="E1717" s="212" t="n"/>
    </row>
    <row r="1718">
      <c r="B1718" s="291" t="n"/>
      <c r="E1718" s="212" t="n"/>
    </row>
    <row r="1719">
      <c r="B1719" s="291" t="n"/>
      <c r="E1719" s="212" t="n"/>
    </row>
    <row r="1720">
      <c r="B1720" s="291" t="n"/>
      <c r="E1720" s="212" t="n"/>
    </row>
    <row r="1721">
      <c r="B1721" s="291" t="n"/>
      <c r="E1721" s="212" t="n"/>
    </row>
    <row r="1722">
      <c r="B1722" s="291" t="n"/>
      <c r="E1722" s="212" t="n"/>
    </row>
    <row r="1723">
      <c r="B1723" s="291" t="n"/>
      <c r="E1723" s="212" t="n"/>
    </row>
    <row r="1724">
      <c r="B1724" s="291" t="n"/>
      <c r="E1724" s="212" t="n"/>
    </row>
    <row r="1725">
      <c r="B1725" s="291" t="n"/>
      <c r="E1725" s="212" t="n"/>
    </row>
    <row r="1726">
      <c r="B1726" s="291" t="n"/>
      <c r="E1726" s="212" t="n"/>
    </row>
    <row r="1727">
      <c r="B1727" s="291" t="n"/>
      <c r="E1727" s="212" t="n"/>
    </row>
    <row r="1728">
      <c r="B1728" s="291" t="n"/>
      <c r="E1728" s="212" t="n"/>
    </row>
    <row r="1729">
      <c r="B1729" s="291" t="n"/>
      <c r="E1729" s="212" t="n"/>
    </row>
    <row r="1730">
      <c r="B1730" s="291" t="n"/>
      <c r="E1730" s="212" t="n"/>
    </row>
    <row r="1731">
      <c r="B1731" s="291" t="n"/>
      <c r="E1731" s="212" t="n"/>
    </row>
    <row r="1732">
      <c r="B1732" s="291" t="n"/>
      <c r="E1732" s="212" t="n"/>
    </row>
    <row r="1733">
      <c r="B1733" s="291" t="n"/>
      <c r="E1733" s="212" t="n"/>
    </row>
    <row r="1734">
      <c r="B1734" s="291" t="n"/>
      <c r="E1734" s="212" t="n"/>
    </row>
    <row r="1735">
      <c r="B1735" s="291" t="n"/>
      <c r="E1735" s="212" t="n"/>
    </row>
    <row r="1736">
      <c r="B1736" s="291" t="n"/>
      <c r="E1736" s="212" t="n"/>
    </row>
    <row r="1737">
      <c r="B1737" s="291" t="n"/>
      <c r="E1737" s="212" t="n"/>
    </row>
    <row r="1738">
      <c r="B1738" s="291" t="n"/>
      <c r="E1738" s="212" t="n"/>
    </row>
    <row r="1739">
      <c r="B1739" s="291" t="n"/>
      <c r="E1739" s="212" t="n"/>
    </row>
    <row r="1740">
      <c r="B1740" s="291" t="n"/>
      <c r="E1740" s="212" t="n"/>
    </row>
    <row r="1741">
      <c r="B1741" s="291" t="n"/>
      <c r="E1741" s="212" t="n"/>
    </row>
    <row r="1742">
      <c r="B1742" s="291" t="n"/>
      <c r="E1742" s="212" t="n"/>
    </row>
    <row r="1743">
      <c r="B1743" s="291" t="n"/>
      <c r="E1743" s="212" t="n"/>
    </row>
    <row r="1744">
      <c r="B1744" s="291" t="n"/>
      <c r="E1744" s="212" t="n"/>
    </row>
    <row r="1745">
      <c r="B1745" s="291" t="n"/>
      <c r="E1745" s="212" t="n"/>
    </row>
    <row r="1746">
      <c r="B1746" s="291" t="n"/>
      <c r="E1746" s="212" t="n"/>
    </row>
    <row r="1747">
      <c r="B1747" s="291" t="n"/>
      <c r="E1747" s="212" t="n"/>
    </row>
    <row r="1748">
      <c r="B1748" s="291" t="n"/>
      <c r="E1748" s="212" t="n"/>
    </row>
    <row r="1749">
      <c r="B1749" s="291" t="n"/>
      <c r="E1749" s="212" t="n"/>
    </row>
    <row r="1750">
      <c r="B1750" s="291" t="n"/>
      <c r="E1750" s="212" t="n"/>
    </row>
    <row r="1751">
      <c r="B1751" s="291" t="n"/>
      <c r="E1751" s="212" t="n"/>
    </row>
    <row r="1752">
      <c r="B1752" s="291" t="n"/>
      <c r="E1752" s="212" t="n"/>
    </row>
    <row r="1753">
      <c r="B1753" s="291" t="n"/>
      <c r="E1753" s="212" t="n"/>
    </row>
    <row r="1754">
      <c r="B1754" s="291" t="n"/>
      <c r="E1754" s="212" t="n"/>
    </row>
    <row r="1755">
      <c r="B1755" s="291" t="n"/>
      <c r="E1755" s="212" t="n"/>
    </row>
    <row r="1756">
      <c r="B1756" s="291" t="n"/>
      <c r="E1756" s="212" t="n"/>
    </row>
    <row r="1757">
      <c r="B1757" s="291" t="n"/>
      <c r="E1757" s="212" t="n"/>
    </row>
    <row r="1758">
      <c r="B1758" s="291" t="n"/>
      <c r="E1758" s="212" t="n"/>
    </row>
    <row r="1759">
      <c r="B1759" s="291" t="n"/>
      <c r="E1759" s="212" t="n"/>
    </row>
    <row r="1760">
      <c r="B1760" s="291" t="n"/>
      <c r="E1760" s="212" t="n"/>
    </row>
    <row r="1761">
      <c r="B1761" s="291" t="n"/>
      <c r="E1761" s="212" t="n"/>
    </row>
    <row r="1762">
      <c r="B1762" s="291" t="n"/>
      <c r="E1762" s="212" t="n"/>
    </row>
    <row r="1763">
      <c r="B1763" s="291" t="n"/>
      <c r="E1763" s="212" t="n"/>
    </row>
    <row r="1764">
      <c r="B1764" s="291" t="n"/>
      <c r="E1764" s="212" t="n"/>
    </row>
    <row r="1765">
      <c r="B1765" s="291" t="n"/>
      <c r="E1765" s="212" t="n"/>
    </row>
    <row r="1766">
      <c r="B1766" s="291" t="n"/>
      <c r="E1766" s="212" t="n"/>
    </row>
    <row r="1767">
      <c r="B1767" s="291" t="n"/>
      <c r="E1767" s="212" t="n"/>
    </row>
    <row r="1768">
      <c r="B1768" s="291" t="n"/>
      <c r="E1768" s="212" t="n"/>
    </row>
    <row r="1769">
      <c r="B1769" s="291" t="n"/>
      <c r="E1769" s="212" t="n"/>
    </row>
    <row r="1770">
      <c r="B1770" s="291" t="n"/>
      <c r="E1770" s="212" t="n"/>
    </row>
    <row r="1771">
      <c r="B1771" s="291" t="n"/>
      <c r="E1771" s="212" t="n"/>
    </row>
    <row r="1772">
      <c r="B1772" s="291" t="n"/>
      <c r="E1772" s="212" t="n"/>
    </row>
    <row r="1773">
      <c r="B1773" s="291" t="n"/>
      <c r="E1773" s="212" t="n"/>
    </row>
    <row r="1774">
      <c r="B1774" s="291" t="n"/>
      <c r="E1774" s="212" t="n"/>
    </row>
    <row r="1775">
      <c r="B1775" s="291" t="n"/>
      <c r="E1775" s="212" t="n"/>
    </row>
    <row r="1776">
      <c r="B1776" s="291" t="n"/>
      <c r="E1776" s="212" t="n"/>
    </row>
    <row r="1777">
      <c r="B1777" s="291" t="n"/>
      <c r="E1777" s="212" t="n"/>
    </row>
    <row r="1778">
      <c r="B1778" s="291" t="n"/>
      <c r="E1778" s="212" t="n"/>
    </row>
    <row r="1779">
      <c r="B1779" s="291" t="n"/>
      <c r="E1779" s="212" t="n"/>
    </row>
    <row r="1780">
      <c r="B1780" s="291" t="n"/>
      <c r="E1780" s="212" t="n"/>
    </row>
    <row r="1781">
      <c r="B1781" s="291" t="n"/>
      <c r="E1781" s="212" t="n"/>
    </row>
    <row r="1782">
      <c r="B1782" s="291" t="n"/>
      <c r="E1782" s="212" t="n"/>
    </row>
    <row r="1783">
      <c r="B1783" s="291" t="n"/>
      <c r="E1783" s="212" t="n"/>
    </row>
    <row r="1784">
      <c r="B1784" s="291" t="n"/>
      <c r="E1784" s="212" t="n"/>
    </row>
    <row r="1785">
      <c r="B1785" s="291" t="n"/>
      <c r="E1785" s="212" t="n"/>
    </row>
    <row r="1786">
      <c r="B1786" s="291" t="n"/>
      <c r="E1786" s="212" t="n"/>
    </row>
    <row r="1787">
      <c r="B1787" s="291" t="n"/>
      <c r="E1787" s="212" t="n"/>
    </row>
    <row r="1788">
      <c r="B1788" s="291" t="n"/>
      <c r="E1788" s="212" t="n"/>
    </row>
    <row r="1789">
      <c r="B1789" s="291" t="n"/>
      <c r="E1789" s="212" t="n"/>
    </row>
    <row r="1790">
      <c r="B1790" s="291" t="n"/>
      <c r="E1790" s="212" t="n"/>
    </row>
    <row r="1791">
      <c r="B1791" s="291" t="n"/>
      <c r="E1791" s="212" t="n"/>
    </row>
    <row r="1792">
      <c r="B1792" s="291" t="n"/>
      <c r="E1792" s="212" t="n"/>
    </row>
    <row r="1793">
      <c r="B1793" s="291" t="n"/>
      <c r="E1793" s="212" t="n"/>
    </row>
    <row r="1794">
      <c r="B1794" s="291" t="n"/>
      <c r="E1794" s="212" t="n"/>
    </row>
    <row r="1795">
      <c r="B1795" s="291" t="n"/>
      <c r="E1795" s="212" t="n"/>
    </row>
    <row r="1796">
      <c r="B1796" s="291" t="n"/>
      <c r="E1796" s="212" t="n"/>
    </row>
    <row r="1797">
      <c r="B1797" s="291" t="n"/>
      <c r="E1797" s="212" t="n"/>
    </row>
    <row r="1798">
      <c r="B1798" s="291" t="n"/>
      <c r="E1798" s="212" t="n"/>
    </row>
    <row r="1799">
      <c r="B1799" s="291" t="n"/>
      <c r="E1799" s="212" t="n"/>
    </row>
    <row r="1800">
      <c r="B1800" s="291" t="n"/>
      <c r="E1800" s="212" t="n"/>
    </row>
    <row r="1801">
      <c r="B1801" s="291" t="n"/>
      <c r="E1801" s="212" t="n"/>
    </row>
    <row r="1802">
      <c r="B1802" s="291" t="n"/>
      <c r="E1802" s="212" t="n"/>
    </row>
    <row r="1803">
      <c r="B1803" s="291" t="n"/>
      <c r="E1803" s="212" t="n"/>
    </row>
    <row r="1804">
      <c r="B1804" s="291" t="n"/>
      <c r="E1804" s="212" t="n"/>
    </row>
    <row r="1805">
      <c r="B1805" s="291" t="n"/>
      <c r="E1805" s="212" t="n"/>
    </row>
    <row r="1806">
      <c r="B1806" s="291" t="n"/>
      <c r="E1806" s="212" t="n"/>
    </row>
    <row r="1807">
      <c r="B1807" s="291" t="n"/>
      <c r="E1807" s="212" t="n"/>
    </row>
    <row r="1808">
      <c r="B1808" s="291" t="n"/>
      <c r="E1808" s="212" t="n"/>
    </row>
    <row r="1809">
      <c r="B1809" s="291" t="n"/>
      <c r="E1809" s="212" t="n"/>
    </row>
    <row r="1810">
      <c r="B1810" s="291" t="n"/>
      <c r="E1810" s="212" t="n"/>
    </row>
    <row r="1811">
      <c r="B1811" s="291" t="n"/>
      <c r="E1811" s="212" t="n"/>
    </row>
    <row r="1812">
      <c r="B1812" s="291" t="n"/>
      <c r="E1812" s="212" t="n"/>
    </row>
    <row r="1813">
      <c r="B1813" s="291" t="n"/>
      <c r="E1813" s="212" t="n"/>
    </row>
    <row r="1814">
      <c r="B1814" s="291" t="n"/>
      <c r="E1814" s="212" t="n"/>
    </row>
    <row r="1815">
      <c r="B1815" s="291" t="n"/>
      <c r="E1815" s="212" t="n"/>
    </row>
    <row r="1816">
      <c r="B1816" s="291" t="n"/>
      <c r="E1816" s="212" t="n"/>
    </row>
    <row r="1817">
      <c r="B1817" s="291" t="n"/>
      <c r="E1817" s="212" t="n"/>
    </row>
    <row r="1818">
      <c r="B1818" s="291" t="n"/>
      <c r="E1818" s="212" t="n"/>
    </row>
    <row r="1819">
      <c r="B1819" s="291" t="n"/>
      <c r="E1819" s="212" t="n"/>
    </row>
    <row r="1820">
      <c r="B1820" s="291" t="n"/>
      <c r="E1820" s="212" t="n"/>
    </row>
    <row r="1821">
      <c r="B1821" s="291" t="n"/>
      <c r="E1821" s="212" t="n"/>
    </row>
    <row r="1822">
      <c r="B1822" s="291" t="n"/>
      <c r="E1822" s="212" t="n"/>
    </row>
    <row r="1823">
      <c r="B1823" s="291" t="n"/>
      <c r="E1823" s="212" t="n"/>
    </row>
    <row r="1824">
      <c r="B1824" s="291" t="n"/>
      <c r="E1824" s="212" t="n"/>
    </row>
    <row r="1825">
      <c r="B1825" s="291" t="n"/>
      <c r="E1825" s="212" t="n"/>
    </row>
    <row r="1826">
      <c r="B1826" s="291" t="n"/>
      <c r="E1826" s="212" t="n"/>
    </row>
    <row r="1827">
      <c r="B1827" s="291" t="n"/>
      <c r="E1827" s="212" t="n"/>
    </row>
    <row r="1828">
      <c r="B1828" s="291" t="n"/>
      <c r="E1828" s="212" t="n"/>
    </row>
    <row r="1829">
      <c r="B1829" s="291" t="n"/>
      <c r="E1829" s="212" t="n"/>
    </row>
    <row r="1830">
      <c r="B1830" s="291" t="n"/>
      <c r="E1830" s="212" t="n"/>
    </row>
    <row r="1831">
      <c r="B1831" s="291" t="n"/>
      <c r="E1831" s="212" t="n"/>
    </row>
    <row r="1832">
      <c r="B1832" s="291" t="n"/>
      <c r="E1832" s="212" t="n"/>
    </row>
    <row r="1833">
      <c r="B1833" s="291" t="n"/>
      <c r="E1833" s="212" t="n"/>
    </row>
    <row r="1834">
      <c r="B1834" s="291" t="n"/>
      <c r="E1834" s="212" t="n"/>
    </row>
    <row r="1835">
      <c r="B1835" s="291" t="n"/>
      <c r="E1835" s="212" t="n"/>
    </row>
    <row r="1836">
      <c r="B1836" s="291" t="n"/>
      <c r="E1836" s="212" t="n"/>
    </row>
    <row r="1837">
      <c r="B1837" s="291" t="n"/>
      <c r="E1837" s="212" t="n"/>
    </row>
    <row r="1838">
      <c r="B1838" s="291" t="n"/>
      <c r="E1838" s="212" t="n"/>
    </row>
    <row r="1839">
      <c r="B1839" s="291" t="n"/>
      <c r="E1839" s="212" t="n"/>
    </row>
    <row r="1840">
      <c r="B1840" s="291" t="n"/>
      <c r="E1840" s="212" t="n"/>
    </row>
    <row r="1841">
      <c r="B1841" s="291" t="n"/>
      <c r="E1841" s="212" t="n"/>
    </row>
    <row r="1842">
      <c r="B1842" s="291" t="n"/>
      <c r="E1842" s="212" t="n"/>
    </row>
    <row r="1843">
      <c r="B1843" s="291" t="n"/>
      <c r="E1843" s="212" t="n"/>
    </row>
    <row r="1844">
      <c r="B1844" s="291" t="n"/>
      <c r="E1844" s="212" t="n"/>
    </row>
    <row r="1845">
      <c r="B1845" s="291" t="n"/>
      <c r="E1845" s="212" t="n"/>
    </row>
    <row r="1846">
      <c r="B1846" s="291" t="n"/>
      <c r="E1846" s="212" t="n"/>
    </row>
    <row r="1847">
      <c r="B1847" s="291" t="n"/>
      <c r="E1847" s="212" t="n"/>
    </row>
    <row r="1848">
      <c r="B1848" s="291" t="n"/>
      <c r="E1848" s="212" t="n"/>
    </row>
    <row r="1849">
      <c r="B1849" s="291" t="n"/>
      <c r="E1849" s="212" t="n"/>
    </row>
    <row r="1850">
      <c r="B1850" s="291" t="n"/>
      <c r="E1850" s="212" t="n"/>
    </row>
    <row r="1851">
      <c r="B1851" s="291" t="n"/>
      <c r="E1851" s="212" t="n"/>
    </row>
    <row r="1852">
      <c r="B1852" s="291" t="n"/>
      <c r="E1852" s="212" t="n"/>
    </row>
    <row r="1853">
      <c r="B1853" s="291" t="n"/>
      <c r="E1853" s="212" t="n"/>
    </row>
    <row r="1854">
      <c r="B1854" s="291" t="n"/>
      <c r="E1854" s="212" t="n"/>
    </row>
    <row r="1855">
      <c r="B1855" s="291" t="n"/>
      <c r="E1855" s="212" t="n"/>
    </row>
    <row r="1856">
      <c r="B1856" s="291" t="n"/>
      <c r="E1856" s="212" t="n"/>
    </row>
    <row r="1857">
      <c r="B1857" s="291" t="n"/>
      <c r="E1857" s="212" t="n"/>
    </row>
    <row r="1858">
      <c r="B1858" s="291" t="n"/>
      <c r="E1858" s="212" t="n"/>
    </row>
    <row r="1859">
      <c r="B1859" s="291" t="n"/>
      <c r="E1859" s="212" t="n"/>
    </row>
    <row r="1860">
      <c r="B1860" s="291" t="n"/>
      <c r="E1860" s="212" t="n"/>
    </row>
    <row r="1861">
      <c r="B1861" s="291" t="n"/>
      <c r="E1861" s="212" t="n"/>
    </row>
    <row r="1862">
      <c r="B1862" s="291" t="n"/>
      <c r="E1862" s="212" t="n"/>
    </row>
    <row r="1863">
      <c r="B1863" s="291" t="n"/>
      <c r="E1863" s="212" t="n"/>
    </row>
    <row r="1864">
      <c r="B1864" s="291" t="n"/>
      <c r="E1864" s="212" t="n"/>
    </row>
    <row r="1865">
      <c r="B1865" s="291" t="n"/>
      <c r="E1865" s="212" t="n"/>
    </row>
    <row r="1866">
      <c r="B1866" s="291" t="n"/>
      <c r="E1866" s="212" t="n"/>
    </row>
    <row r="1867">
      <c r="B1867" s="291" t="n"/>
      <c r="E1867" s="212" t="n"/>
    </row>
    <row r="1868">
      <c r="B1868" s="291" t="n"/>
      <c r="E1868" s="212" t="n"/>
    </row>
    <row r="1869">
      <c r="B1869" s="291" t="n"/>
      <c r="E1869" s="212" t="n"/>
    </row>
    <row r="1870">
      <c r="B1870" s="291" t="n"/>
      <c r="E1870" s="212" t="n"/>
    </row>
    <row r="1871">
      <c r="B1871" s="291" t="n"/>
      <c r="E1871" s="212" t="n"/>
    </row>
    <row r="1872">
      <c r="B1872" s="291" t="n"/>
      <c r="E1872" s="212" t="n"/>
    </row>
    <row r="1873">
      <c r="B1873" s="291" t="n"/>
      <c r="E1873" s="212" t="n"/>
    </row>
    <row r="1874">
      <c r="B1874" s="291" t="n"/>
      <c r="E1874" s="212" t="n"/>
    </row>
    <row r="1875">
      <c r="B1875" s="291" t="n"/>
      <c r="E1875" s="212" t="n"/>
    </row>
    <row r="1876">
      <c r="B1876" s="291" t="n"/>
      <c r="E1876" s="212" t="n"/>
    </row>
    <row r="1877">
      <c r="B1877" s="291" t="n"/>
      <c r="E1877" s="212" t="n"/>
    </row>
    <row r="1878">
      <c r="B1878" s="291" t="n"/>
      <c r="E1878" s="212" t="n"/>
    </row>
    <row r="1879">
      <c r="B1879" s="291" t="n"/>
      <c r="E1879" s="212" t="n"/>
    </row>
    <row r="1880">
      <c r="B1880" s="291" t="n"/>
      <c r="E1880" s="212" t="n"/>
    </row>
    <row r="1881">
      <c r="B1881" s="291" t="n"/>
      <c r="E1881" s="212" t="n"/>
    </row>
    <row r="1882">
      <c r="B1882" s="291" t="n"/>
      <c r="E1882" s="212" t="n"/>
    </row>
    <row r="1883">
      <c r="B1883" s="291" t="n"/>
      <c r="E1883" s="212" t="n"/>
    </row>
    <row r="1884">
      <c r="B1884" s="291" t="n"/>
      <c r="E1884" s="212" t="n"/>
    </row>
    <row r="1885">
      <c r="B1885" s="291" t="n"/>
      <c r="E1885" s="212" t="n"/>
    </row>
    <row r="1886">
      <c r="B1886" s="291" t="n"/>
      <c r="E1886" s="212" t="n"/>
    </row>
    <row r="1887">
      <c r="B1887" s="291" t="n"/>
      <c r="E1887" s="212" t="n"/>
    </row>
    <row r="1888">
      <c r="B1888" s="291" t="n"/>
      <c r="E1888" s="212" t="n"/>
    </row>
    <row r="1889">
      <c r="B1889" s="291" t="n"/>
      <c r="E1889" s="212" t="n"/>
    </row>
    <row r="1890">
      <c r="B1890" s="291" t="n"/>
      <c r="E1890" s="212" t="n"/>
    </row>
    <row r="1891">
      <c r="B1891" s="291" t="n"/>
      <c r="E1891" s="212" t="n"/>
    </row>
    <row r="1892">
      <c r="B1892" s="291" t="n"/>
      <c r="E1892" s="212" t="n"/>
    </row>
    <row r="1893">
      <c r="B1893" s="291" t="n"/>
      <c r="E1893" s="212" t="n"/>
    </row>
    <row r="1894">
      <c r="B1894" s="291" t="n"/>
      <c r="E1894" s="212" t="n"/>
    </row>
    <row r="1895">
      <c r="B1895" s="291" t="n"/>
      <c r="E1895" s="212" t="n"/>
    </row>
    <row r="1896">
      <c r="B1896" s="291" t="n"/>
      <c r="E1896" s="212" t="n"/>
    </row>
    <row r="1897">
      <c r="B1897" s="291" t="n"/>
      <c r="E1897" s="212" t="n"/>
    </row>
    <row r="1898">
      <c r="B1898" s="291" t="n"/>
      <c r="E1898" s="212" t="n"/>
    </row>
    <row r="1899">
      <c r="B1899" s="291" t="n"/>
      <c r="E1899" s="212" t="n"/>
    </row>
    <row r="1900">
      <c r="B1900" s="291" t="n"/>
      <c r="E1900" s="212" t="n"/>
    </row>
    <row r="1901">
      <c r="B1901" s="291" t="n"/>
      <c r="E1901" s="212" t="n"/>
    </row>
    <row r="1902">
      <c r="B1902" s="291" t="n"/>
      <c r="E1902" s="212" t="n"/>
    </row>
    <row r="1903">
      <c r="B1903" s="291" t="n"/>
      <c r="E1903" s="212" t="n"/>
    </row>
    <row r="1904">
      <c r="B1904" s="291" t="n"/>
      <c r="E1904" s="212" t="n"/>
    </row>
    <row r="1905">
      <c r="B1905" s="291" t="n"/>
      <c r="E1905" s="212" t="n"/>
    </row>
    <row r="1906">
      <c r="B1906" s="291" t="n"/>
      <c r="E1906" s="212" t="n"/>
    </row>
    <row r="1907">
      <c r="B1907" s="291" t="n"/>
      <c r="E1907" s="212" t="n"/>
    </row>
    <row r="1908">
      <c r="B1908" s="291" t="n"/>
      <c r="E1908" s="212" t="n"/>
    </row>
    <row r="1909">
      <c r="B1909" s="291" t="n"/>
      <c r="E1909" s="212" t="n"/>
    </row>
    <row r="1910">
      <c r="B1910" s="291" t="n"/>
      <c r="E1910" s="212" t="n"/>
    </row>
    <row r="1911">
      <c r="B1911" s="291" t="n"/>
      <c r="E1911" s="212" t="n"/>
    </row>
    <row r="1912">
      <c r="B1912" s="291" t="n"/>
      <c r="E1912" s="212" t="n"/>
    </row>
    <row r="1913">
      <c r="B1913" s="291" t="n"/>
      <c r="E1913" s="212" t="n"/>
    </row>
    <row r="1914">
      <c r="B1914" s="291" t="n"/>
      <c r="E1914" s="212" t="n"/>
    </row>
    <row r="1915">
      <c r="B1915" s="291" t="n"/>
      <c r="E1915" s="212" t="n"/>
    </row>
    <row r="1916">
      <c r="B1916" s="291" t="n"/>
      <c r="E1916" s="212" t="n"/>
    </row>
    <row r="1917">
      <c r="B1917" s="291" t="n"/>
      <c r="E1917" s="212" t="n"/>
    </row>
    <row r="1918">
      <c r="B1918" s="291" t="n"/>
      <c r="E1918" s="212" t="n"/>
    </row>
    <row r="1919">
      <c r="B1919" s="291" t="n"/>
      <c r="E1919" s="212" t="n"/>
    </row>
    <row r="1920">
      <c r="B1920" s="291" t="n"/>
      <c r="E1920" s="212" t="n"/>
    </row>
    <row r="1921">
      <c r="B1921" s="291" t="n"/>
      <c r="E1921" s="212" t="n"/>
    </row>
    <row r="1922">
      <c r="B1922" s="291" t="n"/>
      <c r="E1922" s="212" t="n"/>
    </row>
    <row r="1923">
      <c r="B1923" s="291" t="n"/>
      <c r="E1923" s="212" t="n"/>
    </row>
    <row r="1924">
      <c r="B1924" s="291" t="n"/>
      <c r="E1924" s="212" t="n"/>
    </row>
    <row r="1925">
      <c r="B1925" s="291" t="n"/>
      <c r="E1925" s="212" t="n"/>
    </row>
    <row r="1926">
      <c r="B1926" s="291" t="n"/>
      <c r="E1926" s="212" t="n"/>
    </row>
    <row r="1927">
      <c r="B1927" s="291" t="n"/>
      <c r="E1927" s="212" t="n"/>
    </row>
    <row r="1928">
      <c r="B1928" s="291" t="n"/>
      <c r="E1928" s="212" t="n"/>
    </row>
    <row r="1929">
      <c r="B1929" s="291" t="n"/>
      <c r="E1929" s="212" t="n"/>
    </row>
    <row r="1930">
      <c r="B1930" s="291" t="n"/>
      <c r="E1930" s="212" t="n"/>
    </row>
    <row r="1931">
      <c r="B1931" s="291" t="n"/>
      <c r="E1931" s="212" t="n"/>
    </row>
    <row r="1932">
      <c r="B1932" s="291" t="n"/>
      <c r="E1932" s="212" t="n"/>
    </row>
    <row r="1933">
      <c r="B1933" s="291" t="n"/>
      <c r="E1933" s="212" t="n"/>
    </row>
    <row r="1934">
      <c r="B1934" s="291" t="n"/>
      <c r="E1934" s="212" t="n"/>
    </row>
    <row r="1935">
      <c r="B1935" s="291" t="n"/>
      <c r="E1935" s="212" t="n"/>
    </row>
    <row r="1936">
      <c r="B1936" s="291" t="n"/>
      <c r="E1936" s="212" t="n"/>
    </row>
    <row r="1937">
      <c r="B1937" s="291" t="n"/>
      <c r="E1937" s="212" t="n"/>
    </row>
    <row r="1938">
      <c r="B1938" s="291" t="n"/>
      <c r="E1938" s="212" t="n"/>
    </row>
    <row r="1939">
      <c r="B1939" s="291" t="n"/>
      <c r="E1939" s="212" t="n"/>
    </row>
    <row r="1940">
      <c r="B1940" s="291" t="n"/>
      <c r="E1940" s="212" t="n"/>
    </row>
    <row r="1941">
      <c r="B1941" s="291" t="n"/>
      <c r="E1941" s="212" t="n"/>
    </row>
    <row r="1942">
      <c r="B1942" s="291" t="n"/>
      <c r="E1942" s="212" t="n"/>
    </row>
    <row r="1943">
      <c r="B1943" s="291" t="n"/>
      <c r="E1943" s="212" t="n"/>
    </row>
    <row r="1944">
      <c r="B1944" s="291" t="n"/>
      <c r="E1944" s="212" t="n"/>
    </row>
    <row r="1945">
      <c r="B1945" s="291" t="n"/>
      <c r="E1945" s="212" t="n"/>
    </row>
    <row r="1946">
      <c r="B1946" s="291" t="n"/>
      <c r="E1946" s="212" t="n"/>
    </row>
    <row r="1947">
      <c r="B1947" s="291" t="n"/>
      <c r="E1947" s="212" t="n"/>
    </row>
    <row r="1948">
      <c r="B1948" s="291" t="n"/>
      <c r="E1948" s="212" t="n"/>
    </row>
    <row r="1949">
      <c r="B1949" s="291" t="n"/>
      <c r="E1949" s="212" t="n"/>
    </row>
    <row r="1950">
      <c r="B1950" s="291" t="n"/>
      <c r="E1950" s="212" t="n"/>
    </row>
    <row r="1951">
      <c r="B1951" s="291" t="n"/>
      <c r="E1951" s="212" t="n"/>
    </row>
    <row r="1952">
      <c r="B1952" s="291" t="n"/>
      <c r="E1952" s="212" t="n"/>
    </row>
    <row r="1953">
      <c r="B1953" s="291" t="n"/>
      <c r="E1953" s="212" t="n"/>
    </row>
    <row r="1954">
      <c r="B1954" s="291" t="n"/>
      <c r="E1954" s="212" t="n"/>
    </row>
    <row r="1955">
      <c r="B1955" s="291" t="n"/>
      <c r="E1955" s="212" t="n"/>
    </row>
    <row r="1956">
      <c r="B1956" s="291" t="n"/>
      <c r="E1956" s="212" t="n"/>
    </row>
    <row r="1957">
      <c r="B1957" s="291" t="n"/>
      <c r="E1957" s="212" t="n"/>
    </row>
    <row r="1958">
      <c r="B1958" s="291" t="n"/>
      <c r="E1958" s="212" t="n"/>
    </row>
    <row r="1959">
      <c r="B1959" s="291" t="n"/>
      <c r="E1959" s="212" t="n"/>
    </row>
    <row r="1960">
      <c r="B1960" s="291" t="n"/>
      <c r="E1960" s="212" t="n"/>
    </row>
    <row r="1961">
      <c r="B1961" s="291" t="n"/>
      <c r="E1961" s="212" t="n"/>
    </row>
    <row r="1962">
      <c r="B1962" s="291" t="n"/>
      <c r="E1962" s="212" t="n"/>
    </row>
    <row r="1963">
      <c r="B1963" s="291" t="n"/>
      <c r="E1963" s="212" t="n"/>
    </row>
    <row r="1964">
      <c r="B1964" s="291" t="n"/>
      <c r="E1964" s="212" t="n"/>
    </row>
    <row r="1965">
      <c r="B1965" s="291" t="n"/>
      <c r="E1965" s="212" t="n"/>
    </row>
    <row r="1966">
      <c r="B1966" s="291" t="n"/>
      <c r="E1966" s="212" t="n"/>
    </row>
    <row r="1967">
      <c r="B1967" s="291" t="n"/>
      <c r="E1967" s="212" t="n"/>
    </row>
    <row r="1968">
      <c r="B1968" s="291" t="n"/>
      <c r="E1968" s="212" t="n"/>
    </row>
    <row r="1969">
      <c r="B1969" s="291" t="n"/>
      <c r="E1969" s="212" t="n"/>
    </row>
    <row r="1970">
      <c r="B1970" s="291" t="n"/>
      <c r="E1970" s="212" t="n"/>
    </row>
    <row r="1971">
      <c r="B1971" s="291" t="n"/>
      <c r="E1971" s="212" t="n"/>
    </row>
    <row r="1972">
      <c r="B1972" s="291" t="n"/>
      <c r="E1972" s="212" t="n"/>
    </row>
    <row r="1973">
      <c r="B1973" s="291" t="n"/>
      <c r="E1973" s="212" t="n"/>
    </row>
    <row r="1974">
      <c r="B1974" s="291" t="n"/>
      <c r="E1974" s="212" t="n"/>
    </row>
    <row r="1975">
      <c r="B1975" s="291" t="n"/>
      <c r="E1975" s="212" t="n"/>
    </row>
    <row r="1976">
      <c r="B1976" s="291" t="n"/>
      <c r="E1976" s="212" t="n"/>
    </row>
    <row r="1977">
      <c r="B1977" s="291" t="n"/>
      <c r="E1977" s="212" t="n"/>
    </row>
    <row r="1978">
      <c r="B1978" s="291" t="n"/>
      <c r="E1978" s="212" t="n"/>
    </row>
    <row r="1979">
      <c r="B1979" s="291" t="n"/>
      <c r="E1979" s="212" t="n"/>
    </row>
    <row r="1980">
      <c r="B1980" s="291" t="n"/>
      <c r="E1980" s="212" t="n"/>
    </row>
    <row r="1981">
      <c r="B1981" s="291" t="n"/>
      <c r="E1981" s="212" t="n"/>
    </row>
    <row r="1982">
      <c r="B1982" s="291" t="n"/>
      <c r="E1982" s="212" t="n"/>
    </row>
    <row r="1983">
      <c r="B1983" s="291" t="n"/>
      <c r="E1983" s="212" t="n"/>
    </row>
    <row r="1984">
      <c r="B1984" s="291" t="n"/>
      <c r="E1984" s="212" t="n"/>
    </row>
    <row r="1985">
      <c r="B1985" s="291" t="n"/>
      <c r="E1985" s="212" t="n"/>
    </row>
    <row r="1986">
      <c r="B1986" s="291" t="n"/>
      <c r="E1986" s="212" t="n"/>
    </row>
    <row r="1987">
      <c r="B1987" s="291" t="n"/>
      <c r="E1987" s="212" t="n"/>
    </row>
    <row r="1988">
      <c r="B1988" s="291" t="n"/>
      <c r="E1988" s="212" t="n"/>
    </row>
    <row r="1989">
      <c r="B1989" s="291" t="n"/>
      <c r="E1989" s="212" t="n"/>
    </row>
    <row r="1990">
      <c r="B1990" s="291" t="n"/>
      <c r="E1990" s="212" t="n"/>
    </row>
    <row r="1991">
      <c r="B1991" s="291" t="n"/>
      <c r="E1991" s="212" t="n"/>
    </row>
    <row r="1992">
      <c r="B1992" s="291" t="n"/>
      <c r="E1992" s="212" t="n"/>
    </row>
    <row r="1993">
      <c r="B1993" s="291" t="n"/>
      <c r="E1993" s="212" t="n"/>
    </row>
    <row r="1994">
      <c r="B1994" s="291" t="n"/>
      <c r="E1994" s="212" t="n"/>
    </row>
    <row r="1995">
      <c r="B1995" s="291" t="n"/>
      <c r="E1995" s="212" t="n"/>
    </row>
    <row r="1996">
      <c r="B1996" s="291" t="n"/>
      <c r="E1996" s="212" t="n"/>
    </row>
    <row r="1997">
      <c r="B1997" s="291" t="n"/>
      <c r="E1997" s="212" t="n"/>
    </row>
    <row r="1998">
      <c r="B1998" s="291" t="n"/>
      <c r="E1998" s="212" t="n"/>
    </row>
    <row r="1999">
      <c r="B1999" s="291" t="n"/>
      <c r="E1999" s="212" t="n"/>
    </row>
    <row r="2000">
      <c r="B2000" s="291" t="n"/>
      <c r="E2000" s="212" t="n"/>
    </row>
    <row r="2001">
      <c r="B2001" s="291" t="n"/>
      <c r="E2001" s="212" t="n"/>
    </row>
    <row r="2002">
      <c r="B2002" s="291" t="n"/>
      <c r="E2002" s="212" t="n"/>
    </row>
    <row r="2003">
      <c r="B2003" s="291" t="n"/>
      <c r="E2003" s="212" t="n"/>
    </row>
    <row r="2004">
      <c r="B2004" s="291" t="n"/>
      <c r="E2004" s="212" t="n"/>
    </row>
    <row r="2005">
      <c r="B2005" s="291" t="n"/>
      <c r="E2005" s="212" t="n"/>
    </row>
    <row r="2006">
      <c r="B2006" s="291" t="n"/>
      <c r="E2006" s="212" t="n"/>
    </row>
    <row r="2007">
      <c r="B2007" s="291" t="n"/>
      <c r="E2007" s="212" t="n"/>
    </row>
    <row r="2008">
      <c r="B2008" s="291" t="n"/>
      <c r="E2008" s="212" t="n"/>
    </row>
    <row r="2009">
      <c r="B2009" s="291" t="n"/>
      <c r="E2009" s="212" t="n"/>
    </row>
    <row r="2010">
      <c r="B2010" s="291" t="n"/>
      <c r="E2010" s="212" t="n"/>
    </row>
    <row r="2011">
      <c r="B2011" s="291" t="n"/>
      <c r="E2011" s="212" t="n"/>
    </row>
    <row r="2012">
      <c r="B2012" s="291" t="n"/>
      <c r="E2012" s="212" t="n"/>
    </row>
    <row r="2013">
      <c r="B2013" s="291" t="n"/>
      <c r="E2013" s="212" t="n"/>
    </row>
    <row r="2014">
      <c r="B2014" s="291" t="n"/>
      <c r="E2014" s="212" t="n"/>
    </row>
    <row r="2015">
      <c r="B2015" s="291" t="n"/>
      <c r="E2015" s="212" t="n"/>
    </row>
    <row r="2016">
      <c r="B2016" s="291" t="n"/>
      <c r="E2016" s="212" t="n"/>
    </row>
    <row r="2017">
      <c r="B2017" s="291" t="n"/>
      <c r="E2017" s="212" t="n"/>
    </row>
    <row r="2018">
      <c r="B2018" s="291" t="n"/>
      <c r="E2018" s="212" t="n"/>
    </row>
    <row r="2019">
      <c r="B2019" s="291" t="n"/>
      <c r="E2019" s="212" t="n"/>
    </row>
    <row r="2020">
      <c r="B2020" s="291" t="n"/>
      <c r="E2020" s="212" t="n"/>
    </row>
    <row r="2021">
      <c r="B2021" s="291" t="n"/>
      <c r="E2021" s="212" t="n"/>
    </row>
    <row r="2022">
      <c r="B2022" s="291" t="n"/>
      <c r="E2022" s="212" t="n"/>
    </row>
    <row r="2023">
      <c r="B2023" s="291" t="n"/>
      <c r="E2023" s="212" t="n"/>
    </row>
    <row r="2024">
      <c r="B2024" s="291" t="n"/>
      <c r="E2024" s="212" t="n"/>
    </row>
    <row r="2025">
      <c r="B2025" s="291" t="n"/>
      <c r="E2025" s="212" t="n"/>
    </row>
    <row r="2026">
      <c r="B2026" s="291" t="n"/>
      <c r="E2026" s="212" t="n"/>
    </row>
    <row r="2027">
      <c r="B2027" s="291" t="n"/>
      <c r="E2027" s="212" t="n"/>
    </row>
    <row r="2028">
      <c r="B2028" s="291" t="n"/>
      <c r="E2028" s="212" t="n"/>
    </row>
    <row r="2029">
      <c r="B2029" s="291" t="n"/>
      <c r="E2029" s="212" t="n"/>
    </row>
    <row r="2030">
      <c r="B2030" s="291" t="n"/>
      <c r="E2030" s="212" t="n"/>
    </row>
    <row r="2031">
      <c r="B2031" s="291" t="n"/>
      <c r="E2031" s="212" t="n"/>
    </row>
    <row r="2032">
      <c r="B2032" s="291" t="n"/>
      <c r="E2032" s="212" t="n"/>
    </row>
    <row r="2033">
      <c r="B2033" s="291" t="n"/>
      <c r="E2033" s="212" t="n"/>
    </row>
    <row r="2034">
      <c r="B2034" s="291" t="n"/>
      <c r="E2034" s="212" t="n"/>
    </row>
    <row r="2035">
      <c r="B2035" s="291" t="n"/>
      <c r="E2035" s="212" t="n"/>
    </row>
    <row r="2036">
      <c r="B2036" s="291" t="n"/>
      <c r="E2036" s="212" t="n"/>
    </row>
    <row r="2037">
      <c r="B2037" s="291" t="n"/>
      <c r="E2037" s="212" t="n"/>
    </row>
    <row r="2038">
      <c r="B2038" s="291" t="n"/>
      <c r="E2038" s="212" t="n"/>
    </row>
    <row r="2039">
      <c r="B2039" s="291" t="n"/>
      <c r="E2039" s="212" t="n"/>
    </row>
    <row r="2040">
      <c r="B2040" s="291" t="n"/>
      <c r="E2040" s="212" t="n"/>
    </row>
    <row r="2041">
      <c r="B2041" s="291" t="n"/>
      <c r="E2041" s="212" t="n"/>
    </row>
    <row r="2042">
      <c r="B2042" s="291" t="n"/>
      <c r="E2042" s="212" t="n"/>
    </row>
    <row r="2043">
      <c r="B2043" s="291" t="n"/>
      <c r="E2043" s="212" t="n"/>
    </row>
    <row r="2044">
      <c r="B2044" s="291" t="n"/>
      <c r="E2044" s="212" t="n"/>
    </row>
    <row r="2045">
      <c r="B2045" s="291" t="n"/>
      <c r="E2045" s="212" t="n"/>
    </row>
    <row r="2046">
      <c r="B2046" s="291" t="n"/>
      <c r="E2046" s="212" t="n"/>
    </row>
    <row r="2047">
      <c r="B2047" s="291" t="n"/>
      <c r="E2047" s="212" t="n"/>
    </row>
    <row r="2048">
      <c r="B2048" s="291" t="n"/>
      <c r="E2048" s="212" t="n"/>
    </row>
    <row r="2049">
      <c r="B2049" s="291" t="n"/>
      <c r="E2049" s="212" t="n"/>
    </row>
    <row r="2050">
      <c r="B2050" s="291" t="n"/>
      <c r="E2050" s="212" t="n"/>
    </row>
    <row r="2051">
      <c r="B2051" s="291" t="n"/>
      <c r="E2051" s="212" t="n"/>
    </row>
    <row r="2052">
      <c r="B2052" s="291" t="n"/>
      <c r="E2052" s="212" t="n"/>
    </row>
    <row r="2053">
      <c r="B2053" s="291" t="n"/>
      <c r="E2053" s="212" t="n"/>
    </row>
    <row r="2054">
      <c r="B2054" s="291" t="n"/>
      <c r="E2054" s="212" t="n"/>
    </row>
    <row r="2055">
      <c r="B2055" s="291" t="n"/>
      <c r="E2055" s="212" t="n"/>
    </row>
    <row r="2056">
      <c r="B2056" s="291" t="n"/>
      <c r="E2056" s="212" t="n"/>
    </row>
    <row r="2057">
      <c r="B2057" s="291" t="n"/>
      <c r="E2057" s="212" t="n"/>
    </row>
    <row r="2058">
      <c r="B2058" s="291" t="n"/>
      <c r="E2058" s="212" t="n"/>
    </row>
    <row r="2059">
      <c r="B2059" s="291" t="n"/>
      <c r="E2059" s="212" t="n"/>
    </row>
    <row r="2060">
      <c r="B2060" s="291" t="n"/>
      <c r="E2060" s="212" t="n"/>
    </row>
    <row r="2061">
      <c r="B2061" s="291" t="n"/>
      <c r="E2061" s="212" t="n"/>
    </row>
    <row r="2062">
      <c r="B2062" s="291" t="n"/>
      <c r="E2062" s="212" t="n"/>
    </row>
    <row r="2063">
      <c r="B2063" s="291" t="n"/>
      <c r="E2063" s="212" t="n"/>
    </row>
    <row r="2064">
      <c r="B2064" s="291" t="n"/>
      <c r="E2064" s="212" t="n"/>
    </row>
    <row r="2065">
      <c r="B2065" s="291" t="n"/>
      <c r="E2065" s="212" t="n"/>
    </row>
    <row r="2066">
      <c r="B2066" s="291" t="n"/>
      <c r="E2066" s="212" t="n"/>
    </row>
    <row r="2067">
      <c r="B2067" s="291" t="n"/>
      <c r="E2067" s="212" t="n"/>
    </row>
    <row r="2068">
      <c r="B2068" s="291" t="n"/>
      <c r="E2068" s="212" t="n"/>
    </row>
    <row r="2069">
      <c r="B2069" s="291" t="n"/>
      <c r="E2069" s="212" t="n"/>
    </row>
    <row r="2070">
      <c r="B2070" s="291" t="n"/>
      <c r="E2070" s="212" t="n"/>
    </row>
    <row r="2071">
      <c r="B2071" s="291" t="n"/>
      <c r="E2071" s="212" t="n"/>
    </row>
    <row r="2072">
      <c r="B2072" s="291" t="n"/>
      <c r="E2072" s="212" t="n"/>
    </row>
    <row r="2073">
      <c r="B2073" s="291" t="n"/>
      <c r="E2073" s="212" t="n"/>
    </row>
    <row r="2074">
      <c r="B2074" s="291" t="n"/>
      <c r="E2074" s="212" t="n"/>
    </row>
    <row r="2075">
      <c r="B2075" s="291" t="n"/>
      <c r="E2075" s="212" t="n"/>
    </row>
    <row r="2076">
      <c r="B2076" s="291" t="n"/>
      <c r="E2076" s="212" t="n"/>
    </row>
    <row r="2077">
      <c r="B2077" s="291" t="n"/>
      <c r="E2077" s="212" t="n"/>
    </row>
    <row r="2078">
      <c r="B2078" s="291" t="n"/>
      <c r="E2078" s="212" t="n"/>
    </row>
    <row r="2079">
      <c r="B2079" s="291" t="n"/>
      <c r="E2079" s="212" t="n"/>
    </row>
    <row r="2080">
      <c r="B2080" s="291" t="n"/>
      <c r="E2080" s="212" t="n"/>
    </row>
    <row r="2081">
      <c r="B2081" s="291" t="n"/>
      <c r="E2081" s="212" t="n"/>
    </row>
    <row r="2082">
      <c r="B2082" s="291" t="n"/>
      <c r="E2082" s="212" t="n"/>
    </row>
    <row r="2083">
      <c r="B2083" s="291" t="n"/>
      <c r="E2083" s="212" t="n"/>
    </row>
    <row r="2084">
      <c r="B2084" s="291" t="n"/>
      <c r="E2084" s="212" t="n"/>
    </row>
    <row r="2085">
      <c r="B2085" s="291" t="n"/>
      <c r="E2085" s="212" t="n"/>
    </row>
    <row r="2086">
      <c r="B2086" s="291" t="n"/>
      <c r="E2086" s="212" t="n"/>
    </row>
    <row r="2087">
      <c r="B2087" s="291" t="n"/>
      <c r="E2087" s="212" t="n"/>
    </row>
    <row r="2088">
      <c r="B2088" s="291" t="n"/>
      <c r="E2088" s="212" t="n"/>
    </row>
    <row r="2089">
      <c r="B2089" s="291" t="n"/>
      <c r="E2089" s="212" t="n"/>
    </row>
    <row r="2090">
      <c r="B2090" s="291" t="n"/>
      <c r="E2090" s="212" t="n"/>
    </row>
    <row r="2091">
      <c r="B2091" s="291" t="n"/>
      <c r="E2091" s="212" t="n"/>
    </row>
    <row r="2092">
      <c r="B2092" s="291" t="n"/>
      <c r="E2092" s="212" t="n"/>
    </row>
    <row r="2093">
      <c r="B2093" s="291" t="n"/>
      <c r="E2093" s="212" t="n"/>
    </row>
    <row r="2094">
      <c r="B2094" s="291" t="n"/>
      <c r="E2094" s="212" t="n"/>
    </row>
    <row r="2095">
      <c r="B2095" s="291" t="n"/>
      <c r="E2095" s="212" t="n"/>
    </row>
    <row r="2096">
      <c r="B2096" s="291" t="n"/>
      <c r="E2096" s="212" t="n"/>
    </row>
    <row r="2097">
      <c r="B2097" s="291" t="n"/>
      <c r="E2097" s="212" t="n"/>
    </row>
    <row r="2098">
      <c r="B2098" s="291" t="n"/>
      <c r="E2098" s="212" t="n"/>
    </row>
    <row r="2099">
      <c r="B2099" s="291" t="n"/>
      <c r="E2099" s="212" t="n"/>
    </row>
    <row r="2100">
      <c r="B2100" s="291" t="n"/>
      <c r="E2100" s="212" t="n"/>
    </row>
    <row r="2101">
      <c r="B2101" s="291" t="n"/>
      <c r="E2101" s="212" t="n"/>
    </row>
    <row r="2102">
      <c r="B2102" s="291" t="n"/>
      <c r="E2102" s="212" t="n"/>
    </row>
    <row r="2103">
      <c r="B2103" s="291" t="n"/>
      <c r="E2103" s="212" t="n"/>
    </row>
    <row r="2104">
      <c r="B2104" s="291" t="n"/>
      <c r="E2104" s="212" t="n"/>
    </row>
    <row r="2105">
      <c r="B2105" s="291" t="n"/>
      <c r="E2105" s="212" t="n"/>
    </row>
    <row r="2106">
      <c r="B2106" s="291" t="n"/>
      <c r="E2106" s="212" t="n"/>
    </row>
    <row r="2107">
      <c r="B2107" s="291" t="n"/>
      <c r="E2107" s="212" t="n"/>
    </row>
    <row r="2108">
      <c r="B2108" s="291" t="n"/>
      <c r="E2108" s="212" t="n"/>
    </row>
    <row r="2109">
      <c r="B2109" s="291" t="n"/>
      <c r="E2109" s="212" t="n"/>
    </row>
    <row r="2110">
      <c r="B2110" s="291" t="n"/>
      <c r="E2110" s="212" t="n"/>
    </row>
    <row r="2111">
      <c r="B2111" s="291" t="n"/>
      <c r="E2111" s="212" t="n"/>
    </row>
    <row r="2112">
      <c r="B2112" s="291" t="n"/>
      <c r="E2112" s="212" t="n"/>
    </row>
    <row r="2113">
      <c r="B2113" s="291" t="n"/>
      <c r="E2113" s="212" t="n"/>
    </row>
    <row r="2114">
      <c r="B2114" s="291" t="n"/>
      <c r="E2114" s="212" t="n"/>
    </row>
    <row r="2115">
      <c r="B2115" s="291" t="n"/>
      <c r="E2115" s="212" t="n"/>
    </row>
    <row r="2116">
      <c r="B2116" s="291" t="n"/>
      <c r="E2116" s="212" t="n"/>
    </row>
    <row r="2117">
      <c r="B2117" s="291" t="n"/>
      <c r="E2117" s="212" t="n"/>
    </row>
    <row r="2118">
      <c r="B2118" s="291" t="n"/>
      <c r="E2118" s="212" t="n"/>
    </row>
    <row r="2119">
      <c r="B2119" s="291" t="n"/>
      <c r="E2119" s="212" t="n"/>
    </row>
    <row r="2120">
      <c r="B2120" s="291" t="n"/>
      <c r="E2120" s="212" t="n"/>
    </row>
    <row r="2121">
      <c r="B2121" s="291" t="n"/>
      <c r="E2121" s="212" t="n"/>
    </row>
    <row r="2122">
      <c r="B2122" s="291" t="n"/>
      <c r="E2122" s="212" t="n"/>
    </row>
    <row r="2123">
      <c r="B2123" s="291" t="n"/>
      <c r="E2123" s="212" t="n"/>
    </row>
    <row r="2124">
      <c r="B2124" s="291" t="n"/>
      <c r="E2124" s="212" t="n"/>
    </row>
    <row r="2125">
      <c r="B2125" s="291" t="n"/>
      <c r="E2125" s="212" t="n"/>
    </row>
    <row r="2126">
      <c r="B2126" s="291" t="n"/>
      <c r="E2126" s="212" t="n"/>
    </row>
    <row r="2127">
      <c r="B2127" s="291" t="n"/>
      <c r="E2127" s="212" t="n"/>
    </row>
    <row r="2128">
      <c r="B2128" s="291" t="n"/>
      <c r="E2128" s="212" t="n"/>
    </row>
    <row r="2129">
      <c r="B2129" s="291" t="n"/>
      <c r="E2129" s="212" t="n"/>
    </row>
    <row r="2130">
      <c r="B2130" s="291" t="n"/>
      <c r="E2130" s="212" t="n"/>
    </row>
    <row r="2131">
      <c r="B2131" s="291" t="n"/>
      <c r="E2131" s="212" t="n"/>
    </row>
    <row r="2132">
      <c r="B2132" s="291" t="n"/>
      <c r="E2132" s="212" t="n"/>
    </row>
    <row r="2133">
      <c r="B2133" s="291" t="n"/>
      <c r="E2133" s="212" t="n"/>
    </row>
    <row r="2134">
      <c r="B2134" s="291" t="n"/>
      <c r="E2134" s="212" t="n"/>
    </row>
    <row r="2135">
      <c r="B2135" s="291" t="n"/>
      <c r="E2135" s="212" t="n"/>
    </row>
    <row r="2136">
      <c r="B2136" s="291" t="n"/>
      <c r="E2136" s="212" t="n"/>
    </row>
    <row r="2137">
      <c r="B2137" s="291" t="n"/>
      <c r="E2137" s="212" t="n"/>
    </row>
    <row r="2138">
      <c r="B2138" s="291" t="n"/>
      <c r="E2138" s="212" t="n"/>
    </row>
    <row r="2139">
      <c r="B2139" s="291" t="n"/>
      <c r="E2139" s="212" t="n"/>
    </row>
    <row r="2140">
      <c r="B2140" s="291" t="n"/>
      <c r="E2140" s="212" t="n"/>
    </row>
    <row r="2141">
      <c r="B2141" s="291" t="n"/>
      <c r="E2141" s="212" t="n"/>
    </row>
    <row r="2142">
      <c r="B2142" s="291" t="n"/>
      <c r="E2142" s="212" t="n"/>
    </row>
    <row r="2143">
      <c r="B2143" s="291" t="n"/>
      <c r="E2143" s="212" t="n"/>
    </row>
    <row r="2144">
      <c r="B2144" s="291" t="n"/>
      <c r="E2144" s="212" t="n"/>
    </row>
    <row r="2145">
      <c r="B2145" s="291" t="n"/>
      <c r="E2145" s="212" t="n"/>
    </row>
    <row r="2146">
      <c r="B2146" s="291" t="n"/>
      <c r="E2146" s="212" t="n"/>
    </row>
    <row r="2147">
      <c r="B2147" s="291" t="n"/>
      <c r="E2147" s="212" t="n"/>
    </row>
    <row r="2148">
      <c r="B2148" s="291" t="n"/>
      <c r="E2148" s="212" t="n"/>
    </row>
    <row r="2149">
      <c r="B2149" s="291" t="n"/>
      <c r="E2149" s="212" t="n"/>
    </row>
    <row r="2150">
      <c r="B2150" s="291" t="n"/>
      <c r="E2150" s="212" t="n"/>
    </row>
    <row r="2151">
      <c r="B2151" s="291" t="n"/>
      <c r="E2151" s="212" t="n"/>
    </row>
    <row r="2152">
      <c r="B2152" s="291" t="n"/>
      <c r="E2152" s="212" t="n"/>
    </row>
    <row r="2153">
      <c r="B2153" s="291" t="n"/>
      <c r="E2153" s="212" t="n"/>
    </row>
    <row r="2154">
      <c r="B2154" s="291" t="n"/>
      <c r="E2154" s="212" t="n"/>
    </row>
    <row r="2155">
      <c r="B2155" s="291" t="n"/>
      <c r="E2155" s="212" t="n"/>
    </row>
    <row r="2156">
      <c r="B2156" s="291" t="n"/>
      <c r="E2156" s="212" t="n"/>
    </row>
    <row r="2157">
      <c r="B2157" s="291" t="n"/>
      <c r="E2157" s="212" t="n"/>
    </row>
    <row r="2158">
      <c r="B2158" s="291" t="n"/>
      <c r="E2158" s="212" t="n"/>
    </row>
    <row r="2159">
      <c r="B2159" s="291" t="n"/>
      <c r="E2159" s="212" t="n"/>
    </row>
    <row r="2160">
      <c r="B2160" s="291" t="n"/>
      <c r="E2160" s="212" t="n"/>
    </row>
    <row r="2161">
      <c r="B2161" s="291" t="n"/>
      <c r="E2161" s="212" t="n"/>
    </row>
    <row r="2162">
      <c r="B2162" s="291" t="n"/>
      <c r="E2162" s="212" t="n"/>
    </row>
    <row r="2163">
      <c r="B2163" s="291" t="n"/>
      <c r="E2163" s="212" t="n"/>
    </row>
    <row r="2164">
      <c r="B2164" s="291" t="n"/>
      <c r="E2164" s="212" t="n"/>
    </row>
    <row r="2165">
      <c r="B2165" s="291" t="n"/>
      <c r="E2165" s="212" t="n"/>
    </row>
    <row r="2166">
      <c r="B2166" s="291" t="n"/>
      <c r="E2166" s="212" t="n"/>
    </row>
    <row r="2167">
      <c r="B2167" s="291" t="n"/>
      <c r="E2167" s="212" t="n"/>
    </row>
    <row r="2168">
      <c r="B2168" s="291" t="n"/>
      <c r="E2168" s="212" t="n"/>
    </row>
    <row r="2169">
      <c r="B2169" s="291" t="n"/>
      <c r="E2169" s="212" t="n"/>
    </row>
    <row r="2170">
      <c r="B2170" s="291" t="n"/>
      <c r="E2170" s="212" t="n"/>
    </row>
    <row r="2171">
      <c r="B2171" s="291" t="n"/>
      <c r="E2171" s="212" t="n"/>
    </row>
    <row r="2172">
      <c r="B2172" s="291" t="n"/>
      <c r="E2172" s="212" t="n"/>
    </row>
    <row r="2173">
      <c r="B2173" s="291" t="n"/>
      <c r="E2173" s="212" t="n"/>
    </row>
    <row r="2174">
      <c r="B2174" s="291" t="n"/>
      <c r="E2174" s="212" t="n"/>
    </row>
    <row r="2175">
      <c r="B2175" s="291" t="n"/>
      <c r="E2175" s="212" t="n"/>
    </row>
    <row r="2176">
      <c r="B2176" s="291" t="n"/>
      <c r="E2176" s="212" t="n"/>
    </row>
    <row r="2177">
      <c r="B2177" s="291" t="n"/>
      <c r="E2177" s="212" t="n"/>
    </row>
    <row r="2178">
      <c r="B2178" s="291" t="n"/>
      <c r="E2178" s="212" t="n"/>
    </row>
    <row r="2179">
      <c r="B2179" s="291" t="n"/>
      <c r="E2179" s="212" t="n"/>
    </row>
    <row r="2180">
      <c r="B2180" s="291" t="n"/>
      <c r="E2180" s="212" t="n"/>
    </row>
    <row r="2181">
      <c r="B2181" s="291" t="n"/>
      <c r="E2181" s="212" t="n"/>
    </row>
    <row r="2182">
      <c r="B2182" s="291" t="n"/>
      <c r="E2182" s="212" t="n"/>
    </row>
    <row r="2183">
      <c r="B2183" s="291" t="n"/>
      <c r="E2183" s="212" t="n"/>
    </row>
    <row r="2184">
      <c r="B2184" s="291" t="n"/>
      <c r="E2184" s="212" t="n"/>
    </row>
    <row r="2185">
      <c r="B2185" s="291" t="n"/>
      <c r="E2185" s="212" t="n"/>
    </row>
    <row r="2186">
      <c r="B2186" s="291" t="n"/>
      <c r="E2186" s="212" t="n"/>
    </row>
    <row r="2187">
      <c r="B2187" s="291" t="n"/>
      <c r="E2187" s="212" t="n"/>
    </row>
    <row r="2188">
      <c r="B2188" s="291" t="n"/>
      <c r="E2188" s="212" t="n"/>
    </row>
    <row r="2189">
      <c r="B2189" s="291" t="n"/>
      <c r="E2189" s="212" t="n"/>
    </row>
    <row r="2190">
      <c r="B2190" s="291" t="n"/>
      <c r="E2190" s="212" t="n"/>
    </row>
    <row r="2191">
      <c r="B2191" s="291" t="n"/>
      <c r="E2191" s="212" t="n"/>
    </row>
    <row r="2192">
      <c r="B2192" s="291" t="n"/>
      <c r="E2192" s="212" t="n"/>
    </row>
    <row r="2193">
      <c r="B2193" s="291" t="n"/>
      <c r="E2193" s="212" t="n"/>
    </row>
    <row r="2194">
      <c r="B2194" s="291" t="n"/>
      <c r="E2194" s="212" t="n"/>
    </row>
    <row r="2195">
      <c r="B2195" s="291" t="n"/>
      <c r="E2195" s="212" t="n"/>
    </row>
    <row r="2196">
      <c r="B2196" s="291" t="n"/>
      <c r="E2196" s="212" t="n"/>
    </row>
    <row r="2197">
      <c r="B2197" s="291" t="n"/>
      <c r="E2197" s="212" t="n"/>
    </row>
    <row r="2198">
      <c r="B2198" s="291" t="n"/>
      <c r="E2198" s="212" t="n"/>
    </row>
    <row r="2199">
      <c r="B2199" s="291" t="n"/>
      <c r="E2199" s="212" t="n"/>
    </row>
    <row r="2200">
      <c r="B2200" s="291" t="n"/>
      <c r="E2200" s="212" t="n"/>
    </row>
    <row r="2201">
      <c r="B2201" s="291" t="n"/>
      <c r="E2201" s="212" t="n"/>
    </row>
    <row r="2202">
      <c r="B2202" s="291" t="n"/>
      <c r="E2202" s="212" t="n"/>
    </row>
    <row r="2203">
      <c r="B2203" s="291" t="n"/>
      <c r="E2203" s="212" t="n"/>
    </row>
    <row r="2204">
      <c r="B2204" s="291" t="n"/>
      <c r="E2204" s="212" t="n"/>
    </row>
    <row r="2205">
      <c r="B2205" s="291" t="n"/>
      <c r="E2205" s="212" t="n"/>
    </row>
    <row r="2206">
      <c r="B2206" s="291" t="n"/>
      <c r="E2206" s="212" t="n"/>
    </row>
    <row r="2207">
      <c r="B2207" s="291" t="n"/>
      <c r="E2207" s="212" t="n"/>
    </row>
    <row r="2208">
      <c r="B2208" s="291" t="n"/>
      <c r="E2208" s="212" t="n"/>
    </row>
    <row r="2209">
      <c r="B2209" s="291" t="n"/>
      <c r="E2209" s="212" t="n"/>
    </row>
    <row r="2210">
      <c r="B2210" s="291" t="n"/>
      <c r="E2210" s="212" t="n"/>
    </row>
    <row r="2211">
      <c r="B2211" s="291" t="n"/>
      <c r="E2211" s="212" t="n"/>
    </row>
    <row r="2212">
      <c r="B2212" s="291" t="n"/>
      <c r="E2212" s="212" t="n"/>
    </row>
    <row r="2213">
      <c r="B2213" s="291" t="n"/>
      <c r="E2213" s="212" t="n"/>
    </row>
    <row r="2214">
      <c r="B2214" s="291" t="n"/>
      <c r="E2214" s="212" t="n"/>
    </row>
    <row r="2215">
      <c r="B2215" s="291" t="n"/>
      <c r="E2215" s="212" t="n"/>
    </row>
    <row r="2216">
      <c r="B2216" s="291" t="n"/>
      <c r="E2216" s="212" t="n"/>
    </row>
    <row r="2217">
      <c r="B2217" s="291" t="n"/>
      <c r="E2217" s="212" t="n"/>
    </row>
    <row r="2218">
      <c r="B2218" s="291" t="n"/>
      <c r="E2218" s="212" t="n"/>
    </row>
    <row r="2219">
      <c r="B2219" s="291" t="n"/>
      <c r="E2219" s="212" t="n"/>
    </row>
    <row r="2220">
      <c r="B2220" s="291" t="n"/>
      <c r="E2220" s="212" t="n"/>
    </row>
    <row r="2221">
      <c r="B2221" s="291" t="n"/>
      <c r="E2221" s="212" t="n"/>
    </row>
    <row r="2222">
      <c r="B2222" s="291" t="n"/>
      <c r="E2222" s="212" t="n"/>
    </row>
    <row r="2223">
      <c r="B2223" s="291" t="n"/>
      <c r="E2223" s="212" t="n"/>
    </row>
    <row r="2224">
      <c r="B2224" s="291" t="n"/>
      <c r="E2224" s="212" t="n"/>
    </row>
    <row r="2225">
      <c r="B2225" s="291" t="n"/>
      <c r="E2225" s="212" t="n"/>
    </row>
    <row r="2226">
      <c r="B2226" s="291" t="n"/>
      <c r="E2226" s="212" t="n"/>
    </row>
    <row r="2227">
      <c r="B2227" s="291" t="n"/>
      <c r="E2227" s="212" t="n"/>
    </row>
    <row r="2228">
      <c r="B2228" s="291" t="n"/>
      <c r="E2228" s="212" t="n"/>
    </row>
    <row r="2229">
      <c r="B2229" s="291" t="n"/>
      <c r="E2229" s="212" t="n"/>
    </row>
    <row r="2230">
      <c r="B2230" s="291" t="n"/>
      <c r="E2230" s="212" t="n"/>
    </row>
    <row r="2231">
      <c r="B2231" s="291" t="n"/>
      <c r="E2231" s="212" t="n"/>
    </row>
    <row r="2232">
      <c r="B2232" s="291" t="n"/>
      <c r="E2232" s="212" t="n"/>
    </row>
    <row r="2233">
      <c r="B2233" s="291" t="n"/>
      <c r="E2233" s="212" t="n"/>
    </row>
    <row r="2234">
      <c r="B2234" s="291" t="n"/>
      <c r="E2234" s="212" t="n"/>
    </row>
    <row r="2235">
      <c r="B2235" s="291" t="n"/>
      <c r="E2235" s="212" t="n"/>
    </row>
    <row r="2236">
      <c r="B2236" s="291" t="n"/>
      <c r="E2236" s="212" t="n"/>
    </row>
    <row r="2237">
      <c r="B2237" s="291" t="n"/>
      <c r="E2237" s="212" t="n"/>
    </row>
    <row r="2238">
      <c r="B2238" s="291" t="n"/>
      <c r="E2238" s="212" t="n"/>
    </row>
    <row r="2239">
      <c r="B2239" s="291" t="n"/>
      <c r="E2239" s="212" t="n"/>
    </row>
    <row r="2240">
      <c r="B2240" s="291" t="n"/>
      <c r="E2240" s="212" t="n"/>
    </row>
    <row r="2241">
      <c r="B2241" s="291" t="n"/>
      <c r="E2241" s="212" t="n"/>
    </row>
    <row r="2242">
      <c r="B2242" s="291" t="n"/>
      <c r="E2242" s="212" t="n"/>
    </row>
    <row r="2243">
      <c r="B2243" s="291" t="n"/>
      <c r="E2243" s="212" t="n"/>
    </row>
    <row r="2244">
      <c r="B2244" s="291" t="n"/>
      <c r="E2244" s="212" t="n"/>
    </row>
    <row r="2245">
      <c r="B2245" s="291" t="n"/>
      <c r="E2245" s="212" t="n"/>
    </row>
    <row r="2246">
      <c r="B2246" s="291" t="n"/>
      <c r="E2246" s="212" t="n"/>
    </row>
    <row r="2247">
      <c r="B2247" s="291" t="n"/>
      <c r="E2247" s="212" t="n"/>
    </row>
    <row r="2248">
      <c r="B2248" s="291" t="n"/>
      <c r="E2248" s="212" t="n"/>
    </row>
    <row r="2249">
      <c r="B2249" s="291" t="n"/>
      <c r="E2249" s="212" t="n"/>
    </row>
    <row r="2250">
      <c r="B2250" s="291" t="n"/>
      <c r="E2250" s="212" t="n"/>
    </row>
    <row r="2251">
      <c r="B2251" s="291" t="n"/>
      <c r="E2251" s="212" t="n"/>
    </row>
    <row r="2252">
      <c r="B2252" s="291" t="n"/>
      <c r="E2252" s="212" t="n"/>
    </row>
    <row r="2253">
      <c r="B2253" s="291" t="n"/>
      <c r="E2253" s="212" t="n"/>
    </row>
    <row r="2254">
      <c r="B2254" s="291" t="n"/>
      <c r="E2254" s="212" t="n"/>
    </row>
    <row r="2255">
      <c r="B2255" s="291" t="n"/>
      <c r="E2255" s="212" t="n"/>
    </row>
    <row r="2256">
      <c r="B2256" s="291" t="n"/>
      <c r="E2256" s="212" t="n"/>
    </row>
    <row r="2257">
      <c r="B2257" s="291" t="n"/>
      <c r="E2257" s="212" t="n"/>
    </row>
    <row r="2258">
      <c r="B2258" s="291" t="n"/>
      <c r="E2258" s="212" t="n"/>
    </row>
    <row r="2259">
      <c r="B2259" s="291" t="n"/>
      <c r="E2259" s="212" t="n"/>
    </row>
    <row r="2260">
      <c r="B2260" s="291" t="n"/>
      <c r="E2260" s="212" t="n"/>
    </row>
    <row r="2261">
      <c r="B2261" s="291" t="n"/>
      <c r="E2261" s="212" t="n"/>
    </row>
    <row r="2262">
      <c r="B2262" s="291" t="n"/>
      <c r="E2262" s="212" t="n"/>
    </row>
    <row r="2263">
      <c r="B2263" s="291" t="n"/>
      <c r="E2263" s="212" t="n"/>
    </row>
    <row r="2264">
      <c r="B2264" s="291" t="n"/>
      <c r="E2264" s="212" t="n"/>
    </row>
    <row r="2265">
      <c r="B2265" s="291" t="n"/>
      <c r="E2265" s="212" t="n"/>
    </row>
    <row r="2266">
      <c r="B2266" s="291" t="n"/>
      <c r="E2266" s="212" t="n"/>
    </row>
    <row r="2267">
      <c r="B2267" s="291" t="n"/>
      <c r="E2267" s="212" t="n"/>
    </row>
    <row r="2268">
      <c r="B2268" s="291" t="n"/>
      <c r="E2268" s="212" t="n"/>
    </row>
    <row r="2269">
      <c r="B2269" s="291" t="n"/>
      <c r="E2269" s="212" t="n"/>
    </row>
    <row r="2270">
      <c r="B2270" s="291" t="n"/>
      <c r="E2270" s="212" t="n"/>
    </row>
    <row r="2271">
      <c r="B2271" s="291" t="n"/>
      <c r="E2271" s="212" t="n"/>
    </row>
    <row r="2272">
      <c r="B2272" s="291" t="n"/>
      <c r="E2272" s="212" t="n"/>
    </row>
    <row r="2273">
      <c r="B2273" s="291" t="n"/>
      <c r="E2273" s="212" t="n"/>
    </row>
    <row r="2274">
      <c r="B2274" s="291" t="n"/>
      <c r="E2274" s="212" t="n"/>
    </row>
    <row r="2275">
      <c r="B2275" s="291" t="n"/>
      <c r="E2275" s="212" t="n"/>
    </row>
    <row r="2276">
      <c r="B2276" s="291" t="n"/>
      <c r="E2276" s="212" t="n"/>
    </row>
    <row r="2277">
      <c r="B2277" s="291" t="n"/>
      <c r="E2277" s="212" t="n"/>
    </row>
    <row r="2278">
      <c r="B2278" s="291" t="n"/>
      <c r="E2278" s="212" t="n"/>
    </row>
    <row r="2279">
      <c r="B2279" s="291" t="n"/>
      <c r="E2279" s="212" t="n"/>
    </row>
    <row r="2280">
      <c r="B2280" s="291" t="n"/>
      <c r="E2280" s="212" t="n"/>
    </row>
    <row r="2281">
      <c r="B2281" s="291" t="n"/>
      <c r="E2281" s="212" t="n"/>
    </row>
    <row r="2282">
      <c r="B2282" s="291" t="n"/>
      <c r="E2282" s="212" t="n"/>
    </row>
    <row r="2283">
      <c r="B2283" s="291" t="n"/>
      <c r="E2283" s="212" t="n"/>
    </row>
    <row r="2284">
      <c r="B2284" s="291" t="n"/>
      <c r="E2284" s="212" t="n"/>
    </row>
    <row r="2285">
      <c r="B2285" s="291" t="n"/>
      <c r="E2285" s="212" t="n"/>
    </row>
    <row r="2286">
      <c r="B2286" s="291" t="n"/>
      <c r="E2286" s="212" t="n"/>
    </row>
    <row r="2287">
      <c r="B2287" s="291" t="n"/>
      <c r="E2287" s="212" t="n"/>
    </row>
    <row r="2288">
      <c r="B2288" s="291" t="n"/>
      <c r="E2288" s="212" t="n"/>
    </row>
    <row r="2289">
      <c r="B2289" s="291" t="n"/>
      <c r="E2289" s="212" t="n"/>
    </row>
    <row r="2290">
      <c r="B2290" s="291" t="n"/>
      <c r="E2290" s="212" t="n"/>
    </row>
    <row r="2291">
      <c r="B2291" s="291" t="n"/>
      <c r="E2291" s="212" t="n"/>
    </row>
    <row r="2292">
      <c r="B2292" s="291" t="n"/>
      <c r="E2292" s="212" t="n"/>
    </row>
    <row r="2293">
      <c r="B2293" s="291" t="n"/>
      <c r="E2293" s="212" t="n"/>
    </row>
    <row r="2294">
      <c r="B2294" s="291" t="n"/>
      <c r="E2294" s="212" t="n"/>
    </row>
    <row r="2295">
      <c r="B2295" s="291" t="n"/>
      <c r="E2295" s="212" t="n"/>
    </row>
    <row r="2296">
      <c r="B2296" s="291" t="n"/>
      <c r="E2296" s="212" t="n"/>
    </row>
    <row r="2297">
      <c r="B2297" s="291" t="n"/>
      <c r="E2297" s="212" t="n"/>
    </row>
    <row r="2298">
      <c r="B2298" s="291" t="n"/>
      <c r="E2298" s="212" t="n"/>
    </row>
    <row r="2299">
      <c r="B2299" s="291" t="n"/>
      <c r="E2299" s="212" t="n"/>
    </row>
    <row r="2300">
      <c r="B2300" s="291" t="n"/>
      <c r="E2300" s="212" t="n"/>
    </row>
    <row r="2301">
      <c r="B2301" s="291" t="n"/>
      <c r="E2301" s="212" t="n"/>
    </row>
    <row r="2302">
      <c r="B2302" s="291" t="n"/>
      <c r="E2302" s="212" t="n"/>
    </row>
    <row r="2303">
      <c r="B2303" s="291" t="n"/>
      <c r="E2303" s="212" t="n"/>
    </row>
    <row r="2304">
      <c r="B2304" s="291" t="n"/>
      <c r="E2304" s="212" t="n"/>
    </row>
    <row r="2305">
      <c r="B2305" s="291" t="n"/>
      <c r="E2305" s="212" t="n"/>
    </row>
    <row r="2306">
      <c r="B2306" s="291" t="n"/>
      <c r="E2306" s="212" t="n"/>
    </row>
    <row r="2307">
      <c r="B2307" s="291" t="n"/>
      <c r="E2307" s="212" t="n"/>
    </row>
    <row r="2308">
      <c r="B2308" s="291" t="n"/>
      <c r="E2308" s="212" t="n"/>
    </row>
    <row r="2309">
      <c r="B2309" s="291" t="n"/>
      <c r="E2309" s="212" t="n"/>
    </row>
    <row r="2310">
      <c r="B2310" s="291" t="n"/>
      <c r="E2310" s="212" t="n"/>
    </row>
    <row r="2311">
      <c r="B2311" s="291" t="n"/>
      <c r="E2311" s="212" t="n"/>
    </row>
    <row r="2312">
      <c r="B2312" s="291" t="n"/>
      <c r="E2312" s="212" t="n"/>
    </row>
    <row r="2313">
      <c r="B2313" s="291" t="n"/>
      <c r="E2313" s="212" t="n"/>
    </row>
    <row r="2314">
      <c r="B2314" s="291" t="n"/>
      <c r="E2314" s="212" t="n"/>
    </row>
    <row r="2315">
      <c r="B2315" s="291" t="n"/>
      <c r="E2315" s="212" t="n"/>
    </row>
    <row r="2316">
      <c r="B2316" s="291" t="n"/>
      <c r="E2316" s="212" t="n"/>
    </row>
    <row r="2317">
      <c r="B2317" s="291" t="n"/>
      <c r="E2317" s="212" t="n"/>
    </row>
    <row r="2318">
      <c r="B2318" s="291" t="n"/>
      <c r="E2318" s="212" t="n"/>
    </row>
    <row r="2319">
      <c r="B2319" s="291" t="n"/>
      <c r="E2319" s="212" t="n"/>
    </row>
    <row r="2320">
      <c r="B2320" s="291" t="n"/>
      <c r="E2320" s="212" t="n"/>
    </row>
    <row r="2321">
      <c r="B2321" s="291" t="n"/>
      <c r="E2321" s="212" t="n"/>
    </row>
    <row r="2322">
      <c r="B2322" s="291" t="n"/>
      <c r="E2322" s="212" t="n"/>
    </row>
    <row r="2323">
      <c r="B2323" s="291" t="n"/>
      <c r="E2323" s="212" t="n"/>
    </row>
    <row r="2324">
      <c r="B2324" s="291" t="n"/>
      <c r="E2324" s="212" t="n"/>
    </row>
    <row r="2325">
      <c r="B2325" s="291" t="n"/>
      <c r="E2325" s="212" t="n"/>
    </row>
    <row r="2326">
      <c r="B2326" s="291" t="n"/>
      <c r="E2326" s="212" t="n"/>
    </row>
    <row r="2327">
      <c r="B2327" s="291" t="n"/>
      <c r="E2327" s="212" t="n"/>
    </row>
    <row r="2328">
      <c r="B2328" s="291" t="n"/>
      <c r="E2328" s="212" t="n"/>
    </row>
    <row r="2329">
      <c r="B2329" s="291" t="n"/>
      <c r="E2329" s="212" t="n"/>
    </row>
    <row r="2330">
      <c r="B2330" s="291" t="n"/>
      <c r="E2330" s="212" t="n"/>
    </row>
    <row r="2331">
      <c r="B2331" s="291" t="n"/>
      <c r="E2331" s="212" t="n"/>
    </row>
    <row r="2332">
      <c r="B2332" s="291" t="n"/>
      <c r="E2332" s="212" t="n"/>
    </row>
    <row r="2333">
      <c r="B2333" s="291" t="n"/>
      <c r="E2333" s="212" t="n"/>
    </row>
    <row r="2334">
      <c r="B2334" s="291" t="n"/>
      <c r="E2334" s="212" t="n"/>
    </row>
    <row r="2335">
      <c r="B2335" s="291" t="n"/>
      <c r="E2335" s="212" t="n"/>
    </row>
    <row r="2336">
      <c r="B2336" s="291" t="n"/>
      <c r="E2336" s="212" t="n"/>
    </row>
    <row r="2337">
      <c r="B2337" s="291" t="n"/>
      <c r="E2337" s="212" t="n"/>
    </row>
    <row r="2338">
      <c r="B2338" s="291" t="n"/>
      <c r="E2338" s="212" t="n"/>
    </row>
    <row r="2339">
      <c r="B2339" s="291" t="n"/>
      <c r="E2339" s="212" t="n"/>
    </row>
    <row r="2340">
      <c r="B2340" s="291" t="n"/>
      <c r="E2340" s="212" t="n"/>
    </row>
    <row r="2341">
      <c r="B2341" s="291" t="n"/>
      <c r="E2341" s="212" t="n"/>
    </row>
    <row r="2342">
      <c r="B2342" s="291" t="n"/>
      <c r="E2342" s="212" t="n"/>
    </row>
    <row r="2343">
      <c r="B2343" s="291" t="n"/>
      <c r="E2343" s="212" t="n"/>
    </row>
    <row r="2344">
      <c r="B2344" s="291" t="n"/>
      <c r="E2344" s="212" t="n"/>
    </row>
    <row r="2345">
      <c r="B2345" s="291" t="n"/>
      <c r="E2345" s="212" t="n"/>
    </row>
    <row r="2346">
      <c r="B2346" s="291" t="n"/>
      <c r="E2346" s="212" t="n"/>
    </row>
    <row r="2347">
      <c r="B2347" s="291" t="n"/>
      <c r="E2347" s="212" t="n"/>
    </row>
    <row r="2348">
      <c r="B2348" s="291" t="n"/>
      <c r="E2348" s="212" t="n"/>
    </row>
    <row r="2349">
      <c r="B2349" s="291" t="n"/>
      <c r="E2349" s="212" t="n"/>
    </row>
    <row r="2350">
      <c r="B2350" s="291" t="n"/>
      <c r="E2350" s="212" t="n"/>
    </row>
    <row r="2351">
      <c r="B2351" s="291" t="n"/>
      <c r="E2351" s="212" t="n"/>
    </row>
    <row r="2352">
      <c r="B2352" s="291" t="n"/>
      <c r="E2352" s="212" t="n"/>
    </row>
    <row r="2353">
      <c r="B2353" s="291" t="n"/>
      <c r="E2353" s="212" t="n"/>
    </row>
    <row r="2354">
      <c r="B2354" s="291" t="n"/>
      <c r="E2354" s="212" t="n"/>
    </row>
    <row r="2355">
      <c r="B2355" s="291" t="n"/>
      <c r="E2355" s="212" t="n"/>
    </row>
    <row r="2356">
      <c r="B2356" s="291" t="n"/>
      <c r="E2356" s="212" t="n"/>
    </row>
    <row r="2357">
      <c r="B2357" s="291" t="n"/>
      <c r="E2357" s="212" t="n"/>
    </row>
    <row r="2358">
      <c r="B2358" s="291" t="n"/>
      <c r="E2358" s="212" t="n"/>
    </row>
    <row r="2359">
      <c r="B2359" s="291" t="n"/>
      <c r="E2359" s="212" t="n"/>
    </row>
    <row r="2360">
      <c r="B2360" s="291" t="n"/>
      <c r="E2360" s="212" t="n"/>
    </row>
    <row r="2361">
      <c r="B2361" s="291" t="n"/>
      <c r="E2361" s="212" t="n"/>
    </row>
    <row r="2362">
      <c r="B2362" s="291" t="n"/>
      <c r="E2362" s="212" t="n"/>
    </row>
    <row r="2363">
      <c r="B2363" s="291" t="n"/>
      <c r="E2363" s="212" t="n"/>
    </row>
    <row r="2364">
      <c r="B2364" s="291" t="n"/>
      <c r="E2364" s="212" t="n"/>
    </row>
    <row r="2365">
      <c r="B2365" s="291" t="n"/>
      <c r="E2365" s="212" t="n"/>
    </row>
    <row r="2366">
      <c r="B2366" s="291" t="n"/>
      <c r="E2366" s="212" t="n"/>
    </row>
    <row r="2367">
      <c r="B2367" s="291" t="n"/>
      <c r="E2367" s="212" t="n"/>
    </row>
    <row r="2368">
      <c r="B2368" s="291" t="n"/>
      <c r="E2368" s="212" t="n"/>
    </row>
    <row r="2369">
      <c r="B2369" s="291" t="n"/>
      <c r="E2369" s="212" t="n"/>
    </row>
    <row r="2370">
      <c r="B2370" s="291" t="n"/>
      <c r="E2370" s="212" t="n"/>
    </row>
    <row r="2371">
      <c r="B2371" s="291" t="n"/>
      <c r="E2371" s="212" t="n"/>
    </row>
    <row r="2372">
      <c r="B2372" s="291" t="n"/>
      <c r="E2372" s="212" t="n"/>
    </row>
    <row r="2373">
      <c r="B2373" s="291" t="n"/>
      <c r="E2373" s="212" t="n"/>
    </row>
    <row r="2374">
      <c r="B2374" s="291" t="n"/>
      <c r="E2374" s="212" t="n"/>
    </row>
    <row r="2375">
      <c r="B2375" s="291" t="n"/>
      <c r="E2375" s="212" t="n"/>
    </row>
    <row r="2376">
      <c r="B2376" s="291" t="n"/>
      <c r="E2376" s="212" t="n"/>
    </row>
    <row r="2377">
      <c r="B2377" s="291" t="n"/>
      <c r="E2377" s="212" t="n"/>
    </row>
    <row r="2378">
      <c r="B2378" s="291" t="n"/>
      <c r="E2378" s="212" t="n"/>
    </row>
    <row r="2379">
      <c r="B2379" s="291" t="n"/>
      <c r="E2379" s="212" t="n"/>
    </row>
    <row r="2380">
      <c r="B2380" s="291" t="n"/>
      <c r="E2380" s="212" t="n"/>
    </row>
    <row r="2381">
      <c r="B2381" s="291" t="n"/>
      <c r="E2381" s="212" t="n"/>
    </row>
    <row r="2382">
      <c r="B2382" s="291" t="n"/>
      <c r="E2382" s="212" t="n"/>
    </row>
    <row r="2383">
      <c r="B2383" s="291" t="n"/>
      <c r="E2383" s="212" t="n"/>
    </row>
    <row r="2384">
      <c r="B2384" s="291" t="n"/>
      <c r="E2384" s="212" t="n"/>
    </row>
    <row r="2385">
      <c r="B2385" s="291" t="n"/>
      <c r="E2385" s="212" t="n"/>
    </row>
    <row r="2386">
      <c r="B2386" s="291" t="n"/>
      <c r="E2386" s="212" t="n"/>
    </row>
    <row r="2387">
      <c r="B2387" s="291" t="n"/>
      <c r="E2387" s="212" t="n"/>
    </row>
    <row r="2388">
      <c r="B2388" s="291" t="n"/>
      <c r="E2388" s="212" t="n"/>
    </row>
    <row r="2389">
      <c r="B2389" s="291" t="n"/>
      <c r="E2389" s="212" t="n"/>
    </row>
    <row r="2390">
      <c r="B2390" s="291" t="n"/>
      <c r="E2390" s="212" t="n"/>
    </row>
    <row r="2391">
      <c r="B2391" s="291" t="n"/>
      <c r="E2391" s="212" t="n"/>
    </row>
    <row r="2392">
      <c r="B2392" s="291" t="n"/>
      <c r="E2392" s="212" t="n"/>
    </row>
    <row r="2393">
      <c r="B2393" s="291" t="n"/>
      <c r="E2393" s="212" t="n"/>
    </row>
    <row r="2394">
      <c r="B2394" s="291" t="n"/>
      <c r="E2394" s="212" t="n"/>
    </row>
    <row r="2395">
      <c r="B2395" s="291" t="n"/>
      <c r="E2395" s="212" t="n"/>
    </row>
    <row r="2396">
      <c r="B2396" s="291" t="n"/>
      <c r="E2396" s="212" t="n"/>
    </row>
    <row r="2397">
      <c r="B2397" s="291" t="n"/>
      <c r="E2397" s="212" t="n"/>
    </row>
    <row r="2398">
      <c r="B2398" s="291" t="n"/>
      <c r="E2398" s="212" t="n"/>
    </row>
    <row r="2399">
      <c r="B2399" s="291" t="n"/>
      <c r="E2399" s="212" t="n"/>
    </row>
    <row r="2400">
      <c r="B2400" s="291" t="n"/>
      <c r="E2400" s="212" t="n"/>
    </row>
    <row r="2401">
      <c r="B2401" s="291" t="n"/>
      <c r="E2401" s="212" t="n"/>
    </row>
    <row r="2402">
      <c r="B2402" s="291" t="n"/>
      <c r="E2402" s="212" t="n"/>
    </row>
    <row r="2403">
      <c r="B2403" s="291" t="n"/>
      <c r="E2403" s="212" t="n"/>
    </row>
    <row r="2404">
      <c r="B2404" s="291" t="n"/>
      <c r="E2404" s="212" t="n"/>
    </row>
    <row r="2405">
      <c r="B2405" s="291" t="n"/>
      <c r="E2405" s="212" t="n"/>
    </row>
    <row r="2406">
      <c r="B2406" s="291" t="n"/>
      <c r="E2406" s="212" t="n"/>
    </row>
    <row r="2407">
      <c r="B2407" s="291" t="n"/>
      <c r="E2407" s="212" t="n"/>
    </row>
    <row r="2408">
      <c r="B2408" s="291" t="n"/>
      <c r="E2408" s="212" t="n"/>
    </row>
    <row r="2409">
      <c r="B2409" s="291" t="n"/>
      <c r="E2409" s="212" t="n"/>
    </row>
    <row r="2410">
      <c r="B2410" s="291" t="n"/>
      <c r="E2410" s="212" t="n"/>
    </row>
    <row r="2411">
      <c r="B2411" s="291" t="n"/>
      <c r="E2411" s="212" t="n"/>
    </row>
    <row r="2412">
      <c r="B2412" s="291" t="n"/>
      <c r="E2412" s="212" t="n"/>
    </row>
    <row r="2413">
      <c r="B2413" s="291" t="n"/>
      <c r="E2413" s="212" t="n"/>
    </row>
    <row r="2414">
      <c r="B2414" s="291" t="n"/>
      <c r="E2414" s="212" t="n"/>
    </row>
    <row r="2415">
      <c r="B2415" s="291" t="n"/>
      <c r="E2415" s="212" t="n"/>
    </row>
    <row r="2416">
      <c r="B2416" s="291" t="n"/>
      <c r="E2416" s="212" t="n"/>
    </row>
    <row r="2417">
      <c r="B2417" s="291" t="n"/>
      <c r="E2417" s="212" t="n"/>
    </row>
    <row r="2418">
      <c r="B2418" s="291" t="n"/>
      <c r="E2418" s="212" t="n"/>
    </row>
    <row r="2419">
      <c r="B2419" s="291" t="n"/>
      <c r="E2419" s="212" t="n"/>
    </row>
    <row r="2420">
      <c r="B2420" s="291" t="n"/>
      <c r="E2420" s="212" t="n"/>
    </row>
    <row r="2421">
      <c r="B2421" s="291" t="n"/>
      <c r="E2421" s="212" t="n"/>
    </row>
    <row r="2422">
      <c r="B2422" s="291" t="n"/>
      <c r="E2422" s="212" t="n"/>
    </row>
    <row r="2423">
      <c r="B2423" s="291" t="n"/>
      <c r="E2423" s="212" t="n"/>
    </row>
    <row r="2424">
      <c r="B2424" s="291" t="n"/>
      <c r="E2424" s="212" t="n"/>
    </row>
    <row r="2425">
      <c r="B2425" s="291" t="n"/>
      <c r="E2425" s="212" t="n"/>
    </row>
    <row r="2426">
      <c r="B2426" s="291" t="n"/>
      <c r="E2426" s="212" t="n"/>
    </row>
    <row r="2427">
      <c r="B2427" s="291" t="n"/>
      <c r="E2427" s="212" t="n"/>
    </row>
    <row r="2428">
      <c r="B2428" s="291" t="n"/>
      <c r="E2428" s="212" t="n"/>
    </row>
    <row r="2429">
      <c r="B2429" s="291" t="n"/>
      <c r="E2429" s="212" t="n"/>
    </row>
    <row r="2430">
      <c r="B2430" s="291" t="n"/>
      <c r="E2430" s="212" t="n"/>
    </row>
    <row r="2431">
      <c r="B2431" s="291" t="n"/>
      <c r="E2431" s="212" t="n"/>
    </row>
    <row r="2432">
      <c r="B2432" s="291" t="n"/>
      <c r="E2432" s="212" t="n"/>
    </row>
    <row r="2433">
      <c r="B2433" s="291" t="n"/>
      <c r="E2433" s="212" t="n"/>
    </row>
    <row r="2434">
      <c r="B2434" s="291" t="n"/>
      <c r="E2434" s="212" t="n"/>
    </row>
    <row r="2435">
      <c r="B2435" s="291" t="n"/>
      <c r="E2435" s="212" t="n"/>
    </row>
    <row r="2436">
      <c r="B2436" s="291" t="n"/>
      <c r="E2436" s="212" t="n"/>
    </row>
    <row r="2437">
      <c r="B2437" s="291" t="n"/>
      <c r="E2437" s="212" t="n"/>
    </row>
    <row r="2438">
      <c r="B2438" s="291" t="n"/>
      <c r="E2438" s="212" t="n"/>
    </row>
    <row r="2439">
      <c r="B2439" s="291" t="n"/>
      <c r="E2439" s="212" t="n"/>
    </row>
    <row r="2440">
      <c r="B2440" s="291" t="n"/>
      <c r="E2440" s="212" t="n"/>
    </row>
    <row r="2441">
      <c r="B2441" s="291" t="n"/>
      <c r="E2441" s="212" t="n"/>
    </row>
    <row r="2442">
      <c r="B2442" s="291" t="n"/>
      <c r="E2442" s="212" t="n"/>
    </row>
    <row r="2443">
      <c r="B2443" s="291" t="n"/>
      <c r="E2443" s="212" t="n"/>
    </row>
    <row r="2444">
      <c r="B2444" s="291" t="n"/>
      <c r="E2444" s="212" t="n"/>
    </row>
    <row r="2445">
      <c r="B2445" s="291" t="n"/>
      <c r="E2445" s="212" t="n"/>
    </row>
    <row r="2446">
      <c r="B2446" s="291" t="n"/>
      <c r="E2446" s="212" t="n"/>
    </row>
    <row r="2447">
      <c r="B2447" s="291" t="n"/>
      <c r="E2447" s="212" t="n"/>
    </row>
    <row r="2448">
      <c r="B2448" s="291" t="n"/>
      <c r="E2448" s="212" t="n"/>
    </row>
    <row r="2449">
      <c r="B2449" s="291" t="n"/>
      <c r="E2449" s="212" t="n"/>
    </row>
    <row r="2450">
      <c r="B2450" s="291" t="n"/>
      <c r="E2450" s="212" t="n"/>
    </row>
    <row r="2451">
      <c r="B2451" s="291" t="n"/>
      <c r="E2451" s="212" t="n"/>
    </row>
    <row r="2452">
      <c r="B2452" s="291" t="n"/>
      <c r="E2452" s="212" t="n"/>
    </row>
    <row r="2453">
      <c r="B2453" s="291" t="n"/>
      <c r="E2453" s="212" t="n"/>
    </row>
    <row r="2454">
      <c r="B2454" s="291" t="n"/>
      <c r="E2454" s="212" t="n"/>
    </row>
    <row r="2455">
      <c r="B2455" s="291" t="n"/>
      <c r="E2455" s="212" t="n"/>
    </row>
    <row r="2456">
      <c r="B2456" s="291" t="n"/>
      <c r="E2456" s="212" t="n"/>
    </row>
    <row r="2457">
      <c r="B2457" s="291" t="n"/>
      <c r="E2457" s="212" t="n"/>
    </row>
    <row r="2458">
      <c r="B2458" s="291" t="n"/>
      <c r="E2458" s="212" t="n"/>
    </row>
    <row r="2459">
      <c r="B2459" s="291" t="n"/>
      <c r="E2459" s="212" t="n"/>
    </row>
    <row r="2460">
      <c r="B2460" s="291" t="n"/>
      <c r="E2460" s="212" t="n"/>
    </row>
    <row r="2461">
      <c r="B2461" s="291" t="n"/>
      <c r="E2461" s="212" t="n"/>
    </row>
    <row r="2462">
      <c r="B2462" s="291" t="n"/>
      <c r="E2462" s="212" t="n"/>
    </row>
    <row r="2463">
      <c r="B2463" s="291" t="n"/>
      <c r="E2463" s="212" t="n"/>
    </row>
    <row r="2464">
      <c r="B2464" s="291" t="n"/>
      <c r="E2464" s="212" t="n"/>
    </row>
    <row r="2465">
      <c r="B2465" s="291" t="n"/>
      <c r="E2465" s="212" t="n"/>
    </row>
    <row r="2466">
      <c r="B2466" s="291" t="n"/>
      <c r="E2466" s="212" t="n"/>
    </row>
    <row r="2467">
      <c r="B2467" s="291" t="n"/>
      <c r="E2467" s="212" t="n"/>
    </row>
    <row r="2468">
      <c r="B2468" s="291" t="n"/>
      <c r="E2468" s="212" t="n"/>
    </row>
    <row r="2469">
      <c r="B2469" s="291" t="n"/>
      <c r="E2469" s="212" t="n"/>
    </row>
    <row r="2470">
      <c r="B2470" s="291" t="n"/>
      <c r="E2470" s="212" t="n"/>
    </row>
    <row r="2471">
      <c r="B2471" s="291" t="n"/>
      <c r="E2471" s="212" t="n"/>
    </row>
    <row r="2472">
      <c r="B2472" s="291" t="n"/>
      <c r="E2472" s="212" t="n"/>
    </row>
    <row r="2473">
      <c r="B2473" s="291" t="n"/>
      <c r="E2473" s="212" t="n"/>
    </row>
    <row r="2474">
      <c r="B2474" s="291" t="n"/>
      <c r="E2474" s="212" t="n"/>
    </row>
    <row r="2475">
      <c r="B2475" s="291" t="n"/>
      <c r="E2475" s="212" t="n"/>
    </row>
    <row r="2476">
      <c r="B2476" s="291" t="n"/>
      <c r="E2476" s="212" t="n"/>
    </row>
    <row r="2477">
      <c r="B2477" s="291" t="n"/>
      <c r="E2477" s="212" t="n"/>
    </row>
    <row r="2478">
      <c r="B2478" s="291" t="n"/>
      <c r="E2478" s="212" t="n"/>
    </row>
    <row r="2479">
      <c r="B2479" s="291" t="n"/>
      <c r="E2479" s="212" t="n"/>
    </row>
    <row r="2480">
      <c r="B2480" s="291" t="n"/>
      <c r="E2480" s="212" t="n"/>
    </row>
    <row r="2481">
      <c r="B2481" s="291" t="n"/>
      <c r="E2481" s="212" t="n"/>
    </row>
    <row r="2482">
      <c r="B2482" s="291" t="n"/>
      <c r="E2482" s="212" t="n"/>
    </row>
    <row r="2483">
      <c r="B2483" s="291" t="n"/>
      <c r="E2483" s="212" t="n"/>
    </row>
    <row r="2484">
      <c r="B2484" s="291" t="n"/>
      <c r="E2484" s="212" t="n"/>
    </row>
    <row r="2485">
      <c r="B2485" s="291" t="n"/>
      <c r="E2485" s="212" t="n"/>
    </row>
    <row r="2486">
      <c r="B2486" s="291" t="n"/>
      <c r="E2486" s="212" t="n"/>
    </row>
    <row r="2487">
      <c r="B2487" s="291" t="n"/>
      <c r="E2487" s="212" t="n"/>
    </row>
    <row r="2488">
      <c r="B2488" s="291" t="n"/>
      <c r="E2488" s="212" t="n"/>
    </row>
    <row r="2489">
      <c r="B2489" s="291" t="n"/>
      <c r="E2489" s="212" t="n"/>
    </row>
    <row r="2490">
      <c r="B2490" s="291" t="n"/>
      <c r="E2490" s="212" t="n"/>
    </row>
    <row r="2491">
      <c r="B2491" s="291" t="n"/>
      <c r="E2491" s="212" t="n"/>
    </row>
    <row r="2492">
      <c r="B2492" s="291" t="n"/>
      <c r="E2492" s="212" t="n"/>
    </row>
    <row r="2493">
      <c r="B2493" s="291" t="n"/>
      <c r="E2493" s="212" t="n"/>
    </row>
    <row r="2494">
      <c r="B2494" s="291" t="n"/>
      <c r="E2494" s="212" t="n"/>
    </row>
    <row r="2495">
      <c r="B2495" s="291" t="n"/>
      <c r="E2495" s="212" t="n"/>
    </row>
    <row r="2496">
      <c r="B2496" s="291" t="n"/>
      <c r="E2496" s="212" t="n"/>
    </row>
    <row r="2497">
      <c r="B2497" s="291" t="n"/>
      <c r="E2497" s="212" t="n"/>
    </row>
    <row r="2498">
      <c r="B2498" s="291" t="n"/>
      <c r="E2498" s="212" t="n"/>
    </row>
    <row r="2499">
      <c r="B2499" s="291" t="n"/>
      <c r="E2499" s="212" t="n"/>
    </row>
    <row r="2500">
      <c r="B2500" s="291" t="n"/>
      <c r="E2500" s="212" t="n"/>
    </row>
    <row r="2501">
      <c r="B2501" s="291" t="n"/>
      <c r="E2501" s="212" t="n"/>
    </row>
    <row r="2502">
      <c r="B2502" s="291" t="n"/>
      <c r="E2502" s="212" t="n"/>
    </row>
    <row r="2503">
      <c r="B2503" s="291" t="n"/>
      <c r="E2503" s="212" t="n"/>
    </row>
    <row r="2504">
      <c r="B2504" s="291" t="n"/>
      <c r="E2504" s="212" t="n"/>
    </row>
    <row r="2505">
      <c r="B2505" s="291" t="n"/>
      <c r="E2505" s="212" t="n"/>
    </row>
    <row r="2506">
      <c r="B2506" s="291" t="n"/>
      <c r="E2506" s="212" t="n"/>
    </row>
    <row r="2507">
      <c r="B2507" s="291" t="n"/>
      <c r="E2507" s="212" t="n"/>
    </row>
    <row r="2508">
      <c r="B2508" s="291" t="n"/>
      <c r="E2508" s="212" t="n"/>
    </row>
    <row r="2509">
      <c r="B2509" s="291" t="n"/>
      <c r="E2509" s="212" t="n"/>
    </row>
    <row r="2510">
      <c r="B2510" s="291" t="n"/>
      <c r="E2510" s="212" t="n"/>
    </row>
    <row r="2511">
      <c r="B2511" s="291" t="n"/>
      <c r="E2511" s="212" t="n"/>
    </row>
    <row r="2512">
      <c r="B2512" s="291" t="n"/>
      <c r="E2512" s="212" t="n"/>
    </row>
    <row r="2513">
      <c r="B2513" s="291" t="n"/>
      <c r="E2513" s="212" t="n"/>
    </row>
    <row r="2514">
      <c r="B2514" s="291" t="n"/>
      <c r="E2514" s="212" t="n"/>
    </row>
    <row r="2515">
      <c r="B2515" s="291" t="n"/>
      <c r="E2515" s="212" t="n"/>
    </row>
    <row r="2516">
      <c r="B2516" s="291" t="n"/>
      <c r="E2516" s="212" t="n"/>
    </row>
    <row r="2517">
      <c r="B2517" s="291" t="n"/>
      <c r="E2517" s="212" t="n"/>
    </row>
    <row r="2518">
      <c r="B2518" s="291" t="n"/>
      <c r="E2518" s="212" t="n"/>
    </row>
    <row r="2519">
      <c r="B2519" s="291" t="n"/>
      <c r="E2519" s="212" t="n"/>
    </row>
    <row r="2520">
      <c r="B2520" s="291" t="n"/>
      <c r="E2520" s="212" t="n"/>
    </row>
    <row r="2521">
      <c r="B2521" s="291" t="n"/>
      <c r="E2521" s="212" t="n"/>
    </row>
    <row r="2522">
      <c r="B2522" s="291" t="n"/>
      <c r="E2522" s="212" t="n"/>
    </row>
    <row r="2523">
      <c r="B2523" s="291" t="n"/>
      <c r="E2523" s="212" t="n"/>
    </row>
    <row r="2524">
      <c r="B2524" s="291" t="n"/>
      <c r="E2524" s="212" t="n"/>
    </row>
    <row r="2525">
      <c r="B2525" s="291" t="n"/>
      <c r="E2525" s="212" t="n"/>
    </row>
    <row r="2526">
      <c r="B2526" s="291" t="n"/>
      <c r="E2526" s="212" t="n"/>
    </row>
    <row r="2527">
      <c r="B2527" s="291" t="n"/>
      <c r="E2527" s="212" t="n"/>
    </row>
    <row r="2528">
      <c r="B2528" s="291" t="n"/>
      <c r="E2528" s="212" t="n"/>
    </row>
    <row r="2529">
      <c r="B2529" s="291" t="n"/>
      <c r="E2529" s="212" t="n"/>
    </row>
    <row r="2530">
      <c r="B2530" s="291" t="n"/>
      <c r="E2530" s="212" t="n"/>
    </row>
    <row r="2531">
      <c r="B2531" s="291" t="n"/>
      <c r="E2531" s="212" t="n"/>
    </row>
    <row r="2532">
      <c r="B2532" s="291" t="n"/>
      <c r="E2532" s="212" t="n"/>
    </row>
    <row r="2533">
      <c r="B2533" s="291" t="n"/>
      <c r="E2533" s="212" t="n"/>
    </row>
    <row r="2534">
      <c r="B2534" s="291" t="n"/>
      <c r="E2534" s="212" t="n"/>
    </row>
    <row r="2535">
      <c r="B2535" s="291" t="n"/>
      <c r="E2535" s="212" t="n"/>
    </row>
    <row r="2536">
      <c r="B2536" s="291" t="n"/>
      <c r="E2536" s="212" t="n"/>
    </row>
    <row r="2537">
      <c r="B2537" s="291" t="n"/>
      <c r="E2537" s="212" t="n"/>
    </row>
    <row r="2538">
      <c r="B2538" s="291" t="n"/>
      <c r="E2538" s="212" t="n"/>
    </row>
    <row r="2539">
      <c r="B2539" s="291" t="n"/>
      <c r="E2539" s="212" t="n"/>
    </row>
    <row r="2540">
      <c r="B2540" s="291" t="n"/>
      <c r="E2540" s="212" t="n"/>
    </row>
    <row r="2541">
      <c r="B2541" s="291" t="n"/>
      <c r="E2541" s="212" t="n"/>
    </row>
    <row r="2542">
      <c r="B2542" s="291" t="n"/>
      <c r="E2542" s="212" t="n"/>
    </row>
    <row r="2543">
      <c r="B2543" s="291" t="n"/>
      <c r="E2543" s="212" t="n"/>
    </row>
    <row r="2544">
      <c r="B2544" s="291" t="n"/>
      <c r="E2544" s="212" t="n"/>
    </row>
    <row r="2545">
      <c r="B2545" s="291" t="n"/>
      <c r="E2545" s="212" t="n"/>
    </row>
    <row r="2546">
      <c r="B2546" s="291" t="n"/>
      <c r="E2546" s="212" t="n"/>
    </row>
    <row r="2547">
      <c r="B2547" s="291" t="n"/>
      <c r="E2547" s="212" t="n"/>
    </row>
    <row r="2548">
      <c r="B2548" s="291" t="n"/>
      <c r="E2548" s="212" t="n"/>
    </row>
    <row r="2549">
      <c r="B2549" s="291" t="n"/>
      <c r="E2549" s="212" t="n"/>
    </row>
    <row r="2550">
      <c r="B2550" s="291" t="n"/>
      <c r="E2550" s="212" t="n"/>
    </row>
    <row r="2551">
      <c r="B2551" s="291" t="n"/>
      <c r="E2551" s="212" t="n"/>
    </row>
    <row r="2552">
      <c r="B2552" s="291" t="n"/>
      <c r="E2552" s="212" t="n"/>
    </row>
    <row r="2553">
      <c r="B2553" s="291" t="n"/>
      <c r="E2553" s="212" t="n"/>
    </row>
    <row r="2554">
      <c r="B2554" s="291" t="n"/>
      <c r="E2554" s="212" t="n"/>
    </row>
    <row r="2555">
      <c r="B2555" s="291" t="n"/>
      <c r="E2555" s="212" t="n"/>
    </row>
    <row r="2556">
      <c r="B2556" s="291" t="n"/>
      <c r="E2556" s="212" t="n"/>
    </row>
    <row r="2557">
      <c r="B2557" s="291" t="n"/>
      <c r="E2557" s="212" t="n"/>
    </row>
    <row r="2558">
      <c r="B2558" s="291" t="n"/>
      <c r="E2558" s="212" t="n"/>
    </row>
    <row r="2559">
      <c r="B2559" s="291" t="n"/>
      <c r="E2559" s="212" t="n"/>
    </row>
    <row r="2560">
      <c r="B2560" s="291" t="n"/>
      <c r="E2560" s="212" t="n"/>
    </row>
    <row r="2561">
      <c r="B2561" s="291" t="n"/>
      <c r="E2561" s="212" t="n"/>
    </row>
    <row r="2562">
      <c r="B2562" s="291" t="n"/>
      <c r="E2562" s="212" t="n"/>
    </row>
    <row r="2563">
      <c r="B2563" s="291" t="n"/>
      <c r="E2563" s="212" t="n"/>
    </row>
    <row r="2564">
      <c r="B2564" s="291" t="n"/>
      <c r="E2564" s="212" t="n"/>
    </row>
    <row r="2565">
      <c r="B2565" s="291" t="n"/>
      <c r="E2565" s="212" t="n"/>
    </row>
    <row r="2566">
      <c r="B2566" s="291" t="n"/>
      <c r="E2566" s="212" t="n"/>
    </row>
    <row r="2567">
      <c r="B2567" s="291" t="n"/>
      <c r="E2567" s="212" t="n"/>
    </row>
    <row r="2568">
      <c r="B2568" s="291" t="n"/>
      <c r="E2568" s="212" t="n"/>
    </row>
    <row r="2569">
      <c r="B2569" s="291" t="n"/>
      <c r="E2569" s="212" t="n"/>
    </row>
    <row r="2570">
      <c r="B2570" s="291" t="n"/>
      <c r="E2570" s="212" t="n"/>
    </row>
    <row r="2571">
      <c r="B2571" s="291" t="n"/>
      <c r="E2571" s="212" t="n"/>
    </row>
    <row r="2572">
      <c r="B2572" s="291" t="n"/>
      <c r="E2572" s="212" t="n"/>
    </row>
    <row r="2573">
      <c r="B2573" s="291" t="n"/>
      <c r="E2573" s="212" t="n"/>
    </row>
    <row r="2574">
      <c r="B2574" s="291" t="n"/>
      <c r="E2574" s="212" t="n"/>
    </row>
    <row r="2575">
      <c r="B2575" s="291" t="n"/>
      <c r="E2575" s="212" t="n"/>
    </row>
    <row r="2576">
      <c r="B2576" s="291" t="n"/>
      <c r="E2576" s="212" t="n"/>
    </row>
    <row r="2577">
      <c r="B2577" s="291" t="n"/>
      <c r="E2577" s="212" t="n"/>
    </row>
    <row r="2578">
      <c r="B2578" s="291" t="n"/>
      <c r="E2578" s="212" t="n"/>
    </row>
    <row r="2579">
      <c r="B2579" s="291" t="n"/>
      <c r="E2579" s="212" t="n"/>
    </row>
    <row r="2580">
      <c r="B2580" s="291" t="n"/>
      <c r="E2580" s="212" t="n"/>
    </row>
    <row r="2581">
      <c r="B2581" s="291" t="n"/>
      <c r="E2581" s="212" t="n"/>
    </row>
    <row r="2582">
      <c r="B2582" s="291" t="n"/>
      <c r="E2582" s="212" t="n"/>
    </row>
    <row r="2583">
      <c r="B2583" s="291" t="n"/>
      <c r="E2583" s="212" t="n"/>
    </row>
    <row r="2584">
      <c r="B2584" s="291" t="n"/>
      <c r="E2584" s="212" t="n"/>
    </row>
    <row r="2585">
      <c r="B2585" s="291" t="n"/>
      <c r="E2585" s="212" t="n"/>
    </row>
    <row r="2586">
      <c r="B2586" s="291" t="n"/>
      <c r="E2586" s="212" t="n"/>
    </row>
    <row r="2587">
      <c r="B2587" s="291" t="n"/>
      <c r="E2587" s="212" t="n"/>
    </row>
    <row r="2588">
      <c r="B2588" s="291" t="n"/>
      <c r="E2588" s="212" t="n"/>
    </row>
    <row r="2589">
      <c r="B2589" s="291" t="n"/>
      <c r="E2589" s="212" t="n"/>
    </row>
    <row r="2590">
      <c r="B2590" s="291" t="n"/>
      <c r="E2590" s="212" t="n"/>
    </row>
    <row r="2591">
      <c r="B2591" s="291" t="n"/>
      <c r="E2591" s="212" t="n"/>
    </row>
    <row r="2592">
      <c r="B2592" s="291" t="n"/>
      <c r="E2592" s="212" t="n"/>
    </row>
    <row r="2593">
      <c r="B2593" s="291" t="n"/>
      <c r="E2593" s="212" t="n"/>
    </row>
    <row r="2594">
      <c r="B2594" s="291" t="n"/>
      <c r="E2594" s="212" t="n"/>
    </row>
    <row r="2595">
      <c r="B2595" s="291" t="n"/>
      <c r="E2595" s="212" t="n"/>
    </row>
    <row r="2596">
      <c r="B2596" s="291" t="n"/>
      <c r="E2596" s="212" t="n"/>
    </row>
    <row r="2597">
      <c r="B2597" s="291" t="n"/>
      <c r="E2597" s="212" t="n"/>
    </row>
    <row r="2598">
      <c r="B2598" s="291" t="n"/>
      <c r="E2598" s="212" t="n"/>
    </row>
    <row r="2599">
      <c r="B2599" s="291" t="n"/>
      <c r="E2599" s="212" t="n"/>
    </row>
    <row r="2600">
      <c r="B2600" s="291" t="n"/>
      <c r="E2600" s="212" t="n"/>
    </row>
    <row r="2601">
      <c r="B2601" s="291" t="n"/>
      <c r="E2601" s="212" t="n"/>
    </row>
    <row r="2602">
      <c r="B2602" s="291" t="n"/>
      <c r="E2602" s="212" t="n"/>
    </row>
    <row r="2603">
      <c r="B2603" s="291" t="n"/>
      <c r="E2603" s="212" t="n"/>
    </row>
    <row r="2604">
      <c r="B2604" s="291" t="n"/>
      <c r="E2604" s="212" t="n"/>
    </row>
    <row r="2605">
      <c r="B2605" s="291" t="n"/>
      <c r="E2605" s="212" t="n"/>
    </row>
    <row r="2606">
      <c r="B2606" s="291" t="n"/>
      <c r="E2606" s="212" t="n"/>
    </row>
    <row r="2607">
      <c r="B2607" s="291" t="n"/>
      <c r="E2607" s="212" t="n"/>
    </row>
    <row r="2608">
      <c r="B2608" s="291" t="n"/>
      <c r="E2608" s="212" t="n"/>
    </row>
    <row r="2609">
      <c r="B2609" s="291" t="n"/>
      <c r="E2609" s="212" t="n"/>
    </row>
    <row r="2610">
      <c r="B2610" s="291" t="n"/>
      <c r="E2610" s="212" t="n"/>
    </row>
    <row r="2611">
      <c r="B2611" s="291" t="n"/>
      <c r="E2611" s="212" t="n"/>
    </row>
    <row r="2612">
      <c r="B2612" s="291" t="n"/>
      <c r="E2612" s="212" t="n"/>
    </row>
    <row r="2613">
      <c r="B2613" s="291" t="n"/>
      <c r="E2613" s="212" t="n"/>
    </row>
    <row r="2614">
      <c r="B2614" s="291" t="n"/>
      <c r="E2614" s="212" t="n"/>
    </row>
    <row r="2615">
      <c r="B2615" s="291" t="n"/>
      <c r="E2615" s="212" t="n"/>
    </row>
    <row r="2616">
      <c r="B2616" s="291" t="n"/>
      <c r="E2616" s="212" t="n"/>
    </row>
    <row r="2617">
      <c r="B2617" s="291" t="n"/>
      <c r="E2617" s="212" t="n"/>
    </row>
    <row r="2618">
      <c r="B2618" s="291" t="n"/>
      <c r="E2618" s="212" t="n"/>
    </row>
    <row r="2619">
      <c r="B2619" s="291" t="n"/>
      <c r="E2619" s="212" t="n"/>
    </row>
    <row r="2620">
      <c r="B2620" s="291" t="n"/>
      <c r="E2620" s="212" t="n"/>
    </row>
    <row r="2621">
      <c r="B2621" s="291" t="n"/>
      <c r="E2621" s="212" t="n"/>
    </row>
    <row r="2622">
      <c r="B2622" s="291" t="n"/>
      <c r="E2622" s="212" t="n"/>
    </row>
    <row r="2623">
      <c r="B2623" s="291" t="n"/>
      <c r="E2623" s="212" t="n"/>
    </row>
    <row r="2624">
      <c r="B2624" s="291" t="n"/>
      <c r="E2624" s="212" t="n"/>
    </row>
    <row r="2625">
      <c r="B2625" s="291" t="n"/>
      <c r="E2625" s="212" t="n"/>
    </row>
    <row r="2626">
      <c r="B2626" s="291" t="n"/>
      <c r="E2626" s="212" t="n"/>
    </row>
    <row r="2627">
      <c r="B2627" s="291" t="n"/>
      <c r="E2627" s="212" t="n"/>
    </row>
    <row r="2628">
      <c r="B2628" s="291" t="n"/>
      <c r="E2628" s="212" t="n"/>
    </row>
    <row r="2629">
      <c r="B2629" s="291" t="n"/>
      <c r="E2629" s="212" t="n"/>
    </row>
    <row r="2630">
      <c r="B2630" s="291" t="n"/>
      <c r="E2630" s="212" t="n"/>
    </row>
    <row r="2631">
      <c r="B2631" s="291" t="n"/>
      <c r="E2631" s="212" t="n"/>
    </row>
    <row r="2632">
      <c r="B2632" s="291" t="n"/>
      <c r="E2632" s="212" t="n"/>
    </row>
    <row r="2633">
      <c r="B2633" s="291" t="n"/>
      <c r="E2633" s="212" t="n"/>
    </row>
    <row r="2634">
      <c r="B2634" s="291" t="n"/>
      <c r="E2634" s="212" t="n"/>
    </row>
    <row r="2635">
      <c r="B2635" s="291" t="n"/>
      <c r="E2635" s="212" t="n"/>
    </row>
    <row r="2636">
      <c r="B2636" s="291" t="n"/>
      <c r="E2636" s="212" t="n"/>
    </row>
    <row r="2637">
      <c r="B2637" s="291" t="n"/>
      <c r="E2637" s="212" t="n"/>
    </row>
    <row r="2638">
      <c r="B2638" s="291" t="n"/>
      <c r="E2638" s="212" t="n"/>
    </row>
    <row r="2639">
      <c r="B2639" s="291" t="n"/>
      <c r="E2639" s="212" t="n"/>
    </row>
    <row r="2640">
      <c r="B2640" s="291" t="n"/>
      <c r="E2640" s="212" t="n"/>
    </row>
    <row r="2641">
      <c r="B2641" s="291" t="n"/>
      <c r="E2641" s="212" t="n"/>
    </row>
    <row r="2642">
      <c r="B2642" s="291" t="n"/>
      <c r="E2642" s="212" t="n"/>
    </row>
    <row r="2643">
      <c r="B2643" s="291" t="n"/>
      <c r="E2643" s="212" t="n"/>
    </row>
    <row r="2644">
      <c r="B2644" s="291" t="n"/>
      <c r="E2644" s="212" t="n"/>
    </row>
    <row r="2645">
      <c r="B2645" s="291" t="n"/>
      <c r="E2645" s="212" t="n"/>
    </row>
    <row r="2646">
      <c r="B2646" s="291" t="n"/>
      <c r="E2646" s="212" t="n"/>
    </row>
    <row r="2647">
      <c r="B2647" s="291" t="n"/>
      <c r="E2647" s="212" t="n"/>
    </row>
    <row r="2648">
      <c r="B2648" s="291" t="n"/>
      <c r="E2648" s="212" t="n"/>
    </row>
    <row r="2649">
      <c r="B2649" s="291" t="n"/>
      <c r="E2649" s="212" t="n"/>
    </row>
    <row r="2650">
      <c r="B2650" s="291" t="n"/>
      <c r="E2650" s="212" t="n"/>
    </row>
    <row r="2651">
      <c r="B2651" s="291" t="n"/>
      <c r="E2651" s="212" t="n"/>
    </row>
    <row r="2652">
      <c r="B2652" s="291" t="n"/>
      <c r="E2652" s="212" t="n"/>
    </row>
    <row r="2653">
      <c r="B2653" s="291" t="n"/>
      <c r="E2653" s="212" t="n"/>
    </row>
    <row r="2654">
      <c r="B2654" s="291" t="n"/>
      <c r="E2654" s="212" t="n"/>
    </row>
    <row r="2655">
      <c r="B2655" s="291" t="n"/>
      <c r="E2655" s="212" t="n"/>
    </row>
    <row r="2656">
      <c r="B2656" s="291" t="n"/>
      <c r="E2656" s="212" t="n"/>
    </row>
    <row r="2657">
      <c r="B2657" s="291" t="n"/>
      <c r="E2657" s="212" t="n"/>
    </row>
    <row r="2658">
      <c r="B2658" s="291" t="n"/>
      <c r="E2658" s="212" t="n"/>
    </row>
    <row r="2659">
      <c r="B2659" s="291" t="n"/>
      <c r="E2659" s="212" t="n"/>
    </row>
    <row r="2660">
      <c r="B2660" s="291" t="n"/>
      <c r="E2660" s="212" t="n"/>
    </row>
    <row r="2661">
      <c r="B2661" s="291" t="n"/>
      <c r="E2661" s="212" t="n"/>
    </row>
    <row r="2662">
      <c r="B2662" s="291" t="n"/>
      <c r="E2662" s="212" t="n"/>
    </row>
    <row r="2663">
      <c r="B2663" s="291" t="n"/>
      <c r="E2663" s="212" t="n"/>
    </row>
    <row r="2664">
      <c r="B2664" s="291" t="n"/>
      <c r="E2664" s="212" t="n"/>
    </row>
    <row r="2665">
      <c r="B2665" s="291" t="n"/>
      <c r="E2665" s="212" t="n"/>
    </row>
    <row r="2666">
      <c r="B2666" s="291" t="n"/>
      <c r="E2666" s="212" t="n"/>
    </row>
    <row r="2667">
      <c r="B2667" s="291" t="n"/>
      <c r="E2667" s="212" t="n"/>
    </row>
    <row r="2668">
      <c r="B2668" s="291" t="n"/>
      <c r="E2668" s="212" t="n"/>
    </row>
    <row r="2669">
      <c r="B2669" s="291" t="n"/>
      <c r="E2669" s="212" t="n"/>
    </row>
    <row r="2670">
      <c r="B2670" s="291" t="n"/>
      <c r="E2670" s="212" t="n"/>
    </row>
    <row r="2671">
      <c r="B2671" s="291" t="n"/>
      <c r="E2671" s="212" t="n"/>
    </row>
    <row r="2672">
      <c r="B2672" s="291" t="n"/>
      <c r="E2672" s="212" t="n"/>
    </row>
    <row r="2673">
      <c r="B2673" s="291" t="n"/>
      <c r="E2673" s="212" t="n"/>
    </row>
    <row r="2674">
      <c r="B2674" s="291" t="n"/>
      <c r="E2674" s="212" t="n"/>
    </row>
    <row r="2675">
      <c r="B2675" s="291" t="n"/>
      <c r="E2675" s="212" t="n"/>
    </row>
    <row r="2676">
      <c r="B2676" s="291" t="n"/>
      <c r="E2676" s="212" t="n"/>
    </row>
    <row r="2677">
      <c r="B2677" s="291" t="n"/>
      <c r="E2677" s="212" t="n"/>
    </row>
    <row r="2678">
      <c r="B2678" s="291" t="n"/>
      <c r="E2678" s="212" t="n"/>
    </row>
    <row r="2679">
      <c r="B2679" s="291" t="n"/>
      <c r="E2679" s="212" t="n"/>
    </row>
    <row r="2680">
      <c r="B2680" s="291" t="n"/>
      <c r="E2680" s="212" t="n"/>
    </row>
    <row r="2681">
      <c r="B2681" s="291" t="n"/>
      <c r="E2681" s="212" t="n"/>
    </row>
    <row r="2682">
      <c r="B2682" s="291" t="n"/>
      <c r="E2682" s="212" t="n"/>
    </row>
    <row r="2683">
      <c r="B2683" s="291" t="n"/>
      <c r="E2683" s="212" t="n"/>
    </row>
    <row r="2684">
      <c r="B2684" s="291" t="n"/>
      <c r="E2684" s="212" t="n"/>
    </row>
    <row r="2685">
      <c r="B2685" s="291" t="n"/>
      <c r="E2685" s="212" t="n"/>
    </row>
    <row r="2686">
      <c r="B2686" s="291" t="n"/>
      <c r="E2686" s="212" t="n"/>
    </row>
    <row r="2687">
      <c r="B2687" s="291" t="n"/>
      <c r="E2687" s="212" t="n"/>
    </row>
    <row r="2688">
      <c r="B2688" s="291" t="n"/>
      <c r="E2688" s="212" t="n"/>
    </row>
    <row r="2689">
      <c r="B2689" s="291" t="n"/>
      <c r="E2689" s="212" t="n"/>
    </row>
    <row r="2690">
      <c r="B2690" s="291" t="n"/>
      <c r="E2690" s="212" t="n"/>
    </row>
    <row r="2691">
      <c r="B2691" s="291" t="n"/>
      <c r="E2691" s="212" t="n"/>
    </row>
    <row r="2692">
      <c r="B2692" s="291" t="n"/>
      <c r="E2692" s="212" t="n"/>
    </row>
    <row r="2693">
      <c r="B2693" s="291" t="n"/>
      <c r="E2693" s="212" t="n"/>
    </row>
    <row r="2694">
      <c r="B2694" s="291" t="n"/>
      <c r="E2694" s="212" t="n"/>
    </row>
    <row r="2695">
      <c r="B2695" s="291" t="n"/>
      <c r="E2695" s="212" t="n"/>
    </row>
    <row r="2696">
      <c r="B2696" s="291" t="n"/>
      <c r="E2696" s="212" t="n"/>
    </row>
    <row r="2697">
      <c r="B2697" s="291" t="n"/>
      <c r="E2697" s="212" t="n"/>
    </row>
    <row r="2698">
      <c r="B2698" s="291" t="n"/>
      <c r="E2698" s="212" t="n"/>
    </row>
    <row r="2699">
      <c r="B2699" s="291" t="n"/>
      <c r="E2699" s="212" t="n"/>
    </row>
    <row r="2700">
      <c r="B2700" s="291" t="n"/>
      <c r="E2700" s="212" t="n"/>
    </row>
    <row r="2701">
      <c r="B2701" s="291" t="n"/>
      <c r="E2701" s="212" t="n"/>
    </row>
    <row r="2702">
      <c r="B2702" s="291" t="n"/>
      <c r="E2702" s="212" t="n"/>
    </row>
    <row r="2703">
      <c r="B2703" s="291" t="n"/>
      <c r="E2703" s="212" t="n"/>
    </row>
    <row r="2704">
      <c r="B2704" s="291" t="n"/>
      <c r="E2704" s="212" t="n"/>
    </row>
    <row r="2705">
      <c r="B2705" s="291" t="n"/>
      <c r="E2705" s="212" t="n"/>
    </row>
    <row r="2706">
      <c r="B2706" s="291" t="n"/>
      <c r="E2706" s="212" t="n"/>
    </row>
    <row r="2707">
      <c r="B2707" s="291" t="n"/>
      <c r="E2707" s="212" t="n"/>
    </row>
    <row r="2708">
      <c r="B2708" s="291" t="n"/>
      <c r="E2708" s="212" t="n"/>
    </row>
    <row r="2709">
      <c r="B2709" s="291" t="n"/>
      <c r="E2709" s="212" t="n"/>
    </row>
    <row r="2710">
      <c r="B2710" s="291" t="n"/>
      <c r="E2710" s="212" t="n"/>
    </row>
    <row r="2711">
      <c r="B2711" s="291" t="n"/>
      <c r="E2711" s="212" t="n"/>
    </row>
    <row r="2712">
      <c r="B2712" s="291" t="n"/>
      <c r="E2712" s="212" t="n"/>
    </row>
    <row r="2713">
      <c r="B2713" s="291" t="n"/>
      <c r="E2713" s="212" t="n"/>
    </row>
    <row r="2714">
      <c r="B2714" s="291" t="n"/>
      <c r="E2714" s="212" t="n"/>
    </row>
    <row r="2715">
      <c r="B2715" s="291" t="n"/>
      <c r="E2715" s="212" t="n"/>
    </row>
    <row r="2716">
      <c r="B2716" s="291" t="n"/>
      <c r="E2716" s="212" t="n"/>
    </row>
    <row r="2717">
      <c r="B2717" s="291" t="n"/>
      <c r="E2717" s="212" t="n"/>
    </row>
    <row r="2718">
      <c r="B2718" s="291" t="n"/>
      <c r="E2718" s="212" t="n"/>
    </row>
    <row r="2719">
      <c r="B2719" s="291" t="n"/>
      <c r="E2719" s="212" t="n"/>
    </row>
    <row r="2720">
      <c r="B2720" s="291" t="n"/>
      <c r="E2720" s="212" t="n"/>
    </row>
    <row r="2721">
      <c r="B2721" s="291" t="n"/>
      <c r="E2721" s="212" t="n"/>
    </row>
    <row r="2722">
      <c r="B2722" s="291" t="n"/>
      <c r="E2722" s="212" t="n"/>
    </row>
    <row r="2723">
      <c r="B2723" s="291" t="n"/>
      <c r="E2723" s="212" t="n"/>
    </row>
    <row r="2724">
      <c r="B2724" s="291" t="n"/>
      <c r="E2724" s="212" t="n"/>
    </row>
    <row r="2725">
      <c r="B2725" s="291" t="n"/>
      <c r="E2725" s="212" t="n"/>
    </row>
    <row r="2726">
      <c r="B2726" s="291" t="n"/>
      <c r="E2726" s="212" t="n"/>
    </row>
    <row r="2727">
      <c r="B2727" s="291" t="n"/>
      <c r="E2727" s="212" t="n"/>
    </row>
    <row r="2728">
      <c r="B2728" s="291" t="n"/>
      <c r="E2728" s="212" t="n"/>
    </row>
    <row r="2729">
      <c r="B2729" s="291" t="n"/>
      <c r="E2729" s="212" t="n"/>
    </row>
    <row r="2730">
      <c r="B2730" s="291" t="n"/>
      <c r="E2730" s="212" t="n"/>
    </row>
    <row r="2731">
      <c r="B2731" s="291" t="n"/>
      <c r="E2731" s="212" t="n"/>
    </row>
    <row r="2732">
      <c r="B2732" s="291" t="n"/>
      <c r="E2732" s="212" t="n"/>
    </row>
    <row r="2733">
      <c r="B2733" s="291" t="n"/>
      <c r="E2733" s="212" t="n"/>
    </row>
    <row r="2734">
      <c r="B2734" s="291" t="n"/>
      <c r="E2734" s="212" t="n"/>
    </row>
    <row r="2735">
      <c r="B2735" s="291" t="n"/>
      <c r="E2735" s="212" t="n"/>
    </row>
    <row r="2736">
      <c r="B2736" s="291" t="n"/>
      <c r="E2736" s="212" t="n"/>
    </row>
    <row r="2737">
      <c r="B2737" s="291" t="n"/>
      <c r="E2737" s="212" t="n"/>
    </row>
    <row r="2738">
      <c r="B2738" s="291" t="n"/>
      <c r="E2738" s="212" t="n"/>
    </row>
    <row r="2739">
      <c r="B2739" s="291" t="n"/>
      <c r="E2739" s="212" t="n"/>
    </row>
    <row r="2740">
      <c r="B2740" s="291" t="n"/>
      <c r="E2740" s="212" t="n"/>
    </row>
    <row r="2741">
      <c r="B2741" s="291" t="n"/>
      <c r="E2741" s="212" t="n"/>
    </row>
    <row r="2742">
      <c r="B2742" s="291" t="n"/>
      <c r="E2742" s="212" t="n"/>
    </row>
    <row r="2743">
      <c r="B2743" s="291" t="n"/>
      <c r="E2743" s="212" t="n"/>
    </row>
    <row r="2744">
      <c r="B2744" s="291" t="n"/>
      <c r="E2744" s="212" t="n"/>
    </row>
    <row r="2745">
      <c r="B2745" s="291" t="n"/>
      <c r="E2745" s="212" t="n"/>
    </row>
    <row r="2746">
      <c r="B2746" s="291" t="n"/>
      <c r="E2746" s="212" t="n"/>
    </row>
    <row r="2747">
      <c r="B2747" s="291" t="n"/>
      <c r="E2747" s="212" t="n"/>
    </row>
    <row r="2748">
      <c r="B2748" s="291" t="n"/>
      <c r="E2748" s="212" t="n"/>
    </row>
    <row r="2749">
      <c r="B2749" s="291" t="n"/>
      <c r="E2749" s="212" t="n"/>
    </row>
    <row r="2750">
      <c r="B2750" s="291" t="n"/>
      <c r="E2750" s="212" t="n"/>
    </row>
    <row r="2751">
      <c r="B2751" s="291" t="n"/>
      <c r="E2751" s="212" t="n"/>
    </row>
    <row r="2752">
      <c r="B2752" s="291" t="n"/>
      <c r="E2752" s="212" t="n"/>
    </row>
    <row r="2753">
      <c r="B2753" s="291" t="n"/>
      <c r="E2753" s="212" t="n"/>
    </row>
    <row r="2754">
      <c r="B2754" s="291" t="n"/>
      <c r="E2754" s="212" t="n"/>
    </row>
    <row r="2755">
      <c r="B2755" s="291" t="n"/>
      <c r="E2755" s="212" t="n"/>
    </row>
    <row r="2756">
      <c r="B2756" s="291" t="n"/>
      <c r="E2756" s="212" t="n"/>
    </row>
    <row r="2757">
      <c r="B2757" s="291" t="n"/>
      <c r="E2757" s="212" t="n"/>
    </row>
    <row r="2758">
      <c r="B2758" s="291" t="n"/>
      <c r="E2758" s="212" t="n"/>
    </row>
    <row r="2759">
      <c r="B2759" s="291" t="n"/>
      <c r="E2759" s="212" t="n"/>
    </row>
    <row r="2760">
      <c r="B2760" s="291" t="n"/>
      <c r="E2760" s="212" t="n"/>
    </row>
    <row r="2761">
      <c r="B2761" s="291" t="n"/>
      <c r="E2761" s="212" t="n"/>
    </row>
    <row r="2762">
      <c r="B2762" s="291" t="n"/>
      <c r="E2762" s="212" t="n"/>
    </row>
    <row r="2763">
      <c r="B2763" s="291" t="n"/>
      <c r="E2763" s="212" t="n"/>
    </row>
    <row r="2764">
      <c r="B2764" s="291" t="n"/>
      <c r="E2764" s="212" t="n"/>
    </row>
    <row r="2765">
      <c r="B2765" s="291" t="n"/>
      <c r="E2765" s="212" t="n"/>
    </row>
    <row r="2766">
      <c r="B2766" s="291" t="n"/>
      <c r="E2766" s="212" t="n"/>
    </row>
    <row r="2767">
      <c r="B2767" s="291" t="n"/>
      <c r="E2767" s="212" t="n"/>
    </row>
    <row r="2768">
      <c r="B2768" s="291" t="n"/>
      <c r="E2768" s="212" t="n"/>
    </row>
    <row r="2769">
      <c r="B2769" s="291" t="n"/>
      <c r="E2769" s="212" t="n"/>
    </row>
    <row r="2770">
      <c r="B2770" s="291" t="n"/>
      <c r="E2770" s="212" t="n"/>
    </row>
    <row r="2771">
      <c r="B2771" s="291" t="n"/>
      <c r="E2771" s="212" t="n"/>
    </row>
    <row r="2772">
      <c r="B2772" s="291" t="n"/>
      <c r="E2772" s="212" t="n"/>
    </row>
    <row r="2773">
      <c r="B2773" s="291" t="n"/>
      <c r="E2773" s="212" t="n"/>
    </row>
    <row r="2774">
      <c r="B2774" s="291" t="n"/>
      <c r="E2774" s="212" t="n"/>
    </row>
    <row r="2775">
      <c r="B2775" s="291" t="n"/>
      <c r="E2775" s="212" t="n"/>
    </row>
    <row r="2776">
      <c r="B2776" s="291" t="n"/>
      <c r="E2776" s="212" t="n"/>
    </row>
    <row r="2777">
      <c r="B2777" s="291" t="n"/>
      <c r="E2777" s="212" t="n"/>
    </row>
    <row r="2778">
      <c r="B2778" s="291" t="n"/>
      <c r="E2778" s="212" t="n"/>
    </row>
    <row r="2779">
      <c r="B2779" s="291" t="n"/>
      <c r="E2779" s="212" t="n"/>
    </row>
    <row r="2780">
      <c r="B2780" s="291" t="n"/>
      <c r="E2780" s="212" t="n"/>
    </row>
    <row r="2781">
      <c r="B2781" s="291" t="n"/>
      <c r="E2781" s="212" t="n"/>
    </row>
    <row r="2782">
      <c r="B2782" s="291" t="n"/>
      <c r="E2782" s="212" t="n"/>
    </row>
    <row r="2783">
      <c r="B2783" s="291" t="n"/>
      <c r="E2783" s="212" t="n"/>
    </row>
    <row r="2784">
      <c r="B2784" s="291" t="n"/>
      <c r="E2784" s="212" t="n"/>
    </row>
    <row r="2785">
      <c r="B2785" s="291" t="n"/>
      <c r="E2785" s="212" t="n"/>
    </row>
    <row r="2786">
      <c r="B2786" s="291" t="n"/>
      <c r="E2786" s="212" t="n"/>
    </row>
    <row r="2787">
      <c r="B2787" s="291" t="n"/>
      <c r="E2787" s="212" t="n"/>
    </row>
    <row r="2788">
      <c r="B2788" s="291" t="n"/>
      <c r="E2788" s="212" t="n"/>
    </row>
    <row r="2789">
      <c r="B2789" s="291" t="n"/>
      <c r="E2789" s="212" t="n"/>
    </row>
    <row r="2790">
      <c r="B2790" s="291" t="n"/>
      <c r="E2790" s="212" t="n"/>
    </row>
    <row r="2791">
      <c r="B2791" s="291" t="n"/>
      <c r="E2791" s="212" t="n"/>
    </row>
    <row r="2792">
      <c r="B2792" s="291" t="n"/>
      <c r="E2792" s="212" t="n"/>
    </row>
    <row r="2793">
      <c r="B2793" s="291" t="n"/>
      <c r="E2793" s="212" t="n"/>
    </row>
    <row r="2794">
      <c r="B2794" s="291" t="n"/>
      <c r="E2794" s="212" t="n"/>
    </row>
    <row r="2795">
      <c r="B2795" s="291" t="n"/>
      <c r="E2795" s="212" t="n"/>
    </row>
    <row r="2796">
      <c r="B2796" s="291" t="n"/>
      <c r="E2796" s="212" t="n"/>
    </row>
    <row r="2797">
      <c r="B2797" s="291" t="n"/>
      <c r="E2797" s="212" t="n"/>
    </row>
    <row r="2798">
      <c r="B2798" s="291" t="n"/>
      <c r="E2798" s="212" t="n"/>
    </row>
    <row r="2799">
      <c r="B2799" s="291" t="n"/>
      <c r="E2799" s="212" t="n"/>
    </row>
    <row r="2800">
      <c r="B2800" s="291" t="n"/>
      <c r="E2800" s="212" t="n"/>
    </row>
    <row r="2801">
      <c r="B2801" s="291" t="n"/>
      <c r="E2801" s="212" t="n"/>
    </row>
    <row r="2802">
      <c r="B2802" s="291" t="n"/>
      <c r="E2802" s="212" t="n"/>
    </row>
    <row r="2803">
      <c r="B2803" s="291" t="n"/>
      <c r="E2803" s="212" t="n"/>
    </row>
    <row r="2804">
      <c r="B2804" s="291" t="n"/>
      <c r="E2804" s="212" t="n"/>
    </row>
    <row r="2805">
      <c r="B2805" s="291" t="n"/>
      <c r="E2805" s="212" t="n"/>
    </row>
    <row r="2806">
      <c r="B2806" s="291" t="n"/>
      <c r="E2806" s="212" t="n"/>
    </row>
    <row r="2807">
      <c r="B2807" s="291" t="n"/>
      <c r="E2807" s="212" t="n"/>
    </row>
    <row r="2808">
      <c r="B2808" s="291" t="n"/>
      <c r="E2808" s="212" t="n"/>
    </row>
    <row r="2809">
      <c r="B2809" s="291" t="n"/>
      <c r="E2809" s="212" t="n"/>
    </row>
    <row r="2810">
      <c r="B2810" s="291" t="n"/>
      <c r="E2810" s="212" t="n"/>
    </row>
    <row r="2811">
      <c r="B2811" s="291" t="n"/>
      <c r="E2811" s="212" t="n"/>
    </row>
    <row r="2812">
      <c r="B2812" s="291" t="n"/>
      <c r="E2812" s="212" t="n"/>
    </row>
    <row r="2813">
      <c r="B2813" s="291" t="n"/>
      <c r="E2813" s="212" t="n"/>
    </row>
    <row r="2814">
      <c r="B2814" s="291" t="n"/>
      <c r="E2814" s="212" t="n"/>
    </row>
    <row r="2815">
      <c r="B2815" s="291" t="n"/>
      <c r="E2815" s="212" t="n"/>
    </row>
    <row r="2816">
      <c r="B2816" s="291" t="n"/>
      <c r="E2816" s="212" t="n"/>
    </row>
    <row r="2817">
      <c r="B2817" s="291" t="n"/>
      <c r="E2817" s="212" t="n"/>
    </row>
    <row r="2818">
      <c r="B2818" s="291" t="n"/>
      <c r="E2818" s="212" t="n"/>
    </row>
    <row r="2819">
      <c r="B2819" s="291" t="n"/>
      <c r="E2819" s="212" t="n"/>
    </row>
    <row r="2820">
      <c r="B2820" s="291" t="n"/>
      <c r="E2820" s="212" t="n"/>
    </row>
    <row r="2821">
      <c r="B2821" s="291" t="n"/>
      <c r="E2821" s="212" t="n"/>
    </row>
    <row r="2822">
      <c r="B2822" s="291" t="n"/>
      <c r="E2822" s="212" t="n"/>
    </row>
    <row r="2823">
      <c r="B2823" s="291" t="n"/>
      <c r="E2823" s="212" t="n"/>
    </row>
    <row r="2824">
      <c r="B2824" s="291" t="n"/>
      <c r="E2824" s="212" t="n"/>
    </row>
    <row r="2825">
      <c r="B2825" s="291" t="n"/>
      <c r="E2825" s="212" t="n"/>
    </row>
    <row r="2826">
      <c r="B2826" s="291" t="n"/>
      <c r="E2826" s="212" t="n"/>
    </row>
    <row r="2827">
      <c r="B2827" s="291" t="n"/>
      <c r="E2827" s="212" t="n"/>
    </row>
    <row r="2828">
      <c r="B2828" s="291" t="n"/>
      <c r="E2828" s="212" t="n"/>
    </row>
    <row r="2829">
      <c r="B2829" s="291" t="n"/>
      <c r="E2829" s="212" t="n"/>
    </row>
    <row r="2830">
      <c r="B2830" s="291" t="n"/>
      <c r="E2830" s="212" t="n"/>
    </row>
    <row r="2831">
      <c r="B2831" s="291" t="n"/>
      <c r="E2831" s="212" t="n"/>
    </row>
    <row r="2832">
      <c r="B2832" s="291" t="n"/>
      <c r="E2832" s="212" t="n"/>
    </row>
    <row r="2833">
      <c r="B2833" s="291" t="n"/>
      <c r="E2833" s="212" t="n"/>
    </row>
    <row r="2834">
      <c r="B2834" s="291" t="n"/>
      <c r="E2834" s="212" t="n"/>
    </row>
    <row r="2835">
      <c r="B2835" s="291" t="n"/>
      <c r="E2835" s="212" t="n"/>
    </row>
    <row r="2836">
      <c r="B2836" s="291" t="n"/>
      <c r="E2836" s="212" t="n"/>
    </row>
    <row r="2837">
      <c r="B2837" s="291" t="n"/>
      <c r="E2837" s="212" t="n"/>
    </row>
    <row r="2838">
      <c r="B2838" s="291" t="n"/>
      <c r="E2838" s="212" t="n"/>
    </row>
    <row r="2839">
      <c r="B2839" s="291" t="n"/>
      <c r="E2839" s="212" t="n"/>
    </row>
    <row r="2840">
      <c r="B2840" s="291" t="n"/>
      <c r="E2840" s="212" t="n"/>
    </row>
    <row r="2841">
      <c r="B2841" s="291" t="n"/>
      <c r="E2841" s="212" t="n"/>
    </row>
    <row r="2842">
      <c r="B2842" s="291" t="n"/>
      <c r="E2842" s="212" t="n"/>
    </row>
    <row r="2843">
      <c r="B2843" s="291" t="n"/>
      <c r="E2843" s="212" t="n"/>
    </row>
    <row r="2844">
      <c r="B2844" s="291" t="n"/>
      <c r="E2844" s="212" t="n"/>
    </row>
    <row r="2845">
      <c r="B2845" s="291" t="n"/>
      <c r="E2845" s="212" t="n"/>
    </row>
    <row r="2846">
      <c r="B2846" s="291" t="n"/>
      <c r="E2846" s="212" t="n"/>
    </row>
    <row r="2847">
      <c r="B2847" s="291" t="n"/>
      <c r="E2847" s="212" t="n"/>
    </row>
    <row r="2848">
      <c r="B2848" s="291" t="n"/>
      <c r="E2848" s="212" t="n"/>
    </row>
    <row r="2849">
      <c r="B2849" s="291" t="n"/>
      <c r="E2849" s="212" t="n"/>
    </row>
    <row r="2850">
      <c r="B2850" s="291" t="n"/>
      <c r="E2850" s="212" t="n"/>
    </row>
    <row r="2851">
      <c r="B2851" s="291" t="n"/>
      <c r="E2851" s="212" t="n"/>
    </row>
    <row r="2852">
      <c r="B2852" s="291" t="n"/>
      <c r="E2852" s="212" t="n"/>
    </row>
    <row r="2853">
      <c r="B2853" s="291" t="n"/>
      <c r="E2853" s="212" t="n"/>
    </row>
    <row r="2854">
      <c r="B2854" s="291" t="n"/>
      <c r="E2854" s="212" t="n"/>
    </row>
    <row r="2855">
      <c r="B2855" s="291" t="n"/>
      <c r="E2855" s="212" t="n"/>
    </row>
    <row r="2856">
      <c r="B2856" s="291" t="n"/>
      <c r="E2856" s="212" t="n"/>
    </row>
    <row r="2857">
      <c r="B2857" s="291" t="n"/>
      <c r="E2857" s="212" t="n"/>
    </row>
    <row r="2858">
      <c r="B2858" s="291" t="n"/>
      <c r="E2858" s="212" t="n"/>
    </row>
    <row r="2859">
      <c r="B2859" s="291" t="n"/>
      <c r="E2859" s="212" t="n"/>
    </row>
    <row r="2860">
      <c r="B2860" s="291" t="n"/>
      <c r="E2860" s="212" t="n"/>
    </row>
    <row r="2861">
      <c r="B2861" s="291" t="n"/>
      <c r="E2861" s="212" t="n"/>
    </row>
    <row r="2862">
      <c r="B2862" s="291" t="n"/>
      <c r="E2862" s="212" t="n"/>
    </row>
    <row r="2863">
      <c r="B2863" s="291" t="n"/>
      <c r="E2863" s="212" t="n"/>
    </row>
    <row r="2864">
      <c r="B2864" s="291" t="n"/>
      <c r="E2864" s="212" t="n"/>
    </row>
    <row r="2865">
      <c r="B2865" s="291" t="n"/>
      <c r="E2865" s="212" t="n"/>
    </row>
    <row r="2866">
      <c r="B2866" s="291" t="n"/>
      <c r="E2866" s="212" t="n"/>
    </row>
    <row r="2867">
      <c r="B2867" s="291" t="n"/>
      <c r="E2867" s="212" t="n"/>
    </row>
    <row r="2868">
      <c r="B2868" s="291" t="n"/>
      <c r="E2868" s="212" t="n"/>
    </row>
    <row r="2869">
      <c r="B2869" s="291" t="n"/>
      <c r="E2869" s="212" t="n"/>
    </row>
    <row r="2870">
      <c r="B2870" s="291" t="n"/>
      <c r="E2870" s="212" t="n"/>
    </row>
    <row r="2871">
      <c r="B2871" s="291" t="n"/>
      <c r="E2871" s="212" t="n"/>
    </row>
    <row r="2872">
      <c r="B2872" s="291" t="n"/>
      <c r="E2872" s="212" t="n"/>
    </row>
    <row r="2873">
      <c r="B2873" s="291" t="n"/>
      <c r="E2873" s="212" t="n"/>
    </row>
    <row r="2874">
      <c r="B2874" s="291" t="n"/>
      <c r="E2874" s="212" t="n"/>
    </row>
    <row r="2875">
      <c r="B2875" s="291" t="n"/>
      <c r="E2875" s="212" t="n"/>
    </row>
    <row r="2876">
      <c r="B2876" s="291" t="n"/>
      <c r="E2876" s="212" t="n"/>
    </row>
    <row r="2877">
      <c r="B2877" s="291" t="n"/>
      <c r="E2877" s="212" t="n"/>
    </row>
    <row r="2878">
      <c r="B2878" s="291" t="n"/>
      <c r="E2878" s="212" t="n"/>
    </row>
    <row r="2879">
      <c r="B2879" s="291" t="n"/>
      <c r="E2879" s="212" t="n"/>
    </row>
    <row r="2880">
      <c r="B2880" s="291" t="n"/>
      <c r="E2880" s="212" t="n"/>
    </row>
    <row r="2881">
      <c r="B2881" s="291" t="n"/>
      <c r="E2881" s="212" t="n"/>
    </row>
    <row r="2882">
      <c r="B2882" s="291" t="n"/>
      <c r="E2882" s="212" t="n"/>
    </row>
    <row r="2883">
      <c r="B2883" s="291" t="n"/>
      <c r="E2883" s="212" t="n"/>
    </row>
    <row r="2884">
      <c r="B2884" s="291" t="n"/>
      <c r="E2884" s="212" t="n"/>
    </row>
    <row r="2885">
      <c r="B2885" s="291" t="n"/>
      <c r="E2885" s="212" t="n"/>
    </row>
    <row r="2886">
      <c r="B2886" s="291" t="n"/>
      <c r="E2886" s="212" t="n"/>
    </row>
    <row r="2887">
      <c r="B2887" s="291" t="n"/>
      <c r="E2887" s="212" t="n"/>
    </row>
    <row r="2888">
      <c r="B2888" s="291" t="n"/>
      <c r="E2888" s="212" t="n"/>
    </row>
    <row r="2889">
      <c r="B2889" s="291" t="n"/>
      <c r="E2889" s="212" t="n"/>
    </row>
    <row r="2890">
      <c r="B2890" s="291" t="n"/>
      <c r="E2890" s="212" t="n"/>
    </row>
    <row r="2891">
      <c r="B2891" s="291" t="n"/>
      <c r="E2891" s="212" t="n"/>
    </row>
    <row r="2892">
      <c r="B2892" s="291" t="n"/>
      <c r="E2892" s="212" t="n"/>
    </row>
    <row r="2893">
      <c r="B2893" s="291" t="n"/>
      <c r="E2893" s="212" t="n"/>
    </row>
    <row r="2894">
      <c r="B2894" s="291" t="n"/>
      <c r="E2894" s="212" t="n"/>
    </row>
    <row r="2895">
      <c r="B2895" s="291" t="n"/>
      <c r="E2895" s="212" t="n"/>
    </row>
    <row r="2896">
      <c r="B2896" s="291" t="n"/>
      <c r="E2896" s="212" t="n"/>
    </row>
    <row r="2897">
      <c r="B2897" s="291" t="n"/>
      <c r="E2897" s="212" t="n"/>
    </row>
    <row r="2898">
      <c r="B2898" s="291" t="n"/>
      <c r="E2898" s="212" t="n"/>
    </row>
    <row r="2899">
      <c r="B2899" s="291" t="n"/>
      <c r="E2899" s="212" t="n"/>
    </row>
    <row r="2900">
      <c r="B2900" s="291" t="n"/>
      <c r="E2900" s="212" t="n"/>
    </row>
    <row r="2901">
      <c r="B2901" s="291" t="n"/>
      <c r="E2901" s="212" t="n"/>
    </row>
    <row r="2902">
      <c r="B2902" s="291" t="n"/>
      <c r="E2902" s="212" t="n"/>
    </row>
    <row r="2903">
      <c r="B2903" s="291" t="n"/>
      <c r="E2903" s="212" t="n"/>
    </row>
    <row r="2904">
      <c r="B2904" s="291" t="n"/>
      <c r="E2904" s="212" t="n"/>
    </row>
    <row r="2905">
      <c r="B2905" s="291" t="n"/>
      <c r="E2905" s="212" t="n"/>
    </row>
    <row r="2906">
      <c r="B2906" s="291" t="n"/>
      <c r="E2906" s="212" t="n"/>
    </row>
    <row r="2907">
      <c r="B2907" s="291" t="n"/>
      <c r="E2907" s="212" t="n"/>
    </row>
    <row r="2908">
      <c r="B2908" s="291" t="n"/>
      <c r="E2908" s="212" t="n"/>
    </row>
    <row r="2909">
      <c r="B2909" s="291" t="n"/>
      <c r="E2909" s="212" t="n"/>
    </row>
    <row r="2910">
      <c r="B2910" s="291" t="n"/>
      <c r="E2910" s="212" t="n"/>
    </row>
    <row r="2911">
      <c r="B2911" s="291" t="n"/>
      <c r="E2911" s="212" t="n"/>
    </row>
    <row r="2912">
      <c r="B2912" s="291" t="n"/>
      <c r="E2912" s="212" t="n"/>
    </row>
    <row r="2913">
      <c r="B2913" s="291" t="n"/>
      <c r="E2913" s="212" t="n"/>
    </row>
    <row r="2914">
      <c r="B2914" s="291" t="n"/>
      <c r="E2914" s="212" t="n"/>
    </row>
    <row r="2915">
      <c r="B2915" s="291" t="n"/>
      <c r="E2915" s="212" t="n"/>
    </row>
    <row r="2916">
      <c r="B2916" s="291" t="n"/>
      <c r="E2916" s="212" t="n"/>
    </row>
    <row r="2917">
      <c r="B2917" s="291" t="n"/>
      <c r="E2917" s="212" t="n"/>
    </row>
    <row r="2918">
      <c r="B2918" s="291" t="n"/>
      <c r="E2918" s="212" t="n"/>
    </row>
    <row r="2919">
      <c r="B2919" s="291" t="n"/>
      <c r="E2919" s="212" t="n"/>
    </row>
    <row r="2920">
      <c r="B2920" s="291" t="n"/>
      <c r="E2920" s="212" t="n"/>
    </row>
    <row r="2921">
      <c r="B2921" s="291" t="n"/>
      <c r="E2921" s="212" t="n"/>
    </row>
    <row r="2922">
      <c r="B2922" s="291" t="n"/>
      <c r="E2922" s="212" t="n"/>
    </row>
    <row r="2923">
      <c r="B2923" s="291" t="n"/>
      <c r="E2923" s="212" t="n"/>
    </row>
    <row r="2924">
      <c r="B2924" s="291" t="n"/>
      <c r="E2924" s="212" t="n"/>
    </row>
    <row r="2925">
      <c r="B2925" s="291" t="n"/>
      <c r="E2925" s="212" t="n"/>
    </row>
    <row r="2926">
      <c r="B2926" s="291" t="n"/>
      <c r="E2926" s="212" t="n"/>
    </row>
    <row r="2927">
      <c r="B2927" s="291" t="n"/>
      <c r="E2927" s="212" t="n"/>
    </row>
    <row r="2928">
      <c r="B2928" s="291" t="n"/>
      <c r="E2928" s="212" t="n"/>
    </row>
    <row r="2929">
      <c r="B2929" s="291" t="n"/>
      <c r="E2929" s="212" t="n"/>
    </row>
    <row r="2930">
      <c r="B2930" s="291" t="n"/>
      <c r="E2930" s="212" t="n"/>
    </row>
    <row r="2931">
      <c r="B2931" s="291" t="n"/>
      <c r="E2931" s="212" t="n"/>
    </row>
    <row r="2932">
      <c r="B2932" s="291" t="n"/>
      <c r="E2932" s="212" t="n"/>
    </row>
    <row r="2933">
      <c r="B2933" s="291" t="n"/>
      <c r="E2933" s="212" t="n"/>
    </row>
    <row r="2934">
      <c r="B2934" s="291" t="n"/>
      <c r="E2934" s="212" t="n"/>
    </row>
    <row r="2935">
      <c r="B2935" s="291" t="n"/>
      <c r="E2935" s="212" t="n"/>
    </row>
    <row r="2936">
      <c r="B2936" s="291" t="n"/>
      <c r="E2936" s="212" t="n"/>
    </row>
    <row r="2937">
      <c r="B2937" s="291" t="n"/>
      <c r="E2937" s="212" t="n"/>
    </row>
    <row r="2938">
      <c r="B2938" s="291" t="n"/>
      <c r="E2938" s="212" t="n"/>
    </row>
    <row r="2939">
      <c r="B2939" s="291" t="n"/>
      <c r="E2939" s="212" t="n"/>
    </row>
    <row r="2940">
      <c r="B2940" s="291" t="n"/>
      <c r="E2940" s="212" t="n"/>
    </row>
    <row r="2941">
      <c r="B2941" s="291" t="n"/>
      <c r="E2941" s="212" t="n"/>
    </row>
    <row r="2942">
      <c r="B2942" s="291" t="n"/>
      <c r="E2942" s="212" t="n"/>
    </row>
    <row r="2943">
      <c r="B2943" s="291" t="n"/>
      <c r="E2943" s="212" t="n"/>
    </row>
    <row r="2944">
      <c r="B2944" s="291" t="n"/>
      <c r="E2944" s="212" t="n"/>
    </row>
    <row r="2945">
      <c r="B2945" s="291" t="n"/>
      <c r="E2945" s="212" t="n"/>
    </row>
    <row r="2946">
      <c r="B2946" s="291" t="n"/>
      <c r="E2946" s="212" t="n"/>
    </row>
    <row r="2947">
      <c r="B2947" s="291" t="n"/>
      <c r="E2947" s="212" t="n"/>
    </row>
    <row r="2948">
      <c r="B2948" s="291" t="n"/>
      <c r="E2948" s="212" t="n"/>
    </row>
    <row r="2949">
      <c r="B2949" s="291" t="n"/>
      <c r="E2949" s="212" t="n"/>
    </row>
    <row r="2950">
      <c r="B2950" s="291" t="n"/>
      <c r="E2950" s="212" t="n"/>
    </row>
    <row r="2951">
      <c r="B2951" s="291" t="n"/>
      <c r="E2951" s="212" t="n"/>
    </row>
    <row r="2952">
      <c r="B2952" s="291" t="n"/>
      <c r="E2952" s="212" t="n"/>
    </row>
    <row r="2953">
      <c r="B2953" s="291" t="n"/>
      <c r="E2953" s="212" t="n"/>
    </row>
    <row r="2954">
      <c r="B2954" s="291" t="n"/>
      <c r="E2954" s="212" t="n"/>
    </row>
    <row r="2955">
      <c r="B2955" s="291" t="n"/>
      <c r="E2955" s="212" t="n"/>
    </row>
    <row r="2956">
      <c r="B2956" s="291" t="n"/>
      <c r="E2956" s="212" t="n"/>
    </row>
    <row r="2957">
      <c r="B2957" s="291" t="n"/>
      <c r="E2957" s="212" t="n"/>
    </row>
    <row r="2958">
      <c r="B2958" s="291" t="n"/>
      <c r="E2958" s="212" t="n"/>
    </row>
    <row r="2959">
      <c r="B2959" s="291" t="n"/>
      <c r="E2959" s="212" t="n"/>
    </row>
    <row r="2960">
      <c r="B2960" s="291" t="n"/>
      <c r="E2960" s="212" t="n"/>
    </row>
    <row r="2961">
      <c r="B2961" s="291" t="n"/>
      <c r="E2961" s="212" t="n"/>
    </row>
    <row r="2962">
      <c r="B2962" s="291" t="n"/>
      <c r="E2962" s="212" t="n"/>
    </row>
    <row r="2963">
      <c r="B2963" s="291" t="n"/>
      <c r="E2963" s="212" t="n"/>
    </row>
    <row r="2964">
      <c r="B2964" s="291" t="n"/>
      <c r="E2964" s="212" t="n"/>
    </row>
    <row r="2965">
      <c r="B2965" s="291" t="n"/>
      <c r="E2965" s="212" t="n"/>
    </row>
    <row r="2966">
      <c r="B2966" s="291" t="n"/>
      <c r="E2966" s="212" t="n"/>
    </row>
    <row r="2967">
      <c r="B2967" s="291" t="n"/>
      <c r="E2967" s="212" t="n"/>
    </row>
    <row r="2968">
      <c r="B2968" s="291" t="n"/>
      <c r="E2968" s="212" t="n"/>
    </row>
    <row r="2969">
      <c r="B2969" s="291" t="n"/>
      <c r="E2969" s="212" t="n"/>
    </row>
    <row r="2970">
      <c r="B2970" s="291" t="n"/>
      <c r="E2970" s="212" t="n"/>
    </row>
    <row r="2971">
      <c r="B2971" s="291" t="n"/>
      <c r="E2971" s="212" t="n"/>
    </row>
    <row r="2972">
      <c r="B2972" s="291" t="n"/>
      <c r="E2972" s="212" t="n"/>
    </row>
    <row r="2973">
      <c r="B2973" s="291" t="n"/>
      <c r="E2973" s="212" t="n"/>
    </row>
    <row r="2974">
      <c r="B2974" s="291" t="n"/>
      <c r="E2974" s="212" t="n"/>
    </row>
    <row r="2975">
      <c r="B2975" s="291" t="n"/>
      <c r="E2975" s="212" t="n"/>
    </row>
    <row r="2976">
      <c r="B2976" s="291" t="n"/>
      <c r="E2976" s="212" t="n"/>
    </row>
    <row r="2977">
      <c r="B2977" s="291" t="n"/>
      <c r="E2977" s="212" t="n"/>
    </row>
    <row r="2978">
      <c r="B2978" s="291" t="n"/>
      <c r="E2978" s="212" t="n"/>
    </row>
    <row r="2979">
      <c r="B2979" s="291" t="n"/>
      <c r="E2979" s="212" t="n"/>
    </row>
    <row r="2980">
      <c r="B2980" s="291" t="n"/>
      <c r="E2980" s="212" t="n"/>
    </row>
    <row r="2981">
      <c r="B2981" s="291" t="n"/>
      <c r="E2981" s="212" t="n"/>
    </row>
    <row r="2982">
      <c r="B2982" s="291" t="n"/>
      <c r="E2982" s="212" t="n"/>
    </row>
    <row r="2983">
      <c r="B2983" s="291" t="n"/>
      <c r="E2983" s="212" t="n"/>
    </row>
    <row r="2984">
      <c r="B2984" s="291" t="n"/>
      <c r="E2984" s="212" t="n"/>
    </row>
    <row r="2985">
      <c r="B2985" s="291" t="n"/>
      <c r="E2985" s="212" t="n"/>
    </row>
    <row r="2986">
      <c r="B2986" s="291" t="n"/>
      <c r="E2986" s="212" t="n"/>
    </row>
    <row r="2987">
      <c r="B2987" s="291" t="n"/>
      <c r="E2987" s="212" t="n"/>
    </row>
    <row r="2988">
      <c r="B2988" s="291" t="n"/>
      <c r="E2988" s="212" t="n"/>
    </row>
    <row r="2989">
      <c r="B2989" s="291" t="n"/>
      <c r="E2989" s="212" t="n"/>
    </row>
    <row r="2990">
      <c r="B2990" s="291" t="n"/>
      <c r="E2990" s="212" t="n"/>
    </row>
    <row r="2991">
      <c r="B2991" s="291" t="n"/>
      <c r="E2991" s="212" t="n"/>
    </row>
    <row r="2992">
      <c r="B2992" s="291" t="n"/>
      <c r="E2992" s="212" t="n"/>
    </row>
    <row r="2993">
      <c r="B2993" s="291" t="n"/>
      <c r="E2993" s="212" t="n"/>
    </row>
    <row r="2994">
      <c r="B2994" s="291" t="n"/>
      <c r="E2994" s="212" t="n"/>
    </row>
    <row r="2995">
      <c r="B2995" s="291" t="n"/>
      <c r="E2995" s="212" t="n"/>
    </row>
    <row r="2996">
      <c r="B2996" s="291" t="n"/>
      <c r="E2996" s="212" t="n"/>
    </row>
    <row r="2997">
      <c r="B2997" s="291" t="n"/>
      <c r="E2997" s="212" t="n"/>
    </row>
    <row r="2998">
      <c r="B2998" s="291" t="n"/>
      <c r="E2998" s="212" t="n"/>
    </row>
    <row r="2999">
      <c r="B2999" s="291" t="n"/>
      <c r="E2999" s="212" t="n"/>
    </row>
    <row r="3000">
      <c r="B3000" s="291" t="n"/>
      <c r="E3000" s="212" t="n"/>
    </row>
    <row r="3001">
      <c r="B3001" s="291" t="n"/>
      <c r="E3001" s="212" t="n"/>
    </row>
    <row r="3002">
      <c r="B3002" s="291" t="n"/>
      <c r="E3002" s="212" t="n"/>
    </row>
    <row r="3003">
      <c r="B3003" s="291" t="n"/>
      <c r="E3003" s="212" t="n"/>
    </row>
    <row r="3004">
      <c r="B3004" s="291" t="n"/>
      <c r="E3004" s="212" t="n"/>
    </row>
    <row r="3005">
      <c r="B3005" s="291" t="n"/>
      <c r="E3005" s="212" t="n"/>
    </row>
    <row r="3006">
      <c r="B3006" s="291" t="n"/>
      <c r="E3006" s="212" t="n"/>
    </row>
    <row r="3007">
      <c r="B3007" s="291" t="n"/>
      <c r="E3007" s="212" t="n"/>
    </row>
    <row r="3008">
      <c r="B3008" s="291" t="n"/>
      <c r="E3008" s="212" t="n"/>
    </row>
    <row r="3009">
      <c r="B3009" s="291" t="n"/>
      <c r="E3009" s="212" t="n"/>
    </row>
    <row r="3010">
      <c r="B3010" s="291" t="n"/>
      <c r="E3010" s="212" t="n"/>
    </row>
    <row r="3011">
      <c r="B3011" s="291" t="n"/>
      <c r="E3011" s="212" t="n"/>
    </row>
    <row r="3012">
      <c r="B3012" s="291" t="n"/>
      <c r="E3012" s="212" t="n"/>
    </row>
    <row r="3013">
      <c r="B3013" s="291" t="n"/>
      <c r="E3013" s="212" t="n"/>
    </row>
    <row r="3014">
      <c r="B3014" s="291" t="n"/>
      <c r="E3014" s="212" t="n"/>
    </row>
    <row r="3015">
      <c r="B3015" s="291" t="n"/>
      <c r="E3015" s="212" t="n"/>
    </row>
    <row r="3016">
      <c r="B3016" s="291" t="n"/>
      <c r="E3016" s="212" t="n"/>
    </row>
    <row r="3017">
      <c r="B3017" s="291" t="n"/>
      <c r="E3017" s="212" t="n"/>
    </row>
    <row r="3018">
      <c r="B3018" s="291" t="n"/>
      <c r="E3018" s="212" t="n"/>
    </row>
    <row r="3019">
      <c r="B3019" s="291" t="n"/>
      <c r="E3019" s="212" t="n"/>
    </row>
    <row r="3020">
      <c r="B3020" s="291" t="n"/>
      <c r="E3020" s="212" t="n"/>
    </row>
    <row r="3021">
      <c r="B3021" s="291" t="n"/>
      <c r="E3021" s="212" t="n"/>
    </row>
    <row r="3022">
      <c r="B3022" s="291" t="n"/>
      <c r="E3022" s="212" t="n"/>
    </row>
    <row r="3023">
      <c r="B3023" s="291" t="n"/>
      <c r="E3023" s="212" t="n"/>
    </row>
    <row r="3024">
      <c r="B3024" s="291" t="n"/>
      <c r="E3024" s="212" t="n"/>
    </row>
    <row r="3025">
      <c r="B3025" s="291" t="n"/>
      <c r="E3025" s="212" t="n"/>
    </row>
    <row r="3026">
      <c r="B3026" s="291" t="n"/>
      <c r="E3026" s="212" t="n"/>
    </row>
    <row r="3027">
      <c r="B3027" s="291" t="n"/>
      <c r="E3027" s="212" t="n"/>
    </row>
    <row r="3028">
      <c r="B3028" s="291" t="n"/>
      <c r="E3028" s="212" t="n"/>
    </row>
    <row r="3029">
      <c r="B3029" s="291" t="n"/>
      <c r="E3029" s="212" t="n"/>
    </row>
    <row r="3030">
      <c r="B3030" s="291" t="n"/>
      <c r="E3030" s="212" t="n"/>
    </row>
    <row r="3031">
      <c r="B3031" s="291" t="n"/>
      <c r="E3031" s="212" t="n"/>
    </row>
    <row r="3032">
      <c r="B3032" s="291" t="n"/>
      <c r="E3032" s="212" t="n"/>
    </row>
    <row r="3033">
      <c r="B3033" s="291" t="n"/>
      <c r="E3033" s="212" t="n"/>
    </row>
    <row r="3034">
      <c r="B3034" s="291" t="n"/>
      <c r="E3034" s="212" t="n"/>
    </row>
    <row r="3035">
      <c r="B3035" s="291" t="n"/>
      <c r="E3035" s="212" t="n"/>
    </row>
    <row r="3036">
      <c r="B3036" s="291" t="n"/>
      <c r="E3036" s="212" t="n"/>
    </row>
    <row r="3037">
      <c r="B3037" s="291" t="n"/>
      <c r="E3037" s="212" t="n"/>
    </row>
    <row r="3038">
      <c r="B3038" s="291" t="n"/>
      <c r="E3038" s="212" t="n"/>
    </row>
    <row r="3039">
      <c r="B3039" s="291" t="n"/>
      <c r="E3039" s="212" t="n"/>
    </row>
    <row r="3040">
      <c r="B3040" s="291" t="n"/>
      <c r="E3040" s="212" t="n"/>
    </row>
    <row r="3041">
      <c r="B3041" s="291" t="n"/>
      <c r="E3041" s="212" t="n"/>
    </row>
    <row r="3042">
      <c r="B3042" s="291" t="n"/>
      <c r="E3042" s="212" t="n"/>
    </row>
    <row r="3043">
      <c r="B3043" s="291" t="n"/>
      <c r="E3043" s="212" t="n"/>
    </row>
    <row r="3044">
      <c r="B3044" s="291" t="n"/>
      <c r="E3044" s="212" t="n"/>
    </row>
    <row r="3045">
      <c r="B3045" s="291" t="n"/>
      <c r="E3045" s="212" t="n"/>
    </row>
    <row r="3046">
      <c r="B3046" s="291" t="n"/>
      <c r="E3046" s="212" t="n"/>
    </row>
    <row r="3047">
      <c r="B3047" s="291" t="n"/>
      <c r="E3047" s="212" t="n"/>
    </row>
    <row r="3048">
      <c r="B3048" s="291" t="n"/>
      <c r="E3048" s="212" t="n"/>
    </row>
    <row r="3049">
      <c r="B3049" s="291" t="n"/>
      <c r="E3049" s="212" t="n"/>
    </row>
    <row r="3050">
      <c r="B3050" s="291" t="n"/>
      <c r="E3050" s="212" t="n"/>
    </row>
    <row r="3051">
      <c r="B3051" s="291" t="n"/>
      <c r="E3051" s="212" t="n"/>
    </row>
    <row r="3052">
      <c r="B3052" s="291" t="n"/>
      <c r="E3052" s="212" t="n"/>
    </row>
    <row r="3053">
      <c r="B3053" s="291" t="n"/>
      <c r="E3053" s="212" t="n"/>
    </row>
    <row r="3054">
      <c r="B3054" s="291" t="n"/>
      <c r="E3054" s="212" t="n"/>
    </row>
    <row r="3055">
      <c r="B3055" s="291" t="n"/>
      <c r="E3055" s="212" t="n"/>
    </row>
    <row r="3056">
      <c r="B3056" s="291" t="n"/>
      <c r="E3056" s="212" t="n"/>
    </row>
    <row r="3057">
      <c r="B3057" s="291" t="n"/>
      <c r="E3057" s="212" t="n"/>
    </row>
    <row r="3058">
      <c r="B3058" s="291" t="n"/>
      <c r="E3058" s="212" t="n"/>
    </row>
    <row r="3059">
      <c r="B3059" s="291" t="n"/>
      <c r="E3059" s="212" t="n"/>
    </row>
    <row r="3060">
      <c r="B3060" s="291" t="n"/>
      <c r="E3060" s="212" t="n"/>
    </row>
    <row r="3061">
      <c r="B3061" s="291" t="n"/>
      <c r="E3061" s="212" t="n"/>
    </row>
    <row r="3062">
      <c r="B3062" s="291" t="n"/>
      <c r="E3062" s="212" t="n"/>
    </row>
    <row r="3063">
      <c r="B3063" s="291" t="n"/>
      <c r="E3063" s="212" t="n"/>
    </row>
    <row r="3064">
      <c r="B3064" s="291" t="n"/>
      <c r="E3064" s="212" t="n"/>
    </row>
    <row r="3065">
      <c r="B3065" s="291" t="n"/>
      <c r="E3065" s="212" t="n"/>
    </row>
    <row r="3066">
      <c r="B3066" s="291" t="n"/>
      <c r="E3066" s="212" t="n"/>
    </row>
    <row r="3067">
      <c r="B3067" s="291" t="n"/>
      <c r="E3067" s="212" t="n"/>
    </row>
    <row r="3068">
      <c r="B3068" s="291" t="n"/>
      <c r="E3068" s="212" t="n"/>
    </row>
    <row r="3069">
      <c r="B3069" s="291" t="n"/>
      <c r="E3069" s="212" t="n"/>
    </row>
    <row r="3070">
      <c r="B3070" s="291" t="n"/>
      <c r="E3070" s="212" t="n"/>
    </row>
    <row r="3071">
      <c r="B3071" s="291" t="n"/>
      <c r="E3071" s="212" t="n"/>
    </row>
    <row r="3072">
      <c r="B3072" s="291" t="n"/>
      <c r="E3072" s="212" t="n"/>
    </row>
    <row r="3073">
      <c r="B3073" s="291" t="n"/>
      <c r="E3073" s="212" t="n"/>
    </row>
    <row r="3074">
      <c r="B3074" s="291" t="n"/>
      <c r="E3074" s="212" t="n"/>
    </row>
    <row r="3075">
      <c r="B3075" s="291" t="n"/>
      <c r="E3075" s="212" t="n"/>
    </row>
    <row r="3076">
      <c r="B3076" s="291" t="n"/>
      <c r="E3076" s="212" t="n"/>
    </row>
    <row r="3077">
      <c r="B3077" s="291" t="n"/>
      <c r="E3077" s="212" t="n"/>
    </row>
    <row r="3078">
      <c r="B3078" s="291" t="n"/>
      <c r="E3078" s="212" t="n"/>
    </row>
    <row r="3079">
      <c r="B3079" s="291" t="n"/>
      <c r="E3079" s="212" t="n"/>
    </row>
    <row r="3080">
      <c r="B3080" s="291" t="n"/>
      <c r="E3080" s="212" t="n"/>
    </row>
    <row r="3081">
      <c r="B3081" s="291" t="n"/>
      <c r="E3081" s="212" t="n"/>
    </row>
    <row r="3082">
      <c r="B3082" s="291" t="n"/>
      <c r="E3082" s="212" t="n"/>
    </row>
    <row r="3083">
      <c r="B3083" s="291" t="n"/>
      <c r="E3083" s="212" t="n"/>
    </row>
    <row r="3084">
      <c r="B3084" s="291" t="n"/>
      <c r="E3084" s="212" t="n"/>
    </row>
    <row r="3085">
      <c r="B3085" s="291" t="n"/>
      <c r="E3085" s="212" t="n"/>
    </row>
    <row r="3086">
      <c r="B3086" s="291" t="n"/>
      <c r="E3086" s="212" t="n"/>
    </row>
    <row r="3087">
      <c r="B3087" s="291" t="n"/>
      <c r="E3087" s="212" t="n"/>
    </row>
    <row r="3088">
      <c r="B3088" s="291" t="n"/>
      <c r="E3088" s="212" t="n"/>
    </row>
    <row r="3089">
      <c r="B3089" s="291" t="n"/>
      <c r="E3089" s="212" t="n"/>
    </row>
    <row r="3090">
      <c r="B3090" s="291" t="n"/>
      <c r="E3090" s="212" t="n"/>
    </row>
    <row r="3091">
      <c r="B3091" s="291" t="n"/>
      <c r="E3091" s="212" t="n"/>
    </row>
    <row r="3092">
      <c r="B3092" s="291" t="n"/>
      <c r="E3092" s="212" t="n"/>
    </row>
    <row r="3093">
      <c r="B3093" s="291" t="n"/>
      <c r="E3093" s="212" t="n"/>
    </row>
    <row r="3094">
      <c r="B3094" s="291" t="n"/>
      <c r="E3094" s="212" t="n"/>
    </row>
    <row r="3095">
      <c r="B3095" s="291" t="n"/>
      <c r="E3095" s="212" t="n"/>
    </row>
    <row r="3096">
      <c r="B3096" s="291" t="n"/>
      <c r="E3096" s="212" t="n"/>
    </row>
    <row r="3097">
      <c r="B3097" s="291" t="n"/>
      <c r="E3097" s="212" t="n"/>
    </row>
    <row r="3098">
      <c r="B3098" s="291" t="n"/>
      <c r="E3098" s="212" t="n"/>
    </row>
    <row r="3099">
      <c r="B3099" s="291" t="n"/>
      <c r="E3099" s="212" t="n"/>
    </row>
    <row r="3100">
      <c r="B3100" s="291" t="n"/>
      <c r="E3100" s="212" t="n"/>
    </row>
    <row r="3101">
      <c r="B3101" s="291" t="n"/>
      <c r="E3101" s="212" t="n"/>
    </row>
    <row r="3102">
      <c r="B3102" s="291" t="n"/>
      <c r="E3102" s="212" t="n"/>
    </row>
    <row r="3103">
      <c r="B3103" s="291" t="n"/>
      <c r="E3103" s="212" t="n"/>
    </row>
    <row r="3104">
      <c r="B3104" s="291" t="n"/>
      <c r="E3104" s="212" t="n"/>
    </row>
    <row r="3105">
      <c r="B3105" s="291" t="n"/>
      <c r="E3105" s="212" t="n"/>
    </row>
    <row r="3106">
      <c r="B3106" s="291" t="n"/>
      <c r="E3106" s="212" t="n"/>
    </row>
    <row r="3107">
      <c r="B3107" s="291" t="n"/>
      <c r="E3107" s="212" t="n"/>
    </row>
    <row r="3108">
      <c r="B3108" s="291" t="n"/>
      <c r="E3108" s="212" t="n"/>
    </row>
    <row r="3109">
      <c r="B3109" s="291" t="n"/>
      <c r="E3109" s="212" t="n"/>
    </row>
    <row r="3110">
      <c r="B3110" s="291" t="n"/>
      <c r="E3110" s="212" t="n"/>
    </row>
    <row r="3111">
      <c r="B3111" s="291" t="n"/>
      <c r="E3111" s="212" t="n"/>
    </row>
    <row r="3112">
      <c r="B3112" s="291" t="n"/>
      <c r="E3112" s="212" t="n"/>
    </row>
    <row r="3113">
      <c r="B3113" s="291" t="n"/>
      <c r="E3113" s="212" t="n"/>
    </row>
    <row r="3114">
      <c r="B3114" s="291" t="n"/>
      <c r="E3114" s="212" t="n"/>
    </row>
    <row r="3115">
      <c r="B3115" s="291" t="n"/>
      <c r="E3115" s="212" t="n"/>
    </row>
    <row r="3116">
      <c r="B3116" s="291" t="n"/>
      <c r="E3116" s="212" t="n"/>
    </row>
    <row r="3117">
      <c r="B3117" s="291" t="n"/>
      <c r="E3117" s="212" t="n"/>
    </row>
    <row r="3118">
      <c r="B3118" s="291" t="n"/>
      <c r="E3118" s="212" t="n"/>
    </row>
    <row r="3119">
      <c r="B3119" s="291" t="n"/>
      <c r="E3119" s="212" t="n"/>
    </row>
    <row r="3120">
      <c r="B3120" s="291" t="n"/>
      <c r="E3120" s="212" t="n"/>
    </row>
    <row r="3121">
      <c r="B3121" s="291" t="n"/>
      <c r="E3121" s="212" t="n"/>
    </row>
    <row r="3122">
      <c r="B3122" s="291" t="n"/>
      <c r="E3122" s="212" t="n"/>
    </row>
    <row r="3123">
      <c r="B3123" s="291" t="n"/>
      <c r="E3123" s="212" t="n"/>
    </row>
    <row r="3124">
      <c r="B3124" s="291" t="n"/>
      <c r="E3124" s="212" t="n"/>
    </row>
    <row r="3125">
      <c r="B3125" s="291" t="n"/>
      <c r="E3125" s="212" t="n"/>
    </row>
    <row r="3126">
      <c r="B3126" s="291" t="n"/>
      <c r="E3126" s="212" t="n"/>
    </row>
    <row r="3127">
      <c r="B3127" s="291" t="n"/>
      <c r="E3127" s="212" t="n"/>
    </row>
    <row r="3128">
      <c r="B3128" s="291" t="n"/>
      <c r="E3128" s="212" t="n"/>
    </row>
    <row r="3129">
      <c r="B3129" s="291" t="n"/>
      <c r="E3129" s="212" t="n"/>
    </row>
    <row r="3130">
      <c r="B3130" s="291" t="n"/>
      <c r="E3130" s="212" t="n"/>
    </row>
    <row r="3131">
      <c r="B3131" s="291" t="n"/>
      <c r="E3131" s="212" t="n"/>
    </row>
    <row r="3132">
      <c r="B3132" s="291" t="n"/>
      <c r="E3132" s="212" t="n"/>
    </row>
    <row r="3133">
      <c r="B3133" s="291" t="n"/>
      <c r="E3133" s="212" t="n"/>
    </row>
    <row r="3134">
      <c r="B3134" s="291" t="n"/>
      <c r="E3134" s="212" t="n"/>
    </row>
    <row r="3135">
      <c r="B3135" s="291" t="n"/>
      <c r="E3135" s="212" t="n"/>
    </row>
    <row r="3136">
      <c r="B3136" s="291" t="n"/>
      <c r="E3136" s="212" t="n"/>
    </row>
    <row r="3137">
      <c r="B3137" s="291" t="n"/>
      <c r="E3137" s="212" t="n"/>
    </row>
    <row r="3138">
      <c r="B3138" s="291" t="n"/>
      <c r="E3138" s="212" t="n"/>
    </row>
    <row r="3139">
      <c r="B3139" s="291" t="n"/>
      <c r="E3139" s="212" t="n"/>
    </row>
    <row r="3140">
      <c r="B3140" s="291" t="n"/>
      <c r="E3140" s="212" t="n"/>
    </row>
    <row r="3141">
      <c r="B3141" s="291" t="n"/>
      <c r="E3141" s="212" t="n"/>
    </row>
    <row r="3142">
      <c r="B3142" s="291" t="n"/>
      <c r="E3142" s="212" t="n"/>
    </row>
    <row r="3143">
      <c r="B3143" s="291" t="n"/>
      <c r="E3143" s="212" t="n"/>
    </row>
    <row r="3144">
      <c r="B3144" s="291" t="n"/>
      <c r="E3144" s="212" t="n"/>
    </row>
    <row r="3145">
      <c r="B3145" s="291" t="n"/>
      <c r="E3145" s="212" t="n"/>
    </row>
    <row r="3146">
      <c r="B3146" s="291" t="n"/>
      <c r="E3146" s="212" t="n"/>
    </row>
    <row r="3147">
      <c r="B3147" s="291" t="n"/>
      <c r="E3147" s="212" t="n"/>
    </row>
    <row r="3148">
      <c r="B3148" s="291" t="n"/>
      <c r="E3148" s="212" t="n"/>
    </row>
    <row r="3149">
      <c r="B3149" s="291" t="n"/>
      <c r="E3149" s="212" t="n"/>
    </row>
    <row r="3150">
      <c r="B3150" s="291" t="n"/>
      <c r="E3150" s="212" t="n"/>
    </row>
    <row r="3151">
      <c r="B3151" s="291" t="n"/>
      <c r="E3151" s="212" t="n"/>
    </row>
    <row r="3152">
      <c r="B3152" s="291" t="n"/>
      <c r="E3152" s="212" t="n"/>
    </row>
    <row r="3153">
      <c r="B3153" s="291" t="n"/>
      <c r="E3153" s="212" t="n"/>
    </row>
    <row r="3154">
      <c r="B3154" s="291" t="n"/>
      <c r="E3154" s="212" t="n"/>
    </row>
    <row r="3155">
      <c r="B3155" s="291" t="n"/>
      <c r="E3155" s="212" t="n"/>
    </row>
    <row r="3156">
      <c r="B3156" s="291" t="n"/>
      <c r="E3156" s="212" t="n"/>
    </row>
    <row r="3157">
      <c r="B3157" s="291" t="n"/>
      <c r="E3157" s="212" t="n"/>
    </row>
    <row r="3158">
      <c r="B3158" s="291" t="n"/>
      <c r="E3158" s="212" t="n"/>
    </row>
    <row r="3159">
      <c r="B3159" s="291" t="n"/>
      <c r="E3159" s="212" t="n"/>
    </row>
    <row r="3160">
      <c r="B3160" s="291" t="n"/>
      <c r="E3160" s="212" t="n"/>
    </row>
    <row r="3161">
      <c r="B3161" s="291" t="n"/>
      <c r="E3161" s="212" t="n"/>
    </row>
    <row r="3162">
      <c r="B3162" s="291" t="n"/>
      <c r="E3162" s="212" t="n"/>
    </row>
    <row r="3163">
      <c r="B3163" s="291" t="n"/>
      <c r="E3163" s="212" t="n"/>
    </row>
    <row r="3164">
      <c r="B3164" s="291" t="n"/>
      <c r="E3164" s="212" t="n"/>
    </row>
    <row r="3165">
      <c r="B3165" s="291" t="n"/>
      <c r="E3165" s="212" t="n"/>
    </row>
    <row r="3166">
      <c r="B3166" s="291" t="n"/>
      <c r="E3166" s="212" t="n"/>
    </row>
    <row r="3167">
      <c r="B3167" s="291" t="n"/>
      <c r="E3167" s="212" t="n"/>
    </row>
    <row r="3168">
      <c r="B3168" s="291" t="n"/>
      <c r="E3168" s="212" t="n"/>
    </row>
    <row r="3169">
      <c r="B3169" s="291" t="n"/>
      <c r="E3169" s="212" t="n"/>
    </row>
    <row r="3170">
      <c r="B3170" s="291" t="n"/>
      <c r="E3170" s="212" t="n"/>
    </row>
    <row r="3171">
      <c r="B3171" s="291" t="n"/>
      <c r="E3171" s="212" t="n"/>
    </row>
    <row r="3172">
      <c r="B3172" s="291" t="n"/>
      <c r="E3172" s="212" t="n"/>
    </row>
    <row r="3173">
      <c r="B3173" s="291" t="n"/>
      <c r="E3173" s="212" t="n"/>
    </row>
    <row r="3174">
      <c r="B3174" s="291" t="n"/>
      <c r="E3174" s="212" t="n"/>
    </row>
    <row r="3175">
      <c r="B3175" s="291" t="n"/>
      <c r="E3175" s="212" t="n"/>
    </row>
    <row r="3176">
      <c r="B3176" s="291" t="n"/>
      <c r="E3176" s="212" t="n"/>
    </row>
    <row r="3177">
      <c r="B3177" s="291" t="n"/>
      <c r="E3177" s="212" t="n"/>
    </row>
    <row r="3178">
      <c r="B3178" s="291" t="n"/>
      <c r="E3178" s="212" t="n"/>
    </row>
    <row r="3179">
      <c r="B3179" s="291" t="n"/>
      <c r="E3179" s="212" t="n"/>
    </row>
    <row r="3180">
      <c r="B3180" s="291" t="n"/>
      <c r="E3180" s="212" t="n"/>
    </row>
    <row r="3181">
      <c r="B3181" s="291" t="n"/>
      <c r="E3181" s="212" t="n"/>
    </row>
    <row r="3182">
      <c r="B3182" s="291" t="n"/>
      <c r="E3182" s="212" t="n"/>
    </row>
    <row r="3183">
      <c r="B3183" s="291" t="n"/>
      <c r="E3183" s="212" t="n"/>
    </row>
    <row r="3184">
      <c r="B3184" s="291" t="n"/>
      <c r="E3184" s="212" t="n"/>
    </row>
    <row r="3185">
      <c r="B3185" s="291" t="n"/>
      <c r="E3185" s="212" t="n"/>
    </row>
    <row r="3186">
      <c r="B3186" s="291" t="n"/>
      <c r="E3186" s="212" t="n"/>
    </row>
    <row r="3187">
      <c r="B3187" s="291" t="n"/>
      <c r="E3187" s="212" t="n"/>
    </row>
    <row r="3188">
      <c r="B3188" s="291" t="n"/>
      <c r="E3188" s="212" t="n"/>
    </row>
    <row r="3189">
      <c r="B3189" s="291" t="n"/>
      <c r="E3189" s="212" t="n"/>
    </row>
    <row r="3190">
      <c r="B3190" s="291" t="n"/>
      <c r="E3190" s="212" t="n"/>
    </row>
    <row r="3191">
      <c r="B3191" s="291" t="n"/>
      <c r="E3191" s="212" t="n"/>
    </row>
    <row r="3192">
      <c r="B3192" s="291" t="n"/>
      <c r="E3192" s="212" t="n"/>
    </row>
    <row r="3193">
      <c r="B3193" s="291" t="n"/>
      <c r="E3193" s="212" t="n"/>
    </row>
    <row r="3194">
      <c r="B3194" s="291" t="n"/>
      <c r="E3194" s="212" t="n"/>
    </row>
    <row r="3195">
      <c r="B3195" s="291" t="n"/>
      <c r="E3195" s="212" t="n"/>
    </row>
    <row r="3196">
      <c r="B3196" s="291" t="n"/>
      <c r="E3196" s="212" t="n"/>
    </row>
    <row r="3197">
      <c r="B3197" s="291" t="n"/>
      <c r="E3197" s="212" t="n"/>
    </row>
    <row r="3198">
      <c r="B3198" s="291" t="n"/>
      <c r="E3198" s="212" t="n"/>
    </row>
    <row r="3199">
      <c r="B3199" s="291" t="n"/>
      <c r="E3199" s="212" t="n"/>
    </row>
    <row r="3200">
      <c r="B3200" s="291" t="n"/>
      <c r="E3200" s="212" t="n"/>
    </row>
    <row r="3201">
      <c r="B3201" s="291" t="n"/>
      <c r="E3201" s="212" t="n"/>
    </row>
    <row r="3202">
      <c r="B3202" s="291" t="n"/>
      <c r="E3202" s="212" t="n"/>
    </row>
    <row r="3203">
      <c r="B3203" s="291" t="n"/>
      <c r="E3203" s="212" t="n"/>
    </row>
    <row r="3204">
      <c r="B3204" s="291" t="n"/>
      <c r="E3204" s="212" t="n"/>
    </row>
    <row r="3205">
      <c r="B3205" s="291" t="n"/>
      <c r="E3205" s="212" t="n"/>
    </row>
    <row r="3206">
      <c r="B3206" s="291" t="n"/>
      <c r="E3206" s="212" t="n"/>
    </row>
    <row r="3207">
      <c r="B3207" s="291" t="n"/>
      <c r="E3207" s="212" t="n"/>
    </row>
    <row r="3208">
      <c r="B3208" s="291" t="n"/>
      <c r="E3208" s="212" t="n"/>
    </row>
    <row r="3209">
      <c r="B3209" s="291" t="n"/>
      <c r="E3209" s="212" t="n"/>
    </row>
    <row r="3210">
      <c r="B3210" s="291" t="n"/>
      <c r="E3210" s="212" t="n"/>
    </row>
    <row r="3211">
      <c r="B3211" s="291" t="n"/>
      <c r="E3211" s="212" t="n"/>
    </row>
    <row r="3212">
      <c r="B3212" s="291" t="n"/>
      <c r="E3212" s="212" t="n"/>
    </row>
    <row r="3213">
      <c r="B3213" s="291" t="n"/>
      <c r="E3213" s="212" t="n"/>
    </row>
    <row r="3214">
      <c r="B3214" s="291" t="n"/>
      <c r="E3214" s="212" t="n"/>
    </row>
    <row r="3215">
      <c r="B3215" s="291" t="n"/>
      <c r="E3215" s="212" t="n"/>
    </row>
    <row r="3216">
      <c r="B3216" s="291" t="n"/>
      <c r="E3216" s="212" t="n"/>
    </row>
    <row r="3217">
      <c r="B3217" s="291" t="n"/>
      <c r="E3217" s="212" t="n"/>
    </row>
    <row r="3218">
      <c r="B3218" s="291" t="n"/>
      <c r="E3218" s="212" t="n"/>
    </row>
    <row r="3219">
      <c r="B3219" s="291" t="n"/>
      <c r="E3219" s="212" t="n"/>
    </row>
    <row r="3220">
      <c r="B3220" s="291" t="n"/>
      <c r="E3220" s="212" t="n"/>
    </row>
    <row r="3221">
      <c r="B3221" s="291" t="n"/>
      <c r="E3221" s="212" t="n"/>
    </row>
    <row r="3222">
      <c r="B3222" s="291" t="n"/>
      <c r="E3222" s="212" t="n"/>
    </row>
    <row r="3223">
      <c r="B3223" s="291" t="n"/>
      <c r="E3223" s="212" t="n"/>
    </row>
    <row r="3224">
      <c r="B3224" s="291" t="n"/>
      <c r="E3224" s="212" t="n"/>
    </row>
    <row r="3225">
      <c r="B3225" s="291" t="n"/>
      <c r="E3225" s="212" t="n"/>
    </row>
    <row r="3226">
      <c r="B3226" s="291" t="n"/>
      <c r="E3226" s="212" t="n"/>
    </row>
    <row r="3227">
      <c r="B3227" s="291" t="n"/>
      <c r="E3227" s="212" t="n"/>
    </row>
    <row r="3228">
      <c r="B3228" s="291" t="n"/>
      <c r="E3228" s="212" t="n"/>
    </row>
    <row r="3229">
      <c r="B3229" s="291" t="n"/>
      <c r="E3229" s="212" t="n"/>
    </row>
    <row r="3230">
      <c r="B3230" s="291" t="n"/>
      <c r="E3230" s="212" t="n"/>
    </row>
    <row r="3231">
      <c r="B3231" s="291" t="n"/>
      <c r="E3231" s="212" t="n"/>
    </row>
    <row r="3232">
      <c r="B3232" s="291" t="n"/>
      <c r="E3232" s="212" t="n"/>
    </row>
    <row r="3233">
      <c r="B3233" s="291" t="n"/>
      <c r="E3233" s="212" t="n"/>
    </row>
    <row r="3234">
      <c r="B3234" s="291" t="n"/>
      <c r="E3234" s="212" t="n"/>
    </row>
    <row r="3235">
      <c r="B3235" s="291" t="n"/>
      <c r="E3235" s="212" t="n"/>
    </row>
    <row r="3236">
      <c r="B3236" s="291" t="n"/>
      <c r="E3236" s="212" t="n"/>
    </row>
    <row r="3237">
      <c r="B3237" s="291" t="n"/>
      <c r="E3237" s="212" t="n"/>
    </row>
    <row r="3238">
      <c r="B3238" s="291" t="n"/>
      <c r="E3238" s="212" t="n"/>
    </row>
    <row r="3239">
      <c r="B3239" s="291" t="n"/>
      <c r="E3239" s="212" t="n"/>
    </row>
    <row r="3240">
      <c r="B3240" s="291" t="n"/>
      <c r="E3240" s="212" t="n"/>
    </row>
    <row r="3241">
      <c r="B3241" s="291" t="n"/>
      <c r="E3241" s="212" t="n"/>
    </row>
    <row r="3242">
      <c r="B3242" s="291" t="n"/>
      <c r="E3242" s="212" t="n"/>
    </row>
    <row r="3243">
      <c r="B3243" s="291" t="n"/>
      <c r="E3243" s="212" t="n"/>
    </row>
    <row r="3244">
      <c r="B3244" s="291" t="n"/>
      <c r="E3244" s="212" t="n"/>
    </row>
    <row r="3245">
      <c r="B3245" s="291" t="n"/>
      <c r="E3245" s="212" t="n"/>
    </row>
    <row r="3246">
      <c r="B3246" s="291" t="n"/>
      <c r="E3246" s="212" t="n"/>
    </row>
    <row r="3247">
      <c r="B3247" s="291" t="n"/>
      <c r="E3247" s="212" t="n"/>
    </row>
    <row r="3248">
      <c r="B3248" s="291" t="n"/>
      <c r="E3248" s="212" t="n"/>
    </row>
    <row r="3249">
      <c r="B3249" s="291" t="n"/>
      <c r="E3249" s="212" t="n"/>
    </row>
    <row r="3250">
      <c r="B3250" s="291" t="n"/>
      <c r="E3250" s="212" t="n"/>
    </row>
    <row r="3251">
      <c r="B3251" s="291" t="n"/>
      <c r="E3251" s="212" t="n"/>
    </row>
    <row r="3252">
      <c r="B3252" s="291" t="n"/>
      <c r="E3252" s="212" t="n"/>
    </row>
    <row r="3253">
      <c r="B3253" s="291" t="n"/>
      <c r="E3253" s="212" t="n"/>
    </row>
    <row r="3254">
      <c r="B3254" s="291" t="n"/>
      <c r="E3254" s="212" t="n"/>
    </row>
    <row r="3255">
      <c r="B3255" s="291" t="n"/>
      <c r="E3255" s="212" t="n"/>
    </row>
    <row r="3256">
      <c r="B3256" s="291" t="n"/>
      <c r="E3256" s="212" t="n"/>
    </row>
    <row r="3257">
      <c r="B3257" s="291" t="n"/>
      <c r="E3257" s="212" t="n"/>
    </row>
    <row r="3258">
      <c r="B3258" s="291" t="n"/>
      <c r="E3258" s="212" t="n"/>
    </row>
    <row r="3259">
      <c r="B3259" s="291" t="n"/>
      <c r="E3259" s="212" t="n"/>
    </row>
    <row r="3260">
      <c r="B3260" s="291" t="n"/>
      <c r="E3260" s="212" t="n"/>
    </row>
    <row r="3261">
      <c r="B3261" s="291" t="n"/>
      <c r="E3261" s="212" t="n"/>
    </row>
    <row r="3262">
      <c r="B3262" s="291" t="n"/>
      <c r="E3262" s="212" t="n"/>
    </row>
    <row r="3263">
      <c r="B3263" s="291" t="n"/>
      <c r="E3263" s="212" t="n"/>
    </row>
    <row r="3264">
      <c r="B3264" s="291" t="n"/>
      <c r="E3264" s="212" t="n"/>
    </row>
    <row r="3265">
      <c r="B3265" s="291" t="n"/>
      <c r="E3265" s="212" t="n"/>
    </row>
    <row r="3266">
      <c r="B3266" s="291" t="n"/>
      <c r="E3266" s="212" t="n"/>
    </row>
    <row r="3267">
      <c r="B3267" s="291" t="n"/>
      <c r="E3267" s="212" t="n"/>
    </row>
    <row r="3268">
      <c r="B3268" s="291" t="n"/>
      <c r="E3268" s="212" t="n"/>
    </row>
    <row r="3269">
      <c r="B3269" s="291" t="n"/>
      <c r="E3269" s="212" t="n"/>
    </row>
    <row r="3270">
      <c r="B3270" s="291" t="n"/>
      <c r="E3270" s="212" t="n"/>
    </row>
    <row r="3271">
      <c r="B3271" s="291" t="n"/>
      <c r="E3271" s="212" t="n"/>
    </row>
    <row r="3272">
      <c r="B3272" s="291" t="n"/>
      <c r="E3272" s="212" t="n"/>
    </row>
    <row r="3273">
      <c r="B3273" s="291" t="n"/>
      <c r="E3273" s="212" t="n"/>
    </row>
    <row r="3274">
      <c r="B3274" s="291" t="n"/>
      <c r="E3274" s="212" t="n"/>
    </row>
    <row r="3275">
      <c r="B3275" s="291" t="n"/>
      <c r="E3275" s="212" t="n"/>
    </row>
    <row r="3276">
      <c r="B3276" s="291" t="n"/>
      <c r="E3276" s="212" t="n"/>
    </row>
    <row r="3277">
      <c r="B3277" s="291" t="n"/>
      <c r="E3277" s="212" t="n"/>
    </row>
    <row r="3278">
      <c r="B3278" s="291" t="n"/>
      <c r="E3278" s="212" t="n"/>
    </row>
    <row r="3279">
      <c r="B3279" s="291" t="n"/>
      <c r="E3279" s="212" t="n"/>
    </row>
    <row r="3280">
      <c r="B3280" s="291" t="n"/>
      <c r="E3280" s="212" t="n"/>
    </row>
    <row r="3281">
      <c r="B3281" s="291" t="n"/>
      <c r="E3281" s="212" t="n"/>
    </row>
    <row r="3282">
      <c r="B3282" s="291" t="n"/>
      <c r="E3282" s="212" t="n"/>
    </row>
    <row r="3283">
      <c r="B3283" s="291" t="n"/>
      <c r="E3283" s="212" t="n"/>
    </row>
    <row r="3284">
      <c r="B3284" s="291" t="n"/>
      <c r="E3284" s="212" t="n"/>
    </row>
    <row r="3285">
      <c r="B3285" s="291" t="n"/>
      <c r="E3285" s="212" t="n"/>
    </row>
    <row r="3286">
      <c r="B3286" s="291" t="n"/>
      <c r="E3286" s="212" t="n"/>
    </row>
    <row r="3287">
      <c r="B3287" s="291" t="n"/>
      <c r="E3287" s="212" t="n"/>
    </row>
    <row r="3288">
      <c r="B3288" s="291" t="n"/>
      <c r="E3288" s="212" t="n"/>
    </row>
    <row r="3289">
      <c r="B3289" s="291" t="n"/>
      <c r="E3289" s="212" t="n"/>
    </row>
    <row r="3290">
      <c r="B3290" s="291" t="n"/>
      <c r="E3290" s="212" t="n"/>
    </row>
    <row r="3291">
      <c r="B3291" s="291" t="n"/>
      <c r="E3291" s="212" t="n"/>
    </row>
    <row r="3292">
      <c r="B3292" s="291" t="n"/>
      <c r="E3292" s="212" t="n"/>
    </row>
    <row r="3293">
      <c r="B3293" s="291" t="n"/>
      <c r="E3293" s="212" t="n"/>
    </row>
    <row r="3294">
      <c r="B3294" s="291" t="n"/>
      <c r="E3294" s="212" t="n"/>
    </row>
    <row r="3295">
      <c r="B3295" s="291" t="n"/>
      <c r="E3295" s="212" t="n"/>
    </row>
    <row r="3296">
      <c r="B3296" s="291" t="n"/>
      <c r="E3296" s="212" t="n"/>
    </row>
    <row r="3297">
      <c r="B3297" s="291" t="n"/>
      <c r="E3297" s="212" t="n"/>
    </row>
    <row r="3298">
      <c r="B3298" s="291" t="n"/>
      <c r="E3298" s="212" t="n"/>
    </row>
    <row r="3299">
      <c r="B3299" s="291" t="n"/>
      <c r="E3299" s="212" t="n"/>
    </row>
    <row r="3300">
      <c r="B3300" s="291" t="n"/>
      <c r="E3300" s="212" t="n"/>
    </row>
    <row r="3301">
      <c r="B3301" s="291" t="n"/>
      <c r="E3301" s="212" t="n"/>
    </row>
    <row r="3302">
      <c r="B3302" s="291" t="n"/>
      <c r="E3302" s="212" t="n"/>
    </row>
    <row r="3303">
      <c r="B3303" s="291" t="n"/>
      <c r="E3303" s="212" t="n"/>
    </row>
    <row r="3304">
      <c r="B3304" s="291" t="n"/>
      <c r="E3304" s="212" t="n"/>
    </row>
    <row r="3305">
      <c r="B3305" s="291" t="n"/>
      <c r="E3305" s="212" t="n"/>
    </row>
    <row r="3306">
      <c r="B3306" s="291" t="n"/>
      <c r="E3306" s="212" t="n"/>
    </row>
    <row r="3307">
      <c r="B3307" s="291" t="n"/>
      <c r="E3307" s="212" t="n"/>
    </row>
    <row r="3308">
      <c r="B3308" s="291" t="n"/>
      <c r="E3308" s="212" t="n"/>
    </row>
    <row r="3309">
      <c r="B3309" s="291" t="n"/>
      <c r="E3309" s="212" t="n"/>
    </row>
    <row r="3310">
      <c r="B3310" s="291" t="n"/>
      <c r="E3310" s="212" t="n"/>
    </row>
    <row r="3311">
      <c r="B3311" s="291" t="n"/>
      <c r="E3311" s="212" t="n"/>
    </row>
    <row r="3312">
      <c r="B3312" s="291" t="n"/>
      <c r="E3312" s="212" t="n"/>
    </row>
    <row r="3313">
      <c r="B3313" s="291" t="n"/>
      <c r="E3313" s="212" t="n"/>
    </row>
    <row r="3314">
      <c r="B3314" s="291" t="n"/>
      <c r="E3314" s="212" t="n"/>
    </row>
    <row r="3315">
      <c r="B3315" s="291" t="n"/>
      <c r="E3315" s="212" t="n"/>
    </row>
    <row r="3316">
      <c r="B3316" s="291" t="n"/>
      <c r="E3316" s="212" t="n"/>
    </row>
    <row r="3317">
      <c r="B3317" s="291" t="n"/>
      <c r="E3317" s="212" t="n"/>
    </row>
    <row r="3318">
      <c r="B3318" s="291" t="n"/>
      <c r="E3318" s="212" t="n"/>
    </row>
    <row r="3319">
      <c r="B3319" s="291" t="n"/>
      <c r="E3319" s="212" t="n"/>
    </row>
    <row r="3320">
      <c r="B3320" s="291" t="n"/>
      <c r="E3320" s="212" t="n"/>
    </row>
    <row r="3321">
      <c r="B3321" s="291" t="n"/>
      <c r="E3321" s="212" t="n"/>
    </row>
    <row r="3322">
      <c r="B3322" s="291" t="n"/>
      <c r="E3322" s="212" t="n"/>
    </row>
    <row r="3323">
      <c r="B3323" s="291" t="n"/>
      <c r="E3323" s="212" t="n"/>
    </row>
    <row r="3324">
      <c r="B3324" s="291" t="n"/>
      <c r="E3324" s="212" t="n"/>
    </row>
    <row r="3325">
      <c r="B3325" s="291" t="n"/>
      <c r="E3325" s="212" t="n"/>
    </row>
    <row r="3326">
      <c r="B3326" s="291" t="n"/>
      <c r="E3326" s="212" t="n"/>
    </row>
    <row r="3327">
      <c r="B3327" s="291" t="n"/>
      <c r="E3327" s="212" t="n"/>
    </row>
    <row r="3328">
      <c r="B3328" s="291" t="n"/>
      <c r="E3328" s="212" t="n"/>
    </row>
    <row r="3329">
      <c r="B3329" s="291" t="n"/>
      <c r="E3329" s="212" t="n"/>
    </row>
    <row r="3330">
      <c r="B3330" s="291" t="n"/>
      <c r="E3330" s="212" t="n"/>
    </row>
    <row r="3331">
      <c r="B3331" s="291" t="n"/>
      <c r="E3331" s="212" t="n"/>
    </row>
    <row r="3332">
      <c r="B3332" s="291" t="n"/>
      <c r="E3332" s="212" t="n"/>
    </row>
    <row r="3333">
      <c r="B3333" s="291" t="n"/>
      <c r="E3333" s="212" t="n"/>
    </row>
    <row r="3334">
      <c r="B3334" s="291" t="n"/>
      <c r="E3334" s="212" t="n"/>
    </row>
    <row r="3335">
      <c r="B3335" s="291" t="n"/>
      <c r="E3335" s="212" t="n"/>
    </row>
    <row r="3336">
      <c r="B3336" s="291" t="n"/>
      <c r="E3336" s="212" t="n"/>
    </row>
    <row r="3337">
      <c r="B3337" s="291" t="n"/>
      <c r="E3337" s="212" t="n"/>
    </row>
    <row r="3338">
      <c r="B3338" s="291" t="n"/>
      <c r="E3338" s="212" t="n"/>
    </row>
    <row r="3339">
      <c r="B3339" s="291" t="n"/>
      <c r="E3339" s="212" t="n"/>
    </row>
    <row r="3340">
      <c r="B3340" s="291" t="n"/>
      <c r="E3340" s="212" t="n"/>
    </row>
    <row r="3341">
      <c r="B3341" s="291" t="n"/>
      <c r="E3341" s="212" t="n"/>
    </row>
    <row r="3342">
      <c r="B3342" s="291" t="n"/>
      <c r="E3342" s="212" t="n"/>
    </row>
    <row r="3343">
      <c r="B3343" s="291" t="n"/>
      <c r="E3343" s="212" t="n"/>
    </row>
    <row r="3344">
      <c r="B3344" s="291" t="n"/>
      <c r="E3344" s="212" t="n"/>
    </row>
    <row r="3345">
      <c r="B3345" s="291" t="n"/>
      <c r="E3345" s="212" t="n"/>
    </row>
    <row r="3346">
      <c r="B3346" s="291" t="n"/>
      <c r="E3346" s="212" t="n"/>
    </row>
    <row r="3347">
      <c r="B3347" s="291" t="n"/>
      <c r="E3347" s="212" t="n"/>
    </row>
    <row r="3348">
      <c r="B3348" s="291" t="n"/>
      <c r="E3348" s="212" t="n"/>
    </row>
    <row r="3349">
      <c r="B3349" s="291" t="n"/>
      <c r="E3349" s="212" t="n"/>
    </row>
    <row r="3350">
      <c r="B3350" s="291" t="n"/>
      <c r="E3350" s="212" t="n"/>
    </row>
    <row r="3351">
      <c r="B3351" s="291" t="n"/>
      <c r="E3351" s="212" t="n"/>
    </row>
    <row r="3352">
      <c r="B3352" s="291" t="n"/>
      <c r="E3352" s="212" t="n"/>
    </row>
    <row r="3353">
      <c r="B3353" s="291" t="n"/>
      <c r="E3353" s="212" t="n"/>
    </row>
    <row r="3354">
      <c r="B3354" s="291" t="n"/>
      <c r="E3354" s="212" t="n"/>
    </row>
    <row r="3355">
      <c r="B3355" s="291" t="n"/>
      <c r="E3355" s="212" t="n"/>
    </row>
    <row r="3356">
      <c r="B3356" s="291" t="n"/>
      <c r="E3356" s="212" t="n"/>
    </row>
    <row r="3357">
      <c r="B3357" s="291" t="n"/>
      <c r="E3357" s="212" t="n"/>
    </row>
    <row r="3358">
      <c r="B3358" s="291" t="n"/>
      <c r="E3358" s="212" t="n"/>
    </row>
    <row r="3359">
      <c r="B3359" s="291" t="n"/>
      <c r="E3359" s="212" t="n"/>
    </row>
    <row r="3360">
      <c r="B3360" s="291" t="n"/>
      <c r="E3360" s="212" t="n"/>
    </row>
    <row r="3361">
      <c r="B3361" s="291" t="n"/>
      <c r="E3361" s="212" t="n"/>
    </row>
    <row r="3362">
      <c r="B3362" s="291" t="n"/>
      <c r="E3362" s="212" t="n"/>
    </row>
    <row r="3363">
      <c r="B3363" s="291" t="n"/>
      <c r="E3363" s="212" t="n"/>
    </row>
    <row r="3364">
      <c r="B3364" s="291" t="n"/>
      <c r="E3364" s="212" t="n"/>
    </row>
    <row r="3365">
      <c r="B3365" s="291" t="n"/>
      <c r="E3365" s="212" t="n"/>
    </row>
    <row r="3366">
      <c r="B3366" s="291" t="n"/>
      <c r="E3366" s="212" t="n"/>
    </row>
    <row r="3367">
      <c r="B3367" s="291" t="n"/>
      <c r="E3367" s="212" t="n"/>
    </row>
    <row r="3368">
      <c r="B3368" s="291" t="n"/>
      <c r="E3368" s="212" t="n"/>
    </row>
    <row r="3369">
      <c r="B3369" s="291" t="n"/>
      <c r="E3369" s="212" t="n"/>
    </row>
    <row r="3370">
      <c r="B3370" s="291" t="n"/>
      <c r="E3370" s="212" t="n"/>
    </row>
    <row r="3371">
      <c r="B3371" s="291" t="n"/>
      <c r="E3371" s="212" t="n"/>
    </row>
    <row r="3372">
      <c r="B3372" s="291" t="n"/>
      <c r="E3372" s="212" t="n"/>
    </row>
    <row r="3373">
      <c r="B3373" s="291" t="n"/>
      <c r="E3373" s="212" t="n"/>
    </row>
    <row r="3374">
      <c r="B3374" s="291" t="n"/>
      <c r="E3374" s="212" t="n"/>
    </row>
    <row r="3375">
      <c r="B3375" s="291" t="n"/>
      <c r="E3375" s="212" t="n"/>
    </row>
    <row r="3376">
      <c r="B3376" s="291" t="n"/>
      <c r="E3376" s="212" t="n"/>
    </row>
    <row r="3377">
      <c r="B3377" s="291" t="n"/>
      <c r="E3377" s="212" t="n"/>
    </row>
    <row r="3378">
      <c r="B3378" s="291" t="n"/>
      <c r="E3378" s="212" t="n"/>
    </row>
    <row r="3379">
      <c r="B3379" s="291" t="n"/>
      <c r="E3379" s="212" t="n"/>
    </row>
    <row r="3380">
      <c r="B3380" s="291" t="n"/>
      <c r="E3380" s="212" t="n"/>
    </row>
    <row r="3381">
      <c r="B3381" s="291" t="n"/>
      <c r="E3381" s="212" t="n"/>
    </row>
    <row r="3382">
      <c r="B3382" s="291" t="n"/>
      <c r="E3382" s="212" t="n"/>
    </row>
    <row r="3383">
      <c r="B3383" s="291" t="n"/>
      <c r="E3383" s="212" t="n"/>
    </row>
    <row r="3384">
      <c r="B3384" s="291" t="n"/>
      <c r="E3384" s="212" t="n"/>
    </row>
    <row r="3385">
      <c r="B3385" s="291" t="n"/>
      <c r="E3385" s="212" t="n"/>
    </row>
    <row r="3386">
      <c r="B3386" s="291" t="n"/>
      <c r="E3386" s="212" t="n"/>
    </row>
    <row r="3387">
      <c r="B3387" s="291" t="n"/>
      <c r="E3387" s="212" t="n"/>
    </row>
    <row r="3388">
      <c r="B3388" s="291" t="n"/>
      <c r="E3388" s="212" t="n"/>
    </row>
    <row r="3389">
      <c r="B3389" s="291" t="n"/>
      <c r="E3389" s="212" t="n"/>
    </row>
    <row r="3390">
      <c r="B3390" s="291" t="n"/>
      <c r="E3390" s="212" t="n"/>
    </row>
    <row r="3391">
      <c r="B3391" s="291" t="n"/>
      <c r="E3391" s="212" t="n"/>
    </row>
    <row r="3392">
      <c r="B3392" s="291" t="n"/>
      <c r="E3392" s="212" t="n"/>
    </row>
    <row r="3393">
      <c r="B3393" s="291" t="n"/>
      <c r="E3393" s="212" t="n"/>
    </row>
    <row r="3394">
      <c r="B3394" s="291" t="n"/>
      <c r="E3394" s="212" t="n"/>
    </row>
    <row r="3395">
      <c r="B3395" s="291" t="n"/>
      <c r="E3395" s="212" t="n"/>
    </row>
    <row r="3396">
      <c r="B3396" s="291" t="n"/>
      <c r="E3396" s="212" t="n"/>
    </row>
    <row r="3397">
      <c r="B3397" s="291" t="n"/>
      <c r="E3397" s="212" t="n"/>
    </row>
    <row r="3398">
      <c r="B3398" s="291" t="n"/>
      <c r="E3398" s="212" t="n"/>
    </row>
    <row r="3399">
      <c r="B3399" s="291" t="n"/>
      <c r="E3399" s="212" t="n"/>
    </row>
    <row r="3400">
      <c r="B3400" s="291" t="n"/>
      <c r="E3400" s="212" t="n"/>
    </row>
    <row r="3401">
      <c r="B3401" s="291" t="n"/>
      <c r="E3401" s="212" t="n"/>
    </row>
    <row r="3402">
      <c r="B3402" s="291" t="n"/>
      <c r="E3402" s="212" t="n"/>
    </row>
    <row r="3403">
      <c r="B3403" s="291" t="n"/>
      <c r="E3403" s="212" t="n"/>
    </row>
    <row r="3404">
      <c r="B3404" s="291" t="n"/>
      <c r="E3404" s="212" t="n"/>
    </row>
    <row r="3405">
      <c r="B3405" s="291" t="n"/>
      <c r="E3405" s="212" t="n"/>
    </row>
    <row r="3406">
      <c r="B3406" s="291" t="n"/>
      <c r="E3406" s="212" t="n"/>
    </row>
    <row r="3407">
      <c r="B3407" s="291" t="n"/>
      <c r="E3407" s="212" t="n"/>
    </row>
    <row r="3408">
      <c r="B3408" s="291" t="n"/>
      <c r="E3408" s="212" t="n"/>
    </row>
    <row r="3409">
      <c r="B3409" s="291" t="n"/>
      <c r="E3409" s="212" t="n"/>
    </row>
    <row r="3410">
      <c r="B3410" s="291" t="n"/>
      <c r="E3410" s="212" t="n"/>
    </row>
    <row r="3411">
      <c r="B3411" s="291" t="n"/>
      <c r="E3411" s="212" t="n"/>
    </row>
    <row r="3412">
      <c r="B3412" s="291" t="n"/>
      <c r="E3412" s="212" t="n"/>
    </row>
    <row r="3413">
      <c r="B3413" s="291" t="n"/>
      <c r="E3413" s="212" t="n"/>
    </row>
    <row r="3414">
      <c r="B3414" s="291" t="n"/>
      <c r="E3414" s="212" t="n"/>
    </row>
    <row r="3415">
      <c r="B3415" s="291" t="n"/>
      <c r="E3415" s="212" t="n"/>
    </row>
    <row r="3416">
      <c r="B3416" s="291" t="n"/>
      <c r="E3416" s="212" t="n"/>
    </row>
    <row r="3417">
      <c r="B3417" s="291" t="n"/>
      <c r="E3417" s="212" t="n"/>
    </row>
    <row r="3418">
      <c r="B3418" s="291" t="n"/>
      <c r="E3418" s="212" t="n"/>
    </row>
    <row r="3419">
      <c r="B3419" s="291" t="n"/>
      <c r="E3419" s="212" t="n"/>
    </row>
    <row r="3420">
      <c r="B3420" s="291" t="n"/>
      <c r="E3420" s="212" t="n"/>
    </row>
    <row r="3421">
      <c r="B3421" s="291" t="n"/>
      <c r="E3421" s="212" t="n"/>
    </row>
    <row r="3422">
      <c r="B3422" s="291" t="n"/>
      <c r="E3422" s="212" t="n"/>
    </row>
    <row r="3423">
      <c r="B3423" s="291" t="n"/>
      <c r="E3423" s="212" t="n"/>
    </row>
    <row r="3424">
      <c r="B3424" s="291" t="n"/>
      <c r="E3424" s="212" t="n"/>
    </row>
    <row r="3425">
      <c r="B3425" s="291" t="n"/>
      <c r="E3425" s="212" t="n"/>
    </row>
    <row r="3426">
      <c r="B3426" s="291" t="n"/>
      <c r="E3426" s="212" t="n"/>
    </row>
    <row r="3427">
      <c r="B3427" s="291" t="n"/>
      <c r="E3427" s="212" t="n"/>
    </row>
    <row r="3428">
      <c r="B3428" s="291" t="n"/>
      <c r="E3428" s="212" t="n"/>
    </row>
    <row r="3429">
      <c r="B3429" s="291" t="n"/>
      <c r="E3429" s="212" t="n"/>
    </row>
    <row r="3430">
      <c r="B3430" s="291" t="n"/>
      <c r="E3430" s="212" t="n"/>
    </row>
    <row r="3431">
      <c r="B3431" s="291" t="n"/>
      <c r="E3431" s="212" t="n"/>
    </row>
    <row r="3432">
      <c r="B3432" s="291" t="n"/>
      <c r="E3432" s="212" t="n"/>
    </row>
    <row r="3433">
      <c r="B3433" s="291" t="n"/>
      <c r="E3433" s="212" t="n"/>
    </row>
    <row r="3434">
      <c r="B3434" s="291" t="n"/>
      <c r="E3434" s="212" t="n"/>
    </row>
    <row r="3435">
      <c r="B3435" s="291" t="n"/>
      <c r="E3435" s="212" t="n"/>
    </row>
    <row r="3436">
      <c r="B3436" s="291" t="n"/>
      <c r="E3436" s="212" t="n"/>
    </row>
    <row r="3437">
      <c r="B3437" s="291" t="n"/>
      <c r="E3437" s="212" t="n"/>
    </row>
    <row r="3438">
      <c r="B3438" s="291" t="n"/>
      <c r="E3438" s="212" t="n"/>
    </row>
    <row r="3439">
      <c r="B3439" s="291" t="n"/>
      <c r="E3439" s="212" t="n"/>
    </row>
    <row r="3440">
      <c r="B3440" s="291" t="n"/>
      <c r="E3440" s="212" t="n"/>
    </row>
    <row r="3441">
      <c r="B3441" s="291" t="n"/>
      <c r="E3441" s="212" t="n"/>
    </row>
    <row r="3442">
      <c r="B3442" s="291" t="n"/>
      <c r="E3442" s="212" t="n"/>
    </row>
    <row r="3443">
      <c r="B3443" s="291" t="n"/>
      <c r="E3443" s="212" t="n"/>
    </row>
    <row r="3444">
      <c r="B3444" s="291" t="n"/>
      <c r="E3444" s="212" t="n"/>
    </row>
    <row r="3445">
      <c r="B3445" s="291" t="n"/>
      <c r="E3445" s="212" t="n"/>
    </row>
    <row r="3446">
      <c r="B3446" s="291" t="n"/>
      <c r="E3446" s="212" t="n"/>
    </row>
    <row r="3447">
      <c r="B3447" s="291" t="n"/>
      <c r="E3447" s="212" t="n"/>
    </row>
    <row r="3448">
      <c r="B3448" s="291" t="n"/>
      <c r="E3448" s="212" t="n"/>
    </row>
    <row r="3449">
      <c r="B3449" s="291" t="n"/>
      <c r="E3449" s="212" t="n"/>
    </row>
    <row r="3450">
      <c r="B3450" s="291" t="n"/>
      <c r="E3450" s="212" t="n"/>
    </row>
    <row r="3451">
      <c r="B3451" s="291" t="n"/>
      <c r="E3451" s="212" t="n"/>
    </row>
    <row r="3452">
      <c r="B3452" s="291" t="n"/>
      <c r="E3452" s="212" t="n"/>
    </row>
    <row r="3453">
      <c r="B3453" s="291" t="n"/>
      <c r="E3453" s="212" t="n"/>
    </row>
    <row r="3454">
      <c r="B3454" s="291" t="n"/>
      <c r="E3454" s="212" t="n"/>
    </row>
    <row r="3455">
      <c r="B3455" s="291" t="n"/>
      <c r="E3455" s="212" t="n"/>
    </row>
    <row r="3456">
      <c r="B3456" s="291" t="n"/>
      <c r="E3456" s="212" t="n"/>
    </row>
    <row r="3457">
      <c r="B3457" s="291" t="n"/>
      <c r="E3457" s="212" t="n"/>
    </row>
    <row r="3458">
      <c r="B3458" s="291" t="n"/>
      <c r="E3458" s="212" t="n"/>
    </row>
    <row r="3459">
      <c r="B3459" s="291" t="n"/>
      <c r="E3459" s="212" t="n"/>
    </row>
    <row r="3460">
      <c r="B3460" s="291" t="n"/>
      <c r="E3460" s="212" t="n"/>
    </row>
    <row r="3461">
      <c r="B3461" s="291" t="n"/>
      <c r="E3461" s="212" t="n"/>
    </row>
    <row r="3462">
      <c r="B3462" s="291" t="n"/>
      <c r="E3462" s="212" t="n"/>
    </row>
    <row r="3463">
      <c r="B3463" s="291" t="n"/>
      <c r="E3463" s="212" t="n"/>
    </row>
    <row r="3464">
      <c r="B3464" s="291" t="n"/>
      <c r="E3464" s="212" t="n"/>
    </row>
    <row r="3465">
      <c r="B3465" s="291" t="n"/>
      <c r="E3465" s="212" t="n"/>
    </row>
    <row r="3466">
      <c r="B3466" s="291" t="n"/>
      <c r="E3466" s="212" t="n"/>
    </row>
    <row r="3467">
      <c r="B3467" s="291" t="n"/>
      <c r="E3467" s="212" t="n"/>
    </row>
    <row r="3468">
      <c r="B3468" s="291" t="n"/>
      <c r="E3468" s="212" t="n"/>
    </row>
    <row r="3469">
      <c r="B3469" s="291" t="n"/>
      <c r="E3469" s="212" t="n"/>
    </row>
    <row r="3470">
      <c r="B3470" s="291" t="n"/>
      <c r="E3470" s="212" t="n"/>
    </row>
    <row r="3471">
      <c r="B3471" s="291" t="n"/>
      <c r="E3471" s="212" t="n"/>
    </row>
    <row r="3472">
      <c r="B3472" s="291" t="n"/>
      <c r="E3472" s="212" t="n"/>
    </row>
    <row r="3473">
      <c r="B3473" s="291" t="n"/>
      <c r="E3473" s="212" t="n"/>
    </row>
    <row r="3474">
      <c r="B3474" s="291" t="n"/>
      <c r="E3474" s="212" t="n"/>
    </row>
    <row r="3475">
      <c r="B3475" s="291" t="n"/>
      <c r="E3475" s="212" t="n"/>
    </row>
    <row r="3476">
      <c r="B3476" s="291" t="n"/>
      <c r="E3476" s="212" t="n"/>
    </row>
    <row r="3477">
      <c r="B3477" s="291" t="n"/>
      <c r="E3477" s="212" t="n"/>
    </row>
    <row r="3478">
      <c r="B3478" s="291" t="n"/>
      <c r="E3478" s="212" t="n"/>
    </row>
    <row r="3479">
      <c r="B3479" s="291" t="n"/>
      <c r="E3479" s="212" t="n"/>
    </row>
    <row r="3480">
      <c r="B3480" s="291" t="n"/>
      <c r="E3480" s="212" t="n"/>
    </row>
    <row r="3481">
      <c r="B3481" s="291" t="n"/>
      <c r="E3481" s="212" t="n"/>
    </row>
    <row r="3482">
      <c r="B3482" s="291" t="n"/>
      <c r="E3482" s="212" t="n"/>
    </row>
    <row r="3483">
      <c r="B3483" s="291" t="n"/>
      <c r="E3483" s="212" t="n"/>
    </row>
    <row r="3484">
      <c r="B3484" s="291" t="n"/>
      <c r="E3484" s="212" t="n"/>
    </row>
    <row r="3485">
      <c r="B3485" s="291" t="n"/>
      <c r="E3485" s="212" t="n"/>
    </row>
    <row r="3486">
      <c r="B3486" s="291" t="n"/>
      <c r="E3486" s="212" t="n"/>
    </row>
    <row r="3487">
      <c r="B3487" s="291" t="n"/>
      <c r="E3487" s="212" t="n"/>
    </row>
    <row r="3488">
      <c r="B3488" s="291" t="n"/>
      <c r="E3488" s="212" t="n"/>
    </row>
    <row r="3489">
      <c r="B3489" s="291" t="n"/>
      <c r="E3489" s="212" t="n"/>
    </row>
    <row r="3490">
      <c r="B3490" s="291" t="n"/>
      <c r="E3490" s="212" t="n"/>
    </row>
    <row r="3491">
      <c r="B3491" s="291" t="n"/>
      <c r="E3491" s="212" t="n"/>
    </row>
    <row r="3492">
      <c r="B3492" s="291" t="n"/>
      <c r="E3492" s="212" t="n"/>
    </row>
    <row r="3493">
      <c r="B3493" s="291" t="n"/>
      <c r="E3493" s="212" t="n"/>
    </row>
    <row r="3494">
      <c r="B3494" s="291" t="n"/>
      <c r="E3494" s="212" t="n"/>
    </row>
    <row r="3495">
      <c r="B3495" s="291" t="n"/>
      <c r="E3495" s="212" t="n"/>
    </row>
    <row r="3496">
      <c r="B3496" s="291" t="n"/>
      <c r="E3496" s="212" t="n"/>
    </row>
    <row r="3497">
      <c r="B3497" s="291" t="n"/>
      <c r="E3497" s="212" t="n"/>
    </row>
    <row r="3498">
      <c r="B3498" s="291" t="n"/>
      <c r="E3498" s="212" t="n"/>
    </row>
    <row r="3499">
      <c r="B3499" s="291" t="n"/>
      <c r="E3499" s="212" t="n"/>
    </row>
    <row r="3500">
      <c r="B3500" s="291" t="n"/>
      <c r="E3500" s="212" t="n"/>
    </row>
    <row r="3501">
      <c r="B3501" s="291" t="n"/>
      <c r="E3501" s="212" t="n"/>
    </row>
    <row r="3502">
      <c r="B3502" s="291" t="n"/>
      <c r="E3502" s="212" t="n"/>
    </row>
    <row r="3503">
      <c r="B3503" s="291" t="n"/>
      <c r="E3503" s="212" t="n"/>
    </row>
    <row r="3504">
      <c r="B3504" s="291" t="n"/>
      <c r="E3504" s="212" t="n"/>
    </row>
    <row r="3505">
      <c r="B3505" s="291" t="n"/>
      <c r="E3505" s="212" t="n"/>
    </row>
    <row r="3506">
      <c r="B3506" s="291" t="n"/>
      <c r="E3506" s="212" t="n"/>
    </row>
    <row r="3507">
      <c r="B3507" s="291" t="n"/>
      <c r="E3507" s="212" t="n"/>
    </row>
    <row r="3508">
      <c r="B3508" s="291" t="n"/>
      <c r="E3508" s="212" t="n"/>
    </row>
    <row r="3509">
      <c r="B3509" s="291" t="n"/>
      <c r="E3509" s="212" t="n"/>
    </row>
    <row r="3510">
      <c r="B3510" s="291" t="n"/>
      <c r="E3510" s="212" t="n"/>
    </row>
    <row r="3511">
      <c r="B3511" s="291" t="n"/>
      <c r="E3511" s="212" t="n"/>
    </row>
    <row r="3512">
      <c r="B3512" s="291" t="n"/>
      <c r="E3512" s="212" t="n"/>
    </row>
    <row r="3513">
      <c r="B3513" s="291" t="n"/>
      <c r="E3513" s="212" t="n"/>
    </row>
    <row r="3514">
      <c r="B3514" s="291" t="n"/>
      <c r="E3514" s="212" t="n"/>
    </row>
    <row r="3515">
      <c r="B3515" s="291" t="n"/>
      <c r="E3515" s="212" t="n"/>
    </row>
    <row r="3516">
      <c r="B3516" s="291" t="n"/>
      <c r="E3516" s="212" t="n"/>
    </row>
    <row r="3517">
      <c r="B3517" s="291" t="n"/>
      <c r="E3517" s="212" t="n"/>
    </row>
    <row r="3518">
      <c r="B3518" s="291" t="n"/>
      <c r="E3518" s="212" t="n"/>
    </row>
    <row r="3519">
      <c r="B3519" s="291" t="n"/>
      <c r="E3519" s="212" t="n"/>
    </row>
    <row r="3520">
      <c r="B3520" s="291" t="n"/>
      <c r="E3520" s="212" t="n"/>
    </row>
    <row r="3521">
      <c r="B3521" s="291" t="n"/>
      <c r="E3521" s="212" t="n"/>
    </row>
    <row r="3522">
      <c r="B3522" s="291" t="n"/>
      <c r="E3522" s="212" t="n"/>
    </row>
    <row r="3523">
      <c r="B3523" s="291" t="n"/>
      <c r="E3523" s="212" t="n"/>
    </row>
    <row r="3524">
      <c r="B3524" s="291" t="n"/>
      <c r="E3524" s="212" t="n"/>
    </row>
    <row r="3525">
      <c r="B3525" s="291" t="n"/>
      <c r="E3525" s="212" t="n"/>
    </row>
    <row r="3526">
      <c r="B3526" s="291" t="n"/>
      <c r="E3526" s="212" t="n"/>
    </row>
    <row r="3527">
      <c r="B3527" s="291" t="n"/>
      <c r="E3527" s="212" t="n"/>
    </row>
    <row r="3528">
      <c r="B3528" s="291" t="n"/>
      <c r="E3528" s="212" t="n"/>
    </row>
    <row r="3529">
      <c r="B3529" s="291" t="n"/>
      <c r="E3529" s="212" t="n"/>
    </row>
    <row r="3530">
      <c r="B3530" s="291" t="n"/>
      <c r="E3530" s="212" t="n"/>
    </row>
    <row r="3531">
      <c r="B3531" s="291" t="n"/>
      <c r="E3531" s="212" t="n"/>
    </row>
    <row r="3532">
      <c r="B3532" s="291" t="n"/>
      <c r="E3532" s="212" t="n"/>
    </row>
    <row r="3533">
      <c r="B3533" s="291" t="n"/>
      <c r="E3533" s="212" t="n"/>
    </row>
    <row r="3534">
      <c r="B3534" s="291" t="n"/>
      <c r="E3534" s="212" t="n"/>
    </row>
    <row r="3535">
      <c r="B3535" s="291" t="n"/>
      <c r="E3535" s="212" t="n"/>
    </row>
    <row r="3536">
      <c r="B3536" s="291" t="n"/>
      <c r="E3536" s="212" t="n"/>
    </row>
    <row r="3537">
      <c r="B3537" s="291" t="n"/>
      <c r="E3537" s="212" t="n"/>
    </row>
    <row r="3538">
      <c r="B3538" s="291" t="n"/>
      <c r="E3538" s="212" t="n"/>
    </row>
    <row r="3539">
      <c r="B3539" s="291" t="n"/>
      <c r="E3539" s="212" t="n"/>
    </row>
    <row r="3540">
      <c r="B3540" s="291" t="n"/>
      <c r="E3540" s="212" t="n"/>
    </row>
    <row r="3541">
      <c r="B3541" s="291" t="n"/>
      <c r="E3541" s="212" t="n"/>
    </row>
    <row r="3542">
      <c r="B3542" s="291" t="n"/>
      <c r="E3542" s="212" t="n"/>
    </row>
    <row r="3543">
      <c r="B3543" s="291" t="n"/>
      <c r="E3543" s="212" t="n"/>
    </row>
    <row r="3544">
      <c r="B3544" s="291" t="n"/>
      <c r="E3544" s="212" t="n"/>
    </row>
    <row r="3545">
      <c r="B3545" s="291" t="n"/>
      <c r="E3545" s="212" t="n"/>
    </row>
    <row r="3546">
      <c r="B3546" s="291" t="n"/>
      <c r="E3546" s="212" t="n"/>
    </row>
    <row r="3547">
      <c r="B3547" s="291" t="n"/>
      <c r="E3547" s="212" t="n"/>
    </row>
    <row r="3548">
      <c r="B3548" s="291" t="n"/>
      <c r="E3548" s="212" t="n"/>
    </row>
    <row r="3549">
      <c r="B3549" s="291" t="n"/>
      <c r="E3549" s="212" t="n"/>
    </row>
    <row r="3550">
      <c r="B3550" s="291" t="n"/>
      <c r="E3550" s="212" t="n"/>
    </row>
    <row r="3551">
      <c r="B3551" s="291" t="n"/>
      <c r="E3551" s="212" t="n"/>
    </row>
    <row r="3552">
      <c r="B3552" s="291" t="n"/>
      <c r="E3552" s="212" t="n"/>
    </row>
    <row r="3553">
      <c r="B3553" s="291" t="n"/>
      <c r="E3553" s="212" t="n"/>
    </row>
    <row r="3554">
      <c r="B3554" s="291" t="n"/>
      <c r="E3554" s="212" t="n"/>
    </row>
    <row r="3555">
      <c r="B3555" s="291" t="n"/>
      <c r="E3555" s="212" t="n"/>
    </row>
    <row r="3556">
      <c r="B3556" s="291" t="n"/>
      <c r="E3556" s="212" t="n"/>
    </row>
    <row r="3557">
      <c r="B3557" s="291" t="n"/>
      <c r="E3557" s="212" t="n"/>
    </row>
    <row r="3558">
      <c r="B3558" s="291" t="n"/>
      <c r="E3558" s="212" t="n"/>
    </row>
    <row r="3559">
      <c r="B3559" s="291" t="n"/>
      <c r="E3559" s="212" t="n"/>
    </row>
    <row r="3560">
      <c r="B3560" s="291" t="n"/>
      <c r="E3560" s="212" t="n"/>
    </row>
    <row r="3561">
      <c r="B3561" s="291" t="n"/>
      <c r="E3561" s="212" t="n"/>
    </row>
    <row r="3562">
      <c r="B3562" s="291" t="n"/>
      <c r="E3562" s="212" t="n"/>
    </row>
    <row r="3563">
      <c r="B3563" s="291" t="n"/>
      <c r="E3563" s="212" t="n"/>
    </row>
    <row r="3564">
      <c r="B3564" s="291" t="n"/>
      <c r="E3564" s="212" t="n"/>
    </row>
    <row r="3565">
      <c r="B3565" s="291" t="n"/>
      <c r="E3565" s="212" t="n"/>
    </row>
    <row r="3566">
      <c r="B3566" s="291" t="n"/>
      <c r="E3566" s="212" t="n"/>
    </row>
    <row r="3567">
      <c r="B3567" s="291" t="n"/>
      <c r="E3567" s="212" t="n"/>
    </row>
    <row r="3568">
      <c r="B3568" s="291" t="n"/>
      <c r="E3568" s="212" t="n"/>
    </row>
    <row r="3569">
      <c r="B3569" s="291" t="n"/>
      <c r="E3569" s="212" t="n"/>
    </row>
    <row r="3570">
      <c r="B3570" s="291" t="n"/>
      <c r="E3570" s="212" t="n"/>
    </row>
    <row r="3571">
      <c r="B3571" s="291" t="n"/>
      <c r="E3571" s="212" t="n"/>
    </row>
    <row r="3572">
      <c r="B3572" s="291" t="n"/>
      <c r="E3572" s="212" t="n"/>
    </row>
    <row r="3573">
      <c r="B3573" s="291" t="n"/>
      <c r="E3573" s="212" t="n"/>
    </row>
    <row r="3574">
      <c r="B3574" s="291" t="n"/>
      <c r="E3574" s="212" t="n"/>
    </row>
    <row r="3575">
      <c r="B3575" s="291" t="n"/>
      <c r="E3575" s="212" t="n"/>
    </row>
    <row r="3576">
      <c r="B3576" s="291" t="n"/>
      <c r="E3576" s="212" t="n"/>
    </row>
    <row r="3577">
      <c r="B3577" s="291" t="n"/>
      <c r="E3577" s="212" t="n"/>
    </row>
    <row r="3578">
      <c r="B3578" s="291" t="n"/>
      <c r="E3578" s="212" t="n"/>
    </row>
    <row r="3579">
      <c r="B3579" s="291" t="n"/>
      <c r="E3579" s="212" t="n"/>
    </row>
    <row r="3580">
      <c r="B3580" s="291" t="n"/>
      <c r="E3580" s="212" t="n"/>
    </row>
    <row r="3581">
      <c r="B3581" s="291" t="n"/>
      <c r="E3581" s="212" t="n"/>
    </row>
    <row r="3582">
      <c r="B3582" s="291" t="n"/>
      <c r="E3582" s="212" t="n"/>
    </row>
    <row r="3583">
      <c r="B3583" s="291" t="n"/>
      <c r="E3583" s="212" t="n"/>
    </row>
    <row r="3584">
      <c r="B3584" s="291" t="n"/>
      <c r="E3584" s="212" t="n"/>
    </row>
    <row r="3585">
      <c r="B3585" s="291" t="n"/>
      <c r="E3585" s="212" t="n"/>
    </row>
    <row r="3586">
      <c r="B3586" s="291" t="n"/>
      <c r="E3586" s="212" t="n"/>
    </row>
    <row r="3587">
      <c r="B3587" s="291" t="n"/>
      <c r="E3587" s="212" t="n"/>
    </row>
    <row r="3588">
      <c r="B3588" s="291" t="n"/>
      <c r="E3588" s="212" t="n"/>
    </row>
    <row r="3589">
      <c r="B3589" s="291" t="n"/>
      <c r="E3589" s="212" t="n"/>
    </row>
    <row r="3590">
      <c r="B3590" s="291" t="n"/>
      <c r="E3590" s="212" t="n"/>
    </row>
    <row r="3591">
      <c r="B3591" s="291" t="n"/>
      <c r="E3591" s="212" t="n"/>
    </row>
    <row r="3592">
      <c r="B3592" s="291" t="n"/>
      <c r="E3592" s="212" t="n"/>
    </row>
    <row r="3593">
      <c r="B3593" s="291" t="n"/>
      <c r="E3593" s="212" t="n"/>
    </row>
    <row r="3594">
      <c r="B3594" s="291" t="n"/>
      <c r="E3594" s="212" t="n"/>
    </row>
    <row r="3595">
      <c r="B3595" s="291" t="n"/>
      <c r="E3595" s="212" t="n"/>
    </row>
    <row r="3596">
      <c r="B3596" s="291" t="n"/>
      <c r="E3596" s="212" t="n"/>
    </row>
    <row r="3597">
      <c r="B3597" s="291" t="n"/>
      <c r="E3597" s="212" t="n"/>
    </row>
    <row r="3598">
      <c r="B3598" s="291" t="n"/>
      <c r="E3598" s="212" t="n"/>
    </row>
    <row r="3599">
      <c r="B3599" s="291" t="n"/>
      <c r="E3599" s="212" t="n"/>
    </row>
    <row r="3600">
      <c r="B3600" s="291" t="n"/>
      <c r="E3600" s="212" t="n"/>
    </row>
    <row r="3601">
      <c r="B3601" s="291" t="n"/>
      <c r="E3601" s="212" t="n"/>
    </row>
    <row r="3602">
      <c r="B3602" s="291" t="n"/>
      <c r="E3602" s="212" t="n"/>
    </row>
    <row r="3603">
      <c r="B3603" s="291" t="n"/>
      <c r="E3603" s="212" t="n"/>
    </row>
    <row r="3604">
      <c r="B3604" s="291" t="n"/>
      <c r="E3604" s="212" t="n"/>
    </row>
    <row r="3605">
      <c r="B3605" s="291" t="n"/>
      <c r="E3605" s="212" t="n"/>
    </row>
    <row r="3606">
      <c r="B3606" s="291" t="n"/>
      <c r="E3606" s="212" t="n"/>
    </row>
    <row r="3607">
      <c r="B3607" s="291" t="n"/>
      <c r="E3607" s="212" t="n"/>
    </row>
    <row r="3608">
      <c r="B3608" s="291" t="n"/>
      <c r="E3608" s="212" t="n"/>
    </row>
    <row r="3609">
      <c r="B3609" s="291" t="n"/>
      <c r="E3609" s="212" t="n"/>
    </row>
    <row r="3610">
      <c r="B3610" s="291" t="n"/>
      <c r="E3610" s="212" t="n"/>
    </row>
    <row r="3611">
      <c r="B3611" s="291" t="n"/>
      <c r="E3611" s="212" t="n"/>
    </row>
    <row r="3612">
      <c r="B3612" s="291" t="n"/>
      <c r="E3612" s="212" t="n"/>
    </row>
    <row r="3613">
      <c r="B3613" s="291" t="n"/>
      <c r="E3613" s="212" t="n"/>
    </row>
    <row r="3614">
      <c r="B3614" s="291" t="n"/>
      <c r="E3614" s="212" t="n"/>
    </row>
    <row r="3615">
      <c r="B3615" s="291" t="n"/>
      <c r="E3615" s="212" t="n"/>
    </row>
    <row r="3616">
      <c r="B3616" s="291" t="n"/>
      <c r="E3616" s="212" t="n"/>
    </row>
    <row r="3617">
      <c r="B3617" s="291" t="n"/>
      <c r="E3617" s="212" t="n"/>
    </row>
    <row r="3618">
      <c r="B3618" s="291" t="n"/>
      <c r="E3618" s="212" t="n"/>
    </row>
    <row r="3619">
      <c r="B3619" s="291" t="n"/>
      <c r="E3619" s="212" t="n"/>
    </row>
    <row r="3620">
      <c r="B3620" s="291" t="n"/>
      <c r="E3620" s="212" t="n"/>
    </row>
    <row r="3621">
      <c r="B3621" s="291" t="n"/>
      <c r="E3621" s="212" t="n"/>
    </row>
    <row r="3622">
      <c r="B3622" s="291" t="n"/>
      <c r="E3622" s="212" t="n"/>
    </row>
    <row r="3623">
      <c r="B3623" s="291" t="n"/>
      <c r="E3623" s="212" t="n"/>
    </row>
    <row r="3624">
      <c r="B3624" s="291" t="n"/>
      <c r="E3624" s="212" t="n"/>
    </row>
    <row r="3625">
      <c r="B3625" s="291" t="n"/>
      <c r="E3625" s="212" t="n"/>
    </row>
    <row r="3626">
      <c r="B3626" s="291" t="n"/>
      <c r="E3626" s="212" t="n"/>
    </row>
    <row r="3627">
      <c r="B3627" s="291" t="n"/>
      <c r="E3627" s="212" t="n"/>
    </row>
    <row r="3628">
      <c r="B3628" s="291" t="n"/>
      <c r="E3628" s="212" t="n"/>
    </row>
    <row r="3629">
      <c r="B3629" s="291" t="n"/>
      <c r="E3629" s="212" t="n"/>
    </row>
    <row r="3630">
      <c r="B3630" s="291" t="n"/>
      <c r="E3630" s="212" t="n"/>
    </row>
    <row r="3631">
      <c r="B3631" s="291" t="n"/>
      <c r="E3631" s="212" t="n"/>
    </row>
    <row r="3632">
      <c r="B3632" s="291" t="n"/>
      <c r="E3632" s="212" t="n"/>
    </row>
    <row r="3633">
      <c r="B3633" s="291" t="n"/>
      <c r="E3633" s="212" t="n"/>
    </row>
    <row r="3634">
      <c r="B3634" s="291" t="n"/>
      <c r="E3634" s="212" t="n"/>
    </row>
    <row r="3635">
      <c r="B3635" s="291" t="n"/>
      <c r="E3635" s="212" t="n"/>
    </row>
    <row r="3636">
      <c r="B3636" s="291" t="n"/>
      <c r="E3636" s="212" t="n"/>
    </row>
    <row r="3637">
      <c r="B3637" s="291" t="n"/>
      <c r="E3637" s="212" t="n"/>
    </row>
    <row r="3638">
      <c r="B3638" s="291" t="n"/>
      <c r="E3638" s="212" t="n"/>
    </row>
    <row r="3639">
      <c r="B3639" s="291" t="n"/>
      <c r="E3639" s="212" t="n"/>
    </row>
    <row r="3640">
      <c r="B3640" s="291" t="n"/>
      <c r="E3640" s="212" t="n"/>
    </row>
    <row r="3641">
      <c r="B3641" s="291" t="n"/>
      <c r="E3641" s="212" t="n"/>
    </row>
    <row r="3642">
      <c r="B3642" s="291" t="n"/>
      <c r="E3642" s="212" t="n"/>
    </row>
    <row r="3643">
      <c r="B3643" s="291" t="n"/>
      <c r="E3643" s="212" t="n"/>
    </row>
    <row r="3644">
      <c r="B3644" s="291" t="n"/>
      <c r="E3644" s="212" t="n"/>
    </row>
    <row r="3645">
      <c r="B3645" s="291" t="n"/>
      <c r="E3645" s="212" t="n"/>
    </row>
    <row r="3646">
      <c r="B3646" s="291" t="n"/>
      <c r="E3646" s="212" t="n"/>
    </row>
    <row r="3647">
      <c r="B3647" s="291" t="n"/>
      <c r="E3647" s="212" t="n"/>
    </row>
    <row r="3648">
      <c r="B3648" s="291" t="n"/>
      <c r="E3648" s="212" t="n"/>
    </row>
    <row r="3649">
      <c r="B3649" s="291" t="n"/>
      <c r="E3649" s="212" t="n"/>
    </row>
    <row r="3650">
      <c r="B3650" s="291" t="n"/>
      <c r="E3650" s="212" t="n"/>
    </row>
    <row r="3651">
      <c r="B3651" s="291" t="n"/>
      <c r="E3651" s="212" t="n"/>
    </row>
    <row r="3652">
      <c r="B3652" s="291" t="n"/>
      <c r="E3652" s="212" t="n"/>
    </row>
    <row r="3653">
      <c r="B3653" s="291" t="n"/>
      <c r="E3653" s="212" t="n"/>
    </row>
    <row r="3654">
      <c r="B3654" s="291" t="n"/>
      <c r="E3654" s="212" t="n"/>
    </row>
    <row r="3655">
      <c r="B3655" s="291" t="n"/>
      <c r="E3655" s="212" t="n"/>
    </row>
    <row r="3656">
      <c r="B3656" s="291" t="n"/>
      <c r="E3656" s="212" t="n"/>
    </row>
    <row r="3657">
      <c r="B3657" s="291" t="n"/>
      <c r="E3657" s="212" t="n"/>
    </row>
    <row r="3658">
      <c r="B3658" s="291" t="n"/>
      <c r="E3658" s="212" t="n"/>
    </row>
    <row r="3659">
      <c r="B3659" s="291" t="n"/>
      <c r="E3659" s="212" t="n"/>
    </row>
    <row r="3660">
      <c r="B3660" s="291" t="n"/>
      <c r="E3660" s="212" t="n"/>
    </row>
    <row r="3661">
      <c r="B3661" s="291" t="n"/>
      <c r="E3661" s="212" t="n"/>
    </row>
    <row r="3662">
      <c r="B3662" s="291" t="n"/>
      <c r="E3662" s="212" t="n"/>
    </row>
    <row r="3663">
      <c r="B3663" s="291" t="n"/>
      <c r="E3663" s="212" t="n"/>
    </row>
    <row r="3664">
      <c r="B3664" s="291" t="n"/>
      <c r="E3664" s="212" t="n"/>
    </row>
    <row r="3665">
      <c r="B3665" s="291" t="n"/>
      <c r="E3665" s="212" t="n"/>
    </row>
    <row r="3666">
      <c r="B3666" s="291" t="n"/>
      <c r="E3666" s="212" t="n"/>
    </row>
    <row r="3667">
      <c r="B3667" s="291" t="n"/>
      <c r="E3667" s="212" t="n"/>
    </row>
    <row r="3668">
      <c r="B3668" s="291" t="n"/>
      <c r="E3668" s="212" t="n"/>
    </row>
    <row r="3669">
      <c r="B3669" s="291" t="n"/>
      <c r="E3669" s="212" t="n"/>
    </row>
    <row r="3670">
      <c r="B3670" s="291" t="n"/>
      <c r="E3670" s="212" t="n"/>
    </row>
    <row r="3671">
      <c r="B3671" s="291" t="n"/>
      <c r="E3671" s="212" t="n"/>
    </row>
    <row r="3672">
      <c r="B3672" s="291" t="n"/>
      <c r="E3672" s="212" t="n"/>
    </row>
    <row r="3673">
      <c r="B3673" s="291" t="n"/>
      <c r="E3673" s="212" t="n"/>
    </row>
    <row r="3674">
      <c r="B3674" s="291" t="n"/>
      <c r="E3674" s="212" t="n"/>
    </row>
    <row r="3675">
      <c r="B3675" s="291" t="n"/>
      <c r="E3675" s="212" t="n"/>
    </row>
    <row r="3676">
      <c r="B3676" s="291" t="n"/>
      <c r="E3676" s="212" t="n"/>
    </row>
    <row r="3677">
      <c r="B3677" s="291" t="n"/>
      <c r="E3677" s="212" t="n"/>
    </row>
    <row r="3678">
      <c r="B3678" s="291" t="n"/>
      <c r="E3678" s="212" t="n"/>
    </row>
    <row r="3679">
      <c r="B3679" s="291" t="n"/>
      <c r="E3679" s="212" t="n"/>
    </row>
    <row r="3680">
      <c r="B3680" s="291" t="n"/>
      <c r="E3680" s="212" t="n"/>
    </row>
    <row r="3681">
      <c r="B3681" s="291" t="n"/>
      <c r="E3681" s="212" t="n"/>
    </row>
    <row r="3682">
      <c r="B3682" s="291" t="n"/>
      <c r="E3682" s="212" t="n"/>
    </row>
    <row r="3683">
      <c r="B3683" s="291" t="n"/>
      <c r="E3683" s="212" t="n"/>
    </row>
    <row r="3684">
      <c r="B3684" s="291" t="n"/>
      <c r="E3684" s="212" t="n"/>
    </row>
    <row r="3685">
      <c r="B3685" s="291" t="n"/>
      <c r="E3685" s="212" t="n"/>
    </row>
    <row r="3686">
      <c r="B3686" s="291" t="n"/>
      <c r="E3686" s="212" t="n"/>
    </row>
    <row r="3687">
      <c r="B3687" s="291" t="n"/>
      <c r="E3687" s="212" t="n"/>
    </row>
    <row r="3688">
      <c r="B3688" s="291" t="n"/>
      <c r="E3688" s="212" t="n"/>
    </row>
    <row r="3689">
      <c r="B3689" s="291" t="n"/>
      <c r="E3689" s="212" t="n"/>
    </row>
    <row r="3690">
      <c r="B3690" s="291" t="n"/>
      <c r="E3690" s="212" t="n"/>
    </row>
    <row r="3691">
      <c r="B3691" s="291" t="n"/>
      <c r="E3691" s="212" t="n"/>
    </row>
    <row r="3692">
      <c r="B3692" s="291" t="n"/>
      <c r="E3692" s="212" t="n"/>
    </row>
    <row r="3693">
      <c r="B3693" s="291" t="n"/>
      <c r="E3693" s="212" t="n"/>
    </row>
    <row r="3694">
      <c r="B3694" s="291" t="n"/>
      <c r="E3694" s="212" t="n"/>
    </row>
    <row r="3695">
      <c r="B3695" s="291" t="n"/>
      <c r="E3695" s="212" t="n"/>
    </row>
    <row r="3696">
      <c r="B3696" s="291" t="n"/>
      <c r="E3696" s="212" t="n"/>
    </row>
    <row r="3697">
      <c r="B3697" s="291" t="n"/>
      <c r="E3697" s="212" t="n"/>
    </row>
    <row r="3698">
      <c r="B3698" s="291" t="n"/>
      <c r="E3698" s="212" t="n"/>
    </row>
    <row r="3699">
      <c r="B3699" s="291" t="n"/>
      <c r="E3699" s="212" t="n"/>
    </row>
    <row r="3700">
      <c r="B3700" s="291" t="n"/>
      <c r="E3700" s="212" t="n"/>
    </row>
    <row r="3701">
      <c r="B3701" s="291" t="n"/>
      <c r="E3701" s="212" t="n"/>
    </row>
    <row r="3702">
      <c r="B3702" s="291" t="n"/>
      <c r="E3702" s="212" t="n"/>
    </row>
    <row r="3703">
      <c r="B3703" s="291" t="n"/>
      <c r="E3703" s="212" t="n"/>
    </row>
    <row r="3704">
      <c r="B3704" s="291" t="n"/>
      <c r="E3704" s="212" t="n"/>
    </row>
    <row r="3705">
      <c r="B3705" s="291" t="n"/>
      <c r="E3705" s="212" t="n"/>
    </row>
    <row r="3706">
      <c r="B3706" s="291" t="n"/>
      <c r="E3706" s="212" t="n"/>
    </row>
    <row r="3707">
      <c r="B3707" s="291" t="n"/>
      <c r="E3707" s="212" t="n"/>
    </row>
    <row r="3708">
      <c r="B3708" s="291" t="n"/>
      <c r="E3708" s="212" t="n"/>
    </row>
    <row r="3709">
      <c r="B3709" s="291" t="n"/>
      <c r="E3709" s="212" t="n"/>
    </row>
    <row r="3710">
      <c r="B3710" s="291" t="n"/>
      <c r="E3710" s="212" t="n"/>
    </row>
    <row r="3711">
      <c r="B3711" s="291" t="n"/>
      <c r="E3711" s="212" t="n"/>
    </row>
    <row r="3712">
      <c r="B3712" s="291" t="n"/>
      <c r="E3712" s="212" t="n"/>
    </row>
    <row r="3713">
      <c r="B3713" s="291" t="n"/>
      <c r="E3713" s="212" t="n"/>
    </row>
    <row r="3714">
      <c r="B3714" s="291" t="n"/>
      <c r="E3714" s="212" t="n"/>
    </row>
    <row r="3715">
      <c r="B3715" s="291" t="n"/>
      <c r="E3715" s="212" t="n"/>
    </row>
    <row r="3716">
      <c r="B3716" s="291" t="n"/>
      <c r="E3716" s="212" t="n"/>
    </row>
    <row r="3717">
      <c r="B3717" s="291" t="n"/>
      <c r="E3717" s="212" t="n"/>
    </row>
    <row r="3718">
      <c r="B3718" s="291" t="n"/>
      <c r="E3718" s="212" t="n"/>
    </row>
    <row r="3719">
      <c r="B3719" s="291" t="n"/>
      <c r="E3719" s="212" t="n"/>
    </row>
    <row r="3720">
      <c r="B3720" s="291" t="n"/>
      <c r="E3720" s="212" t="n"/>
    </row>
    <row r="3721">
      <c r="B3721" s="291" t="n"/>
      <c r="E3721" s="212" t="n"/>
    </row>
    <row r="3722">
      <c r="B3722" s="291" t="n"/>
      <c r="E3722" s="212" t="n"/>
    </row>
    <row r="3723">
      <c r="B3723" s="291" t="n"/>
      <c r="E3723" s="212" t="n"/>
    </row>
    <row r="3724">
      <c r="B3724" s="291" t="n"/>
      <c r="E3724" s="212" t="n"/>
    </row>
    <row r="3725">
      <c r="B3725" s="291" t="n"/>
      <c r="E3725" s="212" t="n"/>
    </row>
    <row r="3726">
      <c r="B3726" s="291" t="n"/>
      <c r="E3726" s="212" t="n"/>
    </row>
    <row r="3727">
      <c r="B3727" s="291" t="n"/>
      <c r="E3727" s="212" t="n"/>
    </row>
    <row r="3728">
      <c r="B3728" s="291" t="n"/>
      <c r="E3728" s="212" t="n"/>
    </row>
    <row r="3729">
      <c r="B3729" s="291" t="n"/>
      <c r="E3729" s="212" t="n"/>
    </row>
    <row r="3730">
      <c r="B3730" s="291" t="n"/>
      <c r="E3730" s="212" t="n"/>
    </row>
    <row r="3731">
      <c r="B3731" s="291" t="n"/>
      <c r="E3731" s="212" t="n"/>
    </row>
    <row r="3732">
      <c r="B3732" s="291" t="n"/>
      <c r="E3732" s="212" t="n"/>
    </row>
    <row r="3733">
      <c r="B3733" s="291" t="n"/>
      <c r="E3733" s="212" t="n"/>
    </row>
    <row r="3734">
      <c r="B3734" s="291" t="n"/>
      <c r="E3734" s="212" t="n"/>
    </row>
    <row r="3735">
      <c r="B3735" s="291" t="n"/>
      <c r="E3735" s="212" t="n"/>
    </row>
    <row r="3736">
      <c r="B3736" s="291" t="n"/>
      <c r="E3736" s="212" t="n"/>
    </row>
    <row r="3737">
      <c r="B3737" s="291" t="n"/>
      <c r="E3737" s="212" t="n"/>
    </row>
    <row r="3738">
      <c r="B3738" s="291" t="n"/>
      <c r="E3738" s="212" t="n"/>
    </row>
    <row r="3739">
      <c r="B3739" s="291" t="n"/>
      <c r="E3739" s="212" t="n"/>
    </row>
    <row r="3740">
      <c r="B3740" s="291" t="n"/>
      <c r="E3740" s="212" t="n"/>
    </row>
    <row r="3741">
      <c r="B3741" s="291" t="n"/>
      <c r="E3741" s="212" t="n"/>
    </row>
    <row r="3742">
      <c r="B3742" s="291" t="n"/>
      <c r="E3742" s="212" t="n"/>
    </row>
    <row r="3743">
      <c r="B3743" s="291" t="n"/>
      <c r="E3743" s="212" t="n"/>
    </row>
    <row r="3744">
      <c r="B3744" s="291" t="n"/>
      <c r="E3744" s="212" t="n"/>
    </row>
    <row r="3745">
      <c r="B3745" s="291" t="n"/>
      <c r="E3745" s="212" t="n"/>
    </row>
    <row r="3746">
      <c r="B3746" s="291" t="n"/>
      <c r="E3746" s="212" t="n"/>
    </row>
    <row r="3747">
      <c r="B3747" s="291" t="n"/>
      <c r="E3747" s="212" t="n"/>
    </row>
    <row r="3748">
      <c r="B3748" s="291" t="n"/>
      <c r="E3748" s="212" t="n"/>
    </row>
    <row r="3749">
      <c r="B3749" s="291" t="n"/>
      <c r="E3749" s="212" t="n"/>
    </row>
    <row r="3750">
      <c r="B3750" s="291" t="n"/>
      <c r="E3750" s="212" t="n"/>
    </row>
    <row r="3751">
      <c r="B3751" s="291" t="n"/>
      <c r="E3751" s="212" t="n"/>
    </row>
    <row r="3752">
      <c r="B3752" s="291" t="n"/>
      <c r="E3752" s="212" t="n"/>
    </row>
    <row r="3753">
      <c r="B3753" s="291" t="n"/>
      <c r="E3753" s="212" t="n"/>
    </row>
    <row r="3754">
      <c r="B3754" s="291" t="n"/>
      <c r="E3754" s="212" t="n"/>
    </row>
    <row r="3755">
      <c r="B3755" s="291" t="n"/>
      <c r="E3755" s="212" t="n"/>
    </row>
    <row r="3756">
      <c r="B3756" s="291" t="n"/>
      <c r="E3756" s="212" t="n"/>
    </row>
    <row r="3757">
      <c r="B3757" s="291" t="n"/>
      <c r="E3757" s="212" t="n"/>
    </row>
    <row r="3758">
      <c r="B3758" s="291" t="n"/>
      <c r="E3758" s="212" t="n"/>
    </row>
    <row r="3759">
      <c r="B3759" s="291" t="n"/>
      <c r="E3759" s="212" t="n"/>
    </row>
    <row r="3760">
      <c r="B3760" s="291" t="n"/>
      <c r="E3760" s="212" t="n"/>
    </row>
    <row r="3761">
      <c r="B3761" s="291" t="n"/>
      <c r="E3761" s="212" t="n"/>
    </row>
    <row r="3762">
      <c r="B3762" s="291" t="n"/>
      <c r="E3762" s="212" t="n"/>
    </row>
    <row r="3763">
      <c r="B3763" s="291" t="n"/>
      <c r="E3763" s="212" t="n"/>
    </row>
    <row r="3764">
      <c r="B3764" s="291" t="n"/>
      <c r="E3764" s="212" t="n"/>
    </row>
    <row r="3765">
      <c r="B3765" s="291" t="n"/>
      <c r="E3765" s="212" t="n"/>
    </row>
    <row r="3766">
      <c r="B3766" s="291" t="n"/>
      <c r="E3766" s="212" t="n"/>
    </row>
    <row r="3767">
      <c r="B3767" s="291" t="n"/>
      <c r="E3767" s="212" t="n"/>
    </row>
    <row r="3768">
      <c r="B3768" s="291" t="n"/>
      <c r="E3768" s="212" t="n"/>
    </row>
    <row r="3769">
      <c r="B3769" s="291" t="n"/>
      <c r="E3769" s="212" t="n"/>
    </row>
    <row r="3770">
      <c r="B3770" s="291" t="n"/>
      <c r="E3770" s="212" t="n"/>
    </row>
    <row r="3771">
      <c r="B3771" s="291" t="n"/>
      <c r="E3771" s="212" t="n"/>
    </row>
    <row r="3772">
      <c r="B3772" s="291" t="n"/>
      <c r="E3772" s="212" t="n"/>
    </row>
    <row r="3773">
      <c r="B3773" s="291" t="n"/>
      <c r="E3773" s="212" t="n"/>
    </row>
    <row r="3774">
      <c r="B3774" s="291" t="n"/>
      <c r="E3774" s="212" t="n"/>
    </row>
    <row r="3775">
      <c r="B3775" s="291" t="n"/>
      <c r="E3775" s="212" t="n"/>
    </row>
    <row r="3776">
      <c r="B3776" s="291" t="n"/>
      <c r="E3776" s="212" t="n"/>
    </row>
    <row r="3777">
      <c r="B3777" s="291" t="n"/>
      <c r="E3777" s="212" t="n"/>
    </row>
    <row r="3778">
      <c r="B3778" s="291" t="n"/>
      <c r="E3778" s="212" t="n"/>
    </row>
    <row r="3779">
      <c r="B3779" s="291" t="n"/>
      <c r="E3779" s="212" t="n"/>
    </row>
    <row r="3780">
      <c r="B3780" s="291" t="n"/>
      <c r="E3780" s="212" t="n"/>
    </row>
    <row r="3781">
      <c r="B3781" s="291" t="n"/>
      <c r="E3781" s="212" t="n"/>
    </row>
    <row r="3782">
      <c r="B3782" s="291" t="n"/>
      <c r="E3782" s="212" t="n"/>
    </row>
    <row r="3783">
      <c r="B3783" s="291" t="n"/>
      <c r="E3783" s="212" t="n"/>
    </row>
    <row r="3784">
      <c r="B3784" s="291" t="n"/>
      <c r="E3784" s="212" t="n"/>
    </row>
    <row r="3785">
      <c r="B3785" s="291" t="n"/>
      <c r="E3785" s="212" t="n"/>
    </row>
    <row r="3786">
      <c r="B3786" s="291" t="n"/>
      <c r="E3786" s="212" t="n"/>
    </row>
    <row r="3787">
      <c r="B3787" s="291" t="n"/>
      <c r="E3787" s="212" t="n"/>
    </row>
    <row r="3788">
      <c r="B3788" s="291" t="n"/>
      <c r="E3788" s="212" t="n"/>
    </row>
    <row r="3789">
      <c r="B3789" s="291" t="n"/>
      <c r="E3789" s="212" t="n"/>
    </row>
    <row r="3790">
      <c r="B3790" s="291" t="n"/>
      <c r="E3790" s="212" t="n"/>
    </row>
    <row r="3791">
      <c r="B3791" s="291" t="n"/>
      <c r="E3791" s="212" t="n"/>
    </row>
    <row r="3792">
      <c r="B3792" s="291" t="n"/>
      <c r="E3792" s="212" t="n"/>
    </row>
    <row r="3793">
      <c r="B3793" s="291" t="n"/>
      <c r="E3793" s="212" t="n"/>
    </row>
    <row r="3794">
      <c r="B3794" s="291" t="n"/>
      <c r="E3794" s="212" t="n"/>
    </row>
    <row r="3795">
      <c r="B3795" s="291" t="n"/>
      <c r="E3795" s="212" t="n"/>
    </row>
    <row r="3796">
      <c r="B3796" s="291" t="n"/>
      <c r="E3796" s="212" t="n"/>
    </row>
    <row r="3797">
      <c r="B3797" s="291" t="n"/>
      <c r="E3797" s="212" t="n"/>
    </row>
    <row r="3798">
      <c r="B3798" s="291" t="n"/>
      <c r="E3798" s="212" t="n"/>
    </row>
    <row r="3799">
      <c r="B3799" s="291" t="n"/>
      <c r="E3799" s="212" t="n"/>
    </row>
    <row r="3800">
      <c r="B3800" s="291" t="n"/>
      <c r="E3800" s="212" t="n"/>
    </row>
    <row r="3801">
      <c r="B3801" s="291" t="n"/>
      <c r="E3801" s="212" t="n"/>
    </row>
    <row r="3802">
      <c r="B3802" s="291" t="n"/>
      <c r="E3802" s="212" t="n"/>
    </row>
    <row r="3803">
      <c r="B3803" s="291" t="n"/>
      <c r="E3803" s="212" t="n"/>
    </row>
    <row r="3804">
      <c r="B3804" s="291" t="n"/>
      <c r="E3804" s="212" t="n"/>
    </row>
    <row r="3805">
      <c r="B3805" s="291" t="n"/>
      <c r="E3805" s="212" t="n"/>
    </row>
    <row r="3806">
      <c r="B3806" s="291" t="n"/>
      <c r="E3806" s="212" t="n"/>
    </row>
    <row r="3807">
      <c r="B3807" s="291" t="n"/>
      <c r="E3807" s="212" t="n"/>
    </row>
    <row r="3808">
      <c r="B3808" s="291" t="n"/>
      <c r="E3808" s="212" t="n"/>
    </row>
    <row r="3809">
      <c r="B3809" s="291" t="n"/>
      <c r="E3809" s="212" t="n"/>
    </row>
    <row r="3810">
      <c r="B3810" s="291" t="n"/>
      <c r="E3810" s="212" t="n"/>
    </row>
    <row r="3811">
      <c r="B3811" s="291" t="n"/>
      <c r="E3811" s="212" t="n"/>
    </row>
    <row r="3812">
      <c r="B3812" s="291" t="n"/>
      <c r="E3812" s="212" t="n"/>
    </row>
    <row r="3813">
      <c r="B3813" s="291" t="n"/>
      <c r="E3813" s="212" t="n"/>
    </row>
    <row r="3814">
      <c r="B3814" s="291" t="n"/>
      <c r="E3814" s="212" t="n"/>
    </row>
    <row r="3815">
      <c r="B3815" s="291" t="n"/>
      <c r="E3815" s="212" t="n"/>
    </row>
    <row r="3816">
      <c r="B3816" s="291" t="n"/>
      <c r="E3816" s="212" t="n"/>
    </row>
    <row r="3817">
      <c r="B3817" s="291" t="n"/>
      <c r="E3817" s="212" t="n"/>
    </row>
    <row r="3818">
      <c r="B3818" s="291" t="n"/>
      <c r="E3818" s="212" t="n"/>
    </row>
    <row r="3819">
      <c r="B3819" s="291" t="n"/>
      <c r="E3819" s="212" t="n"/>
    </row>
    <row r="3820">
      <c r="B3820" s="291" t="n"/>
      <c r="E3820" s="212" t="n"/>
    </row>
    <row r="3821">
      <c r="B3821" s="291" t="n"/>
      <c r="E3821" s="212" t="n"/>
    </row>
    <row r="3822">
      <c r="B3822" s="291" t="n"/>
      <c r="E3822" s="212" t="n"/>
    </row>
    <row r="3823">
      <c r="B3823" s="291" t="n"/>
      <c r="E3823" s="212" t="n"/>
    </row>
    <row r="3824">
      <c r="B3824" s="291" t="n"/>
      <c r="E3824" s="212" t="n"/>
    </row>
    <row r="3825">
      <c r="B3825" s="291" t="n"/>
      <c r="E3825" s="212" t="n"/>
    </row>
    <row r="3826">
      <c r="B3826" s="291" t="n"/>
      <c r="E3826" s="212" t="n"/>
    </row>
    <row r="3827">
      <c r="B3827" s="291" t="n"/>
      <c r="E3827" s="212" t="n"/>
    </row>
    <row r="3828">
      <c r="B3828" s="291" t="n"/>
      <c r="E3828" s="212" t="n"/>
    </row>
    <row r="3829">
      <c r="B3829" s="291" t="n"/>
      <c r="E3829" s="212" t="n"/>
    </row>
    <row r="3830">
      <c r="B3830" s="291" t="n"/>
      <c r="E3830" s="212" t="n"/>
    </row>
    <row r="3831">
      <c r="B3831" s="291" t="n"/>
      <c r="E3831" s="212" t="n"/>
    </row>
    <row r="3832">
      <c r="B3832" s="291" t="n"/>
      <c r="E3832" s="212" t="n"/>
    </row>
    <row r="3833">
      <c r="B3833" s="291" t="n"/>
      <c r="E3833" s="212" t="n"/>
    </row>
    <row r="3834">
      <c r="B3834" s="291" t="n"/>
      <c r="E3834" s="212" t="n"/>
    </row>
    <row r="3835">
      <c r="B3835" s="291" t="n"/>
      <c r="E3835" s="212" t="n"/>
    </row>
    <row r="3836">
      <c r="B3836" s="291" t="n"/>
      <c r="E3836" s="212" t="n"/>
    </row>
    <row r="3837">
      <c r="B3837" s="291" t="n"/>
      <c r="E3837" s="212" t="n"/>
    </row>
    <row r="3838">
      <c r="B3838" s="291" t="n"/>
      <c r="E3838" s="212" t="n"/>
    </row>
    <row r="3839">
      <c r="B3839" s="291" t="n"/>
      <c r="E3839" s="212" t="n"/>
    </row>
    <row r="3840">
      <c r="B3840" s="291" t="n"/>
      <c r="E3840" s="212" t="n"/>
    </row>
    <row r="3841">
      <c r="B3841" s="291" t="n"/>
      <c r="E3841" s="212" t="n"/>
    </row>
    <row r="3842">
      <c r="B3842" s="291" t="n"/>
      <c r="E3842" s="212" t="n"/>
    </row>
    <row r="3843">
      <c r="B3843" s="291" t="n"/>
      <c r="E3843" s="212" t="n"/>
    </row>
    <row r="3844">
      <c r="B3844" s="291" t="n"/>
      <c r="E3844" s="212" t="n"/>
    </row>
    <row r="3845">
      <c r="B3845" s="291" t="n"/>
      <c r="E3845" s="212" t="n"/>
    </row>
    <row r="3846">
      <c r="B3846" s="291" t="n"/>
      <c r="E3846" s="212" t="n"/>
    </row>
    <row r="3847">
      <c r="B3847" s="291" t="n"/>
      <c r="E3847" s="212" t="n"/>
    </row>
    <row r="3848">
      <c r="B3848" s="291" t="n"/>
      <c r="E3848" s="212" t="n"/>
    </row>
    <row r="3849">
      <c r="B3849" s="291" t="n"/>
      <c r="E3849" s="212" t="n"/>
    </row>
    <row r="3850">
      <c r="B3850" s="291" t="n"/>
      <c r="E3850" s="212" t="n"/>
    </row>
    <row r="3851">
      <c r="B3851" s="291" t="n"/>
      <c r="E3851" s="212" t="n"/>
    </row>
    <row r="3852">
      <c r="B3852" s="291" t="n"/>
      <c r="E3852" s="212" t="n"/>
    </row>
    <row r="3853">
      <c r="B3853" s="291" t="n"/>
      <c r="E3853" s="212" t="n"/>
    </row>
    <row r="3854">
      <c r="B3854" s="291" t="n"/>
      <c r="E3854" s="212" t="n"/>
    </row>
    <row r="3855">
      <c r="B3855" s="291" t="n"/>
      <c r="E3855" s="212" t="n"/>
    </row>
    <row r="3856">
      <c r="B3856" s="291" t="n"/>
      <c r="E3856" s="212" t="n"/>
    </row>
    <row r="3857">
      <c r="B3857" s="291" t="n"/>
      <c r="E3857" s="212" t="n"/>
    </row>
    <row r="3858">
      <c r="B3858" s="291" t="n"/>
      <c r="E3858" s="212" t="n"/>
    </row>
    <row r="3859">
      <c r="B3859" s="291" t="n"/>
      <c r="E3859" s="212" t="n"/>
    </row>
    <row r="3860">
      <c r="B3860" s="291" t="n"/>
      <c r="E3860" s="212" t="n"/>
    </row>
    <row r="3861">
      <c r="B3861" s="291" t="n"/>
      <c r="E3861" s="212" t="n"/>
    </row>
    <row r="3862">
      <c r="B3862" s="291" t="n"/>
      <c r="E3862" s="212" t="n"/>
    </row>
    <row r="3863">
      <c r="B3863" s="291" t="n"/>
      <c r="E3863" s="212" t="n"/>
    </row>
    <row r="3864">
      <c r="B3864" s="291" t="n"/>
      <c r="E3864" s="212" t="n"/>
    </row>
    <row r="3865">
      <c r="B3865" s="291" t="n"/>
      <c r="E3865" s="212" t="n"/>
    </row>
    <row r="3866">
      <c r="B3866" s="291" t="n"/>
      <c r="E3866" s="212" t="n"/>
    </row>
    <row r="3867">
      <c r="B3867" s="291" t="n"/>
      <c r="E3867" s="212" t="n"/>
    </row>
    <row r="3868">
      <c r="B3868" s="291" t="n"/>
      <c r="E3868" s="212" t="n"/>
    </row>
    <row r="3869">
      <c r="B3869" s="291" t="n"/>
      <c r="E3869" s="212" t="n"/>
    </row>
    <row r="3870">
      <c r="B3870" s="291" t="n"/>
      <c r="E3870" s="212" t="n"/>
    </row>
    <row r="3871">
      <c r="B3871" s="291" t="n"/>
      <c r="E3871" s="212" t="n"/>
    </row>
    <row r="3872">
      <c r="B3872" s="291" t="n"/>
      <c r="E3872" s="212" t="n"/>
    </row>
    <row r="3873">
      <c r="B3873" s="291" t="n"/>
      <c r="E3873" s="212" t="n"/>
    </row>
    <row r="3874">
      <c r="B3874" s="291" t="n"/>
      <c r="E3874" s="212" t="n"/>
    </row>
    <row r="3875">
      <c r="B3875" s="291" t="n"/>
      <c r="E3875" s="212" t="n"/>
    </row>
    <row r="3876">
      <c r="B3876" s="291" t="n"/>
      <c r="E3876" s="212" t="n"/>
    </row>
    <row r="3877">
      <c r="B3877" s="291" t="n"/>
      <c r="E3877" s="212" t="n"/>
    </row>
    <row r="3878">
      <c r="B3878" s="291" t="n"/>
      <c r="E3878" s="212" t="n"/>
    </row>
    <row r="3879">
      <c r="B3879" s="291" t="n"/>
      <c r="E3879" s="212" t="n"/>
    </row>
    <row r="3880">
      <c r="B3880" s="291" t="n"/>
      <c r="E3880" s="212" t="n"/>
    </row>
    <row r="3881">
      <c r="B3881" s="291" t="n"/>
      <c r="E3881" s="212" t="n"/>
    </row>
    <row r="3882">
      <c r="B3882" s="291" t="n"/>
      <c r="E3882" s="212" t="n"/>
    </row>
    <row r="3883">
      <c r="B3883" s="291" t="n"/>
      <c r="E3883" s="212" t="n"/>
    </row>
    <row r="3884">
      <c r="B3884" s="291" t="n"/>
      <c r="E3884" s="212" t="n"/>
    </row>
    <row r="3885">
      <c r="B3885" s="291" t="n"/>
      <c r="E3885" s="212" t="n"/>
    </row>
    <row r="3886">
      <c r="B3886" s="291" t="n"/>
      <c r="E3886" s="212" t="n"/>
    </row>
    <row r="3887">
      <c r="B3887" s="291" t="n"/>
      <c r="E3887" s="212" t="n"/>
    </row>
    <row r="3888">
      <c r="B3888" s="291" t="n"/>
      <c r="E3888" s="212" t="n"/>
    </row>
    <row r="3889">
      <c r="B3889" s="291" t="n"/>
      <c r="E3889" s="212" t="n"/>
    </row>
    <row r="3890">
      <c r="B3890" s="291" t="n"/>
      <c r="E3890" s="212" t="n"/>
    </row>
    <row r="3891">
      <c r="B3891" s="291" t="n"/>
      <c r="E3891" s="212" t="n"/>
    </row>
    <row r="3892">
      <c r="B3892" s="291" t="n"/>
      <c r="E3892" s="212" t="n"/>
    </row>
    <row r="3893">
      <c r="B3893" s="291" t="n"/>
      <c r="E3893" s="212" t="n"/>
    </row>
    <row r="3894">
      <c r="B3894" s="291" t="n"/>
      <c r="E3894" s="212" t="n"/>
    </row>
    <row r="3895">
      <c r="B3895" s="291" t="n"/>
      <c r="E3895" s="212" t="n"/>
    </row>
    <row r="3896">
      <c r="B3896" s="291" t="n"/>
      <c r="E3896" s="212" t="n"/>
    </row>
    <row r="3897">
      <c r="B3897" s="291" t="n"/>
      <c r="E3897" s="212" t="n"/>
    </row>
    <row r="3898">
      <c r="B3898" s="291" t="n"/>
      <c r="E3898" s="212" t="n"/>
    </row>
    <row r="3899">
      <c r="B3899" s="291" t="n"/>
      <c r="E3899" s="212" t="n"/>
    </row>
    <row r="3900">
      <c r="B3900" s="291" t="n"/>
      <c r="E3900" s="212" t="n"/>
    </row>
    <row r="3901">
      <c r="B3901" s="291" t="n"/>
      <c r="E3901" s="212" t="n"/>
    </row>
    <row r="3902">
      <c r="B3902" s="291" t="n"/>
      <c r="E3902" s="212" t="n"/>
    </row>
    <row r="3903">
      <c r="B3903" s="291" t="n"/>
      <c r="E3903" s="212" t="n"/>
    </row>
    <row r="3904">
      <c r="B3904" s="291" t="n"/>
      <c r="E3904" s="212" t="n"/>
    </row>
    <row r="3905">
      <c r="B3905" s="291" t="n"/>
      <c r="E3905" s="212" t="n"/>
    </row>
    <row r="3906">
      <c r="B3906" s="291" t="n"/>
      <c r="E3906" s="212" t="n"/>
    </row>
    <row r="3907">
      <c r="B3907" s="291" t="n"/>
      <c r="E3907" s="212" t="n"/>
    </row>
    <row r="3908">
      <c r="B3908" s="291" t="n"/>
      <c r="E3908" s="212" t="n"/>
    </row>
    <row r="3909">
      <c r="B3909" s="291" t="n"/>
      <c r="E3909" s="212" t="n"/>
    </row>
    <row r="3910">
      <c r="B3910" s="291" t="n"/>
      <c r="E3910" s="212" t="n"/>
    </row>
    <row r="3911">
      <c r="B3911" s="291" t="n"/>
      <c r="E3911" s="212" t="n"/>
    </row>
    <row r="3912">
      <c r="B3912" s="291" t="n"/>
      <c r="E3912" s="212" t="n"/>
    </row>
    <row r="3913">
      <c r="B3913" s="291" t="n"/>
      <c r="E3913" s="212" t="n"/>
    </row>
    <row r="3914">
      <c r="B3914" s="291" t="n"/>
      <c r="E3914" s="212" t="n"/>
    </row>
    <row r="3915">
      <c r="B3915" s="291" t="n"/>
      <c r="E3915" s="212" t="n"/>
    </row>
    <row r="3916">
      <c r="B3916" s="291" t="n"/>
      <c r="E3916" s="212" t="n"/>
    </row>
    <row r="3917">
      <c r="B3917" s="291" t="n"/>
      <c r="E3917" s="212" t="n"/>
    </row>
    <row r="3918">
      <c r="B3918" s="291" t="n"/>
      <c r="E3918" s="212" t="n"/>
    </row>
    <row r="3919">
      <c r="B3919" s="291" t="n"/>
      <c r="E3919" s="212" t="n"/>
    </row>
    <row r="3920">
      <c r="B3920" s="291" t="n"/>
      <c r="E3920" s="212" t="n"/>
    </row>
    <row r="3921">
      <c r="B3921" s="291" t="n"/>
      <c r="E3921" s="212" t="n"/>
    </row>
    <row r="3922">
      <c r="B3922" s="291" t="n"/>
      <c r="E3922" s="212" t="n"/>
    </row>
    <row r="3923">
      <c r="B3923" s="291" t="n"/>
      <c r="E3923" s="212" t="n"/>
    </row>
    <row r="3924">
      <c r="B3924" s="291" t="n"/>
      <c r="E3924" s="212" t="n"/>
    </row>
    <row r="3925">
      <c r="B3925" s="291" t="n"/>
      <c r="E3925" s="212" t="n"/>
    </row>
    <row r="3926">
      <c r="B3926" s="291" t="n"/>
      <c r="E3926" s="212" t="n"/>
    </row>
    <row r="3927">
      <c r="B3927" s="291" t="n"/>
      <c r="E3927" s="212" t="n"/>
    </row>
    <row r="3928">
      <c r="B3928" s="291" t="n"/>
      <c r="E3928" s="212" t="n"/>
    </row>
    <row r="3929">
      <c r="B3929" s="291" t="n"/>
      <c r="E3929" s="212" t="n"/>
    </row>
    <row r="3930">
      <c r="B3930" s="291" t="n"/>
      <c r="E3930" s="212" t="n"/>
    </row>
    <row r="3931">
      <c r="B3931" s="291" t="n"/>
      <c r="E3931" s="212" t="n"/>
    </row>
    <row r="3932">
      <c r="B3932" s="291" t="n"/>
      <c r="E3932" s="212" t="n"/>
    </row>
    <row r="3933">
      <c r="B3933" s="291" t="n"/>
      <c r="E3933" s="212" t="n"/>
    </row>
    <row r="3934">
      <c r="B3934" s="291" t="n"/>
      <c r="E3934" s="212" t="n"/>
    </row>
    <row r="3935">
      <c r="B3935" s="291" t="n"/>
      <c r="E3935" s="212" t="n"/>
    </row>
    <row r="3936">
      <c r="B3936" s="291" t="n"/>
      <c r="E3936" s="212" t="n"/>
    </row>
    <row r="3937">
      <c r="B3937" s="291" t="n"/>
      <c r="E3937" s="212" t="n"/>
    </row>
    <row r="3938">
      <c r="B3938" s="291" t="n"/>
      <c r="E3938" s="212" t="n"/>
    </row>
    <row r="3939">
      <c r="B3939" s="291" t="n"/>
      <c r="E3939" s="212" t="n"/>
    </row>
    <row r="3940">
      <c r="B3940" s="291" t="n"/>
      <c r="E3940" s="212" t="n"/>
    </row>
    <row r="3941">
      <c r="B3941" s="291" t="n"/>
      <c r="E3941" s="212" t="n"/>
    </row>
    <row r="3942">
      <c r="B3942" s="291" t="n"/>
      <c r="E3942" s="212" t="n"/>
    </row>
    <row r="3943">
      <c r="B3943" s="291" t="n"/>
      <c r="E3943" s="212" t="n"/>
    </row>
    <row r="3944">
      <c r="B3944" s="291" t="n"/>
      <c r="E3944" s="212" t="n"/>
    </row>
    <row r="3945">
      <c r="B3945" s="291" t="n"/>
      <c r="E3945" s="212" t="n"/>
    </row>
    <row r="3946">
      <c r="B3946" s="291" t="n"/>
      <c r="E3946" s="212" t="n"/>
    </row>
    <row r="3947">
      <c r="B3947" s="291" t="n"/>
      <c r="E3947" s="212" t="n"/>
    </row>
    <row r="3948">
      <c r="B3948" s="291" t="n"/>
      <c r="E3948" s="212" t="n"/>
    </row>
    <row r="3949">
      <c r="B3949" s="291" t="n"/>
      <c r="E3949" s="212" t="n"/>
    </row>
    <row r="3950">
      <c r="B3950" s="291" t="n"/>
      <c r="E3950" s="212" t="n"/>
    </row>
    <row r="3951">
      <c r="B3951" s="291" t="n"/>
      <c r="E3951" s="212" t="n"/>
    </row>
    <row r="3952">
      <c r="B3952" s="291" t="n"/>
      <c r="E3952" s="212" t="n"/>
    </row>
    <row r="3953">
      <c r="B3953" s="291" t="n"/>
      <c r="E3953" s="212" t="n"/>
    </row>
    <row r="3954">
      <c r="B3954" s="291" t="n"/>
      <c r="E3954" s="212" t="n"/>
    </row>
    <row r="3955">
      <c r="B3955" s="291" t="n"/>
      <c r="E3955" s="212" t="n"/>
    </row>
    <row r="3956">
      <c r="B3956" s="291" t="n"/>
      <c r="E3956" s="212" t="n"/>
    </row>
    <row r="3957">
      <c r="B3957" s="291" t="n"/>
      <c r="E3957" s="212" t="n"/>
    </row>
    <row r="3958">
      <c r="B3958" s="291" t="n"/>
      <c r="E3958" s="212" t="n"/>
    </row>
    <row r="3959">
      <c r="B3959" s="291" t="n"/>
      <c r="E3959" s="212" t="n"/>
    </row>
    <row r="3960">
      <c r="B3960" s="291" t="n"/>
      <c r="E3960" s="212" t="n"/>
    </row>
    <row r="3961">
      <c r="B3961" s="291" t="n"/>
      <c r="E3961" s="212" t="n"/>
    </row>
    <row r="3962">
      <c r="B3962" s="291" t="n"/>
      <c r="E3962" s="212" t="n"/>
    </row>
    <row r="3963">
      <c r="B3963" s="291" t="n"/>
      <c r="E3963" s="212" t="n"/>
    </row>
    <row r="3964">
      <c r="B3964" s="291" t="n"/>
      <c r="E3964" s="212" t="n"/>
    </row>
    <row r="3965">
      <c r="B3965" s="291" t="n"/>
      <c r="E3965" s="212" t="n"/>
    </row>
    <row r="3966">
      <c r="B3966" s="291" t="n"/>
      <c r="E3966" s="212" t="n"/>
    </row>
    <row r="3967">
      <c r="B3967" s="291" t="n"/>
      <c r="E3967" s="212" t="n"/>
    </row>
    <row r="3968">
      <c r="B3968" s="291" t="n"/>
      <c r="E3968" s="212" t="n"/>
    </row>
    <row r="3969">
      <c r="B3969" s="291" t="n"/>
      <c r="E3969" s="212" t="n"/>
    </row>
    <row r="3970">
      <c r="B3970" s="291" t="n"/>
      <c r="E3970" s="212" t="n"/>
    </row>
    <row r="3971">
      <c r="B3971" s="291" t="n"/>
      <c r="E3971" s="212" t="n"/>
    </row>
    <row r="3972">
      <c r="B3972" s="291" t="n"/>
      <c r="E3972" s="212" t="n"/>
    </row>
    <row r="3973">
      <c r="B3973" s="291" t="n"/>
      <c r="E3973" s="212" t="n"/>
    </row>
    <row r="3974">
      <c r="B3974" s="291" t="n"/>
      <c r="E3974" s="212" t="n"/>
    </row>
    <row r="3975">
      <c r="B3975" s="291" t="n"/>
      <c r="E3975" s="212" t="n"/>
    </row>
    <row r="3976">
      <c r="B3976" s="291" t="n"/>
      <c r="E3976" s="212" t="n"/>
    </row>
    <row r="3977">
      <c r="B3977" s="291" t="n"/>
      <c r="E3977" s="212" t="n"/>
    </row>
    <row r="3978">
      <c r="B3978" s="291" t="n"/>
      <c r="E3978" s="212" t="n"/>
    </row>
    <row r="3979">
      <c r="B3979" s="291" t="n"/>
      <c r="E3979" s="212" t="n"/>
    </row>
    <row r="3980">
      <c r="B3980" s="291" t="n"/>
      <c r="E3980" s="212" t="n"/>
    </row>
    <row r="3981">
      <c r="B3981" s="291" t="n"/>
      <c r="E3981" s="212" t="n"/>
    </row>
    <row r="3982">
      <c r="B3982" s="291" t="n"/>
      <c r="E3982" s="212" t="n"/>
    </row>
    <row r="3983">
      <c r="B3983" s="291" t="n"/>
      <c r="E3983" s="212" t="n"/>
    </row>
    <row r="3984">
      <c r="B3984" s="291" t="n"/>
      <c r="E3984" s="212" t="n"/>
    </row>
    <row r="3985">
      <c r="B3985" s="291" t="n"/>
      <c r="E3985" s="212" t="n"/>
    </row>
    <row r="3986">
      <c r="B3986" s="291" t="n"/>
      <c r="E3986" s="212" t="n"/>
    </row>
    <row r="3987">
      <c r="B3987" s="291" t="n"/>
      <c r="E3987" s="212" t="n"/>
    </row>
    <row r="3988">
      <c r="B3988" s="291" t="n"/>
      <c r="E3988" s="212" t="n"/>
    </row>
    <row r="3989">
      <c r="B3989" s="291" t="n"/>
      <c r="E3989" s="212" t="n"/>
    </row>
    <row r="3990">
      <c r="B3990" s="291" t="n"/>
      <c r="E3990" s="212" t="n"/>
    </row>
    <row r="3991">
      <c r="B3991" s="291" t="n"/>
      <c r="E3991" s="212" t="n"/>
    </row>
    <row r="3992">
      <c r="B3992" s="291" t="n"/>
      <c r="E3992" s="212" t="n"/>
    </row>
    <row r="3993">
      <c r="B3993" s="291" t="n"/>
      <c r="E3993" s="212" t="n"/>
    </row>
    <row r="3994">
      <c r="B3994" s="291" t="n"/>
      <c r="E3994" s="212" t="n"/>
    </row>
    <row r="3995">
      <c r="B3995" s="291" t="n"/>
      <c r="E3995" s="212" t="n"/>
    </row>
    <row r="3996">
      <c r="B3996" s="291" t="n"/>
      <c r="E3996" s="212" t="n"/>
    </row>
    <row r="3997">
      <c r="B3997" s="291" t="n"/>
      <c r="E3997" s="212" t="n"/>
    </row>
    <row r="3998">
      <c r="B3998" s="291" t="n"/>
      <c r="E3998" s="212" t="n"/>
    </row>
    <row r="3999">
      <c r="B3999" s="291" t="n"/>
      <c r="E3999" s="212" t="n"/>
    </row>
    <row r="4000">
      <c r="B4000" s="291" t="n"/>
      <c r="E4000" s="212" t="n"/>
    </row>
    <row r="4001">
      <c r="B4001" s="291" t="n"/>
      <c r="E4001" s="212" t="n"/>
    </row>
    <row r="4002">
      <c r="B4002" s="291" t="n"/>
      <c r="E4002" s="212" t="n"/>
    </row>
    <row r="4003">
      <c r="B4003" s="291" t="n"/>
      <c r="E4003" s="212" t="n"/>
    </row>
    <row r="4004">
      <c r="B4004" s="291" t="n"/>
      <c r="E4004" s="212" t="n"/>
    </row>
    <row r="4005">
      <c r="B4005" s="291" t="n"/>
      <c r="E4005" s="212" t="n"/>
    </row>
    <row r="4006">
      <c r="B4006" s="291" t="n"/>
      <c r="E4006" s="212" t="n"/>
    </row>
    <row r="4007">
      <c r="B4007" s="291" t="n"/>
      <c r="E4007" s="212" t="n"/>
    </row>
    <row r="4008">
      <c r="B4008" s="291" t="n"/>
      <c r="E4008" s="212" t="n"/>
    </row>
    <row r="4009">
      <c r="B4009" s="291" t="n"/>
      <c r="E4009" s="212" t="n"/>
    </row>
    <row r="4010">
      <c r="B4010" s="291" t="n"/>
      <c r="E4010" s="212" t="n"/>
    </row>
    <row r="4011">
      <c r="B4011" s="291" t="n"/>
      <c r="E4011" s="212" t="n"/>
    </row>
    <row r="4012">
      <c r="B4012" s="291" t="n"/>
      <c r="E4012" s="212" t="n"/>
    </row>
    <row r="4013">
      <c r="B4013" s="291" t="n"/>
      <c r="E4013" s="212" t="n"/>
    </row>
    <row r="4014">
      <c r="B4014" s="291" t="n"/>
      <c r="E4014" s="212" t="n"/>
    </row>
    <row r="4015">
      <c r="B4015" s="291" t="n"/>
      <c r="E4015" s="212" t="n"/>
    </row>
    <row r="4016">
      <c r="B4016" s="291" t="n"/>
      <c r="E4016" s="212" t="n"/>
    </row>
    <row r="4017">
      <c r="B4017" s="291" t="n"/>
      <c r="E4017" s="212" t="n"/>
    </row>
    <row r="4018">
      <c r="B4018" s="291" t="n"/>
      <c r="E4018" s="212" t="n"/>
    </row>
    <row r="4019">
      <c r="B4019" s="291" t="n"/>
      <c r="E4019" s="212" t="n"/>
    </row>
    <row r="4020">
      <c r="B4020" s="291" t="n"/>
      <c r="E4020" s="212" t="n"/>
    </row>
    <row r="4021">
      <c r="B4021" s="291" t="n"/>
      <c r="E4021" s="212" t="n"/>
    </row>
    <row r="4022">
      <c r="B4022" s="291" t="n"/>
      <c r="E4022" s="212" t="n"/>
    </row>
    <row r="4023">
      <c r="B4023" s="291" t="n"/>
      <c r="E4023" s="212" t="n"/>
    </row>
    <row r="4024">
      <c r="B4024" s="291" t="n"/>
      <c r="E4024" s="212" t="n"/>
    </row>
    <row r="4025">
      <c r="B4025" s="291" t="n"/>
      <c r="E4025" s="212" t="n"/>
    </row>
    <row r="4026">
      <c r="B4026" s="291" t="n"/>
      <c r="E4026" s="212" t="n"/>
    </row>
    <row r="4027">
      <c r="B4027" s="291" t="n"/>
      <c r="E4027" s="212" t="n"/>
    </row>
    <row r="4028">
      <c r="B4028" s="291" t="n"/>
      <c r="E4028" s="212" t="n"/>
    </row>
    <row r="4029">
      <c r="B4029" s="291" t="n"/>
      <c r="E4029" s="212" t="n"/>
    </row>
    <row r="4030">
      <c r="B4030" s="291" t="n"/>
      <c r="E4030" s="212" t="n"/>
    </row>
    <row r="4031">
      <c r="B4031" s="291" t="n"/>
      <c r="E4031" s="212" t="n"/>
    </row>
    <row r="4032">
      <c r="B4032" s="291" t="n"/>
      <c r="E4032" s="212" t="n"/>
    </row>
    <row r="4033">
      <c r="B4033" s="291" t="n"/>
      <c r="E4033" s="212" t="n"/>
    </row>
    <row r="4034">
      <c r="B4034" s="291" t="n"/>
      <c r="E4034" s="212" t="n"/>
    </row>
    <row r="4035">
      <c r="B4035" s="291" t="n"/>
      <c r="E4035" s="212" t="n"/>
    </row>
    <row r="4036">
      <c r="B4036" s="291" t="n"/>
      <c r="E4036" s="212" t="n"/>
    </row>
    <row r="4037">
      <c r="B4037" s="291" t="n"/>
      <c r="E4037" s="212" t="n"/>
    </row>
    <row r="4038">
      <c r="B4038" s="291" t="n"/>
      <c r="E4038" s="212" t="n"/>
    </row>
    <row r="4039">
      <c r="B4039" s="291" t="n"/>
      <c r="E4039" s="212" t="n"/>
    </row>
    <row r="4040">
      <c r="B4040" s="291" t="n"/>
      <c r="E4040" s="212" t="n"/>
    </row>
    <row r="4041">
      <c r="B4041" s="291" t="n"/>
      <c r="E4041" s="212" t="n"/>
    </row>
    <row r="4042">
      <c r="B4042" s="291" t="n"/>
      <c r="E4042" s="212" t="n"/>
    </row>
    <row r="4043">
      <c r="B4043" s="291" t="n"/>
      <c r="E4043" s="212" t="n"/>
    </row>
    <row r="4044">
      <c r="B4044" s="291" t="n"/>
      <c r="E4044" s="212" t="n"/>
    </row>
    <row r="4045">
      <c r="B4045" s="291" t="n"/>
      <c r="E4045" s="212" t="n"/>
    </row>
    <row r="4046">
      <c r="B4046" s="291" t="n"/>
      <c r="E4046" s="212" t="n"/>
    </row>
    <row r="4047">
      <c r="B4047" s="291" t="n"/>
      <c r="E4047" s="212" t="n"/>
    </row>
    <row r="4048">
      <c r="B4048" s="291" t="n"/>
      <c r="E4048" s="212" t="n"/>
    </row>
    <row r="4049">
      <c r="B4049" s="291" t="n"/>
      <c r="E4049" s="212" t="n"/>
    </row>
    <row r="4050">
      <c r="B4050" s="291" t="n"/>
      <c r="E4050" s="212" t="n"/>
    </row>
    <row r="4051">
      <c r="B4051" s="291" t="n"/>
      <c r="E4051" s="212" t="n"/>
    </row>
    <row r="4052">
      <c r="B4052" s="291" t="n"/>
      <c r="E4052" s="212" t="n"/>
    </row>
    <row r="4053">
      <c r="B4053" s="291" t="n"/>
      <c r="E4053" s="212" t="n"/>
    </row>
    <row r="4054">
      <c r="B4054" s="291" t="n"/>
      <c r="E4054" s="212" t="n"/>
    </row>
    <row r="4055">
      <c r="B4055" s="291" t="n"/>
      <c r="E4055" s="212" t="n"/>
    </row>
    <row r="4056">
      <c r="B4056" s="291" t="n"/>
      <c r="E4056" s="212" t="n"/>
    </row>
    <row r="4057">
      <c r="B4057" s="291" t="n"/>
      <c r="E4057" s="212" t="n"/>
    </row>
    <row r="4058">
      <c r="B4058" s="291" t="n"/>
      <c r="E4058" s="212" t="n"/>
    </row>
    <row r="4059">
      <c r="B4059" s="291" t="n"/>
      <c r="E4059" s="212" t="n"/>
    </row>
    <row r="4060">
      <c r="B4060" s="291" t="n"/>
      <c r="E4060" s="212" t="n"/>
    </row>
    <row r="4061">
      <c r="B4061" s="291" t="n"/>
      <c r="E4061" s="212" t="n"/>
    </row>
    <row r="4062">
      <c r="B4062" s="291" t="n"/>
      <c r="E4062" s="212" t="n"/>
    </row>
    <row r="4063">
      <c r="B4063" s="291" t="n"/>
      <c r="E4063" s="212" t="n"/>
    </row>
    <row r="4064">
      <c r="B4064" s="291" t="n"/>
      <c r="E4064" s="212" t="n"/>
    </row>
    <row r="4065">
      <c r="B4065" s="291" t="n"/>
      <c r="E4065" s="212" t="n"/>
    </row>
    <row r="4066">
      <c r="B4066" s="291" t="n"/>
      <c r="E4066" s="212" t="n"/>
    </row>
    <row r="4067">
      <c r="B4067" s="291" t="n"/>
      <c r="E4067" s="212" t="n"/>
    </row>
    <row r="4068">
      <c r="B4068" s="291" t="n"/>
      <c r="E4068" s="212" t="n"/>
    </row>
    <row r="4069">
      <c r="B4069" s="291" t="n"/>
      <c r="E4069" s="212" t="n"/>
    </row>
    <row r="4070">
      <c r="B4070" s="291" t="n"/>
      <c r="E4070" s="212" t="n"/>
    </row>
    <row r="4071">
      <c r="B4071" s="291" t="n"/>
      <c r="E4071" s="212" t="n"/>
    </row>
    <row r="4072">
      <c r="B4072" s="291" t="n"/>
      <c r="E4072" s="212" t="n"/>
    </row>
    <row r="4073">
      <c r="B4073" s="291" t="n"/>
      <c r="E4073" s="212" t="n"/>
    </row>
    <row r="4074">
      <c r="B4074" s="291" t="n"/>
      <c r="E4074" s="212" t="n"/>
    </row>
    <row r="4075">
      <c r="B4075" s="291" t="n"/>
      <c r="E4075" s="212" t="n"/>
    </row>
    <row r="4076">
      <c r="B4076" s="291" t="n"/>
      <c r="E4076" s="212" t="n"/>
    </row>
    <row r="4077">
      <c r="B4077" s="291" t="n"/>
      <c r="E4077" s="212" t="n"/>
    </row>
    <row r="4078">
      <c r="B4078" s="291" t="n"/>
      <c r="E4078" s="212" t="n"/>
    </row>
    <row r="4079">
      <c r="B4079" s="291" t="n"/>
      <c r="E4079" s="212" t="n"/>
    </row>
    <row r="4080">
      <c r="B4080" s="291" t="n"/>
      <c r="E4080" s="212" t="n"/>
    </row>
    <row r="4081">
      <c r="B4081" s="291" t="n"/>
      <c r="E4081" s="212" t="n"/>
    </row>
    <row r="4082">
      <c r="B4082" s="291" t="n"/>
      <c r="E4082" s="212" t="n"/>
    </row>
    <row r="4083">
      <c r="B4083" s="291" t="n"/>
      <c r="E4083" s="212" t="n"/>
    </row>
    <row r="4084">
      <c r="B4084" s="291" t="n"/>
      <c r="E4084" s="212" t="n"/>
    </row>
    <row r="4085">
      <c r="B4085" s="291" t="n"/>
      <c r="E4085" s="212" t="n"/>
    </row>
    <row r="4086">
      <c r="B4086" s="291" t="n"/>
      <c r="E4086" s="212" t="n"/>
    </row>
    <row r="4087">
      <c r="B4087" s="291" t="n"/>
      <c r="E4087" s="212" t="n"/>
    </row>
    <row r="4088">
      <c r="B4088" s="291" t="n"/>
      <c r="E4088" s="212" t="n"/>
    </row>
    <row r="4089">
      <c r="B4089" s="291" t="n"/>
      <c r="E4089" s="212" t="n"/>
    </row>
    <row r="4090">
      <c r="B4090" s="291" t="n"/>
      <c r="E4090" s="212" t="n"/>
    </row>
    <row r="4091">
      <c r="B4091" s="291" t="n"/>
      <c r="E4091" s="212" t="n"/>
    </row>
    <row r="4092">
      <c r="B4092" s="291" t="n"/>
      <c r="E4092" s="212" t="n"/>
    </row>
    <row r="4093">
      <c r="B4093" s="291" t="n"/>
      <c r="E4093" s="212" t="n"/>
    </row>
    <row r="4094">
      <c r="B4094" s="291" t="n"/>
      <c r="E4094" s="212" t="n"/>
    </row>
    <row r="4095">
      <c r="B4095" s="291" t="n"/>
      <c r="E4095" s="212" t="n"/>
    </row>
    <row r="4096">
      <c r="B4096" s="291" t="n"/>
      <c r="E4096" s="212" t="n"/>
    </row>
    <row r="4097">
      <c r="B4097" s="291" t="n"/>
      <c r="E4097" s="212" t="n"/>
    </row>
    <row r="4098">
      <c r="B4098" s="291" t="n"/>
      <c r="E4098" s="212" t="n"/>
    </row>
    <row r="4099">
      <c r="B4099" s="291" t="n"/>
      <c r="E4099" s="212" t="n"/>
    </row>
    <row r="4100">
      <c r="B4100" s="291" t="n"/>
      <c r="E4100" s="212" t="n"/>
    </row>
    <row r="4101">
      <c r="B4101" s="291" t="n"/>
      <c r="E4101" s="212" t="n"/>
    </row>
    <row r="4102">
      <c r="B4102" s="291" t="n"/>
      <c r="E4102" s="212" t="n"/>
    </row>
    <row r="4103">
      <c r="B4103" s="291" t="n"/>
      <c r="E4103" s="212" t="n"/>
    </row>
    <row r="4104">
      <c r="B4104" s="291" t="n"/>
      <c r="E4104" s="212" t="n"/>
    </row>
    <row r="4105">
      <c r="B4105" s="291" t="n"/>
      <c r="E4105" s="212" t="n"/>
    </row>
    <row r="4106">
      <c r="B4106" s="291" t="n"/>
      <c r="E4106" s="212" t="n"/>
    </row>
    <row r="4107">
      <c r="B4107" s="291" t="n"/>
      <c r="E4107" s="212" t="n"/>
    </row>
    <row r="4108">
      <c r="B4108" s="291" t="n"/>
      <c r="E4108" s="212" t="n"/>
    </row>
    <row r="4109">
      <c r="B4109" s="291" t="n"/>
      <c r="E4109" s="212" t="n"/>
    </row>
    <row r="4110">
      <c r="B4110" s="291" t="n"/>
      <c r="E4110" s="212" t="n"/>
    </row>
    <row r="4111">
      <c r="B4111" s="291" t="n"/>
      <c r="E4111" s="212" t="n"/>
    </row>
    <row r="4112">
      <c r="B4112" s="291" t="n"/>
      <c r="E4112" s="212" t="n"/>
    </row>
    <row r="4113">
      <c r="B4113" s="291" t="n"/>
      <c r="E4113" s="212" t="n"/>
    </row>
    <row r="4114">
      <c r="B4114" s="291" t="n"/>
      <c r="E4114" s="212" t="n"/>
    </row>
    <row r="4115">
      <c r="B4115" s="291" t="n"/>
      <c r="E4115" s="212" t="n"/>
    </row>
    <row r="4116">
      <c r="B4116" s="291" t="n"/>
      <c r="E4116" s="212" t="n"/>
    </row>
    <row r="4117">
      <c r="B4117" s="291" t="n"/>
      <c r="E4117" s="212" t="n"/>
    </row>
    <row r="4118">
      <c r="B4118" s="291" t="n"/>
      <c r="E4118" s="212" t="n"/>
    </row>
    <row r="4119">
      <c r="B4119" s="291" t="n"/>
      <c r="E4119" s="212" t="n"/>
    </row>
    <row r="4120">
      <c r="B4120" s="291" t="n"/>
      <c r="E4120" s="212" t="n"/>
    </row>
    <row r="4121">
      <c r="B4121" s="291" t="n"/>
      <c r="E4121" s="212" t="n"/>
    </row>
    <row r="4122">
      <c r="B4122" s="291" t="n"/>
      <c r="E4122" s="212" t="n"/>
    </row>
    <row r="4123">
      <c r="B4123" s="291" t="n"/>
      <c r="E4123" s="212" t="n"/>
    </row>
    <row r="4124">
      <c r="B4124" s="291" t="n"/>
      <c r="E4124" s="212" t="n"/>
    </row>
    <row r="4125">
      <c r="B4125" s="291" t="n"/>
      <c r="E4125" s="212" t="n"/>
    </row>
    <row r="4126">
      <c r="B4126" s="291" t="n"/>
      <c r="E4126" s="212" t="n"/>
    </row>
    <row r="4127">
      <c r="B4127" s="291" t="n"/>
      <c r="E4127" s="212" t="n"/>
    </row>
    <row r="4128">
      <c r="B4128" s="291" t="n"/>
      <c r="E4128" s="212" t="n"/>
    </row>
    <row r="4129">
      <c r="B4129" s="291" t="n"/>
      <c r="E4129" s="212" t="n"/>
    </row>
    <row r="4130">
      <c r="B4130" s="291" t="n"/>
      <c r="E4130" s="212" t="n"/>
    </row>
    <row r="4131">
      <c r="B4131" s="291" t="n"/>
      <c r="E4131" s="212" t="n"/>
    </row>
    <row r="4132">
      <c r="B4132" s="291" t="n"/>
      <c r="E4132" s="212" t="n"/>
    </row>
    <row r="4133">
      <c r="B4133" s="291" t="n"/>
      <c r="E4133" s="212" t="n"/>
    </row>
    <row r="4134">
      <c r="B4134" s="291" t="n"/>
      <c r="E4134" s="212" t="n"/>
    </row>
    <row r="4135">
      <c r="B4135" s="291" t="n"/>
      <c r="E4135" s="212" t="n"/>
    </row>
    <row r="4136">
      <c r="B4136" s="291" t="n"/>
      <c r="E4136" s="212" t="n"/>
    </row>
    <row r="4137">
      <c r="B4137" s="291" t="n"/>
      <c r="E4137" s="212" t="n"/>
    </row>
    <row r="4138">
      <c r="B4138" s="291" t="n"/>
      <c r="E4138" s="212" t="n"/>
    </row>
    <row r="4139">
      <c r="B4139" s="291" t="n"/>
      <c r="E4139" s="212" t="n"/>
    </row>
    <row r="4140">
      <c r="B4140" s="291" t="n"/>
      <c r="E4140" s="212" t="n"/>
    </row>
    <row r="4141">
      <c r="B4141" s="291" t="n"/>
      <c r="E4141" s="212" t="n"/>
    </row>
    <row r="4142">
      <c r="B4142" s="291" t="n"/>
      <c r="E4142" s="212" t="n"/>
    </row>
    <row r="4143">
      <c r="B4143" s="291" t="n"/>
      <c r="E4143" s="212" t="n"/>
    </row>
    <row r="4144">
      <c r="B4144" s="291" t="n"/>
      <c r="E4144" s="212" t="n"/>
    </row>
    <row r="4145">
      <c r="B4145" s="291" t="n"/>
      <c r="E4145" s="212" t="n"/>
    </row>
    <row r="4146">
      <c r="B4146" s="291" t="n"/>
      <c r="E4146" s="212" t="n"/>
    </row>
    <row r="4147">
      <c r="B4147" s="291" t="n"/>
      <c r="E4147" s="212" t="n"/>
    </row>
    <row r="4148">
      <c r="B4148" s="291" t="n"/>
      <c r="E4148" s="212" t="n"/>
    </row>
    <row r="4149">
      <c r="B4149" s="291" t="n"/>
      <c r="E4149" s="212" t="n"/>
    </row>
    <row r="4150">
      <c r="B4150" s="291" t="n"/>
      <c r="E4150" s="212" t="n"/>
    </row>
    <row r="4151">
      <c r="B4151" s="291" t="n"/>
      <c r="E4151" s="212" t="n"/>
    </row>
    <row r="4152">
      <c r="B4152" s="291" t="n"/>
      <c r="E4152" s="212" t="n"/>
    </row>
    <row r="4153">
      <c r="B4153" s="291" t="n"/>
      <c r="E4153" s="212" t="n"/>
    </row>
    <row r="4154">
      <c r="B4154" s="291" t="n"/>
      <c r="E4154" s="212" t="n"/>
    </row>
    <row r="4155">
      <c r="B4155" s="291" t="n"/>
      <c r="E4155" s="212" t="n"/>
    </row>
    <row r="4156">
      <c r="B4156" s="291" t="n"/>
      <c r="E4156" s="212" t="n"/>
    </row>
    <row r="4157">
      <c r="B4157" s="291" t="n"/>
      <c r="E4157" s="212" t="n"/>
    </row>
    <row r="4158">
      <c r="B4158" s="291" t="n"/>
      <c r="E4158" s="212" t="n"/>
    </row>
    <row r="4159">
      <c r="B4159" s="291" t="n"/>
      <c r="E4159" s="212" t="n"/>
    </row>
    <row r="4160">
      <c r="B4160" s="291" t="n"/>
      <c r="E4160" s="212" t="n"/>
    </row>
    <row r="4161">
      <c r="B4161" s="291" t="n"/>
      <c r="E4161" s="212" t="n"/>
    </row>
    <row r="4162">
      <c r="B4162" s="291" t="n"/>
      <c r="E4162" s="212" t="n"/>
    </row>
    <row r="4163">
      <c r="B4163" s="291" t="n"/>
      <c r="E4163" s="212" t="n"/>
    </row>
    <row r="4164">
      <c r="B4164" s="291" t="n"/>
      <c r="E4164" s="212" t="n"/>
    </row>
    <row r="4165">
      <c r="B4165" s="291" t="n"/>
      <c r="E4165" s="212" t="n"/>
    </row>
    <row r="4166">
      <c r="B4166" s="291" t="n"/>
      <c r="E4166" s="212" t="n"/>
    </row>
    <row r="4167">
      <c r="B4167" s="291" t="n"/>
      <c r="E4167" s="212" t="n"/>
    </row>
    <row r="4168">
      <c r="B4168" s="291" t="n"/>
      <c r="E4168" s="212" t="n"/>
    </row>
    <row r="4169">
      <c r="B4169" s="291" t="n"/>
      <c r="E4169" s="212" t="n"/>
    </row>
    <row r="4170">
      <c r="B4170" s="291" t="n"/>
      <c r="E4170" s="212" t="n"/>
    </row>
    <row r="4171">
      <c r="B4171" s="291" t="n"/>
      <c r="E4171" s="212" t="n"/>
    </row>
    <row r="4172">
      <c r="B4172" s="291" t="n"/>
      <c r="E4172" s="212" t="n"/>
    </row>
    <row r="4173">
      <c r="B4173" s="291" t="n"/>
      <c r="E4173" s="212" t="n"/>
    </row>
    <row r="4174">
      <c r="B4174" s="291" t="n"/>
      <c r="E4174" s="212" t="n"/>
    </row>
    <row r="4175">
      <c r="B4175" s="291" t="n"/>
      <c r="E4175" s="212" t="n"/>
    </row>
    <row r="4176">
      <c r="B4176" s="291" t="n"/>
      <c r="E4176" s="212" t="n"/>
    </row>
    <row r="4177">
      <c r="B4177" s="291" t="n"/>
      <c r="E4177" s="212" t="n"/>
    </row>
    <row r="4178">
      <c r="B4178" s="291" t="n"/>
      <c r="E4178" s="212" t="n"/>
    </row>
    <row r="4179">
      <c r="B4179" s="291" t="n"/>
      <c r="E4179" s="212" t="n"/>
    </row>
    <row r="4180">
      <c r="B4180" s="291" t="n"/>
      <c r="E4180" s="212" t="n"/>
    </row>
    <row r="4181">
      <c r="B4181" s="291" t="n"/>
      <c r="E4181" s="212" t="n"/>
    </row>
    <row r="4182">
      <c r="B4182" s="291" t="n"/>
      <c r="E4182" s="212" t="n"/>
    </row>
    <row r="4183">
      <c r="B4183" s="291" t="n"/>
      <c r="E4183" s="212" t="n"/>
    </row>
    <row r="4184">
      <c r="B4184" s="291" t="n"/>
      <c r="E4184" s="212" t="n"/>
    </row>
    <row r="4185">
      <c r="B4185" s="291" t="n"/>
      <c r="E4185" s="212" t="n"/>
    </row>
    <row r="4186">
      <c r="B4186" s="291" t="n"/>
      <c r="E4186" s="212" t="n"/>
    </row>
    <row r="4187">
      <c r="B4187" s="291" t="n"/>
      <c r="E4187" s="212" t="n"/>
    </row>
    <row r="4188">
      <c r="B4188" s="291" t="n"/>
      <c r="E4188" s="212" t="n"/>
    </row>
    <row r="4189">
      <c r="B4189" s="291" t="n"/>
      <c r="E4189" s="212" t="n"/>
    </row>
    <row r="4190">
      <c r="B4190" s="291" t="n"/>
      <c r="E4190" s="212" t="n"/>
    </row>
    <row r="4191">
      <c r="B4191" s="291" t="n"/>
      <c r="E4191" s="212" t="n"/>
    </row>
    <row r="4192">
      <c r="B4192" s="291" t="n"/>
      <c r="E4192" s="212" t="n"/>
    </row>
    <row r="4193">
      <c r="B4193" s="291" t="n"/>
      <c r="E4193" s="212" t="n"/>
    </row>
    <row r="4194">
      <c r="B4194" s="291" t="n"/>
      <c r="E4194" s="212" t="n"/>
    </row>
    <row r="4195">
      <c r="B4195" s="291" t="n"/>
      <c r="E4195" s="212" t="n"/>
    </row>
    <row r="4196">
      <c r="B4196" s="291" t="n"/>
      <c r="E4196" s="212" t="n"/>
    </row>
    <row r="4197">
      <c r="B4197" s="291" t="n"/>
      <c r="E4197" s="212" t="n"/>
    </row>
    <row r="4198">
      <c r="B4198" s="291" t="n"/>
      <c r="E4198" s="212" t="n"/>
    </row>
    <row r="4199">
      <c r="B4199" s="291" t="n"/>
      <c r="E4199" s="212" t="n"/>
    </row>
    <row r="4200">
      <c r="B4200" s="291" t="n"/>
      <c r="E4200" s="212" t="n"/>
    </row>
    <row r="4201">
      <c r="B4201" s="291" t="n"/>
      <c r="E4201" s="212" t="n"/>
    </row>
    <row r="4202">
      <c r="B4202" s="291" t="n"/>
      <c r="E4202" s="212" t="n"/>
    </row>
    <row r="4203">
      <c r="B4203" s="291" t="n"/>
      <c r="E4203" s="212" t="n"/>
    </row>
    <row r="4204">
      <c r="B4204" s="291" t="n"/>
      <c r="E4204" s="212" t="n"/>
    </row>
    <row r="4205">
      <c r="B4205" s="291" t="n"/>
      <c r="E4205" s="212" t="n"/>
    </row>
    <row r="4206">
      <c r="B4206" s="291" t="n"/>
      <c r="E4206" s="212" t="n"/>
    </row>
    <row r="4207">
      <c r="B4207" s="291" t="n"/>
      <c r="E4207" s="212" t="n"/>
    </row>
    <row r="4208">
      <c r="B4208" s="291" t="n"/>
      <c r="E4208" s="212" t="n"/>
    </row>
    <row r="4209">
      <c r="B4209" s="291" t="n"/>
      <c r="E4209" s="212" t="n"/>
    </row>
    <row r="4210">
      <c r="B4210" s="291" t="n"/>
      <c r="E4210" s="212" t="n"/>
    </row>
    <row r="4211">
      <c r="B4211" s="291" t="n"/>
      <c r="E4211" s="212" t="n"/>
    </row>
    <row r="4212">
      <c r="B4212" s="291" t="n"/>
      <c r="E4212" s="212" t="n"/>
    </row>
    <row r="4213">
      <c r="B4213" s="291" t="n"/>
      <c r="E4213" s="212" t="n"/>
    </row>
    <row r="4214">
      <c r="B4214" s="291" t="n"/>
      <c r="E4214" s="212" t="n"/>
    </row>
    <row r="4215">
      <c r="B4215" s="291" t="n"/>
      <c r="E4215" s="212" t="n"/>
    </row>
    <row r="4216">
      <c r="B4216" s="291" t="n"/>
      <c r="E4216" s="212" t="n"/>
    </row>
    <row r="4217">
      <c r="B4217" s="291" t="n"/>
      <c r="E4217" s="212" t="n"/>
    </row>
    <row r="4218">
      <c r="B4218" s="291" t="n"/>
      <c r="E4218" s="212" t="n"/>
    </row>
    <row r="4219">
      <c r="B4219" s="291" t="n"/>
      <c r="E4219" s="212" t="n"/>
    </row>
    <row r="4220">
      <c r="B4220" s="291" t="n"/>
      <c r="E4220" s="212" t="n"/>
    </row>
    <row r="4221">
      <c r="B4221" s="291" t="n"/>
      <c r="E4221" s="212" t="n"/>
    </row>
    <row r="4222">
      <c r="B4222" s="291" t="n"/>
      <c r="E4222" s="212" t="n"/>
    </row>
    <row r="4223">
      <c r="B4223" s="291" t="n"/>
      <c r="E4223" s="212" t="n"/>
    </row>
    <row r="4224">
      <c r="B4224" s="291" t="n"/>
      <c r="E4224" s="212" t="n"/>
    </row>
    <row r="4225">
      <c r="B4225" s="291" t="n"/>
      <c r="E4225" s="212" t="n"/>
    </row>
    <row r="4226">
      <c r="B4226" s="291" t="n"/>
      <c r="E4226" s="212" t="n"/>
    </row>
    <row r="4227">
      <c r="B4227" s="291" t="n"/>
      <c r="E4227" s="212" t="n"/>
    </row>
    <row r="4228">
      <c r="B4228" s="291" t="n"/>
      <c r="E4228" s="212" t="n"/>
    </row>
    <row r="4229">
      <c r="B4229" s="291" t="n"/>
      <c r="E4229" s="212" t="n"/>
    </row>
    <row r="4230">
      <c r="B4230" s="291" t="n"/>
      <c r="E4230" s="212" t="n"/>
    </row>
    <row r="4231">
      <c r="B4231" s="291" t="n"/>
      <c r="E4231" s="212" t="n"/>
    </row>
    <row r="4232">
      <c r="B4232" s="291" t="n"/>
      <c r="E4232" s="212" t="n"/>
    </row>
    <row r="4233">
      <c r="B4233" s="291" t="n"/>
      <c r="E4233" s="212" t="n"/>
    </row>
    <row r="4234">
      <c r="B4234" s="291" t="n"/>
      <c r="E4234" s="212" t="n"/>
    </row>
    <row r="4235">
      <c r="B4235" s="291" t="n"/>
      <c r="E4235" s="212" t="n"/>
    </row>
    <row r="4236">
      <c r="B4236" s="291" t="n"/>
      <c r="E4236" s="212" t="n"/>
    </row>
    <row r="4237">
      <c r="B4237" s="291" t="n"/>
      <c r="E4237" s="212" t="n"/>
    </row>
    <row r="4238">
      <c r="B4238" s="291" t="n"/>
      <c r="E4238" s="212" t="n"/>
    </row>
    <row r="4239">
      <c r="B4239" s="291" t="n"/>
      <c r="E4239" s="212" t="n"/>
    </row>
    <row r="4240">
      <c r="B4240" s="291" t="n"/>
      <c r="E4240" s="212" t="n"/>
    </row>
    <row r="4241">
      <c r="B4241" s="291" t="n"/>
      <c r="E4241" s="212" t="n"/>
    </row>
    <row r="4242">
      <c r="B4242" s="291" t="n"/>
      <c r="E4242" s="212" t="n"/>
    </row>
    <row r="4243">
      <c r="B4243" s="291" t="n"/>
      <c r="E4243" s="212" t="n"/>
    </row>
    <row r="4244">
      <c r="B4244" s="291" t="n"/>
      <c r="E4244" s="212" t="n"/>
    </row>
    <row r="4245">
      <c r="B4245" s="291" t="n"/>
      <c r="E4245" s="212" t="n"/>
    </row>
    <row r="4246">
      <c r="B4246" s="291" t="n"/>
      <c r="E4246" s="212" t="n"/>
    </row>
    <row r="4247">
      <c r="B4247" s="291" t="n"/>
      <c r="E4247" s="212" t="n"/>
    </row>
    <row r="4248">
      <c r="B4248" s="291" t="n"/>
      <c r="E4248" s="212" t="n"/>
    </row>
    <row r="4249">
      <c r="B4249" s="291" t="n"/>
      <c r="E4249" s="212" t="n"/>
    </row>
    <row r="4250">
      <c r="B4250" s="291" t="n"/>
      <c r="E4250" s="212" t="n"/>
    </row>
    <row r="4251">
      <c r="B4251" s="291" t="n"/>
      <c r="E4251" s="212" t="n"/>
    </row>
    <row r="4252">
      <c r="B4252" s="291" t="n"/>
      <c r="E4252" s="212" t="n"/>
    </row>
    <row r="4253">
      <c r="B4253" s="291" t="n"/>
      <c r="E4253" s="212" t="n"/>
    </row>
    <row r="4254">
      <c r="B4254" s="291" t="n"/>
      <c r="E4254" s="212" t="n"/>
    </row>
    <row r="4255">
      <c r="B4255" s="291" t="n"/>
      <c r="E4255" s="212" t="n"/>
    </row>
    <row r="4256">
      <c r="B4256" s="291" t="n"/>
      <c r="E4256" s="212" t="n"/>
    </row>
    <row r="4257">
      <c r="B4257" s="291" t="n"/>
      <c r="E4257" s="212" t="n"/>
    </row>
    <row r="4258">
      <c r="B4258" s="291" t="n"/>
      <c r="E4258" s="212" t="n"/>
    </row>
    <row r="4259">
      <c r="B4259" s="291" t="n"/>
      <c r="E4259" s="212" t="n"/>
    </row>
    <row r="4260">
      <c r="B4260" s="291" t="n"/>
      <c r="E4260" s="212" t="n"/>
    </row>
    <row r="4261">
      <c r="B4261" s="291" t="n"/>
      <c r="E4261" s="212" t="n"/>
    </row>
    <row r="4262">
      <c r="B4262" s="291" t="n"/>
      <c r="E4262" s="212" t="n"/>
    </row>
    <row r="4263">
      <c r="B4263" s="291" t="n"/>
      <c r="E4263" s="212" t="n"/>
    </row>
    <row r="4264">
      <c r="B4264" s="291" t="n"/>
      <c r="E4264" s="212" t="n"/>
    </row>
    <row r="4265">
      <c r="B4265" s="291" t="n"/>
      <c r="E4265" s="212" t="n"/>
    </row>
    <row r="4266">
      <c r="B4266" s="291" t="n"/>
      <c r="E4266" s="212" t="n"/>
    </row>
    <row r="4267">
      <c r="B4267" s="291" t="n"/>
      <c r="E4267" s="212" t="n"/>
    </row>
    <row r="4268">
      <c r="B4268" s="291" t="n"/>
      <c r="E4268" s="212" t="n"/>
    </row>
    <row r="4269">
      <c r="B4269" s="291" t="n"/>
      <c r="E4269" s="212" t="n"/>
    </row>
    <row r="4270">
      <c r="B4270" s="291" t="n"/>
      <c r="E4270" s="212" t="n"/>
    </row>
    <row r="4271">
      <c r="B4271" s="291" t="n"/>
      <c r="E4271" s="212" t="n"/>
    </row>
    <row r="4272">
      <c r="B4272" s="291" t="n"/>
      <c r="E4272" s="212" t="n"/>
    </row>
    <row r="4273">
      <c r="B4273" s="291" t="n"/>
      <c r="E4273" s="212" t="n"/>
    </row>
    <row r="4274">
      <c r="B4274" s="291" t="n"/>
      <c r="E4274" s="212" t="n"/>
    </row>
    <row r="4275">
      <c r="B4275" s="291" t="n"/>
      <c r="E4275" s="212" t="n"/>
    </row>
    <row r="4276">
      <c r="B4276" s="291" t="n"/>
      <c r="E4276" s="212" t="n"/>
    </row>
    <row r="4277">
      <c r="B4277" s="291" t="n"/>
      <c r="E4277" s="212" t="n"/>
    </row>
    <row r="4278">
      <c r="B4278" s="291" t="n"/>
      <c r="E4278" s="212" t="n"/>
    </row>
    <row r="4279">
      <c r="B4279" s="291" t="n"/>
      <c r="E4279" s="212" t="n"/>
    </row>
    <row r="4280">
      <c r="B4280" s="291" t="n"/>
      <c r="E4280" s="212" t="n"/>
    </row>
    <row r="4281">
      <c r="B4281" s="291" t="n"/>
      <c r="E4281" s="212" t="n"/>
    </row>
    <row r="4282">
      <c r="B4282" s="291" t="n"/>
      <c r="E4282" s="212" t="n"/>
    </row>
    <row r="4283">
      <c r="B4283" s="291" t="n"/>
      <c r="E4283" s="212" t="n"/>
    </row>
    <row r="4284">
      <c r="B4284" s="291" t="n"/>
      <c r="E4284" s="212" t="n"/>
    </row>
    <row r="4285">
      <c r="B4285" s="291" t="n"/>
      <c r="E4285" s="212" t="n"/>
    </row>
    <row r="4286">
      <c r="B4286" s="291" t="n"/>
      <c r="E4286" s="212" t="n"/>
    </row>
    <row r="4287">
      <c r="B4287" s="291" t="n"/>
      <c r="E4287" s="212" t="n"/>
    </row>
    <row r="4288">
      <c r="B4288" s="291" t="n"/>
      <c r="E4288" s="212" t="n"/>
    </row>
    <row r="4289">
      <c r="B4289" s="291" t="n"/>
      <c r="E4289" s="212" t="n"/>
    </row>
    <row r="4290">
      <c r="B4290" s="291" t="n"/>
      <c r="E4290" s="212" t="n"/>
    </row>
    <row r="4291">
      <c r="B4291" s="291" t="n"/>
      <c r="E4291" s="212" t="n"/>
    </row>
    <row r="4292">
      <c r="B4292" s="291" t="n"/>
      <c r="E4292" s="212" t="n"/>
    </row>
    <row r="4293">
      <c r="B4293" s="291" t="n"/>
      <c r="E4293" s="212" t="n"/>
    </row>
    <row r="4294">
      <c r="B4294" s="291" t="n"/>
      <c r="E4294" s="212" t="n"/>
    </row>
    <row r="4295">
      <c r="B4295" s="291" t="n"/>
      <c r="E4295" s="212" t="n"/>
    </row>
    <row r="4296">
      <c r="B4296" s="291" t="n"/>
      <c r="E4296" s="212" t="n"/>
    </row>
    <row r="4297">
      <c r="B4297" s="291" t="n"/>
      <c r="E4297" s="212" t="n"/>
    </row>
    <row r="4298">
      <c r="B4298" s="291" t="n"/>
      <c r="E4298" s="212" t="n"/>
    </row>
    <row r="4299">
      <c r="B4299" s="291" t="n"/>
      <c r="E4299" s="212" t="n"/>
    </row>
    <row r="4300">
      <c r="B4300" s="291" t="n"/>
      <c r="E4300" s="212" t="n"/>
    </row>
    <row r="4301">
      <c r="B4301" s="291" t="n"/>
      <c r="E4301" s="212" t="n"/>
    </row>
    <row r="4302">
      <c r="B4302" s="291" t="n"/>
      <c r="E4302" s="212" t="n"/>
    </row>
    <row r="4303">
      <c r="B4303" s="291" t="n"/>
      <c r="E4303" s="212" t="n"/>
    </row>
    <row r="4304">
      <c r="B4304" s="291" t="n"/>
      <c r="E4304" s="212" t="n"/>
    </row>
    <row r="4305">
      <c r="B4305" s="291" t="n"/>
      <c r="E4305" s="212" t="n"/>
    </row>
    <row r="4306">
      <c r="B4306" s="291" t="n"/>
      <c r="E4306" s="212" t="n"/>
    </row>
    <row r="4307">
      <c r="B4307" s="291" t="n"/>
      <c r="E4307" s="212" t="n"/>
    </row>
    <row r="4308">
      <c r="B4308" s="291" t="n"/>
      <c r="E4308" s="212" t="n"/>
    </row>
    <row r="4309">
      <c r="B4309" s="291" t="n"/>
      <c r="E4309" s="212" t="n"/>
    </row>
    <row r="4310">
      <c r="B4310" s="291" t="n"/>
      <c r="E4310" s="212" t="n"/>
    </row>
    <row r="4311">
      <c r="B4311" s="291" t="n"/>
      <c r="E4311" s="212" t="n"/>
    </row>
    <row r="4312">
      <c r="B4312" s="291" t="n"/>
      <c r="E4312" s="212" t="n"/>
    </row>
    <row r="4313">
      <c r="B4313" s="291" t="n"/>
      <c r="E4313" s="212" t="n"/>
    </row>
    <row r="4314">
      <c r="B4314" s="291" t="n"/>
      <c r="E4314" s="212" t="n"/>
    </row>
    <row r="4315">
      <c r="B4315" s="291" t="n"/>
      <c r="E4315" s="212" t="n"/>
    </row>
    <row r="4316">
      <c r="B4316" s="291" t="n"/>
      <c r="E4316" s="212" t="n"/>
    </row>
    <row r="4317">
      <c r="B4317" s="291" t="n"/>
      <c r="E4317" s="212" t="n"/>
    </row>
    <row r="4318">
      <c r="B4318" s="291" t="n"/>
      <c r="E4318" s="212" t="n"/>
    </row>
    <row r="4319">
      <c r="B4319" s="291" t="n"/>
      <c r="E4319" s="212" t="n"/>
    </row>
    <row r="4320">
      <c r="B4320" s="291" t="n"/>
      <c r="E4320" s="212" t="n"/>
    </row>
    <row r="4321">
      <c r="B4321" s="291" t="n"/>
      <c r="E4321" s="212" t="n"/>
    </row>
    <row r="4322">
      <c r="B4322" s="291" t="n"/>
      <c r="E4322" s="212" t="n"/>
    </row>
    <row r="4323">
      <c r="B4323" s="291" t="n"/>
      <c r="E4323" s="212" t="n"/>
    </row>
    <row r="4324">
      <c r="B4324" s="291" t="n"/>
      <c r="E4324" s="212" t="n"/>
    </row>
    <row r="4325">
      <c r="B4325" s="291" t="n"/>
      <c r="E4325" s="212" t="n"/>
    </row>
    <row r="4326">
      <c r="B4326" s="291" t="n"/>
      <c r="E4326" s="212" t="n"/>
    </row>
    <row r="4327">
      <c r="B4327" s="291" t="n"/>
      <c r="E4327" s="212" t="n"/>
    </row>
    <row r="4328">
      <c r="B4328" s="291" t="n"/>
      <c r="E4328" s="212" t="n"/>
    </row>
    <row r="4329">
      <c r="B4329" s="291" t="n"/>
      <c r="E4329" s="212" t="n"/>
    </row>
    <row r="4330">
      <c r="B4330" s="291" t="n"/>
      <c r="E4330" s="212" t="n"/>
    </row>
    <row r="4331">
      <c r="B4331" s="291" t="n"/>
      <c r="E4331" s="212" t="n"/>
    </row>
    <row r="4332">
      <c r="B4332" s="291" t="n"/>
      <c r="E4332" s="212" t="n"/>
    </row>
    <row r="4333">
      <c r="B4333" s="291" t="n"/>
      <c r="E4333" s="212" t="n"/>
    </row>
    <row r="4334">
      <c r="B4334" s="291" t="n"/>
      <c r="E4334" s="212" t="n"/>
    </row>
    <row r="4335">
      <c r="B4335" s="291" t="n"/>
      <c r="E4335" s="212" t="n"/>
    </row>
    <row r="4336">
      <c r="B4336" s="291" t="n"/>
      <c r="E4336" s="212" t="n"/>
    </row>
    <row r="4337">
      <c r="B4337" s="291" t="n"/>
      <c r="E4337" s="212" t="n"/>
    </row>
    <row r="4338">
      <c r="B4338" s="291" t="n"/>
      <c r="E4338" s="212" t="n"/>
    </row>
    <row r="4339">
      <c r="B4339" s="291" t="n"/>
      <c r="E4339" s="212" t="n"/>
    </row>
    <row r="4340">
      <c r="B4340" s="291" t="n"/>
      <c r="E4340" s="212" t="n"/>
    </row>
    <row r="4341">
      <c r="B4341" s="291" t="n"/>
      <c r="E4341" s="212" t="n"/>
    </row>
    <row r="4342">
      <c r="B4342" s="291" t="n"/>
      <c r="E4342" s="212" t="n"/>
    </row>
    <row r="4343">
      <c r="B4343" s="291" t="n"/>
      <c r="E4343" s="212" t="n"/>
    </row>
    <row r="4344">
      <c r="B4344" s="291" t="n"/>
      <c r="E4344" s="212" t="n"/>
    </row>
    <row r="4345">
      <c r="B4345" s="291" t="n"/>
      <c r="E4345" s="212" t="n"/>
    </row>
    <row r="4346">
      <c r="B4346" s="291" t="n"/>
      <c r="E4346" s="212" t="n"/>
    </row>
    <row r="4347">
      <c r="B4347" s="291" t="n"/>
      <c r="E4347" s="212" t="n"/>
    </row>
    <row r="4348">
      <c r="B4348" s="291" t="n"/>
      <c r="E4348" s="212" t="n"/>
    </row>
    <row r="4349">
      <c r="B4349" s="291" t="n"/>
      <c r="E4349" s="212" t="n"/>
    </row>
    <row r="4350">
      <c r="B4350" s="291" t="n"/>
      <c r="E4350" s="212" t="n"/>
    </row>
    <row r="4351">
      <c r="B4351" s="291" t="n"/>
      <c r="E4351" s="212" t="n"/>
    </row>
    <row r="4352">
      <c r="B4352" s="291" t="n"/>
      <c r="E4352" s="212" t="n"/>
    </row>
    <row r="4353">
      <c r="B4353" s="291" t="n"/>
      <c r="E4353" s="212" t="n"/>
    </row>
    <row r="4354">
      <c r="B4354" s="291" t="n"/>
      <c r="E4354" s="212" t="n"/>
    </row>
    <row r="4355">
      <c r="B4355" s="291" t="n"/>
      <c r="E4355" s="212" t="n"/>
    </row>
    <row r="4356">
      <c r="B4356" s="291" t="n"/>
      <c r="E4356" s="212" t="n"/>
    </row>
    <row r="4357">
      <c r="B4357" s="291" t="n"/>
      <c r="E4357" s="212" t="n"/>
    </row>
    <row r="4358">
      <c r="B4358" s="291" t="n"/>
      <c r="E4358" s="212" t="n"/>
    </row>
    <row r="4359">
      <c r="B4359" s="291" t="n"/>
      <c r="E4359" s="212" t="n"/>
    </row>
    <row r="4360">
      <c r="B4360" s="291" t="n"/>
      <c r="E4360" s="212" t="n"/>
    </row>
    <row r="4361">
      <c r="B4361" s="291" t="n"/>
      <c r="E4361" s="212" t="n"/>
    </row>
    <row r="4362">
      <c r="B4362" s="291" t="n"/>
      <c r="E4362" s="212" t="n"/>
    </row>
    <row r="4363">
      <c r="B4363" s="291" t="n"/>
      <c r="E4363" s="212" t="n"/>
    </row>
    <row r="4364">
      <c r="B4364" s="291" t="n"/>
      <c r="E4364" s="212" t="n"/>
    </row>
    <row r="4365">
      <c r="B4365" s="291" t="n"/>
      <c r="E4365" s="212" t="n"/>
    </row>
    <row r="4366">
      <c r="B4366" s="291" t="n"/>
      <c r="E4366" s="212" t="n"/>
    </row>
    <row r="4367">
      <c r="B4367" s="291" t="n"/>
      <c r="E4367" s="212" t="n"/>
    </row>
    <row r="4368">
      <c r="B4368" s="291" t="n"/>
      <c r="E4368" s="212" t="n"/>
    </row>
    <row r="4369">
      <c r="B4369" s="291" t="n"/>
      <c r="E4369" s="212" t="n"/>
    </row>
    <row r="4370">
      <c r="B4370" s="291" t="n"/>
      <c r="E4370" s="212" t="n"/>
    </row>
    <row r="4371">
      <c r="B4371" s="291" t="n"/>
      <c r="E4371" s="212" t="n"/>
    </row>
    <row r="4372">
      <c r="B4372" s="291" t="n"/>
      <c r="E4372" s="212" t="n"/>
    </row>
    <row r="4373">
      <c r="B4373" s="291" t="n"/>
      <c r="E4373" s="212" t="n"/>
    </row>
    <row r="4374">
      <c r="B4374" s="291" t="n"/>
      <c r="E4374" s="212" t="n"/>
    </row>
    <row r="4375">
      <c r="B4375" s="291" t="n"/>
      <c r="E4375" s="212" t="n"/>
    </row>
    <row r="4376">
      <c r="B4376" s="291" t="n"/>
      <c r="E4376" s="212" t="n"/>
    </row>
    <row r="4377">
      <c r="B4377" s="291" t="n"/>
      <c r="E4377" s="212" t="n"/>
    </row>
    <row r="4378">
      <c r="B4378" s="291" t="n"/>
      <c r="E4378" s="212" t="n"/>
    </row>
    <row r="4379">
      <c r="B4379" s="291" t="n"/>
      <c r="E4379" s="212" t="n"/>
    </row>
    <row r="4380">
      <c r="B4380" s="291" t="n"/>
      <c r="E4380" s="212" t="n"/>
    </row>
    <row r="4381">
      <c r="B4381" s="291" t="n"/>
      <c r="E4381" s="212" t="n"/>
    </row>
    <row r="4382">
      <c r="B4382" s="291" t="n"/>
      <c r="E4382" s="212" t="n"/>
    </row>
    <row r="4383">
      <c r="B4383" s="291" t="n"/>
      <c r="E4383" s="212" t="n"/>
    </row>
    <row r="4384">
      <c r="B4384" s="291" t="n"/>
      <c r="E4384" s="212" t="n"/>
    </row>
    <row r="4385">
      <c r="B4385" s="291" t="n"/>
      <c r="E4385" s="212" t="n"/>
    </row>
    <row r="4386">
      <c r="B4386" s="291" t="n"/>
      <c r="E4386" s="212" t="n"/>
    </row>
    <row r="4387">
      <c r="B4387" s="291" t="n"/>
      <c r="E4387" s="212" t="n"/>
    </row>
    <row r="4388">
      <c r="B4388" s="291" t="n"/>
      <c r="E4388" s="212" t="n"/>
    </row>
    <row r="4389">
      <c r="B4389" s="291" t="n"/>
      <c r="E4389" s="212" t="n"/>
    </row>
    <row r="4390">
      <c r="B4390" s="291" t="n"/>
      <c r="E4390" s="212" t="n"/>
    </row>
    <row r="4391">
      <c r="B4391" s="291" t="n"/>
      <c r="E4391" s="212" t="n"/>
    </row>
    <row r="4392">
      <c r="B4392" s="291" t="n"/>
      <c r="E4392" s="212" t="n"/>
    </row>
    <row r="4393">
      <c r="B4393" s="291" t="n"/>
      <c r="E4393" s="212" t="n"/>
    </row>
    <row r="4394">
      <c r="B4394" s="291" t="n"/>
      <c r="E4394" s="212" t="n"/>
    </row>
    <row r="4395">
      <c r="B4395" s="291" t="n"/>
      <c r="E4395" s="212" t="n"/>
    </row>
    <row r="4396">
      <c r="B4396" s="291" t="n"/>
      <c r="E4396" s="212" t="n"/>
    </row>
    <row r="4397">
      <c r="B4397" s="291" t="n"/>
      <c r="E4397" s="212" t="n"/>
    </row>
    <row r="4398">
      <c r="B4398" s="291" t="n"/>
      <c r="E4398" s="212" t="n"/>
    </row>
    <row r="4399">
      <c r="B4399" s="291" t="n"/>
      <c r="E4399" s="212" t="n"/>
    </row>
    <row r="4400">
      <c r="B4400" s="291" t="n"/>
      <c r="E4400" s="212" t="n"/>
    </row>
    <row r="4401">
      <c r="B4401" s="291" t="n"/>
      <c r="E4401" s="212" t="n"/>
    </row>
    <row r="4402">
      <c r="B4402" s="291" t="n"/>
      <c r="E4402" s="212" t="n"/>
    </row>
    <row r="4403">
      <c r="B4403" s="291" t="n"/>
      <c r="E4403" s="212" t="n"/>
    </row>
    <row r="4404">
      <c r="B4404" s="291" t="n"/>
      <c r="E4404" s="212" t="n"/>
    </row>
    <row r="4405">
      <c r="B4405" s="291" t="n"/>
      <c r="E4405" s="212" t="n"/>
    </row>
    <row r="4406">
      <c r="B4406" s="291" t="n"/>
      <c r="E4406" s="212" t="n"/>
    </row>
    <row r="4407">
      <c r="B4407" s="291" t="n"/>
      <c r="E4407" s="212" t="n"/>
    </row>
    <row r="4408">
      <c r="B4408" s="291" t="n"/>
      <c r="E4408" s="212" t="n"/>
    </row>
    <row r="4409">
      <c r="B4409" s="291" t="n"/>
      <c r="E4409" s="212" t="n"/>
    </row>
    <row r="4410">
      <c r="B4410" s="291" t="n"/>
      <c r="E4410" s="212" t="n"/>
    </row>
    <row r="4411">
      <c r="B4411" s="291" t="n"/>
      <c r="E4411" s="212" t="n"/>
    </row>
    <row r="4412">
      <c r="B4412" s="291" t="n"/>
      <c r="E4412" s="212" t="n"/>
    </row>
    <row r="4413">
      <c r="B4413" s="291" t="n"/>
      <c r="E4413" s="212" t="n"/>
    </row>
    <row r="4414">
      <c r="B4414" s="291" t="n"/>
      <c r="E4414" s="212" t="n"/>
    </row>
    <row r="4415">
      <c r="B4415" s="291" t="n"/>
      <c r="E4415" s="212" t="n"/>
    </row>
    <row r="4416">
      <c r="B4416" s="291" t="n"/>
      <c r="E4416" s="212" t="n"/>
    </row>
    <row r="4417">
      <c r="B4417" s="291" t="n"/>
      <c r="E4417" s="212" t="n"/>
    </row>
    <row r="4418">
      <c r="B4418" s="291" t="n"/>
      <c r="E4418" s="212" t="n"/>
    </row>
    <row r="4419">
      <c r="B4419" s="291" t="n"/>
      <c r="E4419" s="212" t="n"/>
    </row>
    <row r="4420">
      <c r="B4420" s="291" t="n"/>
      <c r="E4420" s="212" t="n"/>
    </row>
    <row r="4421">
      <c r="B4421" s="291" t="n"/>
      <c r="E4421" s="212" t="n"/>
    </row>
    <row r="4422">
      <c r="B4422" s="291" t="n"/>
      <c r="E4422" s="212" t="n"/>
    </row>
    <row r="4423">
      <c r="B4423" s="291" t="n"/>
      <c r="E4423" s="212" t="n"/>
    </row>
    <row r="4424">
      <c r="B4424" s="291" t="n"/>
      <c r="E4424" s="212" t="n"/>
    </row>
    <row r="4425">
      <c r="B4425" s="291" t="n"/>
      <c r="E4425" s="212" t="n"/>
    </row>
    <row r="4426">
      <c r="B4426" s="291" t="n"/>
      <c r="E4426" s="212" t="n"/>
    </row>
    <row r="4427">
      <c r="B4427" s="291" t="n"/>
      <c r="E4427" s="212" t="n"/>
    </row>
    <row r="4428">
      <c r="B4428" s="291" t="n"/>
      <c r="E4428" s="212" t="n"/>
    </row>
    <row r="4429">
      <c r="B4429" s="291" t="n"/>
      <c r="E4429" s="212" t="n"/>
    </row>
    <row r="4430">
      <c r="B4430" s="291" t="n"/>
      <c r="E4430" s="212" t="n"/>
    </row>
    <row r="4431">
      <c r="B4431" s="291" t="n"/>
      <c r="E4431" s="212" t="n"/>
    </row>
    <row r="4432">
      <c r="B4432" s="291" t="n"/>
      <c r="E4432" s="212" t="n"/>
    </row>
    <row r="4433">
      <c r="B4433" s="291" t="n"/>
      <c r="E4433" s="212" t="n"/>
    </row>
    <row r="4434">
      <c r="B4434" s="291" t="n"/>
      <c r="E4434" s="212" t="n"/>
    </row>
    <row r="4435">
      <c r="B4435" s="291" t="n"/>
      <c r="E4435" s="212" t="n"/>
    </row>
    <row r="4436">
      <c r="B4436" s="291" t="n"/>
      <c r="E4436" s="212" t="n"/>
    </row>
    <row r="4437">
      <c r="B4437" s="291" t="n"/>
      <c r="E4437" s="212" t="n"/>
    </row>
    <row r="4438">
      <c r="B4438" s="291" t="n"/>
      <c r="E4438" s="212" t="n"/>
    </row>
    <row r="4439">
      <c r="B4439" s="291" t="n"/>
      <c r="E4439" s="212" t="n"/>
    </row>
    <row r="4440">
      <c r="B4440" s="291" t="n"/>
      <c r="E4440" s="212" t="n"/>
    </row>
    <row r="4441">
      <c r="B4441" s="291" t="n"/>
      <c r="E4441" s="212" t="n"/>
    </row>
    <row r="4442">
      <c r="B4442" s="291" t="n"/>
      <c r="E4442" s="212" t="n"/>
    </row>
    <row r="4443">
      <c r="B4443" s="291" t="n"/>
      <c r="E4443" s="212" t="n"/>
    </row>
    <row r="4444">
      <c r="B4444" s="291" t="n"/>
      <c r="E4444" s="212" t="n"/>
    </row>
    <row r="4445">
      <c r="B4445" s="291" t="n"/>
      <c r="E4445" s="212" t="n"/>
    </row>
    <row r="4446">
      <c r="B4446" s="291" t="n"/>
      <c r="E4446" s="212" t="n"/>
    </row>
    <row r="4447">
      <c r="B4447" s="291" t="n"/>
      <c r="E4447" s="212" t="n"/>
    </row>
    <row r="4448">
      <c r="B4448" s="291" t="n"/>
      <c r="E4448" s="212" t="n"/>
    </row>
    <row r="4449">
      <c r="B4449" s="291" t="n"/>
      <c r="E4449" s="212" t="n"/>
    </row>
    <row r="4450">
      <c r="B4450" s="291" t="n"/>
      <c r="E4450" s="212" t="n"/>
    </row>
    <row r="4451">
      <c r="B4451" s="291" t="n"/>
      <c r="E4451" s="212" t="n"/>
    </row>
    <row r="4452">
      <c r="B4452" s="291" t="n"/>
      <c r="E4452" s="212" t="n"/>
    </row>
    <row r="4453">
      <c r="B4453" s="291" t="n"/>
      <c r="E4453" s="212" t="n"/>
    </row>
    <row r="4454">
      <c r="B4454" s="291" t="n"/>
      <c r="E4454" s="212" t="n"/>
    </row>
    <row r="4455">
      <c r="B4455" s="291" t="n"/>
      <c r="E4455" s="212" t="n"/>
    </row>
    <row r="4456">
      <c r="B4456" s="291" t="n"/>
      <c r="E4456" s="212" t="n"/>
    </row>
    <row r="4457">
      <c r="B4457" s="291" t="n"/>
      <c r="E4457" s="212" t="n"/>
    </row>
    <row r="4458">
      <c r="B4458" s="291" t="n"/>
      <c r="E4458" s="212" t="n"/>
    </row>
    <row r="4459">
      <c r="B4459" s="291" t="n"/>
      <c r="E4459" s="212" t="n"/>
    </row>
    <row r="4460">
      <c r="B4460" s="291" t="n"/>
      <c r="E4460" s="212" t="n"/>
    </row>
    <row r="4461">
      <c r="B4461" s="291" t="n"/>
      <c r="E4461" s="212" t="n"/>
    </row>
    <row r="4462">
      <c r="B4462" s="291" t="n"/>
      <c r="E4462" s="212" t="n"/>
    </row>
    <row r="4463">
      <c r="B4463" s="291" t="n"/>
      <c r="E4463" s="212" t="n"/>
    </row>
    <row r="4464">
      <c r="B4464" s="291" t="n"/>
      <c r="E4464" s="212" t="n"/>
    </row>
    <row r="4465">
      <c r="B4465" s="291" t="n"/>
      <c r="E4465" s="212" t="n"/>
    </row>
    <row r="4466">
      <c r="B4466" s="291" t="n"/>
      <c r="E4466" s="212" t="n"/>
    </row>
    <row r="4467">
      <c r="B4467" s="291" t="n"/>
      <c r="E4467" s="212" t="n"/>
    </row>
    <row r="4468">
      <c r="B4468" s="291" t="n"/>
      <c r="E4468" s="212" t="n"/>
    </row>
    <row r="4469">
      <c r="B4469" s="291" t="n"/>
      <c r="E4469" s="212" t="n"/>
    </row>
    <row r="4470">
      <c r="B4470" s="291" t="n"/>
      <c r="E4470" s="212" t="n"/>
    </row>
    <row r="4471">
      <c r="B4471" s="291" t="n"/>
      <c r="E4471" s="212" t="n"/>
    </row>
    <row r="4472">
      <c r="B4472" s="291" t="n"/>
      <c r="E4472" s="212" t="n"/>
    </row>
    <row r="4473">
      <c r="B4473" s="291" t="n"/>
      <c r="E4473" s="212" t="n"/>
    </row>
    <row r="4474">
      <c r="B4474" s="291" t="n"/>
      <c r="E4474" s="212" t="n"/>
    </row>
    <row r="4475">
      <c r="B4475" s="291" t="n"/>
      <c r="E4475" s="212" t="n"/>
    </row>
    <row r="4476">
      <c r="B4476" s="291" t="n"/>
      <c r="E4476" s="212" t="n"/>
    </row>
    <row r="4477">
      <c r="B4477" s="291" t="n"/>
      <c r="E4477" s="212" t="n"/>
    </row>
    <row r="4478">
      <c r="B4478" s="291" t="n"/>
      <c r="E4478" s="212" t="n"/>
    </row>
    <row r="4479">
      <c r="B4479" s="291" t="n"/>
      <c r="E4479" s="212" t="n"/>
    </row>
    <row r="4480">
      <c r="B4480" s="291" t="n"/>
      <c r="E4480" s="212" t="n"/>
    </row>
    <row r="4481">
      <c r="B4481" s="291" t="n"/>
      <c r="E4481" s="212" t="n"/>
    </row>
    <row r="4482">
      <c r="B4482" s="291" t="n"/>
      <c r="E4482" s="212" t="n"/>
    </row>
    <row r="4483">
      <c r="B4483" s="291" t="n"/>
      <c r="E4483" s="212" t="n"/>
    </row>
    <row r="4484">
      <c r="B4484" s="291" t="n"/>
      <c r="E4484" s="212" t="n"/>
    </row>
    <row r="4485">
      <c r="B4485" s="291" t="n"/>
      <c r="E4485" s="212" t="n"/>
    </row>
    <row r="4486">
      <c r="B4486" s="291" t="n"/>
      <c r="E4486" s="212" t="n"/>
    </row>
    <row r="4487">
      <c r="B4487" s="291" t="n"/>
      <c r="E4487" s="212" t="n"/>
    </row>
    <row r="4488">
      <c r="B4488" s="291" t="n"/>
      <c r="E4488" s="212" t="n"/>
    </row>
    <row r="4489">
      <c r="B4489" s="291" t="n"/>
      <c r="E4489" s="212" t="n"/>
    </row>
    <row r="4490">
      <c r="B4490" s="291" t="n"/>
      <c r="E4490" s="212" t="n"/>
    </row>
    <row r="4491">
      <c r="B4491" s="291" t="n"/>
      <c r="E4491" s="212" t="n"/>
    </row>
    <row r="4492">
      <c r="B4492" s="291" t="n"/>
      <c r="E4492" s="212" t="n"/>
    </row>
    <row r="4493">
      <c r="B4493" s="291" t="n"/>
      <c r="E4493" s="212" t="n"/>
    </row>
    <row r="4494">
      <c r="B4494" s="291" t="n"/>
      <c r="E4494" s="212" t="n"/>
    </row>
    <row r="4495">
      <c r="B4495" s="291" t="n"/>
      <c r="E4495" s="212" t="n"/>
    </row>
    <row r="4496">
      <c r="B4496" s="291" t="n"/>
      <c r="E4496" s="212" t="n"/>
    </row>
    <row r="4497">
      <c r="B4497" s="291" t="n"/>
      <c r="E4497" s="212" t="n"/>
    </row>
    <row r="4498">
      <c r="B4498" s="291" t="n"/>
      <c r="E4498" s="212" t="n"/>
    </row>
    <row r="4499">
      <c r="B4499" s="291" t="n"/>
      <c r="E4499" s="212" t="n"/>
    </row>
    <row r="4500">
      <c r="B4500" s="291" t="n"/>
      <c r="E4500" s="212" t="n"/>
    </row>
    <row r="4501">
      <c r="B4501" s="291" t="n"/>
      <c r="E4501" s="212" t="n"/>
    </row>
    <row r="4502">
      <c r="B4502" s="291" t="n"/>
      <c r="E4502" s="212" t="n"/>
    </row>
    <row r="4503">
      <c r="B4503" s="291" t="n"/>
      <c r="E4503" s="212" t="n"/>
    </row>
    <row r="4504">
      <c r="B4504" s="291" t="n"/>
      <c r="E4504" s="212" t="n"/>
    </row>
    <row r="4505">
      <c r="B4505" s="291" t="n"/>
      <c r="E4505" s="212" t="n"/>
    </row>
    <row r="4506">
      <c r="B4506" s="291" t="n"/>
      <c r="E4506" s="212" t="n"/>
    </row>
    <row r="4507">
      <c r="B4507" s="291" t="n"/>
      <c r="E4507" s="212" t="n"/>
    </row>
    <row r="4508">
      <c r="B4508" s="291" t="n"/>
      <c r="E4508" s="212" t="n"/>
    </row>
    <row r="4509">
      <c r="B4509" s="291" t="n"/>
      <c r="E4509" s="212" t="n"/>
    </row>
    <row r="4510">
      <c r="B4510" s="291" t="n"/>
      <c r="E4510" s="212" t="n"/>
    </row>
    <row r="4511">
      <c r="B4511" s="291" t="n"/>
      <c r="E4511" s="212" t="n"/>
    </row>
    <row r="4512">
      <c r="B4512" s="291" t="n"/>
      <c r="E4512" s="212" t="n"/>
    </row>
    <row r="4513">
      <c r="B4513" s="291" t="n"/>
      <c r="E4513" s="212" t="n"/>
    </row>
    <row r="4514">
      <c r="B4514" s="291" t="n"/>
      <c r="E4514" s="212" t="n"/>
    </row>
    <row r="4515">
      <c r="B4515" s="291" t="n"/>
      <c r="E4515" s="212" t="n"/>
    </row>
    <row r="4516">
      <c r="B4516" s="291" t="n"/>
      <c r="E4516" s="212" t="n"/>
    </row>
    <row r="4517">
      <c r="B4517" s="291" t="n"/>
      <c r="E4517" s="212" t="n"/>
    </row>
    <row r="4518">
      <c r="B4518" s="291" t="n"/>
      <c r="E4518" s="212" t="n"/>
    </row>
    <row r="4519">
      <c r="B4519" s="291" t="n"/>
      <c r="E4519" s="212" t="n"/>
    </row>
    <row r="4520">
      <c r="B4520" s="291" t="n"/>
      <c r="E4520" s="212" t="n"/>
    </row>
    <row r="4521">
      <c r="B4521" s="291" t="n"/>
      <c r="E4521" s="212" t="n"/>
    </row>
    <row r="4522">
      <c r="B4522" s="291" t="n"/>
      <c r="E4522" s="212" t="n"/>
    </row>
    <row r="4523">
      <c r="B4523" s="291" t="n"/>
      <c r="E4523" s="212" t="n"/>
    </row>
    <row r="4524">
      <c r="B4524" s="291" t="n"/>
      <c r="E4524" s="212" t="n"/>
    </row>
    <row r="4525">
      <c r="B4525" s="291" t="n"/>
      <c r="E4525" s="212" t="n"/>
    </row>
    <row r="4526">
      <c r="B4526" s="291" t="n"/>
      <c r="E4526" s="212" t="n"/>
    </row>
    <row r="4527">
      <c r="B4527" s="291" t="n"/>
      <c r="E4527" s="212" t="n"/>
    </row>
    <row r="4528">
      <c r="B4528" s="291" t="n"/>
      <c r="E4528" s="212" t="n"/>
    </row>
    <row r="4529">
      <c r="B4529" s="291" t="n"/>
      <c r="E4529" s="212" t="n"/>
    </row>
    <row r="4530">
      <c r="B4530" s="291" t="n"/>
      <c r="E4530" s="212" t="n"/>
    </row>
    <row r="4531">
      <c r="B4531" s="291" t="n"/>
      <c r="E4531" s="212" t="n"/>
    </row>
    <row r="4532">
      <c r="B4532" s="291" t="n"/>
      <c r="E4532" s="212" t="n"/>
    </row>
    <row r="4533">
      <c r="B4533" s="291" t="n"/>
      <c r="E4533" s="212" t="n"/>
    </row>
    <row r="4534">
      <c r="B4534" s="291" t="n"/>
      <c r="E4534" s="212" t="n"/>
    </row>
    <row r="4535">
      <c r="B4535" s="291" t="n"/>
      <c r="E4535" s="212" t="n"/>
    </row>
    <row r="4536">
      <c r="B4536" s="291" t="n"/>
      <c r="E4536" s="212" t="n"/>
    </row>
    <row r="4537">
      <c r="B4537" s="291" t="n"/>
      <c r="E4537" s="212" t="n"/>
    </row>
    <row r="4538">
      <c r="B4538" s="291" t="n"/>
      <c r="E4538" s="212" t="n"/>
    </row>
    <row r="4539">
      <c r="B4539" s="291" t="n"/>
      <c r="E4539" s="212" t="n"/>
    </row>
    <row r="4540">
      <c r="B4540" s="291" t="n"/>
      <c r="E4540" s="212" t="n"/>
    </row>
    <row r="4541">
      <c r="B4541" s="291" t="n"/>
      <c r="E4541" s="212" t="n"/>
    </row>
    <row r="4542">
      <c r="B4542" s="291" t="n"/>
      <c r="E4542" s="212" t="n"/>
    </row>
    <row r="4543">
      <c r="B4543" s="291" t="n"/>
      <c r="E4543" s="212" t="n"/>
    </row>
    <row r="4544">
      <c r="B4544" s="291" t="n"/>
      <c r="E4544" s="212" t="n"/>
    </row>
    <row r="4545">
      <c r="B4545" s="291" t="n"/>
      <c r="E4545" s="212" t="n"/>
    </row>
    <row r="4546">
      <c r="B4546" s="291" t="n"/>
      <c r="E4546" s="212" t="n"/>
    </row>
    <row r="4547">
      <c r="B4547" s="291" t="n"/>
      <c r="E4547" s="212" t="n"/>
    </row>
    <row r="4548">
      <c r="B4548" s="291" t="n"/>
      <c r="E4548" s="212" t="n"/>
    </row>
    <row r="4549">
      <c r="B4549" s="291" t="n"/>
      <c r="E4549" s="212" t="n"/>
    </row>
    <row r="4550">
      <c r="B4550" s="291" t="n"/>
      <c r="E4550" s="212" t="n"/>
    </row>
    <row r="4551">
      <c r="B4551" s="291" t="n"/>
      <c r="E4551" s="212" t="n"/>
    </row>
    <row r="4552">
      <c r="B4552" s="291" t="n"/>
      <c r="E4552" s="212" t="n"/>
    </row>
    <row r="4553">
      <c r="B4553" s="291" t="n"/>
      <c r="E4553" s="212" t="n"/>
    </row>
    <row r="4554">
      <c r="B4554" s="291" t="n"/>
      <c r="E4554" s="212" t="n"/>
    </row>
    <row r="4555">
      <c r="B4555" s="291" t="n"/>
      <c r="E4555" s="212" t="n"/>
    </row>
    <row r="4556">
      <c r="B4556" s="291" t="n"/>
      <c r="E4556" s="212" t="n"/>
    </row>
    <row r="4557">
      <c r="B4557" s="291" t="n"/>
      <c r="E4557" s="212" t="n"/>
    </row>
    <row r="4558">
      <c r="B4558" s="291" t="n"/>
      <c r="E4558" s="212" t="n"/>
    </row>
    <row r="4559">
      <c r="B4559" s="291" t="n"/>
      <c r="E4559" s="212" t="n"/>
    </row>
    <row r="4560">
      <c r="B4560" s="291" t="n"/>
      <c r="E4560" s="212" t="n"/>
    </row>
  </sheetData>
  <pageMargins left="0.7" right="0.7" top="0.75" bottom="0.75" header="0.3" footer="0.3"/>
  <pageSetup orientation="portrait" paperSize="9"/>
  <tableParts count="1">
    <tablePart xmlns:r="http://schemas.openxmlformats.org/officeDocument/2006/relationships" r:id="rId1"/>
  </tableParts>
</worksheet>
</file>

<file path=xl/worksheets/sheet19.xml><?xml version="1.0" encoding="utf-8"?>
<worksheet xmlns="http://schemas.openxmlformats.org/spreadsheetml/2006/main">
  <sheetPr>
    <tabColor rgb="FFFFFF00"/>
    <outlinePr summaryBelow="1" summaryRight="1"/>
    <pageSetUpPr/>
  </sheetPr>
  <dimension ref="A1:H4532"/>
  <sheetViews>
    <sheetView topLeftCell="A535" workbookViewId="0">
      <selection activeCell="A384" sqref="A384:D575"/>
    </sheetView>
  </sheetViews>
  <sheetFormatPr baseColWidth="10" defaultRowHeight="12.75"/>
  <cols>
    <col width="19.28515625" customWidth="1" style="161" min="1" max="1"/>
    <col width="11.42578125" customWidth="1" style="161" min="2" max="2"/>
    <col width="11.42578125" customWidth="1" style="228" min="3" max="3"/>
    <col width="18.42578125" customWidth="1" style="212" min="4" max="4"/>
  </cols>
  <sheetData>
    <row r="1">
      <c r="A1" s="348" t="inlineStr">
        <is>
          <t>SOCIETE</t>
        </is>
      </c>
      <c r="B1" s="348" t="inlineStr">
        <is>
          <t>MOIS</t>
        </is>
      </c>
      <c r="C1" s="228" t="inlineStr">
        <is>
          <t>TL2</t>
        </is>
      </c>
      <c r="D1" s="212" t="inlineStr">
        <is>
          <t>MONTANT</t>
        </is>
      </c>
      <c r="E1" s="212" t="inlineStr">
        <is>
          <t>TL2 CORRESPONDANCE</t>
        </is>
      </c>
    </row>
    <row r="2">
      <c r="A2" s="348" t="inlineStr">
        <is>
          <t>GLR5</t>
        </is>
      </c>
      <c r="B2" s="291" t="n">
        <v>1</v>
      </c>
      <c r="C2" s="228" t="n">
        <v>2</v>
      </c>
      <c r="D2" s="212" t="n">
        <v>-370437.56</v>
      </c>
      <c r="E2" s="212" t="n"/>
      <c r="H2" s="348" t="inlineStr">
        <is>
          <t>Remplacé 50 par 41.1</t>
        </is>
      </c>
    </row>
    <row r="3">
      <c r="A3" s="348" t="inlineStr">
        <is>
          <t>GLR5</t>
        </is>
      </c>
      <c r="B3" s="291" t="n">
        <v>1</v>
      </c>
      <c r="C3" s="228" t="n">
        <v>3</v>
      </c>
      <c r="D3" s="212" t="n">
        <v>84010.21000000001</v>
      </c>
      <c r="E3" s="212" t="n"/>
      <c r="H3" s="348" t="inlineStr">
        <is>
          <t>Remplacé 51 par 41.2</t>
        </is>
      </c>
    </row>
    <row r="4">
      <c r="A4" s="348" t="inlineStr">
        <is>
          <t>GLR5</t>
        </is>
      </c>
      <c r="B4" s="291" t="n">
        <v>1</v>
      </c>
      <c r="C4" s="228" t="n">
        <v>4</v>
      </c>
      <c r="D4" s="212" t="n">
        <v>1628.56</v>
      </c>
      <c r="E4" s="212" t="n"/>
    </row>
    <row r="5">
      <c r="A5" s="348" t="inlineStr">
        <is>
          <t>GLR5</t>
        </is>
      </c>
      <c r="B5" s="291" t="n">
        <v>1</v>
      </c>
      <c r="C5" s="228" t="n">
        <v>5</v>
      </c>
      <c r="D5" s="212" t="n">
        <v>1931.15</v>
      </c>
      <c r="E5" s="212" t="n"/>
    </row>
    <row r="6">
      <c r="A6" s="348" t="inlineStr">
        <is>
          <t>GLR5</t>
        </is>
      </c>
      <c r="B6" s="291" t="n">
        <v>1</v>
      </c>
      <c r="C6" s="228" t="n">
        <v>6</v>
      </c>
      <c r="D6" s="212" t="n">
        <v>8915.719999999999</v>
      </c>
      <c r="E6" s="212" t="n"/>
    </row>
    <row r="7">
      <c r="A7" s="348" t="inlineStr">
        <is>
          <t>GLR5</t>
        </is>
      </c>
      <c r="B7" s="291" t="n">
        <v>1</v>
      </c>
      <c r="C7" s="228" t="inlineStr">
        <is>
          <t>6.1</t>
        </is>
      </c>
      <c r="D7" s="212" t="n">
        <v>1300.76</v>
      </c>
      <c r="E7" s="212" t="n"/>
    </row>
    <row r="8">
      <c r="A8" s="348" t="inlineStr">
        <is>
          <t>GLR5</t>
        </is>
      </c>
      <c r="B8" s="291" t="n">
        <v>1</v>
      </c>
      <c r="C8" s="228" t="n">
        <v>8</v>
      </c>
      <c r="D8" s="212" t="n">
        <v>66031.39999999999</v>
      </c>
      <c r="E8" s="212" t="n"/>
    </row>
    <row r="9">
      <c r="A9" s="348" t="inlineStr">
        <is>
          <t>GLR5</t>
        </is>
      </c>
      <c r="B9" s="291" t="n">
        <v>1</v>
      </c>
      <c r="C9" s="228" t="n">
        <v>9</v>
      </c>
      <c r="D9" s="212" t="n">
        <v>7904.13</v>
      </c>
      <c r="E9" s="212" t="n"/>
    </row>
    <row r="10">
      <c r="A10" s="348" t="inlineStr">
        <is>
          <t>GLR5</t>
        </is>
      </c>
      <c r="B10" s="291" t="n">
        <v>1</v>
      </c>
      <c r="C10" s="228" t="n">
        <v>10</v>
      </c>
      <c r="D10" s="212" t="n">
        <v>21061.18</v>
      </c>
      <c r="E10" s="212" t="n"/>
    </row>
    <row r="11">
      <c r="A11" s="348" t="inlineStr">
        <is>
          <t>GLR5</t>
        </is>
      </c>
      <c r="B11" s="291" t="n">
        <v>1</v>
      </c>
      <c r="C11" s="228" t="n">
        <v>11</v>
      </c>
      <c r="D11" s="212" t="n">
        <v>4919.95</v>
      </c>
      <c r="E11" s="212" t="n"/>
    </row>
    <row r="12">
      <c r="A12" s="348" t="inlineStr">
        <is>
          <t>GLR5</t>
        </is>
      </c>
      <c r="B12" s="291" t="n">
        <v>1</v>
      </c>
      <c r="C12" s="228" t="n">
        <v>15</v>
      </c>
      <c r="D12" s="212" t="n">
        <v>140</v>
      </c>
      <c r="E12" s="212" t="n"/>
    </row>
    <row r="13">
      <c r="A13" s="348" t="inlineStr">
        <is>
          <t>GLR5</t>
        </is>
      </c>
      <c r="B13" s="291" t="n">
        <v>1</v>
      </c>
      <c r="C13" s="228" t="n">
        <v>16</v>
      </c>
      <c r="D13" s="212" t="n">
        <v>82.3</v>
      </c>
      <c r="E13" s="212" t="n"/>
    </row>
    <row r="14">
      <c r="A14" s="348" t="inlineStr">
        <is>
          <t>GLR5</t>
        </is>
      </c>
      <c r="B14" s="291" t="n">
        <v>1</v>
      </c>
      <c r="C14" s="228" t="n">
        <v>17</v>
      </c>
      <c r="D14" s="212" t="n">
        <v>3123.78</v>
      </c>
      <c r="E14" s="212" t="n"/>
    </row>
    <row r="15">
      <c r="A15" s="348" t="inlineStr">
        <is>
          <t>GLR5</t>
        </is>
      </c>
      <c r="B15" s="291" t="n">
        <v>1</v>
      </c>
      <c r="C15" s="228" t="n">
        <v>18</v>
      </c>
      <c r="D15" s="212" t="n">
        <v>-2870.94</v>
      </c>
      <c r="E15" s="212" t="n"/>
    </row>
    <row r="16">
      <c r="A16" s="348" t="inlineStr">
        <is>
          <t>GLR5</t>
        </is>
      </c>
      <c r="B16" s="291" t="n">
        <v>1</v>
      </c>
      <c r="C16" s="228" t="n">
        <v>19</v>
      </c>
      <c r="D16" s="212" t="n">
        <v>8968.77</v>
      </c>
      <c r="E16" s="212" t="n"/>
    </row>
    <row r="17">
      <c r="A17" s="348" t="inlineStr">
        <is>
          <t>GLR5</t>
        </is>
      </c>
      <c r="B17" s="291" t="n">
        <v>1</v>
      </c>
      <c r="C17" s="228" t="n">
        <v>21</v>
      </c>
      <c r="D17" s="212" t="n">
        <v>2169.64</v>
      </c>
      <c r="E17" s="212" t="n"/>
    </row>
    <row r="18">
      <c r="A18" s="348" t="inlineStr">
        <is>
          <t>GLR5</t>
        </is>
      </c>
      <c r="B18" s="291" t="n">
        <v>1</v>
      </c>
      <c r="C18" s="228" t="n">
        <v>22</v>
      </c>
      <c r="D18" s="212" t="n">
        <v>14946.67</v>
      </c>
      <c r="E18" s="212" t="n"/>
    </row>
    <row r="19">
      <c r="A19" s="348" t="inlineStr">
        <is>
          <t>GLR5</t>
        </is>
      </c>
      <c r="B19" s="291" t="n">
        <v>1</v>
      </c>
      <c r="C19" s="228" t="n">
        <v>23</v>
      </c>
      <c r="D19" s="212" t="n">
        <v>6675.63</v>
      </c>
      <c r="E19" s="212" t="n"/>
    </row>
    <row r="20">
      <c r="A20" s="348" t="inlineStr">
        <is>
          <t>GLR5</t>
        </is>
      </c>
      <c r="B20" s="291" t="n">
        <v>1</v>
      </c>
      <c r="C20" s="228" t="n">
        <v>24</v>
      </c>
      <c r="D20" s="212" t="n">
        <v>12395.8</v>
      </c>
      <c r="E20" s="212" t="n"/>
    </row>
    <row r="21">
      <c r="A21" s="348" t="inlineStr">
        <is>
          <t>GLR5</t>
        </is>
      </c>
      <c r="B21" s="291" t="n">
        <v>1</v>
      </c>
      <c r="C21" s="228" t="n">
        <v>25</v>
      </c>
      <c r="D21" s="212" t="n">
        <v>5008.83</v>
      </c>
      <c r="E21" s="212" t="n"/>
    </row>
    <row r="22">
      <c r="A22" s="348" t="inlineStr">
        <is>
          <t>GLR5</t>
        </is>
      </c>
      <c r="B22" s="291" t="n">
        <v>1</v>
      </c>
      <c r="C22" s="228" t="n">
        <v>26</v>
      </c>
      <c r="D22" s="212" t="n">
        <v>0</v>
      </c>
      <c r="E22" s="212" t="n"/>
    </row>
    <row r="23">
      <c r="A23" s="348" t="inlineStr">
        <is>
          <t>GLR5</t>
        </is>
      </c>
      <c r="B23" s="291" t="n">
        <v>1</v>
      </c>
      <c r="C23" s="228" t="n">
        <v>27</v>
      </c>
      <c r="D23" s="212" t="n">
        <v>879.6</v>
      </c>
      <c r="E23" s="212" t="n"/>
    </row>
    <row r="24">
      <c r="A24" s="348" t="inlineStr">
        <is>
          <t>GLR5</t>
        </is>
      </c>
      <c r="B24" s="291" t="n">
        <v>1</v>
      </c>
      <c r="C24" s="228" t="n">
        <v>29</v>
      </c>
      <c r="D24" s="212" t="n">
        <v>58602.82</v>
      </c>
      <c r="E24" s="212" t="n"/>
    </row>
    <row r="25">
      <c r="A25" s="348" t="inlineStr">
        <is>
          <t>GLR5</t>
        </is>
      </c>
      <c r="B25" s="291" t="n">
        <v>1</v>
      </c>
      <c r="C25" s="228" t="n">
        <v>31</v>
      </c>
      <c r="D25" s="212" t="n">
        <v>-905.28</v>
      </c>
      <c r="E25" s="212" t="n"/>
    </row>
    <row r="26">
      <c r="A26" s="348" t="inlineStr">
        <is>
          <t>GLR5</t>
        </is>
      </c>
      <c r="B26" s="291" t="n">
        <v>1</v>
      </c>
      <c r="C26" s="228" t="n">
        <v>33</v>
      </c>
      <c r="D26" s="212" t="n">
        <v>789</v>
      </c>
      <c r="E26" s="212" t="n"/>
    </row>
    <row r="27">
      <c r="A27" s="348" t="inlineStr">
        <is>
          <t>GLR5</t>
        </is>
      </c>
      <c r="B27" s="291" t="n">
        <v>1</v>
      </c>
      <c r="C27" s="228" t="n">
        <v>34</v>
      </c>
      <c r="D27" s="212" t="n">
        <v>18904.14</v>
      </c>
      <c r="E27" s="212" t="n"/>
    </row>
    <row r="28">
      <c r="A28" s="348" t="inlineStr">
        <is>
          <t>GLR5</t>
        </is>
      </c>
      <c r="B28" s="291" t="n">
        <v>1</v>
      </c>
      <c r="C28" s="228" t="n">
        <v>35</v>
      </c>
      <c r="D28" s="212" t="n">
        <v>1460.33</v>
      </c>
      <c r="E28" s="212" t="n"/>
    </row>
    <row r="29">
      <c r="A29" s="348" t="inlineStr">
        <is>
          <t>GLR5</t>
        </is>
      </c>
      <c r="B29" s="291" t="n">
        <v>1</v>
      </c>
      <c r="C29" s="228" t="n">
        <v>36</v>
      </c>
      <c r="D29" s="212" t="n">
        <v>1845.97</v>
      </c>
      <c r="E29" s="212" t="n"/>
    </row>
    <row r="30">
      <c r="A30" s="348" t="inlineStr">
        <is>
          <t>GLR5</t>
        </is>
      </c>
      <c r="B30" s="291" t="n">
        <v>1</v>
      </c>
      <c r="C30" s="228" t="n">
        <v>37</v>
      </c>
      <c r="D30" s="212" t="n">
        <v>3665.93</v>
      </c>
      <c r="E30" s="212" t="n"/>
    </row>
    <row r="31">
      <c r="A31" s="348" t="inlineStr">
        <is>
          <t>GLR5</t>
        </is>
      </c>
      <c r="B31" s="291" t="n">
        <v>1</v>
      </c>
      <c r="C31" s="228" t="n">
        <v>38</v>
      </c>
      <c r="D31" s="212" t="n">
        <v>10063.49</v>
      </c>
      <c r="E31" s="212" t="n"/>
    </row>
    <row r="32">
      <c r="A32" s="348" t="inlineStr">
        <is>
          <t>GLR5</t>
        </is>
      </c>
      <c r="B32" s="291" t="n">
        <v>1</v>
      </c>
      <c r="C32" s="228" t="n">
        <v>40</v>
      </c>
      <c r="D32" s="212" t="n">
        <v>1259.13</v>
      </c>
      <c r="E32" s="212" t="n"/>
    </row>
    <row r="33">
      <c r="A33" s="348" t="inlineStr">
        <is>
          <t>GLR5</t>
        </is>
      </c>
      <c r="B33" s="291" t="n">
        <v>1</v>
      </c>
      <c r="C33" s="228" t="n">
        <v>46</v>
      </c>
      <c r="D33" s="212" t="n">
        <v>26033</v>
      </c>
      <c r="E33" s="212" t="n"/>
    </row>
    <row r="34">
      <c r="A34" s="348" t="inlineStr">
        <is>
          <t>GLR5</t>
        </is>
      </c>
      <c r="B34" s="291" t="n">
        <v>1</v>
      </c>
      <c r="C34" s="228" t="inlineStr">
        <is>
          <t>41.1</t>
        </is>
      </c>
      <c r="D34" s="212" t="n">
        <v>-7645.14</v>
      </c>
      <c r="E34" s="212" t="n"/>
    </row>
    <row r="35">
      <c r="A35" s="348" t="inlineStr">
        <is>
          <t>GLR5</t>
        </is>
      </c>
      <c r="B35" s="291" t="n">
        <v>1</v>
      </c>
      <c r="C35" s="228" t="inlineStr">
        <is>
          <t>41.2</t>
        </is>
      </c>
      <c r="D35" s="212" t="n">
        <v>7852.76</v>
      </c>
      <c r="E35" s="212" t="n"/>
    </row>
    <row r="36">
      <c r="A36" s="348" t="inlineStr">
        <is>
          <t>HTR8</t>
        </is>
      </c>
      <c r="B36" s="291" t="n">
        <v>1</v>
      </c>
      <c r="C36" s="228" t="n">
        <v>2</v>
      </c>
      <c r="D36" s="212" t="n">
        <v>-191414.29</v>
      </c>
      <c r="E36" s="212" t="n"/>
    </row>
    <row r="37">
      <c r="A37" s="348" t="inlineStr">
        <is>
          <t>HTR8</t>
        </is>
      </c>
      <c r="B37" s="291" t="n">
        <v>1</v>
      </c>
      <c r="C37" s="228" t="n">
        <v>3</v>
      </c>
      <c r="D37" s="212" t="n">
        <v>43012.07</v>
      </c>
      <c r="E37" s="212" t="n"/>
    </row>
    <row r="38">
      <c r="A38" s="348" t="inlineStr">
        <is>
          <t>HTR8</t>
        </is>
      </c>
      <c r="B38" s="291" t="n">
        <v>1</v>
      </c>
      <c r="C38" s="228" t="n">
        <v>4</v>
      </c>
      <c r="D38" s="212" t="n">
        <v>1168.38</v>
      </c>
      <c r="E38" s="212" t="n"/>
    </row>
    <row r="39">
      <c r="A39" s="348" t="inlineStr">
        <is>
          <t>HTR8</t>
        </is>
      </c>
      <c r="B39" s="291" t="n">
        <v>1</v>
      </c>
      <c r="C39" s="228" t="n">
        <v>5</v>
      </c>
      <c r="D39" s="212" t="n">
        <v>1391.89</v>
      </c>
      <c r="E39" s="212" t="n"/>
    </row>
    <row r="40">
      <c r="A40" s="348" t="inlineStr">
        <is>
          <t>HTR8</t>
        </is>
      </c>
      <c r="B40" s="291" t="n">
        <v>1</v>
      </c>
      <c r="C40" s="228" t="n">
        <v>6</v>
      </c>
      <c r="D40" s="212" t="n">
        <v>4752.79</v>
      </c>
      <c r="E40" s="212" t="n"/>
    </row>
    <row r="41">
      <c r="A41" s="348" t="inlineStr">
        <is>
          <t>HTR8</t>
        </is>
      </c>
      <c r="B41" s="291" t="n">
        <v>1</v>
      </c>
      <c r="C41" s="228" t="inlineStr">
        <is>
          <t>6.1</t>
        </is>
      </c>
      <c r="D41" s="212" t="n">
        <v>188.39</v>
      </c>
      <c r="E41" s="212" t="n"/>
    </row>
    <row r="42">
      <c r="A42" s="348" t="inlineStr">
        <is>
          <t>HTR8</t>
        </is>
      </c>
      <c r="B42" s="291" t="n">
        <v>1</v>
      </c>
      <c r="C42" s="228" t="n">
        <v>8</v>
      </c>
      <c r="D42" s="212" t="n">
        <v>32367.49</v>
      </c>
      <c r="E42" s="212" t="n"/>
    </row>
    <row r="43">
      <c r="A43" s="348" t="inlineStr">
        <is>
          <t>HTR8</t>
        </is>
      </c>
      <c r="B43" s="291" t="n">
        <v>1</v>
      </c>
      <c r="C43" s="228" t="n">
        <v>9</v>
      </c>
      <c r="D43" s="212" t="n">
        <v>4091.35</v>
      </c>
      <c r="E43" s="212" t="n"/>
    </row>
    <row r="44">
      <c r="A44" s="348" t="inlineStr">
        <is>
          <t>HTR8</t>
        </is>
      </c>
      <c r="B44" s="291" t="n">
        <v>1</v>
      </c>
      <c r="C44" s="228" t="n">
        <v>10</v>
      </c>
      <c r="D44" s="212" t="n">
        <v>16439.97</v>
      </c>
      <c r="E44" s="212" t="n"/>
    </row>
    <row r="45">
      <c r="A45" s="348" t="inlineStr">
        <is>
          <t>HTR8</t>
        </is>
      </c>
      <c r="B45" s="291" t="n">
        <v>1</v>
      </c>
      <c r="C45" s="228" t="n">
        <v>11</v>
      </c>
      <c r="D45" s="212" t="n">
        <v>3301.84</v>
      </c>
      <c r="E45" s="212" t="n"/>
    </row>
    <row r="46">
      <c r="A46" s="348" t="inlineStr">
        <is>
          <t>HTR8</t>
        </is>
      </c>
      <c r="B46" s="291" t="n">
        <v>1</v>
      </c>
      <c r="C46" s="228" t="n">
        <v>15</v>
      </c>
      <c r="D46" s="212" t="n">
        <v>142.58</v>
      </c>
      <c r="E46" s="212" t="n"/>
    </row>
    <row r="47">
      <c r="A47" s="348" t="inlineStr">
        <is>
          <t>HTR8</t>
        </is>
      </c>
      <c r="B47" s="291" t="n">
        <v>1</v>
      </c>
      <c r="C47" s="228" t="n">
        <v>16</v>
      </c>
      <c r="D47" s="212" t="n">
        <v>84.34</v>
      </c>
      <c r="E47" s="212" t="n"/>
    </row>
    <row r="48">
      <c r="A48" s="348" t="inlineStr">
        <is>
          <t>HTR8</t>
        </is>
      </c>
      <c r="B48" s="291" t="n">
        <v>1</v>
      </c>
      <c r="C48" s="228" t="n">
        <v>17</v>
      </c>
      <c r="D48" s="212" t="n">
        <v>1491.67</v>
      </c>
      <c r="E48" s="212" t="n"/>
    </row>
    <row r="49">
      <c r="A49" s="348" t="inlineStr">
        <is>
          <t>HTR8</t>
        </is>
      </c>
      <c r="B49" s="291" t="n">
        <v>1</v>
      </c>
      <c r="C49" s="228" t="n">
        <v>18</v>
      </c>
      <c r="D49" s="212" t="n">
        <v>2543.97</v>
      </c>
      <c r="E49" s="212" t="n"/>
    </row>
    <row r="50">
      <c r="A50" s="348" t="inlineStr">
        <is>
          <t>HTR8</t>
        </is>
      </c>
      <c r="B50" s="291" t="n">
        <v>1</v>
      </c>
      <c r="C50" s="228" t="n">
        <v>19</v>
      </c>
      <c r="D50" s="212" t="n">
        <v>7707.87</v>
      </c>
      <c r="E50" s="212" t="n"/>
    </row>
    <row r="51">
      <c r="A51" s="348" t="inlineStr">
        <is>
          <t>HTR8</t>
        </is>
      </c>
      <c r="B51" s="291" t="n">
        <v>1</v>
      </c>
      <c r="C51" s="228" t="n">
        <v>22</v>
      </c>
      <c r="D51" s="212" t="n">
        <v>7686.7</v>
      </c>
      <c r="E51" s="212" t="n"/>
    </row>
    <row r="52">
      <c r="A52" s="348" t="inlineStr">
        <is>
          <t>HTR8</t>
        </is>
      </c>
      <c r="B52" s="291" t="n">
        <v>1</v>
      </c>
      <c r="C52" s="228" t="n">
        <v>23</v>
      </c>
      <c r="D52" s="212" t="n">
        <v>3657.71</v>
      </c>
      <c r="E52" s="212" t="n"/>
    </row>
    <row r="53">
      <c r="A53" s="348" t="inlineStr">
        <is>
          <t>HTR8</t>
        </is>
      </c>
      <c r="B53" s="291" t="n">
        <v>1</v>
      </c>
      <c r="C53" s="228" t="n">
        <v>24</v>
      </c>
      <c r="D53" s="212" t="n">
        <v>10289.59</v>
      </c>
      <c r="E53" s="212" t="n"/>
    </row>
    <row r="54">
      <c r="A54" s="348" t="inlineStr">
        <is>
          <t>HTR8</t>
        </is>
      </c>
      <c r="B54" s="291" t="n">
        <v>1</v>
      </c>
      <c r="C54" s="228" t="n">
        <v>25</v>
      </c>
      <c r="D54" s="212" t="n">
        <v>2747.15</v>
      </c>
      <c r="E54" s="212" t="n"/>
    </row>
    <row r="55">
      <c r="A55" s="348" t="inlineStr">
        <is>
          <t>HTR8</t>
        </is>
      </c>
      <c r="B55" s="291" t="n">
        <v>1</v>
      </c>
      <c r="C55" s="228" t="n">
        <v>26</v>
      </c>
      <c r="D55" s="212" t="n">
        <v>31.35</v>
      </c>
      <c r="E55" s="212" t="n"/>
    </row>
    <row r="56">
      <c r="A56" s="348" t="inlineStr">
        <is>
          <t>HTR8</t>
        </is>
      </c>
      <c r="B56" s="291" t="n">
        <v>1</v>
      </c>
      <c r="C56" s="228" t="n">
        <v>27</v>
      </c>
      <c r="D56" s="212" t="n">
        <v>393.76</v>
      </c>
      <c r="E56" s="212" t="n"/>
    </row>
    <row r="57">
      <c r="A57" s="348" t="inlineStr">
        <is>
          <t>HTR8</t>
        </is>
      </c>
      <c r="B57" s="291" t="n">
        <v>1</v>
      </c>
      <c r="C57" s="228" t="n">
        <v>29</v>
      </c>
      <c r="D57" s="212" t="n">
        <v>32032.24</v>
      </c>
      <c r="E57" s="212" t="n"/>
    </row>
    <row r="58">
      <c r="A58" s="348" t="inlineStr">
        <is>
          <t>HTR8</t>
        </is>
      </c>
      <c r="B58" s="291" t="n">
        <v>1</v>
      </c>
      <c r="C58" s="228" t="n">
        <v>31</v>
      </c>
      <c r="D58" s="212" t="n">
        <v>-423.12</v>
      </c>
      <c r="E58" s="212" t="n"/>
    </row>
    <row r="59">
      <c r="A59" s="348" t="inlineStr">
        <is>
          <t>HTR8</t>
        </is>
      </c>
      <c r="B59" s="291" t="n">
        <v>1</v>
      </c>
      <c r="C59" s="228" t="n">
        <v>33</v>
      </c>
      <c r="D59" s="212" t="n">
        <v>465</v>
      </c>
      <c r="E59" s="212" t="n"/>
    </row>
    <row r="60">
      <c r="A60" s="348" t="inlineStr">
        <is>
          <t>HTR8</t>
        </is>
      </c>
      <c r="B60" s="291" t="n">
        <v>1</v>
      </c>
      <c r="C60" s="228" t="n">
        <v>34</v>
      </c>
      <c r="D60" s="212" t="n">
        <v>9706.74</v>
      </c>
      <c r="E60" s="212" t="n"/>
    </row>
    <row r="61">
      <c r="A61" s="348" t="inlineStr">
        <is>
          <t>HTR8</t>
        </is>
      </c>
      <c r="B61" s="291" t="n">
        <v>1</v>
      </c>
      <c r="C61" s="228" t="n">
        <v>35</v>
      </c>
      <c r="D61" s="212" t="n">
        <v>986</v>
      </c>
      <c r="E61" s="212" t="n"/>
    </row>
    <row r="62">
      <c r="A62" s="348" t="inlineStr">
        <is>
          <t>HTR8</t>
        </is>
      </c>
      <c r="B62" s="291" t="n">
        <v>1</v>
      </c>
      <c r="C62" s="228" t="n">
        <v>36</v>
      </c>
      <c r="D62" s="212" t="n">
        <v>1121.86</v>
      </c>
      <c r="E62" s="212" t="n"/>
    </row>
    <row r="63">
      <c r="A63" s="348" t="inlineStr">
        <is>
          <t>HTR8</t>
        </is>
      </c>
      <c r="B63" s="291" t="n">
        <v>1</v>
      </c>
      <c r="C63" s="228" t="n">
        <v>37</v>
      </c>
      <c r="D63" s="212" t="n">
        <v>2075.25</v>
      </c>
      <c r="E63" s="212" t="n"/>
    </row>
    <row r="64">
      <c r="A64" s="348" t="inlineStr">
        <is>
          <t>HTR8</t>
        </is>
      </c>
      <c r="B64" s="291" t="n">
        <v>1</v>
      </c>
      <c r="C64" s="228" t="n">
        <v>38</v>
      </c>
      <c r="D64" s="212" t="n">
        <v>5620</v>
      </c>
      <c r="E64" s="212" t="n"/>
    </row>
    <row r="65">
      <c r="A65" s="348" t="inlineStr">
        <is>
          <t>HTR8</t>
        </is>
      </c>
      <c r="B65" s="291" t="n">
        <v>1</v>
      </c>
      <c r="C65" s="228" t="n">
        <v>40</v>
      </c>
      <c r="D65" s="212" t="n">
        <v>3032.3</v>
      </c>
      <c r="E65" s="212" t="n"/>
    </row>
    <row r="66">
      <c r="A66" s="348" t="inlineStr">
        <is>
          <t>HTR8</t>
        </is>
      </c>
      <c r="B66" s="291" t="n">
        <v>1</v>
      </c>
      <c r="C66" s="228" t="n">
        <v>42</v>
      </c>
      <c r="D66" s="212" t="n">
        <v>21.24</v>
      </c>
      <c r="E66" s="212" t="n"/>
    </row>
    <row r="67">
      <c r="A67" s="348" t="inlineStr">
        <is>
          <t>HTR8</t>
        </is>
      </c>
      <c r="B67" s="291" t="n">
        <v>1</v>
      </c>
      <c r="C67" s="228" t="n">
        <v>46</v>
      </c>
      <c r="D67" s="212" t="n">
        <v>12933.33</v>
      </c>
      <c r="E67" s="212" t="n"/>
    </row>
    <row r="68">
      <c r="A68" s="348" t="inlineStr">
        <is>
          <t>HTR8</t>
        </is>
      </c>
      <c r="B68" s="291" t="n">
        <v>1</v>
      </c>
      <c r="C68" s="228" t="inlineStr">
        <is>
          <t>41.1</t>
        </is>
      </c>
      <c r="D68" s="212" t="n">
        <v>-2720.48</v>
      </c>
      <c r="E68" s="212" t="n"/>
    </row>
    <row r="69">
      <c r="A69" s="348" t="inlineStr">
        <is>
          <t>HTR8</t>
        </is>
      </c>
      <c r="B69" s="291" t="n">
        <v>1</v>
      </c>
      <c r="C69" s="228" t="inlineStr">
        <is>
          <t>41.2</t>
        </is>
      </c>
      <c r="D69" s="212" t="n">
        <v>2182.52</v>
      </c>
      <c r="E69" s="212" t="n"/>
    </row>
    <row r="70">
      <c r="A70" s="348" t="inlineStr">
        <is>
          <t>TIRR</t>
        </is>
      </c>
      <c r="B70" s="291" t="n">
        <v>1</v>
      </c>
      <c r="C70" s="228" t="n">
        <v>2</v>
      </c>
      <c r="D70" s="212" t="n">
        <v>-258424.23</v>
      </c>
      <c r="E70" s="212" t="n"/>
    </row>
    <row r="71">
      <c r="A71" s="348" t="inlineStr">
        <is>
          <t>TIRR</t>
        </is>
      </c>
      <c r="B71" s="291" t="n">
        <v>1</v>
      </c>
      <c r="C71" s="228" t="n">
        <v>3</v>
      </c>
      <c r="D71" s="212" t="n">
        <v>55349.04</v>
      </c>
      <c r="E71" s="212" t="n"/>
    </row>
    <row r="72">
      <c r="A72" s="348" t="inlineStr">
        <is>
          <t>TIRR</t>
        </is>
      </c>
      <c r="B72" s="291" t="n">
        <v>1</v>
      </c>
      <c r="C72" s="228" t="n">
        <v>4</v>
      </c>
      <c r="D72" s="212" t="n">
        <v>901.77</v>
      </c>
      <c r="E72" s="212" t="n"/>
    </row>
    <row r="73">
      <c r="A73" s="348" t="inlineStr">
        <is>
          <t>TIRR</t>
        </is>
      </c>
      <c r="B73" s="291" t="n">
        <v>1</v>
      </c>
      <c r="C73" s="228" t="n">
        <v>5</v>
      </c>
      <c r="D73" s="212" t="n">
        <v>1196.79</v>
      </c>
      <c r="E73" s="212" t="n"/>
    </row>
    <row r="74">
      <c r="A74" s="348" t="inlineStr">
        <is>
          <t>TIRR</t>
        </is>
      </c>
      <c r="B74" s="291" t="n">
        <v>1</v>
      </c>
      <c r="C74" s="228" t="n">
        <v>6</v>
      </c>
      <c r="D74" s="212" t="n">
        <v>5465.52</v>
      </c>
      <c r="E74" s="212" t="n"/>
    </row>
    <row r="75">
      <c r="A75" s="348" t="inlineStr">
        <is>
          <t>TIRR</t>
        </is>
      </c>
      <c r="B75" s="291" t="n">
        <v>1</v>
      </c>
      <c r="C75" s="228" t="inlineStr">
        <is>
          <t>6.1</t>
        </is>
      </c>
      <c r="D75" s="212" t="n">
        <v>654.27</v>
      </c>
      <c r="E75" s="212" t="n"/>
    </row>
    <row r="76">
      <c r="A76" s="348" t="inlineStr">
        <is>
          <t>TIRR</t>
        </is>
      </c>
      <c r="B76" s="291" t="n">
        <v>1</v>
      </c>
      <c r="C76" s="228" t="n">
        <v>8</v>
      </c>
      <c r="D76" s="212" t="n">
        <v>32358.41</v>
      </c>
      <c r="E76" s="212" t="n"/>
    </row>
    <row r="77">
      <c r="A77" s="348" t="inlineStr">
        <is>
          <t>TIRR</t>
        </is>
      </c>
      <c r="B77" s="291" t="n">
        <v>1</v>
      </c>
      <c r="C77" s="228" t="n">
        <v>9</v>
      </c>
      <c r="D77" s="212" t="n">
        <v>4005.03</v>
      </c>
      <c r="E77" s="212" t="n"/>
    </row>
    <row r="78">
      <c r="A78" s="348" t="inlineStr">
        <is>
          <t>TIRR</t>
        </is>
      </c>
      <c r="B78" s="291" t="n">
        <v>1</v>
      </c>
      <c r="C78" s="228" t="n">
        <v>10</v>
      </c>
      <c r="D78" s="212" t="n">
        <v>32370.71</v>
      </c>
      <c r="E78" s="212" t="n"/>
    </row>
    <row r="79">
      <c r="A79" s="348" t="inlineStr">
        <is>
          <t>TIRR</t>
        </is>
      </c>
      <c r="B79" s="291" t="n">
        <v>1</v>
      </c>
      <c r="C79" s="228" t="n">
        <v>11</v>
      </c>
      <c r="D79" s="212" t="n">
        <v>4559.72</v>
      </c>
      <c r="E79" s="212" t="n"/>
    </row>
    <row r="80">
      <c r="A80" s="348" t="inlineStr">
        <is>
          <t>TIRR</t>
        </is>
      </c>
      <c r="B80" s="291" t="n">
        <v>1</v>
      </c>
      <c r="C80" s="228" t="n">
        <v>15</v>
      </c>
      <c r="D80" s="212" t="n">
        <v>325</v>
      </c>
      <c r="E80" s="212" t="n"/>
    </row>
    <row r="81">
      <c r="A81" s="348" t="inlineStr">
        <is>
          <t>TIRR</t>
        </is>
      </c>
      <c r="B81" s="291" t="n">
        <v>1</v>
      </c>
      <c r="C81" s="228" t="n">
        <v>16</v>
      </c>
      <c r="D81" s="212" t="n">
        <v>206.47</v>
      </c>
      <c r="E81" s="212" t="n"/>
    </row>
    <row r="82">
      <c r="A82" s="348" t="inlineStr">
        <is>
          <t>TIRR</t>
        </is>
      </c>
      <c r="B82" s="291" t="n">
        <v>1</v>
      </c>
      <c r="C82" s="228" t="n">
        <v>17</v>
      </c>
      <c r="D82" s="212" t="n">
        <v>1871.06</v>
      </c>
      <c r="E82" s="212" t="n"/>
    </row>
    <row r="83">
      <c r="A83" s="348" t="inlineStr">
        <is>
          <t>TIRR</t>
        </is>
      </c>
      <c r="B83" s="291" t="n">
        <v>1</v>
      </c>
      <c r="C83" s="228" t="n">
        <v>18</v>
      </c>
      <c r="D83" s="212" t="n">
        <v>1469.65</v>
      </c>
      <c r="E83" s="212" t="n"/>
    </row>
    <row r="84">
      <c r="A84" s="348" t="inlineStr">
        <is>
          <t>TIRR</t>
        </is>
      </c>
      <c r="B84" s="291" t="n">
        <v>1</v>
      </c>
      <c r="C84" s="228" t="n">
        <v>19</v>
      </c>
      <c r="D84" s="212" t="n">
        <v>6942.23</v>
      </c>
      <c r="E84" s="212" t="n"/>
    </row>
    <row r="85">
      <c r="A85" s="348" t="inlineStr">
        <is>
          <t>TIRR</t>
        </is>
      </c>
      <c r="B85" s="291" t="n">
        <v>1</v>
      </c>
      <c r="C85" s="228" t="n">
        <v>21</v>
      </c>
      <c r="D85" s="212" t="n">
        <v>5911.41</v>
      </c>
      <c r="E85" s="212" t="n"/>
    </row>
    <row r="86">
      <c r="A86" s="348" t="inlineStr">
        <is>
          <t>TIRR</t>
        </is>
      </c>
      <c r="B86" s="291" t="n">
        <v>1</v>
      </c>
      <c r="C86" s="228" t="n">
        <v>22</v>
      </c>
      <c r="D86" s="212" t="n">
        <v>10343.53</v>
      </c>
      <c r="E86" s="212" t="n"/>
    </row>
    <row r="87">
      <c r="A87" s="348" t="inlineStr">
        <is>
          <t>TIRR</t>
        </is>
      </c>
      <c r="B87" s="291" t="n">
        <v>1</v>
      </c>
      <c r="C87" s="228" t="n">
        <v>23</v>
      </c>
      <c r="D87" s="212" t="n">
        <v>5259.47</v>
      </c>
      <c r="E87" s="212" t="n"/>
    </row>
    <row r="88">
      <c r="A88" s="348" t="inlineStr">
        <is>
          <t>TIRR</t>
        </is>
      </c>
      <c r="B88" s="291" t="n">
        <v>1</v>
      </c>
      <c r="C88" s="228" t="n">
        <v>24</v>
      </c>
      <c r="D88" s="212" t="n">
        <v>12540</v>
      </c>
      <c r="E88" s="212" t="n"/>
    </row>
    <row r="89">
      <c r="A89" s="348" t="inlineStr">
        <is>
          <t>TIRR</t>
        </is>
      </c>
      <c r="B89" s="291" t="n">
        <v>1</v>
      </c>
      <c r="C89" s="228" t="n">
        <v>25</v>
      </c>
      <c r="D89" s="212" t="n">
        <v>818.3099999999999</v>
      </c>
      <c r="E89" s="212" t="n"/>
    </row>
    <row r="90">
      <c r="A90" s="348" t="inlineStr">
        <is>
          <t>TIRR</t>
        </is>
      </c>
      <c r="B90" s="291" t="n">
        <v>1</v>
      </c>
      <c r="C90" s="228" t="n">
        <v>26</v>
      </c>
      <c r="D90" s="212" t="n">
        <v>40.8</v>
      </c>
      <c r="E90" s="212" t="n"/>
    </row>
    <row r="91">
      <c r="A91" s="348" t="inlineStr">
        <is>
          <t>TIRR</t>
        </is>
      </c>
      <c r="B91" s="291" t="n">
        <v>1</v>
      </c>
      <c r="C91" s="228" t="n">
        <v>27</v>
      </c>
      <c r="D91" s="212" t="n">
        <v>615.83</v>
      </c>
      <c r="E91" s="212" t="n"/>
    </row>
    <row r="92">
      <c r="A92" s="348" t="inlineStr">
        <is>
          <t>TIRR</t>
        </is>
      </c>
      <c r="B92" s="291" t="n">
        <v>1</v>
      </c>
      <c r="C92" s="228" t="n">
        <v>29</v>
      </c>
      <c r="D92" s="212" t="n">
        <v>37968.89</v>
      </c>
      <c r="E92" s="212" t="n"/>
    </row>
    <row r="93">
      <c r="A93" s="348" t="inlineStr">
        <is>
          <t>TIRR</t>
        </is>
      </c>
      <c r="B93" s="291" t="n">
        <v>1</v>
      </c>
      <c r="C93" s="228" t="n">
        <v>31</v>
      </c>
      <c r="D93" s="212" t="n">
        <v>-980.37</v>
      </c>
      <c r="E93" s="212" t="n"/>
    </row>
    <row r="94">
      <c r="A94" s="348" t="inlineStr">
        <is>
          <t>TIRR</t>
        </is>
      </c>
      <c r="B94" s="291" t="n">
        <v>1</v>
      </c>
      <c r="C94" s="228" t="n">
        <v>33</v>
      </c>
      <c r="D94" s="212" t="n">
        <v>690</v>
      </c>
      <c r="E94" s="212" t="n"/>
    </row>
    <row r="95">
      <c r="A95" s="348" t="inlineStr">
        <is>
          <t>TIRR</t>
        </is>
      </c>
      <c r="B95" s="291" t="n">
        <v>1</v>
      </c>
      <c r="C95" s="228" t="n">
        <v>34</v>
      </c>
      <c r="D95" s="212" t="n">
        <v>13092.72</v>
      </c>
      <c r="E95" s="212" t="n"/>
    </row>
    <row r="96">
      <c r="A96" s="348" t="inlineStr">
        <is>
          <t>TIRR</t>
        </is>
      </c>
      <c r="B96" s="291" t="n">
        <v>1</v>
      </c>
      <c r="C96" s="228" t="n">
        <v>35</v>
      </c>
      <c r="D96" s="212" t="n">
        <v>977</v>
      </c>
      <c r="E96" s="212" t="n"/>
    </row>
    <row r="97">
      <c r="A97" s="348" t="inlineStr">
        <is>
          <t>TIRR</t>
        </is>
      </c>
      <c r="B97" s="291" t="n">
        <v>1</v>
      </c>
      <c r="C97" s="228" t="n">
        <v>36</v>
      </c>
      <c r="D97" s="212" t="n">
        <v>1300</v>
      </c>
      <c r="E97" s="212" t="n"/>
    </row>
    <row r="98">
      <c r="A98" s="348" t="inlineStr">
        <is>
          <t>TIRR</t>
        </is>
      </c>
      <c r="B98" s="291" t="n">
        <v>1</v>
      </c>
      <c r="C98" s="228" t="n">
        <v>37</v>
      </c>
      <c r="D98" s="212" t="n">
        <v>2273.2</v>
      </c>
      <c r="E98" s="212" t="n"/>
    </row>
    <row r="99">
      <c r="A99" s="348" t="inlineStr">
        <is>
          <t>TIRR</t>
        </is>
      </c>
      <c r="B99" s="291" t="n">
        <v>1</v>
      </c>
      <c r="C99" s="228" t="n">
        <v>38</v>
      </c>
      <c r="D99" s="212" t="n">
        <v>12458</v>
      </c>
      <c r="E99" s="212" t="n"/>
    </row>
    <row r="100">
      <c r="A100" s="348" t="inlineStr">
        <is>
          <t>TIRR</t>
        </is>
      </c>
      <c r="B100" s="291" t="n">
        <v>1</v>
      </c>
      <c r="C100" s="228" t="n">
        <v>40</v>
      </c>
      <c r="D100" s="212" t="n">
        <v>3467.3</v>
      </c>
      <c r="E100" s="212" t="n"/>
    </row>
    <row r="101">
      <c r="A101" s="348" t="inlineStr">
        <is>
          <t>TIRR</t>
        </is>
      </c>
      <c r="B101" s="291" t="n">
        <v>1</v>
      </c>
      <c r="C101" s="228" t="n">
        <v>42</v>
      </c>
      <c r="D101" s="212" t="n">
        <v>82.28</v>
      </c>
      <c r="E101" s="212" t="n"/>
    </row>
    <row r="102">
      <c r="A102" s="348" t="inlineStr">
        <is>
          <t>TIRR</t>
        </is>
      </c>
      <c r="B102" s="291" t="n">
        <v>1</v>
      </c>
      <c r="C102" s="228" t="n">
        <v>46</v>
      </c>
      <c r="D102" s="212" t="n">
        <v>18958.33</v>
      </c>
      <c r="E102" s="212" t="n"/>
    </row>
    <row r="103">
      <c r="A103" s="348" t="inlineStr">
        <is>
          <t>TIRR</t>
        </is>
      </c>
      <c r="B103" s="291" t="n">
        <v>1</v>
      </c>
      <c r="C103" s="228" t="inlineStr">
        <is>
          <t>41.1</t>
        </is>
      </c>
      <c r="D103" s="212" t="n">
        <v>-3430.18</v>
      </c>
      <c r="E103" s="212" t="n"/>
    </row>
    <row r="104">
      <c r="A104" s="348" t="inlineStr">
        <is>
          <t>TIRR</t>
        </is>
      </c>
      <c r="B104" s="291" t="n">
        <v>1</v>
      </c>
      <c r="C104" s="228" t="inlineStr">
        <is>
          <t>41.2</t>
        </is>
      </c>
      <c r="D104" s="212" t="n">
        <v>3626.97</v>
      </c>
      <c r="E104" s="212" t="n"/>
    </row>
    <row r="105">
      <c r="A105" s="348" t="inlineStr">
        <is>
          <t>TIRR</t>
        </is>
      </c>
      <c r="B105" s="291" t="n">
        <v>1</v>
      </c>
      <c r="C105" s="228" t="e">
        <v>#N/A</v>
      </c>
      <c r="D105" s="212" t="n">
        <v>-169533.33</v>
      </c>
      <c r="E105" s="212" t="n"/>
    </row>
    <row r="106">
      <c r="A106" s="348" t="inlineStr">
        <is>
          <t>VR7</t>
        </is>
      </c>
      <c r="B106" s="291" t="n">
        <v>1</v>
      </c>
      <c r="C106" s="228" t="n">
        <v>2</v>
      </c>
      <c r="D106" s="212" t="n">
        <v>-382463.66</v>
      </c>
      <c r="E106" s="212" t="n"/>
    </row>
    <row r="107">
      <c r="A107" s="348" t="inlineStr">
        <is>
          <t>VR7</t>
        </is>
      </c>
      <c r="B107" s="291" t="n">
        <v>1</v>
      </c>
      <c r="C107" s="228" t="n">
        <v>3</v>
      </c>
      <c r="D107" s="212" t="n">
        <v>78619.38</v>
      </c>
      <c r="E107" s="212" t="n"/>
    </row>
    <row r="108">
      <c r="A108" s="348" t="inlineStr">
        <is>
          <t>VR7</t>
        </is>
      </c>
      <c r="B108" s="291" t="n">
        <v>1</v>
      </c>
      <c r="C108" s="228" t="n">
        <v>4</v>
      </c>
      <c r="D108" s="212" t="n">
        <v>1705.16</v>
      </c>
      <c r="E108" s="212" t="n"/>
    </row>
    <row r="109">
      <c r="A109" s="348" t="inlineStr">
        <is>
          <t>VR7</t>
        </is>
      </c>
      <c r="B109" s="291" t="n">
        <v>1</v>
      </c>
      <c r="C109" s="228" t="n">
        <v>5</v>
      </c>
      <c r="D109" s="212" t="n">
        <v>1608.8</v>
      </c>
      <c r="E109" s="212" t="n"/>
    </row>
    <row r="110">
      <c r="A110" s="348" t="inlineStr">
        <is>
          <t>VR7</t>
        </is>
      </c>
      <c r="B110" s="291" t="n">
        <v>1</v>
      </c>
      <c r="C110" s="228" t="n">
        <v>6</v>
      </c>
      <c r="D110" s="212" t="n">
        <v>8425.219999999999</v>
      </c>
      <c r="E110" s="212" t="n"/>
    </row>
    <row r="111">
      <c r="A111" s="348" t="inlineStr">
        <is>
          <t>VR7</t>
        </is>
      </c>
      <c r="B111" s="291" t="n">
        <v>1</v>
      </c>
      <c r="C111" s="228" t="inlineStr">
        <is>
          <t>6.1</t>
        </is>
      </c>
      <c r="D111" s="212" t="n">
        <v>317.51</v>
      </c>
      <c r="E111" s="212" t="n"/>
    </row>
    <row r="112">
      <c r="A112" s="348" t="inlineStr">
        <is>
          <t>VR7</t>
        </is>
      </c>
      <c r="B112" s="291" t="n">
        <v>1</v>
      </c>
      <c r="C112" s="228" t="n">
        <v>8</v>
      </c>
      <c r="D112" s="212" t="n">
        <v>61266.04</v>
      </c>
      <c r="E112" s="212" t="n"/>
    </row>
    <row r="113">
      <c r="A113" s="348" t="inlineStr">
        <is>
          <t>VR7</t>
        </is>
      </c>
      <c r="B113" s="291" t="n">
        <v>1</v>
      </c>
      <c r="C113" s="228" t="n">
        <v>9</v>
      </c>
      <c r="D113" s="212" t="n">
        <v>8219.290000000001</v>
      </c>
      <c r="E113" s="212" t="n"/>
    </row>
    <row r="114">
      <c r="A114" s="348" t="inlineStr">
        <is>
          <t>VR7</t>
        </is>
      </c>
      <c r="B114" s="291" t="n">
        <v>1</v>
      </c>
      <c r="C114" s="228" t="n">
        <v>10</v>
      </c>
      <c r="D114" s="212" t="n">
        <v>27377.73</v>
      </c>
      <c r="E114" s="212" t="n"/>
    </row>
    <row r="115">
      <c r="A115" s="348" t="inlineStr">
        <is>
          <t>VR7</t>
        </is>
      </c>
      <c r="B115" s="291" t="n">
        <v>1</v>
      </c>
      <c r="C115" s="228" t="n">
        <v>11</v>
      </c>
      <c r="D115" s="212" t="n">
        <v>5340.29</v>
      </c>
      <c r="E115" s="212" t="n"/>
    </row>
    <row r="116">
      <c r="A116" s="348" t="inlineStr">
        <is>
          <t>VR7</t>
        </is>
      </c>
      <c r="B116" s="291" t="n">
        <v>1</v>
      </c>
      <c r="C116" s="228" t="n">
        <v>15</v>
      </c>
      <c r="D116" s="212" t="n">
        <v>281.25</v>
      </c>
      <c r="E116" s="212" t="n"/>
    </row>
    <row r="117">
      <c r="A117" s="348" t="inlineStr">
        <is>
          <t>VR7</t>
        </is>
      </c>
      <c r="B117" s="291" t="n">
        <v>1</v>
      </c>
      <c r="C117" s="228" t="n">
        <v>16</v>
      </c>
      <c r="D117" s="212" t="n">
        <v>81.47</v>
      </c>
      <c r="E117" s="212" t="n"/>
    </row>
    <row r="118">
      <c r="A118" s="348" t="inlineStr">
        <is>
          <t>VR7</t>
        </is>
      </c>
      <c r="B118" s="291" t="n">
        <v>1</v>
      </c>
      <c r="C118" s="228" t="n">
        <v>17</v>
      </c>
      <c r="D118" s="212" t="n">
        <v>2864.41</v>
      </c>
      <c r="E118" s="212" t="n"/>
    </row>
    <row r="119">
      <c r="A119" s="348" t="inlineStr">
        <is>
          <t>VR7</t>
        </is>
      </c>
      <c r="B119" s="291" t="n">
        <v>1</v>
      </c>
      <c r="C119" s="228" t="n">
        <v>18</v>
      </c>
      <c r="D119" s="212" t="n">
        <v>1074.64</v>
      </c>
      <c r="E119" s="212" t="n"/>
    </row>
    <row r="120">
      <c r="A120" s="348" t="inlineStr">
        <is>
          <t>VR7</t>
        </is>
      </c>
      <c r="B120" s="291" t="n">
        <v>1</v>
      </c>
      <c r="C120" s="228" t="n">
        <v>19</v>
      </c>
      <c r="D120" s="212" t="n">
        <v>7886.51</v>
      </c>
      <c r="E120" s="212" t="n"/>
    </row>
    <row r="121">
      <c r="A121" s="348" t="inlineStr">
        <is>
          <t>VR7</t>
        </is>
      </c>
      <c r="B121" s="291" t="n">
        <v>1</v>
      </c>
      <c r="C121" s="228" t="n">
        <v>21</v>
      </c>
      <c r="D121" s="212" t="n">
        <v>3907.89</v>
      </c>
      <c r="E121" s="212" t="n"/>
    </row>
    <row r="122">
      <c r="A122" s="348" t="inlineStr">
        <is>
          <t>VR7</t>
        </is>
      </c>
      <c r="B122" s="291" t="n">
        <v>1</v>
      </c>
      <c r="C122" s="228" t="n">
        <v>22</v>
      </c>
      <c r="D122" s="212" t="n">
        <v>15282.82</v>
      </c>
      <c r="E122" s="212" t="n"/>
    </row>
    <row r="123">
      <c r="A123" s="348" t="inlineStr">
        <is>
          <t>VR7</t>
        </is>
      </c>
      <c r="B123" s="291" t="n">
        <v>1</v>
      </c>
      <c r="C123" s="228" t="n">
        <v>23</v>
      </c>
      <c r="D123" s="212" t="n">
        <v>6491.47</v>
      </c>
      <c r="E123" s="212" t="n"/>
    </row>
    <row r="124">
      <c r="A124" s="348" t="inlineStr">
        <is>
          <t>VR7</t>
        </is>
      </c>
      <c r="B124" s="291" t="n">
        <v>1</v>
      </c>
      <c r="C124" s="228" t="n">
        <v>24</v>
      </c>
      <c r="D124" s="212" t="n">
        <v>11356.53</v>
      </c>
      <c r="E124" s="212" t="n"/>
    </row>
    <row r="125">
      <c r="A125" s="348" t="inlineStr">
        <is>
          <t>VR7</t>
        </is>
      </c>
      <c r="B125" s="291" t="n">
        <v>1</v>
      </c>
      <c r="C125" s="228" t="n">
        <v>25</v>
      </c>
      <c r="D125" s="212" t="n">
        <v>2187.75</v>
      </c>
      <c r="E125" s="212" t="n"/>
    </row>
    <row r="126">
      <c r="A126" s="348" t="inlineStr">
        <is>
          <t>VR7</t>
        </is>
      </c>
      <c r="B126" s="291" t="n">
        <v>1</v>
      </c>
      <c r="C126" s="228" t="n">
        <v>27</v>
      </c>
      <c r="D126" s="212" t="n">
        <v>460.73</v>
      </c>
      <c r="E126" s="212" t="n"/>
    </row>
    <row r="127">
      <c r="A127" s="348" t="inlineStr">
        <is>
          <t>VR7</t>
        </is>
      </c>
      <c r="B127" s="291" t="n">
        <v>1</v>
      </c>
      <c r="C127" s="228" t="n">
        <v>29</v>
      </c>
      <c r="D127" s="212" t="n">
        <v>59949.17</v>
      </c>
      <c r="E127" s="212" t="n"/>
    </row>
    <row r="128">
      <c r="A128" s="348" t="inlineStr">
        <is>
          <t>VR7</t>
        </is>
      </c>
      <c r="B128" s="291" t="n">
        <v>1</v>
      </c>
      <c r="C128" s="228" t="n">
        <v>31</v>
      </c>
      <c r="D128" s="212" t="n">
        <v>-963.25</v>
      </c>
      <c r="E128" s="212" t="n"/>
    </row>
    <row r="129">
      <c r="A129" s="348" t="inlineStr">
        <is>
          <t>VR7</t>
        </is>
      </c>
      <c r="B129" s="291" t="n">
        <v>1</v>
      </c>
      <c r="C129" s="228" t="n">
        <v>33</v>
      </c>
      <c r="D129" s="212" t="n">
        <v>1100</v>
      </c>
      <c r="E129" s="212" t="n"/>
    </row>
    <row r="130">
      <c r="A130" s="348" t="inlineStr">
        <is>
          <t>VR7</t>
        </is>
      </c>
      <c r="B130" s="291" t="n">
        <v>1</v>
      </c>
      <c r="C130" s="228" t="n">
        <v>34</v>
      </c>
      <c r="D130" s="212" t="n">
        <v>19338.44</v>
      </c>
      <c r="E130" s="212" t="n"/>
    </row>
    <row r="131">
      <c r="A131" s="348" t="inlineStr">
        <is>
          <t>VR7</t>
        </is>
      </c>
      <c r="B131" s="291" t="n">
        <v>1</v>
      </c>
      <c r="C131" s="228" t="n">
        <v>35</v>
      </c>
      <c r="D131" s="212" t="n">
        <v>1649</v>
      </c>
      <c r="E131" s="212" t="n"/>
    </row>
    <row r="132">
      <c r="A132" s="348" t="inlineStr">
        <is>
          <t>VR7</t>
        </is>
      </c>
      <c r="B132" s="291" t="n">
        <v>1</v>
      </c>
      <c r="C132" s="228" t="n">
        <v>36</v>
      </c>
      <c r="D132" s="212" t="n">
        <v>1541.86</v>
      </c>
      <c r="E132" s="212" t="n"/>
    </row>
    <row r="133">
      <c r="A133" s="348" t="inlineStr">
        <is>
          <t>VR7</t>
        </is>
      </c>
      <c r="B133" s="291" t="n">
        <v>1</v>
      </c>
      <c r="C133" s="228" t="n">
        <v>37</v>
      </c>
      <c r="D133" s="212" t="n">
        <v>4006.61</v>
      </c>
      <c r="E133" s="212" t="n"/>
    </row>
    <row r="134">
      <c r="A134" s="348" t="inlineStr">
        <is>
          <t>VR7</t>
        </is>
      </c>
      <c r="B134" s="291" t="n">
        <v>1</v>
      </c>
      <c r="C134" s="228" t="n">
        <v>38</v>
      </c>
      <c r="D134" s="212" t="n">
        <v>23000</v>
      </c>
      <c r="E134" s="212" t="n"/>
    </row>
    <row r="135">
      <c r="A135" s="348" t="inlineStr">
        <is>
          <t>VR7</t>
        </is>
      </c>
      <c r="B135" s="291" t="n">
        <v>1</v>
      </c>
      <c r="C135" s="228" t="n">
        <v>40</v>
      </c>
      <c r="D135" s="212" t="n">
        <v>2279.71</v>
      </c>
      <c r="E135" s="212" t="n"/>
    </row>
    <row r="136">
      <c r="A136" s="348" t="inlineStr">
        <is>
          <t>VR7</t>
        </is>
      </c>
      <c r="B136" s="291" t="n">
        <v>1</v>
      </c>
      <c r="C136" s="228" t="n">
        <v>42</v>
      </c>
      <c r="D136" s="212" t="n">
        <v>438.64</v>
      </c>
      <c r="E136" s="212" t="n"/>
    </row>
    <row r="137">
      <c r="A137" s="348" t="inlineStr">
        <is>
          <t>VR7</t>
        </is>
      </c>
      <c r="B137" s="291" t="n">
        <v>1</v>
      </c>
      <c r="C137" s="228" t="n">
        <v>45</v>
      </c>
      <c r="D137" s="212" t="n">
        <v>0</v>
      </c>
      <c r="E137" s="212" t="n"/>
    </row>
    <row r="138">
      <c r="A138" s="348" t="inlineStr">
        <is>
          <t>VR7</t>
        </is>
      </c>
      <c r="B138" s="291" t="n">
        <v>1</v>
      </c>
      <c r="C138" s="228" t="n">
        <v>46</v>
      </c>
      <c r="D138" s="212" t="n">
        <v>26891.75</v>
      </c>
      <c r="E138" s="212" t="n"/>
    </row>
    <row r="139">
      <c r="A139" s="348" t="inlineStr">
        <is>
          <t>VR7</t>
        </is>
      </c>
      <c r="B139" s="291" t="n">
        <v>1</v>
      </c>
      <c r="C139" s="228" t="inlineStr">
        <is>
          <t>41.1</t>
        </is>
      </c>
      <c r="D139" s="212" t="n">
        <v>-4305.17</v>
      </c>
      <c r="E139" s="212" t="n"/>
    </row>
    <row r="140">
      <c r="A140" s="348" t="inlineStr">
        <is>
          <t>VR7</t>
        </is>
      </c>
      <c r="B140" s="291" t="n">
        <v>1</v>
      </c>
      <c r="C140" s="228" t="inlineStr">
        <is>
          <t>41.2</t>
        </is>
      </c>
      <c r="D140" s="212" t="n">
        <v>2820.3</v>
      </c>
      <c r="E140" s="212" t="n"/>
    </row>
    <row r="141">
      <c r="A141" s="348" t="inlineStr">
        <is>
          <t>VR7</t>
        </is>
      </c>
      <c r="B141" s="291" t="n">
        <v>1</v>
      </c>
      <c r="C141" s="228" t="e">
        <v>#N/A</v>
      </c>
      <c r="D141" s="212" t="n">
        <v>-57295.28</v>
      </c>
      <c r="E141" s="212" t="n"/>
    </row>
    <row r="142">
      <c r="A142" s="348" t="inlineStr">
        <is>
          <t>TURVILLA</t>
        </is>
      </c>
      <c r="B142" s="291" t="n">
        <v>1</v>
      </c>
      <c r="C142" s="228" t="n">
        <v>2</v>
      </c>
      <c r="D142" s="212" t="n">
        <v>-448803.22</v>
      </c>
      <c r="E142" s="212" t="n"/>
    </row>
    <row r="143">
      <c r="A143" s="348" t="inlineStr">
        <is>
          <t>TURVILLA</t>
        </is>
      </c>
      <c r="B143" s="291" t="n">
        <v>1</v>
      </c>
      <c r="C143" s="228" t="n">
        <v>3</v>
      </c>
      <c r="D143" s="212" t="n">
        <v>99520.28</v>
      </c>
      <c r="E143" s="212" t="n"/>
    </row>
    <row r="144">
      <c r="A144" s="348" t="inlineStr">
        <is>
          <t>TURVILLA</t>
        </is>
      </c>
      <c r="B144" s="291" t="n">
        <v>1</v>
      </c>
      <c r="C144" s="228" t="n">
        <v>4</v>
      </c>
      <c r="D144" s="212" t="n">
        <v>1842.96</v>
      </c>
      <c r="E144" s="212" t="n"/>
    </row>
    <row r="145">
      <c r="A145" s="348" t="inlineStr">
        <is>
          <t>TURVILLA</t>
        </is>
      </c>
      <c r="B145" s="291" t="n">
        <v>1</v>
      </c>
      <c r="C145" s="228" t="n">
        <v>5</v>
      </c>
      <c r="D145" s="212" t="n">
        <v>1770.54</v>
      </c>
      <c r="E145" s="212" t="n"/>
    </row>
    <row r="146">
      <c r="A146" s="348" t="inlineStr">
        <is>
          <t>TURVILLA</t>
        </is>
      </c>
      <c r="B146" s="291" t="n">
        <v>1</v>
      </c>
      <c r="C146" s="228" t="n">
        <v>6</v>
      </c>
      <c r="D146" s="212" t="n">
        <v>9144.110000000001</v>
      </c>
      <c r="E146" s="212" t="n"/>
    </row>
    <row r="147">
      <c r="A147" s="348" t="inlineStr">
        <is>
          <t>TURVILLA</t>
        </is>
      </c>
      <c r="B147" s="291" t="n">
        <v>1</v>
      </c>
      <c r="C147" s="228" t="inlineStr">
        <is>
          <t>6.1</t>
        </is>
      </c>
      <c r="D147" s="212" t="n">
        <v>3089.11</v>
      </c>
      <c r="E147" s="212" t="n"/>
    </row>
    <row r="148">
      <c r="A148" s="348" t="inlineStr">
        <is>
          <t>TURVILLA</t>
        </is>
      </c>
      <c r="B148" s="291" t="n">
        <v>1</v>
      </c>
      <c r="C148" s="228" t="n">
        <v>8</v>
      </c>
      <c r="D148" s="212" t="n">
        <v>79042.67</v>
      </c>
      <c r="E148" s="212" t="n"/>
    </row>
    <row r="149">
      <c r="A149" s="348" t="inlineStr">
        <is>
          <t>TURVILLA</t>
        </is>
      </c>
      <c r="B149" s="291" t="n">
        <v>1</v>
      </c>
      <c r="C149" s="228" t="n">
        <v>9</v>
      </c>
      <c r="D149" s="212" t="n">
        <v>8981.559999999999</v>
      </c>
      <c r="E149" s="212" t="n"/>
    </row>
    <row r="150">
      <c r="A150" s="348" t="inlineStr">
        <is>
          <t>TURVILLA</t>
        </is>
      </c>
      <c r="B150" s="291" t="n">
        <v>1</v>
      </c>
      <c r="C150" s="228" t="n">
        <v>10</v>
      </c>
      <c r="D150" s="212" t="n">
        <v>17063.32</v>
      </c>
      <c r="E150" s="212" t="n"/>
    </row>
    <row r="151">
      <c r="A151" s="348" t="inlineStr">
        <is>
          <t>TURVILLA</t>
        </is>
      </c>
      <c r="B151" s="291" t="n">
        <v>1</v>
      </c>
      <c r="C151" s="228" t="n">
        <v>11</v>
      </c>
      <c r="D151" s="212" t="n">
        <v>4516.06</v>
      </c>
      <c r="E151" s="212" t="n"/>
    </row>
    <row r="152">
      <c r="A152" s="348" t="inlineStr">
        <is>
          <t>TURVILLA</t>
        </is>
      </c>
      <c r="B152" s="291" t="n">
        <v>1</v>
      </c>
      <c r="C152" s="228" t="n">
        <v>16</v>
      </c>
      <c r="D152" s="212" t="n">
        <v>29</v>
      </c>
      <c r="E152" s="212" t="n"/>
    </row>
    <row r="153">
      <c r="A153" s="348" t="inlineStr">
        <is>
          <t>TURVILLA</t>
        </is>
      </c>
      <c r="B153" s="291" t="n">
        <v>1</v>
      </c>
      <c r="C153" s="228" t="n">
        <v>17</v>
      </c>
      <c r="D153" s="212" t="n">
        <v>4199.69</v>
      </c>
      <c r="E153" s="212" t="n"/>
    </row>
    <row r="154">
      <c r="A154" s="348" t="inlineStr">
        <is>
          <t>TURVILLA</t>
        </is>
      </c>
      <c r="B154" s="291" t="n">
        <v>1</v>
      </c>
      <c r="C154" s="228" t="n">
        <v>18</v>
      </c>
      <c r="D154" s="212" t="n">
        <v>1632.07</v>
      </c>
      <c r="E154" s="212" t="n"/>
    </row>
    <row r="155">
      <c r="A155" s="348" t="inlineStr">
        <is>
          <t>TURVILLA</t>
        </is>
      </c>
      <c r="B155" s="291" t="n">
        <v>1</v>
      </c>
      <c r="C155" s="228" t="n">
        <v>19</v>
      </c>
      <c r="D155" s="212" t="n">
        <v>9083.879999999999</v>
      </c>
      <c r="E155" s="212" t="n"/>
    </row>
    <row r="156">
      <c r="A156" s="348" t="inlineStr">
        <is>
          <t>TURVILLA</t>
        </is>
      </c>
      <c r="B156" s="291" t="n">
        <v>1</v>
      </c>
      <c r="C156" s="228" t="n">
        <v>21</v>
      </c>
      <c r="D156" s="212" t="n">
        <v>1308.83</v>
      </c>
      <c r="E156" s="212" t="n"/>
    </row>
    <row r="157">
      <c r="A157" s="348" t="inlineStr">
        <is>
          <t>TURVILLA</t>
        </is>
      </c>
      <c r="B157" s="291" t="n">
        <v>1</v>
      </c>
      <c r="C157" s="228" t="n">
        <v>22</v>
      </c>
      <c r="D157" s="212" t="n">
        <v>17994.57</v>
      </c>
      <c r="E157" s="212" t="n"/>
    </row>
    <row r="158">
      <c r="A158" s="348" t="inlineStr">
        <is>
          <t>TURVILLA</t>
        </is>
      </c>
      <c r="B158" s="291" t="n">
        <v>1</v>
      </c>
      <c r="C158" s="228" t="n">
        <v>23</v>
      </c>
      <c r="D158" s="212" t="n">
        <v>7457.26</v>
      </c>
      <c r="E158" s="212" t="n"/>
    </row>
    <row r="159">
      <c r="A159" s="348" t="inlineStr">
        <is>
          <t>TURVILLA</t>
        </is>
      </c>
      <c r="B159" s="291" t="n">
        <v>1</v>
      </c>
      <c r="C159" s="228" t="n">
        <v>24</v>
      </c>
      <c r="D159" s="212" t="n">
        <v>13424</v>
      </c>
      <c r="E159" s="212" t="n"/>
    </row>
    <row r="160">
      <c r="A160" s="348" t="inlineStr">
        <is>
          <t>TURVILLA</t>
        </is>
      </c>
      <c r="B160" s="291" t="n">
        <v>1</v>
      </c>
      <c r="C160" s="228" t="n">
        <v>25</v>
      </c>
      <c r="D160" s="212" t="n">
        <v>4207.96</v>
      </c>
      <c r="E160" s="212" t="n"/>
    </row>
    <row r="161">
      <c r="A161" s="348" t="inlineStr">
        <is>
          <t>TURVILLA</t>
        </is>
      </c>
      <c r="B161" s="291" t="n">
        <v>1</v>
      </c>
      <c r="C161" s="228" t="n">
        <v>26</v>
      </c>
      <c r="D161" s="212" t="n">
        <v>20.32</v>
      </c>
      <c r="E161" s="212" t="n"/>
    </row>
    <row r="162">
      <c r="A162" s="348" t="inlineStr">
        <is>
          <t>TURVILLA</t>
        </is>
      </c>
      <c r="B162" s="291" t="n">
        <v>1</v>
      </c>
      <c r="C162" s="228" t="n">
        <v>27</v>
      </c>
      <c r="D162" s="212" t="n">
        <v>2809.24</v>
      </c>
      <c r="E162" s="212" t="n"/>
    </row>
    <row r="163">
      <c r="A163" s="348" t="inlineStr">
        <is>
          <t>TURVILLA</t>
        </is>
      </c>
      <c r="B163" s="291" t="n">
        <v>1</v>
      </c>
      <c r="C163" s="228" t="n">
        <v>29</v>
      </c>
      <c r="D163" s="212" t="n">
        <v>63901.78</v>
      </c>
      <c r="E163" s="212" t="n"/>
    </row>
    <row r="164">
      <c r="A164" s="348" t="inlineStr">
        <is>
          <t>TURVILLA</t>
        </is>
      </c>
      <c r="B164" s="291" t="n">
        <v>1</v>
      </c>
      <c r="C164" s="228" t="n">
        <v>30</v>
      </c>
      <c r="D164" s="212" t="n">
        <v>1624.14</v>
      </c>
      <c r="E164" s="212" t="n"/>
    </row>
    <row r="165">
      <c r="A165" s="348" t="inlineStr">
        <is>
          <t>TURVILLA</t>
        </is>
      </c>
      <c r="B165" s="291" t="n">
        <v>1</v>
      </c>
      <c r="C165" s="228" t="n">
        <v>31</v>
      </c>
      <c r="D165" s="212" t="n">
        <v>-3959.6</v>
      </c>
      <c r="E165" s="212" t="n"/>
    </row>
    <row r="166">
      <c r="A166" s="348" t="inlineStr">
        <is>
          <t>TURVILLA</t>
        </is>
      </c>
      <c r="B166" s="291" t="n">
        <v>1</v>
      </c>
      <c r="C166" s="228" t="n">
        <v>33</v>
      </c>
      <c r="D166" s="212" t="n">
        <v>816</v>
      </c>
      <c r="E166" s="212" t="n"/>
    </row>
    <row r="167">
      <c r="A167" s="348" t="inlineStr">
        <is>
          <t>TURVILLA</t>
        </is>
      </c>
      <c r="B167" s="291" t="n">
        <v>1</v>
      </c>
      <c r="C167" s="228" t="n">
        <v>34</v>
      </c>
      <c r="D167" s="212" t="n">
        <v>22822.06</v>
      </c>
      <c r="E167" s="212" t="n"/>
    </row>
    <row r="168">
      <c r="A168" s="348" t="inlineStr">
        <is>
          <t>TURVILLA</t>
        </is>
      </c>
      <c r="B168" s="291" t="n">
        <v>1</v>
      </c>
      <c r="C168" s="228" t="n">
        <v>35</v>
      </c>
      <c r="D168" s="212" t="n">
        <v>1502</v>
      </c>
      <c r="E168" s="212" t="n"/>
    </row>
    <row r="169">
      <c r="A169" s="348" t="inlineStr">
        <is>
          <t>TURVILLA</t>
        </is>
      </c>
      <c r="B169" s="291" t="n">
        <v>1</v>
      </c>
      <c r="C169" s="228" t="n">
        <v>36</v>
      </c>
      <c r="D169" s="212" t="n">
        <v>1798.64</v>
      </c>
      <c r="E169" s="212" t="n"/>
    </row>
    <row r="170">
      <c r="A170" s="348" t="inlineStr">
        <is>
          <t>TURVILLA</t>
        </is>
      </c>
      <c r="B170" s="291" t="n">
        <v>1</v>
      </c>
      <c r="C170" s="228" t="n">
        <v>37</v>
      </c>
      <c r="D170" s="212" t="n">
        <v>3809.51</v>
      </c>
      <c r="E170" s="212" t="n"/>
    </row>
    <row r="171">
      <c r="A171" s="348" t="inlineStr">
        <is>
          <t>TURVILLA</t>
        </is>
      </c>
      <c r="B171" s="291" t="n">
        <v>1</v>
      </c>
      <c r="C171" s="228" t="n">
        <v>38</v>
      </c>
      <c r="D171" s="212" t="n">
        <v>27578.74</v>
      </c>
      <c r="E171" s="212" t="n"/>
    </row>
    <row r="172">
      <c r="A172" s="348" t="inlineStr">
        <is>
          <t>TURVILLA</t>
        </is>
      </c>
      <c r="B172" s="291" t="n">
        <v>1</v>
      </c>
      <c r="C172" s="228" t="n">
        <v>40</v>
      </c>
      <c r="D172" s="212" t="n">
        <v>1162.94</v>
      </c>
      <c r="E172" s="212" t="n"/>
    </row>
    <row r="173">
      <c r="A173" s="348" t="inlineStr">
        <is>
          <t>TURVILLA</t>
        </is>
      </c>
      <c r="B173" s="291" t="n">
        <v>1</v>
      </c>
      <c r="C173" s="228" t="n">
        <v>42</v>
      </c>
      <c r="D173" s="212" t="n">
        <v>722.5599999999999</v>
      </c>
      <c r="E173" s="212" t="n"/>
    </row>
    <row r="174">
      <c r="A174" s="348" t="inlineStr">
        <is>
          <t>TURVILLA</t>
        </is>
      </c>
      <c r="B174" s="291" t="n">
        <v>1</v>
      </c>
      <c r="C174" s="228" t="n">
        <v>46</v>
      </c>
      <c r="D174" s="212" t="n">
        <v>32952</v>
      </c>
      <c r="E174" s="212" t="n"/>
    </row>
    <row r="175">
      <c r="A175" s="348" t="inlineStr">
        <is>
          <t>TURVILLA</t>
        </is>
      </c>
      <c r="B175" s="291" t="n">
        <v>1</v>
      </c>
      <c r="C175" s="228" t="inlineStr">
        <is>
          <t>41.1</t>
        </is>
      </c>
      <c r="D175" s="212" t="n">
        <v>-7638.04</v>
      </c>
      <c r="E175" s="212" t="n"/>
    </row>
    <row r="176">
      <c r="A176" s="348" t="inlineStr">
        <is>
          <t>TURVILLA</t>
        </is>
      </c>
      <c r="B176" s="291" t="n">
        <v>1</v>
      </c>
      <c r="C176" s="228" t="inlineStr">
        <is>
          <t>41.2</t>
        </is>
      </c>
      <c r="D176" s="212" t="n">
        <v>7088.84</v>
      </c>
      <c r="E176" s="212" t="n"/>
    </row>
    <row r="177">
      <c r="A177" s="348" t="inlineStr">
        <is>
          <t>HART</t>
        </is>
      </c>
      <c r="B177" s="291" t="n">
        <v>1</v>
      </c>
      <c r="C177" s="228" t="n">
        <v>2</v>
      </c>
      <c r="D177" s="212" t="n">
        <v>-242390</v>
      </c>
      <c r="E177" s="212" t="n"/>
    </row>
    <row r="178">
      <c r="A178" s="348" t="inlineStr">
        <is>
          <t>HART</t>
        </is>
      </c>
      <c r="B178" s="291" t="n">
        <v>1</v>
      </c>
      <c r="C178" s="228" t="n">
        <v>3</v>
      </c>
      <c r="D178" s="212" t="n">
        <v>52826.01</v>
      </c>
      <c r="E178" s="212" t="n"/>
    </row>
    <row r="179">
      <c r="A179" s="348" t="inlineStr">
        <is>
          <t>HART</t>
        </is>
      </c>
      <c r="B179" s="291" t="n">
        <v>1</v>
      </c>
      <c r="C179" s="228" t="n">
        <v>4</v>
      </c>
      <c r="D179" s="212" t="n">
        <v>1231.93</v>
      </c>
      <c r="E179" s="212" t="n"/>
    </row>
    <row r="180">
      <c r="A180" s="348" t="inlineStr">
        <is>
          <t>HART</t>
        </is>
      </c>
      <c r="B180" s="291" t="n">
        <v>1</v>
      </c>
      <c r="C180" s="228" t="n">
        <v>5</v>
      </c>
      <c r="D180" s="212" t="n">
        <v>1503.01</v>
      </c>
      <c r="E180" s="212" t="n"/>
    </row>
    <row r="181">
      <c r="A181" s="348" t="inlineStr">
        <is>
          <t>HART</t>
        </is>
      </c>
      <c r="B181" s="291" t="n">
        <v>1</v>
      </c>
      <c r="C181" s="228" t="n">
        <v>6</v>
      </c>
      <c r="D181" s="212" t="n">
        <v>4996.81</v>
      </c>
      <c r="E181" s="212" t="n"/>
    </row>
    <row r="182">
      <c r="A182" s="348" t="inlineStr">
        <is>
          <t>HART</t>
        </is>
      </c>
      <c r="B182" s="291" t="n">
        <v>1</v>
      </c>
      <c r="C182" s="228" t="inlineStr">
        <is>
          <t>6.1</t>
        </is>
      </c>
      <c r="D182" s="212" t="n">
        <v>-24.32</v>
      </c>
      <c r="E182" s="212" t="n"/>
    </row>
    <row r="183">
      <c r="A183" s="348" t="inlineStr">
        <is>
          <t>HART</t>
        </is>
      </c>
      <c r="B183" s="291" t="n">
        <v>1</v>
      </c>
      <c r="C183" s="228" t="n">
        <v>8</v>
      </c>
      <c r="D183" s="212" t="n">
        <v>43283.99</v>
      </c>
      <c r="E183" s="212" t="n"/>
    </row>
    <row r="184">
      <c r="A184" s="348" t="inlineStr">
        <is>
          <t>HART</t>
        </is>
      </c>
      <c r="B184" s="291" t="n">
        <v>1</v>
      </c>
      <c r="C184" s="228" t="n">
        <v>9</v>
      </c>
      <c r="D184" s="212" t="n">
        <v>4934.94</v>
      </c>
      <c r="E184" s="212" t="n"/>
    </row>
    <row r="185">
      <c r="A185" s="348" t="inlineStr">
        <is>
          <t>HART</t>
        </is>
      </c>
      <c r="B185" s="291" t="n">
        <v>1</v>
      </c>
      <c r="C185" s="228" t="n">
        <v>10</v>
      </c>
      <c r="D185" s="212" t="n">
        <v>15393.56</v>
      </c>
      <c r="E185" s="212" t="n"/>
    </row>
    <row r="186">
      <c r="A186" s="348" t="inlineStr">
        <is>
          <t>HART</t>
        </is>
      </c>
      <c r="B186" s="291" t="n">
        <v>1</v>
      </c>
      <c r="C186" s="228" t="n">
        <v>11</v>
      </c>
      <c r="D186" s="212" t="n">
        <v>3484.86</v>
      </c>
      <c r="E186" s="212" t="n"/>
    </row>
    <row r="187">
      <c r="A187" s="348" t="inlineStr">
        <is>
          <t>HART</t>
        </is>
      </c>
      <c r="B187" s="291" t="n">
        <v>1</v>
      </c>
      <c r="C187" s="228" t="n">
        <v>15</v>
      </c>
      <c r="D187" s="212" t="n">
        <v>280</v>
      </c>
      <c r="E187" s="212" t="n"/>
    </row>
    <row r="188">
      <c r="A188" s="348" t="inlineStr">
        <is>
          <t>HART</t>
        </is>
      </c>
      <c r="B188" s="291" t="n">
        <v>1</v>
      </c>
      <c r="C188" s="228" t="n">
        <v>16</v>
      </c>
      <c r="D188" s="212" t="n">
        <v>77.44</v>
      </c>
      <c r="E188" s="212" t="n"/>
    </row>
    <row r="189">
      <c r="A189" s="348" t="inlineStr">
        <is>
          <t>HART</t>
        </is>
      </c>
      <c r="B189" s="291" t="n">
        <v>1</v>
      </c>
      <c r="C189" s="228" t="n">
        <v>17</v>
      </c>
      <c r="D189" s="212" t="n">
        <v>2128.66</v>
      </c>
      <c r="E189" s="212" t="n"/>
    </row>
    <row r="190">
      <c r="A190" s="348" t="inlineStr">
        <is>
          <t>HART</t>
        </is>
      </c>
      <c r="B190" s="291" t="n">
        <v>1</v>
      </c>
      <c r="C190" s="228" t="n">
        <v>18</v>
      </c>
      <c r="D190" s="212" t="n">
        <v>1022.47</v>
      </c>
      <c r="E190" s="212" t="n"/>
    </row>
    <row r="191">
      <c r="A191" s="348" t="inlineStr">
        <is>
          <t>HART</t>
        </is>
      </c>
      <c r="B191" s="291" t="n">
        <v>1</v>
      </c>
      <c r="C191" s="228" t="n">
        <v>19</v>
      </c>
      <c r="D191" s="212" t="n">
        <v>8960.969999999999</v>
      </c>
      <c r="E191" s="212" t="n"/>
    </row>
    <row r="192">
      <c r="A192" s="348" t="inlineStr">
        <is>
          <t>HART</t>
        </is>
      </c>
      <c r="B192" s="291" t="n">
        <v>1</v>
      </c>
      <c r="C192" s="228" t="n">
        <v>22</v>
      </c>
      <c r="D192" s="212" t="n">
        <v>9716.950000000001</v>
      </c>
      <c r="E192" s="212" t="n"/>
    </row>
    <row r="193">
      <c r="A193" s="348" t="inlineStr">
        <is>
          <t>HART</t>
        </is>
      </c>
      <c r="B193" s="291" t="n">
        <v>1</v>
      </c>
      <c r="C193" s="228" t="n">
        <v>23</v>
      </c>
      <c r="D193" s="212" t="n">
        <v>6144.66</v>
      </c>
      <c r="E193" s="212" t="n"/>
    </row>
    <row r="194">
      <c r="A194" s="348" t="inlineStr">
        <is>
          <t>HART</t>
        </is>
      </c>
      <c r="B194" s="291" t="n">
        <v>1</v>
      </c>
      <c r="C194" s="228" t="n">
        <v>24</v>
      </c>
      <c r="D194" s="212" t="n">
        <v>10150</v>
      </c>
      <c r="E194" s="212" t="n"/>
    </row>
    <row r="195">
      <c r="A195" s="348" t="inlineStr">
        <is>
          <t>HART</t>
        </is>
      </c>
      <c r="B195" s="291" t="n">
        <v>1</v>
      </c>
      <c r="C195" s="228" t="n">
        <v>25</v>
      </c>
      <c r="D195" s="212" t="n">
        <v>2218.45</v>
      </c>
      <c r="E195" s="212" t="n"/>
    </row>
    <row r="196">
      <c r="A196" s="348" t="inlineStr">
        <is>
          <t>HART</t>
        </is>
      </c>
      <c r="B196" s="291" t="n">
        <v>1</v>
      </c>
      <c r="C196" s="228" t="n">
        <v>27</v>
      </c>
      <c r="D196" s="212" t="n">
        <v>317.89</v>
      </c>
      <c r="E196" s="212" t="n"/>
    </row>
    <row r="197">
      <c r="A197" s="348" t="inlineStr">
        <is>
          <t>HART</t>
        </is>
      </c>
      <c r="B197" s="291" t="n">
        <v>1</v>
      </c>
      <c r="C197" s="228" t="n">
        <v>29</v>
      </c>
      <c r="D197" s="212" t="n">
        <v>35628.19</v>
      </c>
      <c r="E197" s="212" t="n"/>
    </row>
    <row r="198">
      <c r="A198" s="348" t="inlineStr">
        <is>
          <t>HART</t>
        </is>
      </c>
      <c r="B198" s="291" t="n">
        <v>1</v>
      </c>
      <c r="C198" s="228" t="n">
        <v>31</v>
      </c>
      <c r="D198" s="212" t="n">
        <v>-543.76</v>
      </c>
      <c r="E198" s="212" t="n"/>
    </row>
    <row r="199">
      <c r="A199" s="348" t="inlineStr">
        <is>
          <t>HART</t>
        </is>
      </c>
      <c r="B199" s="291" t="n">
        <v>1</v>
      </c>
      <c r="C199" s="228" t="n">
        <v>33</v>
      </c>
      <c r="D199" s="212" t="n">
        <v>545</v>
      </c>
      <c r="E199" s="212" t="n"/>
    </row>
    <row r="200">
      <c r="A200" s="348" t="inlineStr">
        <is>
          <t>HART</t>
        </is>
      </c>
      <c r="B200" s="291" t="n">
        <v>1</v>
      </c>
      <c r="C200" s="228" t="n">
        <v>34</v>
      </c>
      <c r="D200" s="212" t="n">
        <v>12285.58</v>
      </c>
      <c r="E200" s="212" t="n"/>
    </row>
    <row r="201">
      <c r="A201" s="348" t="inlineStr">
        <is>
          <t>HART</t>
        </is>
      </c>
      <c r="B201" s="291" t="n">
        <v>1</v>
      </c>
      <c r="C201" s="228" t="n">
        <v>35</v>
      </c>
      <c r="D201" s="212" t="n">
        <v>1086.5</v>
      </c>
      <c r="E201" s="212" t="n"/>
    </row>
    <row r="202">
      <c r="A202" s="348" t="inlineStr">
        <is>
          <t>HART</t>
        </is>
      </c>
      <c r="B202" s="291" t="n">
        <v>1</v>
      </c>
      <c r="C202" s="228" t="n">
        <v>36</v>
      </c>
      <c r="D202" s="212" t="n">
        <v>1000</v>
      </c>
      <c r="E202" s="212" t="n"/>
    </row>
    <row r="203">
      <c r="A203" s="348" t="inlineStr">
        <is>
          <t>HART</t>
        </is>
      </c>
      <c r="B203" s="291" t="n">
        <v>1</v>
      </c>
      <c r="C203" s="228" t="n">
        <v>37</v>
      </c>
      <c r="D203" s="212" t="n">
        <v>1998.74</v>
      </c>
      <c r="E203" s="212" t="n"/>
    </row>
    <row r="204">
      <c r="A204" s="348" t="inlineStr">
        <is>
          <t>HART</t>
        </is>
      </c>
      <c r="B204" s="291" t="n">
        <v>1</v>
      </c>
      <c r="C204" s="228" t="n">
        <v>38</v>
      </c>
      <c r="D204" s="212" t="n">
        <v>10000</v>
      </c>
      <c r="E204" s="212" t="n"/>
    </row>
    <row r="205">
      <c r="A205" s="348" t="inlineStr">
        <is>
          <t>HART</t>
        </is>
      </c>
      <c r="B205" s="291" t="n">
        <v>1</v>
      </c>
      <c r="C205" s="228" t="n">
        <v>46</v>
      </c>
      <c r="D205" s="212" t="n">
        <v>16333.33</v>
      </c>
      <c r="E205" s="212" t="n"/>
    </row>
    <row r="206">
      <c r="A206" s="348" t="inlineStr">
        <is>
          <t>HART</t>
        </is>
      </c>
      <c r="B206" s="291" t="n">
        <v>1</v>
      </c>
      <c r="C206" s="228" t="inlineStr">
        <is>
          <t>41.1</t>
        </is>
      </c>
      <c r="D206" s="212" t="n">
        <v>-3321.64</v>
      </c>
      <c r="E206" s="212" t="n"/>
    </row>
    <row r="207">
      <c r="A207" s="348" t="inlineStr">
        <is>
          <t>HART</t>
        </is>
      </c>
      <c r="B207" s="291" t="n">
        <v>1</v>
      </c>
      <c r="C207" s="228" t="inlineStr">
        <is>
          <t>41.2</t>
        </is>
      </c>
      <c r="D207" s="212" t="n">
        <v>1446.43</v>
      </c>
      <c r="E207" s="212" t="n"/>
    </row>
    <row r="208">
      <c r="A208" s="348" t="inlineStr">
        <is>
          <t>HART</t>
        </is>
      </c>
      <c r="B208" s="291" t="n">
        <v>1</v>
      </c>
      <c r="C208" s="228" t="e">
        <v>#N/A</v>
      </c>
      <c r="D208" s="212" t="n">
        <v>-88682.22</v>
      </c>
      <c r="E208" s="212" t="n"/>
    </row>
    <row r="209">
      <c r="A209" s="348" t="inlineStr">
        <is>
          <t>VICTOIRE</t>
        </is>
      </c>
      <c r="B209" s="291" t="n">
        <v>1</v>
      </c>
      <c r="C209" s="228" t="n">
        <v>2</v>
      </c>
      <c r="D209" s="212" t="n">
        <v>-246524.07</v>
      </c>
      <c r="E209" s="212" t="n"/>
    </row>
    <row r="210">
      <c r="A210" s="348" t="inlineStr">
        <is>
          <t>VICTOIRE</t>
        </is>
      </c>
      <c r="B210" s="291" t="n">
        <v>1</v>
      </c>
      <c r="C210" s="228" t="n">
        <v>3</v>
      </c>
      <c r="D210" s="212" t="n">
        <v>51504.92</v>
      </c>
      <c r="E210" s="212" t="n"/>
    </row>
    <row r="211">
      <c r="A211" s="348" t="inlineStr">
        <is>
          <t>VICTOIRE</t>
        </is>
      </c>
      <c r="B211" s="291" t="n">
        <v>1</v>
      </c>
      <c r="C211" s="228" t="n">
        <v>4</v>
      </c>
      <c r="D211" s="212" t="n">
        <v>1422.71</v>
      </c>
      <c r="E211" s="212" t="n"/>
    </row>
    <row r="212">
      <c r="A212" s="348" t="inlineStr">
        <is>
          <t>VICTOIRE</t>
        </is>
      </c>
      <c r="B212" s="291" t="n">
        <v>1</v>
      </c>
      <c r="C212" s="228" t="n">
        <v>5</v>
      </c>
      <c r="D212" s="212" t="n">
        <v>1576.58</v>
      </c>
      <c r="E212" s="212" t="n"/>
    </row>
    <row r="213">
      <c r="A213" s="348" t="inlineStr">
        <is>
          <t>VICTOIRE</t>
        </is>
      </c>
      <c r="B213" s="291" t="n">
        <v>1</v>
      </c>
      <c r="C213" s="228" t="n">
        <v>6</v>
      </c>
      <c r="D213" s="212" t="n">
        <v>4918.43</v>
      </c>
      <c r="E213" s="212" t="n"/>
    </row>
    <row r="214">
      <c r="A214" s="348" t="inlineStr">
        <is>
          <t>VICTOIRE</t>
        </is>
      </c>
      <c r="B214" s="291" t="n">
        <v>1</v>
      </c>
      <c r="C214" s="228" t="inlineStr">
        <is>
          <t>6.1</t>
        </is>
      </c>
      <c r="D214" s="212" t="n">
        <v>-82.48999999999999</v>
      </c>
      <c r="E214" s="212" t="n"/>
    </row>
    <row r="215">
      <c r="A215" s="348" t="inlineStr">
        <is>
          <t>VICTOIRE</t>
        </is>
      </c>
      <c r="B215" s="291" t="n">
        <v>1</v>
      </c>
      <c r="C215" s="228" t="n">
        <v>8</v>
      </c>
      <c r="D215" s="212" t="n">
        <v>35682.36</v>
      </c>
      <c r="E215" s="212" t="n"/>
    </row>
    <row r="216">
      <c r="A216" s="348" t="inlineStr">
        <is>
          <t>VICTOIRE</t>
        </is>
      </c>
      <c r="B216" s="291" t="n">
        <v>1</v>
      </c>
      <c r="C216" s="228" t="n">
        <v>9</v>
      </c>
      <c r="D216" s="212" t="n">
        <v>3798.85</v>
      </c>
      <c r="E216" s="212" t="n"/>
    </row>
    <row r="217">
      <c r="A217" s="348" t="inlineStr">
        <is>
          <t>VICTOIRE</t>
        </is>
      </c>
      <c r="B217" s="291" t="n">
        <v>1</v>
      </c>
      <c r="C217" s="228" t="n">
        <v>10</v>
      </c>
      <c r="D217" s="212" t="n">
        <v>21454.04</v>
      </c>
      <c r="E217" s="212" t="n"/>
    </row>
    <row r="218">
      <c r="A218" s="348" t="inlineStr">
        <is>
          <t>VICTOIRE</t>
        </is>
      </c>
      <c r="B218" s="291" t="n">
        <v>1</v>
      </c>
      <c r="C218" s="228" t="n">
        <v>11</v>
      </c>
      <c r="D218" s="212" t="n">
        <v>5237.35</v>
      </c>
      <c r="E218" s="212" t="n"/>
    </row>
    <row r="219">
      <c r="A219" s="348" t="inlineStr">
        <is>
          <t>VICTOIRE</t>
        </is>
      </c>
      <c r="B219" s="291" t="n">
        <v>1</v>
      </c>
      <c r="C219" s="228" t="n">
        <v>16</v>
      </c>
      <c r="D219" s="212" t="n">
        <v>57</v>
      </c>
      <c r="E219" s="212" t="n"/>
    </row>
    <row r="220">
      <c r="A220" s="348" t="inlineStr">
        <is>
          <t>VICTOIRE</t>
        </is>
      </c>
      <c r="B220" s="291" t="n">
        <v>1</v>
      </c>
      <c r="C220" s="228" t="n">
        <v>17</v>
      </c>
      <c r="D220" s="212" t="n">
        <v>2042.52</v>
      </c>
      <c r="E220" s="212" t="n"/>
    </row>
    <row r="221">
      <c r="A221" s="348" t="inlineStr">
        <is>
          <t>VICTOIRE</t>
        </is>
      </c>
      <c r="B221" s="291" t="n">
        <v>1</v>
      </c>
      <c r="C221" s="228" t="n">
        <v>18</v>
      </c>
      <c r="D221" s="212" t="n">
        <v>3331.04</v>
      </c>
      <c r="E221" s="212" t="n"/>
    </row>
    <row r="222">
      <c r="A222" s="348" t="inlineStr">
        <is>
          <t>VICTOIRE</t>
        </is>
      </c>
      <c r="B222" s="291" t="n">
        <v>1</v>
      </c>
      <c r="C222" s="228" t="n">
        <v>19</v>
      </c>
      <c r="D222" s="212" t="n">
        <v>8689.08</v>
      </c>
      <c r="E222" s="212" t="n"/>
    </row>
    <row r="223">
      <c r="A223" s="348" t="inlineStr">
        <is>
          <t>VICTOIRE</t>
        </is>
      </c>
      <c r="B223" s="291" t="n">
        <v>1</v>
      </c>
      <c r="C223" s="228" t="n">
        <v>22</v>
      </c>
      <c r="D223" s="212" t="n">
        <v>9870.25</v>
      </c>
      <c r="E223" s="212" t="n"/>
    </row>
    <row r="224">
      <c r="A224" s="348" t="inlineStr">
        <is>
          <t>VICTOIRE</t>
        </is>
      </c>
      <c r="B224" s="291" t="n">
        <v>1</v>
      </c>
      <c r="C224" s="228" t="n">
        <v>23</v>
      </c>
      <c r="D224" s="212" t="n">
        <v>5333.37</v>
      </c>
      <c r="E224" s="212" t="n"/>
    </row>
    <row r="225">
      <c r="A225" s="348" t="inlineStr">
        <is>
          <t>VICTOIRE</t>
        </is>
      </c>
      <c r="B225" s="291" t="n">
        <v>1</v>
      </c>
      <c r="C225" s="228" t="n">
        <v>24</v>
      </c>
      <c r="D225" s="212" t="n">
        <v>9078.49</v>
      </c>
      <c r="E225" s="212" t="n"/>
    </row>
    <row r="226">
      <c r="A226" s="348" t="inlineStr">
        <is>
          <t>VICTOIRE</t>
        </is>
      </c>
      <c r="B226" s="291" t="n">
        <v>1</v>
      </c>
      <c r="C226" s="228" t="n">
        <v>25</v>
      </c>
      <c r="D226" s="212" t="n">
        <v>2315.11</v>
      </c>
      <c r="E226" s="212" t="n"/>
    </row>
    <row r="227">
      <c r="A227" s="348" t="inlineStr">
        <is>
          <t>VICTOIRE</t>
        </is>
      </c>
      <c r="B227" s="291" t="n">
        <v>1</v>
      </c>
      <c r="C227" s="228" t="n">
        <v>26</v>
      </c>
      <c r="D227" s="212" t="n">
        <v>221.43</v>
      </c>
      <c r="E227" s="212" t="n"/>
    </row>
    <row r="228">
      <c r="A228" s="348" t="inlineStr">
        <is>
          <t>VICTOIRE</t>
        </is>
      </c>
      <c r="B228" s="291" t="n">
        <v>1</v>
      </c>
      <c r="C228" s="228" t="n">
        <v>27</v>
      </c>
      <c r="D228" s="212" t="n">
        <v>1222.55</v>
      </c>
      <c r="E228" s="212" t="n"/>
    </row>
    <row r="229">
      <c r="A229" s="348" t="inlineStr">
        <is>
          <t>VICTOIRE</t>
        </is>
      </c>
      <c r="B229" s="291" t="n">
        <v>1</v>
      </c>
      <c r="C229" s="228" t="n">
        <v>29</v>
      </c>
      <c r="D229" s="212" t="n">
        <v>31131.42</v>
      </c>
      <c r="E229" s="212" t="n"/>
    </row>
    <row r="230">
      <c r="A230" s="348" t="inlineStr">
        <is>
          <t>VICTOIRE</t>
        </is>
      </c>
      <c r="B230" s="291" t="n">
        <v>1</v>
      </c>
      <c r="C230" s="228" t="n">
        <v>31</v>
      </c>
      <c r="D230" s="212" t="n">
        <v>-401.63</v>
      </c>
      <c r="E230" s="212" t="n"/>
    </row>
    <row r="231">
      <c r="A231" s="348" t="inlineStr">
        <is>
          <t>VICTOIRE</t>
        </is>
      </c>
      <c r="B231" s="291" t="n">
        <v>1</v>
      </c>
      <c r="C231" s="228" t="n">
        <v>33</v>
      </c>
      <c r="D231" s="212" t="n">
        <v>301.08</v>
      </c>
      <c r="E231" s="212" t="n"/>
    </row>
    <row r="232">
      <c r="A232" s="348" t="inlineStr">
        <is>
          <t>VICTOIRE</t>
        </is>
      </c>
      <c r="B232" s="291" t="n">
        <v>1</v>
      </c>
      <c r="C232" s="228" t="n">
        <v>34</v>
      </c>
      <c r="D232" s="212" t="n">
        <v>12452.57</v>
      </c>
      <c r="E232" s="212" t="n"/>
    </row>
    <row r="233">
      <c r="A233" s="348" t="inlineStr">
        <is>
          <t>VICTOIRE</t>
        </is>
      </c>
      <c r="B233" s="291" t="n">
        <v>1</v>
      </c>
      <c r="C233" s="228" t="n">
        <v>35</v>
      </c>
      <c r="D233" s="212" t="n">
        <v>1302</v>
      </c>
      <c r="E233" s="212" t="n"/>
    </row>
    <row r="234">
      <c r="A234" s="348" t="inlineStr">
        <is>
          <t>VICTOIRE</t>
        </is>
      </c>
      <c r="B234" s="291" t="n">
        <v>1</v>
      </c>
      <c r="C234" s="228" t="n">
        <v>36</v>
      </c>
      <c r="D234" s="212" t="n">
        <v>1040</v>
      </c>
      <c r="E234" s="212" t="n"/>
    </row>
    <row r="235">
      <c r="A235" s="348" t="inlineStr">
        <is>
          <t>VICTOIRE</t>
        </is>
      </c>
      <c r="B235" s="291" t="n">
        <v>1</v>
      </c>
      <c r="C235" s="228" t="n">
        <v>37</v>
      </c>
      <c r="D235" s="212" t="n">
        <v>1671.7</v>
      </c>
      <c r="E235" s="212" t="n"/>
    </row>
    <row r="236">
      <c r="A236" s="348" t="inlineStr">
        <is>
          <t>VICTOIRE</t>
        </is>
      </c>
      <c r="B236" s="291" t="n">
        <v>1</v>
      </c>
      <c r="C236" s="228" t="n">
        <v>38</v>
      </c>
      <c r="D236" s="212" t="n">
        <v>6110</v>
      </c>
      <c r="E236" s="212" t="n"/>
    </row>
    <row r="237">
      <c r="A237" s="348" t="inlineStr">
        <is>
          <t>VICTOIRE</t>
        </is>
      </c>
      <c r="B237" s="291" t="n">
        <v>1</v>
      </c>
      <c r="C237" s="228" t="n">
        <v>40</v>
      </c>
      <c r="D237" s="212" t="n">
        <v>3209.12</v>
      </c>
      <c r="E237" s="212" t="n"/>
    </row>
    <row r="238">
      <c r="A238" s="348" t="inlineStr">
        <is>
          <t>VICTOIRE</t>
        </is>
      </c>
      <c r="B238" s="291" t="n">
        <v>1</v>
      </c>
      <c r="C238" s="228" t="n">
        <v>42</v>
      </c>
      <c r="D238" s="212" t="n">
        <v>23.7</v>
      </c>
      <c r="E238" s="212" t="n"/>
    </row>
    <row r="239">
      <c r="A239" s="348" t="inlineStr">
        <is>
          <t>VICTOIRE</t>
        </is>
      </c>
      <c r="B239" s="291" t="n">
        <v>1</v>
      </c>
      <c r="C239" s="228" t="n">
        <v>46</v>
      </c>
      <c r="D239" s="212" t="n">
        <v>17033</v>
      </c>
      <c r="E239" s="212" t="n"/>
    </row>
    <row r="240">
      <c r="A240" s="348" t="inlineStr">
        <is>
          <t>VICTOIRE</t>
        </is>
      </c>
      <c r="B240" s="291" t="n">
        <v>1</v>
      </c>
      <c r="C240" s="228" t="inlineStr">
        <is>
          <t>41.1</t>
        </is>
      </c>
      <c r="D240" s="212" t="n">
        <v>-2527.3</v>
      </c>
      <c r="E240" s="212" t="n"/>
    </row>
    <row r="241">
      <c r="A241" s="348" t="inlineStr">
        <is>
          <t>VICTOIRE</t>
        </is>
      </c>
      <c r="B241" s="291" t="n">
        <v>1</v>
      </c>
      <c r="C241" s="228" t="inlineStr">
        <is>
          <t>41.2</t>
        </is>
      </c>
      <c r="D241" s="212" t="n">
        <v>2458.47</v>
      </c>
      <c r="E241" s="212" t="n"/>
    </row>
    <row r="242">
      <c r="A242" s="348" t="inlineStr">
        <is>
          <t>VICTOIRE</t>
        </is>
      </c>
      <c r="B242" s="291" t="n">
        <v>1</v>
      </c>
      <c r="C242" s="228" t="e">
        <v>#N/A</v>
      </c>
      <c r="D242" s="212" t="n">
        <v>5046.35</v>
      </c>
      <c r="E242" s="212" t="n"/>
    </row>
    <row r="243">
      <c r="A243" s="348" t="inlineStr">
        <is>
          <t>TH4</t>
        </is>
      </c>
      <c r="B243" s="291" t="n">
        <v>1</v>
      </c>
      <c r="C243" s="228" t="n">
        <v>2</v>
      </c>
      <c r="D243" s="212" t="n">
        <v>-335149.37</v>
      </c>
      <c r="E243" s="212" t="n"/>
    </row>
    <row r="244">
      <c r="A244" s="348" t="inlineStr">
        <is>
          <t>TH4</t>
        </is>
      </c>
      <c r="B244" s="291" t="n">
        <v>1</v>
      </c>
      <c r="C244" s="228" t="n">
        <v>3</v>
      </c>
      <c r="D244" s="212" t="n">
        <v>73811.55</v>
      </c>
      <c r="E244" s="212" t="n"/>
    </row>
    <row r="245">
      <c r="A245" s="348" t="inlineStr">
        <is>
          <t>TH4</t>
        </is>
      </c>
      <c r="B245" s="291" t="n">
        <v>1</v>
      </c>
      <c r="C245" s="228" t="n">
        <v>4</v>
      </c>
      <c r="D245" s="212" t="n">
        <v>1373.44</v>
      </c>
      <c r="E245" s="212" t="n"/>
    </row>
    <row r="246">
      <c r="A246" s="348" t="inlineStr">
        <is>
          <t>TH4</t>
        </is>
      </c>
      <c r="B246" s="291" t="n">
        <v>1</v>
      </c>
      <c r="C246" s="228" t="n">
        <v>5</v>
      </c>
      <c r="D246" s="212" t="n">
        <v>2226.7</v>
      </c>
      <c r="E246" s="212" t="n"/>
    </row>
    <row r="247">
      <c r="A247" s="348" t="inlineStr">
        <is>
          <t>TH4</t>
        </is>
      </c>
      <c r="B247" s="291" t="n">
        <v>1</v>
      </c>
      <c r="C247" s="228" t="n">
        <v>6</v>
      </c>
      <c r="D247" s="212" t="n">
        <v>7311.17</v>
      </c>
      <c r="E247" s="212" t="n"/>
    </row>
    <row r="248">
      <c r="A248" s="348" t="inlineStr">
        <is>
          <t>TH4</t>
        </is>
      </c>
      <c r="B248" s="291" t="n">
        <v>1</v>
      </c>
      <c r="C248" s="228" t="inlineStr">
        <is>
          <t>6.1</t>
        </is>
      </c>
      <c r="D248" s="212" t="n">
        <v>564.77</v>
      </c>
      <c r="E248" s="212" t="n"/>
    </row>
    <row r="249">
      <c r="A249" s="348" t="inlineStr">
        <is>
          <t>TH4</t>
        </is>
      </c>
      <c r="B249" s="291" t="n">
        <v>1</v>
      </c>
      <c r="C249" s="228" t="n">
        <v>8</v>
      </c>
      <c r="D249" s="212" t="n">
        <v>49568.02</v>
      </c>
      <c r="E249" s="212" t="n"/>
    </row>
    <row r="250">
      <c r="A250" s="348" t="inlineStr">
        <is>
          <t>TH4</t>
        </is>
      </c>
      <c r="B250" s="291" t="n">
        <v>1</v>
      </c>
      <c r="C250" s="228" t="n">
        <v>9</v>
      </c>
      <c r="D250" s="212" t="n">
        <v>5728.4</v>
      </c>
      <c r="E250" s="212" t="n"/>
    </row>
    <row r="251">
      <c r="A251" s="348" t="inlineStr">
        <is>
          <t>TH4</t>
        </is>
      </c>
      <c r="B251" s="291" t="n">
        <v>1</v>
      </c>
      <c r="C251" s="228" t="n">
        <v>10</v>
      </c>
      <c r="D251" s="212" t="n">
        <v>21188.22</v>
      </c>
      <c r="E251" s="212" t="n"/>
    </row>
    <row r="252">
      <c r="A252" s="348" t="inlineStr">
        <is>
          <t>TH4</t>
        </is>
      </c>
      <c r="B252" s="291" t="n">
        <v>1</v>
      </c>
      <c r="C252" s="228" t="n">
        <v>11</v>
      </c>
      <c r="D252" s="212" t="n">
        <v>5110.61</v>
      </c>
      <c r="E252" s="212" t="n"/>
    </row>
    <row r="253">
      <c r="A253" s="348" t="inlineStr">
        <is>
          <t>TH4</t>
        </is>
      </c>
      <c r="B253" s="291" t="n">
        <v>1</v>
      </c>
      <c r="C253" s="228" t="n">
        <v>15</v>
      </c>
      <c r="D253" s="212" t="n">
        <v>549.17</v>
      </c>
      <c r="E253" s="212" t="n"/>
    </row>
    <row r="254">
      <c r="A254" s="348" t="inlineStr">
        <is>
          <t>TH4</t>
        </is>
      </c>
      <c r="B254" s="291" t="n">
        <v>1</v>
      </c>
      <c r="C254" s="228" t="n">
        <v>16</v>
      </c>
      <c r="D254" s="212" t="n">
        <v>591.3200000000001</v>
      </c>
      <c r="E254" s="212" t="n"/>
    </row>
    <row r="255">
      <c r="A255" s="348" t="inlineStr">
        <is>
          <t>TH4</t>
        </is>
      </c>
      <c r="B255" s="291" t="n">
        <v>1</v>
      </c>
      <c r="C255" s="228" t="n">
        <v>17</v>
      </c>
      <c r="D255" s="212" t="n">
        <v>2586.32</v>
      </c>
      <c r="E255" s="212" t="n"/>
    </row>
    <row r="256">
      <c r="A256" s="348" t="inlineStr">
        <is>
          <t>TH4</t>
        </is>
      </c>
      <c r="B256" s="291" t="n">
        <v>1</v>
      </c>
      <c r="C256" s="228" t="n">
        <v>18</v>
      </c>
      <c r="D256" s="212" t="n">
        <v>2795.93</v>
      </c>
      <c r="E256" s="212" t="n"/>
    </row>
    <row r="257">
      <c r="A257" s="348" t="inlineStr">
        <is>
          <t>TH4</t>
        </is>
      </c>
      <c r="B257" s="291" t="n">
        <v>1</v>
      </c>
      <c r="C257" s="228" t="n">
        <v>19</v>
      </c>
      <c r="D257" s="212" t="n">
        <v>6464.59</v>
      </c>
      <c r="E257" s="212" t="n"/>
    </row>
    <row r="258">
      <c r="A258" s="348" t="inlineStr">
        <is>
          <t>TH4</t>
        </is>
      </c>
      <c r="B258" s="291" t="n">
        <v>1</v>
      </c>
      <c r="C258" s="228" t="n">
        <v>22</v>
      </c>
      <c r="D258" s="212" t="n">
        <v>13394.96</v>
      </c>
      <c r="E258" s="212" t="n"/>
    </row>
    <row r="259">
      <c r="A259" s="348" t="inlineStr">
        <is>
          <t>TH4</t>
        </is>
      </c>
      <c r="B259" s="291" t="n">
        <v>1</v>
      </c>
      <c r="C259" s="228" t="n">
        <v>23</v>
      </c>
      <c r="D259" s="212" t="n">
        <v>7551.07</v>
      </c>
      <c r="E259" s="212" t="n"/>
    </row>
    <row r="260">
      <c r="A260" s="348" t="inlineStr">
        <is>
          <t>TH4</t>
        </is>
      </c>
      <c r="B260" s="291" t="n">
        <v>1</v>
      </c>
      <c r="C260" s="228" t="n">
        <v>24</v>
      </c>
      <c r="D260" s="212" t="n">
        <v>10821.79</v>
      </c>
      <c r="E260" s="212" t="n"/>
    </row>
    <row r="261">
      <c r="A261" s="348" t="inlineStr">
        <is>
          <t>TH4</t>
        </is>
      </c>
      <c r="B261" s="291" t="n">
        <v>1</v>
      </c>
      <c r="C261" s="228" t="n">
        <v>25</v>
      </c>
      <c r="D261" s="212" t="n">
        <v>2261.69</v>
      </c>
      <c r="E261" s="212" t="n"/>
    </row>
    <row r="262">
      <c r="A262" s="348" t="inlineStr">
        <is>
          <t>TH4</t>
        </is>
      </c>
      <c r="B262" s="291" t="n">
        <v>1</v>
      </c>
      <c r="C262" s="228" t="n">
        <v>26</v>
      </c>
      <c r="D262" s="212" t="n">
        <v>410.44</v>
      </c>
      <c r="E262" s="212" t="n"/>
    </row>
    <row r="263">
      <c r="A263" s="348" t="inlineStr">
        <is>
          <t>TH4</t>
        </is>
      </c>
      <c r="B263" s="291" t="n">
        <v>1</v>
      </c>
      <c r="C263" s="228" t="n">
        <v>27</v>
      </c>
      <c r="D263" s="212" t="n">
        <v>1070</v>
      </c>
      <c r="E263" s="212" t="n"/>
    </row>
    <row r="264">
      <c r="A264" s="348" t="inlineStr">
        <is>
          <t>TH4</t>
        </is>
      </c>
      <c r="B264" s="291" t="n">
        <v>1</v>
      </c>
      <c r="C264" s="228" t="n">
        <v>29</v>
      </c>
      <c r="D264" s="212" t="n">
        <v>47488.38</v>
      </c>
      <c r="E264" s="212" t="n"/>
    </row>
    <row r="265">
      <c r="A265" s="348" t="inlineStr">
        <is>
          <t>TH4</t>
        </is>
      </c>
      <c r="B265" s="291" t="n">
        <v>1</v>
      </c>
      <c r="C265" s="228" t="n">
        <v>31</v>
      </c>
      <c r="D265" s="212" t="n">
        <v>-839.85</v>
      </c>
      <c r="E265" s="212" t="n"/>
    </row>
    <row r="266">
      <c r="A266" s="348" t="inlineStr">
        <is>
          <t>TH4</t>
        </is>
      </c>
      <c r="B266" s="291" t="n">
        <v>1</v>
      </c>
      <c r="C266" s="228" t="n">
        <v>33</v>
      </c>
      <c r="D266" s="212" t="n">
        <v>550</v>
      </c>
      <c r="E266" s="212" t="n"/>
    </row>
    <row r="267">
      <c r="A267" s="348" t="inlineStr">
        <is>
          <t>TH4</t>
        </is>
      </c>
      <c r="B267" s="291" t="n">
        <v>1</v>
      </c>
      <c r="C267" s="228" t="n">
        <v>34</v>
      </c>
      <c r="D267" s="212" t="n">
        <v>16960.13</v>
      </c>
      <c r="E267" s="212" t="n"/>
    </row>
    <row r="268">
      <c r="A268" s="348" t="inlineStr">
        <is>
          <t>TH4</t>
        </is>
      </c>
      <c r="B268" s="291" t="n">
        <v>1</v>
      </c>
      <c r="C268" s="228" t="n">
        <v>35</v>
      </c>
      <c r="D268" s="212" t="n">
        <v>1439</v>
      </c>
      <c r="E268" s="212" t="n"/>
    </row>
    <row r="269">
      <c r="A269" s="348" t="inlineStr">
        <is>
          <t>TH4</t>
        </is>
      </c>
      <c r="B269" s="291" t="n">
        <v>1</v>
      </c>
      <c r="C269" s="228" t="n">
        <v>36</v>
      </c>
      <c r="D269" s="212" t="n">
        <v>1627.8</v>
      </c>
      <c r="E269" s="212" t="n"/>
    </row>
    <row r="270">
      <c r="A270" s="348" t="inlineStr">
        <is>
          <t>TH4</t>
        </is>
      </c>
      <c r="B270" s="291" t="n">
        <v>1</v>
      </c>
      <c r="C270" s="228" t="n">
        <v>37</v>
      </c>
      <c r="D270" s="212" t="n">
        <v>2711.8</v>
      </c>
      <c r="E270" s="212" t="n"/>
    </row>
    <row r="271">
      <c r="A271" s="348" t="inlineStr">
        <is>
          <t>TH4</t>
        </is>
      </c>
      <c r="B271" s="291" t="n">
        <v>1</v>
      </c>
      <c r="C271" s="228" t="n">
        <v>38</v>
      </c>
      <c r="D271" s="212" t="n">
        <v>12000</v>
      </c>
      <c r="E271" s="212" t="n"/>
    </row>
    <row r="272">
      <c r="A272" s="348" t="inlineStr">
        <is>
          <t>TH4</t>
        </is>
      </c>
      <c r="B272" s="291" t="n">
        <v>1</v>
      </c>
      <c r="C272" s="228" t="n">
        <v>40</v>
      </c>
      <c r="D272" s="212" t="n">
        <v>1113.97</v>
      </c>
      <c r="E272" s="212" t="n"/>
    </row>
    <row r="273">
      <c r="A273" s="348" t="inlineStr">
        <is>
          <t>TH4</t>
        </is>
      </c>
      <c r="B273" s="291" t="n">
        <v>1</v>
      </c>
      <c r="C273" s="228" t="n">
        <v>42</v>
      </c>
      <c r="D273" s="212" t="n">
        <v>30.11</v>
      </c>
      <c r="E273" s="212" t="n"/>
    </row>
    <row r="274">
      <c r="A274" s="348" t="inlineStr">
        <is>
          <t>TH4</t>
        </is>
      </c>
      <c r="B274" s="291" t="n">
        <v>1</v>
      </c>
      <c r="C274" s="228" t="n">
        <v>46</v>
      </c>
      <c r="D274" s="212" t="n">
        <v>21233.33</v>
      </c>
      <c r="E274" s="212" t="n"/>
    </row>
    <row r="275">
      <c r="A275" s="348" t="inlineStr">
        <is>
          <t>TH4</t>
        </is>
      </c>
      <c r="B275" s="291" t="n">
        <v>1</v>
      </c>
      <c r="C275" s="228" t="inlineStr">
        <is>
          <t>41.1</t>
        </is>
      </c>
      <c r="D275" s="212" t="n">
        <v>-4053.31</v>
      </c>
      <c r="E275" s="212" t="n"/>
    </row>
    <row r="276">
      <c r="A276" s="348" t="inlineStr">
        <is>
          <t>TH4</t>
        </is>
      </c>
      <c r="B276" s="291" t="n">
        <v>1</v>
      </c>
      <c r="C276" s="228" t="inlineStr">
        <is>
          <t>41.2</t>
        </is>
      </c>
      <c r="D276" s="212" t="n">
        <v>4503.93</v>
      </c>
      <c r="E276" s="212" t="n"/>
    </row>
    <row r="277">
      <c r="A277" s="348" t="inlineStr">
        <is>
          <t>TH4</t>
        </is>
      </c>
      <c r="B277" s="291" t="n">
        <v>1</v>
      </c>
      <c r="C277" s="228" t="e">
        <v>#N/A</v>
      </c>
      <c r="D277" s="212" t="n">
        <v>15003.92</v>
      </c>
      <c r="E277" s="212" t="n"/>
    </row>
    <row r="278">
      <c r="A278" s="348" t="inlineStr">
        <is>
          <t>DIVES</t>
        </is>
      </c>
      <c r="B278" s="291" t="n">
        <v>1</v>
      </c>
      <c r="C278" s="228" t="n">
        <v>2</v>
      </c>
      <c r="D278" s="212" t="n">
        <v>-232055.39</v>
      </c>
      <c r="E278" s="212" t="n"/>
    </row>
    <row r="279">
      <c r="A279" s="348" t="inlineStr">
        <is>
          <t>DIVES</t>
        </is>
      </c>
      <c r="B279" s="291" t="n">
        <v>1</v>
      </c>
      <c r="C279" s="228" t="n">
        <v>3</v>
      </c>
      <c r="D279" s="212" t="n">
        <v>52458.81</v>
      </c>
      <c r="E279" s="212" t="n"/>
    </row>
    <row r="280">
      <c r="A280" s="348" t="inlineStr">
        <is>
          <t>DIVES</t>
        </is>
      </c>
      <c r="B280" s="291" t="n">
        <v>1</v>
      </c>
      <c r="C280" s="228" t="n">
        <v>4</v>
      </c>
      <c r="D280" s="212" t="n">
        <v>854.89</v>
      </c>
      <c r="E280" s="212" t="n"/>
    </row>
    <row r="281">
      <c r="A281" s="348" t="inlineStr">
        <is>
          <t>DIVES</t>
        </is>
      </c>
      <c r="B281" s="291" t="n">
        <v>1</v>
      </c>
      <c r="C281" s="228" t="n">
        <v>5</v>
      </c>
      <c r="D281" s="212" t="n">
        <v>1092.3</v>
      </c>
      <c r="E281" s="212" t="n"/>
    </row>
    <row r="282">
      <c r="A282" s="348" t="inlineStr">
        <is>
          <t>DIVES</t>
        </is>
      </c>
      <c r="B282" s="291" t="n">
        <v>1</v>
      </c>
      <c r="C282" s="228" t="n">
        <v>6</v>
      </c>
      <c r="D282" s="212" t="n">
        <v>5484.25</v>
      </c>
      <c r="E282" s="212" t="n"/>
    </row>
    <row r="283">
      <c r="A283" s="348" t="inlineStr">
        <is>
          <t>DIVES</t>
        </is>
      </c>
      <c r="B283" s="291" t="n">
        <v>1</v>
      </c>
      <c r="C283" s="228" t="inlineStr">
        <is>
          <t>6.1</t>
        </is>
      </c>
      <c r="D283" s="212" t="n">
        <v>805.1799999999999</v>
      </c>
      <c r="E283" s="212" t="n"/>
    </row>
    <row r="284">
      <c r="A284" s="348" t="inlineStr">
        <is>
          <t>DIVES</t>
        </is>
      </c>
      <c r="B284" s="291" t="n">
        <v>1</v>
      </c>
      <c r="C284" s="228" t="n">
        <v>8</v>
      </c>
      <c r="D284" s="212" t="n">
        <v>37599.2</v>
      </c>
      <c r="E284" s="212" t="n"/>
    </row>
    <row r="285">
      <c r="A285" s="348" t="inlineStr">
        <is>
          <t>DIVES</t>
        </is>
      </c>
      <c r="B285" s="291" t="n">
        <v>1</v>
      </c>
      <c r="C285" s="228" t="n">
        <v>9</v>
      </c>
      <c r="D285" s="212" t="n">
        <v>4206.49</v>
      </c>
      <c r="E285" s="212" t="n"/>
    </row>
    <row r="286">
      <c r="A286" s="348" t="inlineStr">
        <is>
          <t>DIVES</t>
        </is>
      </c>
      <c r="B286" s="291" t="n">
        <v>1</v>
      </c>
      <c r="C286" s="228" t="n">
        <v>10</v>
      </c>
      <c r="D286" s="212" t="n">
        <v>15344.28</v>
      </c>
      <c r="E286" s="212" t="n"/>
    </row>
    <row r="287">
      <c r="A287" s="348" t="inlineStr">
        <is>
          <t>DIVES</t>
        </is>
      </c>
      <c r="B287" s="291" t="n">
        <v>1</v>
      </c>
      <c r="C287" s="228" t="n">
        <v>11</v>
      </c>
      <c r="D287" s="212" t="n">
        <v>4070.07</v>
      </c>
      <c r="E287" s="212" t="n"/>
    </row>
    <row r="288">
      <c r="A288" s="348" t="inlineStr">
        <is>
          <t>DIVES</t>
        </is>
      </c>
      <c r="B288" s="291" t="n">
        <v>1</v>
      </c>
      <c r="C288" s="228" t="n">
        <v>15</v>
      </c>
      <c r="D288" s="212" t="n">
        <v>3290</v>
      </c>
      <c r="E288" s="212" t="n"/>
    </row>
    <row r="289">
      <c r="A289" s="348" t="inlineStr">
        <is>
          <t>DIVES</t>
        </is>
      </c>
      <c r="B289" s="291" t="n">
        <v>1</v>
      </c>
      <c r="C289" s="228" t="n">
        <v>16</v>
      </c>
      <c r="D289" s="212" t="n">
        <v>562.13</v>
      </c>
      <c r="E289" s="212" t="n"/>
    </row>
    <row r="290">
      <c r="A290" s="348" t="inlineStr">
        <is>
          <t>DIVES</t>
        </is>
      </c>
      <c r="B290" s="291" t="n">
        <v>1</v>
      </c>
      <c r="C290" s="228" t="n">
        <v>17</v>
      </c>
      <c r="D290" s="212" t="n">
        <v>2239.54</v>
      </c>
      <c r="E290" s="212" t="n"/>
    </row>
    <row r="291">
      <c r="A291" s="348" t="inlineStr">
        <is>
          <t>DIVES</t>
        </is>
      </c>
      <c r="B291" s="291" t="n">
        <v>1</v>
      </c>
      <c r="C291" s="228" t="n">
        <v>18</v>
      </c>
      <c r="D291" s="212" t="n">
        <v>2581.67</v>
      </c>
      <c r="E291" s="212" t="n"/>
    </row>
    <row r="292">
      <c r="A292" s="348" t="inlineStr">
        <is>
          <t>DIVES</t>
        </is>
      </c>
      <c r="B292" s="291" t="n">
        <v>1</v>
      </c>
      <c r="C292" s="228" t="n">
        <v>19</v>
      </c>
      <c r="D292" s="212" t="n">
        <v>7111.06</v>
      </c>
      <c r="E292" s="212" t="n"/>
    </row>
    <row r="293">
      <c r="A293" s="348" t="inlineStr">
        <is>
          <t>DIVES</t>
        </is>
      </c>
      <c r="B293" s="291" t="n">
        <v>1</v>
      </c>
      <c r="C293" s="228" t="n">
        <v>22</v>
      </c>
      <c r="D293" s="212" t="n">
        <v>9273.610000000001</v>
      </c>
      <c r="E293" s="212" t="n"/>
    </row>
    <row r="294">
      <c r="A294" s="348" t="inlineStr">
        <is>
          <t>DIVES</t>
        </is>
      </c>
      <c r="B294" s="291" t="n">
        <v>1</v>
      </c>
      <c r="C294" s="228" t="n">
        <v>23</v>
      </c>
      <c r="D294" s="212" t="n">
        <v>5320.34</v>
      </c>
      <c r="E294" s="212" t="n"/>
    </row>
    <row r="295">
      <c r="A295" s="348" t="inlineStr">
        <is>
          <t>DIVES</t>
        </is>
      </c>
      <c r="B295" s="291" t="n">
        <v>1</v>
      </c>
      <c r="C295" s="228" t="n">
        <v>24</v>
      </c>
      <c r="D295" s="212" t="n">
        <v>9487.799999999999</v>
      </c>
      <c r="E295" s="212" t="n"/>
    </row>
    <row r="296">
      <c r="A296" s="348" t="inlineStr">
        <is>
          <t>DIVES</t>
        </is>
      </c>
      <c r="B296" s="291" t="n">
        <v>1</v>
      </c>
      <c r="C296" s="228" t="n">
        <v>25</v>
      </c>
      <c r="D296" s="212" t="n">
        <v>2205.36</v>
      </c>
      <c r="E296" s="212" t="n"/>
    </row>
    <row r="297">
      <c r="A297" s="348" t="inlineStr">
        <is>
          <t>DIVES</t>
        </is>
      </c>
      <c r="B297" s="291" t="n">
        <v>1</v>
      </c>
      <c r="C297" s="228" t="n">
        <v>26</v>
      </c>
      <c r="D297" s="212" t="n">
        <v>440.22</v>
      </c>
      <c r="E297" s="212" t="n"/>
    </row>
    <row r="298">
      <c r="A298" s="348" t="inlineStr">
        <is>
          <t>DIVES</t>
        </is>
      </c>
      <c r="B298" s="291" t="n">
        <v>1</v>
      </c>
      <c r="C298" s="228" t="n">
        <v>27</v>
      </c>
      <c r="D298" s="212" t="n">
        <v>906.98</v>
      </c>
      <c r="E298" s="212" t="n"/>
    </row>
    <row r="299">
      <c r="A299" s="348" t="inlineStr">
        <is>
          <t>DIVES</t>
        </is>
      </c>
      <c r="B299" s="291" t="n">
        <v>1</v>
      </c>
      <c r="C299" s="228" t="n">
        <v>29</v>
      </c>
      <c r="D299" s="212" t="n">
        <v>30449.45</v>
      </c>
      <c r="E299" s="212" t="n"/>
    </row>
    <row r="300">
      <c r="A300" s="348" t="inlineStr">
        <is>
          <t>DIVES</t>
        </is>
      </c>
      <c r="B300" s="291" t="n">
        <v>1</v>
      </c>
      <c r="C300" s="228" t="n">
        <v>31</v>
      </c>
      <c r="D300" s="212" t="n">
        <v>-429.57</v>
      </c>
      <c r="E300" s="212" t="n"/>
    </row>
    <row r="301">
      <c r="A301" s="348" t="inlineStr">
        <is>
          <t>DIVES</t>
        </is>
      </c>
      <c r="B301" s="291" t="n">
        <v>1</v>
      </c>
      <c r="C301" s="228" t="n">
        <v>33</v>
      </c>
      <c r="D301" s="212" t="n">
        <v>520</v>
      </c>
      <c r="E301" s="212" t="n"/>
    </row>
    <row r="302">
      <c r="A302" s="348" t="inlineStr">
        <is>
          <t>DIVES</t>
        </is>
      </c>
      <c r="B302" s="291" t="n">
        <v>1</v>
      </c>
      <c r="C302" s="228" t="n">
        <v>34</v>
      </c>
      <c r="D302" s="212" t="n">
        <v>11711.33</v>
      </c>
      <c r="E302" s="212" t="n"/>
    </row>
    <row r="303">
      <c r="A303" s="348" t="inlineStr">
        <is>
          <t>DIVES</t>
        </is>
      </c>
      <c r="B303" s="291" t="n">
        <v>1</v>
      </c>
      <c r="C303" s="228" t="n">
        <v>35</v>
      </c>
      <c r="D303" s="212" t="n">
        <v>1006.5</v>
      </c>
      <c r="E303" s="212" t="n"/>
    </row>
    <row r="304">
      <c r="A304" s="348" t="inlineStr">
        <is>
          <t>DIVES</t>
        </is>
      </c>
      <c r="B304" s="291" t="n">
        <v>1</v>
      </c>
      <c r="C304" s="228" t="n">
        <v>36</v>
      </c>
      <c r="D304" s="212" t="n">
        <v>1812.54</v>
      </c>
      <c r="E304" s="212" t="n"/>
    </row>
    <row r="305">
      <c r="A305" s="348" t="inlineStr">
        <is>
          <t>DIVES</t>
        </is>
      </c>
      <c r="B305" s="291" t="n">
        <v>1</v>
      </c>
      <c r="C305" s="228" t="n">
        <v>37</v>
      </c>
      <c r="D305" s="212" t="n">
        <v>3450.96</v>
      </c>
      <c r="E305" s="212" t="n"/>
    </row>
    <row r="306">
      <c r="A306" s="348" t="inlineStr">
        <is>
          <t>DIVES</t>
        </is>
      </c>
      <c r="B306" s="291" t="n">
        <v>1</v>
      </c>
      <c r="C306" s="228" t="n">
        <v>38</v>
      </c>
      <c r="D306" s="212" t="n">
        <v>11000</v>
      </c>
      <c r="E306" s="212" t="n"/>
    </row>
    <row r="307">
      <c r="A307" s="348" t="inlineStr">
        <is>
          <t>DIVES</t>
        </is>
      </c>
      <c r="B307" s="291" t="n">
        <v>1</v>
      </c>
      <c r="C307" s="228" t="n">
        <v>40</v>
      </c>
      <c r="D307" s="212" t="n">
        <v>4513.42</v>
      </c>
      <c r="E307" s="212" t="n"/>
    </row>
    <row r="308">
      <c r="A308" s="348" t="inlineStr">
        <is>
          <t>DIVES</t>
        </is>
      </c>
      <c r="B308" s="291" t="n">
        <v>1</v>
      </c>
      <c r="C308" s="228" t="n">
        <v>42</v>
      </c>
      <c r="D308" s="212" t="n">
        <v>16.37</v>
      </c>
      <c r="E308" s="212" t="n"/>
    </row>
    <row r="309">
      <c r="A309" s="348" t="inlineStr">
        <is>
          <t>DIVES</t>
        </is>
      </c>
      <c r="B309" s="291" t="n">
        <v>1</v>
      </c>
      <c r="C309" s="228" t="n">
        <v>46</v>
      </c>
      <c r="D309" s="212" t="n">
        <v>18233.33</v>
      </c>
      <c r="E309" s="212" t="n"/>
    </row>
    <row r="310">
      <c r="A310" s="348" t="inlineStr">
        <is>
          <t>DIVES</t>
        </is>
      </c>
      <c r="B310" s="291" t="n">
        <v>1</v>
      </c>
      <c r="C310" s="228" t="inlineStr">
        <is>
          <t>41.1</t>
        </is>
      </c>
      <c r="D310" s="212" t="n">
        <v>-2171.15</v>
      </c>
      <c r="E310" s="212" t="n"/>
    </row>
    <row r="311">
      <c r="A311" s="348" t="inlineStr">
        <is>
          <t>DIVES</t>
        </is>
      </c>
      <c r="B311" s="291" t="n">
        <v>1</v>
      </c>
      <c r="C311" s="228" t="inlineStr">
        <is>
          <t>41.2</t>
        </is>
      </c>
      <c r="D311" s="212" t="n">
        <v>2747.77</v>
      </c>
      <c r="E311" s="212" t="n"/>
    </row>
    <row r="312">
      <c r="A312" s="348" t="inlineStr">
        <is>
          <t>DIVES</t>
        </is>
      </c>
      <c r="B312" s="291" t="n">
        <v>1</v>
      </c>
      <c r="C312" s="228" t="e">
        <v>#N/A</v>
      </c>
      <c r="D312" s="212" t="n">
        <v>-30900.01</v>
      </c>
      <c r="E312" s="212" t="n"/>
    </row>
    <row r="313">
      <c r="A313" s="348" t="inlineStr">
        <is>
          <t>R314</t>
        </is>
      </c>
      <c r="B313" s="291" t="n">
        <v>1</v>
      </c>
      <c r="C313" s="228" t="n">
        <v>2</v>
      </c>
      <c r="D313" s="212" t="n">
        <v>-360434.46</v>
      </c>
      <c r="E313" s="212" t="n"/>
    </row>
    <row r="314">
      <c r="A314" s="348" t="inlineStr">
        <is>
          <t>R314</t>
        </is>
      </c>
      <c r="B314" s="291" t="n">
        <v>1</v>
      </c>
      <c r="C314" s="228" t="n">
        <v>3</v>
      </c>
      <c r="D314" s="212" t="n">
        <v>77642.28999999999</v>
      </c>
      <c r="E314" s="212" t="n"/>
    </row>
    <row r="315">
      <c r="A315" s="348" t="inlineStr">
        <is>
          <t>R314</t>
        </is>
      </c>
      <c r="B315" s="291" t="n">
        <v>1</v>
      </c>
      <c r="C315" s="228" t="n">
        <v>4</v>
      </c>
      <c r="D315" s="212" t="n">
        <v>1865.61</v>
      </c>
      <c r="E315" s="212" t="n"/>
    </row>
    <row r="316">
      <c r="A316" s="348" t="inlineStr">
        <is>
          <t>R314</t>
        </is>
      </c>
      <c r="B316" s="291" t="n">
        <v>1</v>
      </c>
      <c r="C316" s="228" t="n">
        <v>5</v>
      </c>
      <c r="D316" s="212" t="n">
        <v>1980.99</v>
      </c>
      <c r="E316" s="212" t="n"/>
    </row>
    <row r="317">
      <c r="A317" s="348" t="inlineStr">
        <is>
          <t>R314</t>
        </is>
      </c>
      <c r="B317" s="291" t="n">
        <v>1</v>
      </c>
      <c r="C317" s="228" t="n">
        <v>6</v>
      </c>
      <c r="D317" s="212" t="n">
        <v>8207.690000000001</v>
      </c>
      <c r="E317" s="212" t="n"/>
    </row>
    <row r="318">
      <c r="A318" s="348" t="inlineStr">
        <is>
          <t>R314</t>
        </is>
      </c>
      <c r="B318" s="291" t="n">
        <v>1</v>
      </c>
      <c r="C318" s="228" t="inlineStr">
        <is>
          <t>6.1</t>
        </is>
      </c>
      <c r="D318" s="212" t="n">
        <v>47.57</v>
      </c>
      <c r="E318" s="212" t="n"/>
    </row>
    <row r="319">
      <c r="A319" s="348" t="inlineStr">
        <is>
          <t>R314</t>
        </is>
      </c>
      <c r="B319" s="291" t="n">
        <v>1</v>
      </c>
      <c r="C319" s="228" t="n">
        <v>8</v>
      </c>
      <c r="D319" s="212" t="n">
        <v>48977.82</v>
      </c>
      <c r="E319" s="212" t="n"/>
    </row>
    <row r="320">
      <c r="A320" s="348" t="inlineStr">
        <is>
          <t>R314</t>
        </is>
      </c>
      <c r="B320" s="291" t="n">
        <v>1</v>
      </c>
      <c r="C320" s="228" t="n">
        <v>9</v>
      </c>
      <c r="D320" s="212" t="n">
        <v>5723.62</v>
      </c>
      <c r="E320" s="212" t="n"/>
    </row>
    <row r="321">
      <c r="A321" s="348" t="inlineStr">
        <is>
          <t>R314</t>
        </is>
      </c>
      <c r="B321" s="291" t="n">
        <v>1</v>
      </c>
      <c r="C321" s="228" t="n">
        <v>10</v>
      </c>
      <c r="D321" s="212" t="n">
        <v>17075.28</v>
      </c>
      <c r="E321" s="212" t="n"/>
    </row>
    <row r="322">
      <c r="A322" s="348" t="inlineStr">
        <is>
          <t>R314</t>
        </is>
      </c>
      <c r="B322" s="291" t="n">
        <v>1</v>
      </c>
      <c r="C322" s="228" t="n">
        <v>11</v>
      </c>
      <c r="D322" s="212" t="n">
        <v>4031.72</v>
      </c>
      <c r="E322" s="212" t="n"/>
    </row>
    <row r="323">
      <c r="A323" s="348" t="inlineStr">
        <is>
          <t>R314</t>
        </is>
      </c>
      <c r="B323" s="291" t="n">
        <v>1</v>
      </c>
      <c r="C323" s="228" t="n">
        <v>15</v>
      </c>
      <c r="D323" s="212" t="n">
        <v>7577.01</v>
      </c>
      <c r="E323" s="212" t="n"/>
    </row>
    <row r="324">
      <c r="A324" s="348" t="inlineStr">
        <is>
          <t>R314</t>
        </is>
      </c>
      <c r="B324" s="291" t="n">
        <v>1</v>
      </c>
      <c r="C324" s="228" t="n">
        <v>16</v>
      </c>
      <c r="D324" s="212" t="n">
        <v>550.11</v>
      </c>
      <c r="E324" s="212" t="n"/>
    </row>
    <row r="325">
      <c r="A325" s="348" t="inlineStr">
        <is>
          <t>R314</t>
        </is>
      </c>
      <c r="B325" s="291" t="n">
        <v>1</v>
      </c>
      <c r="C325" s="228" t="n">
        <v>17</v>
      </c>
      <c r="D325" s="212" t="n">
        <v>2472.01</v>
      </c>
      <c r="E325" s="212" t="n"/>
    </row>
    <row r="326">
      <c r="A326" s="348" t="inlineStr">
        <is>
          <t>R314</t>
        </is>
      </c>
      <c r="B326" s="291" t="n">
        <v>1</v>
      </c>
      <c r="C326" s="228" t="n">
        <v>18</v>
      </c>
      <c r="D326" s="212" t="n">
        <v>2091.7</v>
      </c>
      <c r="E326" s="212" t="n"/>
    </row>
    <row r="327">
      <c r="A327" s="348" t="inlineStr">
        <is>
          <t>R314</t>
        </is>
      </c>
      <c r="B327" s="291" t="n">
        <v>1</v>
      </c>
      <c r="C327" s="228" t="n">
        <v>19</v>
      </c>
      <c r="D327" s="212" t="n">
        <v>8876.190000000001</v>
      </c>
      <c r="E327" s="212" t="n"/>
    </row>
    <row r="328">
      <c r="A328" s="348" t="inlineStr">
        <is>
          <t>R314</t>
        </is>
      </c>
      <c r="B328" s="291" t="n">
        <v>1</v>
      </c>
      <c r="C328" s="228" t="n">
        <v>21</v>
      </c>
      <c r="D328" s="212" t="n">
        <v>2698.52</v>
      </c>
      <c r="E328" s="212" t="n"/>
    </row>
    <row r="329">
      <c r="A329" s="348" t="inlineStr">
        <is>
          <t>R314</t>
        </is>
      </c>
      <c r="B329" s="291" t="n">
        <v>1</v>
      </c>
      <c r="C329" s="228" t="n">
        <v>22</v>
      </c>
      <c r="D329" s="212" t="n">
        <v>14424.79</v>
      </c>
      <c r="E329" s="212" t="n"/>
    </row>
    <row r="330">
      <c r="A330" s="348" t="inlineStr">
        <is>
          <t>R314</t>
        </is>
      </c>
      <c r="B330" s="291" t="n">
        <v>1</v>
      </c>
      <c r="C330" s="228" t="n">
        <v>23</v>
      </c>
      <c r="D330" s="212" t="n">
        <v>4748.97</v>
      </c>
      <c r="E330" s="212" t="n"/>
    </row>
    <row r="331">
      <c r="A331" s="348" t="inlineStr">
        <is>
          <t>R314</t>
        </is>
      </c>
      <c r="B331" s="291" t="n">
        <v>1</v>
      </c>
      <c r="C331" s="228" t="n">
        <v>24</v>
      </c>
      <c r="D331" s="212" t="n">
        <v>12410.8</v>
      </c>
      <c r="E331" s="212" t="n"/>
    </row>
    <row r="332">
      <c r="A332" s="348" t="inlineStr">
        <is>
          <t>R314</t>
        </is>
      </c>
      <c r="B332" s="291" t="n">
        <v>1</v>
      </c>
      <c r="C332" s="228" t="n">
        <v>25</v>
      </c>
      <c r="D332" s="212" t="n">
        <v>3228.94</v>
      </c>
      <c r="E332" s="212" t="n"/>
    </row>
    <row r="333">
      <c r="A333" s="348" t="inlineStr">
        <is>
          <t>R314</t>
        </is>
      </c>
      <c r="B333" s="291" t="n">
        <v>1</v>
      </c>
      <c r="C333" s="228" t="n">
        <v>26</v>
      </c>
      <c r="D333" s="212" t="n">
        <v>52.96</v>
      </c>
      <c r="E333" s="212" t="n"/>
    </row>
    <row r="334">
      <c r="A334" s="348" t="inlineStr">
        <is>
          <t>R314</t>
        </is>
      </c>
      <c r="B334" s="291" t="n">
        <v>1</v>
      </c>
      <c r="C334" s="228" t="n">
        <v>27</v>
      </c>
      <c r="D334" s="212" t="n">
        <v>924.22</v>
      </c>
      <c r="E334" s="212" t="n"/>
    </row>
    <row r="335">
      <c r="A335" s="348" t="inlineStr">
        <is>
          <t>R314</t>
        </is>
      </c>
      <c r="B335" s="291" t="n">
        <v>1</v>
      </c>
      <c r="C335" s="228" t="n">
        <v>29</v>
      </c>
      <c r="D335" s="212" t="n">
        <v>60005.91</v>
      </c>
      <c r="E335" s="212" t="n"/>
    </row>
    <row r="336">
      <c r="A336" s="348" t="inlineStr">
        <is>
          <t>R314</t>
        </is>
      </c>
      <c r="B336" s="291" t="n">
        <v>1</v>
      </c>
      <c r="C336" s="228" t="n">
        <v>31</v>
      </c>
      <c r="D336" s="212" t="n">
        <v>-833.8</v>
      </c>
      <c r="E336" s="212" t="n"/>
    </row>
    <row r="337">
      <c r="A337" s="348" t="inlineStr">
        <is>
          <t>R314</t>
        </is>
      </c>
      <c r="B337" s="291" t="n">
        <v>1</v>
      </c>
      <c r="C337" s="228" t="n">
        <v>33</v>
      </c>
      <c r="D337" s="212" t="n">
        <v>350</v>
      </c>
      <c r="E337" s="212" t="n"/>
    </row>
    <row r="338">
      <c r="A338" s="348" t="inlineStr">
        <is>
          <t>R314</t>
        </is>
      </c>
      <c r="B338" s="291" t="n">
        <v>1</v>
      </c>
      <c r="C338" s="228" t="n">
        <v>34</v>
      </c>
      <c r="D338" s="212" t="n">
        <v>18183.61</v>
      </c>
      <c r="E338" s="212" t="n"/>
    </row>
    <row r="339">
      <c r="A339" s="348" t="inlineStr">
        <is>
          <t>R314</t>
        </is>
      </c>
      <c r="B339" s="291" t="n">
        <v>1</v>
      </c>
      <c r="C339" s="228" t="n">
        <v>35</v>
      </c>
      <c r="D339" s="212" t="n">
        <v>1436</v>
      </c>
      <c r="E339" s="212" t="n"/>
    </row>
    <row r="340">
      <c r="A340" s="348" t="inlineStr">
        <is>
          <t>R314</t>
        </is>
      </c>
      <c r="B340" s="291" t="n">
        <v>1</v>
      </c>
      <c r="C340" s="228" t="n">
        <v>36</v>
      </c>
      <c r="D340" s="212" t="n">
        <v>1728.8</v>
      </c>
      <c r="E340" s="212" t="n"/>
    </row>
    <row r="341">
      <c r="A341" s="348" t="inlineStr">
        <is>
          <t>R314</t>
        </is>
      </c>
      <c r="B341" s="291" t="n">
        <v>1</v>
      </c>
      <c r="C341" s="228" t="n">
        <v>37</v>
      </c>
      <c r="D341" s="212" t="n">
        <v>4717.59</v>
      </c>
      <c r="E341" s="212" t="n"/>
    </row>
    <row r="342">
      <c r="A342" s="348" t="inlineStr">
        <is>
          <t>R314</t>
        </is>
      </c>
      <c r="B342" s="291" t="n">
        <v>1</v>
      </c>
      <c r="C342" s="228" t="n">
        <v>38</v>
      </c>
      <c r="D342" s="212" t="n">
        <v>22504</v>
      </c>
      <c r="E342" s="212" t="n"/>
    </row>
    <row r="343">
      <c r="A343" s="348" t="inlineStr">
        <is>
          <t>R314</t>
        </is>
      </c>
      <c r="B343" s="291" t="n">
        <v>1</v>
      </c>
      <c r="C343" s="228" t="n">
        <v>39</v>
      </c>
      <c r="D343" s="212" t="n">
        <v>0</v>
      </c>
      <c r="E343" s="212" t="n"/>
    </row>
    <row r="344">
      <c r="A344" s="348" t="inlineStr">
        <is>
          <t>R314</t>
        </is>
      </c>
      <c r="B344" s="291" t="n">
        <v>1</v>
      </c>
      <c r="C344" s="228" t="n">
        <v>40</v>
      </c>
      <c r="D344" s="212" t="n">
        <v>4940.41</v>
      </c>
      <c r="E344" s="212" t="n"/>
    </row>
    <row r="345">
      <c r="A345" s="348" t="inlineStr">
        <is>
          <t>R314</t>
        </is>
      </c>
      <c r="B345" s="291" t="n">
        <v>1</v>
      </c>
      <c r="C345" s="228" t="n">
        <v>42</v>
      </c>
      <c r="D345" s="212" t="n">
        <v>406.58</v>
      </c>
      <c r="E345" s="212" t="n"/>
    </row>
    <row r="346">
      <c r="A346" s="348" t="inlineStr">
        <is>
          <t>R314</t>
        </is>
      </c>
      <c r="B346" s="291" t="n">
        <v>1</v>
      </c>
      <c r="C346" s="228" t="n">
        <v>46</v>
      </c>
      <c r="D346" s="212" t="n">
        <v>25533.33</v>
      </c>
      <c r="E346" s="212" t="n"/>
    </row>
    <row r="347">
      <c r="A347" s="348" t="inlineStr">
        <is>
          <t>R314</t>
        </is>
      </c>
      <c r="B347" s="291" t="n">
        <v>1</v>
      </c>
      <c r="C347" s="228" t="inlineStr">
        <is>
          <t>41.1</t>
        </is>
      </c>
      <c r="D347" s="212" t="n">
        <v>-3237.69</v>
      </c>
      <c r="E347" s="212" t="n"/>
    </row>
    <row r="348">
      <c r="A348" s="348" t="inlineStr">
        <is>
          <t>R314</t>
        </is>
      </c>
      <c r="B348" s="291" t="n">
        <v>1</v>
      </c>
      <c r="C348" s="228" t="inlineStr">
        <is>
          <t>41.2</t>
        </is>
      </c>
      <c r="D348" s="212" t="n">
        <v>2779.32</v>
      </c>
      <c r="E348" s="212" t="n"/>
    </row>
    <row r="349">
      <c r="A349" s="348" t="inlineStr">
        <is>
          <t>LYSE</t>
        </is>
      </c>
      <c r="B349" s="291" t="n">
        <v>1</v>
      </c>
      <c r="C349" s="228" t="n">
        <v>2</v>
      </c>
      <c r="D349" s="212" t="n">
        <v>-316396.07</v>
      </c>
      <c r="E349" s="212" t="n"/>
    </row>
    <row r="350">
      <c r="A350" s="348" t="inlineStr">
        <is>
          <t>LYSE</t>
        </is>
      </c>
      <c r="B350" s="291" t="n">
        <v>1</v>
      </c>
      <c r="C350" s="228" t="n">
        <v>3</v>
      </c>
      <c r="D350" s="212" t="n">
        <v>70289.44</v>
      </c>
      <c r="E350" s="212" t="n"/>
    </row>
    <row r="351">
      <c r="A351" s="348" t="inlineStr">
        <is>
          <t>LYSE</t>
        </is>
      </c>
      <c r="B351" s="291" t="n">
        <v>1</v>
      </c>
      <c r="C351" s="228" t="n">
        <v>4</v>
      </c>
      <c r="D351" s="212" t="n">
        <v>1966.73</v>
      </c>
      <c r="E351" s="212" t="n"/>
    </row>
    <row r="352">
      <c r="A352" s="348" t="inlineStr">
        <is>
          <t>LYSE</t>
        </is>
      </c>
      <c r="B352" s="291" t="n">
        <v>1</v>
      </c>
      <c r="C352" s="228" t="n">
        <v>5</v>
      </c>
      <c r="D352" s="212" t="n">
        <v>1924.48</v>
      </c>
      <c r="E352" s="212" t="n"/>
    </row>
    <row r="353">
      <c r="A353" s="348" t="inlineStr">
        <is>
          <t>LYSE</t>
        </is>
      </c>
      <c r="B353" s="291" t="n">
        <v>1</v>
      </c>
      <c r="C353" s="228" t="n">
        <v>6</v>
      </c>
      <c r="D353" s="212" t="n">
        <v>7191.63</v>
      </c>
      <c r="E353" s="212" t="n"/>
    </row>
    <row r="354">
      <c r="A354" s="348" t="inlineStr">
        <is>
          <t>LYSE</t>
        </is>
      </c>
      <c r="B354" s="291" t="n">
        <v>1</v>
      </c>
      <c r="C354" s="228" t="inlineStr">
        <is>
          <t>6.1</t>
        </is>
      </c>
      <c r="D354" s="212" t="n">
        <v>233.14</v>
      </c>
      <c r="E354" s="212" t="n"/>
    </row>
    <row r="355">
      <c r="A355" s="348" t="inlineStr">
        <is>
          <t>LYSE</t>
        </is>
      </c>
      <c r="B355" s="291" t="n">
        <v>1</v>
      </c>
      <c r="C355" s="228" t="n">
        <v>8</v>
      </c>
      <c r="D355" s="212" t="n">
        <v>63548.7</v>
      </c>
      <c r="E355" s="212" t="n"/>
    </row>
    <row r="356">
      <c r="A356" s="348" t="inlineStr">
        <is>
          <t>LYSE</t>
        </is>
      </c>
      <c r="B356" s="291" t="n">
        <v>1</v>
      </c>
      <c r="C356" s="228" t="n">
        <v>9</v>
      </c>
      <c r="D356" s="212" t="n">
        <v>5602.49</v>
      </c>
      <c r="E356" s="212" t="n"/>
    </row>
    <row r="357">
      <c r="A357" s="348" t="inlineStr">
        <is>
          <t>LYSE</t>
        </is>
      </c>
      <c r="B357" s="291" t="n">
        <v>1</v>
      </c>
      <c r="C357" s="228" t="n">
        <v>10</v>
      </c>
      <c r="D357" s="212" t="n">
        <v>22103.54</v>
      </c>
      <c r="E357" s="212" t="n"/>
    </row>
    <row r="358">
      <c r="A358" s="348" t="inlineStr">
        <is>
          <t>LYSE</t>
        </is>
      </c>
      <c r="B358" s="291" t="n">
        <v>1</v>
      </c>
      <c r="C358" s="228" t="n">
        <v>11</v>
      </c>
      <c r="D358" s="212" t="n">
        <v>5680.01</v>
      </c>
      <c r="E358" s="212" t="n"/>
    </row>
    <row r="359">
      <c r="A359" s="348" t="inlineStr">
        <is>
          <t>LYSE</t>
        </is>
      </c>
      <c r="B359" s="291" t="n">
        <v>1</v>
      </c>
      <c r="C359" s="228" t="n">
        <v>15</v>
      </c>
      <c r="D359" s="212" t="n">
        <v>395.83</v>
      </c>
      <c r="E359" s="212" t="n"/>
    </row>
    <row r="360">
      <c r="A360" s="348" t="inlineStr">
        <is>
          <t>LYSE</t>
        </is>
      </c>
      <c r="B360" s="291" t="n">
        <v>1</v>
      </c>
      <c r="C360" s="228" t="n">
        <v>16</v>
      </c>
      <c r="D360" s="212" t="n">
        <v>521.23</v>
      </c>
      <c r="E360" s="212" t="n"/>
    </row>
    <row r="361">
      <c r="A361" s="348" t="inlineStr">
        <is>
          <t>LYSE</t>
        </is>
      </c>
      <c r="B361" s="291" t="n">
        <v>1</v>
      </c>
      <c r="C361" s="228" t="n">
        <v>17</v>
      </c>
      <c r="D361" s="212" t="n">
        <v>2453.13</v>
      </c>
      <c r="E361" s="212" t="n"/>
    </row>
    <row r="362">
      <c r="A362" s="348" t="inlineStr">
        <is>
          <t>LYSE</t>
        </is>
      </c>
      <c r="B362" s="291" t="n">
        <v>1</v>
      </c>
      <c r="C362" s="228" t="n">
        <v>18</v>
      </c>
      <c r="D362" s="212" t="n">
        <v>7338.67</v>
      </c>
      <c r="E362" s="212" t="n"/>
    </row>
    <row r="363">
      <c r="A363" s="348" t="inlineStr">
        <is>
          <t>LYSE</t>
        </is>
      </c>
      <c r="B363" s="291" t="n">
        <v>1</v>
      </c>
      <c r="C363" s="228" t="n">
        <v>19</v>
      </c>
      <c r="D363" s="212" t="n">
        <v>8012.94</v>
      </c>
      <c r="E363" s="212" t="n"/>
    </row>
    <row r="364">
      <c r="A364" s="348" t="inlineStr">
        <is>
          <t>LYSE</t>
        </is>
      </c>
      <c r="B364" s="291" t="n">
        <v>1</v>
      </c>
      <c r="C364" s="228" t="n">
        <v>21</v>
      </c>
      <c r="D364" s="212" t="n">
        <v>4522.33</v>
      </c>
      <c r="E364" s="212" t="n"/>
    </row>
    <row r="365">
      <c r="A365" s="348" t="inlineStr">
        <is>
          <t>LYSE</t>
        </is>
      </c>
      <c r="B365" s="291" t="n">
        <v>1</v>
      </c>
      <c r="C365" s="228" t="n">
        <v>22</v>
      </c>
      <c r="D365" s="212" t="n">
        <v>12649.31</v>
      </c>
      <c r="E365" s="212" t="n"/>
    </row>
    <row r="366">
      <c r="A366" s="348" t="inlineStr">
        <is>
          <t>LYSE</t>
        </is>
      </c>
      <c r="B366" s="291" t="n">
        <v>1</v>
      </c>
      <c r="C366" s="228" t="n">
        <v>23</v>
      </c>
      <c r="D366" s="212" t="n">
        <v>5689.32</v>
      </c>
      <c r="E366" s="212" t="n"/>
    </row>
    <row r="367">
      <c r="A367" s="348" t="inlineStr">
        <is>
          <t>LYSE</t>
        </is>
      </c>
      <c r="B367" s="291" t="n">
        <v>1</v>
      </c>
      <c r="C367" s="228" t="n">
        <v>24</v>
      </c>
      <c r="D367" s="212" t="n">
        <v>11331.8</v>
      </c>
      <c r="E367" s="212" t="n"/>
    </row>
    <row r="368">
      <c r="A368" s="348" t="inlineStr">
        <is>
          <t>LYSE</t>
        </is>
      </c>
      <c r="B368" s="291" t="n">
        <v>1</v>
      </c>
      <c r="C368" s="228" t="n">
        <v>25</v>
      </c>
      <c r="D368" s="212" t="n">
        <v>2674.53</v>
      </c>
      <c r="E368" s="212" t="n"/>
    </row>
    <row r="369">
      <c r="A369" s="348" t="inlineStr">
        <is>
          <t>LYSE</t>
        </is>
      </c>
      <c r="B369" s="291" t="n">
        <v>1</v>
      </c>
      <c r="C369" s="228" t="n">
        <v>26</v>
      </c>
      <c r="D369" s="212" t="n">
        <v>267.56</v>
      </c>
      <c r="E369" s="212" t="n"/>
    </row>
    <row r="370">
      <c r="A370" s="348" t="inlineStr">
        <is>
          <t>LYSE</t>
        </is>
      </c>
      <c r="B370" s="291" t="n">
        <v>1</v>
      </c>
      <c r="C370" s="228" t="n">
        <v>27</v>
      </c>
      <c r="D370" s="212" t="n">
        <v>868.91</v>
      </c>
      <c r="E370" s="212" t="n"/>
    </row>
    <row r="371">
      <c r="A371" s="348" t="inlineStr">
        <is>
          <t>LYSE</t>
        </is>
      </c>
      <c r="B371" s="291" t="n">
        <v>1</v>
      </c>
      <c r="C371" s="228" t="n">
        <v>29</v>
      </c>
      <c r="D371" s="212" t="n">
        <v>44819.66</v>
      </c>
      <c r="E371" s="212" t="n"/>
    </row>
    <row r="372">
      <c r="A372" s="348" t="inlineStr">
        <is>
          <t>LYSE</t>
        </is>
      </c>
      <c r="B372" s="291" t="n">
        <v>1</v>
      </c>
      <c r="C372" s="228" t="n">
        <v>31</v>
      </c>
      <c r="D372" s="212" t="n">
        <v>-1083.34</v>
      </c>
      <c r="E372" s="212" t="n"/>
    </row>
    <row r="373">
      <c r="A373" s="348" t="inlineStr">
        <is>
          <t>LYSE</t>
        </is>
      </c>
      <c r="B373" s="291" t="n">
        <v>1</v>
      </c>
      <c r="C373" s="228" t="n">
        <v>33</v>
      </c>
      <c r="D373" s="212" t="n">
        <v>563</v>
      </c>
      <c r="E373" s="212" t="n"/>
    </row>
    <row r="374">
      <c r="A374" s="348" t="inlineStr">
        <is>
          <t>LYSE</t>
        </is>
      </c>
      <c r="B374" s="291" t="n">
        <v>1</v>
      </c>
      <c r="C374" s="228" t="n">
        <v>34</v>
      </c>
      <c r="D374" s="212" t="n">
        <v>16007.02</v>
      </c>
      <c r="E374" s="212" t="n"/>
    </row>
    <row r="375">
      <c r="A375" s="348" t="inlineStr">
        <is>
          <t>LYSE</t>
        </is>
      </c>
      <c r="B375" s="291" t="n">
        <v>1</v>
      </c>
      <c r="C375" s="228" t="n">
        <v>35</v>
      </c>
      <c r="D375" s="212" t="n">
        <v>1450</v>
      </c>
      <c r="E375" s="212" t="n"/>
    </row>
    <row r="376">
      <c r="A376" s="348" t="inlineStr">
        <is>
          <t>LYSE</t>
        </is>
      </c>
      <c r="B376" s="291" t="n">
        <v>1</v>
      </c>
      <c r="C376" s="228" t="n">
        <v>36</v>
      </c>
      <c r="D376" s="212" t="n">
        <v>1988.09</v>
      </c>
      <c r="E376" s="212" t="n"/>
    </row>
    <row r="377">
      <c r="A377" s="348" t="inlineStr">
        <is>
          <t>LYSE</t>
        </is>
      </c>
      <c r="B377" s="291" t="n">
        <v>1</v>
      </c>
      <c r="C377" s="228" t="n">
        <v>37</v>
      </c>
      <c r="D377" s="212" t="n">
        <v>3058.27</v>
      </c>
      <c r="E377" s="212" t="n"/>
    </row>
    <row r="378">
      <c r="A378" s="348" t="inlineStr">
        <is>
          <t>LYSE</t>
        </is>
      </c>
      <c r="B378" s="291" t="n">
        <v>1</v>
      </c>
      <c r="C378" s="228" t="n">
        <v>38</v>
      </c>
      <c r="D378" s="212" t="n">
        <v>15264.88</v>
      </c>
      <c r="E378" s="212" t="n"/>
    </row>
    <row r="379">
      <c r="A379" s="348" t="inlineStr">
        <is>
          <t>LYSE</t>
        </is>
      </c>
      <c r="B379" s="291" t="n">
        <v>1</v>
      </c>
      <c r="C379" s="228" t="n">
        <v>40</v>
      </c>
      <c r="D379" s="212" t="n">
        <v>1033.42</v>
      </c>
      <c r="E379" s="212" t="n"/>
    </row>
    <row r="380">
      <c r="A380" s="348" t="inlineStr">
        <is>
          <t>LYSE</t>
        </is>
      </c>
      <c r="B380" s="291" t="n">
        <v>1</v>
      </c>
      <c r="C380" s="228" t="n">
        <v>42</v>
      </c>
      <c r="D380" s="212" t="n">
        <v>522.5599999999999</v>
      </c>
      <c r="E380" s="212" t="n"/>
    </row>
    <row r="381">
      <c r="A381" s="348" t="inlineStr">
        <is>
          <t>LYSE</t>
        </is>
      </c>
      <c r="B381" s="291" t="n">
        <v>1</v>
      </c>
      <c r="C381" s="228" t="n">
        <v>46</v>
      </c>
      <c r="D381" s="212" t="n">
        <v>21733.33</v>
      </c>
      <c r="E381" s="212" t="n"/>
    </row>
    <row r="382">
      <c r="A382" s="348" t="inlineStr">
        <is>
          <t>LYSE</t>
        </is>
      </c>
      <c r="B382" s="291" t="n">
        <v>1</v>
      </c>
      <c r="C382" s="228" t="inlineStr">
        <is>
          <t>41.1</t>
        </is>
      </c>
      <c r="D382" s="212" t="n">
        <v>-3744.36</v>
      </c>
      <c r="E382" s="212" t="n"/>
    </row>
    <row r="383">
      <c r="A383" s="348" t="inlineStr">
        <is>
          <t>LYSE</t>
        </is>
      </c>
      <c r="B383" s="291" t="n">
        <v>1</v>
      </c>
      <c r="C383" s="228" t="inlineStr">
        <is>
          <t>41.2</t>
        </is>
      </c>
      <c r="D383" s="212" t="n">
        <v>4073.23</v>
      </c>
      <c r="E383" s="212" t="n"/>
    </row>
    <row r="384">
      <c r="A384" s="348" t="inlineStr">
        <is>
          <t>ARTHUR</t>
        </is>
      </c>
      <c r="B384" s="291" t="n">
        <v>1</v>
      </c>
      <c r="C384" s="228" t="n">
        <v>2</v>
      </c>
      <c r="D384" s="212" t="n">
        <v>-414258.29</v>
      </c>
      <c r="E384" s="212" t="n"/>
    </row>
    <row r="385">
      <c r="A385" s="348" t="inlineStr">
        <is>
          <t>ARTHUR</t>
        </is>
      </c>
      <c r="B385" s="291" t="n">
        <v>1</v>
      </c>
      <c r="C385" s="228" t="n">
        <v>3</v>
      </c>
      <c r="D385" s="212" t="n">
        <v>87116.78999999999</v>
      </c>
      <c r="E385" s="212" t="n"/>
    </row>
    <row r="386">
      <c r="A386" s="348" t="inlineStr">
        <is>
          <t>ARTHUR</t>
        </is>
      </c>
      <c r="B386" s="291" t="n">
        <v>1</v>
      </c>
      <c r="C386" s="228" t="n">
        <v>4</v>
      </c>
      <c r="D386" s="212" t="n">
        <v>2095.84</v>
      </c>
      <c r="E386" s="212" t="n"/>
    </row>
    <row r="387">
      <c r="A387" s="348" t="inlineStr">
        <is>
          <t>ARTHUR</t>
        </is>
      </c>
      <c r="B387" s="291" t="n">
        <v>1</v>
      </c>
      <c r="C387" s="228" t="n">
        <v>5</v>
      </c>
      <c r="D387" s="212" t="n">
        <v>3169.09</v>
      </c>
      <c r="E387" s="212" t="n"/>
    </row>
    <row r="388">
      <c r="A388" s="348" t="inlineStr">
        <is>
          <t>ARTHUR</t>
        </is>
      </c>
      <c r="B388" s="291" t="n">
        <v>1</v>
      </c>
      <c r="C388" s="228" t="n">
        <v>6</v>
      </c>
      <c r="D388" s="212" t="n">
        <v>8803.99</v>
      </c>
      <c r="E388" s="212" t="n"/>
    </row>
    <row r="389">
      <c r="A389" s="348" t="inlineStr">
        <is>
          <t>ARTHUR</t>
        </is>
      </c>
      <c r="B389" s="291" t="n">
        <v>1</v>
      </c>
      <c r="C389" s="228" t="inlineStr">
        <is>
          <t>6.1</t>
        </is>
      </c>
      <c r="D389" s="212" t="n">
        <v>1001.56</v>
      </c>
      <c r="E389" s="212" t="n"/>
    </row>
    <row r="390">
      <c r="A390" s="348" t="inlineStr">
        <is>
          <t>ARTHUR</t>
        </is>
      </c>
      <c r="B390" s="291" t="n">
        <v>1</v>
      </c>
      <c r="C390" s="228" t="n">
        <v>7</v>
      </c>
      <c r="D390" s="212" t="n">
        <v>312071.02</v>
      </c>
      <c r="E390" s="212" t="n"/>
    </row>
    <row r="391">
      <c r="A391" s="348" t="inlineStr">
        <is>
          <t>ARTHUR</t>
        </is>
      </c>
      <c r="B391" s="291" t="n">
        <v>1</v>
      </c>
      <c r="C391" s="228" t="n">
        <v>8</v>
      </c>
      <c r="D391" s="212" t="n">
        <v>61128.46000000001</v>
      </c>
      <c r="E391" s="212" t="n"/>
    </row>
    <row r="392">
      <c r="A392" s="348" t="inlineStr">
        <is>
          <t>ARTHUR</t>
        </is>
      </c>
      <c r="B392" s="291" t="n">
        <v>1</v>
      </c>
      <c r="C392" s="228" t="n">
        <v>9</v>
      </c>
      <c r="D392" s="212" t="n">
        <v>9486.940000000001</v>
      </c>
      <c r="E392" s="212" t="n"/>
    </row>
    <row r="393">
      <c r="A393" s="348" t="inlineStr">
        <is>
          <t>ARTHUR</t>
        </is>
      </c>
      <c r="B393" s="291" t="n">
        <v>1</v>
      </c>
      <c r="C393" s="228" t="n">
        <v>10</v>
      </c>
      <c r="D393" s="212" t="n">
        <v>26095.18</v>
      </c>
      <c r="E393" s="212" t="n"/>
    </row>
    <row r="394">
      <c r="A394" s="348" t="inlineStr">
        <is>
          <t>ARTHUR</t>
        </is>
      </c>
      <c r="B394" s="291" t="n">
        <v>1</v>
      </c>
      <c r="C394" s="228" t="n">
        <v>11</v>
      </c>
      <c r="D394" s="212" t="n">
        <v>6144.030000000001</v>
      </c>
      <c r="E394" s="212" t="n"/>
    </row>
    <row r="395">
      <c r="A395" s="348" t="inlineStr">
        <is>
          <t>ARTHUR</t>
        </is>
      </c>
      <c r="B395" s="291" t="n">
        <v>1</v>
      </c>
      <c r="C395" s="228" t="n">
        <v>12</v>
      </c>
      <c r="D395" s="212" t="n">
        <v>0</v>
      </c>
      <c r="E395" s="212" t="n"/>
    </row>
    <row r="396">
      <c r="A396" s="348" t="inlineStr">
        <is>
          <t>ARTHUR</t>
        </is>
      </c>
      <c r="B396" s="291" t="n">
        <v>1</v>
      </c>
      <c r="C396" s="228" t="n">
        <v>13</v>
      </c>
      <c r="D396" s="212" t="n">
        <v>0</v>
      </c>
      <c r="E396" s="212" t="n"/>
    </row>
    <row r="397">
      <c r="A397" s="348" t="inlineStr">
        <is>
          <t>ARTHUR</t>
        </is>
      </c>
      <c r="B397" s="291" t="n">
        <v>1</v>
      </c>
      <c r="C397" s="228" t="n">
        <v>14</v>
      </c>
      <c r="D397" s="212" t="n">
        <v>102854.61</v>
      </c>
      <c r="E397" s="212" t="n"/>
    </row>
    <row r="398">
      <c r="A398" s="348" t="inlineStr">
        <is>
          <t>ARTHUR</t>
        </is>
      </c>
      <c r="B398" s="291" t="n">
        <v>1</v>
      </c>
      <c r="C398" s="228" t="n">
        <v>15</v>
      </c>
      <c r="D398" s="212" t="n">
        <v>7977</v>
      </c>
      <c r="E398" s="212" t="n"/>
    </row>
    <row r="399">
      <c r="A399" s="348" t="inlineStr">
        <is>
          <t>ARTHUR</t>
        </is>
      </c>
      <c r="B399" s="291" t="n">
        <v>1</v>
      </c>
      <c r="C399" s="228" t="n">
        <v>16</v>
      </c>
      <c r="D399" s="212" t="n">
        <v>1287.25</v>
      </c>
      <c r="E399" s="212" t="n"/>
    </row>
    <row r="400">
      <c r="A400" s="348" t="inlineStr">
        <is>
          <t>ARTHUR</t>
        </is>
      </c>
      <c r="B400" s="291" t="n">
        <v>1</v>
      </c>
      <c r="C400" s="228" t="n">
        <v>17</v>
      </c>
      <c r="D400" s="212" t="n">
        <v>2139.63</v>
      </c>
      <c r="E400" s="212" t="n"/>
    </row>
    <row r="401">
      <c r="A401" s="348" t="inlineStr">
        <is>
          <t>ARTHUR</t>
        </is>
      </c>
      <c r="B401" s="291" t="n">
        <v>1</v>
      </c>
      <c r="C401" s="228" t="n">
        <v>18</v>
      </c>
      <c r="D401" s="212" t="n">
        <v>5202.200000000001</v>
      </c>
      <c r="E401" s="212" t="n"/>
    </row>
    <row r="402">
      <c r="A402" s="348" t="inlineStr">
        <is>
          <t>ARTHUR</t>
        </is>
      </c>
      <c r="B402" s="291" t="n">
        <v>1</v>
      </c>
      <c r="C402" s="228" t="n">
        <v>19</v>
      </c>
      <c r="D402" s="212" t="n">
        <v>5280.59</v>
      </c>
      <c r="E402" s="212" t="n"/>
    </row>
    <row r="403">
      <c r="A403" s="348" t="inlineStr">
        <is>
          <t>ARTHUR</t>
        </is>
      </c>
      <c r="B403" s="291" t="n">
        <v>1</v>
      </c>
      <c r="C403" s="228" t="n">
        <v>20</v>
      </c>
      <c r="D403" s="212" t="n">
        <v>21886.67</v>
      </c>
      <c r="E403" s="212" t="n"/>
    </row>
    <row r="404">
      <c r="A404" s="348" t="inlineStr">
        <is>
          <t>ARTHUR</t>
        </is>
      </c>
      <c r="B404" s="291" t="n">
        <v>1</v>
      </c>
      <c r="C404" s="228" t="n">
        <v>21</v>
      </c>
      <c r="D404" s="212" t="n">
        <v>12523.03</v>
      </c>
      <c r="E404" s="212" t="n"/>
    </row>
    <row r="405">
      <c r="A405" s="348" t="inlineStr">
        <is>
          <t>ARTHUR</t>
        </is>
      </c>
      <c r="B405" s="291" t="n">
        <v>1</v>
      </c>
      <c r="C405" s="228" t="n">
        <v>22</v>
      </c>
      <c r="D405" s="212" t="n">
        <v>16648.33</v>
      </c>
      <c r="E405" s="212" t="n"/>
    </row>
    <row r="406">
      <c r="A406" s="348" t="inlineStr">
        <is>
          <t>ARTHUR</t>
        </is>
      </c>
      <c r="B406" s="291" t="n">
        <v>1</v>
      </c>
      <c r="C406" s="228" t="n">
        <v>23</v>
      </c>
      <c r="D406" s="212" t="n">
        <v>5340.46</v>
      </c>
      <c r="E406" s="212" t="n"/>
    </row>
    <row r="407">
      <c r="A407" s="348" t="inlineStr">
        <is>
          <t>ARTHUR</t>
        </is>
      </c>
      <c r="B407" s="291" t="n">
        <v>1</v>
      </c>
      <c r="C407" s="228" t="n">
        <v>24</v>
      </c>
      <c r="D407" s="212" t="n">
        <v>19150.32</v>
      </c>
      <c r="E407" s="212" t="n"/>
    </row>
    <row r="408">
      <c r="A408" s="348" t="inlineStr">
        <is>
          <t>ARTHUR</t>
        </is>
      </c>
      <c r="B408" s="291" t="n">
        <v>1</v>
      </c>
      <c r="C408" s="228" t="n">
        <v>25</v>
      </c>
      <c r="D408" s="212" t="n">
        <v>8848.289999999999</v>
      </c>
      <c r="E408" s="212" t="n"/>
    </row>
    <row r="409">
      <c r="A409" s="348" t="inlineStr">
        <is>
          <t>ARTHUR</t>
        </is>
      </c>
      <c r="B409" s="291" t="n">
        <v>1</v>
      </c>
      <c r="C409" s="228" t="n">
        <v>26</v>
      </c>
      <c r="D409" s="212" t="n">
        <v>748.15</v>
      </c>
      <c r="E409" s="212" t="n"/>
    </row>
    <row r="410">
      <c r="A410" s="348" t="inlineStr">
        <is>
          <t>ARTHUR</t>
        </is>
      </c>
      <c r="B410" s="291" t="n">
        <v>1</v>
      </c>
      <c r="C410" s="228" t="n">
        <v>27</v>
      </c>
      <c r="D410" s="212" t="n">
        <v>603.5600000000001</v>
      </c>
      <c r="E410" s="212" t="n"/>
    </row>
    <row r="411">
      <c r="A411" s="348" t="inlineStr">
        <is>
          <t>ARTHUR</t>
        </is>
      </c>
      <c r="B411" s="291" t="n">
        <v>1</v>
      </c>
      <c r="C411" s="228" t="n">
        <v>28</v>
      </c>
      <c r="D411" s="212" t="n">
        <v>123467.6</v>
      </c>
      <c r="E411" s="212" t="n"/>
    </row>
    <row r="412">
      <c r="A412" s="348" t="inlineStr">
        <is>
          <t>ARTHUR</t>
        </is>
      </c>
      <c r="B412" s="291" t="n">
        <v>1</v>
      </c>
      <c r="C412" s="228" t="n">
        <v>29</v>
      </c>
      <c r="D412" s="212" t="n">
        <v>62431.24</v>
      </c>
      <c r="E412" s="212" t="n"/>
    </row>
    <row r="413">
      <c r="A413" s="348" t="inlineStr">
        <is>
          <t>ARTHUR</t>
        </is>
      </c>
      <c r="B413" s="291" t="n">
        <v>1</v>
      </c>
      <c r="C413" s="228" t="n">
        <v>30</v>
      </c>
      <c r="D413" s="212" t="n">
        <v>0</v>
      </c>
      <c r="E413" s="212" t="n"/>
    </row>
    <row r="414">
      <c r="A414" s="348" t="inlineStr">
        <is>
          <t>ARTHUR</t>
        </is>
      </c>
      <c r="B414" s="291" t="n">
        <v>1</v>
      </c>
      <c r="C414" s="228" t="n">
        <v>31</v>
      </c>
      <c r="D414" s="212" t="n">
        <v>0</v>
      </c>
      <c r="E414" s="212" t="n"/>
    </row>
    <row r="415">
      <c r="A415" s="348" t="inlineStr">
        <is>
          <t>ARTHUR</t>
        </is>
      </c>
      <c r="B415" s="291" t="n">
        <v>1</v>
      </c>
      <c r="C415" s="228" t="n">
        <v>32</v>
      </c>
      <c r="D415" s="212" t="n">
        <v>62431.24</v>
      </c>
      <c r="E415" s="212" t="n"/>
    </row>
    <row r="416">
      <c r="A416" s="348" t="inlineStr">
        <is>
          <t>ARTHUR</t>
        </is>
      </c>
      <c r="B416" s="291" t="n">
        <v>1</v>
      </c>
      <c r="C416" s="228" t="n">
        <v>33</v>
      </c>
      <c r="D416" s="212" t="n">
        <v>0</v>
      </c>
      <c r="E416" s="212" t="n"/>
    </row>
    <row r="417">
      <c r="A417" s="348" t="inlineStr">
        <is>
          <t>ARTHUR</t>
        </is>
      </c>
      <c r="B417" s="291" t="n">
        <v>1</v>
      </c>
      <c r="C417" s="228" t="n">
        <v>34</v>
      </c>
      <c r="D417" s="212" t="n">
        <v>20810.41</v>
      </c>
      <c r="E417" s="212" t="n"/>
    </row>
    <row r="418">
      <c r="A418" s="348" t="inlineStr">
        <is>
          <t>ARTHUR</t>
        </is>
      </c>
      <c r="B418" s="291" t="n">
        <v>1</v>
      </c>
      <c r="C418" s="228" t="n">
        <v>35</v>
      </c>
      <c r="D418" s="212" t="n">
        <v>1210</v>
      </c>
      <c r="E418" s="212" t="n"/>
    </row>
    <row r="419">
      <c r="A419" s="348" t="inlineStr">
        <is>
          <t>ARTHUR</t>
        </is>
      </c>
      <c r="B419" s="291" t="n">
        <v>1</v>
      </c>
      <c r="C419" s="228" t="n">
        <v>36</v>
      </c>
      <c r="D419" s="212" t="n">
        <v>1883.98</v>
      </c>
      <c r="E419" s="212" t="n"/>
    </row>
    <row r="420">
      <c r="A420" s="348" t="inlineStr">
        <is>
          <t>ARTHUR</t>
        </is>
      </c>
      <c r="B420" s="291" t="n">
        <v>1</v>
      </c>
      <c r="C420" s="228" t="n">
        <v>37</v>
      </c>
      <c r="D420" s="212" t="n">
        <v>4259.12</v>
      </c>
      <c r="E420" s="212" t="n"/>
    </row>
    <row r="421">
      <c r="A421" s="348" t="inlineStr">
        <is>
          <t>ARTHUR</t>
        </is>
      </c>
      <c r="B421" s="291" t="n">
        <v>1</v>
      </c>
      <c r="C421" s="228" t="n">
        <v>38</v>
      </c>
      <c r="D421" s="212" t="n">
        <v>10000</v>
      </c>
      <c r="E421" s="212" t="n"/>
    </row>
    <row r="422">
      <c r="A422" s="348" t="inlineStr">
        <is>
          <t>ARTHUR</t>
        </is>
      </c>
      <c r="B422" s="291" t="n">
        <v>1</v>
      </c>
      <c r="C422" s="228" t="n">
        <v>39</v>
      </c>
      <c r="D422" s="212" t="n">
        <v>1020.5</v>
      </c>
      <c r="E422" s="212" t="n"/>
    </row>
    <row r="423">
      <c r="A423" s="348" t="inlineStr">
        <is>
          <t>ARTHUR</t>
        </is>
      </c>
      <c r="B423" s="291" t="n">
        <v>1</v>
      </c>
      <c r="C423" s="228" t="n">
        <v>40</v>
      </c>
      <c r="D423" s="212" t="n">
        <v>35</v>
      </c>
      <c r="E423" s="212" t="n"/>
    </row>
    <row r="424">
      <c r="A424" s="348" t="inlineStr">
        <is>
          <t>ARTHUR</t>
        </is>
      </c>
      <c r="B424" s="291" t="n">
        <v>1</v>
      </c>
      <c r="C424" s="228" t="inlineStr">
        <is>
          <t>41.1</t>
        </is>
      </c>
      <c r="D424" s="212" t="n">
        <v>-4658.559999999999</v>
      </c>
      <c r="E424" s="212" t="n"/>
    </row>
    <row r="425">
      <c r="A425" s="348" t="inlineStr">
        <is>
          <t>ARTHUR</t>
        </is>
      </c>
      <c r="B425" s="291" t="n">
        <v>1</v>
      </c>
      <c r="C425" s="228" t="inlineStr">
        <is>
          <t>41.2</t>
        </is>
      </c>
      <c r="D425" s="212" t="n">
        <v>4431.8</v>
      </c>
      <c r="E425" s="212" t="n"/>
    </row>
    <row r="426">
      <c r="A426" s="348" t="inlineStr">
        <is>
          <t>ARTHUR</t>
        </is>
      </c>
      <c r="B426" s="291" t="n">
        <v>1</v>
      </c>
      <c r="C426" s="228" t="n">
        <v>41</v>
      </c>
      <c r="D426" s="212" t="n">
        <v>226.7599999999993</v>
      </c>
      <c r="E426" s="212" t="n"/>
    </row>
    <row r="427">
      <c r="A427" s="348" t="inlineStr">
        <is>
          <t>ARTHUR</t>
        </is>
      </c>
      <c r="B427" s="291" t="n">
        <v>1</v>
      </c>
      <c r="C427" s="228" t="n">
        <v>42</v>
      </c>
      <c r="D427" s="212" t="n">
        <v>33.55</v>
      </c>
      <c r="E427" s="212" t="n"/>
    </row>
    <row r="428">
      <c r="A428" s="348" t="inlineStr">
        <is>
          <t>ARTHUR</t>
        </is>
      </c>
      <c r="B428" s="291" t="n">
        <v>1</v>
      </c>
      <c r="C428" s="228" t="n">
        <v>43</v>
      </c>
      <c r="D428" s="212" t="n">
        <v>22010.56</v>
      </c>
      <c r="E428" s="212" t="n"/>
    </row>
    <row r="429">
      <c r="A429" s="348" t="inlineStr">
        <is>
          <t>ARTHUR</t>
        </is>
      </c>
      <c r="B429" s="291" t="n">
        <v>1</v>
      </c>
      <c r="C429" s="228" t="n">
        <v>44</v>
      </c>
      <c r="D429" s="212" t="n">
        <v>33064.61000000001</v>
      </c>
      <c r="E429" s="212" t="n"/>
    </row>
    <row r="430">
      <c r="A430" s="348" t="inlineStr">
        <is>
          <t>ARTHUR</t>
        </is>
      </c>
      <c r="B430" s="291" t="n">
        <v>1</v>
      </c>
      <c r="C430" s="228" t="n">
        <v>45</v>
      </c>
      <c r="D430" s="212" t="n">
        <v>0</v>
      </c>
      <c r="E430" s="212" t="n"/>
    </row>
    <row r="431">
      <c r="A431" s="348" t="inlineStr">
        <is>
          <t>ARTHUR</t>
        </is>
      </c>
      <c r="B431" s="291" t="n">
        <v>1</v>
      </c>
      <c r="C431" s="228" t="n">
        <v>46</v>
      </c>
      <c r="D431" s="212" t="n">
        <v>24700</v>
      </c>
      <c r="E431" s="212" t="n"/>
    </row>
    <row r="432">
      <c r="A432" s="348" t="inlineStr">
        <is>
          <t>HUGO</t>
        </is>
      </c>
      <c r="B432" s="291" t="n">
        <v>1</v>
      </c>
      <c r="C432" s="228" t="n">
        <v>2</v>
      </c>
      <c r="D432" s="212" t="n">
        <v>-507935.03</v>
      </c>
      <c r="E432" s="212" t="n"/>
    </row>
    <row r="433">
      <c r="A433" s="348" t="inlineStr">
        <is>
          <t>HUGO</t>
        </is>
      </c>
      <c r="B433" s="291" t="n">
        <v>1</v>
      </c>
      <c r="C433" s="228" t="n">
        <v>3</v>
      </c>
      <c r="D433" s="212" t="n">
        <v>113230.04</v>
      </c>
      <c r="E433" s="212" t="n"/>
    </row>
    <row r="434">
      <c r="A434" s="348" t="inlineStr">
        <is>
          <t>HUGO</t>
        </is>
      </c>
      <c r="B434" s="291" t="n">
        <v>1</v>
      </c>
      <c r="C434" s="228" t="n">
        <v>4</v>
      </c>
      <c r="D434" s="212" t="n">
        <v>2216.99</v>
      </c>
      <c r="E434" s="212" t="n"/>
    </row>
    <row r="435">
      <c r="A435" s="348" t="inlineStr">
        <is>
          <t>HUGO</t>
        </is>
      </c>
      <c r="B435" s="291" t="n">
        <v>1</v>
      </c>
      <c r="C435" s="228" t="n">
        <v>5</v>
      </c>
      <c r="D435" s="212" t="n">
        <v>4094.03</v>
      </c>
      <c r="E435" s="212" t="n"/>
    </row>
    <row r="436">
      <c r="A436" s="348" t="inlineStr">
        <is>
          <t>HUGO</t>
        </is>
      </c>
      <c r="B436" s="291" t="n">
        <v>1</v>
      </c>
      <c r="C436" s="228" t="n">
        <v>6</v>
      </c>
      <c r="D436" s="212" t="n">
        <v>10792.77</v>
      </c>
      <c r="E436" s="212" t="n"/>
    </row>
    <row r="437">
      <c r="A437" s="348" t="inlineStr">
        <is>
          <t>HUGO</t>
        </is>
      </c>
      <c r="B437" s="291" t="n">
        <v>1</v>
      </c>
      <c r="C437" s="228" t="inlineStr">
        <is>
          <t>6.1</t>
        </is>
      </c>
      <c r="D437" s="212" t="n">
        <v>1048.92</v>
      </c>
      <c r="E437" s="212" t="n"/>
    </row>
    <row r="438">
      <c r="A438" s="348" t="inlineStr">
        <is>
          <t>HUGO</t>
        </is>
      </c>
      <c r="B438" s="291" t="n">
        <v>1</v>
      </c>
      <c r="C438" s="228" t="n">
        <v>7</v>
      </c>
      <c r="D438" s="212" t="n">
        <v>376552.28</v>
      </c>
      <c r="E438" s="212" t="n"/>
    </row>
    <row r="439">
      <c r="A439" s="348" t="inlineStr">
        <is>
          <t>HUGO</t>
        </is>
      </c>
      <c r="B439" s="291" t="n">
        <v>1</v>
      </c>
      <c r="C439" s="228" t="n">
        <v>8</v>
      </c>
      <c r="D439" s="212" t="n">
        <v>70920.37000000001</v>
      </c>
      <c r="E439" s="212" t="n"/>
    </row>
    <row r="440">
      <c r="A440" s="348" t="inlineStr">
        <is>
          <t>HUGO</t>
        </is>
      </c>
      <c r="B440" s="291" t="n">
        <v>1</v>
      </c>
      <c r="C440" s="228" t="n">
        <v>9</v>
      </c>
      <c r="D440" s="212" t="n">
        <v>14430.77</v>
      </c>
      <c r="E440" s="212" t="n"/>
    </row>
    <row r="441">
      <c r="A441" s="348" t="inlineStr">
        <is>
          <t>HUGO</t>
        </is>
      </c>
      <c r="B441" s="291" t="n">
        <v>1</v>
      </c>
      <c r="C441" s="228" t="n">
        <v>10</v>
      </c>
      <c r="D441" s="212" t="n">
        <v>29840.02</v>
      </c>
      <c r="E441" s="212" t="n"/>
    </row>
    <row r="442">
      <c r="A442" s="348" t="inlineStr">
        <is>
          <t>HUGO</t>
        </is>
      </c>
      <c r="B442" s="291" t="n">
        <v>1</v>
      </c>
      <c r="C442" s="228" t="n">
        <v>11</v>
      </c>
      <c r="D442" s="212" t="n">
        <v>9374.25</v>
      </c>
      <c r="E442" s="212" t="n"/>
    </row>
    <row r="443">
      <c r="A443" s="348" t="inlineStr">
        <is>
          <t>HUGO</t>
        </is>
      </c>
      <c r="B443" s="291" t="n">
        <v>1</v>
      </c>
      <c r="C443" s="228" t="n">
        <v>12</v>
      </c>
      <c r="D443" s="212" t="n">
        <v>0</v>
      </c>
      <c r="E443" s="212" t="n"/>
    </row>
    <row r="444">
      <c r="A444" s="348" t="inlineStr">
        <is>
          <t>HUGO</t>
        </is>
      </c>
      <c r="B444" s="291" t="n">
        <v>1</v>
      </c>
      <c r="C444" s="228" t="n">
        <v>13</v>
      </c>
      <c r="D444" s="212" t="n">
        <v>0</v>
      </c>
      <c r="E444" s="212" t="n"/>
    </row>
    <row r="445">
      <c r="A445" s="348" t="inlineStr">
        <is>
          <t>HUGO</t>
        </is>
      </c>
      <c r="B445" s="291" t="n">
        <v>1</v>
      </c>
      <c r="C445" s="228" t="n">
        <v>14</v>
      </c>
      <c r="D445" s="212" t="n">
        <v>124565.41</v>
      </c>
      <c r="E445" s="212" t="n"/>
    </row>
    <row r="446">
      <c r="A446" s="348" t="inlineStr">
        <is>
          <t>HUGO</t>
        </is>
      </c>
      <c r="B446" s="291" t="n">
        <v>1</v>
      </c>
      <c r="C446" s="228" t="n">
        <v>15</v>
      </c>
      <c r="D446" s="212" t="n">
        <v>7897.04</v>
      </c>
      <c r="E446" s="212" t="n"/>
    </row>
    <row r="447">
      <c r="A447" s="348" t="inlineStr">
        <is>
          <t>HUGO</t>
        </is>
      </c>
      <c r="B447" s="291" t="n">
        <v>1</v>
      </c>
      <c r="C447" s="228" t="n">
        <v>16</v>
      </c>
      <c r="D447" s="212" t="n">
        <v>97.39</v>
      </c>
      <c r="E447" s="212" t="n"/>
    </row>
    <row r="448">
      <c r="A448" s="348" t="inlineStr">
        <is>
          <t>HUGO</t>
        </is>
      </c>
      <c r="B448" s="291" t="n">
        <v>1</v>
      </c>
      <c r="C448" s="228" t="n">
        <v>17</v>
      </c>
      <c r="D448" s="212" t="n">
        <v>3016.45</v>
      </c>
      <c r="E448" s="212" t="n"/>
    </row>
    <row r="449">
      <c r="A449" s="348" t="inlineStr">
        <is>
          <t>HUGO</t>
        </is>
      </c>
      <c r="B449" s="291" t="n">
        <v>1</v>
      </c>
      <c r="C449" s="228" t="n">
        <v>18</v>
      </c>
      <c r="D449" s="212" t="n">
        <v>4476.46</v>
      </c>
      <c r="E449" s="212" t="n"/>
    </row>
    <row r="450">
      <c r="A450" s="348" t="inlineStr">
        <is>
          <t>HUGO</t>
        </is>
      </c>
      <c r="B450" s="291" t="n">
        <v>1</v>
      </c>
      <c r="C450" s="228" t="n">
        <v>19</v>
      </c>
      <c r="D450" s="212" t="n">
        <v>5729.57</v>
      </c>
      <c r="E450" s="212" t="n"/>
    </row>
    <row r="451">
      <c r="A451" s="348" t="inlineStr">
        <is>
          <t>HUGO</t>
        </is>
      </c>
      <c r="B451" s="291" t="n">
        <v>1</v>
      </c>
      <c r="C451" s="228" t="n">
        <v>20</v>
      </c>
      <c r="D451" s="212" t="n">
        <v>21216.91</v>
      </c>
      <c r="E451" s="212" t="n"/>
    </row>
    <row r="452">
      <c r="A452" s="348" t="inlineStr">
        <is>
          <t>HUGO</t>
        </is>
      </c>
      <c r="B452" s="291" t="n">
        <v>1</v>
      </c>
      <c r="C452" s="228" t="n">
        <v>21</v>
      </c>
      <c r="D452" s="212" t="n">
        <v>0</v>
      </c>
      <c r="E452" s="212" t="n"/>
    </row>
    <row r="453">
      <c r="A453" s="348" t="inlineStr">
        <is>
          <t>HUGO</t>
        </is>
      </c>
      <c r="B453" s="291" t="n">
        <v>1</v>
      </c>
      <c r="C453" s="228" t="n">
        <v>22</v>
      </c>
      <c r="D453" s="212" t="n">
        <v>20357.69</v>
      </c>
      <c r="E453" s="212" t="n"/>
    </row>
    <row r="454">
      <c r="A454" s="348" t="inlineStr">
        <is>
          <t>HUGO</t>
        </is>
      </c>
      <c r="B454" s="291" t="n">
        <v>1</v>
      </c>
      <c r="C454" s="228" t="n">
        <v>23</v>
      </c>
      <c r="D454" s="212" t="n">
        <v>6179.51</v>
      </c>
      <c r="E454" s="212" t="n"/>
    </row>
    <row r="455">
      <c r="A455" s="348" t="inlineStr">
        <is>
          <t>HUGO</t>
        </is>
      </c>
      <c r="B455" s="291" t="n">
        <v>1</v>
      </c>
      <c r="C455" s="228" t="n">
        <v>24</v>
      </c>
      <c r="D455" s="212" t="n">
        <v>23402.48</v>
      </c>
      <c r="E455" s="212" t="n"/>
    </row>
    <row r="456">
      <c r="A456" s="348" t="inlineStr">
        <is>
          <t>HUGO</t>
        </is>
      </c>
      <c r="B456" s="291" t="n">
        <v>1</v>
      </c>
      <c r="C456" s="228" t="n">
        <v>25</v>
      </c>
      <c r="D456" s="212" t="n">
        <v>6101.05</v>
      </c>
      <c r="E456" s="212" t="n"/>
    </row>
    <row r="457">
      <c r="A457" s="348" t="inlineStr">
        <is>
          <t>HUGO</t>
        </is>
      </c>
      <c r="B457" s="291" t="n">
        <v>1</v>
      </c>
      <c r="C457" s="228" t="n">
        <v>26</v>
      </c>
      <c r="D457" s="212" t="n">
        <v>800.03</v>
      </c>
      <c r="E457" s="212" t="n"/>
    </row>
    <row r="458">
      <c r="A458" s="348" t="inlineStr">
        <is>
          <t>HUGO</t>
        </is>
      </c>
      <c r="B458" s="291" t="n">
        <v>1</v>
      </c>
      <c r="C458" s="228" t="n">
        <v>27</v>
      </c>
      <c r="D458" s="212" t="n">
        <v>1421.3</v>
      </c>
      <c r="E458" s="212" t="n"/>
    </row>
    <row r="459">
      <c r="A459" s="348" t="inlineStr">
        <is>
          <t>HUGO</t>
        </is>
      </c>
      <c r="B459" s="291" t="n">
        <v>1</v>
      </c>
      <c r="C459" s="228" t="n">
        <v>28</v>
      </c>
      <c r="D459" s="212" t="n">
        <v>172507.9</v>
      </c>
      <c r="E459" s="212" t="n"/>
    </row>
    <row r="460">
      <c r="A460" s="348" t="inlineStr">
        <is>
          <t>HUGO</t>
        </is>
      </c>
      <c r="B460" s="291" t="n">
        <v>1</v>
      </c>
      <c r="C460" s="228" t="n">
        <v>29</v>
      </c>
      <c r="D460" s="212" t="n">
        <v>76341.35000000001</v>
      </c>
      <c r="E460" s="212" t="n"/>
    </row>
    <row r="461">
      <c r="A461" s="348" t="inlineStr">
        <is>
          <t>HUGO</t>
        </is>
      </c>
      <c r="B461" s="291" t="n">
        <v>1</v>
      </c>
      <c r="C461" s="228" t="n">
        <v>30</v>
      </c>
      <c r="D461" s="212" t="n">
        <v>0</v>
      </c>
      <c r="E461" s="212" t="n"/>
    </row>
    <row r="462">
      <c r="A462" s="348" t="inlineStr">
        <is>
          <t>HUGO</t>
        </is>
      </c>
      <c r="B462" s="291" t="n">
        <v>1</v>
      </c>
      <c r="C462" s="228" t="n">
        <v>31</v>
      </c>
      <c r="D462" s="212" t="n">
        <v>0</v>
      </c>
      <c r="E462" s="212" t="n"/>
    </row>
    <row r="463">
      <c r="A463" s="348" t="inlineStr">
        <is>
          <t>HUGO</t>
        </is>
      </c>
      <c r="B463" s="291" t="n">
        <v>1</v>
      </c>
      <c r="C463" s="228" t="n">
        <v>32</v>
      </c>
      <c r="D463" s="212" t="n">
        <v>76341.35000000001</v>
      </c>
      <c r="E463" s="212" t="n"/>
    </row>
    <row r="464">
      <c r="A464" s="348" t="inlineStr">
        <is>
          <t>HUGO</t>
        </is>
      </c>
      <c r="B464" s="291" t="n">
        <v>1</v>
      </c>
      <c r="C464" s="228" t="n">
        <v>33</v>
      </c>
      <c r="D464" s="212" t="n">
        <v>0</v>
      </c>
      <c r="E464" s="212" t="n"/>
    </row>
    <row r="465">
      <c r="A465" s="348" t="inlineStr">
        <is>
          <t>HUGO</t>
        </is>
      </c>
      <c r="B465" s="291" t="n">
        <v>1</v>
      </c>
      <c r="C465" s="228" t="n">
        <v>34</v>
      </c>
      <c r="D465" s="212" t="n">
        <v>25447.12</v>
      </c>
      <c r="E465" s="212" t="n"/>
    </row>
    <row r="466">
      <c r="A466" s="348" t="inlineStr">
        <is>
          <t>HUGO</t>
        </is>
      </c>
      <c r="B466" s="291" t="n">
        <v>1</v>
      </c>
      <c r="C466" s="228" t="n">
        <v>35</v>
      </c>
      <c r="D466" s="212" t="n">
        <v>1161.6</v>
      </c>
      <c r="E466" s="212" t="n"/>
    </row>
    <row r="467">
      <c r="A467" s="348" t="inlineStr">
        <is>
          <t>HUGO</t>
        </is>
      </c>
      <c r="B467" s="291" t="n">
        <v>1</v>
      </c>
      <c r="C467" s="228" t="n">
        <v>36</v>
      </c>
      <c r="D467" s="212" t="n">
        <v>2162.49</v>
      </c>
      <c r="E467" s="212" t="n"/>
    </row>
    <row r="468">
      <c r="A468" s="348" t="inlineStr">
        <is>
          <t>HUGO</t>
        </is>
      </c>
      <c r="B468" s="291" t="n">
        <v>1</v>
      </c>
      <c r="C468" s="228" t="n">
        <v>37</v>
      </c>
      <c r="D468" s="212" t="n">
        <v>7461.650000000001</v>
      </c>
      <c r="E468" s="212" t="n"/>
    </row>
    <row r="469">
      <c r="A469" s="348" t="inlineStr">
        <is>
          <t>HUGO</t>
        </is>
      </c>
      <c r="B469" s="291" t="n">
        <v>1</v>
      </c>
      <c r="C469" s="228" t="n">
        <v>38</v>
      </c>
      <c r="D469" s="212" t="n">
        <v>7500</v>
      </c>
      <c r="E469" s="212" t="n"/>
    </row>
    <row r="470">
      <c r="A470" s="348" t="inlineStr">
        <is>
          <t>HUGO</t>
        </is>
      </c>
      <c r="B470" s="291" t="n">
        <v>1</v>
      </c>
      <c r="C470" s="228" t="n">
        <v>39</v>
      </c>
      <c r="D470" s="212" t="n">
        <v>1156.72</v>
      </c>
      <c r="E470" s="212" t="n"/>
    </row>
    <row r="471">
      <c r="A471" s="348" t="inlineStr">
        <is>
          <t>HUGO</t>
        </is>
      </c>
      <c r="B471" s="291" t="n">
        <v>1</v>
      </c>
      <c r="C471" s="228" t="n">
        <v>40</v>
      </c>
      <c r="D471" s="212" t="n">
        <v>35</v>
      </c>
      <c r="E471" s="212" t="n"/>
    </row>
    <row r="472">
      <c r="A472" s="348" t="inlineStr">
        <is>
          <t>HUGO</t>
        </is>
      </c>
      <c r="B472" s="291" t="n">
        <v>1</v>
      </c>
      <c r="C472" s="228" t="inlineStr">
        <is>
          <t>41.1</t>
        </is>
      </c>
      <c r="D472" s="212" t="n">
        <v>-7345.800000000001</v>
      </c>
      <c r="E472" s="212" t="n"/>
    </row>
    <row r="473">
      <c r="A473" s="348" t="inlineStr">
        <is>
          <t>HUGO</t>
        </is>
      </c>
      <c r="B473" s="291" t="n">
        <v>1</v>
      </c>
      <c r="C473" s="228" t="inlineStr">
        <is>
          <t>41.2</t>
        </is>
      </c>
      <c r="D473" s="212" t="n">
        <v>7146.059999999999</v>
      </c>
      <c r="E473" s="212" t="n"/>
    </row>
    <row r="474">
      <c r="A474" s="348" t="inlineStr">
        <is>
          <t>HUGO</t>
        </is>
      </c>
      <c r="B474" s="291" t="n">
        <v>1</v>
      </c>
      <c r="C474" s="228" t="n">
        <v>41</v>
      </c>
      <c r="D474" s="212" t="n">
        <v>199.7400000000016</v>
      </c>
      <c r="E474" s="212" t="n"/>
    </row>
    <row r="475">
      <c r="A475" s="348" t="inlineStr">
        <is>
          <t>HUGO</t>
        </is>
      </c>
      <c r="B475" s="291" t="n">
        <v>1</v>
      </c>
      <c r="C475" s="228" t="n">
        <v>42</v>
      </c>
      <c r="D475" s="212" t="n">
        <v>-680.62</v>
      </c>
      <c r="E475" s="212" t="n"/>
    </row>
    <row r="476">
      <c r="A476" s="348" t="inlineStr">
        <is>
          <t>HUGO</t>
        </is>
      </c>
      <c r="B476" s="291" t="n">
        <v>1</v>
      </c>
      <c r="C476" s="228" t="n">
        <v>43</v>
      </c>
      <c r="D476" s="212" t="n">
        <v>52122.32999999999</v>
      </c>
      <c r="E476" s="212" t="n"/>
    </row>
    <row r="477">
      <c r="A477" s="348" t="inlineStr">
        <is>
          <t>HUGO</t>
        </is>
      </c>
      <c r="B477" s="291" t="n">
        <v>1</v>
      </c>
      <c r="C477" s="228" t="n">
        <v>44</v>
      </c>
      <c r="D477" s="212" t="n">
        <v>60098.42999999999</v>
      </c>
      <c r="E477" s="212" t="n"/>
    </row>
    <row r="478">
      <c r="A478" s="348" t="inlineStr">
        <is>
          <t>HUGO</t>
        </is>
      </c>
      <c r="B478" s="291" t="n">
        <v>1</v>
      </c>
      <c r="C478" s="228" t="n">
        <v>45</v>
      </c>
      <c r="D478" s="212" t="n">
        <v>0</v>
      </c>
      <c r="E478" s="212" t="n"/>
    </row>
    <row r="479">
      <c r="A479" s="348" t="inlineStr">
        <is>
          <t>HUGO</t>
        </is>
      </c>
      <c r="B479" s="291" t="n">
        <v>1</v>
      </c>
      <c r="C479" s="228" t="n">
        <v>46</v>
      </c>
      <c r="D479" s="212" t="n">
        <v>29800</v>
      </c>
      <c r="E479" s="212" t="n"/>
    </row>
    <row r="480">
      <c r="A480" s="348" t="inlineStr">
        <is>
          <t>JEANCLO</t>
        </is>
      </c>
      <c r="B480" s="291" t="n">
        <v>1</v>
      </c>
      <c r="C480" s="228" t="n">
        <v>2</v>
      </c>
      <c r="D480" s="212" t="n">
        <v>-210623.51</v>
      </c>
      <c r="E480" s="212" t="n"/>
    </row>
    <row r="481">
      <c r="A481" s="348" t="inlineStr">
        <is>
          <t>JEANCLO</t>
        </is>
      </c>
      <c r="B481" s="291" t="n">
        <v>1</v>
      </c>
      <c r="C481" s="228" t="n">
        <v>3</v>
      </c>
      <c r="D481" s="212" t="n">
        <v>43794.62</v>
      </c>
      <c r="E481" s="212" t="n"/>
    </row>
    <row r="482">
      <c r="A482" s="348" t="inlineStr">
        <is>
          <t>JEANCLO</t>
        </is>
      </c>
      <c r="B482" s="291" t="n">
        <v>1</v>
      </c>
      <c r="C482" s="228" t="n">
        <v>4</v>
      </c>
      <c r="D482" s="212" t="n">
        <v>1059.16</v>
      </c>
      <c r="E482" s="212" t="n"/>
    </row>
    <row r="483">
      <c r="A483" s="348" t="inlineStr">
        <is>
          <t>JEANCLO</t>
        </is>
      </c>
      <c r="B483" s="291" t="n">
        <v>1</v>
      </c>
      <c r="C483" s="228" t="n">
        <v>5</v>
      </c>
      <c r="D483" s="212" t="n">
        <v>1685.57</v>
      </c>
      <c r="E483" s="212" t="n"/>
    </row>
    <row r="484">
      <c r="A484" s="348" t="inlineStr">
        <is>
          <t>JEANCLO</t>
        </is>
      </c>
      <c r="B484" s="291" t="n">
        <v>1</v>
      </c>
      <c r="C484" s="228" t="n">
        <v>6</v>
      </c>
      <c r="D484" s="212" t="n">
        <v>4944.429999999999</v>
      </c>
      <c r="E484" s="212" t="n"/>
    </row>
    <row r="485">
      <c r="A485" s="348" t="inlineStr">
        <is>
          <t>JEANCLO</t>
        </is>
      </c>
      <c r="B485" s="291" t="n">
        <v>1</v>
      </c>
      <c r="C485" s="228" t="inlineStr">
        <is>
          <t>6.1</t>
        </is>
      </c>
      <c r="D485" s="212" t="n">
        <v>0</v>
      </c>
      <c r="E485" s="212" t="n"/>
    </row>
    <row r="486">
      <c r="A486" s="348" t="inlineStr">
        <is>
          <t>JEANCLO</t>
        </is>
      </c>
      <c r="B486" s="291" t="n">
        <v>1</v>
      </c>
      <c r="C486" s="228" t="n">
        <v>7</v>
      </c>
      <c r="D486" s="212" t="n">
        <v>159139.73</v>
      </c>
      <c r="E486" s="212" t="n"/>
    </row>
    <row r="487">
      <c r="A487" s="348" t="inlineStr">
        <is>
          <t>JEANCLO</t>
        </is>
      </c>
      <c r="B487" s="291" t="n">
        <v>1</v>
      </c>
      <c r="C487" s="228" t="n">
        <v>8</v>
      </c>
      <c r="D487" s="212" t="n">
        <v>38038.68000000001</v>
      </c>
      <c r="E487" s="212" t="n"/>
    </row>
    <row r="488">
      <c r="A488" s="348" t="inlineStr">
        <is>
          <t>JEANCLO</t>
        </is>
      </c>
      <c r="B488" s="291" t="n">
        <v>1</v>
      </c>
      <c r="C488" s="228" t="n">
        <v>9</v>
      </c>
      <c r="D488" s="212" t="n">
        <v>6756.9</v>
      </c>
      <c r="E488" s="212" t="n"/>
    </row>
    <row r="489">
      <c r="A489" s="348" t="inlineStr">
        <is>
          <t>JEANCLO</t>
        </is>
      </c>
      <c r="B489" s="291" t="n">
        <v>1</v>
      </c>
      <c r="C489" s="228" t="n">
        <v>10</v>
      </c>
      <c r="D489" s="212" t="n">
        <v>13124.72</v>
      </c>
      <c r="E489" s="212" t="n"/>
    </row>
    <row r="490">
      <c r="A490" s="348" t="inlineStr">
        <is>
          <t>JEANCLO</t>
        </is>
      </c>
      <c r="B490" s="291" t="n">
        <v>1</v>
      </c>
      <c r="C490" s="228" t="n">
        <v>11</v>
      </c>
      <c r="D490" s="212" t="n">
        <v>3435.35</v>
      </c>
      <c r="E490" s="212" t="n"/>
    </row>
    <row r="491">
      <c r="A491" s="348" t="inlineStr">
        <is>
          <t>JEANCLO</t>
        </is>
      </c>
      <c r="B491" s="291" t="n">
        <v>1</v>
      </c>
      <c r="C491" s="228" t="n">
        <v>12</v>
      </c>
      <c r="D491" s="212" t="n">
        <v>0</v>
      </c>
      <c r="E491" s="212" t="n"/>
    </row>
    <row r="492">
      <c r="A492" s="348" t="inlineStr">
        <is>
          <t>JEANCLO</t>
        </is>
      </c>
      <c r="B492" s="291" t="n">
        <v>1</v>
      </c>
      <c r="C492" s="228" t="n">
        <v>13</v>
      </c>
      <c r="D492" s="212" t="n">
        <v>0</v>
      </c>
      <c r="E492" s="212" t="n"/>
    </row>
    <row r="493">
      <c r="A493" s="348" t="inlineStr">
        <is>
          <t>JEANCLO</t>
        </is>
      </c>
      <c r="B493" s="291" t="n">
        <v>1</v>
      </c>
      <c r="C493" s="228" t="n">
        <v>14</v>
      </c>
      <c r="D493" s="212" t="n">
        <v>61355.65000000001</v>
      </c>
      <c r="E493" s="212" t="n"/>
    </row>
    <row r="494">
      <c r="A494" s="348" t="inlineStr">
        <is>
          <t>JEANCLO</t>
        </is>
      </c>
      <c r="B494" s="291" t="n">
        <v>1</v>
      </c>
      <c r="C494" s="228" t="n">
        <v>15</v>
      </c>
      <c r="D494" s="212" t="n">
        <v>85.23</v>
      </c>
      <c r="E494" s="212" t="n"/>
    </row>
    <row r="495">
      <c r="A495" s="348" t="inlineStr">
        <is>
          <t>JEANCLO</t>
        </is>
      </c>
      <c r="B495" s="291" t="n">
        <v>1</v>
      </c>
      <c r="C495" s="228" t="n">
        <v>16</v>
      </c>
      <c r="D495" s="212" t="n">
        <v>97.39</v>
      </c>
      <c r="E495" s="212" t="n"/>
    </row>
    <row r="496">
      <c r="A496" s="348" t="inlineStr">
        <is>
          <t>JEANCLO</t>
        </is>
      </c>
      <c r="B496" s="291" t="n">
        <v>1</v>
      </c>
      <c r="C496" s="228" t="n">
        <v>17</v>
      </c>
      <c r="D496" s="212" t="n">
        <v>756.5599999999999</v>
      </c>
      <c r="E496" s="212" t="n"/>
    </row>
    <row r="497">
      <c r="A497" s="348" t="inlineStr">
        <is>
          <t>JEANCLO</t>
        </is>
      </c>
      <c r="B497" s="291" t="n">
        <v>1</v>
      </c>
      <c r="C497" s="228" t="n">
        <v>18</v>
      </c>
      <c r="D497" s="212" t="n">
        <v>3534.75</v>
      </c>
      <c r="E497" s="212" t="n"/>
    </row>
    <row r="498">
      <c r="A498" s="348" t="inlineStr">
        <is>
          <t>JEANCLO</t>
        </is>
      </c>
      <c r="B498" s="291" t="n">
        <v>1</v>
      </c>
      <c r="C498" s="228" t="n">
        <v>19</v>
      </c>
      <c r="D498" s="212" t="n">
        <v>2810.47</v>
      </c>
      <c r="E498" s="212" t="n"/>
    </row>
    <row r="499">
      <c r="A499" s="348" t="inlineStr">
        <is>
          <t>JEANCLO</t>
        </is>
      </c>
      <c r="B499" s="291" t="n">
        <v>1</v>
      </c>
      <c r="C499" s="228" t="n">
        <v>20</v>
      </c>
      <c r="D499" s="212" t="n">
        <v>7284.4</v>
      </c>
      <c r="E499" s="212" t="n"/>
    </row>
    <row r="500">
      <c r="A500" s="348" t="inlineStr">
        <is>
          <t>JEANCLO</t>
        </is>
      </c>
      <c r="B500" s="291" t="n">
        <v>1</v>
      </c>
      <c r="C500" s="228" t="n">
        <v>21</v>
      </c>
      <c r="D500" s="212" t="n">
        <v>11851.04</v>
      </c>
      <c r="E500" s="212" t="n"/>
    </row>
    <row r="501">
      <c r="A501" s="348" t="inlineStr">
        <is>
          <t>JEANCLO</t>
        </is>
      </c>
      <c r="B501" s="291" t="n">
        <v>1</v>
      </c>
      <c r="C501" s="228" t="n">
        <v>22</v>
      </c>
      <c r="D501" s="212" t="n">
        <v>8490.309999999999</v>
      </c>
      <c r="E501" s="212" t="n"/>
    </row>
    <row r="502">
      <c r="A502" s="348" t="inlineStr">
        <is>
          <t>JEANCLO</t>
        </is>
      </c>
      <c r="B502" s="291" t="n">
        <v>1</v>
      </c>
      <c r="C502" s="228" t="n">
        <v>23</v>
      </c>
      <c r="D502" s="212" t="n">
        <v>3402.41</v>
      </c>
      <c r="E502" s="212" t="n"/>
    </row>
    <row r="503">
      <c r="A503" s="348" t="inlineStr">
        <is>
          <t>JEANCLO</t>
        </is>
      </c>
      <c r="B503" s="291" t="n">
        <v>1</v>
      </c>
      <c r="C503" s="228" t="n">
        <v>24</v>
      </c>
      <c r="D503" s="212" t="n">
        <v>19326.51</v>
      </c>
      <c r="E503" s="212" t="n"/>
    </row>
    <row r="504">
      <c r="A504" s="348" t="inlineStr">
        <is>
          <t>JEANCLO</t>
        </is>
      </c>
      <c r="B504" s="291" t="n">
        <v>1</v>
      </c>
      <c r="C504" s="228" t="n">
        <v>25</v>
      </c>
      <c r="D504" s="212" t="n">
        <v>9357.049999999999</v>
      </c>
      <c r="E504" s="212" t="n"/>
    </row>
    <row r="505">
      <c r="A505" s="348" t="inlineStr">
        <is>
          <t>JEANCLO</t>
        </is>
      </c>
      <c r="B505" s="291" t="n">
        <v>1</v>
      </c>
      <c r="C505" s="228" t="n">
        <v>26</v>
      </c>
      <c r="D505" s="212" t="n">
        <v>533.01</v>
      </c>
      <c r="E505" s="212" t="n"/>
    </row>
    <row r="506">
      <c r="A506" s="348" t="inlineStr">
        <is>
          <t>JEANCLO</t>
        </is>
      </c>
      <c r="B506" s="291" t="n">
        <v>1</v>
      </c>
      <c r="C506" s="228" t="n">
        <v>27</v>
      </c>
      <c r="D506" s="212" t="n">
        <v>1521.58</v>
      </c>
      <c r="E506" s="212" t="n"/>
    </row>
    <row r="507">
      <c r="A507" s="348" t="inlineStr">
        <is>
          <t>JEANCLO</t>
        </is>
      </c>
      <c r="B507" s="291" t="n">
        <v>1</v>
      </c>
      <c r="C507" s="228" t="n">
        <v>28</v>
      </c>
      <c r="D507" s="212" t="n">
        <v>36017.77000000001</v>
      </c>
      <c r="E507" s="212" t="n"/>
    </row>
    <row r="508">
      <c r="A508" s="348" t="inlineStr">
        <is>
          <t>JEANCLO</t>
        </is>
      </c>
      <c r="B508" s="291" t="n">
        <v>1</v>
      </c>
      <c r="C508" s="228" t="n">
        <v>29</v>
      </c>
      <c r="D508" s="212" t="n">
        <v>21225.78</v>
      </c>
      <c r="E508" s="212" t="n"/>
    </row>
    <row r="509">
      <c r="A509" s="348" t="inlineStr">
        <is>
          <t>JEANCLO</t>
        </is>
      </c>
      <c r="B509" s="291" t="n">
        <v>1</v>
      </c>
      <c r="C509" s="228" t="n">
        <v>30</v>
      </c>
      <c r="D509" s="212" t="n">
        <v>2100.18</v>
      </c>
      <c r="E509" s="212" t="n"/>
    </row>
    <row r="510">
      <c r="A510" s="348" t="inlineStr">
        <is>
          <t>JEANCLO</t>
        </is>
      </c>
      <c r="B510" s="291" t="n">
        <v>1</v>
      </c>
      <c r="C510" s="228" t="n">
        <v>31</v>
      </c>
      <c r="D510" s="212" t="n">
        <v>0</v>
      </c>
      <c r="E510" s="212" t="n"/>
    </row>
    <row r="511">
      <c r="A511" s="348" t="inlineStr">
        <is>
          <t>JEANCLO</t>
        </is>
      </c>
      <c r="B511" s="291" t="n">
        <v>1</v>
      </c>
      <c r="C511" s="228" t="n">
        <v>32</v>
      </c>
      <c r="D511" s="212" t="n">
        <v>23325.96</v>
      </c>
      <c r="E511" s="212" t="n"/>
    </row>
    <row r="512">
      <c r="A512" s="348" t="inlineStr">
        <is>
          <t>JEANCLO</t>
        </is>
      </c>
      <c r="B512" s="291" t="n">
        <v>1</v>
      </c>
      <c r="C512" s="228" t="n">
        <v>33</v>
      </c>
      <c r="D512" s="212" t="n">
        <v>2711.82</v>
      </c>
      <c r="E512" s="212" t="n"/>
    </row>
    <row r="513">
      <c r="A513" s="348" t="inlineStr">
        <is>
          <t>JEANCLO</t>
        </is>
      </c>
      <c r="B513" s="291" t="n">
        <v>1</v>
      </c>
      <c r="C513" s="228" t="n">
        <v>34</v>
      </c>
      <c r="D513" s="212" t="n">
        <v>10612.88</v>
      </c>
      <c r="E513" s="212" t="n"/>
    </row>
    <row r="514">
      <c r="A514" s="348" t="inlineStr">
        <is>
          <t>JEANCLO</t>
        </is>
      </c>
      <c r="B514" s="291" t="n">
        <v>1</v>
      </c>
      <c r="C514" s="228" t="n">
        <v>35</v>
      </c>
      <c r="D514" s="212" t="n">
        <v>733.85</v>
      </c>
      <c r="E514" s="212" t="n"/>
    </row>
    <row r="515">
      <c r="A515" s="348" t="inlineStr">
        <is>
          <t>JEANCLO</t>
        </is>
      </c>
      <c r="B515" s="291" t="n">
        <v>1</v>
      </c>
      <c r="C515" s="228" t="n">
        <v>36</v>
      </c>
      <c r="D515" s="212" t="n">
        <v>872.04</v>
      </c>
      <c r="E515" s="212" t="n"/>
    </row>
    <row r="516">
      <c r="A516" s="348" t="inlineStr">
        <is>
          <t>JEANCLO</t>
        </is>
      </c>
      <c r="B516" s="291" t="n">
        <v>1</v>
      </c>
      <c r="C516" s="228" t="n">
        <v>37</v>
      </c>
      <c r="D516" s="212" t="n">
        <v>2018.14</v>
      </c>
      <c r="E516" s="212" t="n"/>
    </row>
    <row r="517">
      <c r="A517" s="348" t="inlineStr">
        <is>
          <t>JEANCLO</t>
        </is>
      </c>
      <c r="B517" s="291" t="n">
        <v>1</v>
      </c>
      <c r="C517" s="228" t="n">
        <v>38</v>
      </c>
      <c r="D517" s="212" t="n">
        <v>9200</v>
      </c>
      <c r="E517" s="212" t="n"/>
    </row>
    <row r="518">
      <c r="A518" s="348" t="inlineStr">
        <is>
          <t>JEANCLO</t>
        </is>
      </c>
      <c r="B518" s="291" t="n">
        <v>1</v>
      </c>
      <c r="C518" s="228" t="n">
        <v>39</v>
      </c>
      <c r="D518" s="212" t="n">
        <v>556.53</v>
      </c>
      <c r="E518" s="212" t="n"/>
    </row>
    <row r="519">
      <c r="A519" s="348" t="inlineStr">
        <is>
          <t>JEANCLO</t>
        </is>
      </c>
      <c r="B519" s="291" t="n">
        <v>1</v>
      </c>
      <c r="C519" s="228" t="n">
        <v>40</v>
      </c>
      <c r="D519" s="212" t="n">
        <v>35</v>
      </c>
      <c r="E519" s="212" t="n"/>
    </row>
    <row r="520">
      <c r="A520" s="348" t="inlineStr">
        <is>
          <t>JEANCLO</t>
        </is>
      </c>
      <c r="B520" s="291" t="n">
        <v>1</v>
      </c>
      <c r="C520" s="228" t="inlineStr">
        <is>
          <t>41.1</t>
        </is>
      </c>
      <c r="D520" s="212" t="n">
        <v>-2325.94</v>
      </c>
      <c r="E520" s="212" t="n"/>
    </row>
    <row r="521">
      <c r="A521" s="348" t="inlineStr">
        <is>
          <t>JEANCLO</t>
        </is>
      </c>
      <c r="B521" s="291" t="n">
        <v>1</v>
      </c>
      <c r="C521" s="228" t="inlineStr">
        <is>
          <t>41.2</t>
        </is>
      </c>
      <c r="D521" s="212" t="n">
        <v>2058.79</v>
      </c>
      <c r="E521" s="212" t="n"/>
    </row>
    <row r="522">
      <c r="A522" s="348" t="inlineStr">
        <is>
          <t>JEANCLO</t>
        </is>
      </c>
      <c r="B522" s="291" t="n">
        <v>1</v>
      </c>
      <c r="C522" s="228" t="n">
        <v>41</v>
      </c>
      <c r="D522" s="212" t="n">
        <v>267.1500000000001</v>
      </c>
      <c r="E522" s="212" t="n"/>
    </row>
    <row r="523">
      <c r="A523" s="348" t="inlineStr">
        <is>
          <t>JEANCLO</t>
        </is>
      </c>
      <c r="B523" s="291" t="n">
        <v>1</v>
      </c>
      <c r="C523" s="228" t="n">
        <v>42</v>
      </c>
      <c r="D523" s="212" t="n">
        <v>303.48</v>
      </c>
      <c r="E523" s="212" t="n"/>
    </row>
    <row r="524">
      <c r="A524" s="348" t="inlineStr">
        <is>
          <t>JEANCLO</t>
        </is>
      </c>
      <c r="B524" s="291" t="n">
        <v>1</v>
      </c>
      <c r="C524" s="228" t="n">
        <v>43</v>
      </c>
      <c r="D524" s="212" t="n">
        <v>-14084.77999999998</v>
      </c>
      <c r="E524" s="212" t="n"/>
    </row>
    <row r="525">
      <c r="A525" s="348" t="inlineStr">
        <is>
          <t>JEANCLO</t>
        </is>
      </c>
      <c r="B525" s="291" t="n">
        <v>1</v>
      </c>
      <c r="C525" s="228" t="n">
        <v>44</v>
      </c>
      <c r="D525" s="212" t="n">
        <v>-4024.769999999983</v>
      </c>
      <c r="E525" s="212" t="n"/>
    </row>
    <row r="526">
      <c r="A526" s="348" t="inlineStr">
        <is>
          <t>JEANCLO</t>
        </is>
      </c>
      <c r="B526" s="291" t="n">
        <v>1</v>
      </c>
      <c r="C526" s="228" t="n">
        <v>45</v>
      </c>
      <c r="D526" s="212" t="n">
        <v>0</v>
      </c>
      <c r="E526" s="212" t="n"/>
    </row>
    <row r="527">
      <c r="A527" s="348" t="inlineStr">
        <is>
          <t>JEANCLO</t>
        </is>
      </c>
      <c r="B527" s="291" t="n">
        <v>1</v>
      </c>
      <c r="C527" s="228" t="n">
        <v>46</v>
      </c>
      <c r="D527" s="212" t="n">
        <v>12000</v>
      </c>
      <c r="E527" s="212" t="n"/>
    </row>
    <row r="528">
      <c r="A528" s="348" t="inlineStr">
        <is>
          <t>THOMAS</t>
        </is>
      </c>
      <c r="B528" s="291" t="n">
        <v>1</v>
      </c>
      <c r="C528" s="228" t="n">
        <v>2</v>
      </c>
      <c r="D528" s="212" t="n">
        <v>-349402.23</v>
      </c>
      <c r="E528" s="212" t="n"/>
    </row>
    <row r="529">
      <c r="A529" s="348" t="inlineStr">
        <is>
          <t>THOMAS</t>
        </is>
      </c>
      <c r="B529" s="291" t="n">
        <v>1</v>
      </c>
      <c r="C529" s="228" t="n">
        <v>3</v>
      </c>
      <c r="D529" s="212" t="n">
        <v>77023.95000000001</v>
      </c>
      <c r="E529" s="212" t="n"/>
    </row>
    <row r="530">
      <c r="A530" s="348" t="inlineStr">
        <is>
          <t>THOMAS</t>
        </is>
      </c>
      <c r="B530" s="291" t="n">
        <v>1</v>
      </c>
      <c r="C530" s="228" t="n">
        <v>4</v>
      </c>
      <c r="D530" s="212" t="n">
        <v>1700.81</v>
      </c>
      <c r="E530" s="212" t="n"/>
    </row>
    <row r="531">
      <c r="A531" s="348" t="inlineStr">
        <is>
          <t>THOMAS</t>
        </is>
      </c>
      <c r="B531" s="291" t="n">
        <v>1</v>
      </c>
      <c r="C531" s="228" t="n">
        <v>5</v>
      </c>
      <c r="D531" s="212" t="n">
        <v>3010.68</v>
      </c>
      <c r="E531" s="212" t="n"/>
    </row>
    <row r="532">
      <c r="A532" s="348" t="inlineStr">
        <is>
          <t>THOMAS</t>
        </is>
      </c>
      <c r="B532" s="291" t="n">
        <v>1</v>
      </c>
      <c r="C532" s="228" t="n">
        <v>6</v>
      </c>
      <c r="D532" s="212" t="n">
        <v>9108.709999999999</v>
      </c>
      <c r="E532" s="212" t="n"/>
    </row>
    <row r="533">
      <c r="A533" s="348" t="inlineStr">
        <is>
          <t>THOMAS</t>
        </is>
      </c>
      <c r="B533" s="291" t="n">
        <v>1</v>
      </c>
      <c r="C533" s="228" t="inlineStr">
        <is>
          <t>6.1</t>
        </is>
      </c>
      <c r="D533" s="212" t="n">
        <v>490.85</v>
      </c>
      <c r="E533" s="212" t="n"/>
    </row>
    <row r="534">
      <c r="A534" s="348" t="inlineStr">
        <is>
          <t>THOMAS</t>
        </is>
      </c>
      <c r="B534" s="291" t="n">
        <v>1</v>
      </c>
      <c r="C534" s="228" t="n">
        <v>7</v>
      </c>
      <c r="D534" s="212" t="n">
        <v>258067.23</v>
      </c>
      <c r="E534" s="212" t="n"/>
    </row>
    <row r="535">
      <c r="A535" s="348" t="inlineStr">
        <is>
          <t>THOMAS</t>
        </is>
      </c>
      <c r="B535" s="291" t="n">
        <v>1</v>
      </c>
      <c r="C535" s="228" t="n">
        <v>8</v>
      </c>
      <c r="D535" s="212" t="n">
        <v>58903.05</v>
      </c>
      <c r="E535" s="212" t="n"/>
    </row>
    <row r="536">
      <c r="A536" s="348" t="inlineStr">
        <is>
          <t>THOMAS</t>
        </is>
      </c>
      <c r="B536" s="291" t="n">
        <v>1</v>
      </c>
      <c r="C536" s="228" t="n">
        <v>9</v>
      </c>
      <c r="D536" s="212" t="n">
        <v>11776.67</v>
      </c>
      <c r="E536" s="212" t="n"/>
    </row>
    <row r="537">
      <c r="A537" s="348" t="inlineStr">
        <is>
          <t>THOMAS</t>
        </is>
      </c>
      <c r="B537" s="291" t="n">
        <v>1</v>
      </c>
      <c r="C537" s="228" t="n">
        <v>10</v>
      </c>
      <c r="D537" s="212" t="n">
        <v>20461.65</v>
      </c>
      <c r="E537" s="212" t="n"/>
    </row>
    <row r="538">
      <c r="A538" s="348" t="inlineStr">
        <is>
          <t>THOMAS</t>
        </is>
      </c>
      <c r="B538" s="291" t="n">
        <v>1</v>
      </c>
      <c r="C538" s="228" t="n">
        <v>11</v>
      </c>
      <c r="D538" s="212" t="n">
        <v>5981.220000000001</v>
      </c>
      <c r="E538" s="212" t="n"/>
    </row>
    <row r="539">
      <c r="A539" s="348" t="inlineStr">
        <is>
          <t>THOMAS</t>
        </is>
      </c>
      <c r="B539" s="291" t="n">
        <v>1</v>
      </c>
      <c r="C539" s="228" t="n">
        <v>12</v>
      </c>
      <c r="D539" s="212" t="n">
        <v>0</v>
      </c>
      <c r="E539" s="212" t="n"/>
    </row>
    <row r="540">
      <c r="A540" s="348" t="inlineStr">
        <is>
          <t>THOMAS</t>
        </is>
      </c>
      <c r="B540" s="291" t="n">
        <v>1</v>
      </c>
      <c r="C540" s="228" t="n">
        <v>13</v>
      </c>
      <c r="D540" s="212" t="n">
        <v>0</v>
      </c>
      <c r="E540" s="212" t="n"/>
    </row>
    <row r="541">
      <c r="A541" s="348" t="inlineStr">
        <is>
          <t>THOMAS</t>
        </is>
      </c>
      <c r="B541" s="291" t="n">
        <v>1</v>
      </c>
      <c r="C541" s="228" t="n">
        <v>14</v>
      </c>
      <c r="D541" s="212" t="n">
        <v>97122.59</v>
      </c>
      <c r="E541" s="212" t="n"/>
    </row>
    <row r="542">
      <c r="A542" s="348" t="inlineStr">
        <is>
          <t>THOMAS</t>
        </is>
      </c>
      <c r="B542" s="291" t="n">
        <v>1</v>
      </c>
      <c r="C542" s="228" t="n">
        <v>15</v>
      </c>
      <c r="D542" s="212" t="n">
        <v>109.12</v>
      </c>
      <c r="E542" s="212" t="n"/>
    </row>
    <row r="543">
      <c r="A543" s="348" t="inlineStr">
        <is>
          <t>THOMAS</t>
        </is>
      </c>
      <c r="B543" s="291" t="n">
        <v>1</v>
      </c>
      <c r="C543" s="228" t="n">
        <v>16</v>
      </c>
      <c r="D543" s="212" t="n">
        <v>65.39</v>
      </c>
      <c r="E543" s="212" t="n"/>
    </row>
    <row r="544">
      <c r="A544" s="348" t="inlineStr">
        <is>
          <t>THOMAS</t>
        </is>
      </c>
      <c r="B544" s="291" t="n">
        <v>1</v>
      </c>
      <c r="C544" s="228" t="n">
        <v>17</v>
      </c>
      <c r="D544" s="212" t="n">
        <v>1949.2</v>
      </c>
      <c r="E544" s="212" t="n"/>
    </row>
    <row r="545">
      <c r="A545" s="348" t="inlineStr">
        <is>
          <t>THOMAS</t>
        </is>
      </c>
      <c r="B545" s="291" t="n">
        <v>1</v>
      </c>
      <c r="C545" s="228" t="n">
        <v>18</v>
      </c>
      <c r="D545" s="212" t="n">
        <v>4641.37</v>
      </c>
      <c r="E545" s="212" t="n"/>
    </row>
    <row r="546">
      <c r="A546" s="348" t="inlineStr">
        <is>
          <t>THOMAS</t>
        </is>
      </c>
      <c r="B546" s="291" t="n">
        <v>1</v>
      </c>
      <c r="C546" s="228" t="n">
        <v>19</v>
      </c>
      <c r="D546" s="212" t="n">
        <v>4002.36</v>
      </c>
      <c r="E546" s="212" t="n"/>
    </row>
    <row r="547">
      <c r="A547" s="348" t="inlineStr">
        <is>
          <t>THOMAS</t>
        </is>
      </c>
      <c r="B547" s="291" t="n">
        <v>1</v>
      </c>
      <c r="C547" s="228" t="n">
        <v>20</v>
      </c>
      <c r="D547" s="212" t="n">
        <v>10767.44</v>
      </c>
      <c r="E547" s="212" t="n"/>
    </row>
    <row r="548">
      <c r="A548" s="348" t="inlineStr">
        <is>
          <t>THOMAS</t>
        </is>
      </c>
      <c r="B548" s="291" t="n">
        <v>1</v>
      </c>
      <c r="C548" s="228" t="n">
        <v>21</v>
      </c>
      <c r="D548" s="212" t="n">
        <v>6492.02</v>
      </c>
      <c r="E548" s="212" t="n"/>
    </row>
    <row r="549">
      <c r="A549" s="348" t="inlineStr">
        <is>
          <t>THOMAS</t>
        </is>
      </c>
      <c r="B549" s="291" t="n">
        <v>1</v>
      </c>
      <c r="C549" s="228" t="n">
        <v>22</v>
      </c>
      <c r="D549" s="212" t="n">
        <v>13991.45</v>
      </c>
      <c r="E549" s="212" t="n"/>
    </row>
    <row r="550">
      <c r="A550" s="348" t="inlineStr">
        <is>
          <t>THOMAS</t>
        </is>
      </c>
      <c r="B550" s="291" t="n">
        <v>1</v>
      </c>
      <c r="C550" s="228" t="n">
        <v>23</v>
      </c>
      <c r="D550" s="212" t="n">
        <v>4333.13</v>
      </c>
      <c r="E550" s="212" t="n"/>
    </row>
    <row r="551">
      <c r="A551" s="348" t="inlineStr">
        <is>
          <t>THOMAS</t>
        </is>
      </c>
      <c r="B551" s="291" t="n">
        <v>1</v>
      </c>
      <c r="C551" s="228" t="n">
        <v>24</v>
      </c>
      <c r="D551" s="212" t="n">
        <v>19297.62</v>
      </c>
      <c r="E551" s="212" t="n"/>
    </row>
    <row r="552">
      <c r="A552" s="348" t="inlineStr">
        <is>
          <t>THOMAS</t>
        </is>
      </c>
      <c r="B552" s="291" t="n">
        <v>1</v>
      </c>
      <c r="C552" s="228" t="n">
        <v>25</v>
      </c>
      <c r="D552" s="212" t="n">
        <v>4683.66</v>
      </c>
      <c r="E552" s="212" t="n"/>
    </row>
    <row r="553">
      <c r="A553" s="348" t="inlineStr">
        <is>
          <t>THOMAS</t>
        </is>
      </c>
      <c r="B553" s="291" t="n">
        <v>1</v>
      </c>
      <c r="C553" s="228" t="n">
        <v>26</v>
      </c>
      <c r="D553" s="212" t="n">
        <v>802.97</v>
      </c>
      <c r="E553" s="212" t="n"/>
    </row>
    <row r="554">
      <c r="A554" s="348" t="inlineStr">
        <is>
          <t>THOMAS</t>
        </is>
      </c>
      <c r="B554" s="291" t="n">
        <v>1</v>
      </c>
      <c r="C554" s="228" t="n">
        <v>27</v>
      </c>
      <c r="D554" s="212" t="n">
        <v>192.87</v>
      </c>
      <c r="E554" s="212" t="n"/>
    </row>
    <row r="555">
      <c r="A555" s="348" t="inlineStr">
        <is>
          <t>THOMAS</t>
        </is>
      </c>
      <c r="B555" s="291" t="n">
        <v>1</v>
      </c>
      <c r="C555" s="228" t="n">
        <v>28</v>
      </c>
      <c r="D555" s="212" t="n">
        <v>100383.48</v>
      </c>
      <c r="E555" s="212" t="n"/>
    </row>
    <row r="556">
      <c r="A556" s="348" t="inlineStr">
        <is>
          <t>THOMAS</t>
        </is>
      </c>
      <c r="B556" s="291" t="n">
        <v>1</v>
      </c>
      <c r="C556" s="228" t="n">
        <v>29</v>
      </c>
      <c r="D556" s="212" t="n">
        <v>62961.53</v>
      </c>
      <c r="E556" s="212" t="n"/>
    </row>
    <row r="557">
      <c r="A557" s="348" t="inlineStr">
        <is>
          <t>THOMAS</t>
        </is>
      </c>
      <c r="B557" s="291" t="n">
        <v>1</v>
      </c>
      <c r="C557" s="228" t="n">
        <v>30</v>
      </c>
      <c r="D557" s="212" t="n">
        <v>0</v>
      </c>
      <c r="E557" s="212" t="n"/>
    </row>
    <row r="558">
      <c r="A558" s="348" t="inlineStr">
        <is>
          <t>THOMAS</t>
        </is>
      </c>
      <c r="B558" s="291" t="n">
        <v>1</v>
      </c>
      <c r="C558" s="228" t="n">
        <v>31</v>
      </c>
      <c r="D558" s="212" t="n">
        <v>0</v>
      </c>
      <c r="E558" s="212" t="n"/>
    </row>
    <row r="559">
      <c r="A559" s="348" t="inlineStr">
        <is>
          <t>THOMAS</t>
        </is>
      </c>
      <c r="B559" s="291" t="n">
        <v>1</v>
      </c>
      <c r="C559" s="228" t="n">
        <v>32</v>
      </c>
      <c r="D559" s="212" t="n">
        <v>62961.53</v>
      </c>
      <c r="E559" s="212" t="n"/>
    </row>
    <row r="560">
      <c r="A560" s="348" t="inlineStr">
        <is>
          <t>THOMAS</t>
        </is>
      </c>
      <c r="B560" s="291" t="n">
        <v>1</v>
      </c>
      <c r="C560" s="228" t="n">
        <v>33</v>
      </c>
      <c r="D560" s="212" t="n">
        <v>0</v>
      </c>
      <c r="E560" s="212" t="n"/>
    </row>
    <row r="561">
      <c r="A561" s="348" t="inlineStr">
        <is>
          <t>THOMAS</t>
        </is>
      </c>
      <c r="B561" s="291" t="n">
        <v>1</v>
      </c>
      <c r="C561" s="228" t="n">
        <v>34</v>
      </c>
      <c r="D561" s="212" t="n">
        <v>17489.32</v>
      </c>
      <c r="E561" s="212" t="n"/>
    </row>
    <row r="562">
      <c r="A562" s="348" t="inlineStr">
        <is>
          <t>THOMAS</t>
        </is>
      </c>
      <c r="B562" s="291" t="n">
        <v>1</v>
      </c>
      <c r="C562" s="228" t="n">
        <v>35</v>
      </c>
      <c r="D562" s="212" t="n">
        <v>1059.5</v>
      </c>
      <c r="E562" s="212" t="n"/>
    </row>
    <row r="563">
      <c r="A563" s="348" t="inlineStr">
        <is>
          <t>THOMAS</t>
        </is>
      </c>
      <c r="B563" s="291" t="n">
        <v>1</v>
      </c>
      <c r="C563" s="228" t="n">
        <v>36</v>
      </c>
      <c r="D563" s="212" t="n">
        <v>1565.76</v>
      </c>
      <c r="E563" s="212" t="n"/>
    </row>
    <row r="564">
      <c r="A564" s="348" t="inlineStr">
        <is>
          <t>THOMAS</t>
        </is>
      </c>
      <c r="B564" s="291" t="n">
        <v>1</v>
      </c>
      <c r="C564" s="228" t="n">
        <v>37</v>
      </c>
      <c r="D564" s="212" t="n">
        <v>4509.01</v>
      </c>
      <c r="E564" s="212" t="n"/>
    </row>
    <row r="565">
      <c r="A565" s="348" t="inlineStr">
        <is>
          <t>THOMAS</t>
        </is>
      </c>
      <c r="B565" s="291" t="n">
        <v>1</v>
      </c>
      <c r="C565" s="228" t="n">
        <v>38</v>
      </c>
      <c r="D565" s="212" t="n">
        <v>5000</v>
      </c>
      <c r="E565" s="212" t="n"/>
    </row>
    <row r="566">
      <c r="A566" s="348" t="inlineStr">
        <is>
          <t>THOMAS</t>
        </is>
      </c>
      <c r="B566" s="291" t="n">
        <v>1</v>
      </c>
      <c r="C566" s="228" t="n">
        <v>39</v>
      </c>
      <c r="D566" s="212" t="n">
        <v>1038.23</v>
      </c>
      <c r="E566" s="212" t="n"/>
    </row>
    <row r="567">
      <c r="A567" s="348" t="inlineStr">
        <is>
          <t>THOMAS</t>
        </is>
      </c>
      <c r="B567" s="291" t="n">
        <v>1</v>
      </c>
      <c r="C567" s="228" t="n">
        <v>40</v>
      </c>
      <c r="D567" s="212" t="n">
        <v>35</v>
      </c>
      <c r="E567" s="212" t="n"/>
    </row>
    <row r="568">
      <c r="A568" s="348" t="inlineStr">
        <is>
          <t>THOMAS</t>
        </is>
      </c>
      <c r="B568" s="291" t="n">
        <v>1</v>
      </c>
      <c r="C568" s="228" t="inlineStr">
        <is>
          <t>41.1</t>
        </is>
      </c>
      <c r="D568" s="212" t="n">
        <v>-4809.01</v>
      </c>
      <c r="E568" s="212" t="n"/>
    </row>
    <row r="569">
      <c r="A569" s="348" t="inlineStr">
        <is>
          <t>THOMAS</t>
        </is>
      </c>
      <c r="B569" s="291" t="n">
        <v>1</v>
      </c>
      <c r="C569" s="228" t="inlineStr">
        <is>
          <t>41.2</t>
        </is>
      </c>
      <c r="D569" s="212" t="n">
        <v>4836.38</v>
      </c>
      <c r="E569" s="212" t="n"/>
    </row>
    <row r="570">
      <c r="A570" s="348" t="inlineStr">
        <is>
          <t>THOMAS</t>
        </is>
      </c>
      <c r="B570" s="291" t="n">
        <v>1</v>
      </c>
      <c r="C570" s="228" t="n">
        <v>41</v>
      </c>
      <c r="D570" s="212" t="n">
        <v>-27.36999999999989</v>
      </c>
      <c r="E570" s="212" t="n"/>
    </row>
    <row r="571">
      <c r="A571" s="348" t="inlineStr">
        <is>
          <t>THOMAS</t>
        </is>
      </c>
      <c r="B571" s="291" t="n">
        <v>1</v>
      </c>
      <c r="C571" s="228" t="n">
        <v>42</v>
      </c>
      <c r="D571" s="212" t="n">
        <v>26.49</v>
      </c>
      <c r="E571" s="212" t="n"/>
    </row>
    <row r="572">
      <c r="A572" s="348" t="inlineStr">
        <is>
          <t>THOMAS</t>
        </is>
      </c>
      <c r="B572" s="291" t="n">
        <v>1</v>
      </c>
      <c r="C572" s="228" t="n">
        <v>43</v>
      </c>
      <c r="D572" s="212" t="n">
        <v>6671.270000000049</v>
      </c>
      <c r="E572" s="212" t="n"/>
    </row>
    <row r="573">
      <c r="A573" s="348" t="inlineStr">
        <is>
          <t>THOMAS</t>
        </is>
      </c>
      <c r="B573" s="291" t="n">
        <v>1</v>
      </c>
      <c r="C573" s="228" t="n">
        <v>44</v>
      </c>
      <c r="D573" s="212" t="n">
        <v>12735.99000000005</v>
      </c>
      <c r="E573" s="212" t="n"/>
    </row>
    <row r="574">
      <c r="A574" s="348" t="inlineStr">
        <is>
          <t>THOMAS</t>
        </is>
      </c>
      <c r="B574" s="291" t="n">
        <v>1</v>
      </c>
      <c r="C574" s="228" t="n">
        <v>45</v>
      </c>
      <c r="D574" s="212" t="n">
        <v>0</v>
      </c>
      <c r="E574" s="212" t="n"/>
    </row>
    <row r="575">
      <c r="A575" s="348" t="inlineStr">
        <is>
          <t>THOMAS</t>
        </is>
      </c>
      <c r="B575" s="291" t="n">
        <v>1</v>
      </c>
      <c r="C575" s="228" t="n">
        <v>46</v>
      </c>
      <c r="D575" s="212" t="n">
        <v>21400</v>
      </c>
      <c r="E575" s="212" t="n"/>
    </row>
    <row r="576">
      <c r="B576" s="291" t="n"/>
      <c r="E576" s="212" t="n"/>
    </row>
    <row r="577">
      <c r="B577" s="291" t="n"/>
      <c r="E577" s="212" t="n"/>
    </row>
    <row r="578">
      <c r="B578" s="291" t="n"/>
      <c r="E578" s="212" t="n"/>
    </row>
    <row r="579">
      <c r="B579" s="291" t="n"/>
      <c r="E579" s="212" t="n"/>
    </row>
    <row r="580">
      <c r="B580" s="291" t="n"/>
      <c r="E580" s="212" t="n"/>
    </row>
    <row r="581">
      <c r="B581" s="291" t="n"/>
      <c r="E581" s="212" t="n"/>
    </row>
    <row r="582">
      <c r="B582" s="291" t="n"/>
      <c r="E582" s="212" t="n"/>
    </row>
    <row r="583">
      <c r="B583" s="291" t="n"/>
      <c r="E583" s="212" t="n"/>
    </row>
    <row r="584">
      <c r="B584" s="291" t="n"/>
      <c r="E584" s="212" t="n"/>
    </row>
    <row r="585">
      <c r="B585" s="291" t="n"/>
      <c r="E585" s="212" t="n"/>
    </row>
    <row r="586">
      <c r="B586" s="291" t="n"/>
      <c r="E586" s="212" t="n"/>
    </row>
    <row r="587">
      <c r="B587" s="291" t="n"/>
      <c r="E587" s="212" t="n"/>
    </row>
    <row r="588">
      <c r="B588" s="291" t="n"/>
      <c r="E588" s="212" t="n"/>
    </row>
    <row r="589">
      <c r="B589" s="291" t="n"/>
      <c r="E589" s="212" t="n"/>
    </row>
    <row r="590">
      <c r="B590" s="291" t="n"/>
      <c r="E590" s="212" t="n"/>
    </row>
    <row r="591">
      <c r="B591" s="291" t="n"/>
      <c r="E591" s="212" t="n"/>
    </row>
    <row r="592">
      <c r="B592" s="291" t="n"/>
      <c r="E592" s="212" t="n"/>
    </row>
    <row r="593">
      <c r="B593" s="291" t="n"/>
      <c r="E593" s="212" t="n"/>
    </row>
    <row r="594">
      <c r="B594" s="291" t="n"/>
      <c r="E594" s="212" t="n"/>
    </row>
    <row r="595">
      <c r="B595" s="291" t="n"/>
      <c r="E595" s="212" t="n"/>
    </row>
    <row r="596">
      <c r="B596" s="291" t="n"/>
      <c r="E596" s="212" t="n"/>
    </row>
    <row r="597">
      <c r="B597" s="291" t="n"/>
      <c r="E597" s="212" t="n"/>
    </row>
    <row r="598">
      <c r="B598" s="291" t="n"/>
      <c r="E598" s="212" t="n"/>
    </row>
    <row r="599">
      <c r="B599" s="291" t="n"/>
      <c r="E599" s="212" t="n"/>
    </row>
    <row r="600">
      <c r="B600" s="291" t="n"/>
      <c r="E600" s="212" t="n"/>
    </row>
    <row r="601">
      <c r="B601" s="291" t="n"/>
      <c r="E601" s="212" t="n"/>
    </row>
    <row r="602">
      <c r="B602" s="291" t="n"/>
      <c r="E602" s="212" t="n"/>
    </row>
    <row r="603">
      <c r="B603" s="291" t="n"/>
      <c r="E603" s="212" t="n"/>
    </row>
    <row r="604">
      <c r="B604" s="291" t="n"/>
      <c r="E604" s="212" t="n"/>
    </row>
    <row r="605">
      <c r="B605" s="291" t="n"/>
      <c r="E605" s="212" t="n"/>
    </row>
    <row r="606">
      <c r="B606" s="291" t="n"/>
      <c r="E606" s="212" t="n"/>
    </row>
    <row r="607">
      <c r="B607" s="291" t="n"/>
      <c r="E607" s="212" t="n"/>
    </row>
    <row r="608">
      <c r="B608" s="291" t="n"/>
      <c r="E608" s="212" t="n"/>
    </row>
    <row r="609">
      <c r="B609" s="291" t="n"/>
      <c r="E609" s="212" t="n"/>
    </row>
    <row r="610">
      <c r="B610" s="291" t="n"/>
      <c r="E610" s="212" t="n"/>
    </row>
    <row r="611">
      <c r="B611" s="291" t="n"/>
      <c r="E611" s="212" t="n"/>
    </row>
    <row r="612">
      <c r="B612" s="291" t="n"/>
      <c r="E612" s="212" t="n"/>
    </row>
    <row r="613">
      <c r="B613" s="291" t="n"/>
      <c r="E613" s="212" t="n"/>
    </row>
    <row r="614">
      <c r="B614" s="291" t="n"/>
      <c r="E614" s="212" t="n"/>
    </row>
    <row r="615">
      <c r="B615" s="291" t="n"/>
      <c r="E615" s="212" t="n"/>
    </row>
    <row r="616">
      <c r="B616" s="291" t="n"/>
      <c r="E616" s="212" t="n"/>
    </row>
    <row r="617">
      <c r="B617" s="291" t="n"/>
      <c r="E617" s="212" t="n"/>
    </row>
    <row r="618">
      <c r="B618" s="291" t="n"/>
      <c r="E618" s="212" t="n"/>
    </row>
    <row r="619">
      <c r="B619" s="291" t="n"/>
      <c r="E619" s="212" t="n"/>
    </row>
    <row r="620">
      <c r="B620" s="291" t="n"/>
      <c r="E620" s="212" t="n"/>
    </row>
    <row r="621">
      <c r="B621" s="291" t="n"/>
      <c r="E621" s="212" t="n"/>
    </row>
    <row r="622">
      <c r="B622" s="291" t="n"/>
      <c r="E622" s="212" t="n"/>
    </row>
    <row r="623">
      <c r="B623" s="291" t="n"/>
      <c r="E623" s="212" t="n"/>
    </row>
    <row r="624">
      <c r="B624" s="291" t="n"/>
      <c r="E624" s="212" t="n"/>
    </row>
    <row r="625">
      <c r="B625" s="291" t="n"/>
      <c r="E625" s="212" t="n"/>
    </row>
    <row r="626">
      <c r="B626" s="291" t="n"/>
      <c r="E626" s="212" t="n"/>
    </row>
    <row r="627">
      <c r="B627" s="291" t="n"/>
      <c r="E627" s="212" t="n"/>
    </row>
    <row r="628">
      <c r="B628" s="291" t="n"/>
      <c r="E628" s="212" t="n"/>
    </row>
    <row r="629">
      <c r="B629" s="291" t="n"/>
      <c r="E629" s="212" t="n"/>
    </row>
    <row r="630">
      <c r="B630" s="291" t="n"/>
      <c r="E630" s="212" t="n"/>
    </row>
    <row r="631">
      <c r="B631" s="291" t="n"/>
      <c r="E631" s="212" t="n"/>
    </row>
    <row r="632">
      <c r="B632" s="291" t="n"/>
      <c r="E632" s="212" t="n"/>
    </row>
    <row r="633">
      <c r="B633" s="291" t="n"/>
      <c r="E633" s="212" t="n"/>
    </row>
    <row r="634">
      <c r="B634" s="291" t="n"/>
      <c r="E634" s="212" t="n"/>
    </row>
    <row r="635">
      <c r="B635" s="291" t="n"/>
      <c r="E635" s="212" t="n"/>
    </row>
    <row r="636">
      <c r="B636" s="291" t="n"/>
      <c r="E636" s="212" t="n"/>
    </row>
    <row r="637">
      <c r="B637" s="291" t="n"/>
      <c r="E637" s="212" t="n"/>
    </row>
    <row r="638">
      <c r="B638" s="291" t="n"/>
      <c r="E638" s="212" t="n"/>
    </row>
    <row r="639">
      <c r="B639" s="291" t="n"/>
      <c r="E639" s="212" t="n"/>
    </row>
    <row r="640">
      <c r="B640" s="291" t="n"/>
      <c r="E640" s="212" t="n"/>
    </row>
    <row r="641">
      <c r="B641" s="291" t="n"/>
      <c r="E641" s="212" t="n"/>
    </row>
    <row r="642">
      <c r="B642" s="291" t="n"/>
      <c r="E642" s="212" t="n"/>
    </row>
    <row r="643">
      <c r="B643" s="291" t="n"/>
      <c r="E643" s="212" t="n"/>
    </row>
    <row r="644">
      <c r="B644" s="291" t="n"/>
      <c r="E644" s="212" t="n"/>
    </row>
    <row r="645">
      <c r="B645" s="291" t="n"/>
      <c r="E645" s="212" t="n"/>
    </row>
    <row r="646">
      <c r="B646" s="291" t="n"/>
      <c r="E646" s="212" t="n"/>
    </row>
    <row r="647">
      <c r="B647" s="291" t="n"/>
      <c r="E647" s="212" t="n"/>
    </row>
    <row r="648">
      <c r="B648" s="291" t="n"/>
      <c r="E648" s="212" t="n"/>
    </row>
    <row r="649">
      <c r="B649" s="291" t="n"/>
      <c r="E649" s="212" t="n"/>
    </row>
    <row r="650">
      <c r="B650" s="291" t="n"/>
      <c r="E650" s="212" t="n"/>
    </row>
    <row r="651">
      <c r="B651" s="291" t="n"/>
      <c r="E651" s="212" t="n"/>
    </row>
    <row r="652">
      <c r="B652" s="291" t="n"/>
      <c r="E652" s="212" t="n"/>
    </row>
    <row r="653">
      <c r="B653" s="291" t="n"/>
      <c r="E653" s="212" t="n"/>
    </row>
    <row r="654">
      <c r="B654" s="291" t="n"/>
      <c r="E654" s="212" t="n"/>
    </row>
    <row r="655">
      <c r="B655" s="291" t="n"/>
      <c r="E655" s="212" t="n"/>
    </row>
    <row r="656">
      <c r="B656" s="291" t="n"/>
      <c r="E656" s="212" t="n"/>
    </row>
    <row r="657">
      <c r="B657" s="291" t="n"/>
      <c r="E657" s="212" t="n"/>
    </row>
    <row r="658">
      <c r="B658" s="291" t="n"/>
      <c r="E658" s="212" t="n"/>
    </row>
    <row r="659">
      <c r="B659" s="291" t="n"/>
      <c r="E659" s="212" t="n"/>
    </row>
    <row r="660">
      <c r="B660" s="291" t="n"/>
      <c r="E660" s="212" t="n"/>
    </row>
    <row r="661">
      <c r="B661" s="291" t="n"/>
      <c r="E661" s="212" t="n"/>
    </row>
    <row r="662">
      <c r="B662" s="291" t="n"/>
      <c r="E662" s="212" t="n"/>
    </row>
    <row r="663">
      <c r="B663" s="291" t="n"/>
      <c r="E663" s="212" t="n"/>
    </row>
    <row r="664">
      <c r="B664" s="291" t="n"/>
      <c r="E664" s="212" t="n"/>
    </row>
    <row r="665">
      <c r="B665" s="291" t="n"/>
      <c r="E665" s="212" t="n"/>
    </row>
    <row r="666">
      <c r="B666" s="291" t="n"/>
      <c r="E666" s="212" t="n"/>
    </row>
    <row r="667">
      <c r="B667" s="291" t="n"/>
      <c r="E667" s="212" t="n"/>
    </row>
    <row r="668">
      <c r="B668" s="291" t="n"/>
      <c r="E668" s="212" t="n"/>
    </row>
    <row r="669">
      <c r="B669" s="291" t="n"/>
      <c r="E669" s="212" t="n"/>
    </row>
    <row r="670">
      <c r="B670" s="291" t="n"/>
      <c r="E670" s="212" t="n"/>
    </row>
    <row r="671">
      <c r="B671" s="291" t="n"/>
      <c r="E671" s="212" t="n"/>
    </row>
    <row r="672">
      <c r="B672" s="291" t="n"/>
      <c r="E672" s="212" t="n"/>
    </row>
    <row r="673">
      <c r="B673" s="291" t="n"/>
      <c r="E673" s="212" t="n"/>
    </row>
    <row r="674">
      <c r="B674" s="291" t="n"/>
      <c r="E674" s="212" t="n"/>
    </row>
    <row r="675">
      <c r="B675" s="291" t="n"/>
      <c r="E675" s="212" t="n"/>
    </row>
    <row r="676">
      <c r="B676" s="291" t="n"/>
      <c r="E676" s="212" t="n"/>
    </row>
    <row r="677">
      <c r="B677" s="291" t="n"/>
      <c r="E677" s="212" t="n"/>
    </row>
    <row r="678">
      <c r="B678" s="291" t="n"/>
      <c r="E678" s="212" t="n"/>
    </row>
    <row r="679">
      <c r="B679" s="291" t="n"/>
      <c r="E679" s="212" t="n"/>
    </row>
    <row r="680">
      <c r="B680" s="291" t="n"/>
      <c r="E680" s="212" t="n"/>
    </row>
    <row r="681">
      <c r="B681" s="291" t="n"/>
      <c r="E681" s="212" t="n"/>
    </row>
    <row r="682">
      <c r="B682" s="291" t="n"/>
      <c r="E682" s="212" t="n"/>
    </row>
    <row r="683">
      <c r="B683" s="291" t="n"/>
      <c r="E683" s="212" t="n"/>
    </row>
    <row r="684">
      <c r="B684" s="291" t="n"/>
      <c r="E684" s="212" t="n"/>
    </row>
    <row r="685">
      <c r="B685" s="291" t="n"/>
      <c r="E685" s="212" t="n"/>
    </row>
    <row r="686">
      <c r="B686" s="291" t="n"/>
      <c r="E686" s="212" t="n"/>
    </row>
    <row r="687">
      <c r="B687" s="291" t="n"/>
      <c r="E687" s="212" t="n"/>
    </row>
    <row r="688">
      <c r="B688" s="291" t="n"/>
      <c r="E688" s="212" t="n"/>
    </row>
    <row r="689">
      <c r="B689" s="291" t="n"/>
      <c r="E689" s="212" t="n"/>
    </row>
    <row r="690">
      <c r="B690" s="291" t="n"/>
      <c r="E690" s="212" t="n"/>
    </row>
    <row r="691">
      <c r="B691" s="291" t="n"/>
      <c r="E691" s="212" t="n"/>
    </row>
    <row r="692">
      <c r="B692" s="291" t="n"/>
      <c r="E692" s="212" t="n"/>
    </row>
    <row r="693">
      <c r="B693" s="291" t="n"/>
      <c r="E693" s="212" t="n"/>
    </row>
    <row r="694">
      <c r="B694" s="291" t="n"/>
      <c r="E694" s="212" t="n"/>
    </row>
    <row r="695">
      <c r="B695" s="291" t="n"/>
      <c r="E695" s="212" t="n"/>
    </row>
    <row r="696">
      <c r="B696" s="291" t="n"/>
      <c r="E696" s="212" t="n"/>
    </row>
    <row r="697">
      <c r="B697" s="291" t="n"/>
      <c r="E697" s="212" t="n"/>
    </row>
    <row r="698">
      <c r="B698" s="291" t="n"/>
      <c r="E698" s="212" t="n"/>
    </row>
    <row r="699">
      <c r="B699" s="291" t="n"/>
      <c r="E699" s="212" t="n"/>
    </row>
    <row r="700">
      <c r="B700" s="291" t="n"/>
      <c r="E700" s="212" t="n"/>
    </row>
    <row r="701">
      <c r="B701" s="291" t="n"/>
      <c r="E701" s="212" t="n"/>
    </row>
    <row r="702">
      <c r="B702" s="291" t="n"/>
      <c r="E702" s="212" t="n"/>
    </row>
    <row r="703">
      <c r="B703" s="291" t="n"/>
      <c r="E703" s="212" t="n"/>
    </row>
    <row r="704">
      <c r="B704" s="291" t="n"/>
      <c r="E704" s="212" t="n"/>
    </row>
    <row r="705">
      <c r="B705" s="291" t="n"/>
      <c r="E705" s="212" t="n"/>
    </row>
    <row r="706">
      <c r="B706" s="291" t="n"/>
      <c r="E706" s="212" t="n"/>
    </row>
    <row r="707">
      <c r="B707" s="291" t="n"/>
      <c r="E707" s="212" t="n"/>
    </row>
    <row r="708">
      <c r="B708" s="291" t="n"/>
      <c r="E708" s="212" t="n"/>
    </row>
    <row r="709">
      <c r="B709" s="291" t="n"/>
      <c r="E709" s="212" t="n"/>
    </row>
    <row r="710">
      <c r="B710" s="291" t="n"/>
      <c r="E710" s="212" t="n"/>
    </row>
    <row r="711">
      <c r="B711" s="291" t="n"/>
      <c r="E711" s="212" t="n"/>
    </row>
    <row r="712">
      <c r="B712" s="291" t="n"/>
      <c r="E712" s="212" t="n"/>
    </row>
    <row r="713">
      <c r="B713" s="291" t="n"/>
      <c r="E713" s="212" t="n"/>
    </row>
    <row r="714">
      <c r="B714" s="291" t="n"/>
      <c r="E714" s="212" t="n"/>
    </row>
    <row r="715">
      <c r="B715" s="291" t="n"/>
      <c r="E715" s="212" t="n"/>
    </row>
    <row r="716">
      <c r="B716" s="291" t="n"/>
      <c r="E716" s="212" t="n"/>
    </row>
    <row r="717">
      <c r="B717" s="291" t="n"/>
      <c r="E717" s="212" t="n"/>
    </row>
    <row r="718">
      <c r="B718" s="291" t="n"/>
      <c r="E718" s="212" t="n"/>
    </row>
    <row r="719">
      <c r="B719" s="291" t="n"/>
      <c r="E719" s="212" t="n"/>
    </row>
    <row r="720">
      <c r="B720" s="291" t="n"/>
      <c r="E720" s="212" t="n"/>
    </row>
    <row r="721">
      <c r="B721" s="291" t="n"/>
      <c r="E721" s="212" t="n"/>
    </row>
    <row r="722">
      <c r="B722" s="291" t="n"/>
      <c r="E722" s="212" t="n"/>
    </row>
    <row r="723">
      <c r="B723" s="291" t="n"/>
      <c r="E723" s="212" t="n"/>
    </row>
    <row r="724">
      <c r="B724" s="291" t="n"/>
      <c r="E724" s="212" t="n"/>
    </row>
    <row r="725">
      <c r="B725" s="291" t="n"/>
      <c r="E725" s="212" t="n"/>
    </row>
    <row r="726">
      <c r="B726" s="291" t="n"/>
      <c r="E726" s="212" t="n"/>
    </row>
    <row r="727">
      <c r="B727" s="291" t="n"/>
      <c r="E727" s="212" t="n"/>
    </row>
    <row r="728">
      <c r="B728" s="291" t="n"/>
      <c r="E728" s="212" t="n"/>
    </row>
    <row r="729">
      <c r="B729" s="291" t="n"/>
      <c r="E729" s="212" t="n"/>
    </row>
    <row r="730">
      <c r="B730" s="291" t="n"/>
      <c r="E730" s="212" t="n"/>
    </row>
    <row r="731">
      <c r="B731" s="291" t="n"/>
      <c r="E731" s="212" t="n"/>
    </row>
    <row r="732">
      <c r="B732" s="291" t="n"/>
      <c r="E732" s="212" t="n"/>
    </row>
    <row r="733">
      <c r="B733" s="291" t="n"/>
      <c r="E733" s="212" t="n"/>
    </row>
    <row r="734">
      <c r="B734" s="291" t="n"/>
      <c r="E734" s="212" t="n"/>
    </row>
    <row r="735">
      <c r="B735" s="291" t="n"/>
      <c r="E735" s="212" t="n"/>
    </row>
    <row r="736">
      <c r="B736" s="291" t="n"/>
      <c r="E736" s="212" t="n"/>
    </row>
    <row r="737">
      <c r="B737" s="291" t="n"/>
      <c r="E737" s="212" t="n"/>
    </row>
    <row r="738">
      <c r="B738" s="291" t="n"/>
      <c r="E738" s="212" t="n"/>
    </row>
    <row r="739">
      <c r="B739" s="291" t="n"/>
      <c r="E739" s="212" t="n"/>
    </row>
    <row r="740">
      <c r="B740" s="291" t="n"/>
      <c r="E740" s="212" t="n"/>
    </row>
    <row r="741">
      <c r="B741" s="291" t="n"/>
      <c r="E741" s="212" t="n"/>
    </row>
    <row r="742">
      <c r="B742" s="291" t="n"/>
      <c r="E742" s="212" t="n"/>
    </row>
    <row r="743">
      <c r="B743" s="291" t="n"/>
      <c r="E743" s="212" t="n"/>
    </row>
    <row r="744">
      <c r="B744" s="291" t="n"/>
      <c r="E744" s="212" t="n"/>
    </row>
    <row r="745">
      <c r="B745" s="291" t="n"/>
      <c r="E745" s="212" t="n"/>
    </row>
    <row r="746">
      <c r="B746" s="291" t="n"/>
      <c r="E746" s="212" t="n"/>
    </row>
    <row r="747">
      <c r="B747" s="291" t="n"/>
      <c r="E747" s="212" t="n"/>
    </row>
    <row r="748">
      <c r="B748" s="291" t="n"/>
      <c r="E748" s="212" t="n"/>
    </row>
    <row r="749">
      <c r="B749" s="291" t="n"/>
      <c r="E749" s="212" t="n"/>
    </row>
    <row r="750">
      <c r="B750" s="291" t="n"/>
      <c r="E750" s="212" t="n"/>
    </row>
    <row r="751">
      <c r="B751" s="291" t="n"/>
      <c r="E751" s="212" t="n"/>
    </row>
    <row r="752">
      <c r="B752" s="291" t="n"/>
      <c r="E752" s="212" t="n"/>
    </row>
    <row r="753">
      <c r="B753" s="291" t="n"/>
      <c r="E753" s="212" t="n"/>
    </row>
    <row r="754">
      <c r="B754" s="291" t="n"/>
      <c r="E754" s="212" t="n"/>
    </row>
    <row r="755">
      <c r="B755" s="291" t="n"/>
      <c r="E755" s="212" t="n"/>
    </row>
    <row r="756">
      <c r="B756" s="291" t="n"/>
      <c r="E756" s="212" t="n"/>
    </row>
    <row r="757">
      <c r="B757" s="291" t="n"/>
      <c r="E757" s="212" t="n"/>
    </row>
    <row r="758">
      <c r="B758" s="291" t="n"/>
      <c r="E758" s="212" t="n"/>
    </row>
    <row r="759">
      <c r="B759" s="291" t="n"/>
      <c r="E759" s="212" t="n"/>
    </row>
    <row r="760">
      <c r="B760" s="291" t="n"/>
      <c r="E760" s="212" t="n"/>
    </row>
    <row r="761">
      <c r="B761" s="291" t="n"/>
      <c r="E761" s="212" t="n"/>
    </row>
    <row r="762">
      <c r="B762" s="291" t="n"/>
      <c r="E762" s="212" t="n"/>
    </row>
    <row r="763">
      <c r="B763" s="291" t="n"/>
      <c r="E763" s="212" t="n"/>
    </row>
    <row r="764">
      <c r="B764" s="291" t="n"/>
      <c r="E764" s="212" t="n"/>
    </row>
    <row r="765">
      <c r="B765" s="291" t="n"/>
      <c r="E765" s="212" t="n"/>
    </row>
    <row r="766">
      <c r="B766" s="291" t="n"/>
      <c r="E766" s="212" t="n"/>
    </row>
    <row r="767">
      <c r="B767" s="291" t="n"/>
      <c r="E767" s="212" t="n"/>
    </row>
    <row r="768">
      <c r="B768" s="291" t="n"/>
      <c r="E768" s="212" t="n"/>
    </row>
    <row r="769">
      <c r="B769" s="291" t="n"/>
      <c r="E769" s="212" t="n"/>
    </row>
    <row r="770">
      <c r="B770" s="291" t="n"/>
      <c r="E770" s="212" t="n"/>
    </row>
    <row r="771">
      <c r="B771" s="291" t="n"/>
      <c r="E771" s="212" t="n"/>
    </row>
    <row r="772">
      <c r="B772" s="291" t="n"/>
      <c r="E772" s="212" t="n"/>
    </row>
    <row r="773">
      <c r="B773" s="291" t="n"/>
      <c r="E773" s="212" t="n"/>
    </row>
    <row r="774">
      <c r="B774" s="291" t="n"/>
      <c r="E774" s="212" t="n"/>
    </row>
    <row r="775">
      <c r="B775" s="291" t="n"/>
      <c r="E775" s="212" t="n"/>
    </row>
    <row r="776">
      <c r="B776" s="291" t="n"/>
      <c r="E776" s="212" t="n"/>
    </row>
    <row r="777">
      <c r="B777" s="291" t="n"/>
      <c r="E777" s="212" t="n"/>
    </row>
    <row r="778">
      <c r="B778" s="291" t="n"/>
      <c r="E778" s="212" t="n"/>
    </row>
    <row r="779">
      <c r="B779" s="291" t="n"/>
      <c r="E779" s="212" t="n"/>
    </row>
    <row r="780">
      <c r="B780" s="291" t="n"/>
      <c r="E780" s="212" t="n"/>
    </row>
    <row r="781">
      <c r="B781" s="291" t="n"/>
      <c r="E781" s="212" t="n"/>
    </row>
    <row r="782">
      <c r="B782" s="291" t="n"/>
      <c r="E782" s="212" t="n"/>
    </row>
    <row r="783">
      <c r="B783" s="291" t="n"/>
      <c r="E783" s="212" t="n"/>
    </row>
    <row r="784">
      <c r="B784" s="291" t="n"/>
      <c r="E784" s="212" t="n"/>
    </row>
    <row r="785">
      <c r="B785" s="291" t="n"/>
      <c r="E785" s="212" t="n"/>
    </row>
    <row r="786">
      <c r="B786" s="291" t="n"/>
      <c r="E786" s="212" t="n"/>
    </row>
    <row r="787">
      <c r="B787" s="291" t="n"/>
      <c r="E787" s="212" t="n"/>
    </row>
    <row r="788">
      <c r="B788" s="291" t="n"/>
      <c r="E788" s="212" t="n"/>
    </row>
    <row r="789">
      <c r="B789" s="291" t="n"/>
      <c r="E789" s="212" t="n"/>
    </row>
    <row r="790">
      <c r="B790" s="291" t="n"/>
      <c r="E790" s="212" t="n"/>
    </row>
    <row r="791">
      <c r="B791" s="291" t="n"/>
      <c r="E791" s="212" t="n"/>
    </row>
    <row r="792">
      <c r="B792" s="291" t="n"/>
      <c r="E792" s="212" t="n"/>
    </row>
    <row r="793">
      <c r="B793" s="291" t="n"/>
      <c r="E793" s="212" t="n"/>
    </row>
    <row r="794">
      <c r="B794" s="291" t="n"/>
      <c r="E794" s="212" t="n"/>
    </row>
    <row r="795">
      <c r="B795" s="291" t="n"/>
      <c r="E795" s="212" t="n"/>
    </row>
    <row r="796">
      <c r="B796" s="291" t="n"/>
      <c r="E796" s="212" t="n"/>
    </row>
    <row r="797">
      <c r="B797" s="291" t="n"/>
      <c r="E797" s="212" t="n"/>
    </row>
    <row r="798">
      <c r="B798" s="291" t="n"/>
      <c r="E798" s="212" t="n"/>
    </row>
    <row r="799">
      <c r="B799" s="291" t="n"/>
      <c r="E799" s="212" t="n"/>
    </row>
    <row r="800">
      <c r="B800" s="291" t="n"/>
      <c r="E800" s="212" t="n"/>
    </row>
    <row r="801">
      <c r="B801" s="291" t="n"/>
      <c r="E801" s="212" t="n"/>
    </row>
    <row r="802">
      <c r="B802" s="291" t="n"/>
      <c r="E802" s="212" t="n"/>
    </row>
    <row r="803">
      <c r="B803" s="291" t="n"/>
      <c r="E803" s="212" t="n"/>
    </row>
    <row r="804">
      <c r="B804" s="291" t="n"/>
      <c r="E804" s="212" t="n"/>
    </row>
    <row r="805">
      <c r="B805" s="291" t="n"/>
      <c r="E805" s="212" t="n"/>
    </row>
    <row r="806">
      <c r="B806" s="291" t="n"/>
      <c r="E806" s="212" t="n"/>
    </row>
    <row r="807">
      <c r="B807" s="291" t="n"/>
      <c r="E807" s="212" t="n"/>
    </row>
    <row r="808">
      <c r="B808" s="291" t="n"/>
      <c r="E808" s="212" t="n"/>
    </row>
    <row r="809">
      <c r="B809" s="291" t="n"/>
      <c r="E809" s="212" t="n"/>
    </row>
    <row r="810">
      <c r="B810" s="291" t="n"/>
      <c r="E810" s="212" t="n"/>
    </row>
    <row r="811">
      <c r="B811" s="291" t="n"/>
      <c r="E811" s="212" t="n"/>
    </row>
    <row r="812">
      <c r="B812" s="291" t="n"/>
      <c r="E812" s="212" t="n"/>
    </row>
    <row r="813">
      <c r="B813" s="291" t="n"/>
      <c r="E813" s="212" t="n"/>
    </row>
    <row r="814">
      <c r="B814" s="291" t="n"/>
      <c r="E814" s="212" t="n"/>
    </row>
    <row r="815">
      <c r="B815" s="291" t="n"/>
      <c r="E815" s="212" t="n"/>
    </row>
    <row r="816">
      <c r="B816" s="291" t="n"/>
      <c r="E816" s="212" t="n"/>
    </row>
    <row r="817">
      <c r="B817" s="291" t="n"/>
      <c r="E817" s="212" t="n"/>
    </row>
    <row r="818">
      <c r="B818" s="291" t="n"/>
      <c r="E818" s="212" t="n"/>
    </row>
    <row r="819">
      <c r="B819" s="291" t="n"/>
      <c r="E819" s="212" t="n"/>
    </row>
    <row r="820">
      <c r="B820" s="291" t="n"/>
      <c r="E820" s="212" t="n"/>
    </row>
    <row r="821">
      <c r="B821" s="291" t="n"/>
      <c r="E821" s="212" t="n"/>
    </row>
    <row r="822">
      <c r="B822" s="291" t="n"/>
      <c r="E822" s="212" t="n"/>
    </row>
    <row r="823">
      <c r="B823" s="291" t="n"/>
      <c r="E823" s="212" t="n"/>
    </row>
    <row r="824">
      <c r="B824" s="291" t="n"/>
      <c r="E824" s="212" t="n"/>
    </row>
    <row r="825">
      <c r="B825" s="291" t="n"/>
      <c r="E825" s="212" t="n"/>
    </row>
    <row r="826">
      <c r="B826" s="291" t="n"/>
      <c r="E826" s="212" t="n"/>
    </row>
    <row r="827">
      <c r="B827" s="291" t="n"/>
      <c r="E827" s="212" t="n"/>
    </row>
    <row r="828">
      <c r="B828" s="291" t="n"/>
      <c r="E828" s="212" t="n"/>
    </row>
    <row r="829">
      <c r="B829" s="291" t="n"/>
      <c r="E829" s="212" t="n"/>
    </row>
    <row r="830">
      <c r="B830" s="291" t="n"/>
      <c r="E830" s="212" t="n"/>
    </row>
    <row r="831">
      <c r="B831" s="291" t="n"/>
      <c r="E831" s="212" t="n"/>
    </row>
    <row r="832">
      <c r="B832" s="291" t="n"/>
      <c r="E832" s="212" t="n"/>
    </row>
    <row r="833">
      <c r="B833" s="291" t="n"/>
      <c r="E833" s="212" t="n"/>
    </row>
    <row r="834">
      <c r="B834" s="291" t="n"/>
      <c r="E834" s="212" t="n"/>
    </row>
    <row r="835">
      <c r="B835" s="291" t="n"/>
      <c r="E835" s="212" t="n"/>
    </row>
    <row r="836">
      <c r="B836" s="291" t="n"/>
      <c r="E836" s="212" t="n"/>
    </row>
    <row r="837">
      <c r="B837" s="291" t="n"/>
      <c r="E837" s="212" t="n"/>
    </row>
    <row r="838">
      <c r="B838" s="291" t="n"/>
      <c r="E838" s="212" t="n"/>
    </row>
    <row r="839">
      <c r="B839" s="291" t="n"/>
      <c r="E839" s="212" t="n"/>
    </row>
    <row r="840">
      <c r="B840" s="291" t="n"/>
      <c r="E840" s="212" t="n"/>
    </row>
    <row r="841">
      <c r="B841" s="291" t="n"/>
      <c r="E841" s="212" t="n"/>
    </row>
    <row r="842">
      <c r="B842" s="291" t="n"/>
      <c r="E842" s="212" t="n"/>
    </row>
    <row r="843">
      <c r="B843" s="291" t="n"/>
      <c r="E843" s="212" t="n"/>
    </row>
    <row r="844">
      <c r="B844" s="291" t="n"/>
      <c r="E844" s="212" t="n"/>
    </row>
    <row r="845">
      <c r="B845" s="291" t="n"/>
      <c r="E845" s="212" t="n"/>
    </row>
    <row r="846">
      <c r="B846" s="291" t="n"/>
      <c r="E846" s="212" t="n"/>
    </row>
    <row r="847">
      <c r="B847" s="291" t="n"/>
      <c r="E847" s="212" t="n"/>
    </row>
    <row r="848">
      <c r="B848" s="291" t="n"/>
      <c r="E848" s="212" t="n"/>
    </row>
    <row r="849">
      <c r="B849" s="291" t="n"/>
      <c r="E849" s="212" t="n"/>
    </row>
    <row r="850">
      <c r="B850" s="291" t="n"/>
      <c r="E850" s="212" t="n"/>
    </row>
    <row r="851">
      <c r="B851" s="291" t="n"/>
      <c r="E851" s="212" t="n"/>
    </row>
    <row r="852">
      <c r="B852" s="291" t="n"/>
      <c r="E852" s="212" t="n"/>
    </row>
    <row r="853">
      <c r="B853" s="291" t="n"/>
      <c r="E853" s="212" t="n"/>
    </row>
    <row r="854">
      <c r="B854" s="291" t="n"/>
      <c r="E854" s="212" t="n"/>
    </row>
    <row r="855">
      <c r="B855" s="291" t="n"/>
      <c r="E855" s="212" t="n"/>
    </row>
    <row r="856">
      <c r="B856" s="291" t="n"/>
      <c r="E856" s="212" t="n"/>
    </row>
    <row r="857">
      <c r="B857" s="291" t="n"/>
      <c r="E857" s="212" t="n"/>
    </row>
    <row r="858">
      <c r="B858" s="291" t="n"/>
      <c r="E858" s="212" t="n"/>
    </row>
    <row r="859">
      <c r="B859" s="291" t="n"/>
      <c r="E859" s="212" t="n"/>
    </row>
    <row r="860">
      <c r="B860" s="291" t="n"/>
      <c r="E860" s="212" t="n"/>
    </row>
    <row r="861">
      <c r="B861" s="291" t="n"/>
      <c r="E861" s="212" t="n"/>
    </row>
    <row r="862">
      <c r="B862" s="291" t="n"/>
      <c r="E862" s="212" t="n"/>
    </row>
    <row r="863">
      <c r="B863" s="291" t="n"/>
      <c r="E863" s="212" t="n"/>
    </row>
    <row r="864">
      <c r="B864" s="291" t="n"/>
      <c r="E864" s="212" t="n"/>
    </row>
    <row r="865">
      <c r="B865" s="291" t="n"/>
      <c r="E865" s="212" t="n"/>
    </row>
    <row r="866">
      <c r="B866" s="291" t="n"/>
      <c r="E866" s="212" t="n"/>
    </row>
    <row r="867">
      <c r="B867" s="291" t="n"/>
      <c r="E867" s="212" t="n"/>
    </row>
    <row r="868">
      <c r="B868" s="291" t="n"/>
      <c r="E868" s="212" t="n"/>
    </row>
    <row r="869">
      <c r="B869" s="291" t="n"/>
      <c r="E869" s="212" t="n"/>
    </row>
    <row r="870">
      <c r="B870" s="291" t="n"/>
      <c r="E870" s="212" t="n"/>
    </row>
    <row r="871">
      <c r="B871" s="291" t="n"/>
      <c r="E871" s="212" t="n"/>
    </row>
    <row r="872">
      <c r="B872" s="291" t="n"/>
      <c r="E872" s="212" t="n"/>
    </row>
    <row r="873">
      <c r="B873" s="291" t="n"/>
      <c r="E873" s="212" t="n"/>
    </row>
    <row r="874">
      <c r="B874" s="291" t="n"/>
      <c r="E874" s="212" t="n"/>
    </row>
    <row r="875">
      <c r="B875" s="291" t="n"/>
      <c r="E875" s="212" t="n"/>
    </row>
    <row r="876">
      <c r="B876" s="291" t="n"/>
      <c r="E876" s="212" t="n"/>
    </row>
    <row r="877">
      <c r="B877" s="291" t="n"/>
      <c r="E877" s="212" t="n"/>
    </row>
    <row r="878">
      <c r="B878" s="291" t="n"/>
      <c r="E878" s="212" t="n"/>
    </row>
    <row r="879">
      <c r="B879" s="291" t="n"/>
      <c r="E879" s="212" t="n"/>
    </row>
    <row r="880">
      <c r="B880" s="291" t="n"/>
      <c r="E880" s="212" t="n"/>
    </row>
    <row r="881">
      <c r="B881" s="291" t="n"/>
      <c r="E881" s="212" t="n"/>
    </row>
    <row r="882">
      <c r="B882" s="291" t="n"/>
      <c r="E882" s="212" t="n"/>
    </row>
    <row r="883">
      <c r="B883" s="291" t="n"/>
      <c r="E883" s="212" t="n"/>
    </row>
    <row r="884">
      <c r="B884" s="291" t="n"/>
      <c r="E884" s="212" t="n"/>
    </row>
    <row r="885">
      <c r="B885" s="291" t="n"/>
      <c r="E885" s="212" t="n"/>
    </row>
    <row r="886">
      <c r="B886" s="291" t="n"/>
      <c r="E886" s="212" t="n"/>
    </row>
    <row r="887">
      <c r="B887" s="291" t="n"/>
      <c r="E887" s="212" t="n"/>
    </row>
    <row r="888">
      <c r="B888" s="291" t="n"/>
      <c r="E888" s="212" t="n"/>
    </row>
    <row r="889">
      <c r="B889" s="291" t="n"/>
      <c r="E889" s="212" t="n"/>
    </row>
    <row r="890">
      <c r="B890" s="291" t="n"/>
      <c r="E890" s="212" t="n"/>
    </row>
    <row r="891">
      <c r="B891" s="291" t="n"/>
      <c r="E891" s="212" t="n"/>
    </row>
    <row r="892">
      <c r="B892" s="291" t="n"/>
      <c r="E892" s="212" t="n"/>
    </row>
    <row r="893">
      <c r="B893" s="291" t="n"/>
      <c r="E893" s="212" t="n"/>
    </row>
    <row r="894">
      <c r="B894" s="291" t="n"/>
      <c r="E894" s="212" t="n"/>
    </row>
    <row r="895">
      <c r="B895" s="291" t="n"/>
      <c r="E895" s="212" t="n"/>
    </row>
    <row r="896">
      <c r="B896" s="291" t="n"/>
      <c r="E896" s="212" t="n"/>
    </row>
    <row r="897">
      <c r="B897" s="291" t="n"/>
      <c r="E897" s="212" t="n"/>
    </row>
    <row r="898">
      <c r="B898" s="291" t="n"/>
      <c r="E898" s="212" t="n"/>
    </row>
    <row r="899">
      <c r="B899" s="291" t="n"/>
      <c r="E899" s="212" t="n"/>
    </row>
    <row r="900">
      <c r="B900" s="291" t="n"/>
      <c r="E900" s="212" t="n"/>
    </row>
    <row r="901">
      <c r="B901" s="291" t="n"/>
      <c r="E901" s="212" t="n"/>
    </row>
    <row r="902">
      <c r="B902" s="291" t="n"/>
      <c r="E902" s="212" t="n"/>
    </row>
    <row r="903">
      <c r="B903" s="291" t="n"/>
      <c r="E903" s="212" t="n"/>
    </row>
    <row r="904">
      <c r="B904" s="291" t="n"/>
      <c r="E904" s="212" t="n"/>
    </row>
    <row r="905">
      <c r="B905" s="291" t="n"/>
      <c r="E905" s="212" t="n"/>
    </row>
    <row r="906">
      <c r="B906" s="291" t="n"/>
      <c r="E906" s="212" t="n"/>
    </row>
    <row r="907">
      <c r="B907" s="291" t="n"/>
      <c r="E907" s="212" t="n"/>
    </row>
    <row r="908">
      <c r="B908" s="291" t="n"/>
      <c r="E908" s="212" t="n"/>
    </row>
    <row r="909">
      <c r="B909" s="291" t="n"/>
      <c r="E909" s="212" t="n"/>
    </row>
    <row r="910">
      <c r="B910" s="291" t="n"/>
      <c r="E910" s="212" t="n"/>
    </row>
    <row r="911">
      <c r="B911" s="291" t="n"/>
      <c r="E911" s="212" t="n"/>
    </row>
    <row r="912">
      <c r="B912" s="291" t="n"/>
      <c r="E912" s="212" t="n"/>
    </row>
    <row r="913">
      <c r="B913" s="291" t="n"/>
      <c r="E913" s="212" t="n"/>
    </row>
    <row r="914">
      <c r="B914" s="291" t="n"/>
      <c r="E914" s="212" t="n"/>
    </row>
    <row r="915">
      <c r="B915" s="291" t="n"/>
      <c r="E915" s="212" t="n"/>
    </row>
    <row r="916">
      <c r="B916" s="291" t="n"/>
      <c r="E916" s="212" t="n"/>
    </row>
    <row r="917">
      <c r="B917" s="291" t="n"/>
      <c r="E917" s="212" t="n"/>
    </row>
    <row r="918">
      <c r="B918" s="291" t="n"/>
      <c r="E918" s="212" t="n"/>
    </row>
    <row r="919">
      <c r="B919" s="291" t="n"/>
      <c r="E919" s="212" t="n"/>
    </row>
    <row r="920">
      <c r="B920" s="291" t="n"/>
      <c r="E920" s="212" t="n"/>
    </row>
    <row r="921">
      <c r="B921" s="291" t="n"/>
      <c r="E921" s="212" t="n"/>
    </row>
    <row r="922">
      <c r="B922" s="291" t="n"/>
      <c r="E922" s="212" t="n"/>
    </row>
    <row r="923">
      <c r="B923" s="291" t="n"/>
      <c r="E923" s="212" t="n"/>
    </row>
    <row r="924">
      <c r="B924" s="291" t="n"/>
      <c r="E924" s="212" t="n"/>
    </row>
    <row r="925">
      <c r="B925" s="291" t="n"/>
      <c r="E925" s="212" t="n"/>
    </row>
    <row r="926">
      <c r="B926" s="291" t="n"/>
      <c r="E926" s="212" t="n"/>
    </row>
    <row r="927">
      <c r="B927" s="291" t="n"/>
      <c r="E927" s="212" t="n"/>
    </row>
    <row r="928">
      <c r="B928" s="291" t="n"/>
      <c r="E928" s="212" t="n"/>
    </row>
    <row r="929">
      <c r="B929" s="291" t="n"/>
      <c r="E929" s="212" t="n"/>
    </row>
    <row r="930">
      <c r="B930" s="291" t="n"/>
      <c r="E930" s="212" t="n"/>
    </row>
    <row r="931">
      <c r="B931" s="291" t="n"/>
      <c r="E931" s="212" t="n"/>
    </row>
    <row r="932">
      <c r="B932" s="291" t="n"/>
      <c r="E932" s="212" t="n"/>
    </row>
    <row r="933">
      <c r="B933" s="291" t="n"/>
      <c r="E933" s="212" t="n"/>
    </row>
    <row r="934">
      <c r="B934" s="291" t="n"/>
      <c r="E934" s="212" t="n"/>
    </row>
    <row r="935">
      <c r="B935" s="291" t="n"/>
      <c r="E935" s="212" t="n"/>
    </row>
    <row r="936">
      <c r="B936" s="291" t="n"/>
      <c r="E936" s="212" t="n"/>
    </row>
    <row r="937">
      <c r="B937" s="291" t="n"/>
      <c r="E937" s="212" t="n"/>
    </row>
    <row r="938">
      <c r="B938" s="291" t="n"/>
      <c r="E938" s="212" t="n"/>
    </row>
    <row r="939">
      <c r="B939" s="291" t="n"/>
      <c r="E939" s="212" t="n"/>
    </row>
    <row r="940">
      <c r="B940" s="291" t="n"/>
      <c r="E940" s="212" t="n"/>
    </row>
    <row r="941">
      <c r="B941" s="291" t="n"/>
      <c r="E941" s="212" t="n"/>
    </row>
    <row r="942">
      <c r="B942" s="291" t="n"/>
      <c r="E942" s="212" t="n"/>
    </row>
    <row r="943">
      <c r="B943" s="291" t="n"/>
      <c r="E943" s="212" t="n"/>
    </row>
    <row r="944">
      <c r="B944" s="291" t="n"/>
      <c r="E944" s="212" t="n"/>
    </row>
    <row r="945">
      <c r="B945" s="291" t="n"/>
      <c r="E945" s="212" t="n"/>
    </row>
    <row r="946">
      <c r="B946" s="291" t="n"/>
      <c r="E946" s="212" t="n"/>
    </row>
    <row r="947">
      <c r="B947" s="291" t="n"/>
      <c r="E947" s="212" t="n"/>
    </row>
    <row r="948">
      <c r="B948" s="291" t="n"/>
      <c r="E948" s="212" t="n"/>
    </row>
    <row r="949">
      <c r="B949" s="291" t="n"/>
      <c r="E949" s="212" t="n"/>
    </row>
    <row r="950">
      <c r="B950" s="291" t="n"/>
      <c r="E950" s="212" t="n"/>
    </row>
    <row r="951">
      <c r="B951" s="291" t="n"/>
      <c r="E951" s="212" t="n"/>
    </row>
    <row r="952">
      <c r="B952" s="291" t="n"/>
      <c r="E952" s="212" t="n"/>
    </row>
    <row r="953">
      <c r="B953" s="291" t="n"/>
      <c r="E953" s="212" t="n"/>
    </row>
    <row r="954">
      <c r="B954" s="291" t="n"/>
      <c r="E954" s="212" t="n"/>
    </row>
    <row r="955">
      <c r="B955" s="291" t="n"/>
      <c r="E955" s="212" t="n"/>
    </row>
    <row r="956">
      <c r="B956" s="291" t="n"/>
      <c r="E956" s="212" t="n"/>
    </row>
    <row r="957">
      <c r="B957" s="291" t="n"/>
      <c r="E957" s="212" t="n"/>
    </row>
    <row r="958">
      <c r="B958" s="291" t="n"/>
      <c r="E958" s="212" t="n"/>
    </row>
    <row r="959">
      <c r="B959" s="291" t="n"/>
      <c r="E959" s="212" t="n"/>
    </row>
    <row r="960">
      <c r="B960" s="291" t="n"/>
      <c r="E960" s="212" t="n"/>
    </row>
    <row r="961">
      <c r="B961" s="291" t="n"/>
      <c r="E961" s="212" t="n"/>
    </row>
    <row r="962">
      <c r="B962" s="291" t="n"/>
      <c r="E962" s="212" t="n"/>
    </row>
    <row r="963">
      <c r="B963" s="291" t="n"/>
      <c r="E963" s="212" t="n"/>
    </row>
    <row r="964">
      <c r="B964" s="291" t="n"/>
      <c r="E964" s="212" t="n"/>
    </row>
    <row r="965">
      <c r="B965" s="291" t="n"/>
      <c r="E965" s="212" t="n"/>
    </row>
    <row r="966">
      <c r="B966" s="291" t="n"/>
      <c r="E966" s="212" t="n"/>
    </row>
    <row r="967">
      <c r="B967" s="291" t="n"/>
      <c r="E967" s="212" t="n"/>
    </row>
    <row r="968">
      <c r="B968" s="291" t="n"/>
      <c r="E968" s="212" t="n"/>
    </row>
    <row r="969">
      <c r="B969" s="291" t="n"/>
      <c r="E969" s="212" t="n"/>
    </row>
    <row r="970">
      <c r="B970" s="291" t="n"/>
      <c r="E970" s="212" t="n"/>
    </row>
    <row r="971">
      <c r="B971" s="291" t="n"/>
      <c r="E971" s="212" t="n"/>
    </row>
    <row r="972">
      <c r="B972" s="291" t="n"/>
      <c r="E972" s="212" t="n"/>
    </row>
    <row r="973">
      <c r="B973" s="291" t="n"/>
      <c r="E973" s="212" t="n"/>
    </row>
    <row r="974">
      <c r="B974" s="291" t="n"/>
      <c r="E974" s="212" t="n"/>
    </row>
    <row r="975">
      <c r="B975" s="291" t="n"/>
      <c r="E975" s="212" t="n"/>
    </row>
    <row r="976">
      <c r="B976" s="291" t="n"/>
      <c r="E976" s="212" t="n"/>
    </row>
    <row r="977">
      <c r="B977" s="291" t="n"/>
      <c r="E977" s="212" t="n"/>
    </row>
    <row r="978">
      <c r="B978" s="291" t="n"/>
      <c r="E978" s="212" t="n"/>
    </row>
    <row r="979">
      <c r="B979" s="291" t="n"/>
      <c r="E979" s="212" t="n"/>
    </row>
    <row r="980">
      <c r="B980" s="291" t="n"/>
      <c r="E980" s="212" t="n"/>
    </row>
    <row r="981">
      <c r="B981" s="291" t="n"/>
      <c r="E981" s="212" t="n"/>
    </row>
    <row r="982">
      <c r="B982" s="291" t="n"/>
      <c r="E982" s="212" t="n"/>
    </row>
    <row r="983">
      <c r="B983" s="291" t="n"/>
      <c r="E983" s="212" t="n"/>
    </row>
    <row r="984">
      <c r="B984" s="291" t="n"/>
      <c r="E984" s="212" t="n"/>
    </row>
    <row r="985">
      <c r="B985" s="291" t="n"/>
      <c r="E985" s="212" t="n"/>
    </row>
    <row r="986">
      <c r="B986" s="291" t="n"/>
      <c r="E986" s="212" t="n"/>
    </row>
    <row r="987">
      <c r="B987" s="291" t="n"/>
      <c r="E987" s="212" t="n"/>
    </row>
    <row r="988">
      <c r="B988" s="291" t="n"/>
      <c r="E988" s="212" t="n"/>
    </row>
    <row r="989">
      <c r="B989" s="291" t="n"/>
      <c r="E989" s="212" t="n"/>
    </row>
    <row r="990">
      <c r="B990" s="291" t="n"/>
      <c r="E990" s="212" t="n"/>
    </row>
    <row r="991">
      <c r="B991" s="291" t="n"/>
      <c r="E991" s="212" t="n"/>
    </row>
    <row r="992">
      <c r="B992" s="291" t="n"/>
      <c r="E992" s="212" t="n"/>
    </row>
    <row r="993">
      <c r="B993" s="291" t="n"/>
      <c r="E993" s="212" t="n"/>
    </row>
    <row r="994">
      <c r="B994" s="291" t="n"/>
      <c r="E994" s="212" t="n"/>
    </row>
    <row r="995">
      <c r="B995" s="291" t="n"/>
      <c r="E995" s="212" t="n"/>
    </row>
    <row r="996">
      <c r="B996" s="291" t="n"/>
      <c r="E996" s="212" t="n"/>
    </row>
    <row r="997">
      <c r="B997" s="291" t="n"/>
      <c r="E997" s="212" t="n"/>
    </row>
    <row r="998">
      <c r="B998" s="291" t="n"/>
      <c r="E998" s="212" t="n"/>
    </row>
    <row r="999">
      <c r="B999" s="291" t="n"/>
      <c r="E999" s="212" t="n"/>
    </row>
    <row r="1000">
      <c r="B1000" s="291" t="n"/>
      <c r="E1000" s="212" t="n"/>
    </row>
    <row r="1001">
      <c r="B1001" s="291" t="n"/>
      <c r="E1001" s="212" t="n"/>
    </row>
    <row r="1002">
      <c r="B1002" s="291" t="n"/>
      <c r="E1002" s="212" t="n"/>
    </row>
    <row r="1003">
      <c r="B1003" s="291" t="n"/>
      <c r="E1003" s="212" t="n"/>
    </row>
    <row r="1004">
      <c r="B1004" s="291" t="n"/>
      <c r="E1004" s="212" t="n"/>
    </row>
    <row r="1005">
      <c r="B1005" s="291" t="n"/>
      <c r="E1005" s="212" t="n"/>
    </row>
    <row r="1006">
      <c r="B1006" s="291" t="n"/>
      <c r="E1006" s="212" t="n"/>
    </row>
    <row r="1007">
      <c r="B1007" s="291" t="n"/>
      <c r="E1007" s="212" t="n"/>
    </row>
    <row r="1008">
      <c r="B1008" s="291" t="n"/>
      <c r="E1008" s="212" t="n"/>
    </row>
    <row r="1009">
      <c r="B1009" s="291" t="n"/>
      <c r="E1009" s="212" t="n"/>
    </row>
    <row r="1010">
      <c r="B1010" s="291" t="n"/>
      <c r="E1010" s="212" t="n"/>
    </row>
    <row r="1011">
      <c r="B1011" s="291" t="n"/>
      <c r="E1011" s="212" t="n"/>
    </row>
    <row r="1012">
      <c r="B1012" s="291" t="n"/>
      <c r="E1012" s="212" t="n"/>
    </row>
    <row r="1013">
      <c r="B1013" s="291" t="n"/>
      <c r="E1013" s="212" t="n"/>
    </row>
    <row r="1014">
      <c r="B1014" s="291" t="n"/>
      <c r="E1014" s="212" t="n"/>
    </row>
    <row r="1015">
      <c r="B1015" s="291" t="n"/>
      <c r="E1015" s="212" t="n"/>
    </row>
    <row r="1016">
      <c r="B1016" s="291" t="n"/>
      <c r="E1016" s="212" t="n"/>
    </row>
    <row r="1017">
      <c r="B1017" s="291" t="n"/>
      <c r="E1017" s="212" t="n"/>
    </row>
    <row r="1018">
      <c r="B1018" s="291" t="n"/>
      <c r="E1018" s="212" t="n"/>
    </row>
    <row r="1019">
      <c r="B1019" s="291" t="n"/>
      <c r="E1019" s="212" t="n"/>
    </row>
    <row r="1020">
      <c r="B1020" s="291" t="n"/>
      <c r="E1020" s="212" t="n"/>
    </row>
    <row r="1021">
      <c r="B1021" s="291" t="n"/>
      <c r="E1021" s="212" t="n"/>
    </row>
    <row r="1022">
      <c r="B1022" s="291" t="n"/>
      <c r="E1022" s="212" t="n"/>
    </row>
    <row r="1023">
      <c r="B1023" s="291" t="n"/>
      <c r="E1023" s="212" t="n"/>
    </row>
    <row r="1024">
      <c r="B1024" s="291" t="n"/>
      <c r="E1024" s="212" t="n"/>
    </row>
    <row r="1025">
      <c r="B1025" s="291" t="n"/>
      <c r="E1025" s="212" t="n"/>
    </row>
    <row r="1026">
      <c r="B1026" s="291" t="n"/>
      <c r="E1026" s="212" t="n"/>
    </row>
    <row r="1027">
      <c r="B1027" s="291" t="n"/>
      <c r="E1027" s="212" t="n"/>
    </row>
    <row r="1028">
      <c r="B1028" s="291" t="n"/>
      <c r="E1028" s="212" t="n"/>
    </row>
    <row r="1029">
      <c r="B1029" s="291" t="n"/>
      <c r="E1029" s="212" t="n"/>
    </row>
    <row r="1030">
      <c r="B1030" s="291" t="n"/>
      <c r="E1030" s="212" t="n"/>
    </row>
    <row r="1031">
      <c r="B1031" s="291" t="n"/>
      <c r="E1031" s="212" t="n"/>
    </row>
    <row r="1032">
      <c r="B1032" s="291" t="n"/>
      <c r="E1032" s="212" t="n"/>
    </row>
    <row r="1033">
      <c r="B1033" s="291" t="n"/>
      <c r="E1033" s="212" t="n"/>
    </row>
    <row r="1034">
      <c r="B1034" s="291" t="n"/>
      <c r="E1034" s="212" t="n"/>
    </row>
    <row r="1035">
      <c r="B1035" s="291" t="n"/>
      <c r="E1035" s="212" t="n"/>
    </row>
    <row r="1036">
      <c r="B1036" s="291" t="n"/>
      <c r="E1036" s="212" t="n"/>
    </row>
    <row r="1037">
      <c r="B1037" s="291" t="n"/>
      <c r="E1037" s="212" t="n"/>
    </row>
    <row r="1038">
      <c r="B1038" s="291" t="n"/>
      <c r="E1038" s="212" t="n"/>
    </row>
    <row r="1039">
      <c r="B1039" s="291" t="n"/>
      <c r="E1039" s="212" t="n"/>
    </row>
    <row r="1040">
      <c r="B1040" s="291" t="n"/>
      <c r="E1040" s="212" t="n"/>
    </row>
    <row r="1041">
      <c r="B1041" s="291" t="n"/>
      <c r="E1041" s="212" t="n"/>
    </row>
    <row r="1042">
      <c r="B1042" s="291" t="n"/>
      <c r="E1042" s="212" t="n"/>
    </row>
    <row r="1043">
      <c r="B1043" s="291" t="n"/>
      <c r="E1043" s="212" t="n"/>
    </row>
    <row r="1044">
      <c r="B1044" s="291" t="n"/>
      <c r="E1044" s="212" t="n"/>
    </row>
    <row r="1045">
      <c r="B1045" s="291" t="n"/>
      <c r="E1045" s="212" t="n"/>
    </row>
    <row r="1046">
      <c r="B1046" s="291" t="n"/>
      <c r="E1046" s="212" t="n"/>
    </row>
    <row r="1047">
      <c r="B1047" s="291" t="n"/>
      <c r="E1047" s="212" t="n"/>
    </row>
    <row r="1048">
      <c r="B1048" s="291" t="n"/>
      <c r="E1048" s="212" t="n"/>
    </row>
    <row r="1049">
      <c r="B1049" s="291" t="n"/>
      <c r="E1049" s="212" t="n"/>
    </row>
    <row r="1050">
      <c r="B1050" s="291" t="n"/>
      <c r="E1050" s="212" t="n"/>
    </row>
    <row r="1051">
      <c r="B1051" s="291" t="n"/>
      <c r="E1051" s="212" t="n"/>
    </row>
    <row r="1052">
      <c r="B1052" s="291" t="n"/>
      <c r="E1052" s="212" t="n"/>
    </row>
    <row r="1053">
      <c r="B1053" s="291" t="n"/>
      <c r="E1053" s="212" t="n"/>
    </row>
    <row r="1054">
      <c r="B1054" s="291" t="n"/>
      <c r="E1054" s="212" t="n"/>
    </row>
    <row r="1055">
      <c r="B1055" s="291" t="n"/>
      <c r="E1055" s="212" t="n"/>
    </row>
    <row r="1056">
      <c r="B1056" s="291" t="n"/>
      <c r="E1056" s="212" t="n"/>
    </row>
    <row r="1057">
      <c r="B1057" s="291" t="n"/>
      <c r="E1057" s="212" t="n"/>
    </row>
    <row r="1058">
      <c r="B1058" s="291" t="n"/>
      <c r="E1058" s="212" t="n"/>
    </row>
    <row r="1059">
      <c r="B1059" s="291" t="n"/>
      <c r="E1059" s="212" t="n"/>
    </row>
    <row r="1060">
      <c r="B1060" s="291" t="n"/>
      <c r="E1060" s="212" t="n"/>
    </row>
    <row r="1061">
      <c r="B1061" s="291" t="n"/>
      <c r="E1061" s="212" t="n"/>
    </row>
    <row r="1062">
      <c r="B1062" s="291" t="n"/>
      <c r="E1062" s="212" t="n"/>
    </row>
    <row r="1063">
      <c r="B1063" s="291" t="n"/>
      <c r="E1063" s="212" t="n"/>
    </row>
    <row r="1064">
      <c r="B1064" s="291" t="n"/>
      <c r="E1064" s="212" t="n"/>
    </row>
    <row r="1065">
      <c r="B1065" s="291" t="n"/>
      <c r="E1065" s="212" t="n"/>
    </row>
    <row r="1066">
      <c r="B1066" s="291" t="n"/>
      <c r="E1066" s="212" t="n"/>
    </row>
    <row r="1067">
      <c r="B1067" s="291" t="n"/>
      <c r="E1067" s="212" t="n"/>
    </row>
    <row r="1068">
      <c r="B1068" s="291" t="n"/>
      <c r="E1068" s="212" t="n"/>
    </row>
    <row r="1069">
      <c r="B1069" s="291" t="n"/>
      <c r="E1069" s="212" t="n"/>
    </row>
    <row r="1070">
      <c r="B1070" s="291" t="n"/>
      <c r="E1070" s="212" t="n"/>
    </row>
    <row r="1071">
      <c r="B1071" s="291" t="n"/>
      <c r="E1071" s="212" t="n"/>
    </row>
    <row r="1072">
      <c r="B1072" s="291" t="n"/>
      <c r="E1072" s="212" t="n"/>
    </row>
    <row r="1073">
      <c r="B1073" s="291" t="n"/>
      <c r="E1073" s="212" t="n"/>
    </row>
    <row r="1074">
      <c r="B1074" s="291" t="n"/>
      <c r="E1074" s="212" t="n"/>
    </row>
    <row r="1075">
      <c r="B1075" s="291" t="n"/>
      <c r="E1075" s="212" t="n"/>
    </row>
    <row r="1076">
      <c r="B1076" s="291" t="n"/>
      <c r="E1076" s="212" t="n"/>
    </row>
    <row r="1077">
      <c r="B1077" s="291" t="n"/>
      <c r="E1077" s="212" t="n"/>
    </row>
    <row r="1078">
      <c r="B1078" s="291" t="n"/>
      <c r="E1078" s="212" t="n"/>
    </row>
    <row r="1079">
      <c r="B1079" s="291" t="n"/>
      <c r="E1079" s="212" t="n"/>
    </row>
    <row r="1080">
      <c r="B1080" s="291" t="n"/>
      <c r="E1080" s="212" t="n"/>
    </row>
    <row r="1081">
      <c r="B1081" s="291" t="n"/>
      <c r="E1081" s="212" t="n"/>
    </row>
    <row r="1082">
      <c r="B1082" s="291" t="n"/>
      <c r="E1082" s="212" t="n"/>
    </row>
    <row r="1083">
      <c r="B1083" s="291" t="n"/>
      <c r="E1083" s="212" t="n"/>
    </row>
    <row r="1084">
      <c r="B1084" s="291" t="n"/>
      <c r="E1084" s="212" t="n"/>
    </row>
    <row r="1085">
      <c r="B1085" s="291" t="n"/>
      <c r="E1085" s="212" t="n"/>
    </row>
    <row r="1086">
      <c r="B1086" s="291" t="n"/>
      <c r="E1086" s="212" t="n"/>
    </row>
    <row r="1087">
      <c r="B1087" s="291" t="n"/>
      <c r="E1087" s="212" t="n"/>
    </row>
    <row r="1088">
      <c r="B1088" s="291" t="n"/>
      <c r="E1088" s="212" t="n"/>
    </row>
    <row r="1089">
      <c r="B1089" s="291" t="n"/>
      <c r="E1089" s="212" t="n"/>
    </row>
    <row r="1090">
      <c r="B1090" s="291" t="n"/>
      <c r="E1090" s="212" t="n"/>
    </row>
    <row r="1091">
      <c r="B1091" s="291" t="n"/>
      <c r="E1091" s="212" t="n"/>
    </row>
    <row r="1092">
      <c r="B1092" s="291" t="n"/>
      <c r="E1092" s="212" t="n"/>
    </row>
    <row r="1093">
      <c r="B1093" s="291" t="n"/>
      <c r="E1093" s="212" t="n"/>
    </row>
    <row r="1094">
      <c r="B1094" s="291" t="n"/>
      <c r="E1094" s="212" t="n"/>
    </row>
    <row r="1095">
      <c r="B1095" s="291" t="n"/>
      <c r="E1095" s="212" t="n"/>
    </row>
    <row r="1096">
      <c r="B1096" s="291" t="n"/>
      <c r="E1096" s="212" t="n"/>
    </row>
    <row r="1097">
      <c r="B1097" s="291" t="n"/>
      <c r="E1097" s="212" t="n"/>
    </row>
    <row r="1098">
      <c r="B1098" s="291" t="n"/>
      <c r="E1098" s="212" t="n"/>
    </row>
    <row r="1099">
      <c r="B1099" s="291" t="n"/>
      <c r="E1099" s="212" t="n"/>
    </row>
    <row r="1100">
      <c r="B1100" s="291" t="n"/>
      <c r="E1100" s="212" t="n"/>
    </row>
    <row r="1101">
      <c r="B1101" s="291" t="n"/>
      <c r="E1101" s="212" t="n"/>
    </row>
    <row r="1102">
      <c r="B1102" s="291" t="n"/>
      <c r="E1102" s="212" t="n"/>
    </row>
    <row r="1103">
      <c r="B1103" s="291" t="n"/>
      <c r="E1103" s="212" t="n"/>
    </row>
    <row r="1104">
      <c r="B1104" s="291" t="n"/>
      <c r="E1104" s="212" t="n"/>
    </row>
    <row r="1105">
      <c r="B1105" s="291" t="n"/>
      <c r="E1105" s="212" t="n"/>
    </row>
    <row r="1106">
      <c r="B1106" s="291" t="n"/>
      <c r="E1106" s="212" t="n"/>
    </row>
    <row r="1107">
      <c r="B1107" s="291" t="n"/>
      <c r="E1107" s="212" t="n"/>
    </row>
    <row r="1108">
      <c r="B1108" s="291" t="n"/>
      <c r="E1108" s="212" t="n"/>
    </row>
    <row r="1109">
      <c r="B1109" s="291" t="n"/>
      <c r="E1109" s="212" t="n"/>
    </row>
    <row r="1110">
      <c r="B1110" s="291" t="n"/>
      <c r="E1110" s="212" t="n"/>
    </row>
    <row r="1111">
      <c r="B1111" s="291" t="n"/>
      <c r="E1111" s="212" t="n"/>
    </row>
    <row r="1112">
      <c r="B1112" s="291" t="n"/>
      <c r="E1112" s="212" t="n"/>
    </row>
    <row r="1113">
      <c r="B1113" s="291" t="n"/>
      <c r="E1113" s="212" t="n"/>
    </row>
    <row r="1114">
      <c r="B1114" s="291" t="n"/>
      <c r="E1114" s="212" t="n"/>
    </row>
    <row r="1115">
      <c r="B1115" s="291" t="n"/>
      <c r="E1115" s="212" t="n"/>
    </row>
    <row r="1116">
      <c r="B1116" s="291" t="n"/>
      <c r="E1116" s="212" t="n"/>
    </row>
    <row r="1117">
      <c r="B1117" s="291" t="n"/>
      <c r="E1117" s="212" t="n"/>
    </row>
    <row r="1118">
      <c r="B1118" s="291" t="n"/>
      <c r="E1118" s="212" t="n"/>
    </row>
    <row r="1119">
      <c r="B1119" s="291" t="n"/>
      <c r="E1119" s="212" t="n"/>
    </row>
    <row r="1120">
      <c r="B1120" s="291" t="n"/>
      <c r="E1120" s="212" t="n"/>
    </row>
    <row r="1121">
      <c r="B1121" s="291" t="n"/>
      <c r="E1121" s="212" t="n"/>
    </row>
    <row r="1122">
      <c r="B1122" s="291" t="n"/>
      <c r="E1122" s="212" t="n"/>
    </row>
    <row r="1123">
      <c r="B1123" s="291" t="n"/>
      <c r="E1123" s="212" t="n"/>
    </row>
    <row r="1124">
      <c r="B1124" s="291" t="n"/>
      <c r="E1124" s="212" t="n"/>
    </row>
    <row r="1125">
      <c r="B1125" s="291" t="n"/>
      <c r="E1125" s="212" t="n"/>
    </row>
    <row r="1126">
      <c r="B1126" s="291" t="n"/>
      <c r="E1126" s="212" t="n"/>
    </row>
    <row r="1127">
      <c r="B1127" s="291" t="n"/>
      <c r="E1127" s="212" t="n"/>
    </row>
    <row r="1128">
      <c r="B1128" s="291" t="n"/>
      <c r="E1128" s="212" t="n"/>
    </row>
    <row r="1129">
      <c r="B1129" s="291" t="n"/>
      <c r="E1129" s="212" t="n"/>
    </row>
    <row r="1130">
      <c r="B1130" s="291" t="n"/>
      <c r="E1130" s="212" t="n"/>
    </row>
    <row r="1131">
      <c r="B1131" s="291" t="n"/>
      <c r="E1131" s="212" t="n"/>
    </row>
    <row r="1132">
      <c r="B1132" s="291" t="n"/>
      <c r="E1132" s="212" t="n"/>
    </row>
    <row r="1133">
      <c r="B1133" s="291" t="n"/>
      <c r="E1133" s="212" t="n"/>
    </row>
    <row r="1134">
      <c r="B1134" s="291" t="n"/>
      <c r="E1134" s="212" t="n"/>
    </row>
    <row r="1135">
      <c r="B1135" s="291" t="n"/>
      <c r="E1135" s="212" t="n"/>
    </row>
    <row r="1136">
      <c r="B1136" s="291" t="n"/>
      <c r="E1136" s="212" t="n"/>
    </row>
    <row r="1137">
      <c r="B1137" s="291" t="n"/>
      <c r="E1137" s="212" t="n"/>
    </row>
    <row r="1138">
      <c r="B1138" s="291" t="n"/>
      <c r="E1138" s="212" t="n"/>
    </row>
    <row r="1139">
      <c r="B1139" s="291" t="n"/>
      <c r="E1139" s="212" t="n"/>
    </row>
    <row r="1140">
      <c r="B1140" s="291" t="n"/>
      <c r="E1140" s="212" t="n"/>
    </row>
    <row r="1141">
      <c r="B1141" s="291" t="n"/>
      <c r="E1141" s="212" t="n"/>
    </row>
    <row r="1142">
      <c r="B1142" s="291" t="n"/>
      <c r="E1142" s="212" t="n"/>
    </row>
    <row r="1143">
      <c r="B1143" s="291" t="n"/>
      <c r="E1143" s="212" t="n"/>
    </row>
    <row r="1144">
      <c r="B1144" s="291" t="n"/>
      <c r="E1144" s="212" t="n"/>
    </row>
    <row r="1145">
      <c r="B1145" s="291" t="n"/>
      <c r="E1145" s="212" t="n"/>
    </row>
    <row r="1146">
      <c r="B1146" s="291" t="n"/>
      <c r="E1146" s="212" t="n"/>
    </row>
    <row r="1147">
      <c r="B1147" s="291" t="n"/>
      <c r="E1147" s="212" t="n"/>
    </row>
    <row r="1148">
      <c r="B1148" s="291" t="n"/>
      <c r="E1148" s="212" t="n"/>
    </row>
    <row r="1149">
      <c r="B1149" s="291" t="n"/>
      <c r="E1149" s="212" t="n"/>
    </row>
    <row r="1150">
      <c r="B1150" s="291" t="n"/>
      <c r="E1150" s="212" t="n"/>
    </row>
    <row r="1151">
      <c r="B1151" s="291" t="n"/>
      <c r="E1151" s="212" t="n"/>
    </row>
    <row r="1152">
      <c r="B1152" s="291" t="n"/>
      <c r="E1152" s="212" t="n"/>
    </row>
    <row r="1153">
      <c r="B1153" s="291" t="n"/>
      <c r="E1153" s="212" t="n"/>
    </row>
    <row r="1154">
      <c r="B1154" s="291" t="n"/>
      <c r="E1154" s="212" t="n"/>
    </row>
    <row r="1155">
      <c r="B1155" s="291" t="n"/>
      <c r="E1155" s="212" t="n"/>
    </row>
    <row r="1156">
      <c r="B1156" s="291" t="n"/>
      <c r="E1156" s="212" t="n"/>
    </row>
    <row r="1157">
      <c r="B1157" s="291" t="n"/>
      <c r="E1157" s="212" t="n"/>
    </row>
    <row r="1158">
      <c r="B1158" s="291" t="n"/>
      <c r="E1158" s="212" t="n"/>
    </row>
    <row r="1159">
      <c r="B1159" s="291" t="n"/>
      <c r="E1159" s="212" t="n"/>
    </row>
    <row r="1160">
      <c r="B1160" s="291" t="n"/>
      <c r="E1160" s="212" t="n"/>
    </row>
    <row r="1161">
      <c r="B1161" s="291" t="n"/>
      <c r="E1161" s="212" t="n"/>
    </row>
    <row r="1162">
      <c r="B1162" s="291" t="n"/>
      <c r="E1162" s="212" t="n"/>
    </row>
    <row r="1163">
      <c r="B1163" s="291" t="n"/>
      <c r="E1163" s="212" t="n"/>
    </row>
    <row r="1164">
      <c r="B1164" s="291" t="n"/>
      <c r="E1164" s="212" t="n"/>
    </row>
    <row r="1165">
      <c r="B1165" s="291" t="n"/>
      <c r="E1165" s="212" t="n"/>
    </row>
    <row r="1166">
      <c r="B1166" s="291" t="n"/>
      <c r="E1166" s="212" t="n"/>
    </row>
    <row r="1167">
      <c r="B1167" s="291" t="n"/>
      <c r="E1167" s="212" t="n"/>
    </row>
    <row r="1168">
      <c r="B1168" s="291" t="n"/>
      <c r="E1168" s="212" t="n"/>
    </row>
    <row r="1169">
      <c r="B1169" s="291" t="n"/>
      <c r="E1169" s="212" t="n"/>
    </row>
    <row r="1170">
      <c r="B1170" s="291" t="n"/>
      <c r="E1170" s="212" t="n"/>
    </row>
    <row r="1171">
      <c r="B1171" s="291" t="n"/>
      <c r="E1171" s="212" t="n"/>
    </row>
    <row r="1172">
      <c r="B1172" s="291" t="n"/>
      <c r="E1172" s="212" t="n"/>
    </row>
    <row r="1173">
      <c r="B1173" s="291" t="n"/>
      <c r="E1173" s="212" t="n"/>
    </row>
    <row r="1174">
      <c r="B1174" s="291" t="n"/>
      <c r="E1174" s="212" t="n"/>
    </row>
    <row r="1175">
      <c r="B1175" s="291" t="n"/>
      <c r="E1175" s="212" t="n"/>
    </row>
    <row r="1176">
      <c r="B1176" s="291" t="n"/>
      <c r="E1176" s="212" t="n"/>
    </row>
    <row r="1177">
      <c r="B1177" s="291" t="n"/>
      <c r="E1177" s="212" t="n"/>
    </row>
    <row r="1178">
      <c r="B1178" s="291" t="n"/>
      <c r="E1178" s="212" t="n"/>
    </row>
    <row r="1179">
      <c r="B1179" s="291" t="n"/>
      <c r="E1179" s="212" t="n"/>
    </row>
    <row r="1180">
      <c r="B1180" s="291" t="n"/>
      <c r="E1180" s="212" t="n"/>
    </row>
    <row r="1181">
      <c r="B1181" s="291" t="n"/>
      <c r="E1181" s="212" t="n"/>
    </row>
    <row r="1182">
      <c r="B1182" s="291" t="n"/>
      <c r="E1182" s="212" t="n"/>
    </row>
    <row r="1183">
      <c r="B1183" s="291" t="n"/>
      <c r="E1183" s="212" t="n"/>
    </row>
    <row r="1184">
      <c r="B1184" s="291" t="n"/>
      <c r="E1184" s="212" t="n"/>
    </row>
    <row r="1185">
      <c r="B1185" s="291" t="n"/>
      <c r="E1185" s="212" t="n"/>
    </row>
    <row r="1186">
      <c r="B1186" s="291" t="n"/>
      <c r="E1186" s="212" t="n"/>
    </row>
    <row r="1187">
      <c r="B1187" s="291" t="n"/>
      <c r="E1187" s="212" t="n"/>
    </row>
    <row r="1188">
      <c r="B1188" s="291" t="n"/>
      <c r="E1188" s="212" t="n"/>
    </row>
    <row r="1189">
      <c r="B1189" s="291" t="n"/>
      <c r="E1189" s="212" t="n"/>
    </row>
    <row r="1190">
      <c r="B1190" s="291" t="n"/>
      <c r="E1190" s="212" t="n"/>
    </row>
    <row r="1191">
      <c r="B1191" s="291" t="n"/>
      <c r="E1191" s="212" t="n"/>
    </row>
    <row r="1192">
      <c r="B1192" s="291" t="n"/>
      <c r="E1192" s="212" t="n"/>
    </row>
    <row r="1193">
      <c r="B1193" s="291" t="n"/>
      <c r="E1193" s="212" t="n"/>
    </row>
    <row r="1194">
      <c r="B1194" s="291" t="n"/>
      <c r="E1194" s="212" t="n"/>
    </row>
    <row r="1195">
      <c r="B1195" s="291" t="n"/>
      <c r="E1195" s="212" t="n"/>
    </row>
    <row r="1196">
      <c r="B1196" s="291" t="n"/>
      <c r="E1196" s="212" t="n"/>
    </row>
    <row r="1197">
      <c r="B1197" s="291" t="n"/>
      <c r="E1197" s="212" t="n"/>
    </row>
    <row r="1198">
      <c r="B1198" s="291" t="n"/>
      <c r="E1198" s="212" t="n"/>
    </row>
    <row r="1199">
      <c r="B1199" s="291" t="n"/>
      <c r="E1199" s="212" t="n"/>
    </row>
    <row r="1200">
      <c r="B1200" s="291" t="n"/>
      <c r="E1200" s="212" t="n"/>
    </row>
    <row r="1201">
      <c r="B1201" s="291" t="n"/>
      <c r="E1201" s="212" t="n"/>
    </row>
    <row r="1202">
      <c r="B1202" s="291" t="n"/>
      <c r="E1202" s="212" t="n"/>
    </row>
    <row r="1203">
      <c r="B1203" s="291" t="n"/>
      <c r="E1203" s="212" t="n"/>
    </row>
    <row r="1204">
      <c r="B1204" s="291" t="n"/>
      <c r="E1204" s="212" t="n"/>
    </row>
    <row r="1205">
      <c r="B1205" s="291" t="n"/>
      <c r="E1205" s="212" t="n"/>
    </row>
    <row r="1206">
      <c r="B1206" s="291" t="n"/>
      <c r="E1206" s="212" t="n"/>
    </row>
    <row r="1207">
      <c r="B1207" s="291" t="n"/>
      <c r="E1207" s="212" t="n"/>
    </row>
    <row r="1208">
      <c r="B1208" s="291" t="n"/>
      <c r="E1208" s="212" t="n"/>
    </row>
    <row r="1209">
      <c r="B1209" s="291" t="n"/>
      <c r="E1209" s="212" t="n"/>
    </row>
    <row r="1210">
      <c r="B1210" s="291" t="n"/>
      <c r="E1210" s="212" t="n"/>
    </row>
    <row r="1211">
      <c r="B1211" s="291" t="n"/>
      <c r="E1211" s="212" t="n"/>
    </row>
    <row r="1212">
      <c r="B1212" s="291" t="n"/>
      <c r="E1212" s="212" t="n"/>
    </row>
    <row r="1213">
      <c r="B1213" s="291" t="n"/>
      <c r="E1213" s="212" t="n"/>
    </row>
    <row r="1214">
      <c r="B1214" s="291" t="n"/>
      <c r="E1214" s="212" t="n"/>
    </row>
    <row r="1215">
      <c r="B1215" s="291" t="n"/>
      <c r="E1215" s="212" t="n"/>
    </row>
    <row r="1216">
      <c r="B1216" s="291" t="n"/>
      <c r="E1216" s="212" t="n"/>
    </row>
    <row r="1217">
      <c r="B1217" s="291" t="n"/>
      <c r="E1217" s="212" t="n"/>
    </row>
    <row r="1218">
      <c r="B1218" s="291" t="n"/>
      <c r="E1218" s="212" t="n"/>
    </row>
    <row r="1219">
      <c r="B1219" s="291" t="n"/>
      <c r="E1219" s="212" t="n"/>
    </row>
    <row r="1220">
      <c r="B1220" s="291" t="n"/>
      <c r="E1220" s="212" t="n"/>
    </row>
    <row r="1221">
      <c r="B1221" s="291" t="n"/>
      <c r="E1221" s="212" t="n"/>
    </row>
    <row r="1222">
      <c r="B1222" s="291" t="n"/>
      <c r="E1222" s="212" t="n"/>
    </row>
    <row r="1223">
      <c r="B1223" s="291" t="n"/>
      <c r="E1223" s="212" t="n"/>
    </row>
    <row r="1224">
      <c r="B1224" s="291" t="n"/>
      <c r="E1224" s="212" t="n"/>
    </row>
    <row r="1225">
      <c r="B1225" s="291" t="n"/>
      <c r="E1225" s="212" t="n"/>
    </row>
    <row r="1226">
      <c r="B1226" s="291" t="n"/>
      <c r="E1226" s="212" t="n"/>
    </row>
    <row r="1227">
      <c r="B1227" s="291" t="n"/>
      <c r="E1227" s="212" t="n"/>
    </row>
    <row r="1228">
      <c r="B1228" s="291" t="n"/>
      <c r="E1228" s="212" t="n"/>
    </row>
    <row r="1229">
      <c r="B1229" s="291" t="n"/>
      <c r="E1229" s="212" t="n"/>
    </row>
    <row r="1230">
      <c r="B1230" s="291" t="n"/>
      <c r="E1230" s="212" t="n"/>
    </row>
    <row r="1231">
      <c r="B1231" s="291" t="n"/>
      <c r="E1231" s="212" t="n"/>
    </row>
    <row r="1232">
      <c r="B1232" s="291" t="n"/>
      <c r="E1232" s="212" t="n"/>
    </row>
    <row r="1233">
      <c r="B1233" s="291" t="n"/>
      <c r="E1233" s="212" t="n"/>
    </row>
    <row r="1234">
      <c r="B1234" s="291" t="n"/>
      <c r="E1234" s="212" t="n"/>
    </row>
    <row r="1235">
      <c r="B1235" s="291" t="n"/>
      <c r="E1235" s="212" t="n"/>
    </row>
    <row r="1236">
      <c r="B1236" s="291" t="n"/>
      <c r="E1236" s="212" t="n"/>
    </row>
    <row r="1237">
      <c r="B1237" s="291" t="n"/>
      <c r="E1237" s="212" t="n"/>
    </row>
    <row r="1238">
      <c r="B1238" s="291" t="n"/>
      <c r="E1238" s="212" t="n"/>
    </row>
    <row r="1239">
      <c r="B1239" s="291" t="n"/>
      <c r="E1239" s="212" t="n"/>
    </row>
    <row r="1240">
      <c r="B1240" s="291" t="n"/>
      <c r="E1240" s="212" t="n"/>
    </row>
    <row r="1241">
      <c r="B1241" s="291" t="n"/>
      <c r="E1241" s="212" t="n"/>
    </row>
    <row r="1242">
      <c r="B1242" s="291" t="n"/>
      <c r="E1242" s="212" t="n"/>
    </row>
    <row r="1243">
      <c r="B1243" s="291" t="n"/>
      <c r="E1243" s="212" t="n"/>
    </row>
    <row r="1244">
      <c r="B1244" s="291" t="n"/>
      <c r="E1244" s="212" t="n"/>
    </row>
    <row r="1245">
      <c r="B1245" s="291" t="n"/>
      <c r="E1245" s="212" t="n"/>
    </row>
    <row r="1246">
      <c r="B1246" s="291" t="n"/>
      <c r="E1246" s="212" t="n"/>
    </row>
    <row r="1247">
      <c r="B1247" s="291" t="n"/>
      <c r="E1247" s="212" t="n"/>
    </row>
    <row r="1248">
      <c r="B1248" s="291" t="n"/>
      <c r="E1248" s="212" t="n"/>
    </row>
    <row r="1249">
      <c r="B1249" s="291" t="n"/>
      <c r="E1249" s="212" t="n"/>
    </row>
    <row r="1250">
      <c r="B1250" s="291" t="n"/>
      <c r="E1250" s="212" t="n"/>
    </row>
    <row r="1251">
      <c r="B1251" s="291" t="n"/>
      <c r="E1251" s="212" t="n"/>
    </row>
    <row r="1252">
      <c r="B1252" s="291" t="n"/>
      <c r="E1252" s="212" t="n"/>
    </row>
    <row r="1253">
      <c r="B1253" s="291" t="n"/>
      <c r="E1253" s="212" t="n"/>
    </row>
    <row r="1254">
      <c r="B1254" s="291" t="n"/>
      <c r="E1254" s="212" t="n"/>
    </row>
    <row r="1255">
      <c r="B1255" s="291" t="n"/>
      <c r="E1255" s="212" t="n"/>
    </row>
    <row r="1256">
      <c r="B1256" s="291" t="n"/>
      <c r="E1256" s="212" t="n"/>
    </row>
    <row r="1257">
      <c r="B1257" s="291" t="n"/>
      <c r="E1257" s="212" t="n"/>
    </row>
    <row r="1258">
      <c r="B1258" s="291" t="n"/>
      <c r="E1258" s="212" t="n"/>
    </row>
    <row r="1259">
      <c r="B1259" s="291" t="n"/>
      <c r="E1259" s="212" t="n"/>
    </row>
    <row r="1260">
      <c r="B1260" s="291" t="n"/>
      <c r="E1260" s="212" t="n"/>
    </row>
    <row r="1261">
      <c r="B1261" s="291" t="n"/>
      <c r="E1261" s="212" t="n"/>
    </row>
    <row r="1262">
      <c r="B1262" s="291" t="n"/>
      <c r="E1262" s="212" t="n"/>
    </row>
    <row r="1263">
      <c r="B1263" s="291" t="n"/>
      <c r="E1263" s="212" t="n"/>
    </row>
    <row r="1264">
      <c r="B1264" s="291" t="n"/>
      <c r="E1264" s="212" t="n"/>
    </row>
    <row r="1265">
      <c r="B1265" s="291" t="n"/>
      <c r="E1265" s="212" t="n"/>
    </row>
    <row r="1266">
      <c r="B1266" s="291" t="n"/>
      <c r="E1266" s="212" t="n"/>
    </row>
    <row r="1267">
      <c r="B1267" s="291" t="n"/>
      <c r="E1267" s="212" t="n"/>
    </row>
    <row r="1268">
      <c r="B1268" s="291" t="n"/>
      <c r="E1268" s="212" t="n"/>
    </row>
    <row r="1269">
      <c r="B1269" s="291" t="n"/>
      <c r="E1269" s="212" t="n"/>
    </row>
    <row r="1270">
      <c r="B1270" s="291" t="n"/>
      <c r="E1270" s="212" t="n"/>
    </row>
    <row r="1271">
      <c r="B1271" s="291" t="n"/>
      <c r="E1271" s="212" t="n"/>
    </row>
    <row r="1272">
      <c r="B1272" s="291" t="n"/>
      <c r="E1272" s="212" t="n"/>
    </row>
    <row r="1273">
      <c r="B1273" s="291" t="n"/>
      <c r="E1273" s="212" t="n"/>
    </row>
    <row r="1274">
      <c r="B1274" s="291" t="n"/>
      <c r="E1274" s="212" t="n"/>
    </row>
    <row r="1275">
      <c r="B1275" s="291" t="n"/>
      <c r="E1275" s="212" t="n"/>
    </row>
    <row r="1276">
      <c r="B1276" s="291" t="n"/>
      <c r="E1276" s="212" t="n"/>
    </row>
    <row r="1277">
      <c r="B1277" s="291" t="n"/>
      <c r="E1277" s="212" t="n"/>
    </row>
    <row r="1278">
      <c r="B1278" s="291" t="n"/>
      <c r="E1278" s="212" t="n"/>
    </row>
    <row r="1279">
      <c r="B1279" s="291" t="n"/>
      <c r="E1279" s="212" t="n"/>
    </row>
    <row r="1280">
      <c r="B1280" s="291" t="n"/>
      <c r="E1280" s="212" t="n"/>
    </row>
    <row r="1281">
      <c r="B1281" s="291" t="n"/>
      <c r="E1281" s="212" t="n"/>
    </row>
    <row r="1282">
      <c r="B1282" s="291" t="n"/>
      <c r="E1282" s="212" t="n"/>
    </row>
    <row r="1283">
      <c r="B1283" s="291" t="n"/>
      <c r="E1283" s="212" t="n"/>
    </row>
    <row r="1284">
      <c r="B1284" s="291" t="n"/>
      <c r="E1284" s="212" t="n"/>
    </row>
    <row r="1285">
      <c r="B1285" s="291" t="n"/>
      <c r="E1285" s="212" t="n"/>
    </row>
    <row r="1286">
      <c r="B1286" s="291" t="n"/>
      <c r="E1286" s="212" t="n"/>
    </row>
    <row r="1287">
      <c r="B1287" s="291" t="n"/>
      <c r="E1287" s="212" t="n"/>
    </row>
    <row r="1288">
      <c r="B1288" s="291" t="n"/>
      <c r="E1288" s="212" t="n"/>
    </row>
    <row r="1289">
      <c r="B1289" s="291" t="n"/>
      <c r="E1289" s="212" t="n"/>
    </row>
    <row r="1290">
      <c r="B1290" s="291" t="n"/>
      <c r="E1290" s="212" t="n"/>
    </row>
    <row r="1291">
      <c r="B1291" s="291" t="n"/>
      <c r="E1291" s="212" t="n"/>
    </row>
    <row r="1292">
      <c r="B1292" s="291" t="n"/>
      <c r="E1292" s="212" t="n"/>
    </row>
    <row r="1293">
      <c r="B1293" s="291" t="n"/>
      <c r="E1293" s="212" t="n"/>
    </row>
    <row r="1294">
      <c r="B1294" s="291" t="n"/>
      <c r="E1294" s="212" t="n"/>
    </row>
    <row r="1295">
      <c r="B1295" s="291" t="n"/>
      <c r="E1295" s="212" t="n"/>
    </row>
    <row r="1296">
      <c r="B1296" s="291" t="n"/>
      <c r="E1296" s="212" t="n"/>
    </row>
    <row r="1297">
      <c r="B1297" s="291" t="n"/>
      <c r="E1297" s="212" t="n"/>
    </row>
    <row r="1298">
      <c r="B1298" s="291" t="n"/>
      <c r="E1298" s="212" t="n"/>
    </row>
    <row r="1299">
      <c r="B1299" s="291" t="n"/>
      <c r="E1299" s="212" t="n"/>
    </row>
    <row r="1300">
      <c r="B1300" s="291" t="n"/>
      <c r="E1300" s="212" t="n"/>
    </row>
    <row r="1301">
      <c r="B1301" s="291" t="n"/>
      <c r="E1301" s="212" t="n"/>
    </row>
    <row r="1302">
      <c r="B1302" s="291" t="n"/>
      <c r="E1302" s="212" t="n"/>
    </row>
    <row r="1303">
      <c r="B1303" s="291" t="n"/>
      <c r="E1303" s="212" t="n"/>
    </row>
    <row r="1304">
      <c r="B1304" s="291" t="n"/>
      <c r="E1304" s="212" t="n"/>
    </row>
    <row r="1305">
      <c r="B1305" s="291" t="n"/>
      <c r="E1305" s="212" t="n"/>
    </row>
    <row r="1306">
      <c r="B1306" s="291" t="n"/>
      <c r="E1306" s="212" t="n"/>
    </row>
    <row r="1307">
      <c r="B1307" s="291" t="n"/>
      <c r="E1307" s="212" t="n"/>
    </row>
    <row r="1308">
      <c r="B1308" s="291" t="n"/>
      <c r="E1308" s="212" t="n"/>
    </row>
    <row r="1309">
      <c r="B1309" s="291" t="n"/>
      <c r="E1309" s="212" t="n"/>
    </row>
    <row r="1310">
      <c r="B1310" s="291" t="n"/>
      <c r="E1310" s="212" t="n"/>
    </row>
    <row r="1311">
      <c r="B1311" s="291" t="n"/>
      <c r="E1311" s="212" t="n"/>
    </row>
    <row r="1312">
      <c r="B1312" s="291" t="n"/>
      <c r="E1312" s="212" t="n"/>
    </row>
    <row r="1313">
      <c r="B1313" s="291" t="n"/>
      <c r="E1313" s="212" t="n"/>
    </row>
    <row r="1314">
      <c r="B1314" s="291" t="n"/>
      <c r="E1314" s="212" t="n"/>
    </row>
    <row r="1315">
      <c r="B1315" s="291" t="n"/>
      <c r="E1315" s="212" t="n"/>
    </row>
    <row r="1316">
      <c r="B1316" s="291" t="n"/>
      <c r="E1316" s="212" t="n"/>
    </row>
    <row r="1317">
      <c r="B1317" s="291" t="n"/>
      <c r="E1317" s="212" t="n"/>
    </row>
    <row r="1318">
      <c r="B1318" s="291" t="n"/>
      <c r="E1318" s="212" t="n"/>
    </row>
    <row r="1319">
      <c r="B1319" s="291" t="n"/>
      <c r="E1319" s="212" t="n"/>
    </row>
    <row r="1320">
      <c r="B1320" s="291" t="n"/>
      <c r="E1320" s="212" t="n"/>
    </row>
    <row r="1321">
      <c r="B1321" s="291" t="n"/>
      <c r="E1321" s="212" t="n"/>
    </row>
    <row r="1322">
      <c r="B1322" s="291" t="n"/>
      <c r="E1322" s="212" t="n"/>
    </row>
    <row r="1323">
      <c r="B1323" s="291" t="n"/>
      <c r="E1323" s="212" t="n"/>
    </row>
    <row r="1324">
      <c r="B1324" s="291" t="n"/>
      <c r="E1324" s="212" t="n"/>
    </row>
    <row r="1325">
      <c r="B1325" s="291" t="n"/>
      <c r="E1325" s="212" t="n"/>
    </row>
    <row r="1326">
      <c r="B1326" s="291" t="n"/>
      <c r="E1326" s="212" t="n"/>
    </row>
    <row r="1327">
      <c r="B1327" s="291" t="n"/>
      <c r="E1327" s="212" t="n"/>
    </row>
    <row r="1328">
      <c r="B1328" s="291" t="n"/>
      <c r="E1328" s="212" t="n"/>
    </row>
    <row r="1329">
      <c r="B1329" s="291" t="n"/>
      <c r="E1329" s="212" t="n"/>
    </row>
    <row r="1330">
      <c r="B1330" s="291" t="n"/>
      <c r="E1330" s="212" t="n"/>
    </row>
    <row r="1331">
      <c r="B1331" s="291" t="n"/>
      <c r="E1331" s="212" t="n"/>
    </row>
    <row r="1332">
      <c r="B1332" s="291" t="n"/>
      <c r="E1332" s="212" t="n"/>
    </row>
    <row r="1333">
      <c r="B1333" s="291" t="n"/>
      <c r="E1333" s="212" t="n"/>
    </row>
    <row r="1334">
      <c r="B1334" s="291" t="n"/>
      <c r="E1334" s="212" t="n"/>
    </row>
    <row r="1335">
      <c r="B1335" s="291" t="n"/>
      <c r="E1335" s="212" t="n"/>
    </row>
    <row r="1336">
      <c r="B1336" s="291" t="n"/>
      <c r="E1336" s="212" t="n"/>
    </row>
    <row r="1337">
      <c r="B1337" s="291" t="n"/>
      <c r="E1337" s="212" t="n"/>
    </row>
    <row r="1338">
      <c r="B1338" s="291" t="n"/>
      <c r="E1338" s="212" t="n"/>
    </row>
    <row r="1339">
      <c r="B1339" s="291" t="n"/>
      <c r="E1339" s="212" t="n"/>
    </row>
    <row r="1340">
      <c r="B1340" s="291" t="n"/>
      <c r="E1340" s="212" t="n"/>
    </row>
    <row r="1341">
      <c r="B1341" s="291" t="n"/>
      <c r="E1341" s="212" t="n"/>
    </row>
    <row r="1342">
      <c r="B1342" s="291" t="n"/>
      <c r="E1342" s="212" t="n"/>
    </row>
    <row r="1343">
      <c r="B1343" s="291" t="n"/>
      <c r="E1343" s="212" t="n"/>
    </row>
    <row r="1344">
      <c r="B1344" s="291" t="n"/>
      <c r="E1344" s="212" t="n"/>
    </row>
    <row r="1345">
      <c r="B1345" s="291" t="n"/>
      <c r="E1345" s="212" t="n"/>
    </row>
    <row r="1346">
      <c r="B1346" s="291" t="n"/>
      <c r="E1346" s="212" t="n"/>
    </row>
    <row r="1347">
      <c r="B1347" s="291" t="n"/>
      <c r="E1347" s="212" t="n"/>
    </row>
    <row r="1348">
      <c r="B1348" s="291" t="n"/>
      <c r="E1348" s="212" t="n"/>
    </row>
    <row r="1349">
      <c r="B1349" s="291" t="n"/>
      <c r="E1349" s="212" t="n"/>
    </row>
    <row r="1350">
      <c r="B1350" s="291" t="n"/>
      <c r="E1350" s="212" t="n"/>
    </row>
    <row r="1351">
      <c r="B1351" s="291" t="n"/>
      <c r="E1351" s="212" t="n"/>
    </row>
    <row r="1352">
      <c r="B1352" s="291" t="n"/>
      <c r="E1352" s="212" t="n"/>
    </row>
    <row r="1353">
      <c r="B1353" s="291" t="n"/>
      <c r="E1353" s="212" t="n"/>
    </row>
    <row r="1354">
      <c r="B1354" s="291" t="n"/>
      <c r="E1354" s="212" t="n"/>
    </row>
    <row r="1355">
      <c r="B1355" s="291" t="n"/>
      <c r="E1355" s="212" t="n"/>
    </row>
    <row r="1356">
      <c r="B1356" s="291" t="n"/>
      <c r="E1356" s="212" t="n"/>
    </row>
    <row r="1357">
      <c r="B1357" s="291" t="n"/>
      <c r="E1357" s="212" t="n"/>
    </row>
    <row r="1358">
      <c r="B1358" s="291" t="n"/>
      <c r="E1358" s="212" t="n"/>
    </row>
    <row r="1359">
      <c r="B1359" s="291" t="n"/>
      <c r="E1359" s="212" t="n"/>
    </row>
    <row r="1360">
      <c r="B1360" s="291" t="n"/>
      <c r="E1360" s="212" t="n"/>
    </row>
    <row r="1361">
      <c r="B1361" s="291" t="n"/>
      <c r="E1361" s="212" t="n"/>
    </row>
    <row r="1362">
      <c r="B1362" s="291" t="n"/>
      <c r="E1362" s="212" t="n"/>
    </row>
    <row r="1363">
      <c r="B1363" s="291" t="n"/>
      <c r="E1363" s="212" t="n"/>
    </row>
    <row r="1364">
      <c r="B1364" s="291" t="n"/>
      <c r="E1364" s="212" t="n"/>
    </row>
    <row r="1365">
      <c r="B1365" s="291" t="n"/>
      <c r="E1365" s="212" t="n"/>
    </row>
    <row r="1366">
      <c r="B1366" s="291" t="n"/>
      <c r="E1366" s="212" t="n"/>
    </row>
    <row r="1367">
      <c r="B1367" s="291" t="n"/>
      <c r="E1367" s="212" t="n"/>
    </row>
    <row r="1368">
      <c r="B1368" s="291" t="n"/>
      <c r="E1368" s="212" t="n"/>
    </row>
    <row r="1369">
      <c r="B1369" s="291" t="n"/>
      <c r="E1369" s="212" t="n"/>
    </row>
    <row r="1370">
      <c r="B1370" s="291" t="n"/>
      <c r="E1370" s="212" t="n"/>
    </row>
    <row r="1371">
      <c r="B1371" s="291" t="n"/>
      <c r="E1371" s="212" t="n"/>
    </row>
    <row r="1372">
      <c r="B1372" s="291" t="n"/>
      <c r="E1372" s="212" t="n"/>
    </row>
    <row r="1373">
      <c r="B1373" s="291" t="n"/>
      <c r="E1373" s="212" t="n"/>
    </row>
    <row r="1374">
      <c r="B1374" s="291" t="n"/>
      <c r="E1374" s="212" t="n"/>
    </row>
    <row r="1375">
      <c r="B1375" s="291" t="n"/>
      <c r="E1375" s="212" t="n"/>
    </row>
    <row r="1376">
      <c r="B1376" s="291" t="n"/>
      <c r="E1376" s="212" t="n"/>
    </row>
    <row r="1377">
      <c r="B1377" s="291" t="n"/>
      <c r="C1377" s="229" t="n"/>
      <c r="E1377" s="212" t="n"/>
    </row>
    <row r="1378">
      <c r="B1378" s="291" t="n"/>
      <c r="E1378" s="212" t="n"/>
    </row>
    <row r="1379">
      <c r="B1379" s="291" t="n"/>
      <c r="E1379" s="212" t="n"/>
    </row>
    <row r="1380">
      <c r="B1380" s="291" t="n"/>
      <c r="E1380" s="212" t="n"/>
    </row>
    <row r="1381">
      <c r="B1381" s="291" t="n"/>
      <c r="E1381" s="212" t="n"/>
    </row>
    <row r="1382">
      <c r="B1382" s="291" t="n"/>
      <c r="E1382" s="212" t="n"/>
    </row>
    <row r="1383">
      <c r="B1383" s="291" t="n"/>
      <c r="E1383" s="212" t="n"/>
    </row>
    <row r="1384">
      <c r="B1384" s="291" t="n"/>
      <c r="E1384" s="212" t="n"/>
    </row>
    <row r="1385">
      <c r="B1385" s="291" t="n"/>
      <c r="E1385" s="212" t="n"/>
    </row>
    <row r="1386">
      <c r="B1386" s="291" t="n"/>
      <c r="E1386" s="212" t="n"/>
    </row>
    <row r="1387">
      <c r="B1387" s="291" t="n"/>
      <c r="E1387" s="212" t="n"/>
    </row>
    <row r="1388">
      <c r="B1388" s="291" t="n"/>
      <c r="E1388" s="212" t="n"/>
    </row>
    <row r="1389">
      <c r="B1389" s="291" t="n"/>
      <c r="E1389" s="212" t="n"/>
    </row>
    <row r="1390">
      <c r="B1390" s="291" t="n"/>
      <c r="E1390" s="212" t="n"/>
    </row>
    <row r="1391">
      <c r="B1391" s="291" t="n"/>
      <c r="E1391" s="212" t="n"/>
    </row>
    <row r="1392">
      <c r="B1392" s="291" t="n"/>
      <c r="E1392" s="212" t="n"/>
    </row>
    <row r="1393">
      <c r="B1393" s="291" t="n"/>
      <c r="E1393" s="212" t="n"/>
    </row>
    <row r="1394">
      <c r="B1394" s="291" t="n"/>
      <c r="E1394" s="212" t="n"/>
    </row>
    <row r="1395">
      <c r="B1395" s="291" t="n"/>
      <c r="E1395" s="212" t="n"/>
    </row>
    <row r="1396">
      <c r="B1396" s="291" t="n"/>
      <c r="E1396" s="212" t="n"/>
    </row>
    <row r="1397">
      <c r="B1397" s="291" t="n"/>
      <c r="E1397" s="212" t="n"/>
    </row>
    <row r="1398">
      <c r="B1398" s="291" t="n"/>
      <c r="E1398" s="212" t="n"/>
    </row>
    <row r="1399">
      <c r="B1399" s="291" t="n"/>
      <c r="E1399" s="212" t="n"/>
    </row>
    <row r="1400">
      <c r="B1400" s="291" t="n"/>
      <c r="E1400" s="212" t="n"/>
    </row>
    <row r="1401">
      <c r="B1401" s="291" t="n"/>
      <c r="E1401" s="212" t="n"/>
    </row>
    <row r="1402">
      <c r="B1402" s="291" t="n"/>
      <c r="E1402" s="212" t="n"/>
    </row>
    <row r="1403">
      <c r="B1403" s="291" t="n"/>
      <c r="E1403" s="212" t="n"/>
    </row>
    <row r="1404">
      <c r="B1404" s="291" t="n"/>
      <c r="E1404" s="212" t="n"/>
    </row>
    <row r="1405">
      <c r="B1405" s="291" t="n"/>
      <c r="E1405" s="212" t="n"/>
    </row>
    <row r="1406">
      <c r="B1406" s="291" t="n"/>
      <c r="E1406" s="212" t="n"/>
    </row>
    <row r="1407">
      <c r="B1407" s="291" t="n"/>
      <c r="E1407" s="212" t="n"/>
    </row>
    <row r="1408">
      <c r="B1408" s="291" t="n"/>
      <c r="E1408" s="212" t="n"/>
    </row>
    <row r="1409">
      <c r="B1409" s="291" t="n"/>
      <c r="E1409" s="212" t="n"/>
    </row>
    <row r="1410">
      <c r="B1410" s="291" t="n"/>
      <c r="E1410" s="212" t="n"/>
    </row>
    <row r="1411">
      <c r="B1411" s="291" t="n"/>
      <c r="E1411" s="212" t="n"/>
    </row>
    <row r="1412">
      <c r="B1412" s="291" t="n"/>
      <c r="E1412" s="212" t="n"/>
    </row>
    <row r="1413">
      <c r="B1413" s="291" t="n"/>
      <c r="E1413" s="212" t="n"/>
    </row>
    <row r="1414">
      <c r="B1414" s="291" t="n"/>
      <c r="E1414" s="212" t="n"/>
    </row>
    <row r="1415">
      <c r="B1415" s="291" t="n"/>
      <c r="E1415" s="212" t="n"/>
    </row>
    <row r="1416">
      <c r="B1416" s="291" t="n"/>
      <c r="E1416" s="212" t="n"/>
    </row>
    <row r="1417">
      <c r="B1417" s="291" t="n"/>
      <c r="E1417" s="212" t="n"/>
    </row>
    <row r="1418">
      <c r="B1418" s="291" t="n"/>
      <c r="E1418" s="212" t="n"/>
    </row>
    <row r="1419">
      <c r="B1419" s="291" t="n"/>
      <c r="E1419" s="212" t="n"/>
    </row>
    <row r="1420">
      <c r="B1420" s="291" t="n"/>
      <c r="E1420" s="212" t="n"/>
    </row>
    <row r="1421">
      <c r="B1421" s="291" t="n"/>
      <c r="E1421" s="212" t="n"/>
    </row>
    <row r="1422">
      <c r="B1422" s="291" t="n"/>
      <c r="E1422" s="212" t="n"/>
    </row>
    <row r="1423">
      <c r="B1423" s="291" t="n"/>
      <c r="E1423" s="212" t="n"/>
    </row>
    <row r="1424">
      <c r="B1424" s="291" t="n"/>
      <c r="E1424" s="212" t="n"/>
    </row>
    <row r="1425">
      <c r="B1425" s="291" t="n"/>
      <c r="E1425" s="212" t="n"/>
    </row>
    <row r="1426">
      <c r="B1426" s="291" t="n"/>
      <c r="E1426" s="212" t="n"/>
    </row>
    <row r="1427">
      <c r="B1427" s="291" t="n"/>
      <c r="E1427" s="212" t="n"/>
    </row>
    <row r="1428">
      <c r="B1428" s="291" t="n"/>
      <c r="E1428" s="212" t="n"/>
    </row>
    <row r="1429">
      <c r="B1429" s="291" t="n"/>
      <c r="E1429" s="212" t="n"/>
    </row>
    <row r="1430">
      <c r="B1430" s="291" t="n"/>
      <c r="E1430" s="212" t="n"/>
    </row>
    <row r="1431">
      <c r="B1431" s="291" t="n"/>
      <c r="E1431" s="212" t="n"/>
    </row>
    <row r="1432">
      <c r="B1432" s="291" t="n"/>
      <c r="E1432" s="212" t="n"/>
    </row>
    <row r="1433">
      <c r="B1433" s="291" t="n"/>
      <c r="E1433" s="212" t="n"/>
    </row>
    <row r="1434">
      <c r="B1434" s="291" t="n"/>
      <c r="E1434" s="212" t="n"/>
    </row>
    <row r="1435">
      <c r="B1435" s="291" t="n"/>
      <c r="E1435" s="212" t="n"/>
    </row>
    <row r="1436">
      <c r="B1436" s="291" t="n"/>
      <c r="E1436" s="212" t="n"/>
    </row>
    <row r="1437">
      <c r="B1437" s="291" t="n"/>
      <c r="E1437" s="212" t="n"/>
    </row>
    <row r="1438">
      <c r="B1438" s="291" t="n"/>
      <c r="E1438" s="212" t="n"/>
    </row>
    <row r="1439">
      <c r="B1439" s="291" t="n"/>
      <c r="E1439" s="212" t="n"/>
    </row>
    <row r="1440">
      <c r="B1440" s="291" t="n"/>
      <c r="E1440" s="212" t="n"/>
    </row>
    <row r="1441">
      <c r="B1441" s="291" t="n"/>
      <c r="E1441" s="212" t="n"/>
    </row>
    <row r="1442">
      <c r="B1442" s="291" t="n"/>
      <c r="E1442" s="212" t="n"/>
    </row>
    <row r="1443">
      <c r="B1443" s="291" t="n"/>
      <c r="E1443" s="212" t="n"/>
    </row>
    <row r="1444">
      <c r="B1444" s="291" t="n"/>
      <c r="E1444" s="212" t="n"/>
    </row>
    <row r="1445">
      <c r="B1445" s="291" t="n"/>
      <c r="E1445" s="212" t="n"/>
    </row>
    <row r="1446">
      <c r="B1446" s="291" t="n"/>
      <c r="E1446" s="212" t="n"/>
    </row>
    <row r="1447">
      <c r="B1447" s="291" t="n"/>
      <c r="E1447" s="212" t="n"/>
    </row>
    <row r="1448">
      <c r="B1448" s="291" t="n"/>
      <c r="E1448" s="212" t="n"/>
    </row>
    <row r="1449">
      <c r="B1449" s="291" t="n"/>
      <c r="E1449" s="212" t="n"/>
    </row>
    <row r="1450">
      <c r="B1450" s="291" t="n"/>
      <c r="E1450" s="212" t="n"/>
    </row>
    <row r="1451">
      <c r="B1451" s="291" t="n"/>
      <c r="E1451" s="212" t="n"/>
    </row>
    <row r="1452">
      <c r="B1452" s="291" t="n"/>
      <c r="E1452" s="212" t="n"/>
    </row>
    <row r="1453">
      <c r="B1453" s="291" t="n"/>
      <c r="E1453" s="212" t="n"/>
    </row>
    <row r="1454">
      <c r="B1454" s="291" t="n"/>
      <c r="E1454" s="212" t="n"/>
    </row>
    <row r="1455">
      <c r="B1455" s="291" t="n"/>
      <c r="E1455" s="212" t="n"/>
    </row>
    <row r="1456">
      <c r="B1456" s="291" t="n"/>
      <c r="E1456" s="212" t="n"/>
    </row>
    <row r="1457">
      <c r="B1457" s="291" t="n"/>
      <c r="E1457" s="212" t="n"/>
    </row>
    <row r="1458">
      <c r="B1458" s="291" t="n"/>
      <c r="E1458" s="212" t="n"/>
    </row>
    <row r="1459">
      <c r="B1459" s="291" t="n"/>
      <c r="E1459" s="212" t="n"/>
    </row>
    <row r="1460">
      <c r="B1460" s="291" t="n"/>
      <c r="E1460" s="212" t="n"/>
    </row>
    <row r="1461">
      <c r="B1461" s="291" t="n"/>
      <c r="E1461" s="212" t="n"/>
    </row>
    <row r="1462">
      <c r="B1462" s="291" t="n"/>
      <c r="E1462" s="212" t="n"/>
    </row>
    <row r="1463">
      <c r="B1463" s="291" t="n"/>
      <c r="E1463" s="212" t="n"/>
    </row>
    <row r="1464">
      <c r="B1464" s="291" t="n"/>
      <c r="E1464" s="212" t="n"/>
    </row>
    <row r="1465">
      <c r="B1465" s="291" t="n"/>
      <c r="E1465" s="212" t="n"/>
    </row>
    <row r="1466">
      <c r="B1466" s="291" t="n"/>
      <c r="E1466" s="212" t="n"/>
    </row>
    <row r="1467">
      <c r="B1467" s="291" t="n"/>
      <c r="E1467" s="212" t="n"/>
    </row>
    <row r="1468">
      <c r="B1468" s="291" t="n"/>
      <c r="E1468" s="212" t="n"/>
    </row>
    <row r="1469">
      <c r="B1469" s="291" t="n"/>
      <c r="E1469" s="212" t="n"/>
    </row>
    <row r="1470">
      <c r="B1470" s="291" t="n"/>
      <c r="E1470" s="212" t="n"/>
    </row>
    <row r="1471">
      <c r="B1471" s="291" t="n"/>
      <c r="E1471" s="212" t="n"/>
    </row>
    <row r="1472">
      <c r="B1472" s="291" t="n"/>
      <c r="E1472" s="212" t="n"/>
    </row>
    <row r="1473">
      <c r="B1473" s="291" t="n"/>
      <c r="E1473" s="212" t="n"/>
    </row>
    <row r="1474">
      <c r="B1474" s="291" t="n"/>
      <c r="E1474" s="212" t="n"/>
    </row>
    <row r="1475">
      <c r="B1475" s="291" t="n"/>
      <c r="E1475" s="212" t="n"/>
    </row>
    <row r="1476">
      <c r="B1476" s="291" t="n"/>
      <c r="E1476" s="212" t="n"/>
    </row>
    <row r="1477">
      <c r="B1477" s="291" t="n"/>
      <c r="E1477" s="212" t="n"/>
    </row>
    <row r="1478">
      <c r="B1478" s="291" t="n"/>
      <c r="E1478" s="212" t="n"/>
    </row>
    <row r="1479">
      <c r="B1479" s="291" t="n"/>
      <c r="E1479" s="212" t="n"/>
    </row>
    <row r="1480">
      <c r="B1480" s="291" t="n"/>
      <c r="E1480" s="212" t="n"/>
    </row>
    <row r="1481">
      <c r="B1481" s="291" t="n"/>
      <c r="E1481" s="212" t="n"/>
    </row>
    <row r="1482">
      <c r="B1482" s="291" t="n"/>
      <c r="E1482" s="212" t="n"/>
    </row>
    <row r="1483">
      <c r="B1483" s="291" t="n"/>
      <c r="E1483" s="212" t="n"/>
    </row>
    <row r="1484">
      <c r="B1484" s="291" t="n"/>
      <c r="E1484" s="212" t="n"/>
    </row>
    <row r="1485">
      <c r="B1485" s="291" t="n"/>
      <c r="E1485" s="212" t="n"/>
    </row>
    <row r="1486">
      <c r="B1486" s="291" t="n"/>
      <c r="E1486" s="212" t="n"/>
    </row>
    <row r="1487">
      <c r="B1487" s="291" t="n"/>
      <c r="E1487" s="212" t="n"/>
    </row>
    <row r="1488">
      <c r="B1488" s="291" t="n"/>
      <c r="E1488" s="212" t="n"/>
    </row>
    <row r="1489">
      <c r="B1489" s="291" t="n"/>
      <c r="E1489" s="212" t="n"/>
    </row>
    <row r="1490">
      <c r="B1490" s="291" t="n"/>
      <c r="C1490" s="229" t="n"/>
      <c r="E1490" s="212" t="n"/>
    </row>
    <row r="1491">
      <c r="B1491" s="291" t="n"/>
      <c r="E1491" s="212" t="n"/>
    </row>
    <row r="1492">
      <c r="B1492" s="291" t="n"/>
      <c r="E1492" s="212" t="n"/>
    </row>
    <row r="1493">
      <c r="B1493" s="291" t="n"/>
      <c r="E1493" s="212" t="n"/>
    </row>
    <row r="1494">
      <c r="B1494" s="291" t="n"/>
      <c r="E1494" s="212" t="n"/>
    </row>
    <row r="1495">
      <c r="B1495" s="291" t="n"/>
      <c r="E1495" s="212" t="n"/>
    </row>
    <row r="1496">
      <c r="B1496" s="291" t="n"/>
      <c r="E1496" s="212" t="n"/>
    </row>
    <row r="1497">
      <c r="B1497" s="291" t="n"/>
      <c r="E1497" s="212" t="n"/>
    </row>
    <row r="1498">
      <c r="B1498" s="291" t="n"/>
      <c r="E1498" s="212" t="n"/>
    </row>
    <row r="1499">
      <c r="B1499" s="291" t="n"/>
      <c r="E1499" s="212" t="n"/>
    </row>
    <row r="1500">
      <c r="B1500" s="291" t="n"/>
      <c r="E1500" s="212" t="n"/>
    </row>
    <row r="1501">
      <c r="B1501" s="291" t="n"/>
      <c r="E1501" s="212" t="n"/>
    </row>
    <row r="1502">
      <c r="B1502" s="291" t="n"/>
      <c r="E1502" s="212" t="n"/>
    </row>
    <row r="1503">
      <c r="B1503" s="291" t="n"/>
      <c r="E1503" s="212" t="n"/>
    </row>
    <row r="1504">
      <c r="B1504" s="291" t="n"/>
      <c r="E1504" s="212" t="n"/>
    </row>
    <row r="1505">
      <c r="B1505" s="291" t="n"/>
      <c r="E1505" s="212" t="n"/>
    </row>
    <row r="1506">
      <c r="B1506" s="291" t="n"/>
      <c r="E1506" s="212" t="n"/>
    </row>
    <row r="1507">
      <c r="B1507" s="291" t="n"/>
      <c r="E1507" s="212" t="n"/>
    </row>
    <row r="1508">
      <c r="B1508" s="291" t="n"/>
      <c r="E1508" s="212" t="n"/>
    </row>
    <row r="1509">
      <c r="B1509" s="291" t="n"/>
      <c r="E1509" s="212" t="n"/>
    </row>
    <row r="1510">
      <c r="B1510" s="291" t="n"/>
      <c r="E1510" s="212" t="n"/>
    </row>
    <row r="1511">
      <c r="B1511" s="291" t="n"/>
      <c r="E1511" s="212" t="n"/>
    </row>
    <row r="1512">
      <c r="B1512" s="291" t="n"/>
      <c r="E1512" s="212" t="n"/>
    </row>
    <row r="1513">
      <c r="B1513" s="291" t="n"/>
      <c r="E1513" s="212" t="n"/>
    </row>
    <row r="1514">
      <c r="B1514" s="291" t="n"/>
      <c r="E1514" s="212" t="n"/>
    </row>
    <row r="1515">
      <c r="B1515" s="291" t="n"/>
      <c r="E1515" s="212" t="n"/>
    </row>
    <row r="1516">
      <c r="B1516" s="291" t="n"/>
      <c r="E1516" s="212" t="n"/>
    </row>
    <row r="1517">
      <c r="B1517" s="291" t="n"/>
      <c r="E1517" s="212" t="n"/>
    </row>
    <row r="1518">
      <c r="B1518" s="291" t="n"/>
      <c r="E1518" s="212" t="n"/>
    </row>
    <row r="1519">
      <c r="B1519" s="291" t="n"/>
      <c r="E1519" s="212" t="n"/>
    </row>
    <row r="1520">
      <c r="B1520" s="291" t="n"/>
      <c r="E1520" s="212" t="n"/>
    </row>
    <row r="1521">
      <c r="B1521" s="291" t="n"/>
      <c r="E1521" s="212" t="n"/>
    </row>
    <row r="1522">
      <c r="B1522" s="291" t="n"/>
      <c r="E1522" s="212" t="n"/>
    </row>
    <row r="1523">
      <c r="B1523" s="291" t="n"/>
      <c r="E1523" s="212" t="n"/>
    </row>
    <row r="1524">
      <c r="B1524" s="291" t="n"/>
      <c r="E1524" s="212" t="n"/>
    </row>
    <row r="1525">
      <c r="B1525" s="291" t="n"/>
      <c r="E1525" s="212" t="n"/>
    </row>
    <row r="1526">
      <c r="B1526" s="291" t="n"/>
      <c r="E1526" s="212" t="n"/>
    </row>
    <row r="1527">
      <c r="B1527" s="291" t="n"/>
      <c r="E1527" s="212" t="n"/>
    </row>
    <row r="1528">
      <c r="B1528" s="291" t="n"/>
      <c r="E1528" s="212" t="n"/>
    </row>
    <row r="1529">
      <c r="B1529" s="291" t="n"/>
      <c r="E1529" s="212" t="n"/>
    </row>
    <row r="1530">
      <c r="B1530" s="291" t="n"/>
      <c r="E1530" s="212" t="n"/>
    </row>
    <row r="1531">
      <c r="B1531" s="291" t="n"/>
      <c r="E1531" s="212" t="n"/>
    </row>
    <row r="1532">
      <c r="B1532" s="291" t="n"/>
      <c r="E1532" s="212" t="n"/>
    </row>
    <row r="1533">
      <c r="B1533" s="291" t="n"/>
      <c r="E1533" s="212" t="n"/>
    </row>
    <row r="1534">
      <c r="B1534" s="291" t="n"/>
      <c r="E1534" s="212" t="n"/>
    </row>
    <row r="1535">
      <c r="B1535" s="291" t="n"/>
      <c r="E1535" s="212" t="n"/>
    </row>
    <row r="1536">
      <c r="B1536" s="291" t="n"/>
      <c r="E1536" s="212" t="n"/>
    </row>
    <row r="1537">
      <c r="B1537" s="291" t="n"/>
      <c r="E1537" s="212" t="n"/>
    </row>
    <row r="1538">
      <c r="B1538" s="291" t="n"/>
      <c r="E1538" s="212" t="n"/>
    </row>
    <row r="1539">
      <c r="B1539" s="291" t="n"/>
      <c r="E1539" s="212" t="n"/>
    </row>
    <row r="1540">
      <c r="B1540" s="291" t="n"/>
      <c r="E1540" s="212" t="n"/>
    </row>
    <row r="1541">
      <c r="B1541" s="291" t="n"/>
      <c r="E1541" s="212" t="n"/>
    </row>
    <row r="1542">
      <c r="B1542" s="291" t="n"/>
      <c r="E1542" s="212" t="n"/>
    </row>
    <row r="1543">
      <c r="B1543" s="291" t="n"/>
      <c r="E1543" s="212" t="n"/>
    </row>
    <row r="1544">
      <c r="B1544" s="291" t="n"/>
      <c r="E1544" s="212" t="n"/>
    </row>
    <row r="1545">
      <c r="B1545" s="291" t="n"/>
      <c r="E1545" s="212" t="n"/>
    </row>
    <row r="1546">
      <c r="B1546" s="291" t="n"/>
      <c r="E1546" s="212" t="n"/>
    </row>
    <row r="1547">
      <c r="B1547" s="291" t="n"/>
      <c r="E1547" s="212" t="n"/>
    </row>
    <row r="1548">
      <c r="B1548" s="291" t="n"/>
      <c r="E1548" s="212" t="n"/>
    </row>
    <row r="1549">
      <c r="B1549" s="291" t="n"/>
      <c r="E1549" s="212" t="n"/>
    </row>
    <row r="1550">
      <c r="B1550" s="291" t="n"/>
      <c r="E1550" s="212" t="n"/>
    </row>
    <row r="1551">
      <c r="B1551" s="291" t="n"/>
      <c r="E1551" s="212" t="n"/>
    </row>
    <row r="1552">
      <c r="B1552" s="291" t="n"/>
      <c r="E1552" s="212" t="n"/>
    </row>
    <row r="1553">
      <c r="B1553" s="291" t="n"/>
      <c r="E1553" s="212" t="n"/>
    </row>
    <row r="1554">
      <c r="B1554" s="291" t="n"/>
      <c r="E1554" s="212" t="n"/>
    </row>
    <row r="1555">
      <c r="B1555" s="291" t="n"/>
      <c r="E1555" s="212" t="n"/>
    </row>
    <row r="1556">
      <c r="B1556" s="291" t="n"/>
      <c r="E1556" s="212" t="n"/>
    </row>
    <row r="1557">
      <c r="B1557" s="291" t="n"/>
      <c r="E1557" s="212" t="n"/>
    </row>
    <row r="1558">
      <c r="B1558" s="291" t="n"/>
      <c r="E1558" s="212" t="n"/>
    </row>
    <row r="1559">
      <c r="B1559" s="291" t="n"/>
      <c r="E1559" s="212" t="n"/>
    </row>
    <row r="1560">
      <c r="B1560" s="291" t="n"/>
      <c r="E1560" s="212" t="n"/>
    </row>
    <row r="1561">
      <c r="B1561" s="291" t="n"/>
      <c r="E1561" s="212" t="n"/>
    </row>
    <row r="1562">
      <c r="B1562" s="291" t="n"/>
      <c r="E1562" s="212" t="n"/>
    </row>
    <row r="1563">
      <c r="B1563" s="291" t="n"/>
      <c r="E1563" s="212" t="n"/>
    </row>
    <row r="1564">
      <c r="B1564" s="291" t="n"/>
      <c r="E1564" s="212" t="n"/>
    </row>
    <row r="1565">
      <c r="B1565" s="291" t="n"/>
      <c r="E1565" s="212" t="n"/>
    </row>
    <row r="1566">
      <c r="B1566" s="291" t="n"/>
      <c r="E1566" s="212" t="n"/>
    </row>
    <row r="1567">
      <c r="B1567" s="291" t="n"/>
      <c r="E1567" s="212" t="n"/>
    </row>
    <row r="1568">
      <c r="B1568" s="291" t="n"/>
      <c r="E1568" s="212" t="n"/>
    </row>
    <row r="1569">
      <c r="B1569" s="291" t="n"/>
      <c r="E1569" s="212" t="n"/>
    </row>
    <row r="1570">
      <c r="B1570" s="291" t="n"/>
      <c r="E1570" s="212" t="n"/>
    </row>
    <row r="1571">
      <c r="B1571" s="291" t="n"/>
      <c r="E1571" s="212" t="n"/>
    </row>
    <row r="1572">
      <c r="B1572" s="291" t="n"/>
      <c r="E1572" s="212" t="n"/>
    </row>
    <row r="1573">
      <c r="B1573" s="291" t="n"/>
      <c r="E1573" s="212" t="n"/>
    </row>
    <row r="1574">
      <c r="B1574" s="291" t="n"/>
      <c r="E1574" s="212" t="n"/>
    </row>
    <row r="1575">
      <c r="B1575" s="291" t="n"/>
      <c r="E1575" s="212" t="n"/>
    </row>
    <row r="1576">
      <c r="B1576" s="291" t="n"/>
      <c r="E1576" s="212" t="n"/>
    </row>
    <row r="1577">
      <c r="B1577" s="291" t="n"/>
      <c r="E1577" s="212" t="n"/>
    </row>
    <row r="1578">
      <c r="B1578" s="291" t="n"/>
      <c r="E1578" s="212" t="n"/>
    </row>
    <row r="1579">
      <c r="B1579" s="291" t="n"/>
      <c r="E1579" s="212" t="n"/>
    </row>
    <row r="1580">
      <c r="B1580" s="291" t="n"/>
      <c r="E1580" s="212" t="n"/>
    </row>
    <row r="1581">
      <c r="B1581" s="291" t="n"/>
      <c r="E1581" s="212" t="n"/>
    </row>
    <row r="1582">
      <c r="B1582" s="291" t="n"/>
      <c r="E1582" s="212" t="n"/>
    </row>
    <row r="1583">
      <c r="B1583" s="291" t="n"/>
      <c r="E1583" s="212" t="n"/>
    </row>
    <row r="1584">
      <c r="B1584" s="291" t="n"/>
      <c r="E1584" s="212" t="n"/>
    </row>
    <row r="1585">
      <c r="B1585" s="291" t="n"/>
      <c r="E1585" s="212" t="n"/>
    </row>
    <row r="1586">
      <c r="B1586" s="291" t="n"/>
      <c r="E1586" s="212" t="n"/>
    </row>
    <row r="1587">
      <c r="B1587" s="291" t="n"/>
      <c r="E1587" s="212" t="n"/>
    </row>
    <row r="1588">
      <c r="B1588" s="291" t="n"/>
      <c r="E1588" s="212" t="n"/>
    </row>
    <row r="1589">
      <c r="B1589" s="291" t="n"/>
      <c r="E1589" s="212" t="n"/>
    </row>
    <row r="1590">
      <c r="B1590" s="291" t="n"/>
      <c r="E1590" s="212" t="n"/>
    </row>
    <row r="1591">
      <c r="B1591" s="291" t="n"/>
      <c r="E1591" s="212" t="n"/>
    </row>
    <row r="1592">
      <c r="B1592" s="291" t="n"/>
      <c r="E1592" s="212" t="n"/>
    </row>
    <row r="1593">
      <c r="B1593" s="291" t="n"/>
      <c r="E1593" s="212" t="n"/>
    </row>
    <row r="1594">
      <c r="B1594" s="291" t="n"/>
      <c r="E1594" s="212" t="n"/>
    </row>
    <row r="1595">
      <c r="B1595" s="291" t="n"/>
      <c r="E1595" s="212" t="n"/>
    </row>
    <row r="1596">
      <c r="B1596" s="291" t="n"/>
      <c r="E1596" s="212" t="n"/>
    </row>
    <row r="1597">
      <c r="B1597" s="291" t="n"/>
      <c r="E1597" s="212" t="n"/>
    </row>
    <row r="1598">
      <c r="B1598" s="291" t="n"/>
      <c r="E1598" s="212" t="n"/>
    </row>
    <row r="1599">
      <c r="B1599" s="291" t="n"/>
      <c r="E1599" s="212" t="n"/>
    </row>
    <row r="1600">
      <c r="B1600" s="291" t="n"/>
      <c r="E1600" s="212" t="n"/>
    </row>
    <row r="1601">
      <c r="B1601" s="291" t="n"/>
      <c r="E1601" s="212" t="n"/>
    </row>
    <row r="1602">
      <c r="B1602" s="291" t="n"/>
      <c r="E1602" s="212" t="n"/>
    </row>
    <row r="1603">
      <c r="B1603" s="291" t="n"/>
      <c r="E1603" s="212" t="n"/>
    </row>
    <row r="1604">
      <c r="B1604" s="291" t="n"/>
      <c r="E1604" s="212" t="n"/>
    </row>
    <row r="1605">
      <c r="B1605" s="291" t="n"/>
      <c r="E1605" s="212" t="n"/>
    </row>
    <row r="1606">
      <c r="B1606" s="291" t="n"/>
      <c r="E1606" s="212" t="n"/>
    </row>
    <row r="1607">
      <c r="B1607" s="291" t="n"/>
      <c r="E1607" s="212" t="n"/>
    </row>
    <row r="1608">
      <c r="B1608" s="291" t="n"/>
      <c r="E1608" s="212" t="n"/>
    </row>
    <row r="1609">
      <c r="B1609" s="291" t="n"/>
      <c r="E1609" s="212" t="n"/>
    </row>
    <row r="1610">
      <c r="B1610" s="291" t="n"/>
      <c r="E1610" s="212" t="n"/>
    </row>
    <row r="1611">
      <c r="B1611" s="291" t="n"/>
      <c r="E1611" s="212" t="n"/>
    </row>
    <row r="1612">
      <c r="B1612" s="291" t="n"/>
      <c r="E1612" s="212" t="n"/>
    </row>
    <row r="1613">
      <c r="B1613" s="291" t="n"/>
      <c r="E1613" s="212" t="n"/>
    </row>
    <row r="1614">
      <c r="B1614" s="291" t="n"/>
      <c r="E1614" s="212" t="n"/>
    </row>
    <row r="1615">
      <c r="B1615" s="291" t="n"/>
      <c r="E1615" s="212" t="n"/>
    </row>
    <row r="1616">
      <c r="B1616" s="291" t="n"/>
      <c r="E1616" s="212" t="n"/>
    </row>
    <row r="1617">
      <c r="B1617" s="291" t="n"/>
      <c r="E1617" s="212" t="n"/>
    </row>
    <row r="1618">
      <c r="B1618" s="291" t="n"/>
      <c r="E1618" s="212" t="n"/>
    </row>
    <row r="1619">
      <c r="B1619" s="291" t="n"/>
      <c r="E1619" s="212" t="n"/>
    </row>
    <row r="1620">
      <c r="B1620" s="291" t="n"/>
      <c r="E1620" s="212" t="n"/>
    </row>
    <row r="1621">
      <c r="B1621" s="291" t="n"/>
      <c r="E1621" s="212" t="n"/>
    </row>
    <row r="1622">
      <c r="B1622" s="291" t="n"/>
      <c r="E1622" s="212" t="n"/>
    </row>
    <row r="1623">
      <c r="B1623" s="291" t="n"/>
      <c r="E1623" s="212" t="n"/>
    </row>
    <row r="1624">
      <c r="B1624" s="291" t="n"/>
      <c r="E1624" s="212" t="n"/>
    </row>
    <row r="1625">
      <c r="B1625" s="291" t="n"/>
      <c r="E1625" s="212" t="n"/>
    </row>
    <row r="1626">
      <c r="B1626" s="291" t="n"/>
      <c r="E1626" s="212" t="n"/>
    </row>
    <row r="1627">
      <c r="B1627" s="291" t="n"/>
      <c r="E1627" s="212" t="n"/>
    </row>
    <row r="1628">
      <c r="B1628" s="291" t="n"/>
      <c r="E1628" s="212" t="n"/>
    </row>
    <row r="1629">
      <c r="B1629" s="291" t="n"/>
      <c r="E1629" s="212" t="n"/>
    </row>
    <row r="1630">
      <c r="B1630" s="291" t="n"/>
      <c r="E1630" s="212" t="n"/>
    </row>
    <row r="1631">
      <c r="B1631" s="291" t="n"/>
      <c r="E1631" s="212" t="n"/>
    </row>
    <row r="1632">
      <c r="B1632" s="291" t="n"/>
      <c r="E1632" s="212" t="n"/>
    </row>
    <row r="1633">
      <c r="B1633" s="291" t="n"/>
      <c r="E1633" s="212" t="n"/>
    </row>
    <row r="1634">
      <c r="B1634" s="291" t="n"/>
      <c r="E1634" s="212" t="n"/>
    </row>
    <row r="1635">
      <c r="B1635" s="291" t="n"/>
      <c r="E1635" s="212" t="n"/>
    </row>
    <row r="1636">
      <c r="B1636" s="291" t="n"/>
      <c r="E1636" s="212" t="n"/>
    </row>
    <row r="1637">
      <c r="B1637" s="291" t="n"/>
      <c r="E1637" s="212" t="n"/>
    </row>
    <row r="1638">
      <c r="B1638" s="291" t="n"/>
      <c r="E1638" s="212" t="n"/>
    </row>
    <row r="1639">
      <c r="B1639" s="291" t="n"/>
      <c r="E1639" s="212" t="n"/>
    </row>
    <row r="1640">
      <c r="B1640" s="291" t="n"/>
      <c r="E1640" s="212" t="n"/>
    </row>
    <row r="1641">
      <c r="B1641" s="291" t="n"/>
      <c r="E1641" s="212" t="n"/>
    </row>
    <row r="1642">
      <c r="B1642" s="291" t="n"/>
      <c r="E1642" s="212" t="n"/>
    </row>
    <row r="1643">
      <c r="B1643" s="291" t="n"/>
      <c r="E1643" s="212" t="n"/>
    </row>
    <row r="1644">
      <c r="B1644" s="291" t="n"/>
      <c r="E1644" s="212" t="n"/>
    </row>
    <row r="1645">
      <c r="B1645" s="291" t="n"/>
      <c r="E1645" s="212" t="n"/>
    </row>
    <row r="1646">
      <c r="B1646" s="291" t="n"/>
      <c r="E1646" s="212" t="n"/>
    </row>
    <row r="1647">
      <c r="B1647" s="291" t="n"/>
      <c r="E1647" s="212" t="n"/>
    </row>
    <row r="1648">
      <c r="B1648" s="291" t="n"/>
      <c r="E1648" s="212" t="n"/>
    </row>
    <row r="1649">
      <c r="B1649" s="291" t="n"/>
      <c r="E1649" s="212" t="n"/>
    </row>
    <row r="1650">
      <c r="B1650" s="291" t="n"/>
      <c r="E1650" s="212" t="n"/>
    </row>
    <row r="1651">
      <c r="B1651" s="291" t="n"/>
      <c r="E1651" s="212" t="n"/>
    </row>
    <row r="1652">
      <c r="B1652" s="291" t="n"/>
      <c r="E1652" s="212" t="n"/>
    </row>
    <row r="1653">
      <c r="B1653" s="291" t="n"/>
      <c r="E1653" s="212" t="n"/>
    </row>
    <row r="1654">
      <c r="B1654" s="291" t="n"/>
      <c r="E1654" s="212" t="n"/>
    </row>
    <row r="1655">
      <c r="B1655" s="291" t="n"/>
      <c r="E1655" s="212" t="n"/>
    </row>
    <row r="1656">
      <c r="B1656" s="291" t="n"/>
      <c r="E1656" s="212" t="n"/>
    </row>
    <row r="1657">
      <c r="B1657" s="291" t="n"/>
      <c r="E1657" s="212" t="n"/>
    </row>
    <row r="1658">
      <c r="B1658" s="291" t="n"/>
      <c r="E1658" s="212" t="n"/>
    </row>
    <row r="1659">
      <c r="B1659" s="291" t="n"/>
      <c r="E1659" s="212" t="n"/>
    </row>
    <row r="1660">
      <c r="B1660" s="291" t="n"/>
      <c r="E1660" s="212" t="n"/>
    </row>
    <row r="1661">
      <c r="B1661" s="291" t="n"/>
      <c r="E1661" s="212" t="n"/>
    </row>
    <row r="1662">
      <c r="B1662" s="291" t="n"/>
      <c r="E1662" s="212" t="n"/>
    </row>
    <row r="1663">
      <c r="B1663" s="291" t="n"/>
      <c r="E1663" s="212" t="n"/>
    </row>
    <row r="1664">
      <c r="B1664" s="291" t="n"/>
      <c r="E1664" s="212" t="n"/>
    </row>
    <row r="1665">
      <c r="B1665" s="291" t="n"/>
      <c r="E1665" s="212" t="n"/>
    </row>
    <row r="1666">
      <c r="B1666" s="291" t="n"/>
      <c r="E1666" s="212" t="n"/>
    </row>
    <row r="1667">
      <c r="B1667" s="291" t="n"/>
      <c r="E1667" s="212" t="n"/>
    </row>
    <row r="1668">
      <c r="B1668" s="291" t="n"/>
      <c r="E1668" s="212" t="n"/>
    </row>
    <row r="1669">
      <c r="B1669" s="291" t="n"/>
      <c r="E1669" s="212" t="n"/>
    </row>
    <row r="1670">
      <c r="B1670" s="291" t="n"/>
      <c r="E1670" s="212" t="n"/>
    </row>
    <row r="1671">
      <c r="B1671" s="291" t="n"/>
      <c r="E1671" s="212" t="n"/>
    </row>
    <row r="1672">
      <c r="B1672" s="291" t="n"/>
      <c r="E1672" s="212" t="n"/>
    </row>
    <row r="1673">
      <c r="B1673" s="291" t="n"/>
      <c r="E1673" s="212" t="n"/>
    </row>
    <row r="1674">
      <c r="B1674" s="291" t="n"/>
      <c r="E1674" s="212" t="n"/>
    </row>
    <row r="1675">
      <c r="B1675" s="291" t="n"/>
      <c r="E1675" s="212" t="n"/>
    </row>
    <row r="1676">
      <c r="B1676" s="291" t="n"/>
      <c r="E1676" s="212" t="n"/>
    </row>
    <row r="1677">
      <c r="B1677" s="291" t="n"/>
      <c r="E1677" s="212" t="n"/>
    </row>
    <row r="1678">
      <c r="B1678" s="291" t="n"/>
      <c r="E1678" s="212" t="n"/>
    </row>
    <row r="1679">
      <c r="B1679" s="291" t="n"/>
      <c r="E1679" s="212" t="n"/>
    </row>
    <row r="1680">
      <c r="B1680" s="291" t="n"/>
      <c r="E1680" s="212" t="n"/>
    </row>
    <row r="1681">
      <c r="B1681" s="291" t="n"/>
      <c r="E1681" s="212" t="n"/>
    </row>
    <row r="1682">
      <c r="B1682" s="291" t="n"/>
      <c r="E1682" s="212" t="n"/>
    </row>
    <row r="1683">
      <c r="B1683" s="291" t="n"/>
      <c r="E1683" s="212" t="n"/>
    </row>
    <row r="1684">
      <c r="B1684" s="291" t="n"/>
      <c r="E1684" s="212" t="n"/>
    </row>
    <row r="1685">
      <c r="B1685" s="291" t="n"/>
      <c r="E1685" s="212" t="n"/>
    </row>
    <row r="1686">
      <c r="B1686" s="291" t="n"/>
      <c r="E1686" s="212" t="n"/>
    </row>
    <row r="1687">
      <c r="B1687" s="291" t="n"/>
      <c r="E1687" s="212" t="n"/>
    </row>
    <row r="1688">
      <c r="B1688" s="291" t="n"/>
      <c r="E1688" s="212" t="n"/>
    </row>
    <row r="1689">
      <c r="B1689" s="291" t="n"/>
      <c r="E1689" s="212" t="n"/>
    </row>
    <row r="1690">
      <c r="B1690" s="291" t="n"/>
      <c r="E1690" s="212" t="n"/>
    </row>
    <row r="1691">
      <c r="B1691" s="291" t="n"/>
      <c r="E1691" s="212" t="n"/>
    </row>
    <row r="1692">
      <c r="B1692" s="291" t="n"/>
      <c r="E1692" s="212" t="n"/>
    </row>
    <row r="1693">
      <c r="B1693" s="291" t="n"/>
      <c r="E1693" s="212" t="n"/>
    </row>
    <row r="1694">
      <c r="B1694" s="291" t="n"/>
      <c r="E1694" s="212" t="n"/>
    </row>
    <row r="1695">
      <c r="B1695" s="291" t="n"/>
      <c r="E1695" s="212" t="n"/>
    </row>
    <row r="1696">
      <c r="B1696" s="291" t="n"/>
      <c r="E1696" s="212" t="n"/>
    </row>
    <row r="1697">
      <c r="B1697" s="291" t="n"/>
      <c r="E1697" s="212" t="n"/>
    </row>
    <row r="1698">
      <c r="B1698" s="291" t="n"/>
      <c r="E1698" s="212" t="n"/>
    </row>
    <row r="1699">
      <c r="B1699" s="291" t="n"/>
      <c r="E1699" s="212" t="n"/>
    </row>
    <row r="1700">
      <c r="B1700" s="291" t="n"/>
      <c r="E1700" s="212" t="n"/>
    </row>
    <row r="1701">
      <c r="B1701" s="291" t="n"/>
      <c r="E1701" s="212" t="n"/>
    </row>
    <row r="1702">
      <c r="B1702" s="291" t="n"/>
      <c r="E1702" s="212" t="n"/>
    </row>
    <row r="1703">
      <c r="B1703" s="291" t="n"/>
      <c r="E1703" s="212" t="n"/>
    </row>
    <row r="1704">
      <c r="B1704" s="291" t="n"/>
      <c r="E1704" s="212" t="n"/>
    </row>
    <row r="1705">
      <c r="B1705" s="291" t="n"/>
      <c r="E1705" s="212" t="n"/>
    </row>
    <row r="1706">
      <c r="B1706" s="291" t="n"/>
      <c r="E1706" s="212" t="n"/>
    </row>
    <row r="1707">
      <c r="B1707" s="291" t="n"/>
      <c r="E1707" s="212" t="n"/>
    </row>
    <row r="1708">
      <c r="B1708" s="291" t="n"/>
      <c r="E1708" s="212" t="n"/>
    </row>
    <row r="1709">
      <c r="B1709" s="291" t="n"/>
      <c r="E1709" s="212" t="n"/>
    </row>
    <row r="1710">
      <c r="B1710" s="291" t="n"/>
      <c r="E1710" s="212" t="n"/>
    </row>
    <row r="1711">
      <c r="B1711" s="291" t="n"/>
      <c r="E1711" s="212" t="n"/>
    </row>
    <row r="1712">
      <c r="B1712" s="291" t="n"/>
      <c r="E1712" s="212" t="n"/>
    </row>
    <row r="1713">
      <c r="B1713" s="291" t="n"/>
      <c r="E1713" s="212" t="n"/>
    </row>
    <row r="1714">
      <c r="B1714" s="291" t="n"/>
      <c r="E1714" s="212" t="n"/>
    </row>
    <row r="1715">
      <c r="B1715" s="291" t="n"/>
      <c r="E1715" s="212" t="n"/>
    </row>
    <row r="1716">
      <c r="B1716" s="291" t="n"/>
      <c r="E1716" s="212" t="n"/>
    </row>
    <row r="1717">
      <c r="B1717" s="291" t="n"/>
      <c r="E1717" s="212" t="n"/>
    </row>
    <row r="1718">
      <c r="B1718" s="291" t="n"/>
      <c r="E1718" s="212" t="n"/>
    </row>
    <row r="1719">
      <c r="B1719" s="291" t="n"/>
      <c r="E1719" s="212" t="n"/>
    </row>
    <row r="1720">
      <c r="B1720" s="291" t="n"/>
      <c r="E1720" s="212" t="n"/>
    </row>
    <row r="1721">
      <c r="B1721" s="291" t="n"/>
      <c r="E1721" s="212" t="n"/>
    </row>
    <row r="1722">
      <c r="B1722" s="291" t="n"/>
      <c r="E1722" s="212" t="n"/>
    </row>
    <row r="1723">
      <c r="B1723" s="291" t="n"/>
      <c r="E1723" s="212" t="n"/>
    </row>
    <row r="1724">
      <c r="B1724" s="291" t="n"/>
      <c r="E1724" s="212" t="n"/>
    </row>
    <row r="1725">
      <c r="B1725" s="291" t="n"/>
      <c r="E1725" s="212" t="n"/>
    </row>
    <row r="1726">
      <c r="B1726" s="291" t="n"/>
      <c r="E1726" s="212" t="n"/>
    </row>
    <row r="1727">
      <c r="B1727" s="291" t="n"/>
      <c r="E1727" s="212" t="n"/>
    </row>
    <row r="1728">
      <c r="B1728" s="291" t="n"/>
      <c r="E1728" s="212" t="n"/>
    </row>
    <row r="1729">
      <c r="B1729" s="291" t="n"/>
      <c r="E1729" s="212" t="n"/>
    </row>
    <row r="1730">
      <c r="B1730" s="291" t="n"/>
      <c r="E1730" s="212" t="n"/>
    </row>
    <row r="1731">
      <c r="B1731" s="291" t="n"/>
      <c r="E1731" s="212" t="n"/>
    </row>
    <row r="1732">
      <c r="B1732" s="291" t="n"/>
      <c r="E1732" s="212" t="n"/>
    </row>
    <row r="1733">
      <c r="B1733" s="291" t="n"/>
      <c r="E1733" s="212" t="n"/>
    </row>
    <row r="1734">
      <c r="B1734" s="291" t="n"/>
      <c r="E1734" s="212" t="n"/>
    </row>
    <row r="1735">
      <c r="B1735" s="291" t="n"/>
      <c r="E1735" s="212" t="n"/>
    </row>
    <row r="1736">
      <c r="B1736" s="291" t="n"/>
      <c r="E1736" s="212" t="n"/>
    </row>
    <row r="1737">
      <c r="B1737" s="291" t="n"/>
      <c r="E1737" s="212" t="n"/>
    </row>
    <row r="1738">
      <c r="B1738" s="291" t="n"/>
      <c r="E1738" s="212" t="n"/>
    </row>
    <row r="1739">
      <c r="B1739" s="291" t="n"/>
      <c r="E1739" s="212" t="n"/>
    </row>
    <row r="1740">
      <c r="B1740" s="291" t="n"/>
      <c r="E1740" s="212" t="n"/>
    </row>
    <row r="1741">
      <c r="B1741" s="291" t="n"/>
      <c r="E1741" s="212" t="n"/>
    </row>
    <row r="1742">
      <c r="B1742" s="291" t="n"/>
      <c r="E1742" s="212" t="n"/>
    </row>
    <row r="1743">
      <c r="B1743" s="291" t="n"/>
      <c r="E1743" s="212" t="n"/>
    </row>
    <row r="1744">
      <c r="B1744" s="291" t="n"/>
      <c r="E1744" s="212" t="n"/>
    </row>
    <row r="1745">
      <c r="B1745" s="291" t="n"/>
      <c r="E1745" s="212" t="n"/>
    </row>
    <row r="1746">
      <c r="B1746" s="291" t="n"/>
      <c r="E1746" s="212" t="n"/>
    </row>
    <row r="1747">
      <c r="B1747" s="291" t="n"/>
      <c r="E1747" s="212" t="n"/>
    </row>
    <row r="1748">
      <c r="B1748" s="291" t="n"/>
      <c r="E1748" s="212" t="n"/>
    </row>
    <row r="1749">
      <c r="B1749" s="291" t="n"/>
      <c r="E1749" s="212" t="n"/>
    </row>
    <row r="1750">
      <c r="B1750" s="291" t="n"/>
      <c r="E1750" s="212" t="n"/>
    </row>
    <row r="1751">
      <c r="B1751" s="291" t="n"/>
      <c r="E1751" s="212" t="n"/>
    </row>
    <row r="1752">
      <c r="B1752" s="291" t="n"/>
      <c r="E1752" s="212" t="n"/>
    </row>
    <row r="1753">
      <c r="B1753" s="291" t="n"/>
      <c r="E1753" s="212" t="n"/>
    </row>
    <row r="1754">
      <c r="B1754" s="291" t="n"/>
      <c r="E1754" s="212" t="n"/>
    </row>
    <row r="1755">
      <c r="B1755" s="291" t="n"/>
      <c r="E1755" s="212" t="n"/>
    </row>
    <row r="1756">
      <c r="B1756" s="291" t="n"/>
      <c r="E1756" s="212" t="n"/>
    </row>
    <row r="1757">
      <c r="B1757" s="291" t="n"/>
      <c r="E1757" s="212" t="n"/>
    </row>
    <row r="1758">
      <c r="B1758" s="291" t="n"/>
      <c r="E1758" s="212" t="n"/>
    </row>
    <row r="1759">
      <c r="B1759" s="291" t="n"/>
      <c r="E1759" s="212" t="n"/>
    </row>
    <row r="1760">
      <c r="B1760" s="291" t="n"/>
      <c r="E1760" s="212" t="n"/>
    </row>
    <row r="1761">
      <c r="B1761" s="291" t="n"/>
      <c r="E1761" s="212" t="n"/>
    </row>
    <row r="1762">
      <c r="B1762" s="291" t="n"/>
      <c r="E1762" s="212" t="n"/>
    </row>
    <row r="1763">
      <c r="B1763" s="291" t="n"/>
      <c r="E1763" s="212" t="n"/>
    </row>
    <row r="1764">
      <c r="B1764" s="291" t="n"/>
      <c r="E1764" s="212" t="n"/>
    </row>
    <row r="1765">
      <c r="B1765" s="291" t="n"/>
      <c r="E1765" s="212" t="n"/>
    </row>
    <row r="1766">
      <c r="B1766" s="291" t="n"/>
      <c r="E1766" s="212" t="n"/>
    </row>
    <row r="1767">
      <c r="B1767" s="291" t="n"/>
      <c r="E1767" s="212" t="n"/>
    </row>
    <row r="1768">
      <c r="B1768" s="291" t="n"/>
      <c r="E1768" s="212" t="n"/>
    </row>
    <row r="1769">
      <c r="B1769" s="291" t="n"/>
      <c r="E1769" s="212" t="n"/>
    </row>
    <row r="1770">
      <c r="B1770" s="291" t="n"/>
      <c r="E1770" s="212" t="n"/>
    </row>
    <row r="1771">
      <c r="B1771" s="291" t="n"/>
      <c r="E1771" s="212" t="n"/>
    </row>
    <row r="1772">
      <c r="B1772" s="291" t="n"/>
      <c r="E1772" s="212" t="n"/>
    </row>
    <row r="1773">
      <c r="B1773" s="291" t="n"/>
      <c r="E1773" s="212" t="n"/>
    </row>
    <row r="1774">
      <c r="B1774" s="291" t="n"/>
      <c r="E1774" s="212" t="n"/>
    </row>
    <row r="1775">
      <c r="B1775" s="291" t="n"/>
      <c r="E1775" s="212" t="n"/>
    </row>
    <row r="1776">
      <c r="B1776" s="291" t="n"/>
      <c r="E1776" s="212" t="n"/>
    </row>
    <row r="1777">
      <c r="B1777" s="291" t="n"/>
      <c r="E1777" s="212" t="n"/>
    </row>
    <row r="1778">
      <c r="B1778" s="291" t="n"/>
      <c r="E1778" s="212" t="n"/>
    </row>
    <row r="1779">
      <c r="B1779" s="291" t="n"/>
      <c r="E1779" s="212" t="n"/>
    </row>
    <row r="1780">
      <c r="B1780" s="291" t="n"/>
      <c r="E1780" s="212" t="n"/>
    </row>
    <row r="1781">
      <c r="B1781" s="291" t="n"/>
      <c r="E1781" s="212" t="n"/>
    </row>
    <row r="1782">
      <c r="B1782" s="291" t="n"/>
      <c r="E1782" s="212" t="n"/>
    </row>
    <row r="1783">
      <c r="B1783" s="291" t="n"/>
      <c r="E1783" s="212" t="n"/>
    </row>
    <row r="1784">
      <c r="B1784" s="291" t="n"/>
      <c r="E1784" s="212" t="n"/>
    </row>
    <row r="1785">
      <c r="B1785" s="291" t="n"/>
      <c r="E1785" s="212" t="n"/>
    </row>
    <row r="1786">
      <c r="B1786" s="291" t="n"/>
      <c r="E1786" s="212" t="n"/>
    </row>
    <row r="1787">
      <c r="B1787" s="291" t="n"/>
      <c r="E1787" s="212" t="n"/>
    </row>
    <row r="1788">
      <c r="B1788" s="291" t="n"/>
      <c r="E1788" s="212" t="n"/>
    </row>
    <row r="1789">
      <c r="B1789" s="291" t="n"/>
      <c r="E1789" s="212" t="n"/>
    </row>
    <row r="1790">
      <c r="B1790" s="291" t="n"/>
      <c r="E1790" s="212" t="n"/>
    </row>
    <row r="1791">
      <c r="B1791" s="291" t="n"/>
      <c r="E1791" s="212" t="n"/>
    </row>
    <row r="1792">
      <c r="B1792" s="291" t="n"/>
      <c r="E1792" s="212" t="n"/>
    </row>
    <row r="1793">
      <c r="B1793" s="291" t="n"/>
      <c r="E1793" s="212" t="n"/>
    </row>
    <row r="1794">
      <c r="B1794" s="291" t="n"/>
      <c r="E1794" s="212" t="n"/>
    </row>
    <row r="1795">
      <c r="B1795" s="291" t="n"/>
      <c r="E1795" s="212" t="n"/>
    </row>
    <row r="1796">
      <c r="B1796" s="291" t="n"/>
      <c r="E1796" s="212" t="n"/>
    </row>
    <row r="1797">
      <c r="B1797" s="291" t="n"/>
      <c r="E1797" s="212" t="n"/>
    </row>
    <row r="1798">
      <c r="B1798" s="291" t="n"/>
      <c r="E1798" s="212" t="n"/>
    </row>
    <row r="1799">
      <c r="B1799" s="291" t="n"/>
      <c r="E1799" s="212" t="n"/>
    </row>
    <row r="1800">
      <c r="B1800" s="291" t="n"/>
      <c r="E1800" s="212" t="n"/>
    </row>
    <row r="1801">
      <c r="B1801" s="291" t="n"/>
      <c r="E1801" s="212" t="n"/>
    </row>
    <row r="1802">
      <c r="B1802" s="291" t="n"/>
      <c r="E1802" s="212" t="n"/>
    </row>
    <row r="1803">
      <c r="B1803" s="291" t="n"/>
      <c r="E1803" s="212" t="n"/>
    </row>
    <row r="1804">
      <c r="B1804" s="291" t="n"/>
      <c r="E1804" s="212" t="n"/>
    </row>
    <row r="1805">
      <c r="B1805" s="291" t="n"/>
      <c r="E1805" s="212" t="n"/>
    </row>
    <row r="1806">
      <c r="B1806" s="291" t="n"/>
      <c r="E1806" s="212" t="n"/>
    </row>
    <row r="1807">
      <c r="B1807" s="291" t="n"/>
      <c r="E1807" s="212" t="n"/>
    </row>
    <row r="1808">
      <c r="B1808" s="291" t="n"/>
      <c r="E1808" s="212" t="n"/>
    </row>
    <row r="1809">
      <c r="B1809" s="291" t="n"/>
      <c r="E1809" s="212" t="n"/>
    </row>
    <row r="1810">
      <c r="B1810" s="291" t="n"/>
      <c r="E1810" s="212" t="n"/>
    </row>
    <row r="1811">
      <c r="B1811" s="291" t="n"/>
      <c r="E1811" s="212" t="n"/>
    </row>
    <row r="1812">
      <c r="B1812" s="291" t="n"/>
      <c r="E1812" s="212" t="n"/>
    </row>
    <row r="1813">
      <c r="B1813" s="291" t="n"/>
      <c r="E1813" s="212" t="n"/>
    </row>
    <row r="1814">
      <c r="B1814" s="291" t="n"/>
      <c r="E1814" s="212" t="n"/>
    </row>
    <row r="1815">
      <c r="B1815" s="291" t="n"/>
      <c r="E1815" s="212" t="n"/>
    </row>
    <row r="1816">
      <c r="B1816" s="291" t="n"/>
      <c r="E1816" s="212" t="n"/>
    </row>
    <row r="1817">
      <c r="B1817" s="291" t="n"/>
      <c r="E1817" s="212" t="n"/>
    </row>
    <row r="1818">
      <c r="B1818" s="291" t="n"/>
      <c r="E1818" s="212" t="n"/>
    </row>
    <row r="1819">
      <c r="B1819" s="291" t="n"/>
      <c r="E1819" s="212" t="n"/>
    </row>
    <row r="1820">
      <c r="B1820" s="291" t="n"/>
      <c r="E1820" s="212" t="n"/>
    </row>
    <row r="1821">
      <c r="B1821" s="291" t="n"/>
      <c r="E1821" s="212" t="n"/>
    </row>
    <row r="1822">
      <c r="B1822" s="291" t="n"/>
      <c r="E1822" s="212" t="n"/>
    </row>
    <row r="1823">
      <c r="B1823" s="291" t="n"/>
      <c r="E1823" s="212" t="n"/>
    </row>
    <row r="1824">
      <c r="B1824" s="291" t="n"/>
      <c r="E1824" s="212" t="n"/>
    </row>
    <row r="1825">
      <c r="B1825" s="291" t="n"/>
      <c r="E1825" s="212" t="n"/>
    </row>
    <row r="1826">
      <c r="B1826" s="291" t="n"/>
      <c r="E1826" s="212" t="n"/>
    </row>
    <row r="1827">
      <c r="B1827" s="291" t="n"/>
      <c r="E1827" s="212" t="n"/>
    </row>
    <row r="1828">
      <c r="B1828" s="291" t="n"/>
      <c r="E1828" s="212" t="n"/>
    </row>
    <row r="1829">
      <c r="B1829" s="291" t="n"/>
      <c r="E1829" s="212" t="n"/>
    </row>
    <row r="1830">
      <c r="B1830" s="291" t="n"/>
      <c r="E1830" s="212" t="n"/>
    </row>
    <row r="1831">
      <c r="B1831" s="291" t="n"/>
      <c r="E1831" s="212" t="n"/>
    </row>
    <row r="1832">
      <c r="B1832" s="291" t="n"/>
      <c r="E1832" s="212" t="n"/>
    </row>
    <row r="1833">
      <c r="B1833" s="291" t="n"/>
      <c r="E1833" s="212" t="n"/>
    </row>
    <row r="1834">
      <c r="B1834" s="291" t="n"/>
      <c r="E1834" s="212" t="n"/>
    </row>
    <row r="1835">
      <c r="B1835" s="291" t="n"/>
      <c r="E1835" s="212" t="n"/>
    </row>
    <row r="1836">
      <c r="B1836" s="291" t="n"/>
      <c r="E1836" s="212" t="n"/>
    </row>
    <row r="1837">
      <c r="B1837" s="291" t="n"/>
      <c r="E1837" s="212" t="n"/>
    </row>
    <row r="1838">
      <c r="B1838" s="291" t="n"/>
      <c r="E1838" s="212" t="n"/>
    </row>
    <row r="1839">
      <c r="B1839" s="291" t="n"/>
      <c r="E1839" s="212" t="n"/>
    </row>
    <row r="1840">
      <c r="B1840" s="291" t="n"/>
      <c r="E1840" s="212" t="n"/>
    </row>
    <row r="1841">
      <c r="B1841" s="291" t="n"/>
      <c r="E1841" s="212" t="n"/>
    </row>
    <row r="1842">
      <c r="B1842" s="291" t="n"/>
      <c r="E1842" s="212" t="n"/>
    </row>
    <row r="1843">
      <c r="B1843" s="291" t="n"/>
      <c r="E1843" s="212" t="n"/>
    </row>
    <row r="1844">
      <c r="B1844" s="291" t="n"/>
      <c r="E1844" s="212" t="n"/>
    </row>
    <row r="1845">
      <c r="B1845" s="291" t="n"/>
      <c r="E1845" s="212" t="n"/>
    </row>
    <row r="1846">
      <c r="B1846" s="291" t="n"/>
      <c r="E1846" s="212" t="n"/>
    </row>
    <row r="1847">
      <c r="B1847" s="291" t="n"/>
      <c r="E1847" s="212" t="n"/>
    </row>
    <row r="1848">
      <c r="B1848" s="291" t="n"/>
      <c r="E1848" s="212" t="n"/>
    </row>
    <row r="1849">
      <c r="B1849" s="291" t="n"/>
      <c r="E1849" s="212" t="n"/>
    </row>
    <row r="1850">
      <c r="B1850" s="291" t="n"/>
      <c r="E1850" s="212" t="n"/>
    </row>
    <row r="1851">
      <c r="B1851" s="291" t="n"/>
      <c r="E1851" s="212" t="n"/>
    </row>
    <row r="1852">
      <c r="B1852" s="291" t="n"/>
      <c r="E1852" s="212" t="n"/>
    </row>
    <row r="1853">
      <c r="B1853" s="291" t="n"/>
      <c r="E1853" s="212" t="n"/>
    </row>
    <row r="1854">
      <c r="B1854" s="291" t="n"/>
      <c r="E1854" s="212" t="n"/>
    </row>
    <row r="1855">
      <c r="B1855" s="291" t="n"/>
      <c r="E1855" s="212" t="n"/>
    </row>
    <row r="1856">
      <c r="B1856" s="291" t="n"/>
      <c r="E1856" s="212" t="n"/>
    </row>
    <row r="1857">
      <c r="B1857" s="291" t="n"/>
      <c r="E1857" s="212" t="n"/>
    </row>
    <row r="1858">
      <c r="B1858" s="291" t="n"/>
      <c r="E1858" s="212" t="n"/>
    </row>
    <row r="1859">
      <c r="B1859" s="291" t="n"/>
      <c r="E1859" s="212" t="n"/>
    </row>
    <row r="1860">
      <c r="B1860" s="291" t="n"/>
      <c r="E1860" s="212" t="n"/>
    </row>
    <row r="1861">
      <c r="B1861" s="291" t="n"/>
      <c r="E1861" s="212" t="n"/>
    </row>
    <row r="1862">
      <c r="B1862" s="291" t="n"/>
      <c r="E1862" s="212" t="n"/>
    </row>
    <row r="1863">
      <c r="B1863" s="291" t="n"/>
      <c r="E1863" s="212" t="n"/>
    </row>
    <row r="1864">
      <c r="B1864" s="291" t="n"/>
      <c r="E1864" s="212" t="n"/>
    </row>
    <row r="1865">
      <c r="B1865" s="291" t="n"/>
      <c r="E1865" s="212" t="n"/>
    </row>
    <row r="1866">
      <c r="B1866" s="291" t="n"/>
      <c r="E1866" s="212" t="n"/>
    </row>
    <row r="1867">
      <c r="B1867" s="291" t="n"/>
      <c r="E1867" s="212" t="n"/>
    </row>
    <row r="1868">
      <c r="B1868" s="291" t="n"/>
      <c r="E1868" s="212" t="n"/>
    </row>
    <row r="1869">
      <c r="B1869" s="291" t="n"/>
      <c r="E1869" s="212" t="n"/>
    </row>
    <row r="1870">
      <c r="B1870" s="291" t="n"/>
      <c r="E1870" s="212" t="n"/>
    </row>
    <row r="1871">
      <c r="B1871" s="291" t="n"/>
      <c r="E1871" s="212" t="n"/>
    </row>
    <row r="1872">
      <c r="B1872" s="291" t="n"/>
      <c r="E1872" s="212" t="n"/>
    </row>
    <row r="1873">
      <c r="B1873" s="291" t="n"/>
      <c r="E1873" s="212" t="n"/>
    </row>
    <row r="1874">
      <c r="B1874" s="291" t="n"/>
      <c r="E1874" s="212" t="n"/>
    </row>
    <row r="1875">
      <c r="B1875" s="291" t="n"/>
      <c r="E1875" s="212" t="n"/>
    </row>
    <row r="1876">
      <c r="B1876" s="291" t="n"/>
      <c r="E1876" s="212" t="n"/>
    </row>
    <row r="1877">
      <c r="B1877" s="291" t="n"/>
      <c r="E1877" s="212" t="n"/>
    </row>
    <row r="1878">
      <c r="B1878" s="291" t="n"/>
      <c r="E1878" s="212" t="n"/>
    </row>
    <row r="1879">
      <c r="B1879" s="291" t="n"/>
      <c r="E1879" s="212" t="n"/>
    </row>
    <row r="1880">
      <c r="B1880" s="291" t="n"/>
      <c r="E1880" s="212" t="n"/>
    </row>
    <row r="1881">
      <c r="B1881" s="291" t="n"/>
      <c r="E1881" s="212" t="n"/>
    </row>
    <row r="1882">
      <c r="B1882" s="291" t="n"/>
      <c r="E1882" s="212" t="n"/>
    </row>
    <row r="1883">
      <c r="B1883" s="291" t="n"/>
      <c r="E1883" s="212" t="n"/>
    </row>
    <row r="1884">
      <c r="B1884" s="291" t="n"/>
      <c r="E1884" s="212" t="n"/>
    </row>
    <row r="1885">
      <c r="B1885" s="291" t="n"/>
      <c r="E1885" s="212" t="n"/>
    </row>
    <row r="1886">
      <c r="B1886" s="291" t="n"/>
      <c r="E1886" s="212" t="n"/>
    </row>
    <row r="1887">
      <c r="B1887" s="291" t="n"/>
      <c r="E1887" s="212" t="n"/>
    </row>
    <row r="1888">
      <c r="B1888" s="291" t="n"/>
      <c r="E1888" s="212" t="n"/>
    </row>
    <row r="1889">
      <c r="B1889" s="291" t="n"/>
      <c r="E1889" s="212" t="n"/>
    </row>
    <row r="1890">
      <c r="B1890" s="291" t="n"/>
      <c r="E1890" s="212" t="n"/>
    </row>
    <row r="1891">
      <c r="B1891" s="291" t="n"/>
      <c r="E1891" s="212" t="n"/>
    </row>
    <row r="1892">
      <c r="B1892" s="291" t="n"/>
      <c r="E1892" s="212" t="n"/>
    </row>
    <row r="1893">
      <c r="B1893" s="291" t="n"/>
      <c r="E1893" s="212" t="n"/>
    </row>
    <row r="1894">
      <c r="B1894" s="291" t="n"/>
      <c r="E1894" s="212" t="n"/>
    </row>
    <row r="1895">
      <c r="B1895" s="291" t="n"/>
      <c r="E1895" s="212" t="n"/>
    </row>
    <row r="1896">
      <c r="B1896" s="291" t="n"/>
      <c r="E1896" s="212" t="n"/>
    </row>
    <row r="1897">
      <c r="B1897" s="291" t="n"/>
      <c r="E1897" s="212" t="n"/>
    </row>
    <row r="1898">
      <c r="B1898" s="291" t="n"/>
      <c r="E1898" s="212" t="n"/>
    </row>
    <row r="1899">
      <c r="B1899" s="291" t="n"/>
      <c r="E1899" s="212" t="n"/>
    </row>
    <row r="1900">
      <c r="B1900" s="291" t="n"/>
      <c r="E1900" s="212" t="n"/>
    </row>
    <row r="1901">
      <c r="B1901" s="291" t="n"/>
      <c r="E1901" s="212" t="n"/>
    </row>
    <row r="1902">
      <c r="B1902" s="291" t="n"/>
      <c r="E1902" s="212" t="n"/>
    </row>
    <row r="1903">
      <c r="B1903" s="291" t="n"/>
      <c r="E1903" s="212" t="n"/>
    </row>
    <row r="1904">
      <c r="B1904" s="291" t="n"/>
      <c r="E1904" s="212" t="n"/>
    </row>
    <row r="1905">
      <c r="B1905" s="291" t="n"/>
      <c r="E1905" s="212" t="n"/>
    </row>
    <row r="1906">
      <c r="B1906" s="291" t="n"/>
      <c r="E1906" s="212" t="n"/>
    </row>
    <row r="1907">
      <c r="B1907" s="291" t="n"/>
      <c r="E1907" s="212" t="n"/>
    </row>
    <row r="1908">
      <c r="B1908" s="291" t="n"/>
      <c r="E1908" s="212" t="n"/>
    </row>
    <row r="1909">
      <c r="B1909" s="291" t="n"/>
      <c r="E1909" s="212" t="n"/>
    </row>
    <row r="1910">
      <c r="B1910" s="291" t="n"/>
      <c r="E1910" s="212" t="n"/>
    </row>
    <row r="1911">
      <c r="B1911" s="291" t="n"/>
      <c r="E1911" s="212" t="n"/>
    </row>
    <row r="1912">
      <c r="B1912" s="291" t="n"/>
      <c r="E1912" s="212" t="n"/>
    </row>
    <row r="1913">
      <c r="B1913" s="291" t="n"/>
      <c r="E1913" s="212" t="n"/>
    </row>
    <row r="1914">
      <c r="B1914" s="291" t="n"/>
      <c r="E1914" s="212" t="n"/>
    </row>
    <row r="1915">
      <c r="B1915" s="291" t="n"/>
      <c r="E1915" s="212" t="n"/>
    </row>
    <row r="1916">
      <c r="B1916" s="291" t="n"/>
      <c r="E1916" s="212" t="n"/>
    </row>
    <row r="1917">
      <c r="B1917" s="291" t="n"/>
      <c r="E1917" s="212" t="n"/>
    </row>
    <row r="1918">
      <c r="B1918" s="291" t="n"/>
      <c r="E1918" s="212" t="n"/>
    </row>
    <row r="1919">
      <c r="B1919" s="291" t="n"/>
      <c r="E1919" s="212" t="n"/>
    </row>
    <row r="1920">
      <c r="B1920" s="291" t="n"/>
      <c r="E1920" s="212" t="n"/>
    </row>
    <row r="1921">
      <c r="B1921" s="291" t="n"/>
      <c r="E1921" s="212" t="n"/>
    </row>
    <row r="1922">
      <c r="B1922" s="291" t="n"/>
      <c r="E1922" s="212" t="n"/>
    </row>
    <row r="1923">
      <c r="B1923" s="291" t="n"/>
      <c r="E1923" s="212" t="n"/>
    </row>
    <row r="1924">
      <c r="B1924" s="291" t="n"/>
      <c r="E1924" s="212" t="n"/>
    </row>
    <row r="1925">
      <c r="B1925" s="291" t="n"/>
      <c r="E1925" s="212" t="n"/>
    </row>
    <row r="1926">
      <c r="B1926" s="291" t="n"/>
      <c r="E1926" s="212" t="n"/>
    </row>
    <row r="1927">
      <c r="B1927" s="291" t="n"/>
      <c r="E1927" s="212" t="n"/>
    </row>
    <row r="1928">
      <c r="B1928" s="291" t="n"/>
      <c r="E1928" s="212" t="n"/>
    </row>
    <row r="1929">
      <c r="B1929" s="291" t="n"/>
      <c r="E1929" s="212" t="n"/>
    </row>
    <row r="1930">
      <c r="B1930" s="291" t="n"/>
      <c r="E1930" s="212" t="n"/>
    </row>
    <row r="1931">
      <c r="B1931" s="291" t="n"/>
      <c r="E1931" s="212" t="n"/>
    </row>
    <row r="1932">
      <c r="B1932" s="291" t="n"/>
      <c r="E1932" s="212" t="n"/>
    </row>
    <row r="1933">
      <c r="B1933" s="291" t="n"/>
      <c r="E1933" s="212" t="n"/>
    </row>
    <row r="1934">
      <c r="B1934" s="291" t="n"/>
      <c r="E1934" s="212" t="n"/>
    </row>
    <row r="1935">
      <c r="B1935" s="291" t="n"/>
      <c r="E1935" s="212" t="n"/>
    </row>
    <row r="1936">
      <c r="B1936" s="291" t="n"/>
      <c r="E1936" s="212" t="n"/>
    </row>
    <row r="1937">
      <c r="B1937" s="291" t="n"/>
      <c r="E1937" s="212" t="n"/>
    </row>
    <row r="1938">
      <c r="B1938" s="291" t="n"/>
      <c r="E1938" s="212" t="n"/>
    </row>
    <row r="1939">
      <c r="B1939" s="291" t="n"/>
      <c r="E1939" s="212" t="n"/>
    </row>
    <row r="1940">
      <c r="B1940" s="291" t="n"/>
      <c r="E1940" s="212" t="n"/>
    </row>
    <row r="1941">
      <c r="B1941" s="291" t="n"/>
      <c r="E1941" s="212" t="n"/>
    </row>
    <row r="1942">
      <c r="B1942" s="291" t="n"/>
      <c r="E1942" s="212" t="n"/>
    </row>
    <row r="1943">
      <c r="B1943" s="291" t="n"/>
      <c r="E1943" s="212" t="n"/>
    </row>
    <row r="1944">
      <c r="B1944" s="291" t="n"/>
      <c r="E1944" s="212" t="n"/>
    </row>
    <row r="1945">
      <c r="B1945" s="291" t="n"/>
      <c r="E1945" s="212" t="n"/>
    </row>
    <row r="1946">
      <c r="B1946" s="291" t="n"/>
      <c r="E1946" s="212" t="n"/>
    </row>
    <row r="1947">
      <c r="B1947" s="291" t="n"/>
      <c r="E1947" s="212" t="n"/>
    </row>
    <row r="1948">
      <c r="B1948" s="291" t="n"/>
      <c r="E1948" s="212" t="n"/>
    </row>
    <row r="1949">
      <c r="B1949" s="291" t="n"/>
      <c r="E1949" s="212" t="n"/>
    </row>
    <row r="1950">
      <c r="B1950" s="291" t="n"/>
      <c r="E1950" s="212" t="n"/>
    </row>
    <row r="1951">
      <c r="B1951" s="291" t="n"/>
      <c r="E1951" s="212" t="n"/>
    </row>
    <row r="1952">
      <c r="B1952" s="291" t="n"/>
      <c r="E1952" s="212" t="n"/>
    </row>
    <row r="1953">
      <c r="B1953" s="291" t="n"/>
      <c r="E1953" s="212" t="n"/>
    </row>
    <row r="1954">
      <c r="B1954" s="291" t="n"/>
      <c r="E1954" s="212" t="n"/>
    </row>
    <row r="1955">
      <c r="B1955" s="291" t="n"/>
      <c r="E1955" s="212" t="n"/>
    </row>
    <row r="1956">
      <c r="B1956" s="291" t="n"/>
      <c r="E1956" s="212" t="n"/>
    </row>
    <row r="1957">
      <c r="B1957" s="291" t="n"/>
      <c r="E1957" s="212" t="n"/>
    </row>
    <row r="1958">
      <c r="B1958" s="291" t="n"/>
      <c r="E1958" s="212" t="n"/>
    </row>
    <row r="1959">
      <c r="B1959" s="291" t="n"/>
      <c r="E1959" s="212" t="n"/>
    </row>
    <row r="1960">
      <c r="B1960" s="291" t="n"/>
      <c r="E1960" s="212" t="n"/>
    </row>
    <row r="1961">
      <c r="B1961" s="291" t="n"/>
      <c r="E1961" s="212" t="n"/>
    </row>
    <row r="1962">
      <c r="B1962" s="291" t="n"/>
      <c r="E1962" s="212" t="n"/>
    </row>
    <row r="1963">
      <c r="B1963" s="291" t="n"/>
      <c r="E1963" s="212" t="n"/>
    </row>
    <row r="1964">
      <c r="B1964" s="291" t="n"/>
      <c r="E1964" s="212" t="n"/>
    </row>
    <row r="1965">
      <c r="B1965" s="291" t="n"/>
      <c r="E1965" s="212" t="n"/>
    </row>
    <row r="1966">
      <c r="B1966" s="291" t="n"/>
      <c r="E1966" s="212" t="n"/>
    </row>
    <row r="1967">
      <c r="B1967" s="291" t="n"/>
      <c r="E1967" s="212" t="n"/>
    </row>
    <row r="1968">
      <c r="B1968" s="291" t="n"/>
      <c r="E1968" s="212" t="n"/>
    </row>
    <row r="1969">
      <c r="B1969" s="291" t="n"/>
      <c r="E1969" s="212" t="n"/>
    </row>
    <row r="1970">
      <c r="B1970" s="291" t="n"/>
      <c r="E1970" s="212" t="n"/>
    </row>
    <row r="1971">
      <c r="B1971" s="291" t="n"/>
      <c r="E1971" s="212" t="n"/>
    </row>
    <row r="1972">
      <c r="B1972" s="291" t="n"/>
      <c r="E1972" s="212" t="n"/>
    </row>
    <row r="1973">
      <c r="B1973" s="291" t="n"/>
      <c r="E1973" s="212" t="n"/>
    </row>
    <row r="1974">
      <c r="B1974" s="291" t="n"/>
      <c r="E1974" s="212" t="n"/>
    </row>
    <row r="1975">
      <c r="B1975" s="291" t="n"/>
      <c r="E1975" s="212" t="n"/>
    </row>
    <row r="1976">
      <c r="B1976" s="291" t="n"/>
      <c r="E1976" s="212" t="n"/>
    </row>
    <row r="1977">
      <c r="B1977" s="291" t="n"/>
      <c r="E1977" s="212" t="n"/>
    </row>
    <row r="1978">
      <c r="B1978" s="291" t="n"/>
      <c r="E1978" s="212" t="n"/>
    </row>
    <row r="1979">
      <c r="B1979" s="291" t="n"/>
      <c r="E1979" s="212" t="n"/>
    </row>
    <row r="1980">
      <c r="B1980" s="291" t="n"/>
      <c r="E1980" s="212" t="n"/>
    </row>
    <row r="1981">
      <c r="B1981" s="291" t="n"/>
      <c r="E1981" s="212" t="n"/>
    </row>
    <row r="1982">
      <c r="B1982" s="291" t="n"/>
      <c r="E1982" s="212" t="n"/>
    </row>
    <row r="1983">
      <c r="B1983" s="291" t="n"/>
      <c r="E1983" s="212" t="n"/>
    </row>
    <row r="1984">
      <c r="B1984" s="291" t="n"/>
      <c r="E1984" s="212" t="n"/>
    </row>
    <row r="1985">
      <c r="B1985" s="291" t="n"/>
      <c r="E1985" s="212" t="n"/>
    </row>
    <row r="1986">
      <c r="B1986" s="291" t="n"/>
      <c r="E1986" s="212" t="n"/>
    </row>
    <row r="1987">
      <c r="B1987" s="291" t="n"/>
      <c r="E1987" s="212" t="n"/>
    </row>
    <row r="1988">
      <c r="B1988" s="291" t="n"/>
      <c r="E1988" s="212" t="n"/>
    </row>
    <row r="1989">
      <c r="B1989" s="291" t="n"/>
      <c r="E1989" s="212" t="n"/>
    </row>
    <row r="1990">
      <c r="B1990" s="291" t="n"/>
      <c r="E1990" s="212" t="n"/>
    </row>
    <row r="1991">
      <c r="B1991" s="291" t="n"/>
      <c r="E1991" s="212" t="n"/>
    </row>
    <row r="1992">
      <c r="B1992" s="291" t="n"/>
      <c r="E1992" s="212" t="n"/>
    </row>
    <row r="1993">
      <c r="B1993" s="291" t="n"/>
      <c r="E1993" s="212" t="n"/>
    </row>
    <row r="1994">
      <c r="B1994" s="291" t="n"/>
      <c r="E1994" s="212" t="n"/>
    </row>
    <row r="1995">
      <c r="B1995" s="291" t="n"/>
      <c r="E1995" s="212" t="n"/>
    </row>
    <row r="1996">
      <c r="B1996" s="291" t="n"/>
      <c r="E1996" s="212" t="n"/>
    </row>
    <row r="1997">
      <c r="B1997" s="291" t="n"/>
      <c r="E1997" s="212" t="n"/>
    </row>
    <row r="1998">
      <c r="B1998" s="291" t="n"/>
      <c r="E1998" s="212" t="n"/>
    </row>
    <row r="1999">
      <c r="B1999" s="291" t="n"/>
      <c r="E1999" s="212" t="n"/>
    </row>
    <row r="2000">
      <c r="B2000" s="291" t="n"/>
      <c r="E2000" s="212" t="n"/>
    </row>
    <row r="2001">
      <c r="B2001" s="291" t="n"/>
      <c r="E2001" s="212" t="n"/>
    </row>
    <row r="2002">
      <c r="B2002" s="291" t="n"/>
      <c r="E2002" s="212" t="n"/>
    </row>
    <row r="2003">
      <c r="B2003" s="291" t="n"/>
      <c r="E2003" s="212" t="n"/>
    </row>
    <row r="2004">
      <c r="B2004" s="291" t="n"/>
      <c r="E2004" s="212" t="n"/>
    </row>
    <row r="2005">
      <c r="B2005" s="291" t="n"/>
      <c r="E2005" s="212" t="n"/>
    </row>
    <row r="2006">
      <c r="B2006" s="291" t="n"/>
      <c r="E2006" s="212" t="n"/>
    </row>
    <row r="2007">
      <c r="B2007" s="291" t="n"/>
      <c r="E2007" s="212" t="n"/>
    </row>
    <row r="2008">
      <c r="B2008" s="291" t="n"/>
      <c r="E2008" s="212" t="n"/>
    </row>
    <row r="2009">
      <c r="B2009" s="291" t="n"/>
      <c r="E2009" s="212" t="n"/>
    </row>
    <row r="2010">
      <c r="B2010" s="291" t="n"/>
      <c r="E2010" s="212" t="n"/>
    </row>
    <row r="2011">
      <c r="B2011" s="291" t="n"/>
      <c r="E2011" s="212" t="n"/>
    </row>
    <row r="2012">
      <c r="B2012" s="291" t="n"/>
      <c r="E2012" s="212" t="n"/>
    </row>
    <row r="2013">
      <c r="B2013" s="291" t="n"/>
      <c r="E2013" s="212" t="n"/>
    </row>
    <row r="2014">
      <c r="B2014" s="291" t="n"/>
      <c r="E2014" s="212" t="n"/>
    </row>
    <row r="2015">
      <c r="B2015" s="291" t="n"/>
      <c r="E2015" s="212" t="n"/>
    </row>
    <row r="2016">
      <c r="B2016" s="291" t="n"/>
      <c r="E2016" s="212" t="n"/>
    </row>
    <row r="2017">
      <c r="B2017" s="291" t="n"/>
      <c r="E2017" s="212" t="n"/>
    </row>
    <row r="2018">
      <c r="B2018" s="291" t="n"/>
      <c r="E2018" s="212" t="n"/>
    </row>
    <row r="2019">
      <c r="B2019" s="291" t="n"/>
      <c r="E2019" s="212" t="n"/>
    </row>
    <row r="2020">
      <c r="B2020" s="291" t="n"/>
      <c r="E2020" s="212" t="n"/>
    </row>
    <row r="2021">
      <c r="B2021" s="291" t="n"/>
      <c r="E2021" s="212" t="n"/>
    </row>
    <row r="2022">
      <c r="B2022" s="291" t="n"/>
      <c r="E2022" s="212" t="n"/>
    </row>
    <row r="2023">
      <c r="B2023" s="291" t="n"/>
      <c r="E2023" s="212" t="n"/>
    </row>
    <row r="2024">
      <c r="B2024" s="291" t="n"/>
      <c r="E2024" s="212" t="n"/>
    </row>
    <row r="2025">
      <c r="B2025" s="291" t="n"/>
      <c r="E2025" s="212" t="n"/>
    </row>
    <row r="2026">
      <c r="B2026" s="291" t="n"/>
      <c r="E2026" s="212" t="n"/>
    </row>
    <row r="2027">
      <c r="B2027" s="291" t="n"/>
      <c r="E2027" s="212" t="n"/>
    </row>
    <row r="2028">
      <c r="B2028" s="291" t="n"/>
      <c r="E2028" s="212" t="n"/>
    </row>
    <row r="2029">
      <c r="B2029" s="291" t="n"/>
      <c r="E2029" s="212" t="n"/>
    </row>
    <row r="2030">
      <c r="B2030" s="291" t="n"/>
      <c r="E2030" s="212" t="n"/>
    </row>
    <row r="2031">
      <c r="B2031" s="291" t="n"/>
      <c r="E2031" s="212" t="n"/>
    </row>
    <row r="2032">
      <c r="B2032" s="291" t="n"/>
      <c r="E2032" s="212" t="n"/>
    </row>
    <row r="2033">
      <c r="B2033" s="291" t="n"/>
      <c r="E2033" s="212" t="n"/>
    </row>
    <row r="2034">
      <c r="B2034" s="291" t="n"/>
      <c r="E2034" s="212" t="n"/>
    </row>
    <row r="2035">
      <c r="B2035" s="291" t="n"/>
      <c r="E2035" s="212" t="n"/>
    </row>
    <row r="2036">
      <c r="B2036" s="291" t="n"/>
      <c r="E2036" s="212" t="n"/>
    </row>
    <row r="2037">
      <c r="B2037" s="291" t="n"/>
      <c r="E2037" s="212" t="n"/>
    </row>
    <row r="2038">
      <c r="B2038" s="291" t="n"/>
      <c r="E2038" s="212" t="n"/>
    </row>
    <row r="2039">
      <c r="B2039" s="291" t="n"/>
      <c r="E2039" s="212" t="n"/>
    </row>
    <row r="2040">
      <c r="B2040" s="291" t="n"/>
      <c r="E2040" s="212" t="n"/>
    </row>
    <row r="2041">
      <c r="B2041" s="291" t="n"/>
      <c r="E2041" s="212" t="n"/>
    </row>
    <row r="2042">
      <c r="B2042" s="291" t="n"/>
      <c r="E2042" s="212" t="n"/>
    </row>
    <row r="2043">
      <c r="B2043" s="291" t="n"/>
      <c r="E2043" s="212" t="n"/>
    </row>
    <row r="2044">
      <c r="B2044" s="291" t="n"/>
      <c r="E2044" s="212" t="n"/>
    </row>
    <row r="2045">
      <c r="B2045" s="291" t="n"/>
      <c r="E2045" s="212" t="n"/>
    </row>
    <row r="2046">
      <c r="B2046" s="291" t="n"/>
      <c r="E2046" s="212" t="n"/>
    </row>
    <row r="2047">
      <c r="B2047" s="291" t="n"/>
      <c r="E2047" s="212" t="n"/>
    </row>
    <row r="2048">
      <c r="B2048" s="291" t="n"/>
      <c r="E2048" s="212" t="n"/>
    </row>
    <row r="2049">
      <c r="B2049" s="291" t="n"/>
      <c r="E2049" s="212" t="n"/>
    </row>
    <row r="2050">
      <c r="B2050" s="291" t="n"/>
      <c r="E2050" s="212" t="n"/>
    </row>
    <row r="2051">
      <c r="B2051" s="291" t="n"/>
      <c r="E2051" s="212" t="n"/>
    </row>
    <row r="2052">
      <c r="B2052" s="291" t="n"/>
      <c r="E2052" s="212" t="n"/>
    </row>
    <row r="2053">
      <c r="B2053" s="291" t="n"/>
      <c r="E2053" s="212" t="n"/>
    </row>
    <row r="2054">
      <c r="B2054" s="291" t="n"/>
      <c r="E2054" s="212" t="n"/>
    </row>
    <row r="2055">
      <c r="B2055" s="291" t="n"/>
      <c r="E2055" s="212" t="n"/>
    </row>
    <row r="2056">
      <c r="B2056" s="291" t="n"/>
      <c r="E2056" s="212" t="n"/>
    </row>
    <row r="2057">
      <c r="B2057" s="291" t="n"/>
      <c r="E2057" s="212" t="n"/>
    </row>
    <row r="2058">
      <c r="B2058" s="291" t="n"/>
      <c r="E2058" s="212" t="n"/>
    </row>
    <row r="2059">
      <c r="B2059" s="291" t="n"/>
      <c r="E2059" s="212" t="n"/>
    </row>
    <row r="2060">
      <c r="B2060" s="291" t="n"/>
      <c r="E2060" s="212" t="n"/>
    </row>
    <row r="2061">
      <c r="B2061" s="291" t="n"/>
      <c r="E2061" s="212" t="n"/>
    </row>
    <row r="2062">
      <c r="B2062" s="291" t="n"/>
      <c r="E2062" s="212" t="n"/>
    </row>
    <row r="2063">
      <c r="B2063" s="291" t="n"/>
      <c r="E2063" s="212" t="n"/>
    </row>
    <row r="2064">
      <c r="B2064" s="291" t="n"/>
      <c r="E2064" s="212" t="n"/>
    </row>
    <row r="2065">
      <c r="B2065" s="291" t="n"/>
      <c r="E2065" s="212" t="n"/>
    </row>
    <row r="2066">
      <c r="B2066" s="291" t="n"/>
      <c r="E2066" s="212" t="n"/>
    </row>
    <row r="2067">
      <c r="B2067" s="291" t="n"/>
      <c r="E2067" s="212" t="n"/>
    </row>
    <row r="2068">
      <c r="B2068" s="291" t="n"/>
      <c r="E2068" s="212" t="n"/>
    </row>
    <row r="2069">
      <c r="B2069" s="291" t="n"/>
      <c r="E2069" s="212" t="n"/>
    </row>
    <row r="2070">
      <c r="B2070" s="291" t="n"/>
      <c r="E2070" s="212" t="n"/>
    </row>
    <row r="2071">
      <c r="B2071" s="291" t="n"/>
      <c r="E2071" s="212" t="n"/>
    </row>
    <row r="2072">
      <c r="B2072" s="291" t="n"/>
      <c r="E2072" s="212" t="n"/>
    </row>
    <row r="2073">
      <c r="B2073" s="291" t="n"/>
      <c r="E2073" s="212" t="n"/>
    </row>
    <row r="2074">
      <c r="B2074" s="291" t="n"/>
      <c r="E2074" s="212" t="n"/>
    </row>
    <row r="2075">
      <c r="B2075" s="291" t="n"/>
      <c r="E2075" s="212" t="n"/>
    </row>
    <row r="2076">
      <c r="B2076" s="291" t="n"/>
      <c r="E2076" s="212" t="n"/>
    </row>
    <row r="2077">
      <c r="B2077" s="291" t="n"/>
      <c r="E2077" s="212" t="n"/>
    </row>
    <row r="2078">
      <c r="B2078" s="291" t="n"/>
      <c r="E2078" s="212" t="n"/>
    </row>
    <row r="2079">
      <c r="B2079" s="291" t="n"/>
      <c r="E2079" s="212" t="n"/>
    </row>
    <row r="2080">
      <c r="B2080" s="291" t="n"/>
      <c r="E2080" s="212" t="n"/>
    </row>
    <row r="2081">
      <c r="B2081" s="291" t="n"/>
      <c r="E2081" s="212" t="n"/>
    </row>
    <row r="2082">
      <c r="B2082" s="291" t="n"/>
      <c r="E2082" s="212" t="n"/>
    </row>
    <row r="2083">
      <c r="B2083" s="291" t="n"/>
      <c r="E2083" s="212" t="n"/>
    </row>
    <row r="2084">
      <c r="B2084" s="291" t="n"/>
      <c r="E2084" s="212" t="n"/>
    </row>
    <row r="2085">
      <c r="B2085" s="291" t="n"/>
      <c r="E2085" s="212" t="n"/>
    </row>
    <row r="2086">
      <c r="B2086" s="291" t="n"/>
      <c r="E2086" s="212" t="n"/>
    </row>
    <row r="2087">
      <c r="B2087" s="291" t="n"/>
      <c r="E2087" s="212" t="n"/>
    </row>
    <row r="2088">
      <c r="B2088" s="291" t="n"/>
      <c r="E2088" s="212" t="n"/>
    </row>
    <row r="2089">
      <c r="B2089" s="291" t="n"/>
      <c r="E2089" s="212" t="n"/>
    </row>
    <row r="2090">
      <c r="B2090" s="291" t="n"/>
      <c r="E2090" s="212" t="n"/>
    </row>
    <row r="2091">
      <c r="B2091" s="291" t="n"/>
      <c r="E2091" s="212" t="n"/>
    </row>
    <row r="2092">
      <c r="B2092" s="291" t="n"/>
      <c r="E2092" s="212" t="n"/>
    </row>
    <row r="2093">
      <c r="B2093" s="291" t="n"/>
      <c r="E2093" s="212" t="n"/>
    </row>
    <row r="2094">
      <c r="B2094" s="291" t="n"/>
      <c r="E2094" s="212" t="n"/>
    </row>
    <row r="2095">
      <c r="B2095" s="291" t="n"/>
      <c r="E2095" s="212" t="n"/>
    </row>
    <row r="2096">
      <c r="B2096" s="291" t="n"/>
      <c r="E2096" s="212" t="n"/>
    </row>
    <row r="2097">
      <c r="B2097" s="291" t="n"/>
      <c r="E2097" s="212" t="n"/>
    </row>
    <row r="2098">
      <c r="B2098" s="291" t="n"/>
      <c r="E2098" s="212" t="n"/>
    </row>
    <row r="2099">
      <c r="B2099" s="291" t="n"/>
      <c r="E2099" s="212" t="n"/>
    </row>
    <row r="2100">
      <c r="B2100" s="291" t="n"/>
      <c r="E2100" s="212" t="n"/>
    </row>
    <row r="2101">
      <c r="B2101" s="291" t="n"/>
      <c r="E2101" s="212" t="n"/>
    </row>
    <row r="2102">
      <c r="B2102" s="291" t="n"/>
      <c r="E2102" s="212" t="n"/>
    </row>
    <row r="2103">
      <c r="B2103" s="291" t="n"/>
      <c r="E2103" s="212" t="n"/>
    </row>
    <row r="2104">
      <c r="B2104" s="291" t="n"/>
      <c r="E2104" s="212" t="n"/>
    </row>
    <row r="2105">
      <c r="B2105" s="291" t="n"/>
      <c r="E2105" s="212" t="n"/>
    </row>
    <row r="2106">
      <c r="B2106" s="291" t="n"/>
      <c r="E2106" s="212" t="n"/>
    </row>
    <row r="2107">
      <c r="B2107" s="291" t="n"/>
      <c r="E2107" s="212" t="n"/>
    </row>
    <row r="2108">
      <c r="B2108" s="291" t="n"/>
      <c r="E2108" s="212" t="n"/>
    </row>
    <row r="2109">
      <c r="B2109" s="291" t="n"/>
      <c r="E2109" s="212" t="n"/>
    </row>
    <row r="2110">
      <c r="B2110" s="291" t="n"/>
      <c r="E2110" s="212" t="n"/>
    </row>
    <row r="2111">
      <c r="B2111" s="291" t="n"/>
      <c r="E2111" s="212" t="n"/>
    </row>
    <row r="2112">
      <c r="B2112" s="291" t="n"/>
      <c r="E2112" s="212" t="n"/>
    </row>
    <row r="2113">
      <c r="B2113" s="291" t="n"/>
      <c r="E2113" s="212" t="n"/>
    </row>
    <row r="2114">
      <c r="B2114" s="291" t="n"/>
      <c r="E2114" s="212" t="n"/>
    </row>
    <row r="2115">
      <c r="B2115" s="291" t="n"/>
      <c r="E2115" s="212" t="n"/>
    </row>
    <row r="2116">
      <c r="B2116" s="291" t="n"/>
      <c r="E2116" s="212" t="n"/>
    </row>
    <row r="2117">
      <c r="B2117" s="291" t="n"/>
      <c r="E2117" s="212" t="n"/>
    </row>
    <row r="2118">
      <c r="B2118" s="291" t="n"/>
      <c r="E2118" s="212" t="n"/>
    </row>
    <row r="2119">
      <c r="B2119" s="291" t="n"/>
      <c r="E2119" s="212" t="n"/>
    </row>
    <row r="2120">
      <c r="B2120" s="291" t="n"/>
      <c r="E2120" s="212" t="n"/>
    </row>
    <row r="2121">
      <c r="B2121" s="291" t="n"/>
      <c r="E2121" s="212" t="n"/>
    </row>
    <row r="2122">
      <c r="B2122" s="291" t="n"/>
      <c r="E2122" s="212" t="n"/>
    </row>
    <row r="2123">
      <c r="B2123" s="291" t="n"/>
      <c r="E2123" s="212" t="n"/>
    </row>
    <row r="2124">
      <c r="B2124" s="291" t="n"/>
      <c r="E2124" s="212" t="n"/>
    </row>
    <row r="2125">
      <c r="B2125" s="291" t="n"/>
      <c r="E2125" s="212" t="n"/>
    </row>
    <row r="2126">
      <c r="B2126" s="291" t="n"/>
      <c r="E2126" s="212" t="n"/>
    </row>
    <row r="2127">
      <c r="B2127" s="291" t="n"/>
      <c r="E2127" s="212" t="n"/>
    </row>
    <row r="2128">
      <c r="B2128" s="291" t="n"/>
      <c r="E2128" s="212" t="n"/>
    </row>
    <row r="2129">
      <c r="B2129" s="291" t="n"/>
      <c r="E2129" s="212" t="n"/>
    </row>
    <row r="2130">
      <c r="B2130" s="291" t="n"/>
      <c r="E2130" s="212" t="n"/>
    </row>
    <row r="2131">
      <c r="B2131" s="291" t="n"/>
      <c r="E2131" s="212" t="n"/>
    </row>
    <row r="2132">
      <c r="B2132" s="291" t="n"/>
      <c r="E2132" s="212" t="n"/>
    </row>
    <row r="2133">
      <c r="B2133" s="291" t="n"/>
      <c r="E2133" s="212" t="n"/>
    </row>
    <row r="2134">
      <c r="B2134" s="291" t="n"/>
      <c r="E2134" s="212" t="n"/>
    </row>
    <row r="2135">
      <c r="B2135" s="291" t="n"/>
      <c r="E2135" s="212" t="n"/>
    </row>
    <row r="2136">
      <c r="B2136" s="291" t="n"/>
      <c r="E2136" s="212" t="n"/>
    </row>
    <row r="2137">
      <c r="B2137" s="291" t="n"/>
      <c r="E2137" s="212" t="n"/>
    </row>
    <row r="2138">
      <c r="B2138" s="291" t="n"/>
      <c r="E2138" s="212" t="n"/>
    </row>
    <row r="2139">
      <c r="B2139" s="291" t="n"/>
      <c r="E2139" s="212" t="n"/>
    </row>
    <row r="2140">
      <c r="B2140" s="291" t="n"/>
      <c r="E2140" s="212" t="n"/>
    </row>
    <row r="2141">
      <c r="B2141" s="291" t="n"/>
      <c r="E2141" s="212" t="n"/>
    </row>
    <row r="2142">
      <c r="B2142" s="291" t="n"/>
      <c r="E2142" s="212" t="n"/>
    </row>
    <row r="2143">
      <c r="B2143" s="291" t="n"/>
      <c r="E2143" s="212" t="n"/>
    </row>
    <row r="2144">
      <c r="B2144" s="291" t="n"/>
      <c r="E2144" s="212" t="n"/>
    </row>
    <row r="2145">
      <c r="B2145" s="291" t="n"/>
      <c r="E2145" s="212" t="n"/>
    </row>
    <row r="2146">
      <c r="B2146" s="291" t="n"/>
      <c r="E2146" s="212" t="n"/>
    </row>
    <row r="2147">
      <c r="B2147" s="291" t="n"/>
      <c r="E2147" s="212" t="n"/>
    </row>
    <row r="2148">
      <c r="B2148" s="291" t="n"/>
      <c r="E2148" s="212" t="n"/>
    </row>
    <row r="2149">
      <c r="B2149" s="291" t="n"/>
      <c r="E2149" s="212" t="n"/>
    </row>
    <row r="2150">
      <c r="B2150" s="291" t="n"/>
      <c r="E2150" s="212" t="n"/>
    </row>
    <row r="2151">
      <c r="B2151" s="291" t="n"/>
      <c r="E2151" s="212" t="n"/>
    </row>
    <row r="2152">
      <c r="B2152" s="291" t="n"/>
      <c r="E2152" s="212" t="n"/>
    </row>
    <row r="2153">
      <c r="B2153" s="291" t="n"/>
      <c r="E2153" s="212" t="n"/>
    </row>
    <row r="2154">
      <c r="B2154" s="291" t="n"/>
      <c r="E2154" s="212" t="n"/>
    </row>
    <row r="2155">
      <c r="B2155" s="291" t="n"/>
      <c r="E2155" s="212" t="n"/>
    </row>
    <row r="2156">
      <c r="B2156" s="291" t="n"/>
      <c r="E2156" s="212" t="n"/>
    </row>
    <row r="2157">
      <c r="B2157" s="291" t="n"/>
      <c r="E2157" s="212" t="n"/>
    </row>
    <row r="2158">
      <c r="B2158" s="291" t="n"/>
      <c r="E2158" s="212" t="n"/>
    </row>
    <row r="2159">
      <c r="B2159" s="291" t="n"/>
      <c r="E2159" s="212" t="n"/>
    </row>
    <row r="2160">
      <c r="B2160" s="291" t="n"/>
      <c r="E2160" s="212" t="n"/>
    </row>
    <row r="2161">
      <c r="B2161" s="291" t="n"/>
      <c r="E2161" s="212" t="n"/>
    </row>
    <row r="2162">
      <c r="B2162" s="291" t="n"/>
      <c r="E2162" s="212" t="n"/>
    </row>
    <row r="2163">
      <c r="B2163" s="291" t="n"/>
      <c r="E2163" s="212" t="n"/>
    </row>
    <row r="2164">
      <c r="B2164" s="291" t="n"/>
      <c r="E2164" s="212" t="n"/>
    </row>
    <row r="2165">
      <c r="B2165" s="291" t="n"/>
      <c r="E2165" s="212" t="n"/>
    </row>
    <row r="2166">
      <c r="B2166" s="291" t="n"/>
      <c r="E2166" s="212" t="n"/>
    </row>
    <row r="2167">
      <c r="B2167" s="291" t="n"/>
      <c r="E2167" s="212" t="n"/>
    </row>
    <row r="2168">
      <c r="B2168" s="291" t="n"/>
      <c r="E2168" s="212" t="n"/>
    </row>
    <row r="2169">
      <c r="B2169" s="291" t="n"/>
      <c r="E2169" s="212" t="n"/>
    </row>
    <row r="2170">
      <c r="B2170" s="291" t="n"/>
      <c r="E2170" s="212" t="n"/>
    </row>
    <row r="2171">
      <c r="B2171" s="291" t="n"/>
      <c r="E2171" s="212" t="n"/>
    </row>
    <row r="2172">
      <c r="B2172" s="291" t="n"/>
      <c r="E2172" s="212" t="n"/>
    </row>
    <row r="2173">
      <c r="B2173" s="291" t="n"/>
      <c r="E2173" s="212" t="n"/>
    </row>
    <row r="2174">
      <c r="B2174" s="291" t="n"/>
      <c r="E2174" s="212" t="n"/>
    </row>
    <row r="2175">
      <c r="B2175" s="291" t="n"/>
      <c r="E2175" s="212" t="n"/>
    </row>
    <row r="2176">
      <c r="B2176" s="291" t="n"/>
      <c r="E2176" s="212" t="n"/>
    </row>
    <row r="2177">
      <c r="B2177" s="291" t="n"/>
      <c r="E2177" s="212" t="n"/>
    </row>
    <row r="2178">
      <c r="B2178" s="291" t="n"/>
      <c r="E2178" s="212" t="n"/>
    </row>
    <row r="2179">
      <c r="B2179" s="291" t="n"/>
      <c r="E2179" s="212" t="n"/>
    </row>
    <row r="2180">
      <c r="B2180" s="291" t="n"/>
      <c r="E2180" s="212" t="n"/>
    </row>
    <row r="2181">
      <c r="B2181" s="291" t="n"/>
      <c r="E2181" s="212" t="n"/>
    </row>
    <row r="2182">
      <c r="B2182" s="291" t="n"/>
      <c r="E2182" s="212" t="n"/>
    </row>
    <row r="2183">
      <c r="B2183" s="291" t="n"/>
      <c r="E2183" s="212" t="n"/>
    </row>
    <row r="2184">
      <c r="B2184" s="291" t="n"/>
      <c r="E2184" s="212" t="n"/>
    </row>
    <row r="2185">
      <c r="B2185" s="291" t="n"/>
      <c r="E2185" s="212" t="n"/>
    </row>
    <row r="2186">
      <c r="B2186" s="291" t="n"/>
      <c r="E2186" s="212" t="n"/>
    </row>
    <row r="2187">
      <c r="B2187" s="291" t="n"/>
      <c r="E2187" s="212" t="n"/>
    </row>
    <row r="2188">
      <c r="B2188" s="291" t="n"/>
      <c r="E2188" s="212" t="n"/>
    </row>
    <row r="2189">
      <c r="B2189" s="291" t="n"/>
      <c r="E2189" s="212" t="n"/>
    </row>
    <row r="2190">
      <c r="B2190" s="291" t="n"/>
      <c r="E2190" s="212" t="n"/>
    </row>
    <row r="2191">
      <c r="B2191" s="291" t="n"/>
      <c r="E2191" s="212" t="n"/>
    </row>
    <row r="2192">
      <c r="B2192" s="291" t="n"/>
      <c r="E2192" s="212" t="n"/>
    </row>
    <row r="2193">
      <c r="B2193" s="291" t="n"/>
      <c r="E2193" s="212" t="n"/>
    </row>
    <row r="2194">
      <c r="B2194" s="291" t="n"/>
      <c r="E2194" s="212" t="n"/>
    </row>
    <row r="2195">
      <c r="B2195" s="291" t="n"/>
      <c r="E2195" s="212" t="n"/>
    </row>
    <row r="2196">
      <c r="B2196" s="291" t="n"/>
      <c r="E2196" s="212" t="n"/>
    </row>
    <row r="2197">
      <c r="B2197" s="291" t="n"/>
      <c r="E2197" s="212" t="n"/>
    </row>
    <row r="2198">
      <c r="B2198" s="291" t="n"/>
      <c r="E2198" s="212" t="n"/>
    </row>
    <row r="2199">
      <c r="B2199" s="291" t="n"/>
      <c r="E2199" s="212" t="n"/>
    </row>
    <row r="2200">
      <c r="B2200" s="291" t="n"/>
      <c r="E2200" s="212" t="n"/>
    </row>
    <row r="2201">
      <c r="B2201" s="291" t="n"/>
      <c r="E2201" s="212" t="n"/>
    </row>
    <row r="2202">
      <c r="B2202" s="291" t="n"/>
      <c r="E2202" s="212" t="n"/>
    </row>
    <row r="2203">
      <c r="B2203" s="291" t="n"/>
      <c r="E2203" s="212" t="n"/>
    </row>
    <row r="2204">
      <c r="B2204" s="291" t="n"/>
      <c r="E2204" s="212" t="n"/>
    </row>
    <row r="2205">
      <c r="B2205" s="291" t="n"/>
      <c r="E2205" s="212" t="n"/>
    </row>
    <row r="2206">
      <c r="B2206" s="291" t="n"/>
      <c r="E2206" s="212" t="n"/>
    </row>
    <row r="2207">
      <c r="B2207" s="291" t="n"/>
      <c r="E2207" s="212" t="n"/>
    </row>
    <row r="2208">
      <c r="B2208" s="291" t="n"/>
      <c r="E2208" s="212" t="n"/>
    </row>
    <row r="2209">
      <c r="B2209" s="291" t="n"/>
      <c r="E2209" s="212" t="n"/>
    </row>
    <row r="2210">
      <c r="B2210" s="291" t="n"/>
      <c r="E2210" s="212" t="n"/>
    </row>
    <row r="2211">
      <c r="B2211" s="291" t="n"/>
      <c r="E2211" s="212" t="n"/>
    </row>
    <row r="2212">
      <c r="B2212" s="291" t="n"/>
      <c r="E2212" s="212" t="n"/>
    </row>
    <row r="2213">
      <c r="B2213" s="291" t="n"/>
      <c r="E2213" s="212" t="n"/>
    </row>
    <row r="2214">
      <c r="B2214" s="291" t="n"/>
      <c r="E2214" s="212" t="n"/>
    </row>
    <row r="2215">
      <c r="B2215" s="291" t="n"/>
      <c r="E2215" s="212" t="n"/>
    </row>
    <row r="2216">
      <c r="B2216" s="291" t="n"/>
      <c r="E2216" s="212" t="n"/>
    </row>
    <row r="2217">
      <c r="B2217" s="291" t="n"/>
      <c r="E2217" s="212" t="n"/>
    </row>
    <row r="2218">
      <c r="B2218" s="291" t="n"/>
      <c r="E2218" s="212" t="n"/>
    </row>
    <row r="2219">
      <c r="B2219" s="291" t="n"/>
      <c r="E2219" s="212" t="n"/>
    </row>
    <row r="2220">
      <c r="B2220" s="291" t="n"/>
      <c r="E2220" s="212" t="n"/>
    </row>
    <row r="2221">
      <c r="B2221" s="291" t="n"/>
      <c r="E2221" s="212" t="n"/>
    </row>
    <row r="2222">
      <c r="B2222" s="291" t="n"/>
      <c r="E2222" s="212" t="n"/>
    </row>
    <row r="2223">
      <c r="B2223" s="291" t="n"/>
      <c r="E2223" s="212" t="n"/>
    </row>
    <row r="2224">
      <c r="B2224" s="291" t="n"/>
      <c r="E2224" s="212" t="n"/>
    </row>
    <row r="2225">
      <c r="B2225" s="291" t="n"/>
      <c r="E2225" s="212" t="n"/>
    </row>
    <row r="2226">
      <c r="B2226" s="291" t="n"/>
      <c r="E2226" s="212" t="n"/>
    </row>
    <row r="2227">
      <c r="B2227" s="291" t="n"/>
      <c r="E2227" s="212" t="n"/>
    </row>
    <row r="2228">
      <c r="B2228" s="291" t="n"/>
      <c r="E2228" s="212" t="n"/>
    </row>
    <row r="2229">
      <c r="B2229" s="291" t="n"/>
      <c r="E2229" s="212" t="n"/>
    </row>
    <row r="2230">
      <c r="B2230" s="291" t="n"/>
      <c r="E2230" s="212" t="n"/>
    </row>
    <row r="2231">
      <c r="B2231" s="291" t="n"/>
      <c r="E2231" s="212" t="n"/>
    </row>
    <row r="2232">
      <c r="B2232" s="291" t="n"/>
      <c r="E2232" s="212" t="n"/>
    </row>
    <row r="2233">
      <c r="B2233" s="291" t="n"/>
      <c r="E2233" s="212" t="n"/>
    </row>
    <row r="2234">
      <c r="B2234" s="291" t="n"/>
      <c r="E2234" s="212" t="n"/>
    </row>
    <row r="2235">
      <c r="B2235" s="291" t="n"/>
      <c r="E2235" s="212" t="n"/>
    </row>
    <row r="2236">
      <c r="B2236" s="291" t="n"/>
      <c r="E2236" s="212" t="n"/>
    </row>
    <row r="2237">
      <c r="B2237" s="291" t="n"/>
      <c r="E2237" s="212" t="n"/>
    </row>
    <row r="2238">
      <c r="B2238" s="291" t="n"/>
      <c r="E2238" s="212" t="n"/>
    </row>
    <row r="2239">
      <c r="B2239" s="291" t="n"/>
      <c r="E2239" s="212" t="n"/>
    </row>
    <row r="2240">
      <c r="B2240" s="291" t="n"/>
      <c r="E2240" s="212" t="n"/>
    </row>
    <row r="2241">
      <c r="B2241" s="291" t="n"/>
      <c r="E2241" s="212" t="n"/>
    </row>
    <row r="2242">
      <c r="B2242" s="291" t="n"/>
      <c r="E2242" s="212" t="n"/>
    </row>
    <row r="2243">
      <c r="B2243" s="291" t="n"/>
      <c r="E2243" s="212" t="n"/>
    </row>
    <row r="2244">
      <c r="B2244" s="291" t="n"/>
      <c r="E2244" s="212" t="n"/>
    </row>
    <row r="2245">
      <c r="B2245" s="291" t="n"/>
      <c r="E2245" s="212" t="n"/>
    </row>
    <row r="2246">
      <c r="B2246" s="291" t="n"/>
      <c r="E2246" s="212" t="n"/>
    </row>
    <row r="2247">
      <c r="B2247" s="291" t="n"/>
      <c r="E2247" s="212" t="n"/>
    </row>
    <row r="2248">
      <c r="B2248" s="291" t="n"/>
      <c r="E2248" s="212" t="n"/>
    </row>
    <row r="2249">
      <c r="B2249" s="291" t="n"/>
      <c r="E2249" s="212" t="n"/>
    </row>
    <row r="2250">
      <c r="B2250" s="291" t="n"/>
      <c r="E2250" s="212" t="n"/>
    </row>
    <row r="2251">
      <c r="B2251" s="291" t="n"/>
      <c r="E2251" s="212" t="n"/>
    </row>
    <row r="2252">
      <c r="B2252" s="291" t="n"/>
      <c r="E2252" s="212" t="n"/>
    </row>
    <row r="2253">
      <c r="B2253" s="291" t="n"/>
      <c r="E2253" s="212" t="n"/>
    </row>
    <row r="2254">
      <c r="B2254" s="291" t="n"/>
      <c r="E2254" s="212" t="n"/>
    </row>
    <row r="2255">
      <c r="B2255" s="291" t="n"/>
      <c r="E2255" s="212" t="n"/>
    </row>
    <row r="2256">
      <c r="B2256" s="291" t="n"/>
      <c r="E2256" s="212" t="n"/>
    </row>
    <row r="2257">
      <c r="B2257" s="291" t="n"/>
      <c r="E2257" s="212" t="n"/>
    </row>
    <row r="2258">
      <c r="B2258" s="291" t="n"/>
      <c r="E2258" s="212" t="n"/>
    </row>
    <row r="2259">
      <c r="B2259" s="291" t="n"/>
      <c r="E2259" s="212" t="n"/>
    </row>
    <row r="2260">
      <c r="B2260" s="291" t="n"/>
      <c r="E2260" s="212" t="n"/>
    </row>
    <row r="2261">
      <c r="B2261" s="291" t="n"/>
      <c r="E2261" s="212" t="n"/>
    </row>
    <row r="2262">
      <c r="B2262" s="291" t="n"/>
      <c r="E2262" s="212" t="n"/>
    </row>
    <row r="2263">
      <c r="B2263" s="291" t="n"/>
      <c r="E2263" s="212" t="n"/>
    </row>
    <row r="2264">
      <c r="B2264" s="291" t="n"/>
      <c r="E2264" s="212" t="n"/>
    </row>
    <row r="2265">
      <c r="B2265" s="291" t="n"/>
      <c r="E2265" s="212" t="n"/>
    </row>
    <row r="2266">
      <c r="B2266" s="291" t="n"/>
      <c r="E2266" s="212" t="n"/>
    </row>
    <row r="2267">
      <c r="B2267" s="291" t="n"/>
      <c r="E2267" s="212" t="n"/>
    </row>
    <row r="2268">
      <c r="B2268" s="291" t="n"/>
      <c r="E2268" s="212" t="n"/>
    </row>
    <row r="2269">
      <c r="B2269" s="291" t="n"/>
      <c r="E2269" s="212" t="n"/>
    </row>
    <row r="2270">
      <c r="B2270" s="291" t="n"/>
      <c r="E2270" s="212" t="n"/>
    </row>
    <row r="2271">
      <c r="B2271" s="291" t="n"/>
      <c r="E2271" s="212" t="n"/>
    </row>
    <row r="2272">
      <c r="B2272" s="291" t="n"/>
      <c r="E2272" s="212" t="n"/>
    </row>
    <row r="2273">
      <c r="B2273" s="291" t="n"/>
      <c r="E2273" s="212" t="n"/>
    </row>
    <row r="2274">
      <c r="B2274" s="291" t="n"/>
      <c r="E2274" s="212" t="n"/>
    </row>
    <row r="2275">
      <c r="B2275" s="291" t="n"/>
      <c r="E2275" s="212" t="n"/>
    </row>
    <row r="2276">
      <c r="B2276" s="291" t="n"/>
      <c r="E2276" s="212" t="n"/>
    </row>
    <row r="2277">
      <c r="B2277" s="291" t="n"/>
      <c r="E2277" s="212" t="n"/>
    </row>
    <row r="2278">
      <c r="B2278" s="291" t="n"/>
      <c r="E2278" s="212" t="n"/>
    </row>
    <row r="2279">
      <c r="B2279" s="291" t="n"/>
      <c r="E2279" s="212" t="n"/>
    </row>
    <row r="2280">
      <c r="B2280" s="291" t="n"/>
      <c r="E2280" s="212" t="n"/>
    </row>
    <row r="2281">
      <c r="B2281" s="291" t="n"/>
      <c r="E2281" s="212" t="n"/>
    </row>
    <row r="2282">
      <c r="B2282" s="291" t="n"/>
      <c r="E2282" s="212" t="n"/>
    </row>
    <row r="2283">
      <c r="B2283" s="291" t="n"/>
      <c r="E2283" s="212" t="n"/>
    </row>
    <row r="2284">
      <c r="B2284" s="291" t="n"/>
      <c r="E2284" s="212" t="n"/>
    </row>
    <row r="2285">
      <c r="B2285" s="291" t="n"/>
      <c r="E2285" s="212" t="n"/>
    </row>
    <row r="2286">
      <c r="B2286" s="291" t="n"/>
      <c r="E2286" s="212" t="n"/>
    </row>
    <row r="2287">
      <c r="B2287" s="291" t="n"/>
      <c r="E2287" s="212" t="n"/>
    </row>
    <row r="2288">
      <c r="B2288" s="291" t="n"/>
      <c r="E2288" s="212" t="n"/>
    </row>
    <row r="2289">
      <c r="B2289" s="291" t="n"/>
      <c r="E2289" s="212" t="n"/>
    </row>
    <row r="2290">
      <c r="B2290" s="291" t="n"/>
      <c r="E2290" s="212" t="n"/>
    </row>
    <row r="2291">
      <c r="B2291" s="291" t="n"/>
      <c r="E2291" s="212" t="n"/>
    </row>
    <row r="2292">
      <c r="B2292" s="291" t="n"/>
      <c r="E2292" s="212" t="n"/>
    </row>
    <row r="2293">
      <c r="B2293" s="291" t="n"/>
      <c r="E2293" s="212" t="n"/>
    </row>
    <row r="2294">
      <c r="B2294" s="291" t="n"/>
      <c r="E2294" s="212" t="n"/>
    </row>
    <row r="2295">
      <c r="B2295" s="291" t="n"/>
      <c r="E2295" s="212" t="n"/>
    </row>
    <row r="2296">
      <c r="B2296" s="291" t="n"/>
      <c r="E2296" s="212" t="n"/>
    </row>
    <row r="2297">
      <c r="B2297" s="291" t="n"/>
      <c r="E2297" s="212" t="n"/>
    </row>
    <row r="2298">
      <c r="B2298" s="291" t="n"/>
      <c r="E2298" s="212" t="n"/>
    </row>
    <row r="2299">
      <c r="B2299" s="291" t="n"/>
      <c r="E2299" s="212" t="n"/>
    </row>
    <row r="2300">
      <c r="B2300" s="291" t="n"/>
      <c r="E2300" s="212" t="n"/>
    </row>
    <row r="2301">
      <c r="B2301" s="291" t="n"/>
      <c r="E2301" s="212" t="n"/>
    </row>
    <row r="2302">
      <c r="B2302" s="291" t="n"/>
      <c r="E2302" s="212" t="n"/>
    </row>
    <row r="2303">
      <c r="B2303" s="291" t="n"/>
      <c r="E2303" s="212" t="n"/>
    </row>
    <row r="2304">
      <c r="B2304" s="291" t="n"/>
      <c r="E2304" s="212" t="n"/>
    </row>
    <row r="2305">
      <c r="B2305" s="291" t="n"/>
      <c r="E2305" s="212" t="n"/>
    </row>
    <row r="2306">
      <c r="B2306" s="291" t="n"/>
      <c r="E2306" s="212" t="n"/>
    </row>
    <row r="2307">
      <c r="B2307" s="291" t="n"/>
      <c r="E2307" s="212" t="n"/>
    </row>
    <row r="2308">
      <c r="B2308" s="291" t="n"/>
      <c r="E2308" s="212" t="n"/>
    </row>
    <row r="2309">
      <c r="B2309" s="291" t="n"/>
      <c r="E2309" s="212" t="n"/>
    </row>
    <row r="2310">
      <c r="B2310" s="291" t="n"/>
      <c r="E2310" s="212" t="n"/>
    </row>
    <row r="2311">
      <c r="B2311" s="291" t="n"/>
      <c r="E2311" s="212" t="n"/>
    </row>
    <row r="2312">
      <c r="B2312" s="291" t="n"/>
      <c r="E2312" s="212" t="n"/>
    </row>
    <row r="2313">
      <c r="B2313" s="291" t="n"/>
      <c r="E2313" s="212" t="n"/>
    </row>
    <row r="2314">
      <c r="B2314" s="291" t="n"/>
      <c r="E2314" s="212" t="n"/>
    </row>
    <row r="2315">
      <c r="B2315" s="291" t="n"/>
      <c r="E2315" s="212" t="n"/>
    </row>
    <row r="2316">
      <c r="B2316" s="291" t="n"/>
      <c r="E2316" s="212" t="n"/>
    </row>
    <row r="2317">
      <c r="B2317" s="291" t="n"/>
      <c r="E2317" s="212" t="n"/>
    </row>
    <row r="2318">
      <c r="B2318" s="291" t="n"/>
      <c r="E2318" s="212" t="n"/>
    </row>
    <row r="2319">
      <c r="B2319" s="291" t="n"/>
      <c r="E2319" s="212" t="n"/>
    </row>
    <row r="2320">
      <c r="B2320" s="291" t="n"/>
      <c r="E2320" s="212" t="n"/>
    </row>
    <row r="2321">
      <c r="B2321" s="291" t="n"/>
      <c r="E2321" s="212" t="n"/>
    </row>
    <row r="2322">
      <c r="B2322" s="291" t="n"/>
      <c r="E2322" s="212" t="n"/>
    </row>
    <row r="2323">
      <c r="B2323" s="291" t="n"/>
      <c r="E2323" s="212" t="n"/>
    </row>
    <row r="2324">
      <c r="B2324" s="291" t="n"/>
      <c r="E2324" s="212" t="n"/>
    </row>
    <row r="2325">
      <c r="B2325" s="291" t="n"/>
      <c r="E2325" s="212" t="n"/>
    </row>
    <row r="2326">
      <c r="B2326" s="291" t="n"/>
      <c r="E2326" s="212" t="n"/>
    </row>
    <row r="2327">
      <c r="B2327" s="291" t="n"/>
      <c r="E2327" s="212" t="n"/>
    </row>
    <row r="2328">
      <c r="B2328" s="291" t="n"/>
      <c r="E2328" s="212" t="n"/>
    </row>
    <row r="2329">
      <c r="B2329" s="291" t="n"/>
      <c r="E2329" s="212" t="n"/>
    </row>
    <row r="2330">
      <c r="B2330" s="291" t="n"/>
      <c r="E2330" s="212" t="n"/>
    </row>
    <row r="2331">
      <c r="B2331" s="291" t="n"/>
      <c r="E2331" s="212" t="n"/>
    </row>
    <row r="2332">
      <c r="B2332" s="291" t="n"/>
      <c r="E2332" s="212" t="n"/>
    </row>
    <row r="2333">
      <c r="B2333" s="291" t="n"/>
      <c r="E2333" s="212" t="n"/>
    </row>
    <row r="2334">
      <c r="B2334" s="291" t="n"/>
      <c r="E2334" s="212" t="n"/>
    </row>
    <row r="2335">
      <c r="B2335" s="291" t="n"/>
      <c r="E2335" s="212" t="n"/>
    </row>
    <row r="2336">
      <c r="B2336" s="291" t="n"/>
      <c r="E2336" s="212" t="n"/>
    </row>
    <row r="2337">
      <c r="B2337" s="291" t="n"/>
      <c r="E2337" s="212" t="n"/>
    </row>
    <row r="2338">
      <c r="B2338" s="291" t="n"/>
      <c r="E2338" s="212" t="n"/>
    </row>
    <row r="2339">
      <c r="B2339" s="291" t="n"/>
      <c r="E2339" s="212" t="n"/>
    </row>
    <row r="2340">
      <c r="B2340" s="291" t="n"/>
      <c r="E2340" s="212" t="n"/>
    </row>
    <row r="2341">
      <c r="B2341" s="291" t="n"/>
      <c r="E2341" s="212" t="n"/>
    </row>
    <row r="2342">
      <c r="B2342" s="291" t="n"/>
      <c r="E2342" s="212" t="n"/>
    </row>
    <row r="2343">
      <c r="B2343" s="291" t="n"/>
      <c r="E2343" s="212" t="n"/>
    </row>
    <row r="2344">
      <c r="B2344" s="291" t="n"/>
      <c r="E2344" s="212" t="n"/>
    </row>
    <row r="2345">
      <c r="B2345" s="291" t="n"/>
      <c r="E2345" s="212" t="n"/>
    </row>
    <row r="2346">
      <c r="B2346" s="291" t="n"/>
      <c r="E2346" s="212" t="n"/>
    </row>
    <row r="2347">
      <c r="B2347" s="291" t="n"/>
      <c r="E2347" s="212" t="n"/>
    </row>
    <row r="2348">
      <c r="B2348" s="291" t="n"/>
      <c r="E2348" s="212" t="n"/>
    </row>
    <row r="2349">
      <c r="B2349" s="291" t="n"/>
      <c r="E2349" s="212" t="n"/>
    </row>
    <row r="2350">
      <c r="B2350" s="291" t="n"/>
      <c r="E2350" s="212" t="n"/>
    </row>
    <row r="2351">
      <c r="B2351" s="291" t="n"/>
      <c r="E2351" s="212" t="n"/>
    </row>
    <row r="2352">
      <c r="B2352" s="291" t="n"/>
      <c r="E2352" s="212" t="n"/>
    </row>
    <row r="2353">
      <c r="B2353" s="291" t="n"/>
      <c r="E2353" s="212" t="n"/>
    </row>
    <row r="2354">
      <c r="B2354" s="291" t="n"/>
      <c r="E2354" s="212" t="n"/>
    </row>
    <row r="2355">
      <c r="B2355" s="291" t="n"/>
      <c r="E2355" s="212" t="n"/>
    </row>
    <row r="2356">
      <c r="B2356" s="291" t="n"/>
      <c r="E2356" s="212" t="n"/>
    </row>
    <row r="2357">
      <c r="B2357" s="291" t="n"/>
      <c r="E2357" s="212" t="n"/>
    </row>
    <row r="2358">
      <c r="B2358" s="291" t="n"/>
      <c r="E2358" s="212" t="n"/>
    </row>
    <row r="2359">
      <c r="B2359" s="291" t="n"/>
      <c r="E2359" s="212" t="n"/>
    </row>
    <row r="2360">
      <c r="B2360" s="291" t="n"/>
      <c r="E2360" s="212" t="n"/>
    </row>
    <row r="2361">
      <c r="B2361" s="291" t="n"/>
      <c r="E2361" s="212" t="n"/>
    </row>
    <row r="2362">
      <c r="B2362" s="291" t="n"/>
      <c r="E2362" s="212" t="n"/>
    </row>
    <row r="2363">
      <c r="B2363" s="291" t="n"/>
      <c r="E2363" s="212" t="n"/>
    </row>
    <row r="2364">
      <c r="B2364" s="291" t="n"/>
      <c r="E2364" s="212" t="n"/>
    </row>
    <row r="2365">
      <c r="B2365" s="291" t="n"/>
      <c r="E2365" s="212" t="n"/>
    </row>
    <row r="2366">
      <c r="B2366" s="291" t="n"/>
      <c r="E2366" s="212" t="n"/>
    </row>
    <row r="2367">
      <c r="B2367" s="291" t="n"/>
      <c r="E2367" s="212" t="n"/>
    </row>
    <row r="2368">
      <c r="B2368" s="291" t="n"/>
      <c r="E2368" s="212" t="n"/>
    </row>
    <row r="2369">
      <c r="B2369" s="291" t="n"/>
      <c r="E2369" s="212" t="n"/>
    </row>
    <row r="2370">
      <c r="B2370" s="291" t="n"/>
      <c r="E2370" s="212" t="n"/>
    </row>
    <row r="2371">
      <c r="B2371" s="291" t="n"/>
      <c r="E2371" s="212" t="n"/>
    </row>
    <row r="2372">
      <c r="B2372" s="291" t="n"/>
      <c r="E2372" s="212" t="n"/>
    </row>
    <row r="2373">
      <c r="B2373" s="291" t="n"/>
      <c r="E2373" s="212" t="n"/>
    </row>
    <row r="2374">
      <c r="B2374" s="291" t="n"/>
      <c r="E2374" s="212" t="n"/>
    </row>
    <row r="2375">
      <c r="B2375" s="291" t="n"/>
      <c r="E2375" s="212" t="n"/>
    </row>
    <row r="2376">
      <c r="B2376" s="291" t="n"/>
      <c r="E2376" s="212" t="n"/>
    </row>
    <row r="2377">
      <c r="B2377" s="291" t="n"/>
      <c r="E2377" s="212" t="n"/>
    </row>
    <row r="2378">
      <c r="B2378" s="291" t="n"/>
      <c r="E2378" s="212" t="n"/>
    </row>
    <row r="2379">
      <c r="B2379" s="291" t="n"/>
      <c r="E2379" s="212" t="n"/>
    </row>
    <row r="2380">
      <c r="B2380" s="291" t="n"/>
      <c r="E2380" s="212" t="n"/>
    </row>
    <row r="2381">
      <c r="B2381" s="291" t="n"/>
      <c r="E2381" s="212" t="n"/>
    </row>
    <row r="2382">
      <c r="B2382" s="291" t="n"/>
      <c r="E2382" s="212" t="n"/>
    </row>
    <row r="2383">
      <c r="B2383" s="291" t="n"/>
      <c r="E2383" s="212" t="n"/>
    </row>
    <row r="2384">
      <c r="B2384" s="291" t="n"/>
      <c r="E2384" s="212" t="n"/>
    </row>
    <row r="2385">
      <c r="B2385" s="291" t="n"/>
      <c r="E2385" s="212" t="n"/>
    </row>
    <row r="2386">
      <c r="B2386" s="291" t="n"/>
      <c r="E2386" s="212" t="n"/>
    </row>
    <row r="2387">
      <c r="B2387" s="291" t="n"/>
      <c r="E2387" s="212" t="n"/>
    </row>
    <row r="2388">
      <c r="B2388" s="291" t="n"/>
      <c r="E2388" s="212" t="n"/>
    </row>
    <row r="2389">
      <c r="B2389" s="291" t="n"/>
      <c r="E2389" s="212" t="n"/>
    </row>
    <row r="2390">
      <c r="B2390" s="291" t="n"/>
      <c r="E2390" s="212" t="n"/>
    </row>
    <row r="2391">
      <c r="B2391" s="291" t="n"/>
      <c r="E2391" s="212" t="n"/>
    </row>
    <row r="2392">
      <c r="B2392" s="291" t="n"/>
      <c r="E2392" s="212" t="n"/>
    </row>
    <row r="2393">
      <c r="B2393" s="291" t="n"/>
      <c r="E2393" s="212" t="n"/>
    </row>
    <row r="2394">
      <c r="B2394" s="291" t="n"/>
      <c r="E2394" s="212" t="n"/>
    </row>
    <row r="2395">
      <c r="B2395" s="291" t="n"/>
      <c r="E2395" s="212" t="n"/>
    </row>
    <row r="2396">
      <c r="B2396" s="291" t="n"/>
      <c r="E2396" s="212" t="n"/>
    </row>
    <row r="2397">
      <c r="B2397" s="291" t="n"/>
      <c r="E2397" s="212" t="n"/>
    </row>
    <row r="2398">
      <c r="B2398" s="291" t="n"/>
      <c r="E2398" s="212" t="n"/>
    </row>
    <row r="2399">
      <c r="B2399" s="291" t="n"/>
      <c r="E2399" s="212" t="n"/>
    </row>
    <row r="2400">
      <c r="B2400" s="291" t="n"/>
      <c r="E2400" s="212" t="n"/>
    </row>
    <row r="2401">
      <c r="B2401" s="291" t="n"/>
      <c r="E2401" s="212" t="n"/>
    </row>
    <row r="2402">
      <c r="B2402" s="291" t="n"/>
      <c r="E2402" s="212" t="n"/>
    </row>
    <row r="2403">
      <c r="B2403" s="291" t="n"/>
      <c r="E2403" s="212" t="n"/>
    </row>
    <row r="2404">
      <c r="B2404" s="291" t="n"/>
      <c r="E2404" s="212" t="n"/>
    </row>
    <row r="2405">
      <c r="B2405" s="291" t="n"/>
      <c r="E2405" s="212" t="n"/>
    </row>
    <row r="2406">
      <c r="B2406" s="291" t="n"/>
      <c r="E2406" s="212" t="n"/>
    </row>
    <row r="2407">
      <c r="B2407" s="291" t="n"/>
      <c r="E2407" s="212" t="n"/>
    </row>
    <row r="2408">
      <c r="B2408" s="291" t="n"/>
      <c r="E2408" s="212" t="n"/>
    </row>
    <row r="2409">
      <c r="B2409" s="291" t="n"/>
      <c r="E2409" s="212" t="n"/>
    </row>
    <row r="2410">
      <c r="B2410" s="291" t="n"/>
      <c r="E2410" s="212" t="n"/>
    </row>
    <row r="2411">
      <c r="B2411" s="291" t="n"/>
      <c r="E2411" s="212" t="n"/>
    </row>
    <row r="2412">
      <c r="B2412" s="291" t="n"/>
      <c r="E2412" s="212" t="n"/>
    </row>
    <row r="2413">
      <c r="B2413" s="291" t="n"/>
      <c r="E2413" s="212" t="n"/>
    </row>
    <row r="2414">
      <c r="B2414" s="291" t="n"/>
      <c r="E2414" s="212" t="n"/>
    </row>
    <row r="2415">
      <c r="B2415" s="291" t="n"/>
      <c r="E2415" s="212" t="n"/>
    </row>
    <row r="2416">
      <c r="B2416" s="291" t="n"/>
      <c r="E2416" s="212" t="n"/>
    </row>
    <row r="2417">
      <c r="B2417" s="291" t="n"/>
      <c r="E2417" s="212" t="n"/>
    </row>
    <row r="2418">
      <c r="B2418" s="291" t="n"/>
      <c r="E2418" s="212" t="n"/>
    </row>
    <row r="2419">
      <c r="B2419" s="291" t="n"/>
      <c r="E2419" s="212" t="n"/>
    </row>
    <row r="2420">
      <c r="B2420" s="291" t="n"/>
      <c r="E2420" s="212" t="n"/>
    </row>
    <row r="2421">
      <c r="B2421" s="291" t="n"/>
      <c r="E2421" s="212" t="n"/>
    </row>
    <row r="2422">
      <c r="B2422" s="291" t="n"/>
      <c r="E2422" s="212" t="n"/>
    </row>
    <row r="2423">
      <c r="B2423" s="291" t="n"/>
      <c r="E2423" s="212" t="n"/>
    </row>
    <row r="2424">
      <c r="B2424" s="291" t="n"/>
      <c r="E2424" s="212" t="n"/>
    </row>
    <row r="2425">
      <c r="B2425" s="291" t="n"/>
      <c r="E2425" s="212" t="n"/>
    </row>
    <row r="2426">
      <c r="B2426" s="291" t="n"/>
      <c r="E2426" s="212" t="n"/>
    </row>
    <row r="2427">
      <c r="B2427" s="291" t="n"/>
      <c r="E2427" s="212" t="n"/>
    </row>
    <row r="2428">
      <c r="B2428" s="291" t="n"/>
      <c r="E2428" s="212" t="n"/>
    </row>
    <row r="2429">
      <c r="B2429" s="291" t="n"/>
      <c r="E2429" s="212" t="n"/>
    </row>
    <row r="2430">
      <c r="B2430" s="291" t="n"/>
      <c r="E2430" s="212" t="n"/>
    </row>
    <row r="2431">
      <c r="B2431" s="291" t="n"/>
      <c r="E2431" s="212" t="n"/>
    </row>
    <row r="2432">
      <c r="B2432" s="291" t="n"/>
      <c r="E2432" s="212" t="n"/>
    </row>
    <row r="2433">
      <c r="B2433" s="291" t="n"/>
      <c r="E2433" s="212" t="n"/>
    </row>
    <row r="2434">
      <c r="B2434" s="291" t="n"/>
      <c r="E2434" s="212" t="n"/>
    </row>
    <row r="2435">
      <c r="B2435" s="291" t="n"/>
      <c r="E2435" s="212" t="n"/>
    </row>
    <row r="2436">
      <c r="B2436" s="291" t="n"/>
      <c r="E2436" s="212" t="n"/>
    </row>
    <row r="2437">
      <c r="B2437" s="291" t="n"/>
      <c r="E2437" s="212" t="n"/>
    </row>
    <row r="2438">
      <c r="B2438" s="291" t="n"/>
      <c r="E2438" s="212" t="n"/>
    </row>
    <row r="2439">
      <c r="B2439" s="291" t="n"/>
      <c r="E2439" s="212" t="n"/>
    </row>
    <row r="2440">
      <c r="B2440" s="291" t="n"/>
      <c r="E2440" s="212" t="n"/>
    </row>
    <row r="2441">
      <c r="B2441" s="291" t="n"/>
      <c r="E2441" s="212" t="n"/>
    </row>
    <row r="2442">
      <c r="B2442" s="291" t="n"/>
      <c r="E2442" s="212" t="n"/>
    </row>
    <row r="2443">
      <c r="B2443" s="291" t="n"/>
      <c r="E2443" s="212" t="n"/>
    </row>
    <row r="2444">
      <c r="B2444" s="291" t="n"/>
      <c r="E2444" s="212" t="n"/>
    </row>
    <row r="2445">
      <c r="B2445" s="291" t="n"/>
      <c r="E2445" s="212" t="n"/>
    </row>
    <row r="2446">
      <c r="B2446" s="291" t="n"/>
      <c r="E2446" s="212" t="n"/>
    </row>
    <row r="2447">
      <c r="B2447" s="291" t="n"/>
      <c r="E2447" s="212" t="n"/>
    </row>
    <row r="2448">
      <c r="B2448" s="291" t="n"/>
      <c r="E2448" s="212" t="n"/>
    </row>
    <row r="2449">
      <c r="B2449" s="291" t="n"/>
      <c r="E2449" s="212" t="n"/>
    </row>
    <row r="2450">
      <c r="B2450" s="291" t="n"/>
      <c r="E2450" s="212" t="n"/>
    </row>
    <row r="2451">
      <c r="B2451" s="291" t="n"/>
      <c r="E2451" s="212" t="n"/>
    </row>
    <row r="2452">
      <c r="B2452" s="291" t="n"/>
      <c r="E2452" s="212" t="n"/>
    </row>
    <row r="2453">
      <c r="B2453" s="291" t="n"/>
      <c r="E2453" s="212" t="n"/>
    </row>
    <row r="2454">
      <c r="B2454" s="291" t="n"/>
      <c r="E2454" s="212" t="n"/>
    </row>
    <row r="2455">
      <c r="B2455" s="291" t="n"/>
      <c r="E2455" s="212" t="n"/>
    </row>
    <row r="2456">
      <c r="B2456" s="291" t="n"/>
      <c r="E2456" s="212" t="n"/>
    </row>
    <row r="2457">
      <c r="B2457" s="291" t="n"/>
      <c r="E2457" s="212" t="n"/>
    </row>
    <row r="2458">
      <c r="B2458" s="291" t="n"/>
      <c r="E2458" s="212" t="n"/>
    </row>
    <row r="2459">
      <c r="B2459" s="291" t="n"/>
      <c r="E2459" s="212" t="n"/>
    </row>
    <row r="2460">
      <c r="B2460" s="291" t="n"/>
      <c r="E2460" s="212" t="n"/>
    </row>
    <row r="2461">
      <c r="B2461" s="291" t="n"/>
      <c r="E2461" s="212" t="n"/>
    </row>
    <row r="2462">
      <c r="B2462" s="291" t="n"/>
      <c r="E2462" s="212" t="n"/>
    </row>
    <row r="2463">
      <c r="B2463" s="291" t="n"/>
      <c r="E2463" s="212" t="n"/>
    </row>
    <row r="2464">
      <c r="B2464" s="291" t="n"/>
      <c r="E2464" s="212" t="n"/>
    </row>
    <row r="2465">
      <c r="B2465" s="291" t="n"/>
      <c r="E2465" s="212" t="n"/>
    </row>
    <row r="2466">
      <c r="B2466" s="291" t="n"/>
      <c r="E2466" s="212" t="n"/>
    </row>
    <row r="2467">
      <c r="B2467" s="291" t="n"/>
      <c r="E2467" s="212" t="n"/>
    </row>
    <row r="2468">
      <c r="B2468" s="291" t="n"/>
      <c r="E2468" s="212" t="n"/>
    </row>
    <row r="2469">
      <c r="B2469" s="291" t="n"/>
      <c r="E2469" s="212" t="n"/>
    </row>
    <row r="2470">
      <c r="B2470" s="291" t="n"/>
      <c r="E2470" s="212" t="n"/>
    </row>
    <row r="2471">
      <c r="B2471" s="291" t="n"/>
      <c r="E2471" s="212" t="n"/>
    </row>
    <row r="2472">
      <c r="B2472" s="291" t="n"/>
      <c r="E2472" s="212" t="n"/>
    </row>
    <row r="2473">
      <c r="B2473" s="291" t="n"/>
      <c r="E2473" s="212" t="n"/>
    </row>
    <row r="2474">
      <c r="B2474" s="291" t="n"/>
      <c r="E2474" s="212" t="n"/>
    </row>
    <row r="2475">
      <c r="B2475" s="291" t="n"/>
      <c r="E2475" s="212" t="n"/>
    </row>
    <row r="2476">
      <c r="B2476" s="291" t="n"/>
      <c r="E2476" s="212" t="n"/>
    </row>
    <row r="2477">
      <c r="B2477" s="291" t="n"/>
      <c r="E2477" s="212" t="n"/>
    </row>
    <row r="2478">
      <c r="B2478" s="291" t="n"/>
      <c r="E2478" s="212" t="n"/>
    </row>
    <row r="2479">
      <c r="B2479" s="291" t="n"/>
      <c r="E2479" s="212" t="n"/>
    </row>
    <row r="2480">
      <c r="B2480" s="291" t="n"/>
      <c r="E2480" s="212" t="n"/>
    </row>
    <row r="2481">
      <c r="B2481" s="291" t="n"/>
      <c r="E2481" s="212" t="n"/>
    </row>
    <row r="2482">
      <c r="B2482" s="291" t="n"/>
      <c r="E2482" s="212" t="n"/>
    </row>
    <row r="2483">
      <c r="B2483" s="291" t="n"/>
      <c r="E2483" s="212" t="n"/>
    </row>
    <row r="2484">
      <c r="B2484" s="291" t="n"/>
      <c r="E2484" s="212" t="n"/>
    </row>
    <row r="2485">
      <c r="B2485" s="291" t="n"/>
      <c r="E2485" s="212" t="n"/>
    </row>
    <row r="2486">
      <c r="B2486" s="291" t="n"/>
      <c r="E2486" s="212" t="n"/>
    </row>
    <row r="2487">
      <c r="B2487" s="291" t="n"/>
      <c r="E2487" s="212" t="n"/>
    </row>
    <row r="2488">
      <c r="B2488" s="291" t="n"/>
      <c r="E2488" s="212" t="n"/>
    </row>
    <row r="2489">
      <c r="B2489" s="291" t="n"/>
      <c r="E2489" s="212" t="n"/>
    </row>
    <row r="2490">
      <c r="B2490" s="291" t="n"/>
      <c r="E2490" s="212" t="n"/>
    </row>
    <row r="2491">
      <c r="B2491" s="291" t="n"/>
      <c r="E2491" s="212" t="n"/>
    </row>
    <row r="2492">
      <c r="B2492" s="291" t="n"/>
      <c r="E2492" s="212" t="n"/>
    </row>
    <row r="2493">
      <c r="B2493" s="291" t="n"/>
      <c r="E2493" s="212" t="n"/>
    </row>
    <row r="2494">
      <c r="B2494" s="291" t="n"/>
      <c r="E2494" s="212" t="n"/>
    </row>
    <row r="2495">
      <c r="B2495" s="291" t="n"/>
      <c r="E2495" s="212" t="n"/>
    </row>
    <row r="2496">
      <c r="B2496" s="291" t="n"/>
      <c r="E2496" s="212" t="n"/>
    </row>
    <row r="2497">
      <c r="B2497" s="291" t="n"/>
      <c r="E2497" s="212" t="n"/>
    </row>
    <row r="2498">
      <c r="B2498" s="291" t="n"/>
      <c r="E2498" s="212" t="n"/>
    </row>
    <row r="2499">
      <c r="B2499" s="291" t="n"/>
      <c r="E2499" s="212" t="n"/>
    </row>
    <row r="2500">
      <c r="B2500" s="291" t="n"/>
      <c r="E2500" s="212" t="n"/>
    </row>
    <row r="2501">
      <c r="B2501" s="291" t="n"/>
      <c r="E2501" s="212" t="n"/>
    </row>
    <row r="2502">
      <c r="B2502" s="291" t="n"/>
      <c r="E2502" s="212" t="n"/>
    </row>
    <row r="2503">
      <c r="B2503" s="291" t="n"/>
      <c r="E2503" s="212" t="n"/>
    </row>
    <row r="2504">
      <c r="B2504" s="291" t="n"/>
      <c r="E2504" s="212" t="n"/>
    </row>
    <row r="2505">
      <c r="B2505" s="291" t="n"/>
      <c r="E2505" s="212" t="n"/>
    </row>
    <row r="2506">
      <c r="B2506" s="291" t="n"/>
      <c r="E2506" s="212" t="n"/>
    </row>
    <row r="2507">
      <c r="B2507" s="291" t="n"/>
      <c r="E2507" s="212" t="n"/>
    </row>
    <row r="2508">
      <c r="B2508" s="291" t="n"/>
      <c r="E2508" s="212" t="n"/>
    </row>
    <row r="2509">
      <c r="B2509" s="291" t="n"/>
      <c r="E2509" s="212" t="n"/>
    </row>
    <row r="2510">
      <c r="B2510" s="291" t="n"/>
      <c r="E2510" s="212" t="n"/>
    </row>
    <row r="2511">
      <c r="B2511" s="291" t="n"/>
      <c r="E2511" s="212" t="n"/>
    </row>
    <row r="2512">
      <c r="B2512" s="291" t="n"/>
      <c r="E2512" s="212" t="n"/>
    </row>
    <row r="2513">
      <c r="B2513" s="291" t="n"/>
      <c r="E2513" s="212" t="n"/>
    </row>
    <row r="2514">
      <c r="B2514" s="291" t="n"/>
      <c r="E2514" s="212" t="n"/>
    </row>
    <row r="2515">
      <c r="B2515" s="291" t="n"/>
      <c r="E2515" s="212" t="n"/>
    </row>
    <row r="2516">
      <c r="B2516" s="291" t="n"/>
      <c r="E2516" s="212" t="n"/>
    </row>
    <row r="2517">
      <c r="B2517" s="291" t="n"/>
      <c r="E2517" s="212" t="n"/>
    </row>
    <row r="2518">
      <c r="B2518" s="291" t="n"/>
      <c r="E2518" s="212" t="n"/>
    </row>
    <row r="2519">
      <c r="B2519" s="291" t="n"/>
      <c r="E2519" s="212" t="n"/>
    </row>
    <row r="2520">
      <c r="B2520" s="291" t="n"/>
      <c r="E2520" s="212" t="n"/>
    </row>
    <row r="2521">
      <c r="B2521" s="291" t="n"/>
      <c r="E2521" s="212" t="n"/>
    </row>
    <row r="2522">
      <c r="B2522" s="291" t="n"/>
      <c r="E2522" s="212" t="n"/>
    </row>
    <row r="2523">
      <c r="B2523" s="291" t="n"/>
      <c r="E2523" s="212" t="n"/>
    </row>
    <row r="2524">
      <c r="B2524" s="291" t="n"/>
      <c r="E2524" s="212" t="n"/>
    </row>
    <row r="2525">
      <c r="B2525" s="291" t="n"/>
      <c r="E2525" s="212" t="n"/>
    </row>
    <row r="2526">
      <c r="B2526" s="291" t="n"/>
      <c r="E2526" s="212" t="n"/>
    </row>
    <row r="2527">
      <c r="B2527" s="291" t="n"/>
      <c r="E2527" s="212" t="n"/>
    </row>
    <row r="2528">
      <c r="B2528" s="291" t="n"/>
      <c r="E2528" s="212" t="n"/>
    </row>
    <row r="2529">
      <c r="B2529" s="291" t="n"/>
      <c r="E2529" s="212" t="n"/>
    </row>
    <row r="2530">
      <c r="B2530" s="291" t="n"/>
      <c r="E2530" s="212" t="n"/>
    </row>
    <row r="2531">
      <c r="B2531" s="291" t="n"/>
      <c r="E2531" s="212" t="n"/>
    </row>
    <row r="2532">
      <c r="B2532" s="291" t="n"/>
      <c r="E2532" s="212" t="n"/>
    </row>
    <row r="2533">
      <c r="B2533" s="291" t="n"/>
      <c r="E2533" s="212" t="n"/>
    </row>
    <row r="2534">
      <c r="B2534" s="291" t="n"/>
      <c r="E2534" s="212" t="n"/>
    </row>
    <row r="2535">
      <c r="B2535" s="291" t="n"/>
      <c r="E2535" s="212" t="n"/>
    </row>
    <row r="2536">
      <c r="B2536" s="291" t="n"/>
      <c r="E2536" s="212" t="n"/>
    </row>
    <row r="2537">
      <c r="B2537" s="291" t="n"/>
      <c r="E2537" s="212" t="n"/>
    </row>
    <row r="2538">
      <c r="B2538" s="291" t="n"/>
      <c r="E2538" s="212" t="n"/>
    </row>
    <row r="2539">
      <c r="B2539" s="291" t="n"/>
      <c r="E2539" s="212" t="n"/>
    </row>
    <row r="2540">
      <c r="B2540" s="291" t="n"/>
      <c r="E2540" s="212" t="n"/>
    </row>
    <row r="2541">
      <c r="B2541" s="291" t="n"/>
      <c r="E2541" s="212" t="n"/>
    </row>
    <row r="2542">
      <c r="B2542" s="291" t="n"/>
      <c r="E2542" s="212" t="n"/>
    </row>
    <row r="2543">
      <c r="B2543" s="291" t="n"/>
      <c r="E2543" s="212" t="n"/>
    </row>
    <row r="2544">
      <c r="B2544" s="291" t="n"/>
      <c r="E2544" s="212" t="n"/>
    </row>
    <row r="2545">
      <c r="B2545" s="291" t="n"/>
      <c r="E2545" s="212" t="n"/>
    </row>
    <row r="2546">
      <c r="B2546" s="291" t="n"/>
      <c r="E2546" s="212" t="n"/>
    </row>
    <row r="2547">
      <c r="B2547" s="291" t="n"/>
      <c r="E2547" s="212" t="n"/>
    </row>
    <row r="2548">
      <c r="B2548" s="291" t="n"/>
      <c r="E2548" s="212" t="n"/>
    </row>
    <row r="2549">
      <c r="B2549" s="291" t="n"/>
      <c r="E2549" s="212" t="n"/>
    </row>
    <row r="2550">
      <c r="B2550" s="291" t="n"/>
      <c r="E2550" s="212" t="n"/>
    </row>
    <row r="2551">
      <c r="B2551" s="291" t="n"/>
      <c r="E2551" s="212" t="n"/>
    </row>
    <row r="2552">
      <c r="B2552" s="291" t="n"/>
      <c r="E2552" s="212" t="n"/>
    </row>
    <row r="2553">
      <c r="B2553" s="291" t="n"/>
      <c r="E2553" s="212" t="n"/>
    </row>
    <row r="2554">
      <c r="B2554" s="291" t="n"/>
      <c r="E2554" s="212" t="n"/>
    </row>
    <row r="2555">
      <c r="B2555" s="291" t="n"/>
      <c r="E2555" s="212" t="n"/>
    </row>
    <row r="2556">
      <c r="B2556" s="291" t="n"/>
      <c r="E2556" s="212" t="n"/>
    </row>
    <row r="2557">
      <c r="B2557" s="291" t="n"/>
      <c r="E2557" s="212" t="n"/>
    </row>
    <row r="2558">
      <c r="B2558" s="291" t="n"/>
      <c r="E2558" s="212" t="n"/>
    </row>
    <row r="2559">
      <c r="B2559" s="291" t="n"/>
      <c r="E2559" s="212" t="n"/>
    </row>
    <row r="2560">
      <c r="B2560" s="291" t="n"/>
      <c r="E2560" s="212" t="n"/>
    </row>
    <row r="2561">
      <c r="B2561" s="291" t="n"/>
      <c r="E2561" s="212" t="n"/>
    </row>
    <row r="2562">
      <c r="B2562" s="291" t="n"/>
      <c r="E2562" s="212" t="n"/>
    </row>
    <row r="2563">
      <c r="B2563" s="291" t="n"/>
      <c r="E2563" s="212" t="n"/>
    </row>
    <row r="2564">
      <c r="B2564" s="291" t="n"/>
      <c r="E2564" s="212" t="n"/>
    </row>
    <row r="2565">
      <c r="B2565" s="291" t="n"/>
      <c r="E2565" s="212" t="n"/>
    </row>
    <row r="2566">
      <c r="B2566" s="291" t="n"/>
      <c r="E2566" s="212" t="n"/>
    </row>
    <row r="2567">
      <c r="B2567" s="291" t="n"/>
      <c r="E2567" s="212" t="n"/>
    </row>
    <row r="2568">
      <c r="B2568" s="291" t="n"/>
      <c r="E2568" s="212" t="n"/>
    </row>
    <row r="2569">
      <c r="B2569" s="291" t="n"/>
      <c r="E2569" s="212" t="n"/>
    </row>
    <row r="2570">
      <c r="B2570" s="291" t="n"/>
      <c r="E2570" s="212" t="n"/>
    </row>
    <row r="2571">
      <c r="B2571" s="291" t="n"/>
      <c r="E2571" s="212" t="n"/>
    </row>
    <row r="2572">
      <c r="B2572" s="291" t="n"/>
      <c r="E2572" s="212" t="n"/>
    </row>
    <row r="2573">
      <c r="B2573" s="291" t="n"/>
      <c r="E2573" s="212" t="n"/>
    </row>
    <row r="2574">
      <c r="B2574" s="291" t="n"/>
      <c r="E2574" s="212" t="n"/>
    </row>
    <row r="2575">
      <c r="B2575" s="291" t="n"/>
      <c r="E2575" s="212" t="n"/>
    </row>
    <row r="2576">
      <c r="B2576" s="291" t="n"/>
      <c r="E2576" s="212" t="n"/>
    </row>
    <row r="2577">
      <c r="B2577" s="291" t="n"/>
      <c r="E2577" s="212" t="n"/>
    </row>
    <row r="2578">
      <c r="B2578" s="291" t="n"/>
      <c r="E2578" s="212" t="n"/>
    </row>
    <row r="2579">
      <c r="B2579" s="291" t="n"/>
      <c r="E2579" s="212" t="n"/>
    </row>
    <row r="2580">
      <c r="B2580" s="291" t="n"/>
      <c r="E2580" s="212" t="n"/>
    </row>
    <row r="2581">
      <c r="B2581" s="291" t="n"/>
      <c r="E2581" s="212" t="n"/>
    </row>
    <row r="2582">
      <c r="B2582" s="291" t="n"/>
      <c r="E2582" s="212" t="n"/>
    </row>
    <row r="2583">
      <c r="B2583" s="291" t="n"/>
      <c r="E2583" s="212" t="n"/>
    </row>
    <row r="2584">
      <c r="B2584" s="291" t="n"/>
      <c r="E2584" s="212" t="n"/>
    </row>
    <row r="2585">
      <c r="B2585" s="291" t="n"/>
      <c r="E2585" s="212" t="n"/>
    </row>
    <row r="2586">
      <c r="B2586" s="291" t="n"/>
      <c r="E2586" s="212" t="n"/>
    </row>
    <row r="2587">
      <c r="B2587" s="291" t="n"/>
      <c r="E2587" s="212" t="n"/>
    </row>
    <row r="2588">
      <c r="B2588" s="291" t="n"/>
      <c r="E2588" s="212" t="n"/>
    </row>
    <row r="2589">
      <c r="B2589" s="291" t="n"/>
      <c r="E2589" s="212" t="n"/>
    </row>
    <row r="2590">
      <c r="B2590" s="291" t="n"/>
      <c r="E2590" s="212" t="n"/>
    </row>
    <row r="2591">
      <c r="B2591" s="291" t="n"/>
      <c r="E2591" s="212" t="n"/>
    </row>
    <row r="2592">
      <c r="B2592" s="291" t="n"/>
      <c r="E2592" s="212" t="n"/>
    </row>
    <row r="2593">
      <c r="B2593" s="291" t="n"/>
      <c r="E2593" s="212" t="n"/>
    </row>
    <row r="2594">
      <c r="B2594" s="291" t="n"/>
      <c r="E2594" s="212" t="n"/>
    </row>
    <row r="2595">
      <c r="B2595" s="291" t="n"/>
      <c r="E2595" s="212" t="n"/>
    </row>
    <row r="2596">
      <c r="B2596" s="291" t="n"/>
      <c r="E2596" s="212" t="n"/>
    </row>
    <row r="2597">
      <c r="B2597" s="291" t="n"/>
      <c r="E2597" s="212" t="n"/>
    </row>
    <row r="2598">
      <c r="B2598" s="291" t="n"/>
      <c r="E2598" s="212" t="n"/>
    </row>
    <row r="2599">
      <c r="B2599" s="291" t="n"/>
      <c r="E2599" s="212" t="n"/>
    </row>
    <row r="2600">
      <c r="B2600" s="291" t="n"/>
      <c r="E2600" s="212" t="n"/>
    </row>
    <row r="2601">
      <c r="B2601" s="291" t="n"/>
      <c r="E2601" s="212" t="n"/>
    </row>
    <row r="2602">
      <c r="B2602" s="291" t="n"/>
      <c r="E2602" s="212" t="n"/>
    </row>
    <row r="2603">
      <c r="B2603" s="291" t="n"/>
      <c r="E2603" s="212" t="n"/>
    </row>
    <row r="2604">
      <c r="B2604" s="291" t="n"/>
      <c r="E2604" s="212" t="n"/>
    </row>
    <row r="2605">
      <c r="B2605" s="291" t="n"/>
      <c r="E2605" s="212" t="n"/>
    </row>
    <row r="2606">
      <c r="B2606" s="291" t="n"/>
      <c r="E2606" s="212" t="n"/>
    </row>
    <row r="2607">
      <c r="B2607" s="291" t="n"/>
      <c r="E2607" s="212" t="n"/>
    </row>
    <row r="2608">
      <c r="B2608" s="291" t="n"/>
      <c r="E2608" s="212" t="n"/>
    </row>
    <row r="2609">
      <c r="B2609" s="291" t="n"/>
      <c r="E2609" s="212" t="n"/>
    </row>
    <row r="2610">
      <c r="B2610" s="291" t="n"/>
      <c r="E2610" s="212" t="n"/>
    </row>
    <row r="2611">
      <c r="B2611" s="291" t="n"/>
      <c r="E2611" s="212" t="n"/>
    </row>
    <row r="2612">
      <c r="B2612" s="291" t="n"/>
      <c r="E2612" s="212" t="n"/>
    </row>
    <row r="2613">
      <c r="B2613" s="291" t="n"/>
      <c r="E2613" s="212" t="n"/>
    </row>
    <row r="2614">
      <c r="B2614" s="291" t="n"/>
      <c r="E2614" s="212" t="n"/>
    </row>
    <row r="2615">
      <c r="B2615" s="291" t="n"/>
      <c r="E2615" s="212" t="n"/>
    </row>
    <row r="2616">
      <c r="B2616" s="291" t="n"/>
      <c r="E2616" s="212" t="n"/>
    </row>
    <row r="2617">
      <c r="B2617" s="291" t="n"/>
      <c r="E2617" s="212" t="n"/>
    </row>
    <row r="2618">
      <c r="B2618" s="291" t="n"/>
      <c r="E2618" s="212" t="n"/>
    </row>
    <row r="2619">
      <c r="B2619" s="291" t="n"/>
      <c r="E2619" s="212" t="n"/>
    </row>
    <row r="2620">
      <c r="B2620" s="291" t="n"/>
      <c r="E2620" s="212" t="n"/>
    </row>
    <row r="2621">
      <c r="B2621" s="291" t="n"/>
      <c r="E2621" s="212" t="n"/>
    </row>
    <row r="2622">
      <c r="B2622" s="291" t="n"/>
      <c r="E2622" s="212" t="n"/>
    </row>
    <row r="2623">
      <c r="B2623" s="291" t="n"/>
      <c r="E2623" s="212" t="n"/>
    </row>
    <row r="2624">
      <c r="B2624" s="291" t="n"/>
      <c r="E2624" s="212" t="n"/>
    </row>
    <row r="2625">
      <c r="B2625" s="291" t="n"/>
      <c r="E2625" s="212" t="n"/>
    </row>
    <row r="2626">
      <c r="B2626" s="291" t="n"/>
      <c r="E2626" s="212" t="n"/>
    </row>
    <row r="2627">
      <c r="B2627" s="291" t="n"/>
      <c r="E2627" s="212" t="n"/>
    </row>
    <row r="2628">
      <c r="B2628" s="291" t="n"/>
      <c r="E2628" s="212" t="n"/>
    </row>
    <row r="2629">
      <c r="B2629" s="291" t="n"/>
      <c r="E2629" s="212" t="n"/>
    </row>
    <row r="2630">
      <c r="B2630" s="291" t="n"/>
      <c r="E2630" s="212" t="n"/>
    </row>
    <row r="2631">
      <c r="B2631" s="291" t="n"/>
      <c r="E2631" s="212" t="n"/>
    </row>
    <row r="2632">
      <c r="B2632" s="291" t="n"/>
      <c r="E2632" s="212" t="n"/>
    </row>
    <row r="2633">
      <c r="B2633" s="291" t="n"/>
      <c r="E2633" s="212" t="n"/>
    </row>
    <row r="2634">
      <c r="B2634" s="291" t="n"/>
      <c r="E2634" s="212" t="n"/>
    </row>
    <row r="2635">
      <c r="B2635" s="291" t="n"/>
      <c r="E2635" s="212" t="n"/>
    </row>
    <row r="2636">
      <c r="B2636" s="291" t="n"/>
      <c r="E2636" s="212" t="n"/>
    </row>
    <row r="2637">
      <c r="B2637" s="291" t="n"/>
      <c r="E2637" s="212" t="n"/>
    </row>
    <row r="2638">
      <c r="B2638" s="291" t="n"/>
      <c r="E2638" s="212" t="n"/>
    </row>
    <row r="2639">
      <c r="B2639" s="291" t="n"/>
      <c r="E2639" s="212" t="n"/>
    </row>
    <row r="2640">
      <c r="B2640" s="291" t="n"/>
      <c r="E2640" s="212" t="n"/>
    </row>
    <row r="2641">
      <c r="B2641" s="291" t="n"/>
      <c r="E2641" s="212" t="n"/>
    </row>
    <row r="2642">
      <c r="B2642" s="291" t="n"/>
      <c r="E2642" s="212" t="n"/>
    </row>
    <row r="2643">
      <c r="B2643" s="291" t="n"/>
      <c r="E2643" s="212" t="n"/>
    </row>
    <row r="2644">
      <c r="B2644" s="291" t="n"/>
      <c r="E2644" s="212" t="n"/>
    </row>
    <row r="2645">
      <c r="B2645" s="291" t="n"/>
      <c r="E2645" s="212" t="n"/>
    </row>
    <row r="2646">
      <c r="B2646" s="291" t="n"/>
      <c r="E2646" s="212" t="n"/>
    </row>
    <row r="2647">
      <c r="B2647" s="291" t="n"/>
      <c r="E2647" s="212" t="n"/>
    </row>
    <row r="2648">
      <c r="B2648" s="291" t="n"/>
      <c r="E2648" s="212" t="n"/>
    </row>
    <row r="2649">
      <c r="B2649" s="291" t="n"/>
      <c r="E2649" s="212" t="n"/>
    </row>
    <row r="2650">
      <c r="B2650" s="291" t="n"/>
      <c r="E2650" s="212" t="n"/>
    </row>
    <row r="2651">
      <c r="B2651" s="291" t="n"/>
      <c r="E2651" s="212" t="n"/>
    </row>
    <row r="2652">
      <c r="B2652" s="291" t="n"/>
      <c r="E2652" s="212" t="n"/>
    </row>
    <row r="2653">
      <c r="B2653" s="291" t="n"/>
      <c r="E2653" s="212" t="n"/>
    </row>
    <row r="2654">
      <c r="B2654" s="291" t="n"/>
      <c r="E2654" s="212" t="n"/>
    </row>
    <row r="2655">
      <c r="B2655" s="291" t="n"/>
      <c r="E2655" s="212" t="n"/>
    </row>
    <row r="2656">
      <c r="B2656" s="291" t="n"/>
      <c r="E2656" s="212" t="n"/>
    </row>
    <row r="2657">
      <c r="B2657" s="291" t="n"/>
      <c r="E2657" s="212" t="n"/>
    </row>
    <row r="2658">
      <c r="B2658" s="291" t="n"/>
      <c r="E2658" s="212" t="n"/>
    </row>
    <row r="2659">
      <c r="B2659" s="291" t="n"/>
      <c r="E2659" s="212" t="n"/>
    </row>
    <row r="2660">
      <c r="B2660" s="291" t="n"/>
      <c r="E2660" s="212" t="n"/>
    </row>
    <row r="2661">
      <c r="B2661" s="291" t="n"/>
      <c r="E2661" s="212" t="n"/>
    </row>
    <row r="2662">
      <c r="B2662" s="291" t="n"/>
      <c r="E2662" s="212" t="n"/>
    </row>
    <row r="2663">
      <c r="B2663" s="291" t="n"/>
      <c r="E2663" s="212" t="n"/>
    </row>
    <row r="2664">
      <c r="B2664" s="291" t="n"/>
      <c r="E2664" s="212" t="n"/>
    </row>
    <row r="2665">
      <c r="B2665" s="291" t="n"/>
      <c r="E2665" s="212" t="n"/>
    </row>
    <row r="2666">
      <c r="B2666" s="291" t="n"/>
      <c r="E2666" s="212" t="n"/>
    </row>
    <row r="2667">
      <c r="B2667" s="291" t="n"/>
      <c r="E2667" s="212" t="n"/>
    </row>
    <row r="2668">
      <c r="B2668" s="291" t="n"/>
      <c r="E2668" s="212" t="n"/>
    </row>
    <row r="2669">
      <c r="B2669" s="291" t="n"/>
      <c r="E2669" s="212" t="n"/>
    </row>
    <row r="2670">
      <c r="B2670" s="291" t="n"/>
      <c r="E2670" s="212" t="n"/>
    </row>
    <row r="2671">
      <c r="B2671" s="291" t="n"/>
      <c r="E2671" s="212" t="n"/>
    </row>
    <row r="2672">
      <c r="B2672" s="291" t="n"/>
      <c r="E2672" s="212" t="n"/>
    </row>
    <row r="2673">
      <c r="B2673" s="291" t="n"/>
      <c r="E2673" s="212" t="n"/>
    </row>
    <row r="2674">
      <c r="B2674" s="291" t="n"/>
      <c r="E2674" s="212" t="n"/>
    </row>
    <row r="2675">
      <c r="B2675" s="291" t="n"/>
      <c r="E2675" s="212" t="n"/>
    </row>
    <row r="2676">
      <c r="B2676" s="291" t="n"/>
      <c r="E2676" s="212" t="n"/>
    </row>
    <row r="2677">
      <c r="B2677" s="291" t="n"/>
      <c r="E2677" s="212" t="n"/>
    </row>
    <row r="2678">
      <c r="B2678" s="291" t="n"/>
      <c r="E2678" s="212" t="n"/>
    </row>
    <row r="2679">
      <c r="B2679" s="291" t="n"/>
      <c r="E2679" s="212" t="n"/>
    </row>
    <row r="2680">
      <c r="B2680" s="291" t="n"/>
      <c r="E2680" s="212" t="n"/>
    </row>
    <row r="2681">
      <c r="B2681" s="291" t="n"/>
      <c r="E2681" s="212" t="n"/>
    </row>
    <row r="2682">
      <c r="B2682" s="291" t="n"/>
      <c r="E2682" s="212" t="n"/>
    </row>
    <row r="2683">
      <c r="B2683" s="291" t="n"/>
      <c r="E2683" s="212" t="n"/>
    </row>
    <row r="2684">
      <c r="B2684" s="291" t="n"/>
      <c r="E2684" s="212" t="n"/>
    </row>
    <row r="2685">
      <c r="B2685" s="291" t="n"/>
      <c r="E2685" s="212" t="n"/>
    </row>
    <row r="2686">
      <c r="B2686" s="291" t="n"/>
      <c r="E2686" s="212" t="n"/>
    </row>
    <row r="2687">
      <c r="B2687" s="291" t="n"/>
      <c r="E2687" s="212" t="n"/>
    </row>
    <row r="2688">
      <c r="B2688" s="291" t="n"/>
      <c r="E2688" s="212" t="n"/>
    </row>
    <row r="2689">
      <c r="B2689" s="291" t="n"/>
      <c r="E2689" s="212" t="n"/>
    </row>
    <row r="2690">
      <c r="B2690" s="291" t="n"/>
      <c r="E2690" s="212" t="n"/>
    </row>
    <row r="2691">
      <c r="B2691" s="291" t="n"/>
      <c r="E2691" s="212" t="n"/>
    </row>
    <row r="2692">
      <c r="B2692" s="291" t="n"/>
      <c r="E2692" s="212" t="n"/>
    </row>
    <row r="2693">
      <c r="B2693" s="291" t="n"/>
      <c r="E2693" s="212" t="n"/>
    </row>
    <row r="2694">
      <c r="B2694" s="291" t="n"/>
      <c r="E2694" s="212" t="n"/>
    </row>
    <row r="2695">
      <c r="B2695" s="291" t="n"/>
      <c r="E2695" s="212" t="n"/>
    </row>
    <row r="2696">
      <c r="B2696" s="291" t="n"/>
      <c r="E2696" s="212" t="n"/>
    </row>
    <row r="2697">
      <c r="B2697" s="291" t="n"/>
      <c r="E2697" s="212" t="n"/>
    </row>
    <row r="2698">
      <c r="B2698" s="291" t="n"/>
      <c r="E2698" s="212" t="n"/>
    </row>
    <row r="2699">
      <c r="B2699" s="291" t="n"/>
      <c r="E2699" s="212" t="n"/>
    </row>
    <row r="2700">
      <c r="B2700" s="291" t="n"/>
      <c r="E2700" s="212" t="n"/>
    </row>
    <row r="2701">
      <c r="B2701" s="291" t="n"/>
      <c r="E2701" s="212" t="n"/>
    </row>
    <row r="2702">
      <c r="B2702" s="291" t="n"/>
      <c r="E2702" s="212" t="n"/>
    </row>
    <row r="2703">
      <c r="B2703" s="291" t="n"/>
      <c r="E2703" s="212" t="n"/>
    </row>
    <row r="2704">
      <c r="B2704" s="291" t="n"/>
      <c r="E2704" s="212" t="n"/>
    </row>
    <row r="2705">
      <c r="B2705" s="291" t="n"/>
      <c r="E2705" s="212" t="n"/>
    </row>
    <row r="2706">
      <c r="B2706" s="291" t="n"/>
      <c r="E2706" s="212" t="n"/>
    </row>
    <row r="2707">
      <c r="B2707" s="291" t="n"/>
      <c r="E2707" s="212" t="n"/>
    </row>
    <row r="2708">
      <c r="B2708" s="291" t="n"/>
      <c r="E2708" s="212" t="n"/>
    </row>
    <row r="2709">
      <c r="B2709" s="291" t="n"/>
      <c r="E2709" s="212" t="n"/>
    </row>
    <row r="2710">
      <c r="B2710" s="291" t="n"/>
      <c r="E2710" s="212" t="n"/>
    </row>
    <row r="2711">
      <c r="B2711" s="291" t="n"/>
      <c r="E2711" s="212" t="n"/>
    </row>
    <row r="2712">
      <c r="B2712" s="291" t="n"/>
      <c r="E2712" s="212" t="n"/>
    </row>
    <row r="2713">
      <c r="B2713" s="291" t="n"/>
      <c r="E2713" s="212" t="n"/>
    </row>
    <row r="2714">
      <c r="B2714" s="291" t="n"/>
      <c r="E2714" s="212" t="n"/>
    </row>
    <row r="2715">
      <c r="B2715" s="291" t="n"/>
      <c r="E2715" s="212" t="n"/>
    </row>
    <row r="2716">
      <c r="B2716" s="291" t="n"/>
      <c r="E2716" s="212" t="n"/>
    </row>
    <row r="2717">
      <c r="B2717" s="291" t="n"/>
      <c r="E2717" s="212" t="n"/>
    </row>
    <row r="2718">
      <c r="B2718" s="291" t="n"/>
      <c r="E2718" s="212" t="n"/>
    </row>
    <row r="2719">
      <c r="B2719" s="291" t="n"/>
      <c r="E2719" s="212" t="n"/>
    </row>
    <row r="2720">
      <c r="B2720" s="291" t="n"/>
      <c r="E2720" s="212" t="n"/>
    </row>
    <row r="2721">
      <c r="B2721" s="291" t="n"/>
      <c r="E2721" s="212" t="n"/>
    </row>
    <row r="2722">
      <c r="B2722" s="291" t="n"/>
      <c r="E2722" s="212" t="n"/>
    </row>
    <row r="2723">
      <c r="B2723" s="291" t="n"/>
      <c r="E2723" s="212" t="n"/>
    </row>
    <row r="2724">
      <c r="B2724" s="291" t="n"/>
      <c r="E2724" s="212" t="n"/>
    </row>
    <row r="2725">
      <c r="B2725" s="291" t="n"/>
      <c r="E2725" s="212" t="n"/>
    </row>
    <row r="2726">
      <c r="B2726" s="291" t="n"/>
      <c r="E2726" s="212" t="n"/>
    </row>
    <row r="2727">
      <c r="B2727" s="291" t="n"/>
      <c r="E2727" s="212" t="n"/>
    </row>
    <row r="2728">
      <c r="B2728" s="291" t="n"/>
      <c r="E2728" s="212" t="n"/>
    </row>
    <row r="2729">
      <c r="B2729" s="291" t="n"/>
      <c r="E2729" s="212" t="n"/>
    </row>
    <row r="2730">
      <c r="B2730" s="291" t="n"/>
      <c r="E2730" s="212" t="n"/>
    </row>
    <row r="2731">
      <c r="B2731" s="291" t="n"/>
      <c r="E2731" s="212" t="n"/>
    </row>
    <row r="2732">
      <c r="B2732" s="291" t="n"/>
      <c r="E2732" s="212" t="n"/>
    </row>
    <row r="2733">
      <c r="B2733" s="291" t="n"/>
      <c r="E2733" s="212" t="n"/>
    </row>
    <row r="2734">
      <c r="B2734" s="291" t="n"/>
      <c r="E2734" s="212" t="n"/>
    </row>
    <row r="2735">
      <c r="B2735" s="291" t="n"/>
      <c r="E2735" s="212" t="n"/>
    </row>
    <row r="2736">
      <c r="B2736" s="291" t="n"/>
      <c r="E2736" s="212" t="n"/>
    </row>
    <row r="2737">
      <c r="B2737" s="291" t="n"/>
      <c r="E2737" s="212" t="n"/>
    </row>
    <row r="2738">
      <c r="B2738" s="291" t="n"/>
      <c r="E2738" s="212" t="n"/>
    </row>
    <row r="2739">
      <c r="B2739" s="291" t="n"/>
      <c r="E2739" s="212" t="n"/>
    </row>
    <row r="2740">
      <c r="B2740" s="291" t="n"/>
      <c r="E2740" s="212" t="n"/>
    </row>
    <row r="2741">
      <c r="B2741" s="291" t="n"/>
      <c r="E2741" s="212" t="n"/>
    </row>
    <row r="2742">
      <c r="B2742" s="291" t="n"/>
      <c r="E2742" s="212" t="n"/>
    </row>
    <row r="2743">
      <c r="B2743" s="291" t="n"/>
      <c r="E2743" s="212" t="n"/>
    </row>
    <row r="2744">
      <c r="B2744" s="291" t="n"/>
      <c r="E2744" s="212" t="n"/>
    </row>
    <row r="2745">
      <c r="B2745" s="291" t="n"/>
      <c r="E2745" s="212" t="n"/>
    </row>
    <row r="2746">
      <c r="B2746" s="291" t="n"/>
      <c r="E2746" s="212" t="n"/>
    </row>
    <row r="2747">
      <c r="B2747" s="291" t="n"/>
      <c r="E2747" s="212" t="n"/>
    </row>
    <row r="2748">
      <c r="B2748" s="291" t="n"/>
      <c r="E2748" s="212" t="n"/>
    </row>
    <row r="2749">
      <c r="B2749" s="291" t="n"/>
      <c r="E2749" s="212" t="n"/>
    </row>
    <row r="2750">
      <c r="B2750" s="291" t="n"/>
      <c r="E2750" s="212" t="n"/>
    </row>
    <row r="2751">
      <c r="B2751" s="291" t="n"/>
      <c r="E2751" s="212" t="n"/>
    </row>
    <row r="2752">
      <c r="B2752" s="291" t="n"/>
      <c r="E2752" s="212" t="n"/>
    </row>
    <row r="2753">
      <c r="B2753" s="291" t="n"/>
      <c r="E2753" s="212" t="n"/>
    </row>
    <row r="2754">
      <c r="B2754" s="291" t="n"/>
      <c r="E2754" s="212" t="n"/>
    </row>
    <row r="2755">
      <c r="B2755" s="291" t="n"/>
      <c r="E2755" s="212" t="n"/>
    </row>
    <row r="2756">
      <c r="B2756" s="291" t="n"/>
      <c r="E2756" s="212" t="n"/>
    </row>
    <row r="2757">
      <c r="B2757" s="291" t="n"/>
      <c r="E2757" s="212" t="n"/>
    </row>
    <row r="2758">
      <c r="B2758" s="291" t="n"/>
      <c r="E2758" s="212" t="n"/>
    </row>
    <row r="2759">
      <c r="B2759" s="291" t="n"/>
      <c r="E2759" s="212" t="n"/>
    </row>
    <row r="2760">
      <c r="B2760" s="291" t="n"/>
      <c r="E2760" s="212" t="n"/>
    </row>
    <row r="2761">
      <c r="B2761" s="291" t="n"/>
      <c r="E2761" s="212" t="n"/>
    </row>
    <row r="2762">
      <c r="B2762" s="291" t="n"/>
      <c r="E2762" s="212" t="n"/>
    </row>
    <row r="2763">
      <c r="B2763" s="291" t="n"/>
      <c r="E2763" s="212" t="n"/>
    </row>
    <row r="2764">
      <c r="B2764" s="291" t="n"/>
      <c r="E2764" s="212" t="n"/>
    </row>
    <row r="2765">
      <c r="B2765" s="291" t="n"/>
      <c r="E2765" s="212" t="n"/>
    </row>
    <row r="2766">
      <c r="B2766" s="291" t="n"/>
      <c r="E2766" s="212" t="n"/>
    </row>
    <row r="2767">
      <c r="B2767" s="291" t="n"/>
      <c r="E2767" s="212" t="n"/>
    </row>
    <row r="2768">
      <c r="B2768" s="291" t="n"/>
      <c r="E2768" s="212" t="n"/>
    </row>
    <row r="2769">
      <c r="B2769" s="291" t="n"/>
      <c r="E2769" s="212" t="n"/>
    </row>
    <row r="2770">
      <c r="B2770" s="291" t="n"/>
      <c r="E2770" s="212" t="n"/>
    </row>
    <row r="2771">
      <c r="B2771" s="291" t="n"/>
      <c r="E2771" s="212" t="n"/>
    </row>
    <row r="2772">
      <c r="B2772" s="291" t="n"/>
      <c r="E2772" s="212" t="n"/>
    </row>
    <row r="2773">
      <c r="B2773" s="291" t="n"/>
      <c r="E2773" s="212" t="n"/>
    </row>
    <row r="2774">
      <c r="B2774" s="291" t="n"/>
      <c r="E2774" s="212" t="n"/>
    </row>
    <row r="2775">
      <c r="B2775" s="291" t="n"/>
      <c r="E2775" s="212" t="n"/>
    </row>
    <row r="2776">
      <c r="B2776" s="291" t="n"/>
      <c r="E2776" s="212" t="n"/>
    </row>
    <row r="2777">
      <c r="B2777" s="291" t="n"/>
      <c r="E2777" s="212" t="n"/>
    </row>
    <row r="2778">
      <c r="B2778" s="291" t="n"/>
      <c r="E2778" s="212" t="n"/>
    </row>
    <row r="2779">
      <c r="B2779" s="291" t="n"/>
      <c r="E2779" s="212" t="n"/>
    </row>
    <row r="2780">
      <c r="B2780" s="291" t="n"/>
      <c r="E2780" s="212" t="n"/>
    </row>
    <row r="2781">
      <c r="B2781" s="291" t="n"/>
      <c r="E2781" s="212" t="n"/>
    </row>
    <row r="2782">
      <c r="B2782" s="291" t="n"/>
      <c r="E2782" s="212" t="n"/>
    </row>
    <row r="2783">
      <c r="B2783" s="291" t="n"/>
      <c r="E2783" s="212" t="n"/>
    </row>
    <row r="2784">
      <c r="B2784" s="291" t="n"/>
      <c r="E2784" s="212" t="n"/>
    </row>
    <row r="2785">
      <c r="B2785" s="291" t="n"/>
      <c r="E2785" s="212" t="n"/>
    </row>
    <row r="2786">
      <c r="B2786" s="291" t="n"/>
      <c r="E2786" s="212" t="n"/>
    </row>
    <row r="2787">
      <c r="B2787" s="291" t="n"/>
      <c r="E2787" s="212" t="n"/>
    </row>
    <row r="2788">
      <c r="B2788" s="291" t="n"/>
      <c r="E2788" s="212" t="n"/>
    </row>
    <row r="2789">
      <c r="B2789" s="291" t="n"/>
      <c r="E2789" s="212" t="n"/>
    </row>
    <row r="2790">
      <c r="B2790" s="291" t="n"/>
      <c r="E2790" s="212" t="n"/>
    </row>
    <row r="2791">
      <c r="B2791" s="291" t="n"/>
      <c r="E2791" s="212" t="n"/>
    </row>
    <row r="2792">
      <c r="B2792" s="291" t="n"/>
      <c r="E2792" s="212" t="n"/>
    </row>
    <row r="2793">
      <c r="B2793" s="291" t="n"/>
      <c r="E2793" s="212" t="n"/>
    </row>
    <row r="2794">
      <c r="B2794" s="291" t="n"/>
      <c r="E2794" s="212" t="n"/>
    </row>
    <row r="2795">
      <c r="B2795" s="291" t="n"/>
      <c r="E2795" s="212" t="n"/>
    </row>
    <row r="2796">
      <c r="B2796" s="291" t="n"/>
      <c r="E2796" s="212" t="n"/>
    </row>
    <row r="2797">
      <c r="B2797" s="291" t="n"/>
      <c r="E2797" s="212" t="n"/>
    </row>
    <row r="2798">
      <c r="B2798" s="291" t="n"/>
      <c r="E2798" s="212" t="n"/>
    </row>
    <row r="2799">
      <c r="B2799" s="291" t="n"/>
      <c r="E2799" s="212" t="n"/>
    </row>
    <row r="2800">
      <c r="B2800" s="291" t="n"/>
      <c r="E2800" s="212" t="n"/>
    </row>
    <row r="2801">
      <c r="B2801" s="291" t="n"/>
      <c r="E2801" s="212" t="n"/>
    </row>
    <row r="2802">
      <c r="B2802" s="291" t="n"/>
      <c r="E2802" s="212" t="n"/>
    </row>
    <row r="2803">
      <c r="B2803" s="291" t="n"/>
      <c r="E2803" s="212" t="n"/>
    </row>
    <row r="2804">
      <c r="B2804" s="291" t="n"/>
      <c r="E2804" s="212" t="n"/>
    </row>
    <row r="2805">
      <c r="B2805" s="291" t="n"/>
      <c r="E2805" s="212" t="n"/>
    </row>
    <row r="2806">
      <c r="B2806" s="291" t="n"/>
      <c r="E2806" s="212" t="n"/>
    </row>
    <row r="2807">
      <c r="B2807" s="291" t="n"/>
      <c r="E2807" s="212" t="n"/>
    </row>
    <row r="2808">
      <c r="B2808" s="291" t="n"/>
      <c r="E2808" s="212" t="n"/>
    </row>
    <row r="2809">
      <c r="B2809" s="291" t="n"/>
      <c r="E2809" s="212" t="n"/>
    </row>
    <row r="2810">
      <c r="B2810" s="291" t="n"/>
      <c r="E2810" s="212" t="n"/>
    </row>
    <row r="2811">
      <c r="B2811" s="291" t="n"/>
      <c r="E2811" s="212" t="n"/>
    </row>
    <row r="2812">
      <c r="B2812" s="291" t="n"/>
      <c r="E2812" s="212" t="n"/>
    </row>
    <row r="2813">
      <c r="B2813" s="291" t="n"/>
      <c r="E2813" s="212" t="n"/>
    </row>
    <row r="2814">
      <c r="B2814" s="291" t="n"/>
      <c r="E2814" s="212" t="n"/>
    </row>
    <row r="2815">
      <c r="B2815" s="291" t="n"/>
      <c r="E2815" s="212" t="n"/>
    </row>
    <row r="2816">
      <c r="B2816" s="291" t="n"/>
      <c r="E2816" s="212" t="n"/>
    </row>
    <row r="2817">
      <c r="B2817" s="291" t="n"/>
      <c r="E2817" s="212" t="n"/>
    </row>
    <row r="2818">
      <c r="B2818" s="291" t="n"/>
      <c r="E2818" s="212" t="n"/>
    </row>
    <row r="2819">
      <c r="B2819" s="291" t="n"/>
      <c r="E2819" s="212" t="n"/>
    </row>
    <row r="2820">
      <c r="B2820" s="291" t="n"/>
      <c r="E2820" s="212" t="n"/>
    </row>
    <row r="2821">
      <c r="B2821" s="291" t="n"/>
      <c r="E2821" s="212" t="n"/>
    </row>
    <row r="2822">
      <c r="B2822" s="291" t="n"/>
      <c r="E2822" s="212" t="n"/>
    </row>
    <row r="2823">
      <c r="B2823" s="291" t="n"/>
      <c r="E2823" s="212" t="n"/>
    </row>
    <row r="2824">
      <c r="B2824" s="291" t="n"/>
      <c r="E2824" s="212" t="n"/>
    </row>
    <row r="2825">
      <c r="B2825" s="291" t="n"/>
      <c r="E2825" s="212" t="n"/>
    </row>
    <row r="2826">
      <c r="B2826" s="291" t="n"/>
      <c r="E2826" s="212" t="n"/>
    </row>
    <row r="2827">
      <c r="B2827" s="291" t="n"/>
      <c r="E2827" s="212" t="n"/>
    </row>
    <row r="2828">
      <c r="B2828" s="291" t="n"/>
      <c r="E2828" s="212" t="n"/>
    </row>
    <row r="2829">
      <c r="B2829" s="291" t="n"/>
      <c r="E2829" s="212" t="n"/>
    </row>
    <row r="2830">
      <c r="B2830" s="291" t="n"/>
      <c r="E2830" s="212" t="n"/>
    </row>
    <row r="2831">
      <c r="B2831" s="291" t="n"/>
      <c r="E2831" s="212" t="n"/>
    </row>
    <row r="2832">
      <c r="B2832" s="291" t="n"/>
      <c r="E2832" s="212" t="n"/>
    </row>
    <row r="2833">
      <c r="B2833" s="291" t="n"/>
      <c r="E2833" s="212" t="n"/>
    </row>
    <row r="2834">
      <c r="B2834" s="291" t="n"/>
      <c r="E2834" s="212" t="n"/>
    </row>
    <row r="2835">
      <c r="B2835" s="291" t="n"/>
      <c r="E2835" s="212" t="n"/>
    </row>
    <row r="2836">
      <c r="B2836" s="291" t="n"/>
      <c r="E2836" s="212" t="n"/>
    </row>
    <row r="2837">
      <c r="B2837" s="291" t="n"/>
      <c r="E2837" s="212" t="n"/>
    </row>
    <row r="2838">
      <c r="B2838" s="291" t="n"/>
      <c r="E2838" s="212" t="n"/>
    </row>
    <row r="2839">
      <c r="B2839" s="291" t="n"/>
      <c r="E2839" s="212" t="n"/>
    </row>
    <row r="2840">
      <c r="B2840" s="291" t="n"/>
      <c r="E2840" s="212" t="n"/>
    </row>
    <row r="2841">
      <c r="B2841" s="291" t="n"/>
      <c r="E2841" s="212" t="n"/>
    </row>
    <row r="2842">
      <c r="B2842" s="291" t="n"/>
      <c r="E2842" s="212" t="n"/>
    </row>
    <row r="2843">
      <c r="B2843" s="291" t="n"/>
      <c r="E2843" s="212" t="n"/>
    </row>
    <row r="2844">
      <c r="B2844" s="291" t="n"/>
      <c r="E2844" s="212" t="n"/>
    </row>
    <row r="2845">
      <c r="B2845" s="291" t="n"/>
      <c r="E2845" s="212" t="n"/>
    </row>
    <row r="2846">
      <c r="B2846" s="291" t="n"/>
      <c r="E2846" s="212" t="n"/>
    </row>
    <row r="2847">
      <c r="B2847" s="291" t="n"/>
      <c r="E2847" s="212" t="n"/>
    </row>
    <row r="2848">
      <c r="B2848" s="291" t="n"/>
      <c r="E2848" s="212" t="n"/>
    </row>
    <row r="2849">
      <c r="B2849" s="291" t="n"/>
      <c r="E2849" s="212" t="n"/>
    </row>
    <row r="2850">
      <c r="B2850" s="291" t="n"/>
      <c r="E2850" s="212" t="n"/>
    </row>
    <row r="2851">
      <c r="B2851" s="291" t="n"/>
      <c r="E2851" s="212" t="n"/>
    </row>
    <row r="2852">
      <c r="B2852" s="291" t="n"/>
      <c r="E2852" s="212" t="n"/>
    </row>
    <row r="2853">
      <c r="B2853" s="291" t="n"/>
      <c r="E2853" s="212" t="n"/>
    </row>
    <row r="2854">
      <c r="B2854" s="291" t="n"/>
      <c r="E2854" s="212" t="n"/>
    </row>
    <row r="2855">
      <c r="B2855" s="291" t="n"/>
      <c r="E2855" s="212" t="n"/>
    </row>
    <row r="2856">
      <c r="B2856" s="291" t="n"/>
      <c r="E2856" s="212" t="n"/>
    </row>
    <row r="2857">
      <c r="B2857" s="291" t="n"/>
      <c r="E2857" s="212" t="n"/>
    </row>
    <row r="2858">
      <c r="B2858" s="291" t="n"/>
      <c r="E2858" s="212" t="n"/>
    </row>
    <row r="2859">
      <c r="B2859" s="291" t="n"/>
      <c r="E2859" s="212" t="n"/>
    </row>
    <row r="2860">
      <c r="B2860" s="291" t="n"/>
      <c r="E2860" s="212" t="n"/>
    </row>
    <row r="2861">
      <c r="B2861" s="291" t="n"/>
      <c r="E2861" s="212" t="n"/>
    </row>
    <row r="2862">
      <c r="B2862" s="291" t="n"/>
      <c r="E2862" s="212" t="n"/>
    </row>
    <row r="2863">
      <c r="B2863" s="291" t="n"/>
      <c r="E2863" s="212" t="n"/>
    </row>
    <row r="2864">
      <c r="B2864" s="291" t="n"/>
      <c r="E2864" s="212" t="n"/>
    </row>
    <row r="2865">
      <c r="B2865" s="291" t="n"/>
      <c r="E2865" s="212" t="n"/>
    </row>
    <row r="2866">
      <c r="B2866" s="291" t="n"/>
      <c r="E2866" s="212" t="n"/>
    </row>
    <row r="2867">
      <c r="B2867" s="291" t="n"/>
      <c r="E2867" s="212" t="n"/>
    </row>
    <row r="2868">
      <c r="B2868" s="291" t="n"/>
      <c r="E2868" s="212" t="n"/>
    </row>
    <row r="2869">
      <c r="B2869" s="291" t="n"/>
      <c r="E2869" s="212" t="n"/>
    </row>
    <row r="2870">
      <c r="B2870" s="291" t="n"/>
      <c r="E2870" s="212" t="n"/>
    </row>
    <row r="2871">
      <c r="B2871" s="291" t="n"/>
      <c r="E2871" s="212" t="n"/>
    </row>
    <row r="2872">
      <c r="B2872" s="291" t="n"/>
      <c r="E2872" s="212" t="n"/>
    </row>
    <row r="2873">
      <c r="B2873" s="291" t="n"/>
      <c r="E2873" s="212" t="n"/>
    </row>
    <row r="2874">
      <c r="B2874" s="291" t="n"/>
      <c r="E2874" s="212" t="n"/>
    </row>
    <row r="2875">
      <c r="B2875" s="291" t="n"/>
      <c r="E2875" s="212" t="n"/>
    </row>
    <row r="2876">
      <c r="B2876" s="291" t="n"/>
      <c r="E2876" s="212" t="n"/>
    </row>
    <row r="2877">
      <c r="B2877" s="291" t="n"/>
      <c r="E2877" s="212" t="n"/>
    </row>
    <row r="2878">
      <c r="B2878" s="291" t="n"/>
      <c r="E2878" s="212" t="n"/>
    </row>
    <row r="2879">
      <c r="B2879" s="291" t="n"/>
      <c r="E2879" s="212" t="n"/>
    </row>
    <row r="2880">
      <c r="B2880" s="291" t="n"/>
      <c r="E2880" s="212" t="n"/>
    </row>
    <row r="2881">
      <c r="B2881" s="291" t="n"/>
      <c r="E2881" s="212" t="n"/>
    </row>
    <row r="2882">
      <c r="B2882" s="291" t="n"/>
      <c r="E2882" s="212" t="n"/>
    </row>
    <row r="2883">
      <c r="B2883" s="291" t="n"/>
      <c r="E2883" s="212" t="n"/>
    </row>
    <row r="2884">
      <c r="B2884" s="291" t="n"/>
      <c r="E2884" s="212" t="n"/>
    </row>
    <row r="2885">
      <c r="B2885" s="291" t="n"/>
      <c r="E2885" s="212" t="n"/>
    </row>
    <row r="2886">
      <c r="B2886" s="291" t="n"/>
      <c r="E2886" s="212" t="n"/>
    </row>
    <row r="2887">
      <c r="B2887" s="291" t="n"/>
      <c r="E2887" s="212" t="n"/>
    </row>
    <row r="2888">
      <c r="B2888" s="291" t="n"/>
      <c r="E2888" s="212" t="n"/>
    </row>
    <row r="2889">
      <c r="B2889" s="291" t="n"/>
      <c r="E2889" s="212" t="n"/>
    </row>
    <row r="2890">
      <c r="B2890" s="291" t="n"/>
      <c r="E2890" s="212" t="n"/>
    </row>
    <row r="2891">
      <c r="B2891" s="291" t="n"/>
      <c r="E2891" s="212" t="n"/>
    </row>
    <row r="2892">
      <c r="B2892" s="291" t="n"/>
      <c r="E2892" s="212" t="n"/>
    </row>
    <row r="2893">
      <c r="B2893" s="291" t="n"/>
      <c r="E2893" s="212" t="n"/>
    </row>
    <row r="2894">
      <c r="B2894" s="291" t="n"/>
      <c r="E2894" s="212" t="n"/>
    </row>
    <row r="2895">
      <c r="B2895" s="291" t="n"/>
      <c r="E2895" s="212" t="n"/>
    </row>
    <row r="2896">
      <c r="B2896" s="291" t="n"/>
      <c r="E2896" s="212" t="n"/>
    </row>
    <row r="2897">
      <c r="B2897" s="291" t="n"/>
      <c r="E2897" s="212" t="n"/>
    </row>
    <row r="2898">
      <c r="B2898" s="291" t="n"/>
      <c r="E2898" s="212" t="n"/>
    </row>
    <row r="2899">
      <c r="B2899" s="291" t="n"/>
      <c r="E2899" s="212" t="n"/>
    </row>
    <row r="2900">
      <c r="B2900" s="291" t="n"/>
      <c r="E2900" s="212" t="n"/>
    </row>
    <row r="2901">
      <c r="B2901" s="291" t="n"/>
      <c r="E2901" s="212" t="n"/>
    </row>
    <row r="2902">
      <c r="B2902" s="291" t="n"/>
      <c r="E2902" s="212" t="n"/>
    </row>
    <row r="2903">
      <c r="B2903" s="291" t="n"/>
      <c r="E2903" s="212" t="n"/>
    </row>
    <row r="2904">
      <c r="B2904" s="291" t="n"/>
      <c r="E2904" s="212" t="n"/>
    </row>
    <row r="2905">
      <c r="B2905" s="291" t="n"/>
      <c r="E2905" s="212" t="n"/>
    </row>
    <row r="2906">
      <c r="B2906" s="291" t="n"/>
      <c r="E2906" s="212" t="n"/>
    </row>
    <row r="2907">
      <c r="B2907" s="291" t="n"/>
      <c r="E2907" s="212" t="n"/>
    </row>
    <row r="2908">
      <c r="B2908" s="291" t="n"/>
      <c r="E2908" s="212" t="n"/>
    </row>
    <row r="2909">
      <c r="B2909" s="291" t="n"/>
      <c r="E2909" s="212" t="n"/>
    </row>
    <row r="2910">
      <c r="B2910" s="291" t="n"/>
      <c r="E2910" s="212" t="n"/>
    </row>
    <row r="2911">
      <c r="B2911" s="291" t="n"/>
      <c r="E2911" s="212" t="n"/>
    </row>
    <row r="2912">
      <c r="B2912" s="291" t="n"/>
      <c r="E2912" s="212" t="n"/>
    </row>
    <row r="2913">
      <c r="B2913" s="291" t="n"/>
      <c r="E2913" s="212" t="n"/>
    </row>
    <row r="2914">
      <c r="B2914" s="291" t="n"/>
      <c r="E2914" s="212" t="n"/>
    </row>
    <row r="2915">
      <c r="B2915" s="291" t="n"/>
      <c r="E2915" s="212" t="n"/>
    </row>
    <row r="2916">
      <c r="B2916" s="291" t="n"/>
      <c r="E2916" s="212" t="n"/>
    </row>
    <row r="2917">
      <c r="B2917" s="291" t="n"/>
      <c r="E2917" s="212" t="n"/>
    </row>
    <row r="2918">
      <c r="B2918" s="291" t="n"/>
      <c r="E2918" s="212" t="n"/>
    </row>
    <row r="2919">
      <c r="B2919" s="291" t="n"/>
      <c r="E2919" s="212" t="n"/>
    </row>
    <row r="2920">
      <c r="B2920" s="291" t="n"/>
      <c r="E2920" s="212" t="n"/>
    </row>
    <row r="2921">
      <c r="B2921" s="291" t="n"/>
      <c r="E2921" s="212" t="n"/>
    </row>
    <row r="2922">
      <c r="B2922" s="291" t="n"/>
      <c r="E2922" s="212" t="n"/>
    </row>
    <row r="2923">
      <c r="B2923" s="291" t="n"/>
      <c r="E2923" s="212" t="n"/>
    </row>
    <row r="2924">
      <c r="B2924" s="291" t="n"/>
      <c r="E2924" s="212" t="n"/>
    </row>
    <row r="2925">
      <c r="B2925" s="291" t="n"/>
      <c r="E2925" s="212" t="n"/>
    </row>
    <row r="2926">
      <c r="B2926" s="291" t="n"/>
      <c r="E2926" s="212" t="n"/>
    </row>
    <row r="2927">
      <c r="B2927" s="291" t="n"/>
      <c r="E2927" s="212" t="n"/>
    </row>
    <row r="2928">
      <c r="B2928" s="291" t="n"/>
      <c r="E2928" s="212" t="n"/>
    </row>
    <row r="2929">
      <c r="B2929" s="291" t="n"/>
      <c r="E2929" s="212" t="n"/>
    </row>
    <row r="2930">
      <c r="B2930" s="291" t="n"/>
      <c r="E2930" s="212" t="n"/>
    </row>
    <row r="2931">
      <c r="B2931" s="291" t="n"/>
      <c r="E2931" s="212" t="n"/>
    </row>
    <row r="2932">
      <c r="B2932" s="291" t="n"/>
      <c r="E2932" s="212" t="n"/>
    </row>
    <row r="2933">
      <c r="B2933" s="291" t="n"/>
      <c r="E2933" s="212" t="n"/>
    </row>
    <row r="2934">
      <c r="B2934" s="291" t="n"/>
      <c r="E2934" s="212" t="n"/>
    </row>
    <row r="2935">
      <c r="B2935" s="291" t="n"/>
      <c r="E2935" s="212" t="n"/>
    </row>
    <row r="2936">
      <c r="B2936" s="291" t="n"/>
      <c r="E2936" s="212" t="n"/>
    </row>
    <row r="2937">
      <c r="B2937" s="291" t="n"/>
      <c r="E2937" s="212" t="n"/>
    </row>
    <row r="2938">
      <c r="B2938" s="291" t="n"/>
      <c r="E2938" s="212" t="n"/>
    </row>
    <row r="2939">
      <c r="B2939" s="291" t="n"/>
      <c r="E2939" s="212" t="n"/>
    </row>
    <row r="2940">
      <c r="B2940" s="291" t="n"/>
      <c r="E2940" s="212" t="n"/>
    </row>
    <row r="2941">
      <c r="B2941" s="291" t="n"/>
      <c r="E2941" s="212" t="n"/>
    </row>
    <row r="2942">
      <c r="B2942" s="291" t="n"/>
      <c r="E2942" s="212" t="n"/>
    </row>
    <row r="2943">
      <c r="B2943" s="291" t="n"/>
      <c r="E2943" s="212" t="n"/>
    </row>
    <row r="2944">
      <c r="B2944" s="291" t="n"/>
      <c r="E2944" s="212" t="n"/>
    </row>
    <row r="2945">
      <c r="B2945" s="291" t="n"/>
      <c r="E2945" s="212" t="n"/>
    </row>
    <row r="2946">
      <c r="B2946" s="291" t="n"/>
      <c r="E2946" s="212" t="n"/>
    </row>
    <row r="2947">
      <c r="B2947" s="291" t="n"/>
      <c r="E2947" s="212" t="n"/>
    </row>
    <row r="2948">
      <c r="B2948" s="291" t="n"/>
      <c r="E2948" s="212" t="n"/>
    </row>
    <row r="2949">
      <c r="B2949" s="291" t="n"/>
      <c r="E2949" s="212" t="n"/>
    </row>
    <row r="2950">
      <c r="B2950" s="291" t="n"/>
      <c r="E2950" s="212" t="n"/>
    </row>
    <row r="2951">
      <c r="B2951" s="291" t="n"/>
      <c r="E2951" s="212" t="n"/>
    </row>
    <row r="2952">
      <c r="B2952" s="291" t="n"/>
      <c r="E2952" s="212" t="n"/>
    </row>
    <row r="2953">
      <c r="B2953" s="291" t="n"/>
      <c r="E2953" s="212" t="n"/>
    </row>
    <row r="2954">
      <c r="B2954" s="291" t="n"/>
      <c r="E2954" s="212" t="n"/>
    </row>
    <row r="2955">
      <c r="B2955" s="291" t="n"/>
      <c r="E2955" s="212" t="n"/>
    </row>
    <row r="2956">
      <c r="B2956" s="291" t="n"/>
      <c r="E2956" s="212" t="n"/>
    </row>
    <row r="2957">
      <c r="B2957" s="291" t="n"/>
      <c r="E2957" s="212" t="n"/>
    </row>
    <row r="2958">
      <c r="B2958" s="291" t="n"/>
      <c r="E2958" s="212" t="n"/>
    </row>
    <row r="2959">
      <c r="B2959" s="291" t="n"/>
      <c r="E2959" s="212" t="n"/>
    </row>
    <row r="2960">
      <c r="B2960" s="291" t="n"/>
      <c r="E2960" s="212" t="n"/>
    </row>
    <row r="2961">
      <c r="B2961" s="291" t="n"/>
      <c r="E2961" s="212" t="n"/>
    </row>
    <row r="2962">
      <c r="B2962" s="291" t="n"/>
      <c r="E2962" s="212" t="n"/>
    </row>
    <row r="2963">
      <c r="B2963" s="291" t="n"/>
      <c r="E2963" s="212" t="n"/>
    </row>
    <row r="2964">
      <c r="B2964" s="291" t="n"/>
      <c r="E2964" s="212" t="n"/>
    </row>
    <row r="2965">
      <c r="B2965" s="291" t="n"/>
      <c r="E2965" s="212" t="n"/>
    </row>
    <row r="2966">
      <c r="B2966" s="291" t="n"/>
      <c r="E2966" s="212" t="n"/>
    </row>
    <row r="2967">
      <c r="B2967" s="291" t="n"/>
      <c r="E2967" s="212" t="n"/>
    </row>
    <row r="2968">
      <c r="B2968" s="291" t="n"/>
      <c r="E2968" s="212" t="n"/>
    </row>
    <row r="2969">
      <c r="B2969" s="291" t="n"/>
      <c r="E2969" s="212" t="n"/>
    </row>
    <row r="2970">
      <c r="B2970" s="291" t="n"/>
      <c r="E2970" s="212" t="n"/>
    </row>
    <row r="2971">
      <c r="B2971" s="291" t="n"/>
      <c r="E2971" s="212" t="n"/>
    </row>
    <row r="2972">
      <c r="B2972" s="291" t="n"/>
      <c r="E2972" s="212" t="n"/>
    </row>
    <row r="2973">
      <c r="B2973" s="291" t="n"/>
      <c r="E2973" s="212" t="n"/>
    </row>
    <row r="2974">
      <c r="B2974" s="291" t="n"/>
      <c r="E2974" s="212" t="n"/>
    </row>
    <row r="2975">
      <c r="B2975" s="291" t="n"/>
      <c r="E2975" s="212" t="n"/>
    </row>
    <row r="2976">
      <c r="B2976" s="291" t="n"/>
      <c r="E2976" s="212" t="n"/>
    </row>
    <row r="2977">
      <c r="B2977" s="291" t="n"/>
      <c r="E2977" s="212" t="n"/>
    </row>
    <row r="2978">
      <c r="B2978" s="291" t="n"/>
      <c r="E2978" s="212" t="n"/>
    </row>
    <row r="2979">
      <c r="B2979" s="291" t="n"/>
      <c r="E2979" s="212" t="n"/>
    </row>
    <row r="2980">
      <c r="B2980" s="291" t="n"/>
      <c r="E2980" s="212" t="n"/>
    </row>
    <row r="2981">
      <c r="B2981" s="291" t="n"/>
      <c r="E2981" s="212" t="n"/>
    </row>
    <row r="2982">
      <c r="B2982" s="291" t="n"/>
      <c r="E2982" s="212" t="n"/>
    </row>
    <row r="2983">
      <c r="B2983" s="291" t="n"/>
      <c r="E2983" s="212" t="n"/>
    </row>
    <row r="2984">
      <c r="B2984" s="291" t="n"/>
      <c r="E2984" s="212" t="n"/>
    </row>
    <row r="2985">
      <c r="B2985" s="291" t="n"/>
      <c r="E2985" s="212" t="n"/>
    </row>
    <row r="2986">
      <c r="B2986" s="291" t="n"/>
      <c r="E2986" s="212" t="n"/>
    </row>
    <row r="2987">
      <c r="B2987" s="291" t="n"/>
      <c r="E2987" s="212" t="n"/>
    </row>
    <row r="2988">
      <c r="B2988" s="291" t="n"/>
      <c r="E2988" s="212" t="n"/>
    </row>
    <row r="2989">
      <c r="B2989" s="291" t="n"/>
      <c r="E2989" s="212" t="n"/>
    </row>
    <row r="2990">
      <c r="B2990" s="291" t="n"/>
      <c r="E2990" s="212" t="n"/>
    </row>
    <row r="2991">
      <c r="B2991" s="291" t="n"/>
      <c r="E2991" s="212" t="n"/>
    </row>
    <row r="2992">
      <c r="B2992" s="291" t="n"/>
      <c r="E2992" s="212" t="n"/>
    </row>
    <row r="2993">
      <c r="B2993" s="291" t="n"/>
      <c r="E2993" s="212" t="n"/>
    </row>
    <row r="2994">
      <c r="B2994" s="291" t="n"/>
      <c r="E2994" s="212" t="n"/>
    </row>
    <row r="2995">
      <c r="B2995" s="291" t="n"/>
      <c r="E2995" s="212" t="n"/>
    </row>
    <row r="2996">
      <c r="B2996" s="291" t="n"/>
      <c r="E2996" s="212" t="n"/>
    </row>
    <row r="2997">
      <c r="B2997" s="291" t="n"/>
      <c r="E2997" s="212" t="n"/>
    </row>
    <row r="2998">
      <c r="B2998" s="291" t="n"/>
      <c r="E2998" s="212" t="n"/>
    </row>
    <row r="2999">
      <c r="B2999" s="291" t="n"/>
      <c r="E2999" s="212" t="n"/>
    </row>
    <row r="3000">
      <c r="B3000" s="291" t="n"/>
      <c r="E3000" s="212" t="n"/>
    </row>
    <row r="3001">
      <c r="B3001" s="291" t="n"/>
      <c r="E3001" s="212" t="n"/>
    </row>
    <row r="3002">
      <c r="B3002" s="291" t="n"/>
      <c r="E3002" s="212" t="n"/>
    </row>
    <row r="3003">
      <c r="B3003" s="291" t="n"/>
      <c r="E3003" s="212" t="n"/>
    </row>
    <row r="3004">
      <c r="B3004" s="291" t="n"/>
      <c r="E3004" s="212" t="n"/>
    </row>
    <row r="3005">
      <c r="B3005" s="291" t="n"/>
      <c r="E3005" s="212" t="n"/>
    </row>
    <row r="3006">
      <c r="B3006" s="291" t="n"/>
      <c r="E3006" s="212" t="n"/>
    </row>
    <row r="3007">
      <c r="B3007" s="291" t="n"/>
      <c r="E3007" s="212" t="n"/>
    </row>
    <row r="3008">
      <c r="B3008" s="291" t="n"/>
      <c r="E3008" s="212" t="n"/>
    </row>
    <row r="3009">
      <c r="B3009" s="291" t="n"/>
      <c r="E3009" s="212" t="n"/>
    </row>
    <row r="3010">
      <c r="B3010" s="291" t="n"/>
      <c r="E3010" s="212" t="n"/>
    </row>
    <row r="3011">
      <c r="B3011" s="291" t="n"/>
      <c r="E3011" s="212" t="n"/>
    </row>
    <row r="3012">
      <c r="B3012" s="291" t="n"/>
      <c r="E3012" s="212" t="n"/>
    </row>
    <row r="3013">
      <c r="B3013" s="291" t="n"/>
      <c r="E3013" s="212" t="n"/>
    </row>
    <row r="3014">
      <c r="B3014" s="291" t="n"/>
      <c r="E3014" s="212" t="n"/>
    </row>
    <row r="3015">
      <c r="B3015" s="291" t="n"/>
      <c r="E3015" s="212" t="n"/>
    </row>
    <row r="3016">
      <c r="B3016" s="291" t="n"/>
      <c r="E3016" s="212" t="n"/>
    </row>
    <row r="3017">
      <c r="B3017" s="291" t="n"/>
      <c r="E3017" s="212" t="n"/>
    </row>
    <row r="3018">
      <c r="B3018" s="291" t="n"/>
      <c r="E3018" s="212" t="n"/>
    </row>
    <row r="3019">
      <c r="B3019" s="291" t="n"/>
      <c r="E3019" s="212" t="n"/>
    </row>
    <row r="3020">
      <c r="B3020" s="291" t="n"/>
      <c r="E3020" s="212" t="n"/>
    </row>
    <row r="3021">
      <c r="B3021" s="291" t="n"/>
      <c r="E3021" s="212" t="n"/>
    </row>
    <row r="3022">
      <c r="B3022" s="291" t="n"/>
      <c r="E3022" s="212" t="n"/>
    </row>
    <row r="3023">
      <c r="B3023" s="291" t="n"/>
      <c r="E3023" s="212" t="n"/>
    </row>
    <row r="3024">
      <c r="B3024" s="291" t="n"/>
      <c r="E3024" s="212" t="n"/>
    </row>
    <row r="3025">
      <c r="B3025" s="291" t="n"/>
      <c r="E3025" s="212" t="n"/>
    </row>
    <row r="3026">
      <c r="B3026" s="291" t="n"/>
      <c r="E3026" s="212" t="n"/>
    </row>
    <row r="3027">
      <c r="B3027" s="291" t="n"/>
      <c r="E3027" s="212" t="n"/>
    </row>
    <row r="3028">
      <c r="B3028" s="291" t="n"/>
      <c r="E3028" s="212" t="n"/>
    </row>
    <row r="3029">
      <c r="B3029" s="291" t="n"/>
      <c r="E3029" s="212" t="n"/>
    </row>
    <row r="3030">
      <c r="B3030" s="291" t="n"/>
      <c r="E3030" s="212" t="n"/>
    </row>
    <row r="3031">
      <c r="B3031" s="291" t="n"/>
      <c r="E3031" s="212" t="n"/>
    </row>
    <row r="3032">
      <c r="B3032" s="291" t="n"/>
      <c r="E3032" s="212" t="n"/>
    </row>
    <row r="3033">
      <c r="B3033" s="291" t="n"/>
      <c r="E3033" s="212" t="n"/>
    </row>
    <row r="3034">
      <c r="B3034" s="291" t="n"/>
      <c r="E3034" s="212" t="n"/>
    </row>
    <row r="3035">
      <c r="B3035" s="291" t="n"/>
      <c r="E3035" s="212" t="n"/>
    </row>
    <row r="3036">
      <c r="B3036" s="291" t="n"/>
      <c r="E3036" s="212" t="n"/>
    </row>
    <row r="3037">
      <c r="B3037" s="291" t="n"/>
      <c r="E3037" s="212" t="n"/>
    </row>
    <row r="3038">
      <c r="B3038" s="291" t="n"/>
      <c r="E3038" s="212" t="n"/>
    </row>
    <row r="3039">
      <c r="B3039" s="291" t="n"/>
      <c r="E3039" s="212" t="n"/>
    </row>
    <row r="3040">
      <c r="B3040" s="291" t="n"/>
      <c r="E3040" s="212" t="n"/>
    </row>
    <row r="3041">
      <c r="B3041" s="291" t="n"/>
      <c r="E3041" s="212" t="n"/>
    </row>
    <row r="3042">
      <c r="B3042" s="291" t="n"/>
      <c r="E3042" s="212" t="n"/>
    </row>
    <row r="3043">
      <c r="B3043" s="291" t="n"/>
      <c r="E3043" s="212" t="n"/>
    </row>
    <row r="3044">
      <c r="B3044" s="291" t="n"/>
      <c r="E3044" s="212" t="n"/>
    </row>
    <row r="3045">
      <c r="B3045" s="291" t="n"/>
      <c r="E3045" s="212" t="n"/>
    </row>
    <row r="3046">
      <c r="B3046" s="291" t="n"/>
      <c r="E3046" s="212" t="n"/>
    </row>
    <row r="3047">
      <c r="B3047" s="291" t="n"/>
      <c r="E3047" s="212" t="n"/>
    </row>
    <row r="3048">
      <c r="B3048" s="291" t="n"/>
      <c r="E3048" s="212" t="n"/>
    </row>
    <row r="3049">
      <c r="B3049" s="291" t="n"/>
      <c r="E3049" s="212" t="n"/>
    </row>
    <row r="3050">
      <c r="B3050" s="291" t="n"/>
      <c r="E3050" s="212" t="n"/>
    </row>
    <row r="3051">
      <c r="B3051" s="291" t="n"/>
      <c r="E3051" s="212" t="n"/>
    </row>
    <row r="3052">
      <c r="B3052" s="291" t="n"/>
      <c r="E3052" s="212" t="n"/>
    </row>
    <row r="3053">
      <c r="B3053" s="291" t="n"/>
      <c r="E3053" s="212" t="n"/>
    </row>
    <row r="3054">
      <c r="B3054" s="291" t="n"/>
      <c r="E3054" s="212" t="n"/>
    </row>
    <row r="3055">
      <c r="B3055" s="291" t="n"/>
      <c r="E3055" s="212" t="n"/>
    </row>
    <row r="3056">
      <c r="B3056" s="291" t="n"/>
      <c r="E3056" s="212" t="n"/>
    </row>
    <row r="3057">
      <c r="B3057" s="291" t="n"/>
      <c r="E3057" s="212" t="n"/>
    </row>
    <row r="3058">
      <c r="B3058" s="291" t="n"/>
      <c r="E3058" s="212" t="n"/>
    </row>
    <row r="3059">
      <c r="B3059" s="291" t="n"/>
      <c r="E3059" s="212" t="n"/>
    </row>
    <row r="3060">
      <c r="B3060" s="291" t="n"/>
      <c r="E3060" s="212" t="n"/>
    </row>
    <row r="3061">
      <c r="B3061" s="291" t="n"/>
      <c r="E3061" s="212" t="n"/>
    </row>
    <row r="3062">
      <c r="B3062" s="291" t="n"/>
      <c r="E3062" s="212" t="n"/>
    </row>
    <row r="3063">
      <c r="B3063" s="291" t="n"/>
      <c r="E3063" s="212" t="n"/>
    </row>
    <row r="3064">
      <c r="B3064" s="291" t="n"/>
      <c r="E3064" s="212" t="n"/>
    </row>
    <row r="3065">
      <c r="B3065" s="291" t="n"/>
      <c r="E3065" s="212" t="n"/>
    </row>
    <row r="3066">
      <c r="B3066" s="291" t="n"/>
      <c r="E3066" s="212" t="n"/>
    </row>
    <row r="3067">
      <c r="B3067" s="291" t="n"/>
      <c r="E3067" s="212" t="n"/>
    </row>
    <row r="3068">
      <c r="B3068" s="291" t="n"/>
      <c r="E3068" s="212" t="n"/>
    </row>
    <row r="3069">
      <c r="B3069" s="291" t="n"/>
      <c r="E3069" s="212" t="n"/>
    </row>
    <row r="3070">
      <c r="B3070" s="291" t="n"/>
      <c r="E3070" s="212" t="n"/>
    </row>
    <row r="3071">
      <c r="B3071" s="291" t="n"/>
      <c r="E3071" s="212" t="n"/>
    </row>
    <row r="3072">
      <c r="B3072" s="291" t="n"/>
      <c r="E3072" s="212" t="n"/>
    </row>
    <row r="3073">
      <c r="B3073" s="291" t="n"/>
      <c r="E3073" s="212" t="n"/>
    </row>
    <row r="3074">
      <c r="B3074" s="291" t="n"/>
      <c r="E3074" s="212" t="n"/>
    </row>
    <row r="3075">
      <c r="B3075" s="291" t="n"/>
      <c r="E3075" s="212" t="n"/>
    </row>
    <row r="3076">
      <c r="B3076" s="291" t="n"/>
      <c r="E3076" s="212" t="n"/>
    </row>
    <row r="3077">
      <c r="B3077" s="291" t="n"/>
      <c r="E3077" s="212" t="n"/>
    </row>
    <row r="3078">
      <c r="B3078" s="291" t="n"/>
      <c r="E3078" s="212" t="n"/>
    </row>
    <row r="3079">
      <c r="B3079" s="291" t="n"/>
      <c r="E3079" s="212" t="n"/>
    </row>
    <row r="3080">
      <c r="B3080" s="291" t="n"/>
      <c r="E3080" s="212" t="n"/>
    </row>
    <row r="3081">
      <c r="B3081" s="291" t="n"/>
      <c r="E3081" s="212" t="n"/>
    </row>
    <row r="3082">
      <c r="B3082" s="291" t="n"/>
      <c r="E3082" s="212" t="n"/>
    </row>
    <row r="3083">
      <c r="B3083" s="291" t="n"/>
      <c r="E3083" s="212" t="n"/>
    </row>
    <row r="3084">
      <c r="B3084" s="291" t="n"/>
      <c r="E3084" s="212" t="n"/>
    </row>
    <row r="3085">
      <c r="B3085" s="291" t="n"/>
      <c r="E3085" s="212" t="n"/>
    </row>
    <row r="3086">
      <c r="B3086" s="291" t="n"/>
      <c r="E3086" s="212" t="n"/>
    </row>
    <row r="3087">
      <c r="B3087" s="291" t="n"/>
      <c r="E3087" s="212" t="n"/>
    </row>
    <row r="3088">
      <c r="B3088" s="291" t="n"/>
      <c r="E3088" s="212" t="n"/>
    </row>
    <row r="3089">
      <c r="B3089" s="291" t="n"/>
      <c r="E3089" s="212" t="n"/>
    </row>
    <row r="3090">
      <c r="B3090" s="291" t="n"/>
      <c r="E3090" s="212" t="n"/>
    </row>
    <row r="3091">
      <c r="B3091" s="291" t="n"/>
      <c r="E3091" s="212" t="n"/>
    </row>
    <row r="3092">
      <c r="B3092" s="291" t="n"/>
      <c r="E3092" s="212" t="n"/>
    </row>
    <row r="3093">
      <c r="B3093" s="291" t="n"/>
      <c r="E3093" s="212" t="n"/>
    </row>
    <row r="3094">
      <c r="B3094" s="291" t="n"/>
      <c r="E3094" s="212" t="n"/>
    </row>
    <row r="3095">
      <c r="B3095" s="291" t="n"/>
      <c r="E3095" s="212" t="n"/>
    </row>
    <row r="3096">
      <c r="B3096" s="291" t="n"/>
      <c r="E3096" s="212" t="n"/>
    </row>
    <row r="3097">
      <c r="B3097" s="291" t="n"/>
      <c r="E3097" s="212" t="n"/>
    </row>
    <row r="3098">
      <c r="B3098" s="291" t="n"/>
      <c r="E3098" s="212" t="n"/>
    </row>
    <row r="3099">
      <c r="B3099" s="291" t="n"/>
      <c r="E3099" s="212" t="n"/>
    </row>
    <row r="3100">
      <c r="B3100" s="291" t="n"/>
      <c r="E3100" s="212" t="n"/>
    </row>
    <row r="3101">
      <c r="B3101" s="291" t="n"/>
      <c r="E3101" s="212" t="n"/>
    </row>
    <row r="3102">
      <c r="B3102" s="291" t="n"/>
      <c r="E3102" s="212" t="n"/>
    </row>
    <row r="3103">
      <c r="B3103" s="291" t="n"/>
      <c r="E3103" s="212" t="n"/>
    </row>
    <row r="3104">
      <c r="B3104" s="291" t="n"/>
      <c r="E3104" s="212" t="n"/>
    </row>
    <row r="3105">
      <c r="B3105" s="291" t="n"/>
      <c r="E3105" s="212" t="n"/>
    </row>
    <row r="3106">
      <c r="B3106" s="291" t="n"/>
      <c r="E3106" s="212" t="n"/>
    </row>
    <row r="3107">
      <c r="B3107" s="291" t="n"/>
      <c r="E3107" s="212" t="n"/>
    </row>
    <row r="3108">
      <c r="B3108" s="291" t="n"/>
      <c r="E3108" s="212" t="n"/>
    </row>
    <row r="3109">
      <c r="B3109" s="291" t="n"/>
      <c r="E3109" s="212" t="n"/>
    </row>
    <row r="3110">
      <c r="B3110" s="291" t="n"/>
      <c r="E3110" s="212" t="n"/>
    </row>
    <row r="3111">
      <c r="B3111" s="291" t="n"/>
      <c r="E3111" s="212" t="n"/>
    </row>
    <row r="3112">
      <c r="B3112" s="291" t="n"/>
      <c r="E3112" s="212" t="n"/>
    </row>
    <row r="3113">
      <c r="B3113" s="291" t="n"/>
      <c r="E3113" s="212" t="n"/>
    </row>
    <row r="3114">
      <c r="B3114" s="291" t="n"/>
      <c r="E3114" s="212" t="n"/>
    </row>
    <row r="3115">
      <c r="B3115" s="291" t="n"/>
      <c r="E3115" s="212" t="n"/>
    </row>
    <row r="3116">
      <c r="B3116" s="291" t="n"/>
      <c r="E3116" s="212" t="n"/>
    </row>
    <row r="3117">
      <c r="B3117" s="291" t="n"/>
      <c r="E3117" s="212" t="n"/>
    </row>
    <row r="3118">
      <c r="B3118" s="291" t="n"/>
      <c r="E3118" s="212" t="n"/>
    </row>
    <row r="3119">
      <c r="B3119" s="291" t="n"/>
      <c r="E3119" s="212" t="n"/>
    </row>
    <row r="3120">
      <c r="B3120" s="291" t="n"/>
      <c r="E3120" s="212" t="n"/>
    </row>
    <row r="3121">
      <c r="B3121" s="291" t="n"/>
      <c r="E3121" s="212" t="n"/>
    </row>
    <row r="3122">
      <c r="B3122" s="291" t="n"/>
      <c r="E3122" s="212" t="n"/>
    </row>
    <row r="3123">
      <c r="B3123" s="291" t="n"/>
      <c r="E3123" s="212" t="n"/>
    </row>
    <row r="3124">
      <c r="B3124" s="291" t="n"/>
      <c r="E3124" s="212" t="n"/>
    </row>
    <row r="3125">
      <c r="B3125" s="291" t="n"/>
      <c r="E3125" s="212" t="n"/>
    </row>
    <row r="3126">
      <c r="B3126" s="291" t="n"/>
      <c r="E3126" s="212" t="n"/>
    </row>
    <row r="3127">
      <c r="B3127" s="291" t="n"/>
      <c r="E3127" s="212" t="n"/>
    </row>
    <row r="3128">
      <c r="B3128" s="291" t="n"/>
      <c r="E3128" s="212" t="n"/>
    </row>
    <row r="3129">
      <c r="B3129" s="291" t="n"/>
      <c r="E3129" s="212" t="n"/>
    </row>
    <row r="3130">
      <c r="B3130" s="291" t="n"/>
      <c r="E3130" s="212" t="n"/>
    </row>
    <row r="3131">
      <c r="B3131" s="291" t="n"/>
      <c r="E3131" s="212" t="n"/>
    </row>
    <row r="3132">
      <c r="B3132" s="291" t="n"/>
      <c r="E3132" s="212" t="n"/>
    </row>
    <row r="3133">
      <c r="B3133" s="291" t="n"/>
      <c r="E3133" s="212" t="n"/>
    </row>
    <row r="3134">
      <c r="B3134" s="291" t="n"/>
      <c r="E3134" s="212" t="n"/>
    </row>
    <row r="3135">
      <c r="B3135" s="291" t="n"/>
      <c r="E3135" s="212" t="n"/>
    </row>
    <row r="3136">
      <c r="B3136" s="291" t="n"/>
      <c r="E3136" s="212" t="n"/>
    </row>
    <row r="3137">
      <c r="B3137" s="291" t="n"/>
      <c r="E3137" s="212" t="n"/>
    </row>
    <row r="3138">
      <c r="B3138" s="291" t="n"/>
      <c r="E3138" s="212" t="n"/>
    </row>
    <row r="3139">
      <c r="B3139" s="291" t="n"/>
      <c r="E3139" s="212" t="n"/>
    </row>
    <row r="3140">
      <c r="B3140" s="291" t="n"/>
      <c r="E3140" s="212" t="n"/>
    </row>
    <row r="3141">
      <c r="B3141" s="291" t="n"/>
      <c r="E3141" s="212" t="n"/>
    </row>
    <row r="3142">
      <c r="B3142" s="291" t="n"/>
      <c r="E3142" s="212" t="n"/>
    </row>
    <row r="3143">
      <c r="B3143" s="291" t="n"/>
      <c r="E3143" s="212" t="n"/>
    </row>
    <row r="3144">
      <c r="B3144" s="291" t="n"/>
      <c r="E3144" s="212" t="n"/>
    </row>
    <row r="3145">
      <c r="B3145" s="291" t="n"/>
      <c r="E3145" s="212" t="n"/>
    </row>
    <row r="3146">
      <c r="B3146" s="291" t="n"/>
      <c r="E3146" s="212" t="n"/>
    </row>
    <row r="3147">
      <c r="B3147" s="291" t="n"/>
      <c r="E3147" s="212" t="n"/>
    </row>
    <row r="3148">
      <c r="B3148" s="291" t="n"/>
      <c r="E3148" s="212" t="n"/>
    </row>
    <row r="3149">
      <c r="B3149" s="291" t="n"/>
      <c r="E3149" s="212" t="n"/>
    </row>
    <row r="3150">
      <c r="B3150" s="291" t="n"/>
      <c r="E3150" s="212" t="n"/>
    </row>
    <row r="3151">
      <c r="B3151" s="291" t="n"/>
      <c r="E3151" s="212" t="n"/>
    </row>
    <row r="3152">
      <c r="B3152" s="291" t="n"/>
      <c r="E3152" s="212" t="n"/>
    </row>
    <row r="3153">
      <c r="B3153" s="291" t="n"/>
      <c r="E3153" s="212" t="n"/>
    </row>
    <row r="3154">
      <c r="B3154" s="291" t="n"/>
      <c r="E3154" s="212" t="n"/>
    </row>
    <row r="3155">
      <c r="B3155" s="291" t="n"/>
      <c r="E3155" s="212" t="n"/>
    </row>
    <row r="3156">
      <c r="B3156" s="291" t="n"/>
      <c r="E3156" s="212" t="n"/>
    </row>
    <row r="3157">
      <c r="B3157" s="291" t="n"/>
      <c r="E3157" s="212" t="n"/>
    </row>
    <row r="3158">
      <c r="B3158" s="291" t="n"/>
      <c r="E3158" s="212" t="n"/>
    </row>
    <row r="3159">
      <c r="B3159" s="291" t="n"/>
      <c r="E3159" s="212" t="n"/>
    </row>
    <row r="3160">
      <c r="B3160" s="291" t="n"/>
      <c r="E3160" s="212" t="n"/>
    </row>
    <row r="3161">
      <c r="B3161" s="291" t="n"/>
      <c r="E3161" s="212" t="n"/>
    </row>
    <row r="3162">
      <c r="B3162" s="291" t="n"/>
      <c r="E3162" s="212" t="n"/>
    </row>
    <row r="3163">
      <c r="B3163" s="291" t="n"/>
      <c r="E3163" s="212" t="n"/>
    </row>
    <row r="3164">
      <c r="B3164" s="291" t="n"/>
      <c r="E3164" s="212" t="n"/>
    </row>
    <row r="3165">
      <c r="B3165" s="291" t="n"/>
      <c r="E3165" s="212" t="n"/>
    </row>
    <row r="3166">
      <c r="B3166" s="291" t="n"/>
      <c r="E3166" s="212" t="n"/>
    </row>
    <row r="3167">
      <c r="B3167" s="291" t="n"/>
      <c r="E3167" s="212" t="n"/>
    </row>
    <row r="3168">
      <c r="B3168" s="291" t="n"/>
      <c r="E3168" s="212" t="n"/>
    </row>
    <row r="3169">
      <c r="B3169" s="291" t="n"/>
      <c r="E3169" s="212" t="n"/>
    </row>
    <row r="3170">
      <c r="B3170" s="291" t="n"/>
      <c r="E3170" s="212" t="n"/>
    </row>
    <row r="3171">
      <c r="B3171" s="291" t="n"/>
      <c r="E3171" s="212" t="n"/>
    </row>
    <row r="3172">
      <c r="B3172" s="291" t="n"/>
      <c r="E3172" s="212" t="n"/>
    </row>
    <row r="3173">
      <c r="B3173" s="291" t="n"/>
      <c r="E3173" s="212" t="n"/>
    </row>
    <row r="3174">
      <c r="B3174" s="291" t="n"/>
      <c r="E3174" s="212" t="n"/>
    </row>
    <row r="3175">
      <c r="B3175" s="291" t="n"/>
      <c r="E3175" s="212" t="n"/>
    </row>
    <row r="3176">
      <c r="B3176" s="291" t="n"/>
      <c r="E3176" s="212" t="n"/>
    </row>
    <row r="3177">
      <c r="B3177" s="291" t="n"/>
      <c r="E3177" s="212" t="n"/>
    </row>
    <row r="3178">
      <c r="B3178" s="291" t="n"/>
      <c r="E3178" s="212" t="n"/>
    </row>
    <row r="3179">
      <c r="B3179" s="291" t="n"/>
      <c r="E3179" s="212" t="n"/>
    </row>
    <row r="3180">
      <c r="B3180" s="291" t="n"/>
      <c r="E3180" s="212" t="n"/>
    </row>
    <row r="3181">
      <c r="B3181" s="291" t="n"/>
      <c r="E3181" s="212" t="n"/>
    </row>
    <row r="3182">
      <c r="B3182" s="291" t="n"/>
      <c r="E3182" s="212" t="n"/>
    </row>
    <row r="3183">
      <c r="B3183" s="291" t="n"/>
      <c r="E3183" s="212" t="n"/>
    </row>
    <row r="3184">
      <c r="B3184" s="291" t="n"/>
      <c r="E3184" s="212" t="n"/>
    </row>
    <row r="3185">
      <c r="B3185" s="291" t="n"/>
      <c r="E3185" s="212" t="n"/>
    </row>
    <row r="3186">
      <c r="B3186" s="291" t="n"/>
      <c r="E3186" s="212" t="n"/>
    </row>
    <row r="3187">
      <c r="B3187" s="291" t="n"/>
      <c r="E3187" s="212" t="n"/>
    </row>
    <row r="3188">
      <c r="B3188" s="291" t="n"/>
      <c r="E3188" s="212" t="n"/>
    </row>
    <row r="3189">
      <c r="B3189" s="291" t="n"/>
      <c r="E3189" s="212" t="n"/>
    </row>
    <row r="3190">
      <c r="B3190" s="291" t="n"/>
      <c r="E3190" s="212" t="n"/>
    </row>
    <row r="3191">
      <c r="B3191" s="291" t="n"/>
      <c r="E3191" s="212" t="n"/>
    </row>
    <row r="3192">
      <c r="B3192" s="291" t="n"/>
      <c r="E3192" s="212" t="n"/>
    </row>
    <row r="3193">
      <c r="B3193" s="291" t="n"/>
      <c r="E3193" s="212" t="n"/>
    </row>
    <row r="3194">
      <c r="B3194" s="291" t="n"/>
      <c r="E3194" s="212" t="n"/>
    </row>
    <row r="3195">
      <c r="B3195" s="291" t="n"/>
      <c r="E3195" s="212" t="n"/>
    </row>
    <row r="3196">
      <c r="B3196" s="291" t="n"/>
      <c r="E3196" s="212" t="n"/>
    </row>
    <row r="3197">
      <c r="B3197" s="291" t="n"/>
      <c r="E3197" s="212" t="n"/>
    </row>
    <row r="3198">
      <c r="B3198" s="291" t="n"/>
      <c r="E3198" s="212" t="n"/>
    </row>
    <row r="3199">
      <c r="B3199" s="291" t="n"/>
      <c r="E3199" s="212" t="n"/>
    </row>
    <row r="3200">
      <c r="B3200" s="291" t="n"/>
      <c r="E3200" s="212" t="n"/>
    </row>
    <row r="3201">
      <c r="B3201" s="291" t="n"/>
      <c r="E3201" s="212" t="n"/>
    </row>
    <row r="3202">
      <c r="B3202" s="291" t="n"/>
      <c r="E3202" s="212" t="n"/>
    </row>
    <row r="3203">
      <c r="B3203" s="291" t="n"/>
      <c r="E3203" s="212" t="n"/>
    </row>
    <row r="3204">
      <c r="B3204" s="291" t="n"/>
      <c r="E3204" s="212" t="n"/>
    </row>
    <row r="3205">
      <c r="B3205" s="291" t="n"/>
      <c r="E3205" s="212" t="n"/>
    </row>
    <row r="3206">
      <c r="B3206" s="291" t="n"/>
      <c r="E3206" s="212" t="n"/>
    </row>
    <row r="3207">
      <c r="B3207" s="291" t="n"/>
      <c r="E3207" s="212" t="n"/>
    </row>
    <row r="3208">
      <c r="B3208" s="291" t="n"/>
      <c r="E3208" s="212" t="n"/>
    </row>
    <row r="3209">
      <c r="B3209" s="291" t="n"/>
      <c r="E3209" s="212" t="n"/>
    </row>
    <row r="3210">
      <c r="B3210" s="291" t="n"/>
      <c r="E3210" s="212" t="n"/>
    </row>
    <row r="3211">
      <c r="B3211" s="291" t="n"/>
      <c r="E3211" s="212" t="n"/>
    </row>
    <row r="3212">
      <c r="B3212" s="291" t="n"/>
      <c r="E3212" s="212" t="n"/>
    </row>
    <row r="3213">
      <c r="B3213" s="291" t="n"/>
      <c r="E3213" s="212" t="n"/>
    </row>
    <row r="3214">
      <c r="B3214" s="291" t="n"/>
      <c r="E3214" s="212" t="n"/>
    </row>
    <row r="3215">
      <c r="B3215" s="291" t="n"/>
      <c r="E3215" s="212" t="n"/>
    </row>
    <row r="3216">
      <c r="B3216" s="291" t="n"/>
      <c r="E3216" s="212" t="n"/>
    </row>
    <row r="3217">
      <c r="B3217" s="291" t="n"/>
      <c r="E3217" s="212" t="n"/>
    </row>
    <row r="3218">
      <c r="B3218" s="291" t="n"/>
      <c r="E3218" s="212" t="n"/>
    </row>
    <row r="3219">
      <c r="B3219" s="291" t="n"/>
      <c r="E3219" s="212" t="n"/>
    </row>
    <row r="3220">
      <c r="B3220" s="291" t="n"/>
      <c r="E3220" s="212" t="n"/>
    </row>
    <row r="3221">
      <c r="B3221" s="291" t="n"/>
      <c r="E3221" s="212" t="n"/>
    </row>
    <row r="3222">
      <c r="B3222" s="291" t="n"/>
      <c r="E3222" s="212" t="n"/>
    </row>
    <row r="3223">
      <c r="B3223" s="291" t="n"/>
      <c r="E3223" s="212" t="n"/>
    </row>
    <row r="3224">
      <c r="B3224" s="291" t="n"/>
      <c r="E3224" s="212" t="n"/>
    </row>
    <row r="3225">
      <c r="B3225" s="291" t="n"/>
      <c r="E3225" s="212" t="n"/>
    </row>
    <row r="3226">
      <c r="B3226" s="291" t="n"/>
      <c r="E3226" s="212" t="n"/>
    </row>
    <row r="3227">
      <c r="B3227" s="291" t="n"/>
      <c r="E3227" s="212" t="n"/>
    </row>
    <row r="3228">
      <c r="B3228" s="291" t="n"/>
      <c r="E3228" s="212" t="n"/>
    </row>
    <row r="3229">
      <c r="B3229" s="291" t="n"/>
      <c r="E3229" s="212" t="n"/>
    </row>
    <row r="3230">
      <c r="B3230" s="291" t="n"/>
      <c r="E3230" s="212" t="n"/>
    </row>
    <row r="3231">
      <c r="B3231" s="291" t="n"/>
      <c r="E3231" s="212" t="n"/>
    </row>
    <row r="3232">
      <c r="B3232" s="291" t="n"/>
      <c r="E3232" s="212" t="n"/>
    </row>
    <row r="3233">
      <c r="B3233" s="291" t="n"/>
      <c r="E3233" s="212" t="n"/>
    </row>
    <row r="3234">
      <c r="B3234" s="291" t="n"/>
      <c r="E3234" s="212" t="n"/>
    </row>
    <row r="3235">
      <c r="B3235" s="291" t="n"/>
      <c r="E3235" s="212" t="n"/>
    </row>
    <row r="3236">
      <c r="B3236" s="291" t="n"/>
      <c r="E3236" s="212" t="n"/>
    </row>
    <row r="3237">
      <c r="B3237" s="291" t="n"/>
      <c r="E3237" s="212" t="n"/>
    </row>
    <row r="3238">
      <c r="B3238" s="291" t="n"/>
      <c r="E3238" s="212" t="n"/>
    </row>
    <row r="3239">
      <c r="B3239" s="291" t="n"/>
      <c r="E3239" s="212" t="n"/>
    </row>
    <row r="3240">
      <c r="B3240" s="291" t="n"/>
      <c r="E3240" s="212" t="n"/>
    </row>
    <row r="3241">
      <c r="B3241" s="291" t="n"/>
      <c r="E3241" s="212" t="n"/>
    </row>
    <row r="3242">
      <c r="B3242" s="291" t="n"/>
      <c r="E3242" s="212" t="n"/>
    </row>
    <row r="3243">
      <c r="B3243" s="291" t="n"/>
      <c r="E3243" s="212" t="n"/>
    </row>
    <row r="3244">
      <c r="B3244" s="291" t="n"/>
      <c r="E3244" s="212" t="n"/>
    </row>
    <row r="3245">
      <c r="B3245" s="291" t="n"/>
      <c r="E3245" s="212" t="n"/>
    </row>
    <row r="3246">
      <c r="B3246" s="291" t="n"/>
      <c r="E3246" s="212" t="n"/>
    </row>
    <row r="3247">
      <c r="B3247" s="291" t="n"/>
      <c r="E3247" s="212" t="n"/>
    </row>
    <row r="3248">
      <c r="B3248" s="291" t="n"/>
      <c r="E3248" s="212" t="n"/>
    </row>
    <row r="3249">
      <c r="B3249" s="291" t="n"/>
      <c r="E3249" s="212" t="n"/>
    </row>
    <row r="3250">
      <c r="B3250" s="291" t="n"/>
      <c r="E3250" s="212" t="n"/>
    </row>
    <row r="3251">
      <c r="B3251" s="291" t="n"/>
      <c r="E3251" s="212" t="n"/>
    </row>
    <row r="3252">
      <c r="B3252" s="291" t="n"/>
      <c r="E3252" s="212" t="n"/>
    </row>
    <row r="3253">
      <c r="B3253" s="291" t="n"/>
      <c r="E3253" s="212" t="n"/>
    </row>
    <row r="3254">
      <c r="B3254" s="291" t="n"/>
      <c r="E3254" s="212" t="n"/>
    </row>
    <row r="3255">
      <c r="B3255" s="291" t="n"/>
      <c r="E3255" s="212" t="n"/>
    </row>
    <row r="3256">
      <c r="B3256" s="291" t="n"/>
      <c r="E3256" s="212" t="n"/>
    </row>
    <row r="3257">
      <c r="B3257" s="291" t="n"/>
      <c r="E3257" s="212" t="n"/>
    </row>
    <row r="3258">
      <c r="B3258" s="291" t="n"/>
      <c r="E3258" s="212" t="n"/>
    </row>
    <row r="3259">
      <c r="B3259" s="291" t="n"/>
      <c r="E3259" s="212" t="n"/>
    </row>
    <row r="3260">
      <c r="B3260" s="291" t="n"/>
      <c r="E3260" s="212" t="n"/>
    </row>
    <row r="3261">
      <c r="B3261" s="291" t="n"/>
      <c r="E3261" s="212" t="n"/>
    </row>
    <row r="3262">
      <c r="B3262" s="291" t="n"/>
      <c r="E3262" s="212" t="n"/>
    </row>
    <row r="3263">
      <c r="B3263" s="291" t="n"/>
      <c r="E3263" s="212" t="n"/>
    </row>
    <row r="3264">
      <c r="B3264" s="291" t="n"/>
      <c r="E3264" s="212" t="n"/>
    </row>
    <row r="3265">
      <c r="B3265" s="291" t="n"/>
      <c r="E3265" s="212" t="n"/>
    </row>
    <row r="3266">
      <c r="B3266" s="291" t="n"/>
      <c r="E3266" s="212" t="n"/>
    </row>
    <row r="3267">
      <c r="B3267" s="291" t="n"/>
      <c r="E3267" s="212" t="n"/>
    </row>
    <row r="3268">
      <c r="B3268" s="291" t="n"/>
      <c r="E3268" s="212" t="n"/>
    </row>
    <row r="3269">
      <c r="B3269" s="291" t="n"/>
      <c r="E3269" s="212" t="n"/>
    </row>
    <row r="3270">
      <c r="B3270" s="291" t="n"/>
      <c r="E3270" s="212" t="n"/>
    </row>
    <row r="3271">
      <c r="B3271" s="291" t="n"/>
      <c r="E3271" s="212" t="n"/>
    </row>
    <row r="3272">
      <c r="B3272" s="291" t="n"/>
      <c r="E3272" s="212" t="n"/>
    </row>
    <row r="3273">
      <c r="B3273" s="291" t="n"/>
      <c r="E3273" s="212" t="n"/>
    </row>
    <row r="3274">
      <c r="B3274" s="291" t="n"/>
      <c r="E3274" s="212" t="n"/>
    </row>
    <row r="3275">
      <c r="B3275" s="291" t="n"/>
      <c r="E3275" s="212" t="n"/>
    </row>
    <row r="3276">
      <c r="B3276" s="291" t="n"/>
      <c r="E3276" s="212" t="n"/>
    </row>
    <row r="3277">
      <c r="B3277" s="291" t="n"/>
      <c r="E3277" s="212" t="n"/>
    </row>
    <row r="3278">
      <c r="B3278" s="291" t="n"/>
      <c r="E3278" s="212" t="n"/>
    </row>
    <row r="3279">
      <c r="B3279" s="291" t="n"/>
      <c r="E3279" s="212" t="n"/>
    </row>
    <row r="3280">
      <c r="B3280" s="291" t="n"/>
      <c r="E3280" s="212" t="n"/>
    </row>
    <row r="3281">
      <c r="B3281" s="291" t="n"/>
      <c r="E3281" s="212" t="n"/>
    </row>
    <row r="3282">
      <c r="B3282" s="291" t="n"/>
      <c r="E3282" s="212" t="n"/>
    </row>
    <row r="3283">
      <c r="B3283" s="291" t="n"/>
      <c r="E3283" s="212" t="n"/>
    </row>
    <row r="3284">
      <c r="B3284" s="291" t="n"/>
      <c r="E3284" s="212" t="n"/>
    </row>
    <row r="3285">
      <c r="B3285" s="291" t="n"/>
      <c r="E3285" s="212" t="n"/>
    </row>
    <row r="3286">
      <c r="B3286" s="291" t="n"/>
      <c r="E3286" s="212" t="n"/>
    </row>
    <row r="3287">
      <c r="B3287" s="291" t="n"/>
      <c r="E3287" s="212" t="n"/>
    </row>
    <row r="3288">
      <c r="B3288" s="291" t="n"/>
      <c r="E3288" s="212" t="n"/>
    </row>
    <row r="3289">
      <c r="B3289" s="291" t="n"/>
      <c r="E3289" s="212" t="n"/>
    </row>
    <row r="3290">
      <c r="B3290" s="291" t="n"/>
      <c r="E3290" s="212" t="n"/>
    </row>
    <row r="3291">
      <c r="B3291" s="291" t="n"/>
      <c r="E3291" s="212" t="n"/>
    </row>
    <row r="3292">
      <c r="B3292" s="291" t="n"/>
      <c r="E3292" s="212" t="n"/>
    </row>
    <row r="3293">
      <c r="B3293" s="291" t="n"/>
      <c r="E3293" s="212" t="n"/>
    </row>
    <row r="3294">
      <c r="B3294" s="291" t="n"/>
      <c r="E3294" s="212" t="n"/>
    </row>
    <row r="3295">
      <c r="B3295" s="291" t="n"/>
      <c r="E3295" s="212" t="n"/>
    </row>
    <row r="3296">
      <c r="B3296" s="291" t="n"/>
      <c r="E3296" s="212" t="n"/>
    </row>
    <row r="3297">
      <c r="B3297" s="291" t="n"/>
      <c r="E3297" s="212" t="n"/>
    </row>
    <row r="3298">
      <c r="B3298" s="291" t="n"/>
      <c r="E3298" s="212" t="n"/>
    </row>
    <row r="3299">
      <c r="B3299" s="291" t="n"/>
      <c r="E3299" s="212" t="n"/>
    </row>
    <row r="3300">
      <c r="B3300" s="291" t="n"/>
      <c r="E3300" s="212" t="n"/>
    </row>
    <row r="3301">
      <c r="B3301" s="291" t="n"/>
      <c r="E3301" s="212" t="n"/>
    </row>
    <row r="3302">
      <c r="B3302" s="291" t="n"/>
      <c r="E3302" s="212" t="n"/>
    </row>
    <row r="3303">
      <c r="B3303" s="291" t="n"/>
      <c r="E3303" s="212" t="n"/>
    </row>
    <row r="3304">
      <c r="B3304" s="291" t="n"/>
      <c r="E3304" s="212" t="n"/>
    </row>
    <row r="3305">
      <c r="B3305" s="291" t="n"/>
      <c r="E3305" s="212" t="n"/>
    </row>
    <row r="3306">
      <c r="B3306" s="291" t="n"/>
      <c r="E3306" s="212" t="n"/>
    </row>
    <row r="3307">
      <c r="B3307" s="291" t="n"/>
      <c r="E3307" s="212" t="n"/>
    </row>
    <row r="3308">
      <c r="B3308" s="291" t="n"/>
      <c r="E3308" s="212" t="n"/>
    </row>
    <row r="3309">
      <c r="B3309" s="291" t="n"/>
      <c r="E3309" s="212" t="n"/>
    </row>
    <row r="3310">
      <c r="B3310" s="291" t="n"/>
      <c r="E3310" s="212" t="n"/>
    </row>
    <row r="3311">
      <c r="B3311" s="291" t="n"/>
      <c r="E3311" s="212" t="n"/>
    </row>
    <row r="3312">
      <c r="B3312" s="291" t="n"/>
      <c r="E3312" s="212" t="n"/>
    </row>
    <row r="3313">
      <c r="B3313" s="291" t="n"/>
      <c r="E3313" s="212" t="n"/>
    </row>
    <row r="3314">
      <c r="B3314" s="291" t="n"/>
      <c r="E3314" s="212" t="n"/>
    </row>
    <row r="3315">
      <c r="B3315" s="291" t="n"/>
      <c r="E3315" s="212" t="n"/>
    </row>
    <row r="3316">
      <c r="B3316" s="291" t="n"/>
      <c r="E3316" s="212" t="n"/>
    </row>
    <row r="3317">
      <c r="B3317" s="291" t="n"/>
      <c r="E3317" s="212" t="n"/>
    </row>
    <row r="3318">
      <c r="B3318" s="291" t="n"/>
      <c r="E3318" s="212" t="n"/>
    </row>
    <row r="3319">
      <c r="B3319" s="291" t="n"/>
      <c r="E3319" s="212" t="n"/>
    </row>
    <row r="3320">
      <c r="B3320" s="291" t="n"/>
      <c r="E3320" s="212" t="n"/>
    </row>
    <row r="3321">
      <c r="B3321" s="291" t="n"/>
      <c r="E3321" s="212" t="n"/>
    </row>
    <row r="3322">
      <c r="B3322" s="291" t="n"/>
      <c r="E3322" s="212" t="n"/>
    </row>
    <row r="3323">
      <c r="B3323" s="291" t="n"/>
      <c r="E3323" s="212" t="n"/>
    </row>
    <row r="3324">
      <c r="B3324" s="291" t="n"/>
      <c r="E3324" s="212" t="n"/>
    </row>
    <row r="3325">
      <c r="B3325" s="291" t="n"/>
      <c r="E3325" s="212" t="n"/>
    </row>
    <row r="3326">
      <c r="B3326" s="291" t="n"/>
      <c r="E3326" s="212" t="n"/>
    </row>
    <row r="3327">
      <c r="B3327" s="291" t="n"/>
      <c r="E3327" s="212" t="n"/>
    </row>
    <row r="3328">
      <c r="B3328" s="291" t="n"/>
      <c r="E3328" s="212" t="n"/>
    </row>
    <row r="3329">
      <c r="B3329" s="291" t="n"/>
      <c r="E3329" s="212" t="n"/>
    </row>
    <row r="3330">
      <c r="B3330" s="291" t="n"/>
      <c r="E3330" s="212" t="n"/>
    </row>
    <row r="3331">
      <c r="B3331" s="291" t="n"/>
      <c r="E3331" s="212" t="n"/>
    </row>
    <row r="3332">
      <c r="B3332" s="291" t="n"/>
      <c r="E3332" s="212" t="n"/>
    </row>
    <row r="3333">
      <c r="B3333" s="291" t="n"/>
      <c r="E3333" s="212" t="n"/>
    </row>
    <row r="3334">
      <c r="B3334" s="291" t="n"/>
      <c r="E3334" s="212" t="n"/>
    </row>
    <row r="3335">
      <c r="B3335" s="291" t="n"/>
      <c r="E3335" s="212" t="n"/>
    </row>
    <row r="3336">
      <c r="B3336" s="291" t="n"/>
      <c r="E3336" s="212" t="n"/>
    </row>
    <row r="3337">
      <c r="B3337" s="291" t="n"/>
      <c r="E3337" s="212" t="n"/>
    </row>
    <row r="3338">
      <c r="B3338" s="291" t="n"/>
      <c r="E3338" s="212" t="n"/>
    </row>
    <row r="3339">
      <c r="B3339" s="291" t="n"/>
      <c r="E3339" s="212" t="n"/>
    </row>
    <row r="3340">
      <c r="B3340" s="291" t="n"/>
      <c r="E3340" s="212" t="n"/>
    </row>
    <row r="3341">
      <c r="B3341" s="291" t="n"/>
      <c r="E3341" s="212" t="n"/>
    </row>
    <row r="3342">
      <c r="B3342" s="291" t="n"/>
      <c r="E3342" s="212" t="n"/>
    </row>
    <row r="3343">
      <c r="B3343" s="291" t="n"/>
      <c r="E3343" s="212" t="n"/>
    </row>
    <row r="3344">
      <c r="B3344" s="291" t="n"/>
      <c r="E3344" s="212" t="n"/>
    </row>
    <row r="3345">
      <c r="B3345" s="291" t="n"/>
      <c r="E3345" s="212" t="n"/>
    </row>
    <row r="3346">
      <c r="B3346" s="291" t="n"/>
      <c r="E3346" s="212" t="n"/>
    </row>
    <row r="3347">
      <c r="B3347" s="291" t="n"/>
      <c r="E3347" s="212" t="n"/>
    </row>
    <row r="3348">
      <c r="B3348" s="291" t="n"/>
      <c r="E3348" s="212" t="n"/>
    </row>
    <row r="3349">
      <c r="B3349" s="291" t="n"/>
      <c r="E3349" s="212" t="n"/>
    </row>
    <row r="3350">
      <c r="B3350" s="291" t="n"/>
      <c r="E3350" s="212" t="n"/>
    </row>
    <row r="3351">
      <c r="B3351" s="291" t="n"/>
      <c r="E3351" s="212" t="n"/>
    </row>
    <row r="3352">
      <c r="B3352" s="291" t="n"/>
      <c r="E3352" s="212" t="n"/>
    </row>
    <row r="3353">
      <c r="B3353" s="291" t="n"/>
      <c r="E3353" s="212" t="n"/>
    </row>
    <row r="3354">
      <c r="B3354" s="291" t="n"/>
      <c r="E3354" s="212" t="n"/>
    </row>
    <row r="3355">
      <c r="B3355" s="291" t="n"/>
      <c r="E3355" s="212" t="n"/>
    </row>
    <row r="3356">
      <c r="B3356" s="291" t="n"/>
      <c r="E3356" s="212" t="n"/>
    </row>
    <row r="3357">
      <c r="B3357" s="291" t="n"/>
      <c r="E3357" s="212" t="n"/>
    </row>
    <row r="3358">
      <c r="B3358" s="291" t="n"/>
      <c r="E3358" s="212" t="n"/>
    </row>
    <row r="3359">
      <c r="B3359" s="291" t="n"/>
      <c r="E3359" s="212" t="n"/>
    </row>
    <row r="3360">
      <c r="B3360" s="291" t="n"/>
      <c r="E3360" s="212" t="n"/>
    </row>
    <row r="3361">
      <c r="B3361" s="291" t="n"/>
      <c r="E3361" s="212" t="n"/>
    </row>
    <row r="3362">
      <c r="B3362" s="291" t="n"/>
      <c r="E3362" s="212" t="n"/>
    </row>
    <row r="3363">
      <c r="B3363" s="291" t="n"/>
      <c r="E3363" s="212" t="n"/>
    </row>
    <row r="3364">
      <c r="B3364" s="291" t="n"/>
      <c r="E3364" s="212" t="n"/>
    </row>
    <row r="3365">
      <c r="B3365" s="291" t="n"/>
      <c r="E3365" s="212" t="n"/>
    </row>
    <row r="3366">
      <c r="B3366" s="291" t="n"/>
      <c r="E3366" s="212" t="n"/>
    </row>
    <row r="3367">
      <c r="B3367" s="291" t="n"/>
      <c r="E3367" s="212" t="n"/>
    </row>
    <row r="3368">
      <c r="B3368" s="291" t="n"/>
      <c r="E3368" s="212" t="n"/>
    </row>
    <row r="3369">
      <c r="B3369" s="291" t="n"/>
      <c r="E3369" s="212" t="n"/>
    </row>
    <row r="3370">
      <c r="B3370" s="291" t="n"/>
      <c r="E3370" s="212" t="n"/>
    </row>
    <row r="3371">
      <c r="B3371" s="291" t="n"/>
      <c r="E3371" s="212" t="n"/>
    </row>
    <row r="3372">
      <c r="B3372" s="291" t="n"/>
      <c r="E3372" s="212" t="n"/>
    </row>
    <row r="3373">
      <c r="B3373" s="291" t="n"/>
      <c r="E3373" s="212" t="n"/>
    </row>
    <row r="3374">
      <c r="B3374" s="291" t="n"/>
      <c r="E3374" s="212" t="n"/>
    </row>
    <row r="3375">
      <c r="B3375" s="291" t="n"/>
      <c r="E3375" s="212" t="n"/>
    </row>
    <row r="3376">
      <c r="B3376" s="291" t="n"/>
      <c r="E3376" s="212" t="n"/>
    </row>
    <row r="3377">
      <c r="B3377" s="291" t="n"/>
      <c r="E3377" s="212" t="n"/>
    </row>
    <row r="3378">
      <c r="B3378" s="291" t="n"/>
      <c r="E3378" s="212" t="n"/>
    </row>
    <row r="3379">
      <c r="B3379" s="291" t="n"/>
      <c r="E3379" s="212" t="n"/>
    </row>
    <row r="3380">
      <c r="B3380" s="291" t="n"/>
      <c r="E3380" s="212" t="n"/>
    </row>
    <row r="3381">
      <c r="B3381" s="291" t="n"/>
      <c r="E3381" s="212" t="n"/>
    </row>
    <row r="3382">
      <c r="B3382" s="291" t="n"/>
      <c r="E3382" s="212" t="n"/>
    </row>
    <row r="3383">
      <c r="B3383" s="291" t="n"/>
      <c r="E3383" s="212" t="n"/>
    </row>
    <row r="3384">
      <c r="B3384" s="291" t="n"/>
      <c r="E3384" s="212" t="n"/>
    </row>
    <row r="3385">
      <c r="B3385" s="291" t="n"/>
      <c r="E3385" s="212" t="n"/>
    </row>
    <row r="3386">
      <c r="B3386" s="291" t="n"/>
      <c r="E3386" s="212" t="n"/>
    </row>
    <row r="3387">
      <c r="B3387" s="291" t="n"/>
      <c r="E3387" s="212" t="n"/>
    </row>
    <row r="3388">
      <c r="B3388" s="291" t="n"/>
      <c r="E3388" s="212" t="n"/>
    </row>
    <row r="3389">
      <c r="B3389" s="291" t="n"/>
      <c r="E3389" s="212" t="n"/>
    </row>
    <row r="3390">
      <c r="B3390" s="291" t="n"/>
      <c r="E3390" s="212" t="n"/>
    </row>
    <row r="3391">
      <c r="B3391" s="291" t="n"/>
      <c r="E3391" s="212" t="n"/>
    </row>
    <row r="3392">
      <c r="B3392" s="291" t="n"/>
      <c r="E3392" s="212" t="n"/>
    </row>
    <row r="3393">
      <c r="B3393" s="291" t="n"/>
      <c r="E3393" s="212" t="n"/>
    </row>
    <row r="3394">
      <c r="B3394" s="291" t="n"/>
      <c r="E3394" s="212" t="n"/>
    </row>
    <row r="3395">
      <c r="B3395" s="291" t="n"/>
      <c r="E3395" s="212" t="n"/>
    </row>
    <row r="3396">
      <c r="B3396" s="291" t="n"/>
      <c r="E3396" s="212" t="n"/>
    </row>
    <row r="3397">
      <c r="B3397" s="291" t="n"/>
      <c r="E3397" s="212" t="n"/>
    </row>
    <row r="3398">
      <c r="B3398" s="291" t="n"/>
      <c r="E3398" s="212" t="n"/>
    </row>
    <row r="3399">
      <c r="B3399" s="291" t="n"/>
      <c r="E3399" s="212" t="n"/>
    </row>
    <row r="3400">
      <c r="B3400" s="291" t="n"/>
      <c r="E3400" s="212" t="n"/>
    </row>
    <row r="3401">
      <c r="B3401" s="291" t="n"/>
      <c r="E3401" s="212" t="n"/>
    </row>
    <row r="3402">
      <c r="B3402" s="291" t="n"/>
      <c r="E3402" s="212" t="n"/>
    </row>
    <row r="3403">
      <c r="B3403" s="291" t="n"/>
      <c r="E3403" s="212" t="n"/>
    </row>
    <row r="3404">
      <c r="B3404" s="291" t="n"/>
      <c r="E3404" s="212" t="n"/>
    </row>
    <row r="3405">
      <c r="B3405" s="291" t="n"/>
      <c r="E3405" s="212" t="n"/>
    </row>
    <row r="3406">
      <c r="B3406" s="291" t="n"/>
      <c r="E3406" s="212" t="n"/>
    </row>
    <row r="3407">
      <c r="B3407" s="291" t="n"/>
      <c r="E3407" s="212" t="n"/>
    </row>
    <row r="3408">
      <c r="B3408" s="291" t="n"/>
      <c r="E3408" s="212" t="n"/>
    </row>
    <row r="3409">
      <c r="B3409" s="291" t="n"/>
      <c r="E3409" s="212" t="n"/>
    </row>
    <row r="3410">
      <c r="B3410" s="291" t="n"/>
      <c r="E3410" s="212" t="n"/>
    </row>
    <row r="3411">
      <c r="B3411" s="291" t="n"/>
      <c r="E3411" s="212" t="n"/>
    </row>
    <row r="3412">
      <c r="B3412" s="291" t="n"/>
      <c r="E3412" s="212" t="n"/>
    </row>
    <row r="3413">
      <c r="B3413" s="291" t="n"/>
      <c r="E3413" s="212" t="n"/>
    </row>
    <row r="3414">
      <c r="B3414" s="291" t="n"/>
      <c r="E3414" s="212" t="n"/>
    </row>
    <row r="3415">
      <c r="B3415" s="291" t="n"/>
      <c r="E3415" s="212" t="n"/>
    </row>
    <row r="3416">
      <c r="B3416" s="291" t="n"/>
      <c r="E3416" s="212" t="n"/>
    </row>
    <row r="3417">
      <c r="B3417" s="291" t="n"/>
      <c r="E3417" s="212" t="n"/>
    </row>
    <row r="3418">
      <c r="B3418" s="291" t="n"/>
      <c r="E3418" s="212" t="n"/>
    </row>
    <row r="3419">
      <c r="B3419" s="291" t="n"/>
      <c r="E3419" s="212" t="n"/>
    </row>
    <row r="3420">
      <c r="B3420" s="291" t="n"/>
      <c r="E3420" s="212" t="n"/>
    </row>
    <row r="3421">
      <c r="B3421" s="291" t="n"/>
      <c r="E3421" s="212" t="n"/>
    </row>
    <row r="3422">
      <c r="B3422" s="291" t="n"/>
      <c r="E3422" s="212" t="n"/>
    </row>
    <row r="3423">
      <c r="B3423" s="291" t="n"/>
      <c r="E3423" s="212" t="n"/>
    </row>
    <row r="3424">
      <c r="B3424" s="291" t="n"/>
      <c r="E3424" s="212" t="n"/>
    </row>
    <row r="3425">
      <c r="B3425" s="291" t="n"/>
      <c r="E3425" s="212" t="n"/>
    </row>
    <row r="3426">
      <c r="B3426" s="291" t="n"/>
      <c r="E3426" s="212" t="n"/>
    </row>
    <row r="3427">
      <c r="B3427" s="291" t="n"/>
      <c r="E3427" s="212" t="n"/>
    </row>
    <row r="3428">
      <c r="B3428" s="291" t="n"/>
      <c r="E3428" s="212" t="n"/>
    </row>
    <row r="3429">
      <c r="B3429" s="291" t="n"/>
      <c r="E3429" s="212" t="n"/>
    </row>
    <row r="3430">
      <c r="B3430" s="291" t="n"/>
      <c r="E3430" s="212" t="n"/>
    </row>
    <row r="3431">
      <c r="B3431" s="291" t="n"/>
      <c r="E3431" s="212" t="n"/>
    </row>
    <row r="3432">
      <c r="B3432" s="291" t="n"/>
      <c r="E3432" s="212" t="n"/>
    </row>
    <row r="3433">
      <c r="B3433" s="291" t="n"/>
      <c r="E3433" s="212" t="n"/>
    </row>
    <row r="3434">
      <c r="B3434" s="291" t="n"/>
      <c r="E3434" s="212" t="n"/>
    </row>
    <row r="3435">
      <c r="B3435" s="291" t="n"/>
      <c r="E3435" s="212" t="n"/>
    </row>
    <row r="3436">
      <c r="B3436" s="291" t="n"/>
      <c r="E3436" s="212" t="n"/>
    </row>
    <row r="3437">
      <c r="B3437" s="291" t="n"/>
      <c r="E3437" s="212" t="n"/>
    </row>
    <row r="3438">
      <c r="B3438" s="291" t="n"/>
      <c r="E3438" s="212" t="n"/>
    </row>
    <row r="3439">
      <c r="B3439" s="291" t="n"/>
      <c r="E3439" s="212" t="n"/>
    </row>
    <row r="3440">
      <c r="B3440" s="291" t="n"/>
      <c r="E3440" s="212" t="n"/>
    </row>
    <row r="3441">
      <c r="B3441" s="291" t="n"/>
      <c r="E3441" s="212" t="n"/>
    </row>
    <row r="3442">
      <c r="B3442" s="291" t="n"/>
      <c r="E3442" s="212" t="n"/>
    </row>
    <row r="3443">
      <c r="B3443" s="291" t="n"/>
      <c r="E3443" s="212" t="n"/>
    </row>
    <row r="3444">
      <c r="B3444" s="291" t="n"/>
      <c r="E3444" s="212" t="n"/>
    </row>
    <row r="3445">
      <c r="B3445" s="291" t="n"/>
      <c r="E3445" s="212" t="n"/>
    </row>
    <row r="3446">
      <c r="B3446" s="291" t="n"/>
      <c r="E3446" s="212" t="n"/>
    </row>
    <row r="3447">
      <c r="B3447" s="291" t="n"/>
      <c r="E3447" s="212" t="n"/>
    </row>
    <row r="3448">
      <c r="B3448" s="291" t="n"/>
      <c r="E3448" s="212" t="n"/>
    </row>
    <row r="3449">
      <c r="B3449" s="291" t="n"/>
      <c r="E3449" s="212" t="n"/>
    </row>
    <row r="3450">
      <c r="B3450" s="291" t="n"/>
      <c r="E3450" s="212" t="n"/>
    </row>
    <row r="3451">
      <c r="B3451" s="291" t="n"/>
      <c r="E3451" s="212" t="n"/>
    </row>
    <row r="3452">
      <c r="B3452" s="291" t="n"/>
      <c r="E3452" s="212" t="n"/>
    </row>
    <row r="3453">
      <c r="B3453" s="291" t="n"/>
      <c r="E3453" s="212" t="n"/>
    </row>
    <row r="3454">
      <c r="B3454" s="291" t="n"/>
      <c r="E3454" s="212" t="n"/>
    </row>
    <row r="3455">
      <c r="B3455" s="291" t="n"/>
      <c r="E3455" s="212" t="n"/>
    </row>
    <row r="3456">
      <c r="B3456" s="291" t="n"/>
      <c r="E3456" s="212" t="n"/>
    </row>
    <row r="3457">
      <c r="B3457" s="291" t="n"/>
      <c r="E3457" s="212" t="n"/>
    </row>
    <row r="3458">
      <c r="B3458" s="291" t="n"/>
      <c r="E3458" s="212" t="n"/>
    </row>
    <row r="3459">
      <c r="B3459" s="291" t="n"/>
      <c r="E3459" s="212" t="n"/>
    </row>
    <row r="3460">
      <c r="B3460" s="291" t="n"/>
      <c r="E3460" s="212" t="n"/>
    </row>
    <row r="3461">
      <c r="B3461" s="291" t="n"/>
      <c r="E3461" s="212" t="n"/>
    </row>
    <row r="3462">
      <c r="B3462" s="291" t="n"/>
      <c r="E3462" s="212" t="n"/>
    </row>
    <row r="3463">
      <c r="B3463" s="291" t="n"/>
      <c r="E3463" s="212" t="n"/>
    </row>
    <row r="3464">
      <c r="B3464" s="291" t="n"/>
      <c r="E3464" s="212" t="n"/>
    </row>
    <row r="3465">
      <c r="B3465" s="291" t="n"/>
      <c r="E3465" s="212" t="n"/>
    </row>
    <row r="3466">
      <c r="B3466" s="291" t="n"/>
      <c r="E3466" s="212" t="n"/>
    </row>
    <row r="3467">
      <c r="B3467" s="291" t="n"/>
      <c r="E3467" s="212" t="n"/>
    </row>
    <row r="3468">
      <c r="B3468" s="291" t="n"/>
      <c r="E3468" s="212" t="n"/>
    </row>
    <row r="3469">
      <c r="B3469" s="291" t="n"/>
      <c r="E3469" s="212" t="n"/>
    </row>
    <row r="3470">
      <c r="B3470" s="291" t="n"/>
      <c r="E3470" s="212" t="n"/>
    </row>
    <row r="3471">
      <c r="B3471" s="291" t="n"/>
      <c r="E3471" s="212" t="n"/>
    </row>
    <row r="3472">
      <c r="B3472" s="291" t="n"/>
      <c r="E3472" s="212" t="n"/>
    </row>
    <row r="3473">
      <c r="B3473" s="291" t="n"/>
      <c r="E3473" s="212" t="n"/>
    </row>
    <row r="3474">
      <c r="B3474" s="291" t="n"/>
      <c r="E3474" s="212" t="n"/>
    </row>
    <row r="3475">
      <c r="B3475" s="291" t="n"/>
      <c r="E3475" s="212" t="n"/>
    </row>
    <row r="3476">
      <c r="B3476" s="291" t="n"/>
      <c r="E3476" s="212" t="n"/>
    </row>
    <row r="3477">
      <c r="B3477" s="291" t="n"/>
      <c r="E3477" s="212" t="n"/>
    </row>
    <row r="3478">
      <c r="B3478" s="291" t="n"/>
      <c r="E3478" s="212" t="n"/>
    </row>
    <row r="3479">
      <c r="B3479" s="291" t="n"/>
      <c r="E3479" s="212" t="n"/>
    </row>
    <row r="3480">
      <c r="B3480" s="291" t="n"/>
      <c r="E3480" s="212" t="n"/>
    </row>
    <row r="3481">
      <c r="B3481" s="291" t="n"/>
      <c r="E3481" s="212" t="n"/>
    </row>
    <row r="3482">
      <c r="B3482" s="291" t="n"/>
      <c r="E3482" s="212" t="n"/>
    </row>
    <row r="3483">
      <c r="B3483" s="291" t="n"/>
      <c r="E3483" s="212" t="n"/>
    </row>
    <row r="3484">
      <c r="B3484" s="291" t="n"/>
      <c r="E3484" s="212" t="n"/>
    </row>
    <row r="3485">
      <c r="B3485" s="291" t="n"/>
      <c r="E3485" s="212" t="n"/>
    </row>
    <row r="3486">
      <c r="B3486" s="291" t="n"/>
      <c r="E3486" s="212" t="n"/>
    </row>
    <row r="3487">
      <c r="B3487" s="291" t="n"/>
      <c r="E3487" s="212" t="n"/>
    </row>
    <row r="3488">
      <c r="B3488" s="291" t="n"/>
      <c r="E3488" s="212" t="n"/>
    </row>
    <row r="3489">
      <c r="B3489" s="291" t="n"/>
      <c r="E3489" s="212" t="n"/>
    </row>
    <row r="3490">
      <c r="B3490" s="291" t="n"/>
      <c r="E3490" s="212" t="n"/>
    </row>
    <row r="3491">
      <c r="B3491" s="291" t="n"/>
      <c r="E3491" s="212" t="n"/>
    </row>
    <row r="3492">
      <c r="B3492" s="291" t="n"/>
      <c r="E3492" s="212" t="n"/>
    </row>
    <row r="3493">
      <c r="B3493" s="291" t="n"/>
      <c r="E3493" s="212" t="n"/>
    </row>
    <row r="3494">
      <c r="B3494" s="291" t="n"/>
      <c r="E3494" s="212" t="n"/>
    </row>
    <row r="3495">
      <c r="B3495" s="291" t="n"/>
      <c r="E3495" s="212" t="n"/>
    </row>
    <row r="3496">
      <c r="B3496" s="291" t="n"/>
      <c r="E3496" s="212" t="n"/>
    </row>
    <row r="3497">
      <c r="B3497" s="291" t="n"/>
      <c r="E3497" s="212" t="n"/>
    </row>
    <row r="3498">
      <c r="B3498" s="291" t="n"/>
      <c r="E3498" s="212" t="n"/>
    </row>
    <row r="3499">
      <c r="B3499" s="291" t="n"/>
      <c r="E3499" s="212" t="n"/>
    </row>
    <row r="3500">
      <c r="B3500" s="291" t="n"/>
      <c r="E3500" s="212" t="n"/>
    </row>
    <row r="3501">
      <c r="B3501" s="291" t="n"/>
      <c r="E3501" s="212" t="n"/>
    </row>
    <row r="3502">
      <c r="B3502" s="291" t="n"/>
      <c r="E3502" s="212" t="n"/>
    </row>
    <row r="3503">
      <c r="B3503" s="291" t="n"/>
      <c r="E3503" s="212" t="n"/>
    </row>
    <row r="3504">
      <c r="B3504" s="291" t="n"/>
      <c r="E3504" s="212" t="n"/>
    </row>
    <row r="3505">
      <c r="B3505" s="291" t="n"/>
      <c r="E3505" s="212" t="n"/>
    </row>
    <row r="3506">
      <c r="B3506" s="291" t="n"/>
      <c r="E3506" s="212" t="n"/>
    </row>
    <row r="3507">
      <c r="B3507" s="291" t="n"/>
      <c r="E3507" s="212" t="n"/>
    </row>
    <row r="3508">
      <c r="B3508" s="291" t="n"/>
      <c r="E3508" s="212" t="n"/>
    </row>
    <row r="3509">
      <c r="B3509" s="291" t="n"/>
      <c r="E3509" s="212" t="n"/>
    </row>
    <row r="3510">
      <c r="B3510" s="291" t="n"/>
      <c r="E3510" s="212" t="n"/>
    </row>
    <row r="3511">
      <c r="B3511" s="291" t="n"/>
      <c r="E3511" s="212" t="n"/>
    </row>
    <row r="3512">
      <c r="B3512" s="291" t="n"/>
      <c r="E3512" s="212" t="n"/>
    </row>
    <row r="3513">
      <c r="B3513" s="291" t="n"/>
      <c r="E3513" s="212" t="n"/>
    </row>
    <row r="3514">
      <c r="B3514" s="291" t="n"/>
      <c r="E3514" s="212" t="n"/>
    </row>
    <row r="3515">
      <c r="B3515" s="291" t="n"/>
      <c r="E3515" s="212" t="n"/>
    </row>
    <row r="3516">
      <c r="B3516" s="291" t="n"/>
      <c r="E3516" s="212" t="n"/>
    </row>
    <row r="3517">
      <c r="B3517" s="291" t="n"/>
      <c r="E3517" s="212" t="n"/>
    </row>
    <row r="3518">
      <c r="B3518" s="291" t="n"/>
      <c r="E3518" s="212" t="n"/>
    </row>
    <row r="3519">
      <c r="B3519" s="291" t="n"/>
      <c r="E3519" s="212" t="n"/>
    </row>
    <row r="3520">
      <c r="B3520" s="291" t="n"/>
      <c r="E3520" s="212" t="n"/>
    </row>
    <row r="3521">
      <c r="B3521" s="291" t="n"/>
      <c r="E3521" s="212" t="n"/>
    </row>
    <row r="3522">
      <c r="B3522" s="291" t="n"/>
      <c r="E3522" s="212" t="n"/>
    </row>
    <row r="3523">
      <c r="B3523" s="291" t="n"/>
      <c r="E3523" s="212" t="n"/>
    </row>
    <row r="3524">
      <c r="B3524" s="291" t="n"/>
      <c r="E3524" s="212" t="n"/>
    </row>
    <row r="3525">
      <c r="B3525" s="291" t="n"/>
      <c r="E3525" s="212" t="n"/>
    </row>
    <row r="3526">
      <c r="B3526" s="291" t="n"/>
      <c r="E3526" s="212" t="n"/>
    </row>
    <row r="3527">
      <c r="B3527" s="291" t="n"/>
      <c r="E3527" s="212" t="n"/>
    </row>
    <row r="3528">
      <c r="B3528" s="291" t="n"/>
      <c r="E3528" s="212" t="n"/>
    </row>
    <row r="3529">
      <c r="B3529" s="291" t="n"/>
      <c r="E3529" s="212" t="n"/>
    </row>
    <row r="3530">
      <c r="B3530" s="291" t="n"/>
      <c r="E3530" s="212" t="n"/>
    </row>
    <row r="3531">
      <c r="B3531" s="291" t="n"/>
      <c r="E3531" s="212" t="n"/>
    </row>
    <row r="3532">
      <c r="B3532" s="291" t="n"/>
      <c r="E3532" s="212" t="n"/>
    </row>
    <row r="3533">
      <c r="B3533" s="291" t="n"/>
      <c r="E3533" s="212" t="n"/>
    </row>
    <row r="3534">
      <c r="B3534" s="291" t="n"/>
      <c r="E3534" s="212" t="n"/>
    </row>
    <row r="3535">
      <c r="B3535" s="291" t="n"/>
      <c r="E3535" s="212" t="n"/>
    </row>
    <row r="3536">
      <c r="B3536" s="291" t="n"/>
      <c r="E3536" s="212" t="n"/>
    </row>
    <row r="3537">
      <c r="B3537" s="291" t="n"/>
      <c r="E3537" s="212" t="n"/>
    </row>
    <row r="3538">
      <c r="B3538" s="291" t="n"/>
      <c r="E3538" s="212" t="n"/>
    </row>
    <row r="3539">
      <c r="B3539" s="291" t="n"/>
      <c r="E3539" s="212" t="n"/>
    </row>
    <row r="3540">
      <c r="B3540" s="291" t="n"/>
      <c r="E3540" s="212" t="n"/>
    </row>
    <row r="3541">
      <c r="B3541" s="291" t="n"/>
      <c r="E3541" s="212" t="n"/>
    </row>
    <row r="3542">
      <c r="B3542" s="291" t="n"/>
      <c r="E3542" s="212" t="n"/>
    </row>
    <row r="3543">
      <c r="B3543" s="291" t="n"/>
      <c r="E3543" s="212" t="n"/>
    </row>
    <row r="3544">
      <c r="B3544" s="291" t="n"/>
      <c r="E3544" s="212" t="n"/>
    </row>
    <row r="3545">
      <c r="B3545" s="291" t="n"/>
      <c r="E3545" s="212" t="n"/>
    </row>
    <row r="3546">
      <c r="B3546" s="291" t="n"/>
      <c r="E3546" s="212" t="n"/>
    </row>
    <row r="3547">
      <c r="B3547" s="291" t="n"/>
      <c r="E3547" s="212" t="n"/>
    </row>
    <row r="3548">
      <c r="B3548" s="291" t="n"/>
      <c r="E3548" s="212" t="n"/>
    </row>
    <row r="3549">
      <c r="B3549" s="291" t="n"/>
      <c r="E3549" s="212" t="n"/>
    </row>
    <row r="3550">
      <c r="B3550" s="291" t="n"/>
      <c r="E3550" s="212" t="n"/>
    </row>
    <row r="3551">
      <c r="B3551" s="291" t="n"/>
      <c r="E3551" s="212" t="n"/>
    </row>
    <row r="3552">
      <c r="B3552" s="291" t="n"/>
      <c r="E3552" s="212" t="n"/>
    </row>
    <row r="3553">
      <c r="B3553" s="291" t="n"/>
      <c r="E3553" s="212" t="n"/>
    </row>
    <row r="3554">
      <c r="B3554" s="291" t="n"/>
      <c r="E3554" s="212" t="n"/>
    </row>
    <row r="3555">
      <c r="B3555" s="291" t="n"/>
      <c r="E3555" s="212" t="n"/>
    </row>
    <row r="3556">
      <c r="B3556" s="291" t="n"/>
      <c r="E3556" s="212" t="n"/>
    </row>
    <row r="3557">
      <c r="B3557" s="291" t="n"/>
      <c r="E3557" s="212" t="n"/>
    </row>
    <row r="3558">
      <c r="B3558" s="291" t="n"/>
      <c r="E3558" s="212" t="n"/>
    </row>
    <row r="3559">
      <c r="B3559" s="291" t="n"/>
      <c r="E3559" s="212" t="n"/>
    </row>
    <row r="3560">
      <c r="B3560" s="291" t="n"/>
      <c r="E3560" s="212" t="n"/>
    </row>
    <row r="3561">
      <c r="B3561" s="291" t="n"/>
      <c r="E3561" s="212" t="n"/>
    </row>
    <row r="3562">
      <c r="B3562" s="291" t="n"/>
      <c r="E3562" s="212" t="n"/>
    </row>
    <row r="3563">
      <c r="B3563" s="291" t="n"/>
      <c r="E3563" s="212" t="n"/>
    </row>
    <row r="3564">
      <c r="B3564" s="291" t="n"/>
      <c r="E3564" s="212" t="n"/>
    </row>
    <row r="3565">
      <c r="B3565" s="291" t="n"/>
      <c r="E3565" s="212" t="n"/>
    </row>
    <row r="3566">
      <c r="B3566" s="291" t="n"/>
      <c r="E3566" s="212" t="n"/>
    </row>
    <row r="3567">
      <c r="B3567" s="291" t="n"/>
      <c r="E3567" s="212" t="n"/>
    </row>
    <row r="3568">
      <c r="B3568" s="291" t="n"/>
      <c r="E3568" s="212" t="n"/>
    </row>
    <row r="3569">
      <c r="B3569" s="291" t="n"/>
      <c r="E3569" s="212" t="n"/>
    </row>
    <row r="3570">
      <c r="B3570" s="291" t="n"/>
      <c r="E3570" s="212" t="n"/>
    </row>
    <row r="3571">
      <c r="B3571" s="291" t="n"/>
      <c r="E3571" s="212" t="n"/>
    </row>
    <row r="3572">
      <c r="B3572" s="291" t="n"/>
      <c r="E3572" s="212" t="n"/>
    </row>
    <row r="3573">
      <c r="B3573" s="291" t="n"/>
      <c r="E3573" s="212" t="n"/>
    </row>
    <row r="3574">
      <c r="B3574" s="291" t="n"/>
      <c r="E3574" s="212" t="n"/>
    </row>
    <row r="3575">
      <c r="B3575" s="291" t="n"/>
      <c r="E3575" s="212" t="n"/>
    </row>
    <row r="3576">
      <c r="B3576" s="291" t="n"/>
      <c r="E3576" s="212" t="n"/>
    </row>
    <row r="3577">
      <c r="B3577" s="291" t="n"/>
      <c r="E3577" s="212" t="n"/>
    </row>
    <row r="3578">
      <c r="B3578" s="291" t="n"/>
      <c r="E3578" s="212" t="n"/>
    </row>
    <row r="3579">
      <c r="B3579" s="291" t="n"/>
      <c r="E3579" s="212" t="n"/>
    </row>
    <row r="3580">
      <c r="B3580" s="291" t="n"/>
      <c r="E3580" s="212" t="n"/>
    </row>
    <row r="3581">
      <c r="B3581" s="291" t="n"/>
      <c r="E3581" s="212" t="n"/>
    </row>
    <row r="3582">
      <c r="B3582" s="291" t="n"/>
      <c r="E3582" s="212" t="n"/>
    </row>
    <row r="3583">
      <c r="B3583" s="291" t="n"/>
      <c r="E3583" s="212" t="n"/>
    </row>
    <row r="3584">
      <c r="B3584" s="291" t="n"/>
      <c r="E3584" s="212" t="n"/>
    </row>
    <row r="3585">
      <c r="B3585" s="291" t="n"/>
      <c r="E3585" s="212" t="n"/>
    </row>
    <row r="3586">
      <c r="B3586" s="291" t="n"/>
      <c r="E3586" s="212" t="n"/>
    </row>
    <row r="3587">
      <c r="B3587" s="291" t="n"/>
      <c r="E3587" s="212" t="n"/>
    </row>
    <row r="3588">
      <c r="B3588" s="291" t="n"/>
      <c r="E3588" s="212" t="n"/>
    </row>
    <row r="3589">
      <c r="B3589" s="291" t="n"/>
      <c r="E3589" s="212" t="n"/>
    </row>
    <row r="3590">
      <c r="B3590" s="291" t="n"/>
      <c r="E3590" s="212" t="n"/>
    </row>
    <row r="3591">
      <c r="B3591" s="291" t="n"/>
      <c r="E3591" s="212" t="n"/>
    </row>
    <row r="3592">
      <c r="B3592" s="291" t="n"/>
      <c r="E3592" s="212" t="n"/>
    </row>
    <row r="3593">
      <c r="B3593" s="291" t="n"/>
      <c r="E3593" s="212" t="n"/>
    </row>
    <row r="3594">
      <c r="B3594" s="291" t="n"/>
      <c r="E3594" s="212" t="n"/>
    </row>
    <row r="3595">
      <c r="B3595" s="291" t="n"/>
      <c r="E3595" s="212" t="n"/>
    </row>
    <row r="3596">
      <c r="B3596" s="291" t="n"/>
      <c r="E3596" s="212" t="n"/>
    </row>
    <row r="3597">
      <c r="B3597" s="291" t="n"/>
      <c r="E3597" s="212" t="n"/>
    </row>
    <row r="3598">
      <c r="B3598" s="291" t="n"/>
      <c r="E3598" s="212" t="n"/>
    </row>
    <row r="3599">
      <c r="B3599" s="291" t="n"/>
      <c r="E3599" s="212" t="n"/>
    </row>
    <row r="3600">
      <c r="B3600" s="291" t="n"/>
      <c r="E3600" s="212" t="n"/>
    </row>
    <row r="3601">
      <c r="B3601" s="291" t="n"/>
      <c r="E3601" s="212" t="n"/>
    </row>
    <row r="3602">
      <c r="B3602" s="291" t="n"/>
      <c r="E3602" s="212" t="n"/>
    </row>
    <row r="3603">
      <c r="B3603" s="291" t="n"/>
      <c r="E3603" s="212" t="n"/>
    </row>
    <row r="3604">
      <c r="B3604" s="291" t="n"/>
      <c r="E3604" s="212" t="n"/>
    </row>
    <row r="3605">
      <c r="B3605" s="291" t="n"/>
      <c r="E3605" s="212" t="n"/>
    </row>
    <row r="3606">
      <c r="B3606" s="291" t="n"/>
      <c r="E3606" s="212" t="n"/>
    </row>
    <row r="3607">
      <c r="B3607" s="291" t="n"/>
      <c r="E3607" s="212" t="n"/>
    </row>
    <row r="3608">
      <c r="B3608" s="291" t="n"/>
      <c r="E3608" s="212" t="n"/>
    </row>
    <row r="3609">
      <c r="B3609" s="291" t="n"/>
      <c r="E3609" s="212" t="n"/>
    </row>
    <row r="3610">
      <c r="B3610" s="291" t="n"/>
      <c r="E3610" s="212" t="n"/>
    </row>
    <row r="3611">
      <c r="B3611" s="291" t="n"/>
      <c r="E3611" s="212" t="n"/>
    </row>
    <row r="3612">
      <c r="B3612" s="291" t="n"/>
      <c r="E3612" s="212" t="n"/>
    </row>
    <row r="3613">
      <c r="B3613" s="291" t="n"/>
      <c r="E3613" s="212" t="n"/>
    </row>
    <row r="3614">
      <c r="B3614" s="291" t="n"/>
      <c r="E3614" s="212" t="n"/>
    </row>
    <row r="3615">
      <c r="B3615" s="291" t="n"/>
      <c r="E3615" s="212" t="n"/>
    </row>
    <row r="3616">
      <c r="B3616" s="291" t="n"/>
      <c r="E3616" s="212" t="n"/>
    </row>
    <row r="3617">
      <c r="B3617" s="291" t="n"/>
      <c r="E3617" s="212" t="n"/>
    </row>
    <row r="3618">
      <c r="B3618" s="291" t="n"/>
      <c r="E3618" s="212" t="n"/>
    </row>
    <row r="3619">
      <c r="B3619" s="291" t="n"/>
      <c r="E3619" s="212" t="n"/>
    </row>
    <row r="3620">
      <c r="B3620" s="291" t="n"/>
      <c r="E3620" s="212" t="n"/>
    </row>
    <row r="3621">
      <c r="B3621" s="291" t="n"/>
      <c r="E3621" s="212" t="n"/>
    </row>
    <row r="3622">
      <c r="B3622" s="291" t="n"/>
      <c r="E3622" s="212" t="n"/>
    </row>
    <row r="3623">
      <c r="B3623" s="291" t="n"/>
      <c r="E3623" s="212" t="n"/>
    </row>
    <row r="3624">
      <c r="B3624" s="291" t="n"/>
      <c r="E3624" s="212" t="n"/>
    </row>
    <row r="3625">
      <c r="B3625" s="291" t="n"/>
      <c r="E3625" s="212" t="n"/>
    </row>
    <row r="3626">
      <c r="B3626" s="291" t="n"/>
      <c r="E3626" s="212" t="n"/>
    </row>
    <row r="3627">
      <c r="B3627" s="291" t="n"/>
      <c r="E3627" s="212" t="n"/>
    </row>
    <row r="3628">
      <c r="B3628" s="291" t="n"/>
      <c r="E3628" s="212" t="n"/>
    </row>
    <row r="3629">
      <c r="B3629" s="291" t="n"/>
      <c r="E3629" s="212" t="n"/>
    </row>
    <row r="3630">
      <c r="B3630" s="291" t="n"/>
      <c r="E3630" s="212" t="n"/>
    </row>
    <row r="3631">
      <c r="B3631" s="291" t="n"/>
      <c r="E3631" s="212" t="n"/>
    </row>
    <row r="3632">
      <c r="B3632" s="291" t="n"/>
      <c r="E3632" s="212" t="n"/>
    </row>
    <row r="3633">
      <c r="B3633" s="291" t="n"/>
      <c r="E3633" s="212" t="n"/>
    </row>
    <row r="3634">
      <c r="B3634" s="291" t="n"/>
      <c r="E3634" s="212" t="n"/>
    </row>
    <row r="3635">
      <c r="B3635" s="291" t="n"/>
      <c r="E3635" s="212" t="n"/>
    </row>
    <row r="3636">
      <c r="B3636" s="291" t="n"/>
      <c r="E3636" s="212" t="n"/>
    </row>
    <row r="3637">
      <c r="B3637" s="291" t="n"/>
      <c r="E3637" s="212" t="n"/>
    </row>
    <row r="3638">
      <c r="B3638" s="291" t="n"/>
      <c r="E3638" s="212" t="n"/>
    </row>
    <row r="3639">
      <c r="B3639" s="291" t="n"/>
      <c r="E3639" s="212" t="n"/>
    </row>
    <row r="3640">
      <c r="B3640" s="291" t="n"/>
      <c r="E3640" s="212" t="n"/>
    </row>
    <row r="3641">
      <c r="B3641" s="291" t="n"/>
      <c r="E3641" s="212" t="n"/>
    </row>
    <row r="3642">
      <c r="B3642" s="291" t="n"/>
      <c r="E3642" s="212" t="n"/>
    </row>
    <row r="3643">
      <c r="B3643" s="291" t="n"/>
      <c r="E3643" s="212" t="n"/>
    </row>
    <row r="3644">
      <c r="B3644" s="291" t="n"/>
      <c r="E3644" s="212" t="n"/>
    </row>
    <row r="3645">
      <c r="B3645" s="291" t="n"/>
      <c r="E3645" s="212" t="n"/>
    </row>
    <row r="3646">
      <c r="B3646" s="291" t="n"/>
      <c r="E3646" s="212" t="n"/>
    </row>
    <row r="3647">
      <c r="B3647" s="291" t="n"/>
      <c r="E3647" s="212" t="n"/>
    </row>
    <row r="3648">
      <c r="B3648" s="291" t="n"/>
      <c r="E3648" s="212" t="n"/>
    </row>
    <row r="3649">
      <c r="B3649" s="291" t="n"/>
      <c r="E3649" s="212" t="n"/>
    </row>
    <row r="3650">
      <c r="B3650" s="291" t="n"/>
      <c r="E3650" s="212" t="n"/>
    </row>
    <row r="3651">
      <c r="B3651" s="291" t="n"/>
      <c r="E3651" s="212" t="n"/>
    </row>
    <row r="3652">
      <c r="B3652" s="291" t="n"/>
      <c r="E3652" s="212" t="n"/>
    </row>
    <row r="3653">
      <c r="B3653" s="291" t="n"/>
      <c r="E3653" s="212" t="n"/>
    </row>
    <row r="3654">
      <c r="B3654" s="291" t="n"/>
      <c r="E3654" s="212" t="n"/>
    </row>
    <row r="3655">
      <c r="B3655" s="291" t="n"/>
      <c r="E3655" s="212" t="n"/>
    </row>
    <row r="3656">
      <c r="B3656" s="291" t="n"/>
      <c r="E3656" s="212" t="n"/>
    </row>
    <row r="3657">
      <c r="B3657" s="291" t="n"/>
      <c r="E3657" s="212" t="n"/>
    </row>
    <row r="3658">
      <c r="B3658" s="291" t="n"/>
      <c r="E3658" s="212" t="n"/>
    </row>
    <row r="3659">
      <c r="B3659" s="291" t="n"/>
      <c r="E3659" s="212" t="n"/>
    </row>
    <row r="3660">
      <c r="B3660" s="291" t="n"/>
      <c r="E3660" s="212" t="n"/>
    </row>
    <row r="3661">
      <c r="B3661" s="291" t="n"/>
      <c r="E3661" s="212" t="n"/>
    </row>
    <row r="3662">
      <c r="B3662" s="291" t="n"/>
      <c r="E3662" s="212" t="n"/>
    </row>
    <row r="3663">
      <c r="B3663" s="291" t="n"/>
      <c r="E3663" s="212" t="n"/>
    </row>
    <row r="3664">
      <c r="B3664" s="291" t="n"/>
      <c r="E3664" s="212" t="n"/>
    </row>
    <row r="3665">
      <c r="B3665" s="291" t="n"/>
      <c r="E3665" s="212" t="n"/>
    </row>
    <row r="3666">
      <c r="B3666" s="291" t="n"/>
      <c r="E3666" s="212" t="n"/>
    </row>
    <row r="3667">
      <c r="B3667" s="291" t="n"/>
      <c r="E3667" s="212" t="n"/>
    </row>
    <row r="3668">
      <c r="B3668" s="291" t="n"/>
      <c r="E3668" s="212" t="n"/>
    </row>
    <row r="3669">
      <c r="B3669" s="291" t="n"/>
      <c r="E3669" s="212" t="n"/>
    </row>
    <row r="3670">
      <c r="B3670" s="291" t="n"/>
      <c r="E3670" s="212" t="n"/>
    </row>
    <row r="3671">
      <c r="B3671" s="291" t="n"/>
      <c r="E3671" s="212" t="n"/>
    </row>
    <row r="3672">
      <c r="B3672" s="291" t="n"/>
      <c r="E3672" s="212" t="n"/>
    </row>
    <row r="3673">
      <c r="B3673" s="291" t="n"/>
      <c r="E3673" s="212" t="n"/>
    </row>
    <row r="3674">
      <c r="B3674" s="291" t="n"/>
      <c r="E3674" s="212" t="n"/>
    </row>
    <row r="3675">
      <c r="B3675" s="291" t="n"/>
      <c r="E3675" s="212" t="n"/>
    </row>
    <row r="3676">
      <c r="B3676" s="291" t="n"/>
      <c r="E3676" s="212" t="n"/>
    </row>
    <row r="3677">
      <c r="B3677" s="291" t="n"/>
      <c r="E3677" s="212" t="n"/>
    </row>
    <row r="3678">
      <c r="B3678" s="291" t="n"/>
      <c r="E3678" s="212" t="n"/>
    </row>
    <row r="3679">
      <c r="B3679" s="291" t="n"/>
      <c r="E3679" s="212" t="n"/>
    </row>
    <row r="3680">
      <c r="B3680" s="291" t="n"/>
      <c r="E3680" s="212" t="n"/>
    </row>
    <row r="3681">
      <c r="B3681" s="291" t="n"/>
      <c r="E3681" s="212" t="n"/>
    </row>
    <row r="3682">
      <c r="B3682" s="291" t="n"/>
      <c r="E3682" s="212" t="n"/>
    </row>
    <row r="3683">
      <c r="B3683" s="291" t="n"/>
      <c r="E3683" s="212" t="n"/>
    </row>
    <row r="3684">
      <c r="B3684" s="291" t="n"/>
      <c r="E3684" s="212" t="n"/>
    </row>
    <row r="3685">
      <c r="B3685" s="291" t="n"/>
      <c r="E3685" s="212" t="n"/>
    </row>
    <row r="3686">
      <c r="B3686" s="291" t="n"/>
      <c r="E3686" s="212" t="n"/>
    </row>
    <row r="3687">
      <c r="B3687" s="291" t="n"/>
      <c r="E3687" s="212" t="n"/>
    </row>
    <row r="3688">
      <c r="B3688" s="291" t="n"/>
      <c r="E3688" s="212" t="n"/>
    </row>
    <row r="3689">
      <c r="B3689" s="291" t="n"/>
      <c r="E3689" s="212" t="n"/>
    </row>
    <row r="3690">
      <c r="B3690" s="291" t="n"/>
      <c r="E3690" s="212" t="n"/>
    </row>
    <row r="3691">
      <c r="B3691" s="291" t="n"/>
      <c r="E3691" s="212" t="n"/>
    </row>
    <row r="3692">
      <c r="B3692" s="291" t="n"/>
      <c r="E3692" s="212" t="n"/>
    </row>
    <row r="3693">
      <c r="B3693" s="291" t="n"/>
      <c r="E3693" s="212" t="n"/>
    </row>
    <row r="3694">
      <c r="B3694" s="291" t="n"/>
      <c r="E3694" s="212" t="n"/>
    </row>
    <row r="3695">
      <c r="B3695" s="291" t="n"/>
      <c r="E3695" s="212" t="n"/>
    </row>
    <row r="3696">
      <c r="B3696" s="291" t="n"/>
      <c r="E3696" s="212" t="n"/>
    </row>
    <row r="3697">
      <c r="B3697" s="291" t="n"/>
      <c r="E3697" s="212" t="n"/>
    </row>
    <row r="3698">
      <c r="B3698" s="291" t="n"/>
      <c r="E3698" s="212" t="n"/>
    </row>
    <row r="3699">
      <c r="B3699" s="291" t="n"/>
      <c r="E3699" s="212" t="n"/>
    </row>
    <row r="3700">
      <c r="B3700" s="291" t="n"/>
      <c r="E3700" s="212" t="n"/>
    </row>
    <row r="3701">
      <c r="B3701" s="291" t="n"/>
      <c r="E3701" s="212" t="n"/>
    </row>
    <row r="3702">
      <c r="B3702" s="291" t="n"/>
      <c r="E3702" s="212" t="n"/>
    </row>
    <row r="3703">
      <c r="B3703" s="291" t="n"/>
      <c r="E3703" s="212" t="n"/>
    </row>
    <row r="3704">
      <c r="B3704" s="291" t="n"/>
      <c r="E3704" s="212" t="n"/>
    </row>
    <row r="3705">
      <c r="B3705" s="291" t="n"/>
      <c r="E3705" s="212" t="n"/>
    </row>
    <row r="3706">
      <c r="B3706" s="291" t="n"/>
      <c r="E3706" s="212" t="n"/>
    </row>
    <row r="3707">
      <c r="B3707" s="291" t="n"/>
      <c r="E3707" s="212" t="n"/>
    </row>
    <row r="3708">
      <c r="B3708" s="291" t="n"/>
      <c r="E3708" s="212" t="n"/>
    </row>
    <row r="3709">
      <c r="B3709" s="291" t="n"/>
      <c r="E3709" s="212" t="n"/>
    </row>
    <row r="3710">
      <c r="B3710" s="291" t="n"/>
      <c r="E3710" s="212" t="n"/>
    </row>
    <row r="3711">
      <c r="B3711" s="291" t="n"/>
      <c r="E3711" s="212" t="n"/>
    </row>
    <row r="3712">
      <c r="B3712" s="291" t="n"/>
      <c r="E3712" s="212" t="n"/>
    </row>
    <row r="3713">
      <c r="B3713" s="291" t="n"/>
      <c r="E3713" s="212" t="n"/>
    </row>
    <row r="3714">
      <c r="B3714" s="291" t="n"/>
      <c r="E3714" s="212" t="n"/>
    </row>
    <row r="3715">
      <c r="B3715" s="291" t="n"/>
      <c r="E3715" s="212" t="n"/>
    </row>
    <row r="3716">
      <c r="B3716" s="291" t="n"/>
      <c r="E3716" s="212" t="n"/>
    </row>
    <row r="3717">
      <c r="B3717" s="291" t="n"/>
      <c r="E3717" s="212" t="n"/>
    </row>
    <row r="3718">
      <c r="B3718" s="291" t="n"/>
      <c r="E3718" s="212" t="n"/>
    </row>
    <row r="3719">
      <c r="B3719" s="291" t="n"/>
      <c r="E3719" s="212" t="n"/>
    </row>
    <row r="3720">
      <c r="B3720" s="291" t="n"/>
      <c r="E3720" s="212" t="n"/>
    </row>
    <row r="3721">
      <c r="B3721" s="291" t="n"/>
      <c r="E3721" s="212" t="n"/>
    </row>
    <row r="3722">
      <c r="B3722" s="291" t="n"/>
      <c r="E3722" s="212" t="n"/>
    </row>
    <row r="3723">
      <c r="B3723" s="291" t="n"/>
      <c r="E3723" s="212" t="n"/>
    </row>
    <row r="3724">
      <c r="B3724" s="291" t="n"/>
      <c r="E3724" s="212" t="n"/>
    </row>
    <row r="3725">
      <c r="B3725" s="291" t="n"/>
      <c r="E3725" s="212" t="n"/>
    </row>
    <row r="3726">
      <c r="B3726" s="291" t="n"/>
      <c r="E3726" s="212" t="n"/>
    </row>
    <row r="3727">
      <c r="B3727" s="291" t="n"/>
      <c r="E3727" s="212" t="n"/>
    </row>
    <row r="3728">
      <c r="B3728" s="291" t="n"/>
      <c r="E3728" s="212" t="n"/>
    </row>
    <row r="3729">
      <c r="B3729" s="291" t="n"/>
      <c r="E3729" s="212" t="n"/>
    </row>
    <row r="3730">
      <c r="B3730" s="291" t="n"/>
      <c r="E3730" s="212" t="n"/>
    </row>
    <row r="3731">
      <c r="B3731" s="291" t="n"/>
      <c r="E3731" s="212" t="n"/>
    </row>
    <row r="3732">
      <c r="B3732" s="291" t="n"/>
      <c r="E3732" s="212" t="n"/>
    </row>
    <row r="3733">
      <c r="B3733" s="291" t="n"/>
      <c r="E3733" s="212" t="n"/>
    </row>
    <row r="3734">
      <c r="B3734" s="291" t="n"/>
      <c r="E3734" s="212" t="n"/>
    </row>
    <row r="3735">
      <c r="B3735" s="291" t="n"/>
      <c r="E3735" s="212" t="n"/>
    </row>
    <row r="3736">
      <c r="B3736" s="291" t="n"/>
      <c r="E3736" s="212" t="n"/>
    </row>
    <row r="3737">
      <c r="B3737" s="291" t="n"/>
      <c r="E3737" s="212" t="n"/>
    </row>
    <row r="3738">
      <c r="B3738" s="291" t="n"/>
      <c r="E3738" s="212" t="n"/>
    </row>
    <row r="3739">
      <c r="B3739" s="291" t="n"/>
      <c r="E3739" s="212" t="n"/>
    </row>
    <row r="3740">
      <c r="B3740" s="291" t="n"/>
      <c r="E3740" s="212" t="n"/>
    </row>
    <row r="3741">
      <c r="B3741" s="291" t="n"/>
      <c r="E3741" s="212" t="n"/>
    </row>
    <row r="3742">
      <c r="B3742" s="291" t="n"/>
      <c r="E3742" s="212" t="n"/>
    </row>
    <row r="3743">
      <c r="B3743" s="291" t="n"/>
      <c r="E3743" s="212" t="n"/>
    </row>
    <row r="3744">
      <c r="B3744" s="291" t="n"/>
      <c r="E3744" s="212" t="n"/>
    </row>
    <row r="3745">
      <c r="B3745" s="291" t="n"/>
      <c r="E3745" s="212" t="n"/>
    </row>
    <row r="3746">
      <c r="B3746" s="291" t="n"/>
      <c r="E3746" s="212" t="n"/>
    </row>
    <row r="3747">
      <c r="B3747" s="291" t="n"/>
      <c r="E3747" s="212" t="n"/>
    </row>
    <row r="3748">
      <c r="B3748" s="291" t="n"/>
      <c r="E3748" s="212" t="n"/>
    </row>
    <row r="3749">
      <c r="B3749" s="291" t="n"/>
      <c r="E3749" s="212" t="n"/>
    </row>
    <row r="3750">
      <c r="B3750" s="291" t="n"/>
      <c r="E3750" s="212" t="n"/>
    </row>
    <row r="3751">
      <c r="B3751" s="291" t="n"/>
      <c r="E3751" s="212" t="n"/>
    </row>
    <row r="3752">
      <c r="B3752" s="291" t="n"/>
      <c r="E3752" s="212" t="n"/>
    </row>
    <row r="3753">
      <c r="B3753" s="291" t="n"/>
      <c r="E3753" s="212" t="n"/>
    </row>
    <row r="3754">
      <c r="B3754" s="291" t="n"/>
      <c r="E3754" s="212" t="n"/>
    </row>
    <row r="3755">
      <c r="B3755" s="291" t="n"/>
      <c r="E3755" s="212" t="n"/>
    </row>
    <row r="3756">
      <c r="B3756" s="291" t="n"/>
      <c r="E3756" s="212" t="n"/>
    </row>
    <row r="3757">
      <c r="B3757" s="291" t="n"/>
      <c r="E3757" s="212" t="n"/>
    </row>
    <row r="3758">
      <c r="B3758" s="291" t="n"/>
      <c r="E3758" s="212" t="n"/>
    </row>
    <row r="3759">
      <c r="B3759" s="291" t="n"/>
      <c r="E3759" s="212" t="n"/>
    </row>
    <row r="3760">
      <c r="B3760" s="291" t="n"/>
      <c r="E3760" s="212" t="n"/>
    </row>
    <row r="3761">
      <c r="B3761" s="291" t="n"/>
      <c r="E3761" s="212" t="n"/>
    </row>
    <row r="3762">
      <c r="B3762" s="291" t="n"/>
      <c r="E3762" s="212" t="n"/>
    </row>
    <row r="3763">
      <c r="B3763" s="291" t="n"/>
      <c r="E3763" s="212" t="n"/>
    </row>
    <row r="3764">
      <c r="B3764" s="291" t="n"/>
      <c r="E3764" s="212" t="n"/>
    </row>
    <row r="3765">
      <c r="B3765" s="291" t="n"/>
      <c r="E3765" s="212" t="n"/>
    </row>
    <row r="3766">
      <c r="B3766" s="291" t="n"/>
      <c r="E3766" s="212" t="n"/>
    </row>
    <row r="3767">
      <c r="B3767" s="291" t="n"/>
      <c r="E3767" s="212" t="n"/>
    </row>
    <row r="3768">
      <c r="B3768" s="291" t="n"/>
      <c r="E3768" s="212" t="n"/>
    </row>
    <row r="3769">
      <c r="B3769" s="291" t="n"/>
      <c r="E3769" s="212" t="n"/>
    </row>
    <row r="3770">
      <c r="B3770" s="291" t="n"/>
      <c r="E3770" s="212" t="n"/>
    </row>
    <row r="3771">
      <c r="B3771" s="291" t="n"/>
      <c r="E3771" s="212" t="n"/>
    </row>
    <row r="3772">
      <c r="B3772" s="291" t="n"/>
      <c r="E3772" s="212" t="n"/>
    </row>
    <row r="3773">
      <c r="B3773" s="291" t="n"/>
      <c r="E3773" s="212" t="n"/>
    </row>
    <row r="3774">
      <c r="B3774" s="291" t="n"/>
      <c r="E3774" s="212" t="n"/>
    </row>
    <row r="3775">
      <c r="B3775" s="291" t="n"/>
      <c r="E3775" s="212" t="n"/>
    </row>
    <row r="3776">
      <c r="B3776" s="291" t="n"/>
      <c r="E3776" s="212" t="n"/>
    </row>
    <row r="3777">
      <c r="B3777" s="291" t="n"/>
      <c r="E3777" s="212" t="n"/>
    </row>
    <row r="3778">
      <c r="B3778" s="291" t="n"/>
      <c r="E3778" s="212" t="n"/>
    </row>
    <row r="3779">
      <c r="B3779" s="291" t="n"/>
      <c r="E3779" s="212" t="n"/>
    </row>
    <row r="3780">
      <c r="B3780" s="291" t="n"/>
      <c r="E3780" s="212" t="n"/>
    </row>
    <row r="3781">
      <c r="B3781" s="291" t="n"/>
      <c r="E3781" s="212" t="n"/>
    </row>
    <row r="3782">
      <c r="B3782" s="291" t="n"/>
      <c r="E3782" s="212" t="n"/>
    </row>
    <row r="3783">
      <c r="B3783" s="291" t="n"/>
      <c r="E3783" s="212" t="n"/>
    </row>
    <row r="3784">
      <c r="B3784" s="291" t="n"/>
      <c r="E3784" s="212" t="n"/>
    </row>
    <row r="3785">
      <c r="B3785" s="291" t="n"/>
      <c r="E3785" s="212" t="n"/>
    </row>
    <row r="3786">
      <c r="B3786" s="291" t="n"/>
      <c r="E3786" s="212" t="n"/>
    </row>
    <row r="3787">
      <c r="B3787" s="291" t="n"/>
      <c r="E3787" s="212" t="n"/>
    </row>
    <row r="3788">
      <c r="B3788" s="291" t="n"/>
      <c r="E3788" s="212" t="n"/>
    </row>
    <row r="3789">
      <c r="B3789" s="291" t="n"/>
      <c r="E3789" s="212" t="n"/>
    </row>
    <row r="3790">
      <c r="B3790" s="291" t="n"/>
      <c r="E3790" s="212" t="n"/>
    </row>
    <row r="3791">
      <c r="B3791" s="291" t="n"/>
      <c r="E3791" s="212" t="n"/>
    </row>
    <row r="3792">
      <c r="B3792" s="291" t="n"/>
      <c r="E3792" s="212" t="n"/>
    </row>
    <row r="3793">
      <c r="B3793" s="291" t="n"/>
      <c r="E3793" s="212" t="n"/>
    </row>
    <row r="3794">
      <c r="B3794" s="291" t="n"/>
      <c r="E3794" s="212" t="n"/>
    </row>
    <row r="3795">
      <c r="B3795" s="291" t="n"/>
      <c r="E3795" s="212" t="n"/>
    </row>
    <row r="3796">
      <c r="B3796" s="291" t="n"/>
      <c r="E3796" s="212" t="n"/>
    </row>
    <row r="3797">
      <c r="B3797" s="291" t="n"/>
      <c r="E3797" s="212" t="n"/>
    </row>
    <row r="3798">
      <c r="B3798" s="291" t="n"/>
      <c r="E3798" s="212" t="n"/>
    </row>
    <row r="3799">
      <c r="B3799" s="291" t="n"/>
      <c r="E3799" s="212" t="n"/>
    </row>
    <row r="3800">
      <c r="B3800" s="291" t="n"/>
      <c r="E3800" s="212" t="n"/>
    </row>
    <row r="3801">
      <c r="B3801" s="291" t="n"/>
      <c r="E3801" s="212" t="n"/>
    </row>
    <row r="3802">
      <c r="B3802" s="291" t="n"/>
      <c r="E3802" s="212" t="n"/>
    </row>
    <row r="3803">
      <c r="B3803" s="291" t="n"/>
      <c r="E3803" s="212" t="n"/>
    </row>
    <row r="3804">
      <c r="B3804" s="291" t="n"/>
      <c r="E3804" s="212" t="n"/>
    </row>
    <row r="3805">
      <c r="B3805" s="291" t="n"/>
      <c r="E3805" s="212" t="n"/>
    </row>
    <row r="3806">
      <c r="B3806" s="291" t="n"/>
      <c r="E3806" s="212" t="n"/>
    </row>
    <row r="3807">
      <c r="B3807" s="291" t="n"/>
      <c r="E3807" s="212" t="n"/>
    </row>
    <row r="3808">
      <c r="B3808" s="291" t="n"/>
      <c r="E3808" s="212" t="n"/>
    </row>
    <row r="3809">
      <c r="B3809" s="291" t="n"/>
      <c r="E3809" s="212" t="n"/>
    </row>
    <row r="3810">
      <c r="B3810" s="291" t="n"/>
      <c r="E3810" s="212" t="n"/>
    </row>
    <row r="3811">
      <c r="B3811" s="291" t="n"/>
      <c r="E3811" s="212" t="n"/>
    </row>
    <row r="3812">
      <c r="B3812" s="291" t="n"/>
      <c r="E3812" s="212" t="n"/>
    </row>
    <row r="3813">
      <c r="B3813" s="291" t="n"/>
      <c r="E3813" s="212" t="n"/>
    </row>
    <row r="3814">
      <c r="B3814" s="291" t="n"/>
      <c r="E3814" s="212" t="n"/>
    </row>
    <row r="3815">
      <c r="B3815" s="291" t="n"/>
      <c r="E3815" s="212" t="n"/>
    </row>
    <row r="3816">
      <c r="B3816" s="291" t="n"/>
      <c r="E3816" s="212" t="n"/>
    </row>
    <row r="3817">
      <c r="B3817" s="291" t="n"/>
      <c r="E3817" s="212" t="n"/>
    </row>
    <row r="3818">
      <c r="B3818" s="291" t="n"/>
      <c r="E3818" s="212" t="n"/>
    </row>
    <row r="3819">
      <c r="B3819" s="291" t="n"/>
      <c r="E3819" s="212" t="n"/>
    </row>
    <row r="3820">
      <c r="B3820" s="291" t="n"/>
      <c r="E3820" s="212" t="n"/>
    </row>
    <row r="3821">
      <c r="B3821" s="291" t="n"/>
      <c r="E3821" s="212" t="n"/>
    </row>
    <row r="3822">
      <c r="B3822" s="291" t="n"/>
      <c r="E3822" s="212" t="n"/>
    </row>
    <row r="3823">
      <c r="B3823" s="291" t="n"/>
      <c r="E3823" s="212" t="n"/>
    </row>
    <row r="3824">
      <c r="B3824" s="291" t="n"/>
      <c r="E3824" s="212" t="n"/>
    </row>
    <row r="3825">
      <c r="B3825" s="291" t="n"/>
      <c r="E3825" s="212" t="n"/>
    </row>
    <row r="3826">
      <c r="B3826" s="291" t="n"/>
      <c r="E3826" s="212" t="n"/>
    </row>
    <row r="3827">
      <c r="B3827" s="291" t="n"/>
      <c r="E3827" s="212" t="n"/>
    </row>
    <row r="3828">
      <c r="B3828" s="291" t="n"/>
      <c r="E3828" s="212" t="n"/>
    </row>
    <row r="3829">
      <c r="B3829" s="291" t="n"/>
      <c r="E3829" s="212" t="n"/>
    </row>
    <row r="3830">
      <c r="B3830" s="291" t="n"/>
      <c r="E3830" s="212" t="n"/>
    </row>
    <row r="3831">
      <c r="B3831" s="291" t="n"/>
      <c r="E3831" s="212" t="n"/>
    </row>
    <row r="3832">
      <c r="B3832" s="291" t="n"/>
      <c r="E3832" s="212" t="n"/>
    </row>
    <row r="3833">
      <c r="B3833" s="291" t="n"/>
      <c r="E3833" s="212" t="n"/>
    </row>
    <row r="3834">
      <c r="B3834" s="291" t="n"/>
      <c r="E3834" s="212" t="n"/>
    </row>
    <row r="3835">
      <c r="B3835" s="291" t="n"/>
      <c r="E3835" s="212" t="n"/>
    </row>
    <row r="3836">
      <c r="B3836" s="291" t="n"/>
      <c r="E3836" s="212" t="n"/>
    </row>
    <row r="3837">
      <c r="B3837" s="291" t="n"/>
      <c r="E3837" s="212" t="n"/>
    </row>
    <row r="3838">
      <c r="B3838" s="291" t="n"/>
      <c r="E3838" s="212" t="n"/>
    </row>
    <row r="3839">
      <c r="B3839" s="291" t="n"/>
      <c r="E3839" s="212" t="n"/>
    </row>
    <row r="3840">
      <c r="B3840" s="291" t="n"/>
      <c r="E3840" s="212" t="n"/>
    </row>
    <row r="3841">
      <c r="B3841" s="291" t="n"/>
      <c r="E3841" s="212" t="n"/>
    </row>
    <row r="3842">
      <c r="B3842" s="291" t="n"/>
      <c r="E3842" s="212" t="n"/>
    </row>
    <row r="3843">
      <c r="B3843" s="291" t="n"/>
      <c r="E3843" s="212" t="n"/>
    </row>
    <row r="3844">
      <c r="B3844" s="291" t="n"/>
      <c r="E3844" s="212" t="n"/>
    </row>
    <row r="3845">
      <c r="B3845" s="291" t="n"/>
      <c r="E3845" s="212" t="n"/>
    </row>
    <row r="3846">
      <c r="B3846" s="291" t="n"/>
      <c r="E3846" s="212" t="n"/>
    </row>
    <row r="3847">
      <c r="B3847" s="291" t="n"/>
      <c r="E3847" s="212" t="n"/>
    </row>
    <row r="3848">
      <c r="B3848" s="291" t="n"/>
      <c r="E3848" s="212" t="n"/>
    </row>
    <row r="3849">
      <c r="B3849" s="291" t="n"/>
      <c r="E3849" s="212" t="n"/>
    </row>
    <row r="3850">
      <c r="B3850" s="291" t="n"/>
      <c r="E3850" s="212" t="n"/>
    </row>
    <row r="3851">
      <c r="B3851" s="291" t="n"/>
      <c r="E3851" s="212" t="n"/>
    </row>
    <row r="3852">
      <c r="B3852" s="291" t="n"/>
      <c r="E3852" s="212" t="n"/>
    </row>
    <row r="3853">
      <c r="B3853" s="291" t="n"/>
      <c r="E3853" s="212" t="n"/>
    </row>
    <row r="3854">
      <c r="B3854" s="291" t="n"/>
      <c r="E3854" s="212" t="n"/>
    </row>
    <row r="3855">
      <c r="B3855" s="291" t="n"/>
      <c r="E3855" s="212" t="n"/>
    </row>
    <row r="3856">
      <c r="B3856" s="291" t="n"/>
      <c r="E3856" s="212" t="n"/>
    </row>
    <row r="3857">
      <c r="B3857" s="291" t="n"/>
      <c r="E3857" s="212" t="n"/>
    </row>
    <row r="3858">
      <c r="B3858" s="291" t="n"/>
      <c r="E3858" s="212" t="n"/>
    </row>
    <row r="3859">
      <c r="B3859" s="291" t="n"/>
      <c r="E3859" s="212" t="n"/>
    </row>
    <row r="3860">
      <c r="B3860" s="291" t="n"/>
      <c r="E3860" s="212" t="n"/>
    </row>
    <row r="3861">
      <c r="B3861" s="291" t="n"/>
      <c r="E3861" s="212" t="n"/>
    </row>
    <row r="3862">
      <c r="B3862" s="291" t="n"/>
      <c r="E3862" s="212" t="n"/>
    </row>
    <row r="3863">
      <c r="B3863" s="291" t="n"/>
      <c r="E3863" s="212" t="n"/>
    </row>
    <row r="3864">
      <c r="B3864" s="291" t="n"/>
      <c r="E3864" s="212" t="n"/>
    </row>
    <row r="3865">
      <c r="B3865" s="291" t="n"/>
      <c r="E3865" s="212" t="n"/>
    </row>
    <row r="3866">
      <c r="B3866" s="291" t="n"/>
      <c r="E3866" s="212" t="n"/>
    </row>
    <row r="3867">
      <c r="B3867" s="291" t="n"/>
      <c r="E3867" s="212" t="n"/>
    </row>
    <row r="3868">
      <c r="B3868" s="291" t="n"/>
      <c r="E3868" s="212" t="n"/>
    </row>
    <row r="3869">
      <c r="B3869" s="291" t="n"/>
      <c r="E3869" s="212" t="n"/>
    </row>
    <row r="3870">
      <c r="B3870" s="291" t="n"/>
      <c r="E3870" s="212" t="n"/>
    </row>
    <row r="3871">
      <c r="B3871" s="291" t="n"/>
      <c r="E3871" s="212" t="n"/>
    </row>
    <row r="3872">
      <c r="B3872" s="291" t="n"/>
      <c r="E3872" s="212" t="n"/>
    </row>
    <row r="3873">
      <c r="B3873" s="291" t="n"/>
      <c r="E3873" s="212" t="n"/>
    </row>
    <row r="3874">
      <c r="B3874" s="291" t="n"/>
      <c r="E3874" s="212" t="n"/>
    </row>
    <row r="3875">
      <c r="B3875" s="291" t="n"/>
      <c r="E3875" s="212" t="n"/>
    </row>
    <row r="3876">
      <c r="B3876" s="291" t="n"/>
      <c r="E3876" s="212" t="n"/>
    </row>
    <row r="3877">
      <c r="B3877" s="291" t="n"/>
      <c r="E3877" s="212" t="n"/>
    </row>
    <row r="3878">
      <c r="B3878" s="291" t="n"/>
      <c r="E3878" s="212" t="n"/>
    </row>
    <row r="3879">
      <c r="B3879" s="291" t="n"/>
      <c r="E3879" s="212" t="n"/>
    </row>
    <row r="3880">
      <c r="B3880" s="291" t="n"/>
      <c r="E3880" s="212" t="n"/>
    </row>
    <row r="3881">
      <c r="B3881" s="291" t="n"/>
      <c r="E3881" s="212" t="n"/>
    </row>
    <row r="3882">
      <c r="B3882" s="291" t="n"/>
      <c r="E3882" s="212" t="n"/>
    </row>
    <row r="3883">
      <c r="B3883" s="291" t="n"/>
      <c r="E3883" s="212" t="n"/>
    </row>
    <row r="3884">
      <c r="B3884" s="291" t="n"/>
      <c r="E3884" s="212" t="n"/>
    </row>
    <row r="3885">
      <c r="B3885" s="291" t="n"/>
      <c r="E3885" s="212" t="n"/>
    </row>
    <row r="3886">
      <c r="B3886" s="291" t="n"/>
      <c r="E3886" s="212" t="n"/>
    </row>
    <row r="3887">
      <c r="B3887" s="291" t="n"/>
      <c r="E3887" s="212" t="n"/>
    </row>
    <row r="3888">
      <c r="B3888" s="291" t="n"/>
      <c r="E3888" s="212" t="n"/>
    </row>
    <row r="3889">
      <c r="B3889" s="291" t="n"/>
      <c r="E3889" s="212" t="n"/>
    </row>
    <row r="3890">
      <c r="B3890" s="291" t="n"/>
      <c r="E3890" s="212" t="n"/>
    </row>
    <row r="3891">
      <c r="B3891" s="291" t="n"/>
      <c r="E3891" s="212" t="n"/>
    </row>
    <row r="3892">
      <c r="B3892" s="291" t="n"/>
      <c r="E3892" s="212" t="n"/>
    </row>
    <row r="3893">
      <c r="B3893" s="291" t="n"/>
      <c r="E3893" s="212" t="n"/>
    </row>
    <row r="3894">
      <c r="B3894" s="291" t="n"/>
      <c r="E3894" s="212" t="n"/>
    </row>
    <row r="3895">
      <c r="B3895" s="291" t="n"/>
      <c r="E3895" s="212" t="n"/>
    </row>
    <row r="3896">
      <c r="B3896" s="291" t="n"/>
      <c r="E3896" s="212" t="n"/>
    </row>
    <row r="3897">
      <c r="B3897" s="291" t="n"/>
      <c r="E3897" s="212" t="n"/>
    </row>
    <row r="3898">
      <c r="B3898" s="291" t="n"/>
      <c r="E3898" s="212" t="n"/>
    </row>
    <row r="3899">
      <c r="B3899" s="291" t="n"/>
      <c r="E3899" s="212" t="n"/>
    </row>
    <row r="3900">
      <c r="B3900" s="291" t="n"/>
      <c r="E3900" s="212" t="n"/>
    </row>
    <row r="3901">
      <c r="B3901" s="291" t="n"/>
      <c r="E3901" s="212" t="n"/>
    </row>
    <row r="3902">
      <c r="B3902" s="291" t="n"/>
      <c r="E3902" s="212" t="n"/>
    </row>
    <row r="3903">
      <c r="B3903" s="291" t="n"/>
      <c r="E3903" s="212" t="n"/>
    </row>
    <row r="3904">
      <c r="B3904" s="291" t="n"/>
      <c r="E3904" s="212" t="n"/>
    </row>
    <row r="3905">
      <c r="B3905" s="291" t="n"/>
      <c r="E3905" s="212" t="n"/>
    </row>
    <row r="3906">
      <c r="B3906" s="291" t="n"/>
      <c r="E3906" s="212" t="n"/>
    </row>
    <row r="3907">
      <c r="B3907" s="291" t="n"/>
      <c r="E3907" s="212" t="n"/>
    </row>
    <row r="3908">
      <c r="B3908" s="291" t="n"/>
      <c r="E3908" s="212" t="n"/>
    </row>
    <row r="3909">
      <c r="B3909" s="291" t="n"/>
      <c r="E3909" s="212" t="n"/>
    </row>
    <row r="3910">
      <c r="B3910" s="291" t="n"/>
      <c r="E3910" s="212" t="n"/>
    </row>
    <row r="3911">
      <c r="B3911" s="291" t="n"/>
      <c r="E3911" s="212" t="n"/>
    </row>
    <row r="3912">
      <c r="B3912" s="291" t="n"/>
      <c r="E3912" s="212" t="n"/>
    </row>
    <row r="3913">
      <c r="B3913" s="291" t="n"/>
      <c r="E3913" s="212" t="n"/>
    </row>
    <row r="3914">
      <c r="B3914" s="291" t="n"/>
      <c r="E3914" s="212" t="n"/>
    </row>
    <row r="3915">
      <c r="B3915" s="291" t="n"/>
      <c r="E3915" s="212" t="n"/>
    </row>
    <row r="3916">
      <c r="B3916" s="291" t="n"/>
      <c r="E3916" s="212" t="n"/>
    </row>
    <row r="3917">
      <c r="B3917" s="291" t="n"/>
      <c r="E3917" s="212" t="n"/>
    </row>
    <row r="3918">
      <c r="B3918" s="291" t="n"/>
      <c r="E3918" s="212" t="n"/>
    </row>
    <row r="3919">
      <c r="B3919" s="291" t="n"/>
      <c r="E3919" s="212" t="n"/>
    </row>
    <row r="3920">
      <c r="B3920" s="291" t="n"/>
      <c r="E3920" s="212" t="n"/>
    </row>
    <row r="3921">
      <c r="B3921" s="291" t="n"/>
      <c r="E3921" s="212" t="n"/>
    </row>
    <row r="3922">
      <c r="B3922" s="291" t="n"/>
      <c r="E3922" s="212" t="n"/>
    </row>
    <row r="3923">
      <c r="B3923" s="291" t="n"/>
      <c r="E3923" s="212" t="n"/>
    </row>
    <row r="3924">
      <c r="B3924" s="291" t="n"/>
      <c r="E3924" s="212" t="n"/>
    </row>
    <row r="3925">
      <c r="B3925" s="291" t="n"/>
      <c r="E3925" s="212" t="n"/>
    </row>
    <row r="3926">
      <c r="B3926" s="291" t="n"/>
      <c r="E3926" s="212" t="n"/>
    </row>
    <row r="3927">
      <c r="B3927" s="291" t="n"/>
      <c r="E3927" s="212" t="n"/>
    </row>
    <row r="3928">
      <c r="B3928" s="291" t="n"/>
      <c r="E3928" s="212" t="n"/>
    </row>
    <row r="3929">
      <c r="B3929" s="291" t="n"/>
      <c r="E3929" s="212" t="n"/>
    </row>
    <row r="3930">
      <c r="B3930" s="291" t="n"/>
      <c r="E3930" s="212" t="n"/>
    </row>
    <row r="3931">
      <c r="B3931" s="291" t="n"/>
      <c r="E3931" s="212" t="n"/>
    </row>
    <row r="3932">
      <c r="B3932" s="291" t="n"/>
      <c r="E3932" s="212" t="n"/>
    </row>
    <row r="3933">
      <c r="B3933" s="291" t="n"/>
      <c r="E3933" s="212" t="n"/>
    </row>
    <row r="3934">
      <c r="B3934" s="291" t="n"/>
      <c r="E3934" s="212" t="n"/>
    </row>
    <row r="3935">
      <c r="B3935" s="291" t="n"/>
      <c r="E3935" s="212" t="n"/>
    </row>
    <row r="3936">
      <c r="B3936" s="291" t="n"/>
      <c r="E3936" s="212" t="n"/>
    </row>
    <row r="3937">
      <c r="B3937" s="291" t="n"/>
      <c r="E3937" s="212" t="n"/>
    </row>
    <row r="3938">
      <c r="B3938" s="291" t="n"/>
      <c r="E3938" s="212" t="n"/>
    </row>
    <row r="3939">
      <c r="B3939" s="291" t="n"/>
      <c r="E3939" s="212" t="n"/>
    </row>
    <row r="3940">
      <c r="B3940" s="291" t="n"/>
      <c r="E3940" s="212" t="n"/>
    </row>
    <row r="3941">
      <c r="B3941" s="291" t="n"/>
      <c r="E3941" s="212" t="n"/>
    </row>
    <row r="3942">
      <c r="B3942" s="291" t="n"/>
      <c r="E3942" s="212" t="n"/>
    </row>
    <row r="3943">
      <c r="B3943" s="291" t="n"/>
      <c r="E3943" s="212" t="n"/>
    </row>
    <row r="3944">
      <c r="B3944" s="291" t="n"/>
      <c r="E3944" s="212" t="n"/>
    </row>
    <row r="3945">
      <c r="B3945" s="291" t="n"/>
      <c r="E3945" s="212" t="n"/>
    </row>
    <row r="3946">
      <c r="B3946" s="291" t="n"/>
      <c r="E3946" s="212" t="n"/>
    </row>
    <row r="3947">
      <c r="B3947" s="291" t="n"/>
      <c r="E3947" s="212" t="n"/>
    </row>
    <row r="3948">
      <c r="B3948" s="291" t="n"/>
      <c r="E3948" s="212" t="n"/>
    </row>
    <row r="3949">
      <c r="B3949" s="291" t="n"/>
      <c r="E3949" s="212" t="n"/>
    </row>
    <row r="3950">
      <c r="B3950" s="291" t="n"/>
      <c r="E3950" s="212" t="n"/>
    </row>
    <row r="3951">
      <c r="B3951" s="291" t="n"/>
      <c r="E3951" s="212" t="n"/>
    </row>
    <row r="3952">
      <c r="B3952" s="291" t="n"/>
      <c r="E3952" s="212" t="n"/>
    </row>
    <row r="3953">
      <c r="B3953" s="291" t="n"/>
      <c r="E3953" s="212" t="n"/>
    </row>
    <row r="3954">
      <c r="B3954" s="291" t="n"/>
      <c r="E3954" s="212" t="n"/>
    </row>
    <row r="3955">
      <c r="B3955" s="291" t="n"/>
      <c r="E3955" s="212" t="n"/>
    </row>
    <row r="3956">
      <c r="B3956" s="291" t="n"/>
      <c r="E3956" s="212" t="n"/>
    </row>
    <row r="3957">
      <c r="B3957" s="291" t="n"/>
      <c r="E3957" s="212" t="n"/>
    </row>
    <row r="3958">
      <c r="B3958" s="291" t="n"/>
      <c r="E3958" s="212" t="n"/>
    </row>
    <row r="3959">
      <c r="B3959" s="291" t="n"/>
      <c r="E3959" s="212" t="n"/>
    </row>
    <row r="3960">
      <c r="B3960" s="291" t="n"/>
      <c r="E3960" s="212" t="n"/>
    </row>
    <row r="3961">
      <c r="B3961" s="291" t="n"/>
      <c r="E3961" s="212" t="n"/>
    </row>
    <row r="3962">
      <c r="B3962" s="291" t="n"/>
      <c r="E3962" s="212" t="n"/>
    </row>
    <row r="3963">
      <c r="B3963" s="291" t="n"/>
      <c r="E3963" s="212" t="n"/>
    </row>
    <row r="3964">
      <c r="B3964" s="291" t="n"/>
      <c r="E3964" s="212" t="n"/>
    </row>
    <row r="3965">
      <c r="B3965" s="291" t="n"/>
      <c r="E3965" s="212" t="n"/>
    </row>
    <row r="3966">
      <c r="B3966" s="291" t="n"/>
      <c r="E3966" s="212" t="n"/>
    </row>
    <row r="3967">
      <c r="B3967" s="291" t="n"/>
      <c r="E3967" s="212" t="n"/>
    </row>
    <row r="3968">
      <c r="B3968" s="291" t="n"/>
      <c r="E3968" s="212" t="n"/>
    </row>
    <row r="3969">
      <c r="B3969" s="291" t="n"/>
      <c r="E3969" s="212" t="n"/>
    </row>
    <row r="3970">
      <c r="B3970" s="291" t="n"/>
      <c r="E3970" s="212" t="n"/>
    </row>
    <row r="3971">
      <c r="B3971" s="291" t="n"/>
      <c r="E3971" s="212" t="n"/>
    </row>
    <row r="3972">
      <c r="B3972" s="291" t="n"/>
      <c r="E3972" s="212" t="n"/>
    </row>
    <row r="3973">
      <c r="B3973" s="291" t="n"/>
      <c r="E3973" s="212" t="n"/>
    </row>
    <row r="3974">
      <c r="B3974" s="291" t="n"/>
      <c r="E3974" s="212" t="n"/>
    </row>
    <row r="3975">
      <c r="B3975" s="291" t="n"/>
      <c r="E3975" s="212" t="n"/>
    </row>
    <row r="3976">
      <c r="B3976" s="291" t="n"/>
      <c r="E3976" s="212" t="n"/>
    </row>
    <row r="3977">
      <c r="B3977" s="291" t="n"/>
      <c r="E3977" s="212" t="n"/>
    </row>
    <row r="3978">
      <c r="B3978" s="291" t="n"/>
      <c r="E3978" s="212" t="n"/>
    </row>
    <row r="3979">
      <c r="B3979" s="291" t="n"/>
      <c r="E3979" s="212" t="n"/>
    </row>
    <row r="3980">
      <c r="B3980" s="291" t="n"/>
      <c r="E3980" s="212" t="n"/>
    </row>
    <row r="3981">
      <c r="B3981" s="291" t="n"/>
      <c r="E3981" s="212" t="n"/>
    </row>
    <row r="3982">
      <c r="B3982" s="291" t="n"/>
      <c r="E3982" s="212" t="n"/>
    </row>
    <row r="3983">
      <c r="B3983" s="291" t="n"/>
      <c r="E3983" s="212" t="n"/>
    </row>
    <row r="3984">
      <c r="B3984" s="291" t="n"/>
      <c r="E3984" s="212" t="n"/>
    </row>
    <row r="3985">
      <c r="B3985" s="291" t="n"/>
      <c r="E3985" s="212" t="n"/>
    </row>
    <row r="3986">
      <c r="B3986" s="291" t="n"/>
      <c r="E3986" s="212" t="n"/>
    </row>
    <row r="3987">
      <c r="B3987" s="291" t="n"/>
      <c r="E3987" s="212" t="n"/>
    </row>
    <row r="3988">
      <c r="B3988" s="291" t="n"/>
      <c r="E3988" s="212" t="n"/>
    </row>
    <row r="3989">
      <c r="B3989" s="291" t="n"/>
      <c r="E3989" s="212" t="n"/>
    </row>
    <row r="3990">
      <c r="B3990" s="291" t="n"/>
      <c r="E3990" s="212" t="n"/>
    </row>
    <row r="3991">
      <c r="B3991" s="291" t="n"/>
      <c r="E3991" s="212" t="n"/>
    </row>
    <row r="3992">
      <c r="B3992" s="291" t="n"/>
      <c r="E3992" s="212" t="n"/>
    </row>
    <row r="3993">
      <c r="B3993" s="291" t="n"/>
      <c r="E3993" s="212" t="n"/>
    </row>
    <row r="3994">
      <c r="B3994" s="291" t="n"/>
      <c r="E3994" s="212" t="n"/>
    </row>
    <row r="3995">
      <c r="B3995" s="291" t="n"/>
      <c r="E3995" s="212" t="n"/>
    </row>
    <row r="3996">
      <c r="B3996" s="291" t="n"/>
      <c r="E3996" s="212" t="n"/>
    </row>
    <row r="3997">
      <c r="B3997" s="291" t="n"/>
      <c r="E3997" s="212" t="n"/>
    </row>
    <row r="3998">
      <c r="B3998" s="291" t="n"/>
      <c r="E3998" s="212" t="n"/>
    </row>
    <row r="3999">
      <c r="B3999" s="291" t="n"/>
      <c r="E3999" s="212" t="n"/>
    </row>
    <row r="4000">
      <c r="B4000" s="291" t="n"/>
      <c r="E4000" s="212" t="n"/>
    </row>
    <row r="4001">
      <c r="B4001" s="291" t="n"/>
      <c r="E4001" s="212" t="n"/>
    </row>
    <row r="4002">
      <c r="B4002" s="291" t="n"/>
      <c r="E4002" s="212" t="n"/>
    </row>
    <row r="4003">
      <c r="B4003" s="291" t="n"/>
      <c r="E4003" s="212" t="n"/>
    </row>
    <row r="4004">
      <c r="B4004" s="291" t="n"/>
      <c r="E4004" s="212" t="n"/>
    </row>
    <row r="4005">
      <c r="B4005" s="291" t="n"/>
      <c r="E4005" s="212" t="n"/>
    </row>
    <row r="4006">
      <c r="B4006" s="291" t="n"/>
      <c r="E4006" s="212" t="n"/>
    </row>
    <row r="4007">
      <c r="B4007" s="291" t="n"/>
      <c r="E4007" s="212" t="n"/>
    </row>
    <row r="4008">
      <c r="B4008" s="291" t="n"/>
      <c r="E4008" s="212" t="n"/>
    </row>
    <row r="4009">
      <c r="B4009" s="291" t="n"/>
      <c r="E4009" s="212" t="n"/>
    </row>
    <row r="4010">
      <c r="B4010" s="291" t="n"/>
      <c r="E4010" s="212" t="n"/>
    </row>
    <row r="4011">
      <c r="B4011" s="291" t="n"/>
      <c r="E4011" s="212" t="n"/>
    </row>
    <row r="4012">
      <c r="B4012" s="291" t="n"/>
      <c r="E4012" s="212" t="n"/>
    </row>
    <row r="4013">
      <c r="B4013" s="291" t="n"/>
      <c r="E4013" s="212" t="n"/>
    </row>
    <row r="4014">
      <c r="B4014" s="291" t="n"/>
      <c r="E4014" s="212" t="n"/>
    </row>
    <row r="4015">
      <c r="B4015" s="291" t="n"/>
      <c r="E4015" s="212" t="n"/>
    </row>
    <row r="4016">
      <c r="B4016" s="291" t="n"/>
      <c r="E4016" s="212" t="n"/>
    </row>
    <row r="4017">
      <c r="B4017" s="291" t="n"/>
      <c r="E4017" s="212" t="n"/>
    </row>
    <row r="4018">
      <c r="B4018" s="291" t="n"/>
      <c r="E4018" s="212" t="n"/>
    </row>
    <row r="4019">
      <c r="B4019" s="291" t="n"/>
      <c r="E4019" s="212" t="n"/>
    </row>
    <row r="4020">
      <c r="B4020" s="291" t="n"/>
      <c r="E4020" s="212" t="n"/>
    </row>
    <row r="4021">
      <c r="B4021" s="291" t="n"/>
      <c r="E4021" s="212" t="n"/>
    </row>
    <row r="4022">
      <c r="B4022" s="291" t="n"/>
      <c r="E4022" s="212" t="n"/>
    </row>
    <row r="4023">
      <c r="B4023" s="291" t="n"/>
      <c r="E4023" s="212" t="n"/>
    </row>
    <row r="4024">
      <c r="B4024" s="291" t="n"/>
      <c r="E4024" s="212" t="n"/>
    </row>
    <row r="4025">
      <c r="B4025" s="291" t="n"/>
      <c r="E4025" s="212" t="n"/>
    </row>
    <row r="4026">
      <c r="B4026" s="291" t="n"/>
      <c r="E4026" s="212" t="n"/>
    </row>
    <row r="4027">
      <c r="B4027" s="291" t="n"/>
      <c r="E4027" s="212" t="n"/>
    </row>
    <row r="4028">
      <c r="B4028" s="291" t="n"/>
      <c r="E4028" s="212" t="n"/>
    </row>
    <row r="4029">
      <c r="B4029" s="291" t="n"/>
      <c r="E4029" s="212" t="n"/>
    </row>
    <row r="4030">
      <c r="B4030" s="291" t="n"/>
      <c r="E4030" s="212" t="n"/>
    </row>
    <row r="4031">
      <c r="B4031" s="291" t="n"/>
      <c r="E4031" s="212" t="n"/>
    </row>
    <row r="4032">
      <c r="B4032" s="291" t="n"/>
      <c r="E4032" s="212" t="n"/>
    </row>
    <row r="4033">
      <c r="B4033" s="291" t="n"/>
      <c r="E4033" s="212" t="n"/>
    </row>
    <row r="4034">
      <c r="B4034" s="291" t="n"/>
      <c r="E4034" s="212" t="n"/>
    </row>
    <row r="4035">
      <c r="B4035" s="291" t="n"/>
      <c r="E4035" s="212" t="n"/>
    </row>
    <row r="4036">
      <c r="B4036" s="291" t="n"/>
      <c r="E4036" s="212" t="n"/>
    </row>
    <row r="4037">
      <c r="B4037" s="291" t="n"/>
      <c r="E4037" s="212" t="n"/>
    </row>
    <row r="4038">
      <c r="B4038" s="291" t="n"/>
      <c r="E4038" s="212" t="n"/>
    </row>
    <row r="4039">
      <c r="B4039" s="291" t="n"/>
      <c r="E4039" s="212" t="n"/>
    </row>
    <row r="4040">
      <c r="B4040" s="291" t="n"/>
      <c r="E4040" s="212" t="n"/>
    </row>
    <row r="4041">
      <c r="B4041" s="291" t="n"/>
      <c r="E4041" s="212" t="n"/>
    </row>
    <row r="4042">
      <c r="B4042" s="291" t="n"/>
      <c r="E4042" s="212" t="n"/>
    </row>
    <row r="4043">
      <c r="B4043" s="291" t="n"/>
      <c r="E4043" s="212" t="n"/>
    </row>
    <row r="4044">
      <c r="B4044" s="291" t="n"/>
      <c r="E4044" s="212" t="n"/>
    </row>
    <row r="4045">
      <c r="B4045" s="291" t="n"/>
      <c r="E4045" s="212" t="n"/>
    </row>
    <row r="4046">
      <c r="B4046" s="291" t="n"/>
      <c r="E4046" s="212" t="n"/>
    </row>
    <row r="4047">
      <c r="B4047" s="291" t="n"/>
      <c r="E4047" s="212" t="n"/>
    </row>
    <row r="4048">
      <c r="B4048" s="291" t="n"/>
      <c r="E4048" s="212" t="n"/>
    </row>
    <row r="4049">
      <c r="B4049" s="291" t="n"/>
      <c r="E4049" s="212" t="n"/>
    </row>
    <row r="4050">
      <c r="B4050" s="291" t="n"/>
      <c r="E4050" s="212" t="n"/>
    </row>
    <row r="4051">
      <c r="B4051" s="291" t="n"/>
      <c r="E4051" s="212" t="n"/>
    </row>
    <row r="4052">
      <c r="B4052" s="291" t="n"/>
      <c r="E4052" s="212" t="n"/>
    </row>
    <row r="4053">
      <c r="B4053" s="291" t="n"/>
      <c r="E4053" s="212" t="n"/>
    </row>
    <row r="4054">
      <c r="B4054" s="291" t="n"/>
      <c r="E4054" s="212" t="n"/>
    </row>
    <row r="4055">
      <c r="B4055" s="291" t="n"/>
      <c r="E4055" s="212" t="n"/>
    </row>
    <row r="4056">
      <c r="B4056" s="291" t="n"/>
      <c r="E4056" s="212" t="n"/>
    </row>
    <row r="4057">
      <c r="B4057" s="291" t="n"/>
      <c r="E4057" s="212" t="n"/>
    </row>
    <row r="4058">
      <c r="B4058" s="291" t="n"/>
      <c r="E4058" s="212" t="n"/>
    </row>
    <row r="4059">
      <c r="B4059" s="291" t="n"/>
      <c r="E4059" s="212" t="n"/>
    </row>
    <row r="4060">
      <c r="B4060" s="291" t="n"/>
      <c r="E4060" s="212" t="n"/>
    </row>
    <row r="4061">
      <c r="B4061" s="291" t="n"/>
      <c r="E4061" s="212" t="n"/>
    </row>
    <row r="4062">
      <c r="B4062" s="291" t="n"/>
      <c r="E4062" s="212" t="n"/>
    </row>
    <row r="4063">
      <c r="B4063" s="291" t="n"/>
      <c r="E4063" s="212" t="n"/>
    </row>
    <row r="4064">
      <c r="B4064" s="291" t="n"/>
      <c r="E4064" s="212" t="n"/>
    </row>
    <row r="4065">
      <c r="B4065" s="291" t="n"/>
      <c r="E4065" s="212" t="n"/>
    </row>
    <row r="4066">
      <c r="B4066" s="291" t="n"/>
      <c r="E4066" s="212" t="n"/>
    </row>
    <row r="4067">
      <c r="B4067" s="291" t="n"/>
      <c r="E4067" s="212" t="n"/>
    </row>
    <row r="4068">
      <c r="B4068" s="291" t="n"/>
      <c r="E4068" s="212" t="n"/>
    </row>
    <row r="4069">
      <c r="B4069" s="291" t="n"/>
      <c r="E4069" s="212" t="n"/>
    </row>
    <row r="4070">
      <c r="B4070" s="291" t="n"/>
      <c r="E4070" s="212" t="n"/>
    </row>
    <row r="4071">
      <c r="B4071" s="291" t="n"/>
      <c r="E4071" s="212" t="n"/>
    </row>
    <row r="4072">
      <c r="B4072" s="291" t="n"/>
      <c r="E4072" s="212" t="n"/>
    </row>
    <row r="4073">
      <c r="B4073" s="291" t="n"/>
      <c r="E4073" s="212" t="n"/>
    </row>
    <row r="4074">
      <c r="B4074" s="291" t="n"/>
      <c r="E4074" s="212" t="n"/>
    </row>
    <row r="4075">
      <c r="B4075" s="291" t="n"/>
      <c r="E4075" s="212" t="n"/>
    </row>
    <row r="4076">
      <c r="B4076" s="291" t="n"/>
      <c r="E4076" s="212" t="n"/>
    </row>
    <row r="4077">
      <c r="B4077" s="291" t="n"/>
      <c r="E4077" s="212" t="n"/>
    </row>
    <row r="4078">
      <c r="B4078" s="291" t="n"/>
      <c r="E4078" s="212" t="n"/>
    </row>
    <row r="4079">
      <c r="B4079" s="291" t="n"/>
      <c r="E4079" s="212" t="n"/>
    </row>
    <row r="4080">
      <c r="B4080" s="291" t="n"/>
      <c r="E4080" s="212" t="n"/>
    </row>
    <row r="4081">
      <c r="B4081" s="291" t="n"/>
      <c r="E4081" s="212" t="n"/>
    </row>
    <row r="4082">
      <c r="B4082" s="291" t="n"/>
      <c r="E4082" s="212" t="n"/>
    </row>
    <row r="4083">
      <c r="B4083" s="291" t="n"/>
      <c r="E4083" s="212" t="n"/>
    </row>
    <row r="4084">
      <c r="B4084" s="291" t="n"/>
      <c r="E4084" s="212" t="n"/>
    </row>
    <row r="4085">
      <c r="B4085" s="291" t="n"/>
      <c r="E4085" s="212" t="n"/>
    </row>
    <row r="4086">
      <c r="B4086" s="291" t="n"/>
      <c r="E4086" s="212" t="n"/>
    </row>
    <row r="4087">
      <c r="B4087" s="291" t="n"/>
      <c r="E4087" s="212" t="n"/>
    </row>
    <row r="4088">
      <c r="B4088" s="291" t="n"/>
      <c r="E4088" s="212" t="n"/>
    </row>
    <row r="4089">
      <c r="B4089" s="291" t="n"/>
      <c r="E4089" s="212" t="n"/>
    </row>
    <row r="4090">
      <c r="B4090" s="291" t="n"/>
      <c r="E4090" s="212" t="n"/>
    </row>
    <row r="4091">
      <c r="B4091" s="291" t="n"/>
      <c r="E4091" s="212" t="n"/>
    </row>
    <row r="4092">
      <c r="B4092" s="291" t="n"/>
      <c r="E4092" s="212" t="n"/>
    </row>
    <row r="4093">
      <c r="B4093" s="291" t="n"/>
      <c r="E4093" s="212" t="n"/>
    </row>
    <row r="4094">
      <c r="B4094" s="291" t="n"/>
      <c r="E4094" s="212" t="n"/>
    </row>
    <row r="4095">
      <c r="B4095" s="291" t="n"/>
      <c r="E4095" s="212" t="n"/>
    </row>
    <row r="4096">
      <c r="B4096" s="291" t="n"/>
      <c r="E4096" s="212" t="n"/>
    </row>
    <row r="4097">
      <c r="B4097" s="291" t="n"/>
      <c r="E4097" s="212" t="n"/>
    </row>
    <row r="4098">
      <c r="B4098" s="291" t="n"/>
      <c r="E4098" s="212" t="n"/>
    </row>
    <row r="4099">
      <c r="B4099" s="291" t="n"/>
      <c r="E4099" s="212" t="n"/>
    </row>
    <row r="4100">
      <c r="B4100" s="291" t="n"/>
      <c r="E4100" s="212" t="n"/>
    </row>
    <row r="4101">
      <c r="B4101" s="291" t="n"/>
      <c r="E4101" s="212" t="n"/>
    </row>
    <row r="4102">
      <c r="B4102" s="291" t="n"/>
      <c r="E4102" s="212" t="n"/>
    </row>
    <row r="4103">
      <c r="B4103" s="291" t="n"/>
      <c r="E4103" s="212" t="n"/>
    </row>
    <row r="4104">
      <c r="B4104" s="291" t="n"/>
      <c r="E4104" s="212" t="n"/>
    </row>
    <row r="4105">
      <c r="B4105" s="291" t="n"/>
      <c r="E4105" s="212" t="n"/>
    </row>
    <row r="4106">
      <c r="B4106" s="291" t="n"/>
      <c r="E4106" s="212" t="n"/>
    </row>
    <row r="4107">
      <c r="B4107" s="291" t="n"/>
      <c r="E4107" s="212" t="n"/>
    </row>
    <row r="4108">
      <c r="B4108" s="291" t="n"/>
      <c r="E4108" s="212" t="n"/>
    </row>
    <row r="4109">
      <c r="B4109" s="291" t="n"/>
      <c r="E4109" s="212" t="n"/>
    </row>
    <row r="4110">
      <c r="B4110" s="291" t="n"/>
      <c r="E4110" s="212" t="n"/>
    </row>
    <row r="4111">
      <c r="B4111" s="291" t="n"/>
      <c r="E4111" s="212" t="n"/>
    </row>
    <row r="4112">
      <c r="B4112" s="291" t="n"/>
      <c r="E4112" s="212" t="n"/>
    </row>
    <row r="4113">
      <c r="B4113" s="291" t="n"/>
      <c r="E4113" s="212" t="n"/>
    </row>
    <row r="4114">
      <c r="B4114" s="291" t="n"/>
      <c r="E4114" s="212" t="n"/>
    </row>
    <row r="4115">
      <c r="B4115" s="291" t="n"/>
      <c r="E4115" s="212" t="n"/>
    </row>
    <row r="4116">
      <c r="B4116" s="291" t="n"/>
      <c r="E4116" s="212" t="n"/>
    </row>
    <row r="4117">
      <c r="B4117" s="291" t="n"/>
      <c r="E4117" s="212" t="n"/>
    </row>
    <row r="4118">
      <c r="B4118" s="291" t="n"/>
      <c r="E4118" s="212" t="n"/>
    </row>
    <row r="4119">
      <c r="B4119" s="291" t="n"/>
      <c r="E4119" s="212" t="n"/>
    </row>
    <row r="4120">
      <c r="B4120" s="291" t="n"/>
      <c r="E4120" s="212" t="n"/>
    </row>
    <row r="4121">
      <c r="B4121" s="291" t="n"/>
      <c r="E4121" s="212" t="n"/>
    </row>
    <row r="4122">
      <c r="B4122" s="291" t="n"/>
      <c r="E4122" s="212" t="n"/>
    </row>
    <row r="4123">
      <c r="B4123" s="291" t="n"/>
      <c r="E4123" s="212" t="n"/>
    </row>
    <row r="4124">
      <c r="B4124" s="291" t="n"/>
      <c r="E4124" s="212" t="n"/>
    </row>
    <row r="4125">
      <c r="B4125" s="291" t="n"/>
      <c r="E4125" s="212" t="n"/>
    </row>
    <row r="4126">
      <c r="B4126" s="291" t="n"/>
      <c r="E4126" s="212" t="n"/>
    </row>
    <row r="4127">
      <c r="B4127" s="291" t="n"/>
      <c r="E4127" s="212" t="n"/>
    </row>
    <row r="4128">
      <c r="B4128" s="291" t="n"/>
      <c r="E4128" s="212" t="n"/>
    </row>
    <row r="4129">
      <c r="B4129" s="291" t="n"/>
      <c r="E4129" s="212" t="n"/>
    </row>
    <row r="4130">
      <c r="B4130" s="291" t="n"/>
      <c r="E4130" s="212" t="n"/>
    </row>
    <row r="4131">
      <c r="B4131" s="291" t="n"/>
      <c r="E4131" s="212" t="n"/>
    </row>
    <row r="4132">
      <c r="B4132" s="291" t="n"/>
      <c r="E4132" s="212" t="n"/>
    </row>
    <row r="4133">
      <c r="B4133" s="291" t="n"/>
      <c r="E4133" s="212" t="n"/>
    </row>
    <row r="4134">
      <c r="B4134" s="291" t="n"/>
      <c r="E4134" s="212" t="n"/>
    </row>
    <row r="4135">
      <c r="B4135" s="291" t="n"/>
      <c r="E4135" s="212" t="n"/>
    </row>
    <row r="4136">
      <c r="B4136" s="291" t="n"/>
      <c r="E4136" s="212" t="n"/>
    </row>
    <row r="4137">
      <c r="B4137" s="291" t="n"/>
      <c r="E4137" s="212" t="n"/>
    </row>
    <row r="4138">
      <c r="B4138" s="291" t="n"/>
      <c r="E4138" s="212" t="n"/>
    </row>
    <row r="4139">
      <c r="B4139" s="291" t="n"/>
      <c r="E4139" s="212" t="n"/>
    </row>
    <row r="4140">
      <c r="B4140" s="291" t="n"/>
      <c r="E4140" s="212" t="n"/>
    </row>
    <row r="4141">
      <c r="B4141" s="291" t="n"/>
      <c r="E4141" s="212" t="n"/>
    </row>
    <row r="4142">
      <c r="B4142" s="291" t="n"/>
      <c r="E4142" s="212" t="n"/>
    </row>
    <row r="4143">
      <c r="B4143" s="291" t="n"/>
      <c r="E4143" s="212" t="n"/>
    </row>
    <row r="4144">
      <c r="B4144" s="291" t="n"/>
      <c r="E4144" s="212" t="n"/>
    </row>
    <row r="4145">
      <c r="B4145" s="291" t="n"/>
      <c r="E4145" s="212" t="n"/>
    </row>
    <row r="4146">
      <c r="B4146" s="291" t="n"/>
      <c r="E4146" s="212" t="n"/>
    </row>
    <row r="4147">
      <c r="B4147" s="291" t="n"/>
      <c r="E4147" s="212" t="n"/>
    </row>
    <row r="4148">
      <c r="B4148" s="291" t="n"/>
      <c r="E4148" s="212" t="n"/>
    </row>
    <row r="4149">
      <c r="B4149" s="291" t="n"/>
      <c r="E4149" s="212" t="n"/>
    </row>
    <row r="4150">
      <c r="B4150" s="291" t="n"/>
      <c r="E4150" s="212" t="n"/>
    </row>
    <row r="4151">
      <c r="B4151" s="291" t="n"/>
      <c r="E4151" s="212" t="n"/>
    </row>
    <row r="4152">
      <c r="B4152" s="291" t="n"/>
      <c r="E4152" s="212" t="n"/>
    </row>
    <row r="4153">
      <c r="B4153" s="291" t="n"/>
      <c r="E4153" s="212" t="n"/>
    </row>
    <row r="4154">
      <c r="B4154" s="291" t="n"/>
      <c r="E4154" s="212" t="n"/>
    </row>
    <row r="4155">
      <c r="B4155" s="291" t="n"/>
      <c r="E4155" s="212" t="n"/>
    </row>
    <row r="4156">
      <c r="B4156" s="291" t="n"/>
      <c r="E4156" s="212" t="n"/>
    </row>
    <row r="4157">
      <c r="B4157" s="291" t="n"/>
      <c r="E4157" s="212" t="n"/>
    </row>
    <row r="4158">
      <c r="B4158" s="291" t="n"/>
      <c r="E4158" s="212" t="n"/>
    </row>
    <row r="4159">
      <c r="B4159" s="291" t="n"/>
      <c r="E4159" s="212" t="n"/>
    </row>
    <row r="4160">
      <c r="B4160" s="291" t="n"/>
      <c r="E4160" s="212" t="n"/>
    </row>
    <row r="4161">
      <c r="B4161" s="291" t="n"/>
      <c r="E4161" s="212" t="n"/>
    </row>
    <row r="4162">
      <c r="B4162" s="291" t="n"/>
      <c r="E4162" s="212" t="n"/>
    </row>
    <row r="4163">
      <c r="B4163" s="291" t="n"/>
      <c r="E4163" s="212" t="n"/>
    </row>
    <row r="4164">
      <c r="B4164" s="291" t="n"/>
      <c r="E4164" s="212" t="n"/>
    </row>
    <row r="4165">
      <c r="B4165" s="291" t="n"/>
      <c r="E4165" s="212" t="n"/>
    </row>
    <row r="4166">
      <c r="B4166" s="291" t="n"/>
      <c r="E4166" s="212" t="n"/>
    </row>
    <row r="4167">
      <c r="B4167" s="291" t="n"/>
      <c r="E4167" s="212" t="n"/>
    </row>
    <row r="4168">
      <c r="B4168" s="291" t="n"/>
      <c r="E4168" s="212" t="n"/>
    </row>
    <row r="4169">
      <c r="B4169" s="291" t="n"/>
      <c r="E4169" s="212" t="n"/>
    </row>
    <row r="4170">
      <c r="B4170" s="291" t="n"/>
      <c r="E4170" s="212" t="n"/>
    </row>
    <row r="4171">
      <c r="B4171" s="291" t="n"/>
      <c r="E4171" s="212" t="n"/>
    </row>
    <row r="4172">
      <c r="B4172" s="291" t="n"/>
      <c r="E4172" s="212" t="n"/>
    </row>
    <row r="4173">
      <c r="B4173" s="291" t="n"/>
      <c r="E4173" s="212" t="n"/>
    </row>
    <row r="4174">
      <c r="B4174" s="291" t="n"/>
      <c r="E4174" s="212" t="n"/>
    </row>
    <row r="4175">
      <c r="B4175" s="291" t="n"/>
      <c r="E4175" s="212" t="n"/>
    </row>
    <row r="4176">
      <c r="B4176" s="291" t="n"/>
      <c r="E4176" s="212" t="n"/>
    </row>
    <row r="4177">
      <c r="B4177" s="291" t="n"/>
      <c r="E4177" s="212" t="n"/>
    </row>
    <row r="4178">
      <c r="B4178" s="291" t="n"/>
      <c r="E4178" s="212" t="n"/>
    </row>
    <row r="4179">
      <c r="B4179" s="291" t="n"/>
      <c r="E4179" s="212" t="n"/>
    </row>
    <row r="4180">
      <c r="B4180" s="291" t="n"/>
      <c r="E4180" s="212" t="n"/>
    </row>
    <row r="4181">
      <c r="B4181" s="291" t="n"/>
      <c r="E4181" s="212" t="n"/>
    </row>
    <row r="4182">
      <c r="B4182" s="291" t="n"/>
      <c r="E4182" s="212" t="n"/>
    </row>
    <row r="4183">
      <c r="B4183" s="291" t="n"/>
      <c r="E4183" s="212" t="n"/>
    </row>
    <row r="4184">
      <c r="B4184" s="291" t="n"/>
      <c r="E4184" s="212" t="n"/>
    </row>
    <row r="4185">
      <c r="B4185" s="291" t="n"/>
      <c r="E4185" s="212" t="n"/>
    </row>
    <row r="4186">
      <c r="B4186" s="291" t="n"/>
      <c r="E4186" s="212" t="n"/>
    </row>
    <row r="4187">
      <c r="B4187" s="291" t="n"/>
      <c r="E4187" s="212" t="n"/>
    </row>
    <row r="4188">
      <c r="B4188" s="291" t="n"/>
      <c r="E4188" s="212" t="n"/>
    </row>
    <row r="4189">
      <c r="B4189" s="291" t="n"/>
      <c r="E4189" s="212" t="n"/>
    </row>
    <row r="4190">
      <c r="B4190" s="291" t="n"/>
      <c r="E4190" s="212" t="n"/>
    </row>
    <row r="4191">
      <c r="B4191" s="291" t="n"/>
      <c r="E4191" s="212" t="n"/>
    </row>
    <row r="4192">
      <c r="B4192" s="291" t="n"/>
      <c r="E4192" s="212" t="n"/>
    </row>
    <row r="4193">
      <c r="B4193" s="291" t="n"/>
      <c r="E4193" s="212" t="n"/>
    </row>
    <row r="4194">
      <c r="B4194" s="291" t="n"/>
      <c r="E4194" s="212" t="n"/>
    </row>
    <row r="4195">
      <c r="B4195" s="291" t="n"/>
      <c r="E4195" s="212" t="n"/>
    </row>
    <row r="4196">
      <c r="B4196" s="291" t="n"/>
      <c r="E4196" s="212" t="n"/>
    </row>
    <row r="4197">
      <c r="B4197" s="291" t="n"/>
      <c r="E4197" s="212" t="n"/>
    </row>
    <row r="4198">
      <c r="B4198" s="291" t="n"/>
      <c r="E4198" s="212" t="n"/>
    </row>
    <row r="4199">
      <c r="B4199" s="291" t="n"/>
      <c r="E4199" s="212" t="n"/>
    </row>
    <row r="4200">
      <c r="B4200" s="291" t="n"/>
      <c r="E4200" s="212" t="n"/>
    </row>
    <row r="4201">
      <c r="B4201" s="291" t="n"/>
      <c r="E4201" s="212" t="n"/>
    </row>
    <row r="4202">
      <c r="B4202" s="291" t="n"/>
      <c r="E4202" s="212" t="n"/>
    </row>
    <row r="4203">
      <c r="B4203" s="291" t="n"/>
      <c r="E4203" s="212" t="n"/>
    </row>
    <row r="4204">
      <c r="B4204" s="291" t="n"/>
      <c r="E4204" s="212" t="n"/>
    </row>
    <row r="4205">
      <c r="B4205" s="291" t="n"/>
      <c r="E4205" s="212" t="n"/>
    </row>
    <row r="4206">
      <c r="B4206" s="291" t="n"/>
      <c r="E4206" s="212" t="n"/>
    </row>
    <row r="4207">
      <c r="B4207" s="291" t="n"/>
      <c r="E4207" s="212" t="n"/>
    </row>
    <row r="4208">
      <c r="B4208" s="291" t="n"/>
      <c r="E4208" s="212" t="n"/>
    </row>
    <row r="4209">
      <c r="B4209" s="291" t="n"/>
      <c r="E4209" s="212" t="n"/>
    </row>
    <row r="4210">
      <c r="B4210" s="291" t="n"/>
      <c r="E4210" s="212" t="n"/>
    </row>
    <row r="4211">
      <c r="B4211" s="291" t="n"/>
      <c r="E4211" s="212" t="n"/>
    </row>
    <row r="4212">
      <c r="B4212" s="291" t="n"/>
      <c r="E4212" s="212" t="n"/>
    </row>
    <row r="4213">
      <c r="B4213" s="291" t="n"/>
      <c r="E4213" s="212" t="n"/>
    </row>
    <row r="4214">
      <c r="B4214" s="291" t="n"/>
      <c r="E4214" s="212" t="n"/>
    </row>
    <row r="4215">
      <c r="B4215" s="291" t="n"/>
      <c r="E4215" s="212" t="n"/>
    </row>
    <row r="4216">
      <c r="B4216" s="291" t="n"/>
      <c r="E4216" s="212" t="n"/>
    </row>
    <row r="4217">
      <c r="B4217" s="291" t="n"/>
      <c r="E4217" s="212" t="n"/>
    </row>
    <row r="4218">
      <c r="B4218" s="291" t="n"/>
      <c r="E4218" s="212" t="n"/>
    </row>
    <row r="4219">
      <c r="B4219" s="291" t="n"/>
      <c r="E4219" s="212" t="n"/>
    </row>
    <row r="4220">
      <c r="B4220" s="291" t="n"/>
      <c r="E4220" s="212" t="n"/>
    </row>
    <row r="4221">
      <c r="B4221" s="291" t="n"/>
      <c r="E4221" s="212" t="n"/>
    </row>
    <row r="4222">
      <c r="B4222" s="291" t="n"/>
      <c r="E4222" s="212" t="n"/>
    </row>
    <row r="4223">
      <c r="B4223" s="291" t="n"/>
      <c r="E4223" s="212" t="n"/>
    </row>
    <row r="4224">
      <c r="B4224" s="291" t="n"/>
      <c r="E4224" s="212" t="n"/>
    </row>
    <row r="4225">
      <c r="B4225" s="291" t="n"/>
      <c r="E4225" s="212" t="n"/>
    </row>
    <row r="4226">
      <c r="B4226" s="291" t="n"/>
      <c r="E4226" s="212" t="n"/>
    </row>
    <row r="4227">
      <c r="B4227" s="291" t="n"/>
      <c r="E4227" s="212" t="n"/>
    </row>
    <row r="4228">
      <c r="B4228" s="291" t="n"/>
      <c r="E4228" s="212" t="n"/>
    </row>
    <row r="4229">
      <c r="B4229" s="291" t="n"/>
      <c r="E4229" s="212" t="n"/>
    </row>
    <row r="4230">
      <c r="B4230" s="291" t="n"/>
      <c r="E4230" s="212" t="n"/>
    </row>
    <row r="4231">
      <c r="B4231" s="291" t="n"/>
      <c r="E4231" s="212" t="n"/>
    </row>
    <row r="4232">
      <c r="B4232" s="291" t="n"/>
      <c r="E4232" s="212" t="n"/>
    </row>
    <row r="4233">
      <c r="B4233" s="291" t="n"/>
      <c r="E4233" s="212" t="n"/>
    </row>
    <row r="4234">
      <c r="B4234" s="291" t="n"/>
      <c r="E4234" s="212" t="n"/>
    </row>
    <row r="4235">
      <c r="B4235" s="291" t="n"/>
      <c r="E4235" s="212" t="n"/>
    </row>
    <row r="4236">
      <c r="B4236" s="291" t="n"/>
      <c r="E4236" s="212" t="n"/>
    </row>
    <row r="4237">
      <c r="B4237" s="291" t="n"/>
      <c r="E4237" s="212" t="n"/>
    </row>
    <row r="4238">
      <c r="B4238" s="291" t="n"/>
      <c r="E4238" s="212" t="n"/>
    </row>
    <row r="4239">
      <c r="B4239" s="291" t="n"/>
      <c r="E4239" s="212" t="n"/>
    </row>
    <row r="4240">
      <c r="B4240" s="291" t="n"/>
      <c r="E4240" s="212" t="n"/>
    </row>
    <row r="4241">
      <c r="B4241" s="291" t="n"/>
      <c r="E4241" s="212" t="n"/>
    </row>
    <row r="4242">
      <c r="B4242" s="291" t="n"/>
      <c r="E4242" s="212" t="n"/>
    </row>
    <row r="4243">
      <c r="B4243" s="291" t="n"/>
      <c r="E4243" s="212" t="n"/>
    </row>
    <row r="4244">
      <c r="B4244" s="291" t="n"/>
      <c r="E4244" s="212" t="n"/>
    </row>
    <row r="4245">
      <c r="B4245" s="291" t="n"/>
      <c r="E4245" s="212" t="n"/>
    </row>
    <row r="4246">
      <c r="B4246" s="291" t="n"/>
      <c r="E4246" s="212" t="n"/>
    </row>
    <row r="4247">
      <c r="B4247" s="291" t="n"/>
      <c r="E4247" s="212" t="n"/>
    </row>
    <row r="4248">
      <c r="B4248" s="291" t="n"/>
      <c r="E4248" s="212" t="n"/>
    </row>
    <row r="4249">
      <c r="B4249" s="291" t="n"/>
      <c r="E4249" s="212" t="n"/>
    </row>
    <row r="4250">
      <c r="B4250" s="291" t="n"/>
      <c r="E4250" s="212" t="n"/>
    </row>
    <row r="4251">
      <c r="B4251" s="291" t="n"/>
      <c r="E4251" s="212" t="n"/>
    </row>
    <row r="4252">
      <c r="B4252" s="291" t="n"/>
      <c r="E4252" s="212" t="n"/>
    </row>
    <row r="4253">
      <c r="B4253" s="291" t="n"/>
      <c r="E4253" s="212" t="n"/>
    </row>
    <row r="4254">
      <c r="B4254" s="291" t="n"/>
      <c r="E4254" s="212" t="n"/>
    </row>
    <row r="4255">
      <c r="B4255" s="291" t="n"/>
      <c r="E4255" s="212" t="n"/>
    </row>
    <row r="4256">
      <c r="B4256" s="291" t="n"/>
      <c r="E4256" s="212" t="n"/>
    </row>
    <row r="4257">
      <c r="B4257" s="291" t="n"/>
      <c r="E4257" s="212" t="n"/>
    </row>
    <row r="4258">
      <c r="B4258" s="291" t="n"/>
      <c r="E4258" s="212" t="n"/>
    </row>
    <row r="4259">
      <c r="B4259" s="291" t="n"/>
      <c r="E4259" s="212" t="n"/>
    </row>
    <row r="4260">
      <c r="B4260" s="291" t="n"/>
      <c r="E4260" s="212" t="n"/>
    </row>
    <row r="4261">
      <c r="B4261" s="291" t="n"/>
      <c r="E4261" s="212" t="n"/>
    </row>
    <row r="4262">
      <c r="B4262" s="291" t="n"/>
      <c r="E4262" s="212" t="n"/>
    </row>
    <row r="4263">
      <c r="B4263" s="291" t="n"/>
      <c r="E4263" s="212" t="n"/>
    </row>
    <row r="4264">
      <c r="B4264" s="291" t="n"/>
      <c r="E4264" s="212" t="n"/>
    </row>
    <row r="4265">
      <c r="B4265" s="291" t="n"/>
      <c r="E4265" s="212" t="n"/>
    </row>
    <row r="4266">
      <c r="B4266" s="291" t="n"/>
      <c r="E4266" s="212" t="n"/>
    </row>
    <row r="4267">
      <c r="B4267" s="291" t="n"/>
      <c r="E4267" s="212" t="n"/>
    </row>
    <row r="4268">
      <c r="B4268" s="291" t="n"/>
      <c r="E4268" s="212" t="n"/>
    </row>
    <row r="4269">
      <c r="B4269" s="291" t="n"/>
      <c r="E4269" s="212" t="n"/>
    </row>
    <row r="4270">
      <c r="B4270" s="291" t="n"/>
      <c r="E4270" s="212" t="n"/>
    </row>
    <row r="4271">
      <c r="B4271" s="291" t="n"/>
      <c r="E4271" s="212" t="n"/>
    </row>
    <row r="4272">
      <c r="B4272" s="291" t="n"/>
      <c r="E4272" s="212" t="n"/>
    </row>
    <row r="4273">
      <c r="B4273" s="291" t="n"/>
      <c r="E4273" s="212" t="n"/>
    </row>
    <row r="4274">
      <c r="B4274" s="291" t="n"/>
      <c r="E4274" s="212" t="n"/>
    </row>
    <row r="4275">
      <c r="B4275" s="291" t="n"/>
      <c r="E4275" s="212" t="n"/>
    </row>
    <row r="4276">
      <c r="B4276" s="291" t="n"/>
      <c r="E4276" s="212" t="n"/>
    </row>
    <row r="4277">
      <c r="B4277" s="291" t="n"/>
      <c r="E4277" s="212" t="n"/>
    </row>
    <row r="4278">
      <c r="B4278" s="291" t="n"/>
      <c r="E4278" s="212" t="n"/>
    </row>
    <row r="4279">
      <c r="B4279" s="291" t="n"/>
      <c r="E4279" s="212" t="n"/>
    </row>
    <row r="4280">
      <c r="B4280" s="291" t="n"/>
      <c r="E4280" s="212" t="n"/>
    </row>
    <row r="4281">
      <c r="B4281" s="291" t="n"/>
      <c r="E4281" s="212" t="n"/>
    </row>
    <row r="4282">
      <c r="B4282" s="291" t="n"/>
      <c r="E4282" s="212" t="n"/>
    </row>
    <row r="4283">
      <c r="B4283" s="291" t="n"/>
      <c r="E4283" s="212" t="n"/>
    </row>
    <row r="4284">
      <c r="B4284" s="291" t="n"/>
      <c r="E4284" s="212" t="n"/>
    </row>
    <row r="4285">
      <c r="B4285" s="291" t="n"/>
      <c r="E4285" s="212" t="n"/>
    </row>
    <row r="4286">
      <c r="B4286" s="291" t="n"/>
      <c r="E4286" s="212" t="n"/>
    </row>
    <row r="4287">
      <c r="B4287" s="291" t="n"/>
      <c r="E4287" s="212" t="n"/>
    </row>
    <row r="4288">
      <c r="B4288" s="291" t="n"/>
      <c r="E4288" s="212" t="n"/>
    </row>
    <row r="4289">
      <c r="B4289" s="291" t="n"/>
      <c r="E4289" s="212" t="n"/>
    </row>
    <row r="4290">
      <c r="B4290" s="291" t="n"/>
      <c r="E4290" s="212" t="n"/>
    </row>
    <row r="4291">
      <c r="B4291" s="291" t="n"/>
      <c r="E4291" s="212" t="n"/>
    </row>
    <row r="4292">
      <c r="B4292" s="291" t="n"/>
      <c r="E4292" s="212" t="n"/>
    </row>
    <row r="4293">
      <c r="B4293" s="291" t="n"/>
      <c r="E4293" s="212" t="n"/>
    </row>
    <row r="4294">
      <c r="B4294" s="291" t="n"/>
      <c r="E4294" s="212" t="n"/>
    </row>
    <row r="4295">
      <c r="B4295" s="291" t="n"/>
      <c r="E4295" s="212" t="n"/>
    </row>
    <row r="4296">
      <c r="B4296" s="291" t="n"/>
      <c r="E4296" s="212" t="n"/>
    </row>
    <row r="4297">
      <c r="B4297" s="291" t="n"/>
      <c r="E4297" s="212" t="n"/>
    </row>
    <row r="4298">
      <c r="B4298" s="291" t="n"/>
      <c r="E4298" s="212" t="n"/>
    </row>
    <row r="4299">
      <c r="B4299" s="291" t="n"/>
      <c r="E4299" s="212" t="n"/>
    </row>
    <row r="4300">
      <c r="B4300" s="291" t="n"/>
      <c r="E4300" s="212" t="n"/>
    </row>
    <row r="4301">
      <c r="B4301" s="291" t="n"/>
      <c r="E4301" s="212" t="n"/>
    </row>
    <row r="4302">
      <c r="B4302" s="291" t="n"/>
      <c r="E4302" s="212" t="n"/>
    </row>
    <row r="4303">
      <c r="B4303" s="291" t="n"/>
      <c r="E4303" s="212" t="n"/>
    </row>
    <row r="4304">
      <c r="B4304" s="291" t="n"/>
      <c r="E4304" s="212" t="n"/>
    </row>
    <row r="4305">
      <c r="B4305" s="291" t="n"/>
      <c r="E4305" s="212" t="n"/>
    </row>
    <row r="4306">
      <c r="B4306" s="291" t="n"/>
      <c r="E4306" s="212" t="n"/>
    </row>
    <row r="4307">
      <c r="B4307" s="291" t="n"/>
      <c r="E4307" s="212" t="n"/>
    </row>
    <row r="4308">
      <c r="B4308" s="291" t="n"/>
      <c r="E4308" s="212" t="n"/>
    </row>
    <row r="4309">
      <c r="B4309" s="291" t="n"/>
      <c r="E4309" s="212" t="n"/>
    </row>
    <row r="4310">
      <c r="B4310" s="291" t="n"/>
      <c r="E4310" s="212" t="n"/>
    </row>
    <row r="4311">
      <c r="B4311" s="291" t="n"/>
      <c r="E4311" s="212" t="n"/>
    </row>
    <row r="4312">
      <c r="B4312" s="291" t="n"/>
      <c r="E4312" s="212" t="n"/>
    </row>
    <row r="4313">
      <c r="B4313" s="291" t="n"/>
      <c r="E4313" s="212" t="n"/>
    </row>
    <row r="4314">
      <c r="B4314" s="291" t="n"/>
      <c r="E4314" s="212" t="n"/>
    </row>
    <row r="4315">
      <c r="B4315" s="291" t="n"/>
      <c r="E4315" s="212" t="n"/>
    </row>
    <row r="4316">
      <c r="B4316" s="291" t="n"/>
      <c r="E4316" s="212" t="n"/>
    </row>
    <row r="4317">
      <c r="B4317" s="291" t="n"/>
      <c r="E4317" s="212" t="n"/>
    </row>
    <row r="4318">
      <c r="B4318" s="291" t="n"/>
      <c r="E4318" s="212" t="n"/>
    </row>
    <row r="4319">
      <c r="B4319" s="291" t="n"/>
      <c r="E4319" s="212" t="n"/>
    </row>
    <row r="4320">
      <c r="B4320" s="291" t="n"/>
      <c r="E4320" s="212" t="n"/>
    </row>
    <row r="4321">
      <c r="B4321" s="291" t="n"/>
      <c r="E4321" s="212" t="n"/>
    </row>
    <row r="4322">
      <c r="B4322" s="291" t="n"/>
      <c r="E4322" s="212" t="n"/>
    </row>
    <row r="4323">
      <c r="B4323" s="291" t="n"/>
      <c r="E4323" s="212" t="n"/>
    </row>
    <row r="4324">
      <c r="B4324" s="291" t="n"/>
      <c r="E4324" s="212" t="n"/>
    </row>
    <row r="4325">
      <c r="B4325" s="291" t="n"/>
      <c r="E4325" s="212" t="n"/>
    </row>
    <row r="4326">
      <c r="B4326" s="291" t="n"/>
      <c r="E4326" s="212" t="n"/>
    </row>
    <row r="4327">
      <c r="B4327" s="291" t="n"/>
      <c r="E4327" s="212" t="n"/>
    </row>
    <row r="4328">
      <c r="B4328" s="291" t="n"/>
      <c r="E4328" s="212" t="n"/>
    </row>
    <row r="4329">
      <c r="B4329" s="291" t="n"/>
      <c r="E4329" s="212" t="n"/>
    </row>
    <row r="4330">
      <c r="B4330" s="291" t="n"/>
      <c r="E4330" s="212" t="n"/>
    </row>
    <row r="4331">
      <c r="B4331" s="291" t="n"/>
      <c r="E4331" s="212" t="n"/>
    </row>
    <row r="4332">
      <c r="B4332" s="291" t="n"/>
      <c r="E4332" s="212" t="n"/>
    </row>
    <row r="4333">
      <c r="B4333" s="291" t="n"/>
      <c r="E4333" s="212" t="n"/>
    </row>
    <row r="4334">
      <c r="B4334" s="291" t="n"/>
      <c r="E4334" s="212" t="n"/>
    </row>
    <row r="4335">
      <c r="B4335" s="291" t="n"/>
      <c r="E4335" s="212" t="n"/>
    </row>
    <row r="4336">
      <c r="B4336" s="291" t="n"/>
      <c r="E4336" s="212" t="n"/>
    </row>
    <row r="4337">
      <c r="B4337" s="291" t="n"/>
      <c r="E4337" s="212" t="n"/>
    </row>
    <row r="4338">
      <c r="B4338" s="291" t="n"/>
      <c r="E4338" s="212" t="n"/>
    </row>
    <row r="4339">
      <c r="B4339" s="291" t="n"/>
      <c r="E4339" s="212" t="n"/>
    </row>
    <row r="4340">
      <c r="B4340" s="291" t="n"/>
      <c r="E4340" s="212" t="n"/>
    </row>
    <row r="4341">
      <c r="B4341" s="291" t="n"/>
      <c r="E4341" s="212" t="n"/>
    </row>
    <row r="4342">
      <c r="B4342" s="291" t="n"/>
      <c r="E4342" s="212" t="n"/>
    </row>
    <row r="4343">
      <c r="B4343" s="291" t="n"/>
      <c r="E4343" s="212" t="n"/>
    </row>
    <row r="4344">
      <c r="B4344" s="291" t="n"/>
      <c r="E4344" s="212" t="n"/>
    </row>
    <row r="4345">
      <c r="B4345" s="291" t="n"/>
      <c r="E4345" s="212" t="n"/>
    </row>
    <row r="4346">
      <c r="B4346" s="291" t="n"/>
      <c r="E4346" s="212" t="n"/>
    </row>
    <row r="4347">
      <c r="B4347" s="291" t="n"/>
      <c r="E4347" s="212" t="n"/>
    </row>
    <row r="4348">
      <c r="B4348" s="291" t="n"/>
      <c r="E4348" s="212" t="n"/>
    </row>
    <row r="4349">
      <c r="B4349" s="291" t="n"/>
      <c r="E4349" s="212" t="n"/>
    </row>
    <row r="4350">
      <c r="B4350" s="291" t="n"/>
      <c r="E4350" s="212" t="n"/>
    </row>
    <row r="4351">
      <c r="B4351" s="291" t="n"/>
      <c r="E4351" s="212" t="n"/>
    </row>
    <row r="4352">
      <c r="B4352" s="291" t="n"/>
      <c r="E4352" s="212" t="n"/>
    </row>
    <row r="4353">
      <c r="B4353" s="291" t="n"/>
      <c r="E4353" s="212" t="n"/>
    </row>
    <row r="4354">
      <c r="B4354" s="291" t="n"/>
      <c r="E4354" s="212" t="n"/>
    </row>
    <row r="4355">
      <c r="B4355" s="291" t="n"/>
      <c r="E4355" s="212" t="n"/>
    </row>
    <row r="4356">
      <c r="B4356" s="291" t="n"/>
      <c r="E4356" s="212" t="n"/>
    </row>
    <row r="4357">
      <c r="B4357" s="291" t="n"/>
      <c r="E4357" s="212" t="n"/>
    </row>
    <row r="4358">
      <c r="B4358" s="291" t="n"/>
      <c r="E4358" s="212" t="n"/>
    </row>
    <row r="4359">
      <c r="B4359" s="291" t="n"/>
      <c r="E4359" s="212" t="n"/>
    </row>
    <row r="4360">
      <c r="B4360" s="291" t="n"/>
      <c r="E4360" s="212" t="n"/>
    </row>
    <row r="4361">
      <c r="B4361" s="291" t="n"/>
      <c r="E4361" s="212" t="n"/>
    </row>
    <row r="4362">
      <c r="B4362" s="291" t="n"/>
      <c r="E4362" s="212" t="n"/>
    </row>
    <row r="4363">
      <c r="B4363" s="291" t="n"/>
      <c r="E4363" s="212" t="n"/>
    </row>
    <row r="4364">
      <c r="B4364" s="291" t="n"/>
      <c r="E4364" s="212" t="n"/>
    </row>
    <row r="4365">
      <c r="B4365" s="291" t="n"/>
      <c r="E4365" s="212" t="n"/>
    </row>
    <row r="4366">
      <c r="B4366" s="291" t="n"/>
      <c r="E4366" s="212" t="n"/>
    </row>
    <row r="4367">
      <c r="B4367" s="291" t="n"/>
      <c r="E4367" s="212" t="n"/>
    </row>
    <row r="4368">
      <c r="B4368" s="291" t="n"/>
      <c r="E4368" s="212" t="n"/>
    </row>
    <row r="4369">
      <c r="B4369" s="291" t="n"/>
      <c r="E4369" s="212" t="n"/>
    </row>
    <row r="4370">
      <c r="B4370" s="291" t="n"/>
      <c r="E4370" s="212" t="n"/>
    </row>
    <row r="4371">
      <c r="B4371" s="291" t="n"/>
      <c r="E4371" s="212" t="n"/>
    </row>
    <row r="4372">
      <c r="B4372" s="291" t="n"/>
      <c r="E4372" s="212" t="n"/>
    </row>
    <row r="4373">
      <c r="B4373" s="291" t="n"/>
      <c r="E4373" s="212" t="n"/>
    </row>
    <row r="4374">
      <c r="B4374" s="291" t="n"/>
      <c r="E4374" s="212" t="n"/>
    </row>
    <row r="4375">
      <c r="B4375" s="291" t="n"/>
      <c r="E4375" s="212" t="n"/>
    </row>
    <row r="4376">
      <c r="B4376" s="291" t="n"/>
      <c r="E4376" s="212" t="n"/>
    </row>
    <row r="4377">
      <c r="B4377" s="291" t="n"/>
      <c r="E4377" s="212" t="n"/>
    </row>
    <row r="4378">
      <c r="B4378" s="291" t="n"/>
      <c r="E4378" s="212" t="n"/>
    </row>
    <row r="4379">
      <c r="B4379" s="291" t="n"/>
      <c r="E4379" s="212" t="n"/>
    </row>
    <row r="4380">
      <c r="B4380" s="291" t="n"/>
      <c r="E4380" s="212" t="n"/>
    </row>
    <row r="4381">
      <c r="B4381" s="291" t="n"/>
      <c r="E4381" s="212" t="n"/>
    </row>
    <row r="4382">
      <c r="B4382" s="291" t="n"/>
      <c r="E4382" s="212" t="n"/>
    </row>
    <row r="4383">
      <c r="B4383" s="291" t="n"/>
      <c r="E4383" s="212" t="n"/>
    </row>
    <row r="4384">
      <c r="B4384" s="291" t="n"/>
      <c r="E4384" s="212" t="n"/>
    </row>
    <row r="4385">
      <c r="B4385" s="291" t="n"/>
      <c r="E4385" s="212" t="n"/>
    </row>
    <row r="4386">
      <c r="B4386" s="291" t="n"/>
      <c r="E4386" s="212" t="n"/>
    </row>
    <row r="4387">
      <c r="B4387" s="291" t="n"/>
      <c r="E4387" s="212" t="n"/>
    </row>
    <row r="4388">
      <c r="B4388" s="291" t="n"/>
      <c r="E4388" s="212" t="n"/>
    </row>
    <row r="4389">
      <c r="B4389" s="291" t="n"/>
      <c r="E4389" s="212" t="n"/>
    </row>
    <row r="4390">
      <c r="B4390" s="291" t="n"/>
      <c r="E4390" s="212" t="n"/>
    </row>
    <row r="4391">
      <c r="B4391" s="291" t="n"/>
      <c r="E4391" s="212" t="n"/>
    </row>
    <row r="4392">
      <c r="B4392" s="291" t="n"/>
      <c r="E4392" s="212" t="n"/>
    </row>
    <row r="4393">
      <c r="B4393" s="291" t="n"/>
      <c r="E4393" s="212" t="n"/>
    </row>
    <row r="4394">
      <c r="B4394" s="291" t="n"/>
      <c r="E4394" s="212" t="n"/>
    </row>
    <row r="4395">
      <c r="B4395" s="291" t="n"/>
      <c r="E4395" s="212" t="n"/>
    </row>
    <row r="4396">
      <c r="B4396" s="291" t="n"/>
      <c r="E4396" s="212" t="n"/>
    </row>
    <row r="4397">
      <c r="B4397" s="291" t="n"/>
      <c r="E4397" s="212" t="n"/>
    </row>
    <row r="4398">
      <c r="B4398" s="291" t="n"/>
      <c r="E4398" s="212" t="n"/>
    </row>
    <row r="4399">
      <c r="B4399" s="291" t="n"/>
      <c r="E4399" s="212" t="n"/>
    </row>
    <row r="4400">
      <c r="B4400" s="291" t="n"/>
      <c r="E4400" s="212" t="n"/>
    </row>
    <row r="4401">
      <c r="B4401" s="291" t="n"/>
      <c r="E4401" s="212" t="n"/>
    </row>
    <row r="4402">
      <c r="B4402" s="291" t="n"/>
      <c r="E4402" s="212" t="n"/>
    </row>
    <row r="4403">
      <c r="B4403" s="291" t="n"/>
      <c r="E4403" s="212" t="n"/>
    </row>
    <row r="4404">
      <c r="B4404" s="291" t="n"/>
      <c r="E4404" s="212" t="n"/>
    </row>
    <row r="4405">
      <c r="B4405" s="291" t="n"/>
      <c r="E4405" s="212" t="n"/>
    </row>
    <row r="4406">
      <c r="B4406" s="291" t="n"/>
      <c r="E4406" s="212" t="n"/>
    </row>
    <row r="4407">
      <c r="B4407" s="291" t="n"/>
      <c r="E4407" s="212" t="n"/>
    </row>
    <row r="4408">
      <c r="B4408" s="291" t="n"/>
      <c r="E4408" s="212" t="n"/>
    </row>
    <row r="4409">
      <c r="B4409" s="291" t="n"/>
      <c r="E4409" s="212" t="n"/>
    </row>
    <row r="4410">
      <c r="B4410" s="291" t="n"/>
      <c r="E4410" s="212" t="n"/>
    </row>
    <row r="4411">
      <c r="B4411" s="291" t="n"/>
      <c r="E4411" s="212" t="n"/>
    </row>
    <row r="4412">
      <c r="B4412" s="291" t="n"/>
      <c r="E4412" s="212" t="n"/>
    </row>
    <row r="4413">
      <c r="B4413" s="291" t="n"/>
      <c r="E4413" s="212" t="n"/>
    </row>
    <row r="4414">
      <c r="B4414" s="291" t="n"/>
      <c r="E4414" s="212" t="n"/>
    </row>
    <row r="4415">
      <c r="B4415" s="291" t="n"/>
      <c r="E4415" s="212" t="n"/>
    </row>
    <row r="4416">
      <c r="B4416" s="291" t="n"/>
      <c r="E4416" s="212" t="n"/>
    </row>
    <row r="4417">
      <c r="B4417" s="291" t="n"/>
      <c r="E4417" s="212" t="n"/>
    </row>
    <row r="4418">
      <c r="B4418" s="291" t="n"/>
      <c r="E4418" s="212" t="n"/>
    </row>
    <row r="4419">
      <c r="B4419" s="291" t="n"/>
      <c r="E4419" s="212" t="n"/>
    </row>
    <row r="4420">
      <c r="B4420" s="291" t="n"/>
      <c r="E4420" s="212" t="n"/>
    </row>
    <row r="4421">
      <c r="B4421" s="291" t="n"/>
      <c r="E4421" s="212" t="n"/>
    </row>
    <row r="4422">
      <c r="B4422" s="291" t="n"/>
      <c r="E4422" s="212" t="n"/>
    </row>
    <row r="4423">
      <c r="B4423" s="291" t="n"/>
      <c r="E4423" s="212" t="n"/>
    </row>
    <row r="4424">
      <c r="B4424" s="291" t="n"/>
      <c r="E4424" s="212" t="n"/>
    </row>
    <row r="4425">
      <c r="B4425" s="291" t="n"/>
      <c r="E4425" s="212" t="n"/>
    </row>
    <row r="4426">
      <c r="B4426" s="291" t="n"/>
      <c r="E4426" s="212" t="n"/>
    </row>
    <row r="4427">
      <c r="B4427" s="291" t="n"/>
      <c r="E4427" s="212" t="n"/>
    </row>
    <row r="4428">
      <c r="B4428" s="291" t="n"/>
      <c r="E4428" s="212" t="n"/>
    </row>
    <row r="4429">
      <c r="B4429" s="291" t="n"/>
      <c r="E4429" s="212" t="n"/>
    </row>
    <row r="4430">
      <c r="B4430" s="291" t="n"/>
      <c r="E4430" s="212" t="n"/>
    </row>
    <row r="4431">
      <c r="B4431" s="291" t="n"/>
      <c r="E4431" s="212" t="n"/>
    </row>
    <row r="4432">
      <c r="B4432" s="291" t="n"/>
      <c r="E4432" s="212" t="n"/>
    </row>
    <row r="4433">
      <c r="B4433" s="291" t="n"/>
      <c r="E4433" s="212" t="n"/>
    </row>
    <row r="4434">
      <c r="B4434" s="291" t="n"/>
      <c r="E4434" s="212" t="n"/>
    </row>
    <row r="4435">
      <c r="B4435" s="291" t="n"/>
      <c r="E4435" s="212" t="n"/>
    </row>
    <row r="4436">
      <c r="B4436" s="291" t="n"/>
      <c r="E4436" s="212" t="n"/>
    </row>
    <row r="4437">
      <c r="B4437" s="291" t="n"/>
      <c r="E4437" s="212" t="n"/>
    </row>
    <row r="4438">
      <c r="B4438" s="291" t="n"/>
      <c r="E4438" s="212" t="n"/>
    </row>
    <row r="4439">
      <c r="B4439" s="291" t="n"/>
      <c r="E4439" s="212" t="n"/>
    </row>
    <row r="4440">
      <c r="B4440" s="291" t="n"/>
      <c r="E4440" s="212" t="n"/>
    </row>
    <row r="4441">
      <c r="B4441" s="291" t="n"/>
      <c r="E4441" s="212" t="n"/>
    </row>
    <row r="4442">
      <c r="B4442" s="291" t="n"/>
      <c r="E4442" s="212" t="n"/>
    </row>
    <row r="4443">
      <c r="B4443" s="291" t="n"/>
      <c r="E4443" s="212" t="n"/>
    </row>
    <row r="4444">
      <c r="B4444" s="291" t="n"/>
      <c r="E4444" s="212" t="n"/>
    </row>
    <row r="4445">
      <c r="B4445" s="291" t="n"/>
      <c r="E4445" s="212" t="n"/>
    </row>
    <row r="4446">
      <c r="B4446" s="291" t="n"/>
      <c r="E4446" s="212" t="n"/>
    </row>
    <row r="4447">
      <c r="B4447" s="291" t="n"/>
      <c r="E4447" s="212" t="n"/>
    </row>
    <row r="4448">
      <c r="B4448" s="291" t="n"/>
      <c r="E4448" s="212" t="n"/>
    </row>
    <row r="4449">
      <c r="B4449" s="291" t="n"/>
      <c r="E4449" s="212" t="n"/>
    </row>
    <row r="4450">
      <c r="B4450" s="291" t="n"/>
      <c r="E4450" s="212" t="n"/>
    </row>
    <row r="4451">
      <c r="B4451" s="291" t="n"/>
      <c r="E4451" s="212" t="n"/>
    </row>
    <row r="4452">
      <c r="B4452" s="291" t="n"/>
      <c r="E4452" s="212" t="n"/>
    </row>
    <row r="4453">
      <c r="B4453" s="291" t="n"/>
      <c r="E4453" s="212" t="n"/>
    </row>
    <row r="4454">
      <c r="B4454" s="291" t="n"/>
      <c r="E4454" s="212" t="n"/>
    </row>
    <row r="4455">
      <c r="B4455" s="291" t="n"/>
      <c r="E4455" s="212" t="n"/>
    </row>
    <row r="4456">
      <c r="B4456" s="291" t="n"/>
      <c r="E4456" s="212" t="n"/>
    </row>
    <row r="4457">
      <c r="B4457" s="291" t="n"/>
      <c r="E4457" s="212" t="n"/>
    </row>
    <row r="4458">
      <c r="B4458" s="291" t="n"/>
      <c r="E4458" s="212" t="n"/>
    </row>
    <row r="4459">
      <c r="B4459" s="291" t="n"/>
      <c r="E4459" s="212" t="n"/>
    </row>
    <row r="4460">
      <c r="B4460" s="291" t="n"/>
      <c r="E4460" s="212" t="n"/>
    </row>
    <row r="4461">
      <c r="B4461" s="291" t="n"/>
      <c r="E4461" s="212" t="n"/>
    </row>
    <row r="4462">
      <c r="B4462" s="291" t="n"/>
      <c r="E4462" s="212" t="n"/>
    </row>
    <row r="4463">
      <c r="B4463" s="291" t="n"/>
      <c r="E4463" s="212" t="n"/>
    </row>
    <row r="4464">
      <c r="B4464" s="291" t="n"/>
      <c r="E4464" s="212" t="n"/>
    </row>
    <row r="4465">
      <c r="B4465" s="291" t="n"/>
      <c r="E4465" s="212" t="n"/>
    </row>
    <row r="4466">
      <c r="B4466" s="291" t="n"/>
      <c r="E4466" s="212" t="n"/>
    </row>
    <row r="4467">
      <c r="B4467" s="291" t="n"/>
      <c r="E4467" s="212" t="n"/>
    </row>
    <row r="4468">
      <c r="B4468" s="291" t="n"/>
      <c r="E4468" s="212" t="n"/>
    </row>
    <row r="4469">
      <c r="B4469" s="291" t="n"/>
      <c r="E4469" s="212" t="n"/>
    </row>
    <row r="4470">
      <c r="B4470" s="291" t="n"/>
      <c r="E4470" s="212" t="n"/>
    </row>
    <row r="4471">
      <c r="B4471" s="291" t="n"/>
      <c r="E4471" s="212" t="n"/>
    </row>
    <row r="4472">
      <c r="B4472" s="291" t="n"/>
      <c r="E4472" s="212" t="n"/>
    </row>
    <row r="4473">
      <c r="B4473" s="291" t="n"/>
      <c r="E4473" s="212" t="n"/>
    </row>
    <row r="4474">
      <c r="B4474" s="291" t="n"/>
      <c r="E4474" s="212" t="n"/>
    </row>
    <row r="4475">
      <c r="B4475" s="291" t="n"/>
      <c r="E4475" s="212" t="n"/>
    </row>
    <row r="4476">
      <c r="B4476" s="291" t="n"/>
      <c r="E4476" s="212" t="n"/>
    </row>
    <row r="4477">
      <c r="B4477" s="291" t="n"/>
      <c r="E4477" s="212" t="n"/>
    </row>
    <row r="4478">
      <c r="B4478" s="291" t="n"/>
      <c r="E4478" s="212" t="n"/>
    </row>
    <row r="4479">
      <c r="B4479" s="291" t="n"/>
      <c r="E4479" s="212" t="n"/>
    </row>
    <row r="4480">
      <c r="B4480" s="291" t="n"/>
      <c r="E4480" s="212" t="n"/>
    </row>
    <row r="4481">
      <c r="B4481" s="291" t="n"/>
      <c r="E4481" s="212" t="n"/>
    </row>
    <row r="4482">
      <c r="B4482" s="291" t="n"/>
      <c r="E4482" s="212" t="n"/>
    </row>
    <row r="4483">
      <c r="B4483" s="291" t="n"/>
      <c r="E4483" s="212" t="n"/>
    </row>
    <row r="4484">
      <c r="B4484" s="291" t="n"/>
      <c r="E4484" s="212" t="n"/>
    </row>
    <row r="4485">
      <c r="B4485" s="291" t="n"/>
      <c r="E4485" s="212" t="n"/>
    </row>
    <row r="4486">
      <c r="A4486" s="348" t="inlineStr">
        <is>
          <t>ARTHUR</t>
        </is>
      </c>
      <c r="B4486" s="291" t="n">
        <v>1</v>
      </c>
      <c r="C4486" s="228" t="n">
        <v>3</v>
      </c>
    </row>
    <row r="4487">
      <c r="A4487" s="348" t="inlineStr">
        <is>
          <t>ARTHUR</t>
        </is>
      </c>
      <c r="B4487" s="291" t="n">
        <v>1</v>
      </c>
      <c r="C4487" s="228" t="n">
        <v>4</v>
      </c>
    </row>
    <row r="4488">
      <c r="A4488" s="348" t="inlineStr">
        <is>
          <t>ARTHUR</t>
        </is>
      </c>
      <c r="B4488" s="291" t="n">
        <v>1</v>
      </c>
      <c r="C4488" s="228" t="n">
        <v>5</v>
      </c>
    </row>
    <row r="4489">
      <c r="A4489" s="348" t="inlineStr">
        <is>
          <t>ARTHUR</t>
        </is>
      </c>
      <c r="B4489" s="291" t="n">
        <v>1</v>
      </c>
      <c r="C4489" s="228" t="n">
        <v>6</v>
      </c>
    </row>
    <row r="4490">
      <c r="A4490" s="348" t="inlineStr">
        <is>
          <t>ARTHUR</t>
        </is>
      </c>
      <c r="B4490" s="291" t="n">
        <v>1</v>
      </c>
      <c r="C4490" s="228" t="inlineStr">
        <is>
          <t>6.1</t>
        </is>
      </c>
    </row>
    <row r="4491">
      <c r="A4491" s="348" t="inlineStr">
        <is>
          <t>ARTHUR</t>
        </is>
      </c>
      <c r="B4491" s="291" t="n">
        <v>1</v>
      </c>
      <c r="C4491" s="228" t="n">
        <v>7</v>
      </c>
    </row>
    <row r="4492">
      <c r="A4492" s="348" t="inlineStr">
        <is>
          <t>ARTHUR</t>
        </is>
      </c>
      <c r="B4492" s="291" t="n">
        <v>1</v>
      </c>
      <c r="C4492" s="228" t="n">
        <v>8</v>
      </c>
    </row>
    <row r="4493">
      <c r="A4493" s="348" t="inlineStr">
        <is>
          <t>ARTHUR</t>
        </is>
      </c>
      <c r="B4493" s="291" t="n">
        <v>1</v>
      </c>
      <c r="C4493" s="228" t="n">
        <v>9</v>
      </c>
    </row>
    <row r="4494">
      <c r="A4494" s="348" t="inlineStr">
        <is>
          <t>ARTHUR</t>
        </is>
      </c>
      <c r="B4494" s="291" t="n">
        <v>1</v>
      </c>
      <c r="C4494" s="228" t="n">
        <v>10</v>
      </c>
    </row>
    <row r="4495">
      <c r="A4495" s="348" t="inlineStr">
        <is>
          <t>ARTHUR</t>
        </is>
      </c>
      <c r="B4495" s="291" t="n">
        <v>1</v>
      </c>
      <c r="C4495" s="228" t="n">
        <v>11</v>
      </c>
    </row>
    <row r="4496">
      <c r="A4496" s="348" t="inlineStr">
        <is>
          <t>ARTHUR</t>
        </is>
      </c>
      <c r="B4496" s="291" t="n">
        <v>1</v>
      </c>
      <c r="C4496" s="228" t="n">
        <v>12</v>
      </c>
    </row>
    <row r="4497">
      <c r="A4497" s="348" t="inlineStr">
        <is>
          <t>ARTHUR</t>
        </is>
      </c>
      <c r="B4497" s="291" t="n">
        <v>1</v>
      </c>
      <c r="C4497" s="228" t="n">
        <v>13</v>
      </c>
    </row>
    <row r="4498">
      <c r="A4498" s="348" t="inlineStr">
        <is>
          <t>ARTHUR</t>
        </is>
      </c>
      <c r="B4498" s="291" t="n">
        <v>1</v>
      </c>
      <c r="C4498" s="228" t="n">
        <v>14</v>
      </c>
    </row>
    <row r="4499">
      <c r="A4499" s="348" t="inlineStr">
        <is>
          <t>ARTHUR</t>
        </is>
      </c>
      <c r="B4499" s="291" t="n">
        <v>1</v>
      </c>
      <c r="C4499" s="228" t="n">
        <v>15</v>
      </c>
    </row>
    <row r="4500">
      <c r="A4500" s="348" t="inlineStr">
        <is>
          <t>ARTHUR</t>
        </is>
      </c>
      <c r="B4500" s="291" t="n">
        <v>1</v>
      </c>
      <c r="C4500" s="228" t="n">
        <v>16</v>
      </c>
    </row>
    <row r="4501">
      <c r="A4501" s="348" t="inlineStr">
        <is>
          <t>ARTHUR</t>
        </is>
      </c>
      <c r="B4501" s="291" t="n">
        <v>1</v>
      </c>
      <c r="C4501" s="228" t="n">
        <v>17</v>
      </c>
    </row>
    <row r="4502">
      <c r="A4502" s="348" t="inlineStr">
        <is>
          <t>ARTHUR</t>
        </is>
      </c>
      <c r="B4502" s="291" t="n">
        <v>1</v>
      </c>
      <c r="C4502" s="228" t="n">
        <v>18</v>
      </c>
    </row>
    <row r="4503">
      <c r="A4503" s="348" t="inlineStr">
        <is>
          <t>ARTHUR</t>
        </is>
      </c>
      <c r="B4503" s="291" t="n">
        <v>1</v>
      </c>
      <c r="C4503" s="228" t="n">
        <v>19</v>
      </c>
    </row>
    <row r="4504">
      <c r="A4504" s="348" t="inlineStr">
        <is>
          <t>ARTHUR</t>
        </is>
      </c>
      <c r="B4504" s="291" t="n">
        <v>1</v>
      </c>
      <c r="C4504" s="228" t="n">
        <v>20</v>
      </c>
    </row>
    <row r="4505">
      <c r="A4505" s="348" t="inlineStr">
        <is>
          <t>ARTHUR</t>
        </is>
      </c>
      <c r="B4505" s="291" t="n">
        <v>1</v>
      </c>
      <c r="C4505" s="228" t="n">
        <v>21</v>
      </c>
    </row>
    <row r="4506">
      <c r="A4506" s="348" t="inlineStr">
        <is>
          <t>ARTHUR</t>
        </is>
      </c>
      <c r="B4506" s="291" t="n">
        <v>1</v>
      </c>
      <c r="C4506" s="228" t="n">
        <v>22</v>
      </c>
    </row>
    <row r="4507">
      <c r="A4507" s="348" t="inlineStr">
        <is>
          <t>ARTHUR</t>
        </is>
      </c>
      <c r="B4507" s="291" t="n">
        <v>1</v>
      </c>
      <c r="C4507" s="228" t="n">
        <v>23</v>
      </c>
    </row>
    <row r="4508">
      <c r="A4508" s="348" t="inlineStr">
        <is>
          <t>ARTHUR</t>
        </is>
      </c>
      <c r="B4508" s="291" t="n">
        <v>1</v>
      </c>
      <c r="C4508" s="228" t="n">
        <v>24</v>
      </c>
    </row>
    <row r="4509">
      <c r="A4509" s="348" t="inlineStr">
        <is>
          <t>ARTHUR</t>
        </is>
      </c>
      <c r="B4509" s="291" t="n">
        <v>1</v>
      </c>
      <c r="C4509" s="228" t="n">
        <v>25</v>
      </c>
    </row>
    <row r="4510">
      <c r="A4510" s="348" t="inlineStr">
        <is>
          <t>ARTHUR</t>
        </is>
      </c>
      <c r="B4510" s="291" t="n">
        <v>1</v>
      </c>
      <c r="C4510" s="228" t="n">
        <v>26</v>
      </c>
    </row>
    <row r="4511">
      <c r="A4511" s="348" t="inlineStr">
        <is>
          <t>ARTHUR</t>
        </is>
      </c>
      <c r="B4511" s="291" t="n">
        <v>1</v>
      </c>
      <c r="C4511" s="228" t="n">
        <v>27</v>
      </c>
    </row>
    <row r="4512">
      <c r="A4512" s="348" t="inlineStr">
        <is>
          <t>ARTHUR</t>
        </is>
      </c>
      <c r="B4512" s="291" t="n">
        <v>1</v>
      </c>
      <c r="C4512" s="228" t="n">
        <v>28</v>
      </c>
    </row>
    <row r="4513">
      <c r="A4513" s="348" t="inlineStr">
        <is>
          <t>ARTHUR</t>
        </is>
      </c>
      <c r="B4513" s="291" t="n">
        <v>1</v>
      </c>
      <c r="C4513" s="228" t="n">
        <v>29</v>
      </c>
    </row>
    <row r="4514">
      <c r="A4514" s="348" t="inlineStr">
        <is>
          <t>ARTHUR</t>
        </is>
      </c>
      <c r="B4514" s="291" t="n">
        <v>1</v>
      </c>
      <c r="C4514" s="228" t="n">
        <v>30</v>
      </c>
    </row>
    <row r="4515">
      <c r="A4515" s="348" t="inlineStr">
        <is>
          <t>ARTHUR</t>
        </is>
      </c>
      <c r="B4515" s="291" t="n">
        <v>1</v>
      </c>
      <c r="C4515" s="228" t="n">
        <v>31</v>
      </c>
    </row>
    <row r="4516">
      <c r="A4516" s="348" t="inlineStr">
        <is>
          <t>ARTHUR</t>
        </is>
      </c>
      <c r="B4516" s="291" t="n">
        <v>1</v>
      </c>
      <c r="C4516" s="228" t="n">
        <v>32</v>
      </c>
    </row>
    <row r="4517">
      <c r="A4517" s="348" t="inlineStr">
        <is>
          <t>ARTHUR</t>
        </is>
      </c>
      <c r="B4517" s="291" t="n">
        <v>1</v>
      </c>
      <c r="C4517" s="228" t="n">
        <v>33</v>
      </c>
    </row>
    <row r="4518">
      <c r="A4518" s="348" t="inlineStr">
        <is>
          <t>ARTHUR</t>
        </is>
      </c>
      <c r="B4518" s="291" t="n">
        <v>1</v>
      </c>
      <c r="C4518" s="228" t="n">
        <v>34</v>
      </c>
    </row>
    <row r="4519">
      <c r="A4519" s="348" t="inlineStr">
        <is>
          <t>ARTHUR</t>
        </is>
      </c>
      <c r="B4519" s="291" t="n">
        <v>1</v>
      </c>
      <c r="C4519" s="228" t="n">
        <v>35</v>
      </c>
    </row>
    <row r="4520">
      <c r="A4520" s="348" t="inlineStr">
        <is>
          <t>ARTHUR</t>
        </is>
      </c>
      <c r="B4520" s="291" t="n">
        <v>1</v>
      </c>
      <c r="C4520" s="228" t="n">
        <v>36</v>
      </c>
    </row>
    <row r="4521">
      <c r="A4521" s="348" t="inlineStr">
        <is>
          <t>ARTHUR</t>
        </is>
      </c>
      <c r="B4521" s="291" t="n">
        <v>1</v>
      </c>
      <c r="C4521" s="228" t="n">
        <v>37</v>
      </c>
    </row>
    <row r="4522">
      <c r="A4522" s="348" t="inlineStr">
        <is>
          <t>ARTHUR</t>
        </is>
      </c>
      <c r="B4522" s="291" t="n">
        <v>1</v>
      </c>
      <c r="C4522" s="228" t="n">
        <v>38</v>
      </c>
    </row>
    <row r="4523">
      <c r="A4523" s="348" t="inlineStr">
        <is>
          <t>ARTHUR</t>
        </is>
      </c>
      <c r="B4523" s="291" t="n">
        <v>1</v>
      </c>
      <c r="C4523" s="228" t="n">
        <v>39</v>
      </c>
    </row>
    <row r="4524">
      <c r="A4524" s="348" t="inlineStr">
        <is>
          <t>ARTHUR</t>
        </is>
      </c>
      <c r="B4524" s="291" t="n">
        <v>1</v>
      </c>
      <c r="C4524" s="228" t="n">
        <v>40</v>
      </c>
    </row>
    <row r="4525">
      <c r="A4525" s="348" t="inlineStr">
        <is>
          <t>ARTHUR</t>
        </is>
      </c>
      <c r="B4525" s="291" t="n">
        <v>1</v>
      </c>
      <c r="C4525" s="228" t="inlineStr">
        <is>
          <t>41.1</t>
        </is>
      </c>
    </row>
    <row r="4526">
      <c r="A4526" s="348" t="inlineStr">
        <is>
          <t>ARTHUR</t>
        </is>
      </c>
      <c r="B4526" s="291" t="n">
        <v>1</v>
      </c>
      <c r="C4526" s="228" t="inlineStr">
        <is>
          <t>41.2</t>
        </is>
      </c>
    </row>
    <row r="4527">
      <c r="A4527" s="348" t="inlineStr">
        <is>
          <t>ARTHUR</t>
        </is>
      </c>
      <c r="B4527" s="291" t="n">
        <v>1</v>
      </c>
      <c r="C4527" s="228" t="n">
        <v>41</v>
      </c>
    </row>
    <row r="4528">
      <c r="A4528" s="348" t="inlineStr">
        <is>
          <t>ARTHUR</t>
        </is>
      </c>
      <c r="B4528" s="291" t="n">
        <v>1</v>
      </c>
      <c r="C4528" s="228" t="n">
        <v>42</v>
      </c>
    </row>
    <row r="4529">
      <c r="A4529" s="348" t="inlineStr">
        <is>
          <t>ARTHUR</t>
        </is>
      </c>
      <c r="B4529" s="291" t="n">
        <v>1</v>
      </c>
      <c r="C4529" s="228" t="n">
        <v>43</v>
      </c>
    </row>
    <row r="4530">
      <c r="A4530" s="348" t="inlineStr">
        <is>
          <t>ARTHUR</t>
        </is>
      </c>
      <c r="B4530" s="291" t="n">
        <v>1</v>
      </c>
      <c r="C4530" s="228" t="n">
        <v>44</v>
      </c>
    </row>
    <row r="4531">
      <c r="A4531" s="348" t="inlineStr">
        <is>
          <t>ARTHUR</t>
        </is>
      </c>
      <c r="B4531" s="291" t="n">
        <v>1</v>
      </c>
      <c r="C4531" s="228" t="n">
        <v>45</v>
      </c>
    </row>
    <row r="4532">
      <c r="A4532" s="348" t="inlineStr">
        <is>
          <t>ARTHUR</t>
        </is>
      </c>
      <c r="B4532" s="291" t="n">
        <v>1</v>
      </c>
      <c r="C4532" s="228" t="n">
        <v>46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20.xml><?xml version="1.0" encoding="utf-8"?>
<worksheet xmlns="http://schemas.openxmlformats.org/spreadsheetml/2006/main">
  <sheetPr codeName="Feuil25">
    <tabColor rgb="FFFFFF00"/>
    <outlinePr summaryBelow="1" summaryRight="1"/>
    <pageSetUpPr/>
  </sheetPr>
  <dimension ref="A1:H74"/>
  <sheetViews>
    <sheetView workbookViewId="0">
      <selection activeCell="E1" sqref="E1"/>
    </sheetView>
  </sheetViews>
  <sheetFormatPr baseColWidth="10" defaultColWidth="11.42578125" defaultRowHeight="12.75"/>
  <cols>
    <col width="42.42578125" bestFit="1" customWidth="1" style="155" min="1" max="1"/>
    <col width="28.7109375" bestFit="1" customWidth="1" style="155" min="2" max="2"/>
    <col width="32.5703125" bestFit="1" customWidth="1" style="155" min="3" max="3"/>
    <col width="9.28515625" bestFit="1" customWidth="1" style="155" min="4" max="4"/>
    <col width="12.5703125" customWidth="1" style="155" min="5" max="5"/>
    <col width="15.7109375" bestFit="1" customWidth="1" style="155" min="6" max="9"/>
    <col width="17" bestFit="1" customWidth="1" style="155" min="10" max="13"/>
    <col width="12.7109375" bestFit="1" customWidth="1" style="155" min="14" max="23"/>
    <col width="16.28515625" bestFit="1" customWidth="1" style="155" min="24" max="27"/>
    <col width="15.28515625" bestFit="1" customWidth="1" style="155" min="28" max="28"/>
    <col width="11.42578125" customWidth="1" style="155" min="29" max="16384"/>
  </cols>
  <sheetData>
    <row r="1">
      <c r="A1" s="155" t="inlineStr">
        <is>
          <t>Periode</t>
        </is>
      </c>
      <c r="B1" s="156" t="inlineStr">
        <is>
          <t>01/2025</t>
        </is>
      </c>
      <c r="C1" s="157">
        <f>B1</f>
        <v/>
      </c>
      <c r="D1" s="158">
        <f>DATE(C3,1,1)</f>
        <v/>
      </c>
      <c r="E1" s="353">
        <f>DATE(MID(B1,4,4),MID(B1,1,2),1)</f>
        <v/>
      </c>
      <c r="F1" s="155">
        <f>CONCATENATE(F2,"/",F3)</f>
        <v/>
      </c>
      <c r="G1" s="158">
        <f>DATE(F3,1,1)</f>
        <v/>
      </c>
      <c r="H1" s="353">
        <f>DATE(MID(F1,4,4),MID(F1,1,2),1)</f>
        <v/>
      </c>
    </row>
    <row r="2">
      <c r="B2" s="155">
        <f>VLOOKUP(C2,A7:B18,2)</f>
        <v/>
      </c>
      <c r="C2" s="155">
        <f>MID(B1,1,2)</f>
        <v/>
      </c>
      <c r="D2" s="158">
        <f>DATE(C3,C2,B2)</f>
        <v/>
      </c>
      <c r="E2" s="155">
        <f>VLOOKUP(F2,A7:B18,2)</f>
        <v/>
      </c>
      <c r="F2" s="155">
        <f>C2</f>
        <v/>
      </c>
      <c r="G2" s="158">
        <f>DATE(F3,F2,E2)</f>
        <v/>
      </c>
    </row>
    <row r="3">
      <c r="C3" s="155">
        <f>MID(B1,4,4)</f>
        <v/>
      </c>
      <c r="D3" s="158">
        <f>+DATE(C3,C2,1)</f>
        <v/>
      </c>
      <c r="F3" s="160">
        <f>C3-1</f>
        <v/>
      </c>
    </row>
    <row r="6">
      <c r="A6" s="155" t="inlineStr">
        <is>
          <t>Mois</t>
        </is>
      </c>
      <c r="B6" s="155" t="inlineStr">
        <is>
          <t>Jour fin de mois</t>
        </is>
      </c>
      <c r="C6" s="157" t="n"/>
    </row>
    <row r="7">
      <c r="A7" s="157" t="inlineStr">
        <is>
          <t>01</t>
        </is>
      </c>
      <c r="B7" s="157" t="inlineStr">
        <is>
          <t>31</t>
        </is>
      </c>
      <c r="C7" s="160" t="n"/>
    </row>
    <row r="8">
      <c r="A8" s="157" t="inlineStr">
        <is>
          <t>02</t>
        </is>
      </c>
      <c r="B8" s="160">
        <f>IF((C3/4) = INT(C3/4),29,28)</f>
        <v/>
      </c>
      <c r="C8" s="157" t="n"/>
    </row>
    <row r="9">
      <c r="A9" s="157" t="inlineStr">
        <is>
          <t>03</t>
        </is>
      </c>
      <c r="B9" s="157" t="inlineStr">
        <is>
          <t>31</t>
        </is>
      </c>
      <c r="C9" s="157" t="n"/>
    </row>
    <row r="10">
      <c r="A10" s="157" t="inlineStr">
        <is>
          <t>04</t>
        </is>
      </c>
      <c r="B10" s="157" t="inlineStr">
        <is>
          <t>30</t>
        </is>
      </c>
      <c r="C10" s="157" t="n"/>
    </row>
    <row r="11">
      <c r="A11" s="157" t="inlineStr">
        <is>
          <t>05</t>
        </is>
      </c>
      <c r="B11" s="157" t="inlineStr">
        <is>
          <t>31</t>
        </is>
      </c>
      <c r="C11" s="157" t="n"/>
    </row>
    <row r="12">
      <c r="A12" s="157" t="inlineStr">
        <is>
          <t>06</t>
        </is>
      </c>
      <c r="B12" s="157" t="inlineStr">
        <is>
          <t>30</t>
        </is>
      </c>
      <c r="C12" s="157" t="n"/>
    </row>
    <row r="13">
      <c r="A13" s="157" t="inlineStr">
        <is>
          <t>07</t>
        </is>
      </c>
      <c r="B13" s="157" t="inlineStr">
        <is>
          <t>31</t>
        </is>
      </c>
      <c r="C13" s="157" t="n"/>
    </row>
    <row r="14">
      <c r="A14" s="157" t="inlineStr">
        <is>
          <t>08</t>
        </is>
      </c>
      <c r="B14" s="157" t="inlineStr">
        <is>
          <t>31</t>
        </is>
      </c>
      <c r="C14" s="157" t="n"/>
    </row>
    <row r="15">
      <c r="A15" s="157" t="inlineStr">
        <is>
          <t>09</t>
        </is>
      </c>
      <c r="B15" s="157" t="inlineStr">
        <is>
          <t>30</t>
        </is>
      </c>
      <c r="C15" s="157" t="n"/>
    </row>
    <row r="16">
      <c r="A16" s="157" t="inlineStr">
        <is>
          <t>10</t>
        </is>
      </c>
      <c r="B16" s="157" t="inlineStr">
        <is>
          <t>31</t>
        </is>
      </c>
      <c r="C16" s="157" t="n"/>
    </row>
    <row r="17">
      <c r="A17" s="157" t="inlineStr">
        <is>
          <t>11</t>
        </is>
      </c>
      <c r="B17" s="157" t="inlineStr">
        <is>
          <t>30</t>
        </is>
      </c>
      <c r="C17" s="157" t="n"/>
    </row>
    <row r="18">
      <c r="A18" s="157" t="inlineStr">
        <is>
          <t>12</t>
        </is>
      </c>
      <c r="B18" s="157" t="inlineStr">
        <is>
          <t>31</t>
        </is>
      </c>
    </row>
    <row r="19">
      <c r="A19" s="157" t="n"/>
      <c r="B19" s="157" t="n"/>
    </row>
    <row r="21" s="161"/>
    <row r="22" s="161">
      <c r="A22" s="348" t="inlineStr">
        <is>
          <t>Table libre</t>
        </is>
      </c>
      <c r="B22" s="348" t="inlineStr">
        <is>
          <t>Code</t>
        </is>
      </c>
      <c r="C22" s="348" t="inlineStr">
        <is>
          <t>Ligne P&amp;L</t>
        </is>
      </c>
    </row>
    <row r="23" s="161">
      <c r="A23" s="213" t="n"/>
      <c r="B23" s="214" t="n">
        <v>1</v>
      </c>
      <c r="C23" s="213" t="inlineStr">
        <is>
          <t>Ventes nettes totales</t>
        </is>
      </c>
    </row>
    <row r="24" s="161">
      <c r="A24" s="213" t="inlineStr">
        <is>
          <t>Table n°2  -  Ventes produits alimentaires</t>
        </is>
      </c>
      <c r="B24" s="214" t="n">
        <v>2</v>
      </c>
      <c r="C24" s="213" t="inlineStr">
        <is>
          <t>Ventes produits alimentaires</t>
        </is>
      </c>
    </row>
    <row r="25" s="161">
      <c r="A25" s="213" t="inlineStr">
        <is>
          <t>Table n°2  -  Coût nourriture : achat nourriture</t>
        </is>
      </c>
      <c r="B25" s="214" t="n">
        <v>3</v>
      </c>
      <c r="C25" s="213" t="inlineStr">
        <is>
          <t>Coût nourriture : achat nourriture</t>
        </is>
      </c>
    </row>
    <row r="26" s="161">
      <c r="A26" s="213" t="inlineStr">
        <is>
          <t>Table n°2  -  Repas employés</t>
        </is>
      </c>
      <c r="B26" s="214" t="n">
        <v>4</v>
      </c>
      <c r="C26" s="213" t="inlineStr">
        <is>
          <t>Repas employés</t>
        </is>
      </c>
    </row>
    <row r="27" s="161">
      <c r="A27" s="213" t="inlineStr">
        <is>
          <t>Table n°2  -  Déchets Pertes</t>
        </is>
      </c>
      <c r="B27" s="214" t="n">
        <v>5</v>
      </c>
      <c r="C27" s="213" t="inlineStr">
        <is>
          <t>Déchets Pertes</t>
        </is>
      </c>
    </row>
    <row r="28" s="161">
      <c r="A28" s="213" t="inlineStr">
        <is>
          <t>Table n°2  -  Coût emballages</t>
        </is>
      </c>
      <c r="B28" s="214" t="n">
        <v>6</v>
      </c>
      <c r="C28" s="213" t="inlineStr">
        <is>
          <t>Coût emballages</t>
        </is>
      </c>
    </row>
    <row r="29" s="161">
      <c r="A29" s="213" t="inlineStr">
        <is>
          <t>Table n°2  -  Vaisselle réutilisable</t>
        </is>
      </c>
      <c r="B29" s="214" t="inlineStr">
        <is>
          <t>6.1</t>
        </is>
      </c>
      <c r="C29" s="213" t="inlineStr">
        <is>
          <t>Vaisselle réutilisable</t>
        </is>
      </c>
    </row>
    <row r="30" s="161">
      <c r="A30" s="213" t="n"/>
      <c r="B30" s="214" t="n">
        <v>7</v>
      </c>
      <c r="C30" s="213" t="inlineStr">
        <is>
          <t>Marge brute</t>
        </is>
      </c>
    </row>
    <row r="31" s="161">
      <c r="A31" s="213" t="inlineStr">
        <is>
          <t>Table n°2  -  Main d'œuvre brute équipiers</t>
        </is>
      </c>
      <c r="B31" s="214" t="n">
        <v>8</v>
      </c>
      <c r="C31" s="213" t="inlineStr">
        <is>
          <t>Main d'œuvre brute équipiers</t>
        </is>
      </c>
    </row>
    <row r="32" s="161">
      <c r="A32" s="213" t="inlineStr">
        <is>
          <t>Table n°2  -  Charges sociales équipiers</t>
        </is>
      </c>
      <c r="B32" s="214" t="n">
        <v>9</v>
      </c>
      <c r="C32" s="213" t="inlineStr">
        <is>
          <t>Charges sociales équipiers</t>
        </is>
      </c>
    </row>
    <row r="33" s="161">
      <c r="A33" s="213" t="inlineStr">
        <is>
          <t>Table n°2  -  Main d'œuvre brute équipe de gestio</t>
        </is>
      </c>
      <c r="B33" s="214" t="n">
        <v>10</v>
      </c>
      <c r="C33" s="213" t="inlineStr">
        <is>
          <t>Main d'œuvre brute équipe de gestion</t>
        </is>
      </c>
    </row>
    <row r="34" s="161">
      <c r="A34" s="213" t="inlineStr">
        <is>
          <t>Table n°2  -  Charges sociales équipe de gestion</t>
        </is>
      </c>
      <c r="B34" s="214" t="n">
        <v>11</v>
      </c>
      <c r="C34" s="213" t="inlineStr">
        <is>
          <t>Charges sociales équipe de gestion</t>
        </is>
      </c>
    </row>
    <row r="35" s="161">
      <c r="A35" s="213" t="inlineStr">
        <is>
          <t>Table n°2  -  Aides et exonérations sociales</t>
        </is>
      </c>
      <c r="B35" s="214" t="n">
        <v>12</v>
      </c>
      <c r="C35" s="213" t="inlineStr">
        <is>
          <t>Aides et exonérations sociales</t>
        </is>
      </c>
    </row>
    <row r="36" s="161">
      <c r="A36" s="213" t="inlineStr">
        <is>
          <t>Table n°2  -  Divers MO</t>
        </is>
      </c>
      <c r="B36" s="214" t="n">
        <v>13</v>
      </c>
      <c r="C36" s="213" t="inlineStr">
        <is>
          <t>Divers MO</t>
        </is>
      </c>
    </row>
    <row r="37" s="161">
      <c r="A37" s="213" t="n"/>
      <c r="B37" s="214" t="n">
        <v>14</v>
      </c>
      <c r="C37" s="213" t="inlineStr">
        <is>
          <t>Sous total Main d'œuvre</t>
        </is>
      </c>
    </row>
    <row r="38" s="161">
      <c r="A38" s="213" t="inlineStr">
        <is>
          <t>Table n°2  -  Nettoyage</t>
        </is>
      </c>
      <c r="B38" s="214" t="n">
        <v>15</v>
      </c>
      <c r="C38" s="213" t="inlineStr">
        <is>
          <t>Nettoyage</t>
        </is>
      </c>
    </row>
    <row r="39" s="161">
      <c r="A39" s="213" t="inlineStr">
        <is>
          <t>Table n°2  -  Sécurité et Gardiennage</t>
        </is>
      </c>
      <c r="B39" s="214" t="n">
        <v>16</v>
      </c>
      <c r="C39" s="213" t="inlineStr">
        <is>
          <t>Sécurité et Gardiennage</t>
        </is>
      </c>
    </row>
    <row r="40" s="161">
      <c r="A40" s="213" t="inlineStr">
        <is>
          <t>Table n°2  -  Frais bancaires</t>
        </is>
      </c>
      <c r="B40" s="214" t="n">
        <v>17</v>
      </c>
      <c r="C40" s="213" t="inlineStr">
        <is>
          <t>Frais bancaires</t>
        </is>
      </c>
    </row>
    <row r="41" s="161">
      <c r="A41" s="213" t="inlineStr">
        <is>
          <t>Table n°2  -  Contrats Maintenance et réparations</t>
        </is>
      </c>
      <c r="B41" s="214" t="n">
        <v>18</v>
      </c>
      <c r="C41" s="213" t="inlineStr">
        <is>
          <t>Contrats Maintenance et réparations</t>
        </is>
      </c>
    </row>
    <row r="42" s="161">
      <c r="A42" s="213" t="inlineStr">
        <is>
          <t>Table n°2  -  Autres Services Extérieurs</t>
        </is>
      </c>
      <c r="B42" s="214" t="n">
        <v>19</v>
      </c>
      <c r="C42" s="213" t="inlineStr">
        <is>
          <t>Autres Services Extérieurs</t>
        </is>
      </c>
    </row>
    <row r="43" s="161">
      <c r="A43" s="213" t="n"/>
      <c r="B43" s="214" t="n">
        <v>20</v>
      </c>
      <c r="C43" s="213" t="inlineStr">
        <is>
          <t>Sous total Services Extérieurs</t>
        </is>
      </c>
    </row>
    <row r="44" s="161">
      <c r="A44" s="213" t="inlineStr">
        <is>
          <t>Table n°2  -  Commissions Food Tech</t>
        </is>
      </c>
      <c r="B44" s="214" t="n">
        <v>21</v>
      </c>
      <c r="C44" s="213" t="inlineStr">
        <is>
          <t>Commissions Food Tech</t>
        </is>
      </c>
    </row>
    <row r="45" s="161">
      <c r="A45" s="213" t="inlineStr">
        <is>
          <t>Table n°2  -  Publicité GIE</t>
        </is>
      </c>
      <c r="B45" s="214" t="n">
        <v>22</v>
      </c>
      <c r="C45" s="213" t="inlineStr">
        <is>
          <t>Publicité GIE</t>
        </is>
      </c>
    </row>
    <row r="46" s="161">
      <c r="A46" s="213" t="inlineStr">
        <is>
          <t>Table n°2  -  Promotion locale</t>
        </is>
      </c>
      <c r="B46" s="214" t="n">
        <v>23</v>
      </c>
      <c r="C46" s="213" t="inlineStr">
        <is>
          <t>Promotion locale</t>
        </is>
      </c>
    </row>
    <row r="47" s="161">
      <c r="A47" s="213" t="inlineStr">
        <is>
          <t>Table n°2  -  Electricité, eau, gaz, téléphone</t>
        </is>
      </c>
      <c r="B47" s="214" t="n">
        <v>24</v>
      </c>
      <c r="C47" s="213" t="inlineStr">
        <is>
          <t>Electricité, eau, gaz, téléphone</t>
        </is>
      </c>
    </row>
    <row r="48" s="161">
      <c r="A48" s="213" t="inlineStr">
        <is>
          <t>Table n°2  -  Fournitures exploitation et bureau</t>
        </is>
      </c>
      <c r="B48" s="214" t="n">
        <v>25</v>
      </c>
      <c r="C48" s="213" t="inlineStr">
        <is>
          <t>Fournitures exploitation et bureau</t>
        </is>
      </c>
    </row>
    <row r="49" s="161">
      <c r="A49" s="213" t="inlineStr">
        <is>
          <t>Table n°2  -  Frais de déplacements et Evènements</t>
        </is>
      </c>
      <c r="B49" s="214" t="n">
        <v>26</v>
      </c>
      <c r="C49" s="213" t="inlineStr">
        <is>
          <t>Frais de déplacements et Evènements</t>
        </is>
      </c>
    </row>
    <row r="50" s="161">
      <c r="A50" s="213" t="inlineStr">
        <is>
          <t>Table n°2  -  Divers</t>
        </is>
      </c>
      <c r="B50" s="214" t="n">
        <v>27</v>
      </c>
      <c r="C50" s="213" t="inlineStr">
        <is>
          <t>Divers</t>
        </is>
      </c>
    </row>
    <row r="51" s="161">
      <c r="A51" s="213" t="n"/>
      <c r="B51" s="214" t="n">
        <v>28</v>
      </c>
      <c r="C51" s="213" t="inlineStr">
        <is>
          <t>Profit après contrôlables (PAC)</t>
        </is>
      </c>
    </row>
    <row r="52" s="161">
      <c r="A52" s="213" t="inlineStr">
        <is>
          <t>Table n°2  -  Redevance standard</t>
        </is>
      </c>
      <c r="B52" s="214" t="n">
        <v>29</v>
      </c>
      <c r="C52" s="213" t="inlineStr">
        <is>
          <t>Redevance standard</t>
        </is>
      </c>
    </row>
    <row r="53" s="161">
      <c r="A53" s="213" t="inlineStr">
        <is>
          <t>Table n°2  -  Indexation loyer externe</t>
        </is>
      </c>
      <c r="B53" s="214" t="n">
        <v>30</v>
      </c>
      <c r="C53" s="213" t="inlineStr">
        <is>
          <t>Indexation loyer externe</t>
        </is>
      </c>
    </row>
    <row r="54" s="161">
      <c r="A54" s="213" t="inlineStr">
        <is>
          <t>Table n°2  -  Incentives et Avoirs de redevance</t>
        </is>
      </c>
      <c r="B54" s="214" t="n">
        <v>31</v>
      </c>
      <c r="C54" s="213" t="inlineStr">
        <is>
          <t>Incentives et Avoirs de redevance</t>
        </is>
      </c>
    </row>
    <row r="55" s="161">
      <c r="A55" s="213" t="n"/>
      <c r="B55" s="214" t="n">
        <v>32</v>
      </c>
      <c r="C55" s="213" t="inlineStr">
        <is>
          <t>Sous total Redevance effective</t>
        </is>
      </c>
    </row>
    <row r="56" s="161">
      <c r="A56" s="213" t="inlineStr">
        <is>
          <t>Table n°2  -  Charges locatives et copro</t>
        </is>
      </c>
      <c r="B56" s="214" t="n">
        <v>33</v>
      </c>
      <c r="C56" s="213" t="inlineStr">
        <is>
          <t>Charges locatives et copro</t>
        </is>
      </c>
    </row>
    <row r="57" s="161">
      <c r="A57" s="213" t="inlineStr">
        <is>
          <t>Table n°2  -  Redevance service 5%</t>
        </is>
      </c>
      <c r="B57" s="214" t="n">
        <v>34</v>
      </c>
      <c r="C57" s="213" t="inlineStr">
        <is>
          <t>Redevance service 5%</t>
        </is>
      </c>
    </row>
    <row r="58" s="161">
      <c r="A58" s="213" t="inlineStr">
        <is>
          <t>Table n°2  -  Frais comptables et juridiques</t>
        </is>
      </c>
      <c r="B58" s="214" t="n">
        <v>35</v>
      </c>
      <c r="C58" s="213" t="inlineStr">
        <is>
          <t>Frais comptables et juridiques</t>
        </is>
      </c>
    </row>
    <row r="59" s="161">
      <c r="A59" s="213" t="inlineStr">
        <is>
          <t>Table n°2  -  Assurances</t>
        </is>
      </c>
      <c r="B59" s="214" t="n">
        <v>36</v>
      </c>
      <c r="C59" s="213" t="inlineStr">
        <is>
          <t>Assurances</t>
        </is>
      </c>
    </row>
    <row r="60" s="161">
      <c r="A60" s="213" t="inlineStr">
        <is>
          <t>Table n°2  -  Taxes</t>
        </is>
      </c>
      <c r="B60" s="214" t="n">
        <v>37</v>
      </c>
      <c r="C60" s="213" t="inlineStr">
        <is>
          <t>Taxes</t>
        </is>
      </c>
    </row>
    <row r="61" s="161">
      <c r="A61" s="213" t="inlineStr">
        <is>
          <t>Table n°2  -  Dépréciations amortissements</t>
        </is>
      </c>
      <c r="B61" s="214" t="n">
        <v>38</v>
      </c>
      <c r="C61" s="213" t="inlineStr">
        <is>
          <t>Dépréciations amortissements</t>
        </is>
      </c>
    </row>
    <row r="62" s="161">
      <c r="A62" s="213" t="inlineStr">
        <is>
          <t>Table n°2  -  Crédit bail</t>
        </is>
      </c>
      <c r="B62" s="214" t="n">
        <v>39</v>
      </c>
      <c r="C62" s="213" t="inlineStr">
        <is>
          <t>Crédit bail</t>
        </is>
      </c>
    </row>
    <row r="63" s="161">
      <c r="A63" s="213" t="inlineStr">
        <is>
          <t>Table n°2  -  Dépenses / Revenus divers</t>
        </is>
      </c>
      <c r="B63" s="214" t="n">
        <v>40</v>
      </c>
      <c r="C63" s="213" t="inlineStr">
        <is>
          <t>Dépenses / Revenus divers</t>
        </is>
      </c>
    </row>
    <row r="64" s="161">
      <c r="A64" s="213" t="inlineStr">
        <is>
          <t>Table n°2  -  Ventes non alimentaires</t>
        </is>
      </c>
      <c r="B64" s="214" t="inlineStr">
        <is>
          <t>41.1</t>
        </is>
      </c>
      <c r="C64" s="213" t="inlineStr">
        <is>
          <t>Ventes non alimentaires</t>
        </is>
      </c>
    </row>
    <row r="65" s="161">
      <c r="A65" s="213" t="inlineStr">
        <is>
          <t>Table n°2  -  Coût non alimentaire</t>
        </is>
      </c>
      <c r="B65" s="214" t="inlineStr">
        <is>
          <t>41.2</t>
        </is>
      </c>
      <c r="C65" s="213" t="inlineStr">
        <is>
          <t>Coût non alimentaire</t>
        </is>
      </c>
    </row>
    <row r="66" s="161">
      <c r="A66" s="213" t="inlineStr">
        <is>
          <t>Table n°2  -  Résultat net non alimentaire</t>
        </is>
      </c>
      <c r="B66" s="214" t="n">
        <v>41</v>
      </c>
      <c r="C66" s="213" t="inlineStr">
        <is>
          <t>Résultat net non alimentaire</t>
        </is>
      </c>
    </row>
    <row r="67" s="161">
      <c r="A67" s="213" t="inlineStr">
        <is>
          <t>Table n°2  -  Charges / Revenus financiers</t>
        </is>
      </c>
      <c r="B67" s="214" t="n">
        <v>42</v>
      </c>
      <c r="C67" s="213" t="inlineStr">
        <is>
          <t>Charges / Revenus financiers</t>
        </is>
      </c>
    </row>
    <row r="68" s="161">
      <c r="A68" s="213" t="n"/>
      <c r="B68" s="214" t="n">
        <v>43</v>
      </c>
      <c r="C68" s="213" t="inlineStr">
        <is>
          <t>Résultat net d'exploitation (SOI)</t>
        </is>
      </c>
    </row>
    <row r="69" s="161">
      <c r="A69" s="213" t="n"/>
      <c r="B69" s="214" t="n">
        <v>44</v>
      </c>
      <c r="C69" s="213" t="inlineStr">
        <is>
          <t>Cash Flow avant fin, G&amp;A et IS</t>
        </is>
      </c>
    </row>
    <row r="70" s="161">
      <c r="A70" s="213" t="inlineStr">
        <is>
          <t>Table n°2  -  Charges et produits exceptionnels</t>
        </is>
      </c>
      <c r="B70" s="214" t="n">
        <v>45</v>
      </c>
      <c r="C70" s="213" t="inlineStr">
        <is>
          <t>Charges et produits exceptionnels</t>
        </is>
      </c>
    </row>
    <row r="71" s="161">
      <c r="A71" s="213" t="inlineStr">
        <is>
          <t>Table n°2  -  G&amp;A (Frais administratifs)</t>
        </is>
      </c>
      <c r="B71" s="214" t="n">
        <v>46</v>
      </c>
      <c r="C71" s="213" t="inlineStr">
        <is>
          <t>G&amp;A (Frais administratifs)</t>
        </is>
      </c>
    </row>
    <row r="72" s="161">
      <c r="A72" s="213" t="n"/>
      <c r="B72" s="214" t="n">
        <v>47</v>
      </c>
      <c r="C72" s="213" t="inlineStr">
        <is>
          <t>Revenu net avant impôt</t>
        </is>
      </c>
    </row>
    <row r="73" s="161">
      <c r="A73" s="213" t="inlineStr">
        <is>
          <t>Table n°2  -  Impôt sur les sociétés</t>
        </is>
      </c>
      <c r="B73" s="214" t="n">
        <v>48</v>
      </c>
      <c r="C73" s="213" t="inlineStr">
        <is>
          <t>Impôt sur les sociétés</t>
        </is>
      </c>
    </row>
    <row r="74" s="161">
      <c r="A74" s="213" t="n"/>
      <c r="B74" s="214" t="n">
        <v>49</v>
      </c>
      <c r="C74" s="213" t="inlineStr">
        <is>
          <t>Résultat net</t>
        </is>
      </c>
    </row>
  </sheetData>
  <pageMargins left="0.7" right="0.7" top="0.75" bottom="0.75" header="0.3" footer="0.3"/>
  <pageSetup orientation="portrait" paperSize="9"/>
  <tableParts count="2">
    <tablePart xmlns:r="http://schemas.openxmlformats.org/officeDocument/2006/relationships" r:id="rId1"/>
    <tablePart xmlns:r="http://schemas.openxmlformats.org/officeDocument/2006/relationships" r:id="rId2"/>
  </tableParts>
</worksheet>
</file>

<file path=xl/worksheets/sheet21.xml><?xml version="1.0" encoding="utf-8"?>
<worksheet xmlns="http://schemas.openxmlformats.org/spreadsheetml/2006/main">
  <sheetPr codeName="Feuil26">
    <tabColor rgb="FFFFFF00"/>
    <outlinePr summaryBelow="1" summaryRight="1"/>
    <pageSetUpPr/>
  </sheetPr>
  <dimension ref="A1:EF315"/>
  <sheetViews>
    <sheetView showGridLines="0" tabSelected="1" zoomScale="85" zoomScaleNormal="85" workbookViewId="0">
      <pane xSplit="1" topLeftCell="CQ1" activePane="topRight" state="frozen"/>
      <selection activeCell="N17" sqref="N17"/>
      <selection pane="topRight" activeCell="DL6" sqref="DL6"/>
    </sheetView>
  </sheetViews>
  <sheetFormatPr baseColWidth="10" defaultColWidth="11.5703125" defaultRowHeight="12.75"/>
  <cols>
    <col width="21.5703125" customWidth="1" style="354" min="1" max="1"/>
    <col width="16.28515625" customWidth="1" style="354" min="2" max="2"/>
    <col width="10.5703125" customWidth="1" style="354" min="3" max="9"/>
    <col width="16.28515625" customWidth="1" style="354" min="10" max="10"/>
    <col width="10.5703125" customWidth="1" style="354" min="11" max="16"/>
    <col width="6.28515625" customWidth="1" style="354" min="17" max="17"/>
    <col width="16.28515625" customWidth="1" style="354" min="18" max="18"/>
    <col width="10.5703125" customWidth="1" style="354" min="19" max="24"/>
    <col width="6.28515625" customWidth="1" style="354" min="25" max="25"/>
    <col width="16.28515625" customWidth="1" style="354" min="26" max="26"/>
    <col width="10.5703125" customWidth="1" style="354" min="27" max="32"/>
    <col width="6.28515625" customWidth="1" style="354" min="33" max="33"/>
    <col width="16.28515625" customWidth="1" style="354" min="34" max="34"/>
    <col width="10.5703125" customWidth="1" style="354" min="35" max="40"/>
    <col width="6.28515625" customWidth="1" style="354" min="41" max="41"/>
    <col width="16.28515625" customWidth="1" style="354" min="42" max="42"/>
    <col width="10.5703125" customWidth="1" style="354" min="43" max="48"/>
    <col width="11.5703125" customWidth="1" style="354" min="49" max="49"/>
    <col width="16.28515625" customWidth="1" style="354" min="50" max="50"/>
    <col width="10.5703125" customWidth="1" style="354" min="51" max="57"/>
    <col width="16.28515625" customWidth="1" style="354" min="58" max="58"/>
    <col width="10.5703125" customWidth="1" style="354" min="59" max="65"/>
    <col width="16.28515625" customWidth="1" style="354" min="66" max="66"/>
    <col width="10.5703125" customWidth="1" style="354" min="67" max="72"/>
    <col width="6.28515625" customWidth="1" style="354" min="73" max="73"/>
    <col width="16.28515625" customWidth="1" style="354" min="74" max="74"/>
    <col width="10.5703125" customWidth="1" style="354" min="75" max="81"/>
    <col width="16.28515625" customWidth="1" style="354" min="82" max="82"/>
    <col width="10.5703125" customWidth="1" style="354" min="83" max="88"/>
    <col width="6.28515625" customWidth="1" style="354" min="89" max="89"/>
    <col width="16.28515625" customWidth="1" style="354" min="90" max="90"/>
    <col width="10.5703125" customWidth="1" style="354" min="91" max="96"/>
    <col width="6.28515625" customWidth="1" style="354" min="97" max="97"/>
    <col width="16.28515625" customWidth="1" style="354" min="98" max="98"/>
    <col width="10.5703125" customWidth="1" style="354" min="99" max="104"/>
    <col width="6.28515625" customWidth="1" style="354" min="105" max="105"/>
    <col width="16.28515625" customWidth="1" style="354" min="106" max="106"/>
    <col width="10.5703125" customWidth="1" style="354" min="107" max="113"/>
    <col width="16.28515625" customWidth="1" style="354" min="114" max="114"/>
    <col width="10.5703125" customWidth="1" style="354" min="115" max="120"/>
    <col width="6.28515625" customWidth="1" style="354" min="121" max="121"/>
    <col width="16.28515625" customWidth="1" style="354" min="122" max="122"/>
    <col width="10.5703125" customWidth="1" style="354" min="123" max="128"/>
    <col width="11.5703125" customWidth="1" style="354" min="129" max="16384"/>
  </cols>
  <sheetData>
    <row r="1" ht="15.75" customHeight="1" s="161">
      <c r="A1" s="355" t="inlineStr">
        <is>
          <t>Période</t>
        </is>
      </c>
    </row>
    <row r="3">
      <c r="A3" s="354" t="inlineStr">
        <is>
          <t>Année en cours</t>
        </is>
      </c>
      <c r="B3" s="47" t="inlineStr">
        <is>
          <t>2025</t>
        </is>
      </c>
    </row>
    <row r="4">
      <c r="A4" s="354" t="inlineStr">
        <is>
          <t>Année précédente</t>
        </is>
      </c>
      <c r="B4" s="47" t="inlineStr">
        <is>
          <t>2024</t>
        </is>
      </c>
    </row>
    <row r="5">
      <c r="A5" s="354" t="inlineStr">
        <is>
          <t>Mois en cours</t>
        </is>
      </c>
      <c r="B5" s="47" t="inlineStr">
        <is>
          <t>31 Janvier</t>
        </is>
      </c>
      <c r="C5" s="89" t="inlineStr">
        <is>
          <t>01</t>
        </is>
      </c>
      <c r="D5" s="354">
        <f>RIGHT(B5,LEN(B5)-3)</f>
        <v/>
      </c>
    </row>
    <row r="6">
      <c r="A6" s="354" t="inlineStr">
        <is>
          <t>Mois année précédente</t>
        </is>
      </c>
      <c r="B6" s="47" t="inlineStr">
        <is>
          <t>31 Janvier 2024</t>
        </is>
      </c>
      <c r="C6" s="89" t="inlineStr">
        <is>
          <t>01</t>
        </is>
      </c>
      <c r="D6" s="354">
        <f>RIGHT(B6,LEN(B6)-3)</f>
        <v/>
      </c>
    </row>
    <row r="9" ht="15.75" customHeight="1" s="161">
      <c r="B9" s="355" t="inlineStr">
        <is>
          <t>Global</t>
        </is>
      </c>
      <c r="J9" s="355" t="inlineStr">
        <is>
          <t>GLR5</t>
        </is>
      </c>
      <c r="R9" s="355" t="inlineStr">
        <is>
          <t>HTR8</t>
        </is>
      </c>
      <c r="Z9" s="355" t="inlineStr">
        <is>
          <t>TIRR</t>
        </is>
      </c>
      <c r="AH9" s="355" t="inlineStr">
        <is>
          <t>VR7</t>
        </is>
      </c>
      <c r="AP9" s="355" t="inlineStr">
        <is>
          <t>TURVILLA</t>
        </is>
      </c>
      <c r="AX9" s="355" t="inlineStr">
        <is>
          <t>HART</t>
        </is>
      </c>
      <c r="BF9" s="355" t="inlineStr">
        <is>
          <t>VICTOIRE</t>
        </is>
      </c>
      <c r="BN9" s="355" t="inlineStr">
        <is>
          <t>TH4</t>
        </is>
      </c>
      <c r="BO9" s="354" t="inlineStr">
        <is>
          <t>Pont Audemer</t>
        </is>
      </c>
      <c r="BV9" s="355" t="inlineStr">
        <is>
          <t>TL DIVES</t>
        </is>
      </c>
      <c r="CD9" s="355" t="inlineStr">
        <is>
          <t>R3 14</t>
        </is>
      </c>
      <c r="CE9" s="354" t="inlineStr">
        <is>
          <t>Touques</t>
        </is>
      </c>
      <c r="CL9" s="355" t="inlineStr">
        <is>
          <t>LYSE</t>
        </is>
      </c>
      <c r="CT9" s="355" t="inlineStr">
        <is>
          <t>ARTHUR</t>
        </is>
      </c>
      <c r="DB9" s="355" t="inlineStr">
        <is>
          <t>HUGO</t>
        </is>
      </c>
      <c r="DC9" s="354" t="inlineStr">
        <is>
          <t>Montivillier</t>
        </is>
      </c>
      <c r="DD9" s="354" t="inlineStr">
        <is>
          <t>Montivillier</t>
        </is>
      </c>
      <c r="DJ9" s="355" t="inlineStr">
        <is>
          <t>JEANCLO</t>
        </is>
      </c>
      <c r="DK9" s="354" t="inlineStr">
        <is>
          <t>Le Havre coty</t>
        </is>
      </c>
      <c r="DR9" s="355" t="inlineStr">
        <is>
          <t>THOMAS</t>
        </is>
      </c>
      <c r="DS9" s="354" t="inlineStr">
        <is>
          <t>Le Havre pressoir</t>
        </is>
      </c>
      <c r="DZ9" s="355" t="inlineStr">
        <is>
          <t>CATALINA</t>
        </is>
      </c>
      <c r="EA9" s="354" t="inlineStr">
        <is>
          <t>Pont Lévêque</t>
        </is>
      </c>
    </row>
    <row r="11" ht="18.6" customFormat="1" customHeight="1" s="188">
      <c r="A11" s="356" t="inlineStr">
        <is>
          <t>Chiffre d'affaires net</t>
        </is>
      </c>
      <c r="B11" s="186" t="inlineStr">
        <is>
          <t>MOIS</t>
        </is>
      </c>
      <c r="C11" s="187" t="inlineStr">
        <is>
          <t>2025</t>
        </is>
      </c>
      <c r="D11" s="187" t="inlineStr">
        <is>
          <t>2024</t>
        </is>
      </c>
      <c r="E11" s="187" t="inlineStr">
        <is>
          <t>2023</t>
        </is>
      </c>
      <c r="F11" s="187" t="inlineStr">
        <is>
          <t>2022</t>
        </is>
      </c>
      <c r="G11" s="187" t="inlineStr">
        <is>
          <t>2021</t>
        </is>
      </c>
      <c r="H11" s="187" t="inlineStr">
        <is>
          <t>2020</t>
        </is>
      </c>
      <c r="I11" s="187" t="n"/>
      <c r="J11" s="186" t="inlineStr">
        <is>
          <t>MOIS</t>
        </is>
      </c>
      <c r="K11" s="186" t="inlineStr">
        <is>
          <t>2025</t>
        </is>
      </c>
      <c r="L11" s="186" t="inlineStr">
        <is>
          <t>2024</t>
        </is>
      </c>
      <c r="M11" s="186" t="inlineStr">
        <is>
          <t>2023</t>
        </is>
      </c>
      <c r="N11" s="186" t="inlineStr">
        <is>
          <t>2022</t>
        </is>
      </c>
      <c r="O11" s="186" t="inlineStr">
        <is>
          <t>2021</t>
        </is>
      </c>
      <c r="P11" s="186" t="inlineStr">
        <is>
          <t>2020</t>
        </is>
      </c>
      <c r="R11" s="186" t="inlineStr">
        <is>
          <t>MOIS</t>
        </is>
      </c>
      <c r="S11" s="186" t="inlineStr">
        <is>
          <t>2025</t>
        </is>
      </c>
      <c r="T11" s="186" t="inlineStr">
        <is>
          <t>2024</t>
        </is>
      </c>
      <c r="U11" s="186" t="inlineStr">
        <is>
          <t>2023</t>
        </is>
      </c>
      <c r="V11" s="186" t="inlineStr">
        <is>
          <t>2022</t>
        </is>
      </c>
      <c r="W11" s="186" t="inlineStr">
        <is>
          <t>2021</t>
        </is>
      </c>
      <c r="X11" s="186" t="inlineStr">
        <is>
          <t>2020</t>
        </is>
      </c>
      <c r="Z11" s="186" t="inlineStr">
        <is>
          <t>MOIS</t>
        </is>
      </c>
      <c r="AA11" s="186" t="inlineStr">
        <is>
          <t>2025</t>
        </is>
      </c>
      <c r="AB11" s="187" t="inlineStr">
        <is>
          <t>2024</t>
        </is>
      </c>
      <c r="AC11" s="187" t="inlineStr">
        <is>
          <t>2023</t>
        </is>
      </c>
      <c r="AD11" s="186" t="inlineStr">
        <is>
          <t>2022</t>
        </is>
      </c>
      <c r="AE11" s="186" t="inlineStr">
        <is>
          <t>2021</t>
        </is>
      </c>
      <c r="AF11" s="186" t="inlineStr">
        <is>
          <t>2020</t>
        </is>
      </c>
      <c r="AH11" s="186" t="inlineStr">
        <is>
          <t>MOIS</t>
        </is>
      </c>
      <c r="AI11" s="186" t="inlineStr">
        <is>
          <t>2025</t>
        </is>
      </c>
      <c r="AJ11" s="186" t="inlineStr">
        <is>
          <t>2024</t>
        </is>
      </c>
      <c r="AK11" s="186" t="inlineStr">
        <is>
          <t>2023</t>
        </is>
      </c>
      <c r="AL11" s="186" t="inlineStr">
        <is>
          <t>2022</t>
        </is>
      </c>
      <c r="AM11" s="186" t="inlineStr">
        <is>
          <t>2021</t>
        </is>
      </c>
      <c r="AN11" s="186" t="inlineStr">
        <is>
          <t>2020</t>
        </is>
      </c>
      <c r="AP11" s="186" t="inlineStr">
        <is>
          <t>MOIS</t>
        </is>
      </c>
      <c r="AQ11" s="186" t="inlineStr">
        <is>
          <t>2025</t>
        </is>
      </c>
      <c r="AR11" s="186" t="inlineStr">
        <is>
          <t>2024</t>
        </is>
      </c>
      <c r="AS11" s="186" t="inlineStr">
        <is>
          <t>2023</t>
        </is>
      </c>
      <c r="AT11" s="186" t="inlineStr">
        <is>
          <t>2022</t>
        </is>
      </c>
      <c r="AU11" s="186" t="inlineStr">
        <is>
          <t>2021</t>
        </is>
      </c>
      <c r="AV11" s="186" t="inlineStr">
        <is>
          <t>2020</t>
        </is>
      </c>
      <c r="AX11" s="186" t="inlineStr">
        <is>
          <t>MOIS</t>
        </is>
      </c>
      <c r="AY11" s="186" t="inlineStr">
        <is>
          <t>2025</t>
        </is>
      </c>
      <c r="AZ11" s="186" t="inlineStr">
        <is>
          <t>2024</t>
        </is>
      </c>
      <c r="BA11" s="186" t="inlineStr">
        <is>
          <t>2023</t>
        </is>
      </c>
      <c r="BB11" s="186" t="inlineStr">
        <is>
          <t>2022</t>
        </is>
      </c>
      <c r="BC11" s="186" t="inlineStr">
        <is>
          <t>2021</t>
        </is>
      </c>
      <c r="BD11" s="186" t="inlineStr">
        <is>
          <t>2020</t>
        </is>
      </c>
      <c r="BE11" s="187" t="n"/>
      <c r="BF11" s="186" t="inlineStr">
        <is>
          <t>MOIS</t>
        </is>
      </c>
      <c r="BG11" s="186" t="inlineStr">
        <is>
          <t>2025</t>
        </is>
      </c>
      <c r="BH11" s="186" t="inlineStr">
        <is>
          <t>2024</t>
        </is>
      </c>
      <c r="BI11" s="186" t="inlineStr">
        <is>
          <t>2023</t>
        </is>
      </c>
      <c r="BJ11" s="186" t="inlineStr">
        <is>
          <t>2022</t>
        </is>
      </c>
      <c r="BK11" s="186" t="inlineStr">
        <is>
          <t>2021</t>
        </is>
      </c>
      <c r="BL11" s="186" t="inlineStr">
        <is>
          <t>2020</t>
        </is>
      </c>
      <c r="BM11" s="186" t="n"/>
      <c r="BN11" s="186" t="inlineStr">
        <is>
          <t>MOIS</t>
        </is>
      </c>
      <c r="BO11" s="187" t="inlineStr">
        <is>
          <t>2025</t>
        </is>
      </c>
      <c r="BP11" s="187" t="inlineStr">
        <is>
          <t>2024</t>
        </is>
      </c>
      <c r="BQ11" s="187" t="inlineStr">
        <is>
          <t>2023</t>
        </is>
      </c>
      <c r="BR11" s="187" t="inlineStr">
        <is>
          <t>2022</t>
        </is>
      </c>
      <c r="BS11" s="187" t="inlineStr">
        <is>
          <t>2021</t>
        </is>
      </c>
      <c r="BT11" s="187" t="inlineStr">
        <is>
          <t>2020</t>
        </is>
      </c>
      <c r="BV11" s="186" t="inlineStr">
        <is>
          <t>MOIS</t>
        </is>
      </c>
      <c r="BW11" s="187" t="inlineStr">
        <is>
          <t>2025</t>
        </is>
      </c>
      <c r="BX11" s="187" t="inlineStr">
        <is>
          <t>2024</t>
        </is>
      </c>
      <c r="BY11" s="187" t="inlineStr">
        <is>
          <t>2023</t>
        </is>
      </c>
      <c r="BZ11" s="187" t="inlineStr">
        <is>
          <t>2022</t>
        </is>
      </c>
      <c r="CA11" s="187" t="inlineStr">
        <is>
          <t>2021</t>
        </is>
      </c>
      <c r="CB11" s="187" t="inlineStr">
        <is>
          <t>2020</t>
        </is>
      </c>
      <c r="CC11" s="187" t="n"/>
      <c r="CD11" s="186" t="inlineStr">
        <is>
          <t>MOIS</t>
        </is>
      </c>
      <c r="CE11" s="187" t="inlineStr">
        <is>
          <t>2025</t>
        </is>
      </c>
      <c r="CF11" s="187" t="inlineStr">
        <is>
          <t>2024</t>
        </is>
      </c>
      <c r="CG11" s="187" t="inlineStr">
        <is>
          <t>2023</t>
        </is>
      </c>
      <c r="CH11" s="187" t="inlineStr">
        <is>
          <t>2022</t>
        </is>
      </c>
      <c r="CI11" s="187" t="inlineStr">
        <is>
          <t>2021</t>
        </is>
      </c>
      <c r="CJ11" s="187" t="inlineStr">
        <is>
          <t>2020</t>
        </is>
      </c>
      <c r="CL11" s="186" t="inlineStr">
        <is>
          <t>MOIS</t>
        </is>
      </c>
      <c r="CM11" s="187" t="inlineStr">
        <is>
          <t>2025</t>
        </is>
      </c>
      <c r="CN11" s="187" t="inlineStr">
        <is>
          <t>2024</t>
        </is>
      </c>
      <c r="CO11" s="187" t="inlineStr">
        <is>
          <t>2023</t>
        </is>
      </c>
      <c r="CP11" s="187" t="inlineStr">
        <is>
          <t>2022</t>
        </is>
      </c>
      <c r="CQ11" s="187" t="inlineStr">
        <is>
          <t>2021</t>
        </is>
      </c>
      <c r="CR11" s="187" t="inlineStr">
        <is>
          <t>2020</t>
        </is>
      </c>
      <c r="CT11" s="186" t="inlineStr">
        <is>
          <t>MOIS</t>
        </is>
      </c>
      <c r="CU11" s="187" t="inlineStr">
        <is>
          <t>2025</t>
        </is>
      </c>
      <c r="CV11" s="187" t="inlineStr">
        <is>
          <t>2024</t>
        </is>
      </c>
      <c r="CW11" s="187" t="inlineStr">
        <is>
          <t>2023</t>
        </is>
      </c>
      <c r="CX11" s="187" t="inlineStr">
        <is>
          <t>2022</t>
        </is>
      </c>
      <c r="CY11" s="187" t="inlineStr">
        <is>
          <t>2021</t>
        </is>
      </c>
      <c r="CZ11" s="187" t="inlineStr">
        <is>
          <t>2020</t>
        </is>
      </c>
      <c r="DB11" s="186" t="inlineStr">
        <is>
          <t>MOIS</t>
        </is>
      </c>
      <c r="DC11" s="187" t="inlineStr">
        <is>
          <t>2025</t>
        </is>
      </c>
      <c r="DD11" s="187" t="inlineStr">
        <is>
          <t>2024</t>
        </is>
      </c>
      <c r="DE11" s="187" t="inlineStr">
        <is>
          <t>2023</t>
        </is>
      </c>
      <c r="DF11" s="187" t="inlineStr">
        <is>
          <t>2022</t>
        </is>
      </c>
      <c r="DG11" s="187" t="inlineStr">
        <is>
          <t>2021</t>
        </is>
      </c>
      <c r="DH11" s="187" t="inlineStr">
        <is>
          <t>2020</t>
        </is>
      </c>
      <c r="DI11" s="187" t="n"/>
      <c r="DJ11" s="186" t="inlineStr">
        <is>
          <t>MOIS</t>
        </is>
      </c>
      <c r="DK11" s="187" t="inlineStr">
        <is>
          <t>2025</t>
        </is>
      </c>
      <c r="DL11" s="187" t="inlineStr">
        <is>
          <t>2024</t>
        </is>
      </c>
      <c r="DM11" s="187" t="inlineStr">
        <is>
          <t>2023</t>
        </is>
      </c>
      <c r="DN11" s="187" t="inlineStr">
        <is>
          <t>2022</t>
        </is>
      </c>
      <c r="DO11" s="187" t="inlineStr">
        <is>
          <t>2021</t>
        </is>
      </c>
      <c r="DP11" s="187" t="inlineStr">
        <is>
          <t>2020</t>
        </is>
      </c>
      <c r="DR11" s="186" t="inlineStr">
        <is>
          <t>MOIS</t>
        </is>
      </c>
      <c r="DS11" s="187" t="inlineStr">
        <is>
          <t>2025</t>
        </is>
      </c>
      <c r="DT11" s="187" t="inlineStr">
        <is>
          <t>2024</t>
        </is>
      </c>
      <c r="DU11" s="187" t="inlineStr">
        <is>
          <t>2023</t>
        </is>
      </c>
      <c r="DV11" s="187" t="inlineStr">
        <is>
          <t>2022</t>
        </is>
      </c>
      <c r="DW11" s="187" t="inlineStr">
        <is>
          <t>2021</t>
        </is>
      </c>
      <c r="DX11" s="187" t="inlineStr">
        <is>
          <t>2020</t>
        </is>
      </c>
      <c r="DZ11" s="186" t="inlineStr">
        <is>
          <t>MOIS</t>
        </is>
      </c>
      <c r="EA11" s="187" t="inlineStr">
        <is>
          <t>2025</t>
        </is>
      </c>
      <c r="EB11" s="187" t="inlineStr">
        <is>
          <t>2024</t>
        </is>
      </c>
      <c r="EC11" s="187" t="inlineStr">
        <is>
          <t>2023</t>
        </is>
      </c>
      <c r="ED11" s="187" t="inlineStr">
        <is>
          <t>2022</t>
        </is>
      </c>
      <c r="EE11" s="187" t="inlineStr">
        <is>
          <t>2021</t>
        </is>
      </c>
      <c r="EF11" s="187" t="inlineStr">
        <is>
          <t>2020</t>
        </is>
      </c>
    </row>
    <row r="12">
      <c r="B12" s="354" t="inlineStr">
        <is>
          <t>JANVIER</t>
        </is>
      </c>
      <c r="C12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f>
        <v/>
      </c>
      <c r="D12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12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12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12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12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12" s="258" t="n"/>
      <c r="J12" s="354" t="inlineStr">
        <is>
          <t>JANVIER</t>
        </is>
      </c>
      <c r="K12" s="131" t="n">
        <v>415855.11</v>
      </c>
      <c r="L12" s="258" t="n">
        <v>370437.56</v>
      </c>
      <c r="M12" s="258" t="n">
        <v>452783.59</v>
      </c>
      <c r="N12" s="258" t="n">
        <v>410040.22</v>
      </c>
      <c r="O12" s="258" t="n">
        <v>274038</v>
      </c>
      <c r="P12" s="258" t="n">
        <v>441117</v>
      </c>
      <c r="R12" s="354" t="inlineStr">
        <is>
          <t>JANVIER</t>
        </is>
      </c>
      <c r="S12" s="131" t="n">
        <v>206795.07</v>
      </c>
      <c r="T12" s="258" t="n">
        <v>191414.29</v>
      </c>
      <c r="U12" s="258" t="n">
        <v>234537.84</v>
      </c>
      <c r="V12" s="258" t="n">
        <v>232985</v>
      </c>
      <c r="W12" s="258" t="n">
        <v>167692</v>
      </c>
      <c r="X12" s="258" t="n">
        <v>236528</v>
      </c>
      <c r="Z12" s="354" t="inlineStr">
        <is>
          <t>JANVIER</t>
        </is>
      </c>
      <c r="AA12" s="131" t="n">
        <v>261126.99</v>
      </c>
      <c r="AB12" s="258" t="n">
        <v>258424.23</v>
      </c>
      <c r="AC12" s="258" t="n">
        <v>307323.75</v>
      </c>
      <c r="AD12" s="258" t="n">
        <v>275698.55</v>
      </c>
      <c r="AE12" s="258" t="n">
        <v>204744</v>
      </c>
      <c r="AF12" s="258" t="n">
        <v>277579</v>
      </c>
      <c r="AH12" s="354" t="inlineStr">
        <is>
          <t>JANVIER</t>
        </is>
      </c>
      <c r="AI12" s="131" t="n"/>
      <c r="AJ12" s="131" t="n">
        <v>382463.66</v>
      </c>
      <c r="AK12" s="258" t="n">
        <v>408884.14</v>
      </c>
      <c r="AL12" s="258" t="n">
        <v>364025</v>
      </c>
      <c r="AM12" s="258" t="n">
        <v>242951</v>
      </c>
      <c r="AN12" s="258" t="n">
        <v>342294</v>
      </c>
      <c r="AP12" s="354" t="inlineStr">
        <is>
          <t>JANVIER</t>
        </is>
      </c>
      <c r="AQ12" s="131" t="n">
        <v>457867.94</v>
      </c>
      <c r="AR12" s="131" t="n">
        <v>448803.22</v>
      </c>
      <c r="AS12" s="258" t="n">
        <v>466855.85</v>
      </c>
      <c r="AT12" s="258" t="n">
        <v>406427.07</v>
      </c>
      <c r="AU12" s="258" t="n">
        <v>309760.57</v>
      </c>
      <c r="AV12" s="258" t="n"/>
      <c r="AX12" s="354" t="inlineStr">
        <is>
          <t>JANVIER</t>
        </is>
      </c>
      <c r="AY12" s="131" t="n"/>
      <c r="AZ12" s="258" t="n">
        <v>242390</v>
      </c>
      <c r="BA12" s="258" t="n">
        <v>250297.29</v>
      </c>
      <c r="BB12" s="258" t="n">
        <v>228199.74</v>
      </c>
      <c r="BC12" s="258" t="n"/>
      <c r="BD12" s="258" t="n"/>
      <c r="BE12" s="258" t="n"/>
      <c r="BF12" s="354" t="inlineStr">
        <is>
          <t>JANVIER</t>
        </is>
      </c>
      <c r="BG12" s="131" t="n">
        <v>225059.06</v>
      </c>
      <c r="BH12" s="258" t="n">
        <v>246524.07</v>
      </c>
      <c r="BI12" s="258" t="n">
        <v>243468.88</v>
      </c>
      <c r="BJ12" s="258" t="n"/>
      <c r="BK12" s="258" t="n"/>
      <c r="BL12" s="258" t="n"/>
      <c r="BM12" s="258" t="n"/>
      <c r="BN12" s="354" t="inlineStr">
        <is>
          <t>JANVIER</t>
        </is>
      </c>
      <c r="BO12" s="131" t="n">
        <v>352127.46</v>
      </c>
      <c r="BP12" s="258" t="n">
        <v>335149</v>
      </c>
      <c r="BQ12" s="258" t="n">
        <v>355277.53</v>
      </c>
      <c r="BR12" s="258" t="n">
        <v>342395.67</v>
      </c>
      <c r="BS12" s="258" t="n">
        <v>221755.58</v>
      </c>
      <c r="BT12" s="258" t="n">
        <v>334376</v>
      </c>
      <c r="BV12" s="354" t="inlineStr">
        <is>
          <t>JANVIER</t>
        </is>
      </c>
      <c r="BW12" s="131" t="n">
        <v>241429.07</v>
      </c>
      <c r="BX12" s="258" t="n">
        <v>232055</v>
      </c>
      <c r="BY12" s="258" t="n">
        <v>256141.46</v>
      </c>
      <c r="BZ12" s="258" t="n">
        <v>239038</v>
      </c>
      <c r="CA12" s="258" t="n">
        <v>174923.3</v>
      </c>
      <c r="CB12" s="258" t="n">
        <v>220806</v>
      </c>
      <c r="CC12" s="258" t="n"/>
      <c r="CD12" s="354" t="inlineStr">
        <is>
          <t>JANVIER</t>
        </is>
      </c>
      <c r="CE12" s="131" t="n">
        <v>318555.94</v>
      </c>
      <c r="CF12" s="258" t="n">
        <v>360434</v>
      </c>
      <c r="CG12" s="258" t="n">
        <v>342840.96</v>
      </c>
      <c r="CH12" s="258" t="n">
        <v>352434</v>
      </c>
      <c r="CI12" s="258" t="n">
        <v>180222.61</v>
      </c>
      <c r="CJ12" s="258" t="n">
        <v>310830</v>
      </c>
      <c r="CL12" s="354" t="inlineStr">
        <is>
          <t>JANVIER</t>
        </is>
      </c>
      <c r="CM12" s="131" t="n">
        <v>379222.46</v>
      </c>
      <c r="CN12" s="258" t="n">
        <v>316396</v>
      </c>
      <c r="CO12" s="258" t="n">
        <v>501495.66</v>
      </c>
      <c r="CP12" s="258" t="n">
        <v>455805</v>
      </c>
      <c r="CQ12" s="258" t="n">
        <v>286132.3</v>
      </c>
      <c r="CR12" s="258" t="n">
        <v>425826</v>
      </c>
      <c r="CT12" s="354" t="inlineStr">
        <is>
          <t>JANVIER</t>
        </is>
      </c>
      <c r="CU12" s="131" t="n">
        <v>456276.63</v>
      </c>
      <c r="CV12" s="131" t="n">
        <v>414258</v>
      </c>
      <c r="CW12" s="258" t="n"/>
      <c r="CX12" s="258" t="n"/>
      <c r="CY12" s="258" t="n"/>
      <c r="CZ12" s="258" t="n"/>
      <c r="DB12" s="354" t="inlineStr">
        <is>
          <t>JANVIER</t>
        </is>
      </c>
      <c r="DC12" s="131" t="n">
        <v>539432.96</v>
      </c>
      <c r="DD12" s="258" t="n">
        <v>507935</v>
      </c>
      <c r="DE12" s="258" t="n"/>
      <c r="DF12" s="258" t="n"/>
      <c r="DG12" s="258" t="n"/>
      <c r="DH12" s="258" t="n"/>
      <c r="DI12" s="258" t="n"/>
      <c r="DJ12" s="354" t="inlineStr">
        <is>
          <t>JANVIER</t>
        </is>
      </c>
      <c r="DK12" s="131" t="n">
        <v>217804.69</v>
      </c>
      <c r="DL12" s="258" t="n">
        <v>210624</v>
      </c>
      <c r="DM12" s="258" t="n"/>
      <c r="DN12" s="258" t="n"/>
      <c r="DO12" s="258" t="n"/>
      <c r="DP12" s="258" t="n"/>
      <c r="DR12" s="354" t="inlineStr">
        <is>
          <t>01</t>
        </is>
      </c>
      <c r="DS12" s="131" t="n">
        <v>347720.47</v>
      </c>
      <c r="DT12" s="258" t="n">
        <v>349402</v>
      </c>
      <c r="DU12" s="258" t="n"/>
      <c r="DV12" s="258" t="n"/>
      <c r="DW12" s="258" t="n"/>
      <c r="DX12" s="258" t="n"/>
      <c r="DZ12" s="354" t="inlineStr">
        <is>
          <t>01</t>
        </is>
      </c>
      <c r="EA12" s="131" t="n">
        <v>207907.62</v>
      </c>
      <c r="EB12" s="258" t="n"/>
      <c r="EC12" s="258" t="n"/>
      <c r="ED12" s="258" t="n"/>
      <c r="EE12" s="258" t="n"/>
      <c r="EF12" s="258" t="n"/>
    </row>
    <row r="13">
      <c r="B13" s="354" t="inlineStr">
        <is>
          <t>FÉVRIER</t>
        </is>
      </c>
      <c r="C13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f>
        <v/>
      </c>
      <c r="D13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13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13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13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13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13" s="258" t="n"/>
      <c r="J13" s="354" t="inlineStr">
        <is>
          <t>FÉVRIER</t>
        </is>
      </c>
      <c r="K13" s="131" t="n"/>
      <c r="L13" s="258" t="n">
        <v>352966.75</v>
      </c>
      <c r="M13" s="258" t="n">
        <v>440390.28</v>
      </c>
      <c r="N13" s="258" t="n">
        <v>424042.65</v>
      </c>
      <c r="O13" s="258" t="n">
        <v>248204</v>
      </c>
      <c r="P13" s="258" t="n">
        <v>452243</v>
      </c>
      <c r="R13" s="354" t="inlineStr">
        <is>
          <t>FÉVRIER</t>
        </is>
      </c>
      <c r="S13" s="131" t="n"/>
      <c r="T13" s="258" t="n">
        <v>190901.19</v>
      </c>
      <c r="U13" s="258" t="n">
        <v>226582.81</v>
      </c>
      <c r="V13" s="258" t="n">
        <v>235577</v>
      </c>
      <c r="W13" s="258" t="n">
        <v>155321.98</v>
      </c>
      <c r="X13" s="258" t="n">
        <v>233169</v>
      </c>
      <c r="Z13" s="354" t="inlineStr">
        <is>
          <t>FÉVRIER</t>
        </is>
      </c>
      <c r="AA13" s="131" t="n"/>
      <c r="AB13" s="258" t="n">
        <v>270167.67</v>
      </c>
      <c r="AC13" s="258" t="n">
        <v>304617.43</v>
      </c>
      <c r="AD13" s="258" t="n">
        <v>275729</v>
      </c>
      <c r="AE13" s="258" t="n">
        <v>184027.43</v>
      </c>
      <c r="AF13" s="258" t="n">
        <v>286952</v>
      </c>
      <c r="AH13" s="354" t="inlineStr">
        <is>
          <t>FÉVRIER</t>
        </is>
      </c>
      <c r="AI13" s="131" t="n"/>
      <c r="AJ13" s="131" t="n">
        <v>364703.69</v>
      </c>
      <c r="AK13" s="258" t="n">
        <v>384687.46</v>
      </c>
      <c r="AL13" s="258" t="n">
        <v>363782</v>
      </c>
      <c r="AM13" s="258" t="n">
        <v>223431</v>
      </c>
      <c r="AN13" s="258" t="n">
        <v>327298</v>
      </c>
      <c r="AP13" s="354" t="inlineStr">
        <is>
          <t>FÉVRIER</t>
        </is>
      </c>
      <c r="AQ13" s="273" t="n"/>
      <c r="AR13" s="131" t="n">
        <v>427576.14</v>
      </c>
      <c r="AS13" s="258" t="n">
        <v>463905.03</v>
      </c>
      <c r="AT13" s="258" t="n">
        <v>422363.19</v>
      </c>
      <c r="AU13" s="258" t="n">
        <v>271184</v>
      </c>
      <c r="AV13" s="258" t="n"/>
      <c r="AX13" s="354" t="inlineStr">
        <is>
          <t>FÉVRIER</t>
        </is>
      </c>
      <c r="AY13" s="131" t="n"/>
      <c r="AZ13" s="258" t="n">
        <v>230968.84</v>
      </c>
      <c r="BA13" s="258" t="n">
        <v>244019.37</v>
      </c>
      <c r="BB13" s="258" t="n">
        <v>223106.15</v>
      </c>
      <c r="BC13" s="258" t="n"/>
      <c r="BD13" s="258" t="n"/>
      <c r="BE13" s="258" t="n"/>
      <c r="BF13" s="354" t="inlineStr">
        <is>
          <t>FÉVRIER</t>
        </is>
      </c>
      <c r="BG13" s="131" t="n"/>
      <c r="BH13" s="258" t="n">
        <v>234695.68</v>
      </c>
      <c r="BI13" s="258" t="n">
        <v>251885.69</v>
      </c>
      <c r="BJ13" s="258" t="n"/>
      <c r="BK13" s="258" t="n"/>
      <c r="BL13" s="258" t="n"/>
      <c r="BM13" s="258" t="n"/>
      <c r="BN13" s="354" t="inlineStr">
        <is>
          <t>FÉVRIER</t>
        </is>
      </c>
      <c r="BO13" s="131" t="n"/>
      <c r="BP13" s="258" t="n">
        <v>325760.51</v>
      </c>
      <c r="BQ13" s="258" t="n">
        <v>348867.11</v>
      </c>
      <c r="BR13" s="258" t="n">
        <v>326017</v>
      </c>
      <c r="BS13" s="258" t="n">
        <v>206170.72</v>
      </c>
      <c r="BT13" s="258" t="n">
        <v>322630</v>
      </c>
      <c r="BV13" s="354" t="inlineStr">
        <is>
          <t>FÉVRIER</t>
        </is>
      </c>
      <c r="BW13" s="131" t="n"/>
      <c r="BX13" s="258" t="n">
        <v>231274.57</v>
      </c>
      <c r="BY13" s="258" t="n">
        <v>270825.33</v>
      </c>
      <c r="BZ13" s="258" t="n">
        <v>257799</v>
      </c>
      <c r="CA13" s="258" t="n">
        <v>172881.16</v>
      </c>
      <c r="CB13" s="258" t="n">
        <v>232016</v>
      </c>
      <c r="CC13" s="258" t="n"/>
      <c r="CD13" s="354" t="inlineStr">
        <is>
          <t>FÉVRIER</t>
        </is>
      </c>
      <c r="CE13" s="131" t="n"/>
      <c r="CF13" s="258" t="n">
        <v>355408.48</v>
      </c>
      <c r="CG13" s="258" t="n">
        <v>363375.48</v>
      </c>
      <c r="CH13" s="258" t="n">
        <v>360532.04</v>
      </c>
      <c r="CI13" s="258" t="n">
        <v>225127.07</v>
      </c>
      <c r="CJ13" s="258" t="n">
        <v>337530</v>
      </c>
      <c r="CL13" s="354" t="inlineStr">
        <is>
          <t>FÉVRIER</t>
        </is>
      </c>
      <c r="CM13" s="131" t="n"/>
      <c r="CN13" s="258" t="n">
        <v>319905.21</v>
      </c>
      <c r="CO13" s="258" t="n">
        <v>489206.53</v>
      </c>
      <c r="CP13" s="258" t="n">
        <v>451147</v>
      </c>
      <c r="CQ13" s="258" t="n">
        <v>253717.39</v>
      </c>
      <c r="CR13" s="258" t="n">
        <v>432277</v>
      </c>
      <c r="CT13" s="354" t="inlineStr">
        <is>
          <t>FÉVRIER</t>
        </is>
      </c>
      <c r="CU13" s="131" t="n"/>
      <c r="CV13" s="131" t="n">
        <v>392445.19</v>
      </c>
      <c r="CW13" s="258" t="n"/>
      <c r="CX13" s="258" t="n"/>
      <c r="CY13" s="258" t="n"/>
      <c r="CZ13" s="258" t="n"/>
      <c r="DB13" s="354" t="inlineStr">
        <is>
          <t>FÉVRIER</t>
        </is>
      </c>
      <c r="DC13" s="131" t="n"/>
      <c r="DD13" s="258" t="n">
        <v>459930.54</v>
      </c>
      <c r="DE13" s="258" t="n"/>
      <c r="DF13" s="258" t="n"/>
      <c r="DG13" s="258" t="n"/>
      <c r="DH13" s="258" t="n"/>
      <c r="DI13" s="258" t="n"/>
      <c r="DJ13" s="354" t="inlineStr">
        <is>
          <t>FÉVRIER</t>
        </is>
      </c>
      <c r="DK13" s="131" t="n"/>
      <c r="DL13" s="258" t="n">
        <v>197914.73</v>
      </c>
      <c r="DM13" s="258" t="n"/>
      <c r="DN13" s="258" t="n"/>
      <c r="DO13" s="258" t="n"/>
      <c r="DP13" s="258" t="n"/>
      <c r="DR13" s="354" t="inlineStr">
        <is>
          <t>02</t>
        </is>
      </c>
      <c r="DS13" s="131" t="n"/>
      <c r="DT13" s="258" t="n">
        <v>329585.52</v>
      </c>
      <c r="DU13" s="258" t="n"/>
      <c r="DV13" s="258" t="n"/>
      <c r="DW13" s="258" t="n"/>
      <c r="DX13" s="258" t="n"/>
      <c r="DZ13" s="354" t="inlineStr">
        <is>
          <t>02</t>
        </is>
      </c>
      <c r="EA13" s="131" t="n"/>
      <c r="EB13" s="258" t="n"/>
      <c r="EC13" s="258" t="n"/>
      <c r="ED13" s="258" t="n"/>
      <c r="EE13" s="258" t="n"/>
      <c r="EF13" s="258" t="n"/>
    </row>
    <row r="14">
      <c r="B14" s="354" t="inlineStr">
        <is>
          <t>MARS</t>
        </is>
      </c>
      <c r="C14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f>
        <v/>
      </c>
      <c r="D14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14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14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14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14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14" s="258" t="n"/>
      <c r="J14" s="354" t="inlineStr">
        <is>
          <t>MARS</t>
        </is>
      </c>
      <c r="K14" s="131" t="n"/>
      <c r="L14" s="258" t="n">
        <v>404083.86</v>
      </c>
      <c r="M14" s="258" t="n">
        <v>443461.83</v>
      </c>
      <c r="N14" s="258" t="n">
        <v>433865</v>
      </c>
      <c r="O14" s="258" t="n">
        <v>275166.79</v>
      </c>
      <c r="P14" s="258" t="n">
        <v>232764</v>
      </c>
      <c r="R14" s="354" t="inlineStr">
        <is>
          <t>MARS</t>
        </is>
      </c>
      <c r="S14" s="131" t="n"/>
      <c r="T14" s="258" t="n">
        <v>218924.43</v>
      </c>
      <c r="U14" s="258" t="n">
        <v>235261.89</v>
      </c>
      <c r="V14" s="258" t="n">
        <v>233861</v>
      </c>
      <c r="W14" s="258" t="n">
        <v>159400.46</v>
      </c>
      <c r="X14" s="258" t="n">
        <v>117506</v>
      </c>
      <c r="Z14" s="354" t="inlineStr">
        <is>
          <t>MARS</t>
        </is>
      </c>
      <c r="AA14" s="131" t="n"/>
      <c r="AB14" s="258" t="n">
        <v>312242.59</v>
      </c>
      <c r="AC14" s="258" t="n">
        <v>322490.85</v>
      </c>
      <c r="AD14" s="258" t="n">
        <v>307652</v>
      </c>
      <c r="AE14" s="258" t="n">
        <v>192914.13</v>
      </c>
      <c r="AF14" s="258" t="n">
        <v>155313</v>
      </c>
      <c r="AH14" s="354" t="inlineStr">
        <is>
          <t>MARS</t>
        </is>
      </c>
      <c r="AI14" s="131" t="n"/>
      <c r="AJ14" s="131" t="n">
        <v>399026.52</v>
      </c>
      <c r="AK14" s="258" t="n">
        <v>405708.46</v>
      </c>
      <c r="AL14" s="258" t="n">
        <v>371731</v>
      </c>
      <c r="AM14" s="258" t="n">
        <v>232739</v>
      </c>
      <c r="AN14" s="258" t="n">
        <v>58433</v>
      </c>
      <c r="AP14" s="354" t="inlineStr">
        <is>
          <t>MARS</t>
        </is>
      </c>
      <c r="AQ14" s="131" t="n"/>
      <c r="AR14" s="131" t="n">
        <v>475532.13</v>
      </c>
      <c r="AS14" s="258" t="n">
        <v>462896.02</v>
      </c>
      <c r="AT14" s="258" t="n">
        <v>407198.99</v>
      </c>
      <c r="AU14" s="258" t="n">
        <v>271701.97</v>
      </c>
      <c r="AV14" s="258" t="n"/>
      <c r="AX14" s="354" t="inlineStr">
        <is>
          <t>MARS</t>
        </is>
      </c>
      <c r="AY14" s="131" t="n"/>
      <c r="AZ14" s="258" t="n">
        <v>264015.46</v>
      </c>
      <c r="BA14" s="258" t="n">
        <v>260076.98</v>
      </c>
      <c r="BB14" s="258" t="n">
        <v>224987</v>
      </c>
      <c r="BC14" s="258" t="n"/>
      <c r="BD14" s="258" t="n"/>
      <c r="BE14" s="258" t="n"/>
      <c r="BF14" s="354" t="inlineStr">
        <is>
          <t>MARS</t>
        </is>
      </c>
      <c r="BG14" s="131" t="n"/>
      <c r="BH14" s="258" t="n">
        <v>252817.8</v>
      </c>
      <c r="BI14" s="258" t="n">
        <v>230633.48</v>
      </c>
      <c r="BJ14" s="258" t="n"/>
      <c r="BK14" s="258" t="n"/>
      <c r="BL14" s="258" t="n"/>
      <c r="BM14" s="258" t="n"/>
      <c r="BN14" s="354" t="inlineStr">
        <is>
          <t>MARS</t>
        </is>
      </c>
      <c r="BO14" s="131" t="n"/>
      <c r="BP14" s="258" t="n">
        <v>360559.25</v>
      </c>
      <c r="BQ14" s="258" t="n">
        <v>353309.04</v>
      </c>
      <c r="BR14" s="258" t="n">
        <v>340232</v>
      </c>
      <c r="BS14" s="258" t="n">
        <v>210332.3</v>
      </c>
      <c r="BT14" s="258" t="n">
        <v>173818</v>
      </c>
      <c r="BV14" s="354" t="inlineStr">
        <is>
          <t>MARS</t>
        </is>
      </c>
      <c r="BW14" s="131" t="n"/>
      <c r="BX14" s="258" t="n">
        <v>265363.7</v>
      </c>
      <c r="BY14" s="258" t="n">
        <v>263470.62</v>
      </c>
      <c r="BZ14" s="258" t="n">
        <v>254313</v>
      </c>
      <c r="CA14" s="258" t="n">
        <v>167429.35</v>
      </c>
      <c r="CB14" s="258" t="n">
        <v>105409</v>
      </c>
      <c r="CC14" s="258" t="n"/>
      <c r="CD14" s="354" t="inlineStr">
        <is>
          <t>MARS</t>
        </is>
      </c>
      <c r="CE14" s="131" t="n"/>
      <c r="CF14" s="258" t="n">
        <v>373324.43</v>
      </c>
      <c r="CG14" s="258" t="n">
        <v>353293.89</v>
      </c>
      <c r="CH14" s="258" t="n">
        <v>360379</v>
      </c>
      <c r="CI14" s="258" t="n">
        <v>225944.73</v>
      </c>
      <c r="CJ14" s="258" t="n">
        <v>153876</v>
      </c>
      <c r="CL14" s="354" t="inlineStr">
        <is>
          <t>MARS</t>
        </is>
      </c>
      <c r="CM14" s="131" t="n"/>
      <c r="CN14" s="258" t="n">
        <v>391689.64</v>
      </c>
      <c r="CO14" s="258" t="n">
        <v>495459.64</v>
      </c>
      <c r="CP14" s="258" t="n">
        <v>453709</v>
      </c>
      <c r="CQ14" s="258" t="n">
        <v>284241.59</v>
      </c>
      <c r="CR14" s="258" t="n">
        <v>217958</v>
      </c>
      <c r="CT14" s="354" t="inlineStr">
        <is>
          <t>MARS</t>
        </is>
      </c>
      <c r="CU14" s="131" t="n"/>
      <c r="CV14" s="131" t="n">
        <v>444754.05</v>
      </c>
      <c r="CW14" s="258" t="n"/>
      <c r="CX14" s="258" t="n"/>
      <c r="CY14" s="258" t="n"/>
      <c r="CZ14" s="258" t="n"/>
      <c r="DB14" s="354" t="inlineStr">
        <is>
          <t>MARS</t>
        </is>
      </c>
      <c r="DC14" s="131" t="n"/>
      <c r="DD14" s="258" t="n">
        <v>542913.28</v>
      </c>
      <c r="DE14" s="258" t="n"/>
      <c r="DF14" s="258" t="n"/>
      <c r="DG14" s="258" t="n"/>
      <c r="DH14" s="258" t="n"/>
      <c r="DI14" s="258" t="n"/>
      <c r="DJ14" s="354" t="inlineStr">
        <is>
          <t>MARS</t>
        </is>
      </c>
      <c r="DK14" s="131" t="n"/>
      <c r="DL14" s="258" t="n">
        <v>202057.96</v>
      </c>
      <c r="DM14" s="258" t="n"/>
      <c r="DN14" s="258" t="n"/>
      <c r="DO14" s="258" t="n"/>
      <c r="DP14" s="258" t="n"/>
      <c r="DR14" s="354" t="inlineStr">
        <is>
          <t>03</t>
        </is>
      </c>
      <c r="DS14" s="131" t="n"/>
      <c r="DT14" s="258" t="n">
        <v>365921.67</v>
      </c>
      <c r="DU14" s="258" t="n"/>
      <c r="DV14" s="258" t="n"/>
      <c r="DW14" s="258" t="n"/>
      <c r="DX14" s="258" t="n"/>
      <c r="DZ14" s="354" t="inlineStr">
        <is>
          <t>03</t>
        </is>
      </c>
      <c r="EA14" s="131" t="n"/>
      <c r="EB14" s="258" t="n"/>
      <c r="EC14" s="258" t="n"/>
      <c r="ED14" s="258" t="n"/>
      <c r="EE14" s="258" t="n"/>
      <c r="EF14" s="258" t="n"/>
    </row>
    <row r="15">
      <c r="B15" s="354" t="inlineStr">
        <is>
          <t>AVRIL</t>
        </is>
      </c>
      <c r="C15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f>
        <v/>
      </c>
      <c r="D15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15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15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15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15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15" s="258" t="n"/>
      <c r="J15" s="354" t="inlineStr">
        <is>
          <t>AVRIL</t>
        </is>
      </c>
      <c r="K15" s="131" t="n"/>
      <c r="L15" s="258" t="n">
        <v>393768.79</v>
      </c>
      <c r="M15" s="258" t="n">
        <v>480497.47</v>
      </c>
      <c r="N15" s="258" t="n">
        <v>437342.26</v>
      </c>
      <c r="O15" s="258" t="n">
        <v>291766.95</v>
      </c>
      <c r="P15" s="258" t="n">
        <v>0</v>
      </c>
      <c r="R15" s="354" t="inlineStr">
        <is>
          <t>AVRIL</t>
        </is>
      </c>
      <c r="S15" s="131" t="n"/>
      <c r="T15" s="258" t="n">
        <v>226915.83</v>
      </c>
      <c r="U15" s="258" t="n">
        <v>248382.63</v>
      </c>
      <c r="V15" s="258" t="n">
        <v>243092</v>
      </c>
      <c r="W15" s="258" t="n">
        <v>168862</v>
      </c>
      <c r="X15" s="258" t="n">
        <v>0</v>
      </c>
      <c r="Z15" s="354" t="inlineStr">
        <is>
          <t>AVRIL</t>
        </is>
      </c>
      <c r="AA15" s="131" t="n"/>
      <c r="AB15" s="258" t="n">
        <v>303447.08</v>
      </c>
      <c r="AC15" s="258" t="n">
        <v>323832.49</v>
      </c>
      <c r="AD15" s="258" t="n">
        <v>291578.68</v>
      </c>
      <c r="AE15" s="258" t="n">
        <v>209794.25</v>
      </c>
      <c r="AF15" s="258" t="n">
        <v>0</v>
      </c>
      <c r="AH15" s="354" t="inlineStr">
        <is>
          <t>AVRIL</t>
        </is>
      </c>
      <c r="AI15" s="131" t="n"/>
      <c r="AJ15" s="131" t="n">
        <v>418729.47</v>
      </c>
      <c r="AK15" s="258" t="n">
        <v>439098.5</v>
      </c>
      <c r="AL15" s="258" t="n">
        <v>384230.19</v>
      </c>
      <c r="AM15" s="258" t="n">
        <v>260127.79</v>
      </c>
      <c r="AN15" s="258" t="n">
        <v>0</v>
      </c>
      <c r="AP15" s="354" t="inlineStr">
        <is>
          <t>AVRIL</t>
        </is>
      </c>
      <c r="AQ15" s="131" t="n"/>
      <c r="AR15" s="131" t="n">
        <v>473348.8</v>
      </c>
      <c r="AS15" s="258" t="n">
        <v>521208.14</v>
      </c>
      <c r="AT15" s="258" t="n">
        <v>447841.34</v>
      </c>
      <c r="AU15" s="258" t="n">
        <v>278202.63</v>
      </c>
      <c r="AV15" s="258" t="n"/>
      <c r="AX15" s="354" t="inlineStr">
        <is>
          <t>AVRIL</t>
        </is>
      </c>
      <c r="AY15" s="131" t="n"/>
      <c r="AZ15" s="258" t="n">
        <v>269252.91</v>
      </c>
      <c r="BA15" s="258" t="n">
        <v>294425.04</v>
      </c>
      <c r="BB15" s="258" t="n">
        <v>247988.7</v>
      </c>
      <c r="BC15" s="258" t="n"/>
      <c r="BD15" s="258" t="n"/>
      <c r="BE15" s="258" t="n"/>
      <c r="BF15" s="354" t="inlineStr">
        <is>
          <t>AVRIL</t>
        </is>
      </c>
      <c r="BG15" s="131" t="n"/>
      <c r="BH15" s="258" t="n">
        <v>275154.17</v>
      </c>
      <c r="BI15" s="258" t="n">
        <v>310340.92</v>
      </c>
      <c r="BJ15" s="258" t="n"/>
      <c r="BK15" s="258" t="n"/>
      <c r="BL15" s="258" t="n"/>
      <c r="BM15" s="258" t="n"/>
      <c r="BN15" s="354" t="inlineStr">
        <is>
          <t>AVRIL</t>
        </is>
      </c>
      <c r="BO15" s="131" t="n"/>
      <c r="BP15" s="258" t="n">
        <v>354160.18</v>
      </c>
      <c r="BQ15" s="258" t="n">
        <v>374796.47</v>
      </c>
      <c r="BR15" s="258" t="n">
        <v>362492.81</v>
      </c>
      <c r="BS15" s="258" t="n">
        <v>233733.04</v>
      </c>
      <c r="BT15" s="258" t="n">
        <v>0</v>
      </c>
      <c r="BV15" s="354" t="inlineStr">
        <is>
          <t>AVRIL</t>
        </is>
      </c>
      <c r="BW15" s="131" t="n"/>
      <c r="BX15" s="258" t="n">
        <v>291579.54</v>
      </c>
      <c r="BY15" s="258" t="n">
        <v>311465.29</v>
      </c>
      <c r="BZ15" s="258" t="n">
        <v>306176</v>
      </c>
      <c r="CA15" s="258" t="n">
        <v>174507.68</v>
      </c>
      <c r="CB15" s="258" t="n">
        <v>0</v>
      </c>
      <c r="CC15" s="258" t="n"/>
      <c r="CD15" s="354" t="inlineStr">
        <is>
          <t>AVRIL</t>
        </is>
      </c>
      <c r="CE15" s="131" t="n"/>
      <c r="CF15" s="258" t="n">
        <v>412202.6</v>
      </c>
      <c r="CG15" s="258" t="n">
        <v>415771.41</v>
      </c>
      <c r="CH15" s="258" t="n">
        <v>385597.19</v>
      </c>
      <c r="CI15" s="258" t="n">
        <v>231696.36</v>
      </c>
      <c r="CJ15" s="258" t="n">
        <v>0</v>
      </c>
      <c r="CL15" s="354" t="inlineStr">
        <is>
          <t>AVRIL</t>
        </is>
      </c>
      <c r="CM15" s="131" t="n"/>
      <c r="CN15" s="258" t="n">
        <v>381945.32</v>
      </c>
      <c r="CO15" s="258" t="n">
        <v>546882.86</v>
      </c>
      <c r="CP15" s="258" t="n">
        <v>502515.58</v>
      </c>
      <c r="CQ15" s="258" t="n">
        <v>292070.08</v>
      </c>
      <c r="CR15" s="258" t="n">
        <v>0</v>
      </c>
      <c r="CT15" s="354" t="inlineStr">
        <is>
          <t>AVRIL</t>
        </is>
      </c>
      <c r="CU15" s="131" t="n"/>
      <c r="CV15" s="131" t="n">
        <v>421523.02</v>
      </c>
      <c r="CW15" s="258" t="n"/>
      <c r="CX15" s="258" t="n"/>
      <c r="CY15" s="258" t="n"/>
      <c r="CZ15" s="258" t="n"/>
      <c r="DB15" s="354" t="inlineStr">
        <is>
          <t>AVRIL</t>
        </is>
      </c>
      <c r="DC15" s="131" t="n"/>
      <c r="DD15" s="258" t="n">
        <v>514695.74</v>
      </c>
      <c r="DE15" s="258" t="n"/>
      <c r="DF15" s="258" t="n"/>
      <c r="DG15" s="258" t="n"/>
      <c r="DH15" s="258" t="n"/>
      <c r="DI15" s="258" t="n"/>
      <c r="DJ15" s="354" t="inlineStr">
        <is>
          <t>AVRIL</t>
        </is>
      </c>
      <c r="DK15" s="131" t="n"/>
      <c r="DL15" s="258" t="n">
        <v>198183.77</v>
      </c>
      <c r="DM15" s="258" t="n"/>
      <c r="DN15" s="258" t="n"/>
      <c r="DO15" s="258" t="n"/>
      <c r="DP15" s="258" t="n"/>
      <c r="DR15" s="354" t="inlineStr">
        <is>
          <t>04</t>
        </is>
      </c>
      <c r="DS15" s="131" t="n"/>
      <c r="DT15" s="258" t="n">
        <v>342732.24</v>
      </c>
      <c r="DU15" s="258" t="n"/>
      <c r="DV15" s="258" t="n"/>
      <c r="DW15" s="258" t="n"/>
      <c r="DX15" s="258" t="n"/>
      <c r="DZ15" s="354" t="inlineStr">
        <is>
          <t>04</t>
        </is>
      </c>
      <c r="EA15" s="131" t="n"/>
      <c r="EB15" s="258" t="n"/>
      <c r="EC15" s="258" t="n"/>
      <c r="ED15" s="258" t="n"/>
      <c r="EE15" s="258" t="n"/>
      <c r="EF15" s="258" t="n"/>
    </row>
    <row r="16">
      <c r="B16" s="354" t="inlineStr">
        <is>
          <t>MAI</t>
        </is>
      </c>
      <c r="C16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f>
        <v/>
      </c>
      <c r="D16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16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16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16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16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16" s="258" t="n"/>
      <c r="J16" s="354" t="inlineStr">
        <is>
          <t>MAI</t>
        </is>
      </c>
      <c r="K16" s="131" t="n"/>
      <c r="L16" s="258" t="n">
        <v>419059.36</v>
      </c>
      <c r="M16" s="258" t="n">
        <v>470982.74</v>
      </c>
      <c r="N16" s="258" t="n">
        <v>457986.5</v>
      </c>
      <c r="O16" s="258" t="n">
        <v>377173</v>
      </c>
      <c r="P16" s="258" t="n">
        <v>221036</v>
      </c>
      <c r="R16" s="354" t="inlineStr">
        <is>
          <t>MAI</t>
        </is>
      </c>
      <c r="S16" s="131" t="n"/>
      <c r="T16" s="258" t="n">
        <v>228856.24</v>
      </c>
      <c r="U16" s="258" t="n">
        <v>248561.07</v>
      </c>
      <c r="V16" s="258" t="n">
        <v>241024.58</v>
      </c>
      <c r="W16" s="258" t="n">
        <v>221124.46</v>
      </c>
      <c r="X16" s="258" t="n">
        <v>70984</v>
      </c>
      <c r="Z16" s="354" t="inlineStr">
        <is>
          <t>MAI</t>
        </is>
      </c>
      <c r="AA16" s="131" t="n"/>
      <c r="AB16" s="258" t="n">
        <v>244167.43</v>
      </c>
      <c r="AC16" s="258" t="n">
        <v>295537.26</v>
      </c>
      <c r="AD16" s="258" t="n">
        <v>315538.22</v>
      </c>
      <c r="AE16" s="258" t="n">
        <v>251941.37</v>
      </c>
      <c r="AF16" s="258" t="n">
        <v>133029</v>
      </c>
      <c r="AH16" s="354" t="inlineStr">
        <is>
          <t>MAI</t>
        </is>
      </c>
      <c r="AI16" s="131" t="n"/>
      <c r="AJ16" s="131" t="n">
        <v>421584.58</v>
      </c>
      <c r="AK16" s="258" t="n">
        <v>446715.62</v>
      </c>
      <c r="AL16" s="258" t="n">
        <v>403500.91</v>
      </c>
      <c r="AM16" s="258" t="n">
        <v>345615.56</v>
      </c>
      <c r="AN16" s="258" t="n">
        <v>217701</v>
      </c>
      <c r="AP16" s="354" t="inlineStr">
        <is>
          <t>MAI</t>
        </is>
      </c>
      <c r="AQ16" s="131" t="n"/>
      <c r="AR16" s="131" t="n">
        <v>475377.76</v>
      </c>
      <c r="AS16" s="258" t="n">
        <v>519965.71</v>
      </c>
      <c r="AT16" s="258" t="n">
        <v>469972.49</v>
      </c>
      <c r="AU16" s="258" t="n">
        <v>390784.89</v>
      </c>
      <c r="AV16" s="258" t="n"/>
      <c r="AX16" s="354" t="inlineStr">
        <is>
          <t>MAI</t>
        </is>
      </c>
      <c r="AY16" s="131" t="n"/>
      <c r="AZ16" s="258" t="n">
        <v>283152.21</v>
      </c>
      <c r="BA16" s="258" t="n">
        <v>301706.03</v>
      </c>
      <c r="BB16" s="258" t="n">
        <v>267337.09</v>
      </c>
      <c r="BC16" s="258" t="n"/>
      <c r="BD16" s="258" t="n"/>
      <c r="BE16" s="258" t="n"/>
      <c r="BF16" s="354" t="inlineStr">
        <is>
          <t>MAI</t>
        </is>
      </c>
      <c r="BG16" s="131" t="n"/>
      <c r="BH16" s="258" t="n">
        <v>293051.34</v>
      </c>
      <c r="BI16" s="258" t="n">
        <v>311153.21</v>
      </c>
      <c r="BJ16" s="258" t="n"/>
      <c r="BK16" s="258" t="n"/>
      <c r="BL16" s="258" t="n"/>
      <c r="BM16" s="258" t="n"/>
      <c r="BN16" s="354" t="inlineStr">
        <is>
          <t>MAI</t>
        </is>
      </c>
      <c r="BO16" s="131" t="n"/>
      <c r="BP16" s="258" t="n">
        <v>377846.04</v>
      </c>
      <c r="BQ16" s="258" t="n">
        <v>384943.9</v>
      </c>
      <c r="BR16" s="258" t="n">
        <v>385855.2</v>
      </c>
      <c r="BS16" s="258" t="n">
        <v>311091.26</v>
      </c>
      <c r="BT16" s="258" t="n">
        <v>150440</v>
      </c>
      <c r="BV16" s="354" t="inlineStr">
        <is>
          <t>MAI</t>
        </is>
      </c>
      <c r="BW16" s="131" t="n"/>
      <c r="BX16" s="258" t="n">
        <v>313676.96</v>
      </c>
      <c r="BY16" s="258" t="n">
        <v>343374.77</v>
      </c>
      <c r="BZ16" s="258" t="n">
        <v>324403.66</v>
      </c>
      <c r="CA16" s="258" t="n">
        <v>267280.5</v>
      </c>
      <c r="CB16" s="258" t="n">
        <v>92920</v>
      </c>
      <c r="CC16" s="258" t="n"/>
      <c r="CD16" s="354" t="inlineStr">
        <is>
          <t>MAI</t>
        </is>
      </c>
      <c r="CE16" s="131" t="n"/>
      <c r="CF16" s="258" t="n">
        <v>459838.44</v>
      </c>
      <c r="CG16" s="258" t="n">
        <v>482261.8</v>
      </c>
      <c r="CH16" s="258" t="n">
        <v>439141.06</v>
      </c>
      <c r="CI16" s="258" t="n">
        <v>366579</v>
      </c>
      <c r="CJ16" s="258" t="n">
        <v>245284</v>
      </c>
      <c r="CL16" s="354" t="inlineStr">
        <is>
          <t>MAI</t>
        </is>
      </c>
      <c r="CM16" s="131" t="n"/>
      <c r="CN16" s="258" t="n">
        <v>399493</v>
      </c>
      <c r="CO16" s="258" t="n">
        <v>556028.92</v>
      </c>
      <c r="CP16" s="258" t="n">
        <v>515836.8</v>
      </c>
      <c r="CQ16" s="258" t="n">
        <v>403112.58</v>
      </c>
      <c r="CR16" s="258" t="n">
        <v>218719</v>
      </c>
      <c r="CT16" s="354" t="inlineStr">
        <is>
          <t>MAI</t>
        </is>
      </c>
      <c r="CU16" s="131" t="n"/>
      <c r="CV16" s="131" t="n">
        <v>440171.64</v>
      </c>
      <c r="CW16" s="258" t="n"/>
      <c r="CX16" s="258" t="n"/>
      <c r="CY16" s="258" t="n"/>
      <c r="CZ16" s="258" t="n"/>
      <c r="DB16" s="354" t="inlineStr">
        <is>
          <t>MAI</t>
        </is>
      </c>
      <c r="DC16" s="131" t="n"/>
      <c r="DD16" s="258" t="n">
        <v>533534.9300000001</v>
      </c>
      <c r="DE16" s="258" t="n"/>
      <c r="DF16" s="258" t="n"/>
      <c r="DG16" s="258" t="n"/>
      <c r="DH16" s="258" t="n"/>
      <c r="DI16" s="258" t="n"/>
      <c r="DJ16" s="354" t="inlineStr">
        <is>
          <t>MAI</t>
        </is>
      </c>
      <c r="DK16" s="131" t="n"/>
      <c r="DL16" s="258" t="n">
        <v>203122.39</v>
      </c>
      <c r="DM16" s="258" t="n"/>
      <c r="DN16" s="258" t="n"/>
      <c r="DO16" s="258" t="n"/>
      <c r="DP16" s="258" t="n"/>
      <c r="DR16" s="354" t="inlineStr">
        <is>
          <t>05</t>
        </is>
      </c>
      <c r="DS16" s="131" t="n"/>
      <c r="DT16" s="258" t="n">
        <v>358236.54</v>
      </c>
      <c r="DU16" s="258" t="n"/>
      <c r="DV16" s="258" t="n"/>
      <c r="DW16" s="258" t="n"/>
      <c r="DX16" s="258" t="n"/>
      <c r="DZ16" s="354" t="inlineStr">
        <is>
          <t>05</t>
        </is>
      </c>
      <c r="EA16" s="131" t="n"/>
      <c r="EB16" s="258" t="n"/>
      <c r="EC16" s="258" t="n"/>
      <c r="ED16" s="258" t="n"/>
      <c r="EE16" s="258" t="n"/>
      <c r="EF16" s="258" t="n"/>
    </row>
    <row r="17">
      <c r="B17" s="354" t="inlineStr">
        <is>
          <t>JUIN</t>
        </is>
      </c>
      <c r="C17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f>
        <v/>
      </c>
      <c r="D17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17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17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17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17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17" s="258" t="n"/>
      <c r="J17" s="354" t="inlineStr">
        <is>
          <t>JUIN</t>
        </is>
      </c>
      <c r="K17" s="131" t="n"/>
      <c r="L17" s="258" t="n">
        <v>391291.72</v>
      </c>
      <c r="M17" s="258" t="n">
        <v>454072.41</v>
      </c>
      <c r="N17" s="258" t="n">
        <v>441503.85</v>
      </c>
      <c r="O17" s="258" t="n">
        <v>437698.81</v>
      </c>
      <c r="P17" s="258" t="n">
        <v>371908</v>
      </c>
      <c r="R17" s="354" t="inlineStr">
        <is>
          <t>JUIN</t>
        </is>
      </c>
      <c r="S17" s="131" t="n"/>
      <c r="T17" s="258" t="n">
        <v>223791.21</v>
      </c>
      <c r="U17" s="258" t="n">
        <v>242231.5</v>
      </c>
      <c r="V17" s="258" t="n">
        <v>238062.96</v>
      </c>
      <c r="W17" s="258" t="n">
        <v>257568.41</v>
      </c>
      <c r="X17" s="258" t="n">
        <v>199477</v>
      </c>
      <c r="Z17" s="354" t="inlineStr">
        <is>
          <t>JUIN</t>
        </is>
      </c>
      <c r="AA17" s="131" t="n"/>
      <c r="AB17" s="258" t="n">
        <v>262496.02</v>
      </c>
      <c r="AC17" s="258" t="n">
        <v>294485.09</v>
      </c>
      <c r="AD17" s="258" t="n">
        <v>289258.37</v>
      </c>
      <c r="AE17" s="258" t="n">
        <v>268995.66</v>
      </c>
      <c r="AF17" s="258" t="n">
        <v>220726</v>
      </c>
      <c r="AH17" s="354" t="inlineStr">
        <is>
          <t>JUIN</t>
        </is>
      </c>
      <c r="AI17" s="131" t="n"/>
      <c r="AJ17" s="131" t="n">
        <v>432064.89</v>
      </c>
      <c r="AK17" s="258" t="n">
        <v>418586.74</v>
      </c>
      <c r="AL17" s="258" t="n">
        <v>398124.38</v>
      </c>
      <c r="AM17" s="258" t="n">
        <v>402445.89</v>
      </c>
      <c r="AN17" s="258" t="n">
        <v>353005</v>
      </c>
      <c r="AP17" s="354" t="inlineStr">
        <is>
          <t>JUIN</t>
        </is>
      </c>
      <c r="AQ17" s="131" t="n"/>
      <c r="AR17" s="131" t="n">
        <v>466814.43</v>
      </c>
      <c r="AS17" s="258" t="n">
        <v>484283.2</v>
      </c>
      <c r="AT17" s="258" t="n">
        <v>480520.1</v>
      </c>
      <c r="AU17" s="258" t="n">
        <v>201157.54</v>
      </c>
      <c r="AV17" s="258" t="n"/>
      <c r="AX17" s="354" t="inlineStr">
        <is>
          <t>JUIN</t>
        </is>
      </c>
      <c r="AY17" s="131" t="n"/>
      <c r="AZ17" s="258" t="n">
        <v>278368.93</v>
      </c>
      <c r="BA17" s="258" t="n">
        <v>281207.93</v>
      </c>
      <c r="BB17" s="258" t="n">
        <v>271514.77</v>
      </c>
      <c r="BC17" s="258" t="n"/>
      <c r="BD17" s="258" t="n"/>
      <c r="BE17" s="258" t="n"/>
      <c r="BF17" s="354" t="inlineStr">
        <is>
          <t>JUIN</t>
        </is>
      </c>
      <c r="BG17" s="131" t="n"/>
      <c r="BH17" s="258" t="n">
        <v>271215.49</v>
      </c>
      <c r="BI17" s="258" t="n">
        <v>282644.63</v>
      </c>
      <c r="BJ17" s="258" t="n"/>
      <c r="BK17" s="258" t="n"/>
      <c r="BL17" s="258" t="n"/>
      <c r="BM17" s="258" t="n"/>
      <c r="BN17" s="354" t="inlineStr">
        <is>
          <t>JUIN</t>
        </is>
      </c>
      <c r="BO17" s="131" t="n"/>
      <c r="BP17" s="258" t="n">
        <v>367846</v>
      </c>
      <c r="BQ17" s="258" t="n">
        <v>352256.87</v>
      </c>
      <c r="BR17" s="258" t="n">
        <v>373287.34</v>
      </c>
      <c r="BS17" s="258" t="n">
        <v>359746.1</v>
      </c>
      <c r="BT17" s="258" t="n">
        <v>298577</v>
      </c>
      <c r="BV17" s="354" t="inlineStr">
        <is>
          <t>JUIN</t>
        </is>
      </c>
      <c r="BW17" s="131" t="n"/>
      <c r="BX17" s="258" t="n">
        <v>285854.48</v>
      </c>
      <c r="BY17" s="258" t="n">
        <v>293779.56</v>
      </c>
      <c r="BZ17" s="258" t="n">
        <v>315348.532</v>
      </c>
      <c r="CA17" s="258" t="n">
        <v>291266.1</v>
      </c>
      <c r="CB17" s="258" t="n">
        <v>259303</v>
      </c>
      <c r="CC17" s="258" t="n"/>
      <c r="CD17" s="354" t="inlineStr">
        <is>
          <t>JUIN</t>
        </is>
      </c>
      <c r="CE17" s="131" t="n"/>
      <c r="CF17" s="258" t="n">
        <v>439362.87</v>
      </c>
      <c r="CG17" s="258" t="n">
        <v>427925.78</v>
      </c>
      <c r="CH17" s="258" t="n">
        <v>418175.74</v>
      </c>
      <c r="CI17" s="258" t="n">
        <v>422304.03</v>
      </c>
      <c r="CJ17" s="258" t="n">
        <v>409125</v>
      </c>
      <c r="CL17" s="354" t="inlineStr">
        <is>
          <t>JUIN</t>
        </is>
      </c>
      <c r="CM17" s="131" t="n"/>
      <c r="CN17" s="258" t="n">
        <v>388948.47</v>
      </c>
      <c r="CO17" s="258" t="n">
        <v>507910.79</v>
      </c>
      <c r="CP17" s="258" t="n">
        <v>519889.41</v>
      </c>
      <c r="CQ17" s="258" t="n">
        <v>459466.31</v>
      </c>
      <c r="CR17" s="258" t="n">
        <v>393410</v>
      </c>
      <c r="CT17" s="354" t="inlineStr">
        <is>
          <t>JUIN</t>
        </is>
      </c>
      <c r="CU17" s="131" t="n"/>
      <c r="CV17" s="131" t="n">
        <v>427001.1</v>
      </c>
      <c r="CW17" s="258" t="n"/>
      <c r="CX17" s="258" t="n"/>
      <c r="CY17" s="258" t="n"/>
      <c r="CZ17" s="258" t="n"/>
      <c r="DB17" s="354" t="inlineStr">
        <is>
          <t>JUIN</t>
        </is>
      </c>
      <c r="DC17" s="131" t="n"/>
      <c r="DD17" s="258" t="n">
        <v>541731.74</v>
      </c>
      <c r="DE17" s="258" t="n"/>
      <c r="DF17" s="258" t="n"/>
      <c r="DG17" s="258" t="n"/>
      <c r="DH17" s="258" t="n"/>
      <c r="DI17" s="258" t="n"/>
      <c r="DJ17" s="354" t="inlineStr">
        <is>
          <t>JUIN</t>
        </is>
      </c>
      <c r="DK17" s="131" t="n"/>
      <c r="DL17" s="258" t="n">
        <v>208265.96</v>
      </c>
      <c r="DM17" s="258" t="n"/>
      <c r="DN17" s="258" t="n"/>
      <c r="DO17" s="258" t="n"/>
      <c r="DP17" s="258" t="n"/>
      <c r="DR17" s="354" t="inlineStr">
        <is>
          <t>06</t>
        </is>
      </c>
      <c r="DS17" s="131" t="n"/>
      <c r="DT17" s="258" t="n">
        <v>351896.92</v>
      </c>
      <c r="DU17" s="258" t="n"/>
      <c r="DV17" s="258" t="n"/>
      <c r="DW17" s="258" t="n"/>
      <c r="DX17" s="258" t="n"/>
      <c r="DZ17" s="354" t="inlineStr">
        <is>
          <t>06</t>
        </is>
      </c>
      <c r="EA17" s="131" t="n"/>
      <c r="EB17" s="258" t="n"/>
      <c r="EC17" s="258" t="n"/>
      <c r="ED17" s="258" t="n"/>
      <c r="EE17" s="258" t="n"/>
      <c r="EF17" s="258" t="n"/>
    </row>
    <row r="18">
      <c r="B18" s="354" t="inlineStr">
        <is>
          <t>JUILLET</t>
        </is>
      </c>
      <c r="C18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f>
        <v/>
      </c>
      <c r="D18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18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18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18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18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18" s="258" t="n"/>
      <c r="J18" s="354" t="inlineStr">
        <is>
          <t>JUILLET</t>
        </is>
      </c>
      <c r="K18" s="131" t="n"/>
      <c r="L18" s="258" t="n">
        <v>422167.57</v>
      </c>
      <c r="M18" s="258" t="n">
        <v>497177.23</v>
      </c>
      <c r="N18" s="258" t="n">
        <v>472619.17</v>
      </c>
      <c r="O18" s="258" t="n">
        <v>486519.67</v>
      </c>
      <c r="P18" s="258" t="n">
        <v>417037</v>
      </c>
      <c r="R18" s="354" t="inlineStr">
        <is>
          <t>JUILLET</t>
        </is>
      </c>
      <c r="S18" s="131" t="n"/>
      <c r="T18" s="258" t="n">
        <v>231525.12</v>
      </c>
      <c r="U18" s="258" t="n">
        <v>251760.07</v>
      </c>
      <c r="V18" s="258" t="n">
        <v>238188.17</v>
      </c>
      <c r="W18" s="258" t="n">
        <v>296139.77</v>
      </c>
      <c r="X18" s="258" t="n">
        <v>250675</v>
      </c>
      <c r="Z18" s="354" t="inlineStr">
        <is>
          <t>JUILLET</t>
        </is>
      </c>
      <c r="AA18" s="131" t="n"/>
      <c r="AB18" s="258" t="n">
        <v>245877.6</v>
      </c>
      <c r="AC18" s="258" t="n">
        <v>279305.72</v>
      </c>
      <c r="AD18" s="258" t="n">
        <v>282566.19</v>
      </c>
      <c r="AE18" s="258" t="n">
        <v>274134</v>
      </c>
      <c r="AF18" s="258" t="n">
        <v>233080</v>
      </c>
      <c r="AH18" s="354" t="inlineStr">
        <is>
          <t>JUILLET</t>
        </is>
      </c>
      <c r="AI18" s="131" t="n"/>
      <c r="AJ18" s="131" t="n">
        <v>430978.41</v>
      </c>
      <c r="AK18" s="258" t="n">
        <v>471583.68</v>
      </c>
      <c r="AL18" s="258" t="n">
        <v>427848.2</v>
      </c>
      <c r="AM18" s="258" t="n">
        <v>419185</v>
      </c>
      <c r="AN18" s="258" t="n">
        <v>377241</v>
      </c>
      <c r="AP18" s="354" t="inlineStr">
        <is>
          <t>JUILLET</t>
        </is>
      </c>
      <c r="AQ18" s="131" t="n"/>
      <c r="AR18" s="131" t="n">
        <v>513816.15</v>
      </c>
      <c r="AS18" s="258" t="n">
        <v>571802.79</v>
      </c>
      <c r="AT18" s="258" t="n">
        <v>526686.78</v>
      </c>
      <c r="AU18" s="258" t="n">
        <v>331179.76</v>
      </c>
      <c r="AV18" s="258" t="n"/>
      <c r="AX18" s="354" t="inlineStr">
        <is>
          <t>JUILLET</t>
        </is>
      </c>
      <c r="AY18" s="131" t="n"/>
      <c r="AZ18" s="258" t="n">
        <v>293849.39</v>
      </c>
      <c r="BA18" s="258" t="n">
        <v>332226.3</v>
      </c>
      <c r="BB18" s="258" t="n">
        <v>298337.01</v>
      </c>
      <c r="BC18" s="258" t="n">
        <v>73011.95</v>
      </c>
      <c r="BD18" s="258" t="n"/>
      <c r="BE18" s="258" t="n"/>
      <c r="BF18" s="354" t="inlineStr">
        <is>
          <t>JUILLET</t>
        </is>
      </c>
      <c r="BG18" s="131" t="n"/>
      <c r="BH18" s="258" t="n">
        <v>339621.57</v>
      </c>
      <c r="BI18" s="258" t="n">
        <v>396805.84</v>
      </c>
      <c r="BJ18" s="258" t="n"/>
      <c r="BK18" s="258" t="n"/>
      <c r="BL18" s="258" t="n"/>
      <c r="BM18" s="258" t="n"/>
      <c r="BN18" s="354" t="inlineStr">
        <is>
          <t>JUILLET</t>
        </is>
      </c>
      <c r="BO18" s="131" t="n"/>
      <c r="BP18" s="258" t="n">
        <v>369532.54</v>
      </c>
      <c r="BQ18" s="258" t="n">
        <v>400614.96</v>
      </c>
      <c r="BR18" s="258" t="n">
        <v>394240.68</v>
      </c>
      <c r="BS18" s="258" t="n">
        <v>407563.91</v>
      </c>
      <c r="BT18" s="258" t="n">
        <v>357724</v>
      </c>
      <c r="BV18" s="354" t="inlineStr">
        <is>
          <t>JUILLET</t>
        </is>
      </c>
      <c r="BW18" s="131" t="n"/>
      <c r="BX18" s="258" t="n">
        <v>416526.42</v>
      </c>
      <c r="BY18" s="258" t="n">
        <v>452823.05</v>
      </c>
      <c r="BZ18" s="258" t="n">
        <v>467132.05</v>
      </c>
      <c r="CA18" s="258" t="n">
        <v>406516.01</v>
      </c>
      <c r="CB18" s="258" t="n">
        <v>398890</v>
      </c>
      <c r="CC18" s="258" t="n"/>
      <c r="CD18" s="354" t="inlineStr">
        <is>
          <t>JUILLET</t>
        </is>
      </c>
      <c r="CE18" s="131" t="n"/>
      <c r="CF18" s="258" t="n">
        <v>549867.3</v>
      </c>
      <c r="CG18" s="258" t="n">
        <v>616702.64</v>
      </c>
      <c r="CH18" s="258" t="n">
        <v>611656.36</v>
      </c>
      <c r="CI18" s="258" t="n">
        <v>566572.09</v>
      </c>
      <c r="CJ18" s="258" t="n">
        <v>588949</v>
      </c>
      <c r="CL18" s="354" t="inlineStr">
        <is>
          <t>JUILLET</t>
        </is>
      </c>
      <c r="CM18" s="131" t="n"/>
      <c r="CN18" s="258" t="n">
        <v>426711.28</v>
      </c>
      <c r="CO18" s="258" t="n">
        <v>633372.79</v>
      </c>
      <c r="CP18" s="258" t="n">
        <v>593315.7</v>
      </c>
      <c r="CQ18" s="258" t="n">
        <v>538120.9</v>
      </c>
      <c r="CR18" s="258" t="n">
        <v>507721</v>
      </c>
      <c r="CT18" s="354" t="inlineStr">
        <is>
          <t>JUILLET</t>
        </is>
      </c>
      <c r="CU18" s="131" t="n"/>
      <c r="CV18" s="131" t="n">
        <v>436785.56</v>
      </c>
      <c r="CW18" s="258" t="n"/>
      <c r="CX18" s="258" t="n"/>
      <c r="CY18" s="258" t="n"/>
      <c r="CZ18" s="258" t="n"/>
      <c r="DB18" s="354" t="inlineStr">
        <is>
          <t>JUILLET</t>
        </is>
      </c>
      <c r="DC18" s="131" t="n"/>
      <c r="DD18" s="258" t="n">
        <v>539322.49</v>
      </c>
      <c r="DE18" s="258" t="n"/>
      <c r="DF18" s="258" t="n"/>
      <c r="DG18" s="258" t="n"/>
      <c r="DH18" s="258" t="n"/>
      <c r="DI18" s="258" t="n"/>
      <c r="DJ18" s="354" t="inlineStr">
        <is>
          <t>JUILLET</t>
        </is>
      </c>
      <c r="DK18" s="131" t="n"/>
      <c r="DL18" s="258" t="n">
        <v>212001.81</v>
      </c>
      <c r="DM18" s="258" t="n"/>
      <c r="DN18" s="258" t="n"/>
      <c r="DO18" s="258" t="n"/>
      <c r="DP18" s="258" t="n"/>
      <c r="DR18" s="354" t="inlineStr">
        <is>
          <t>07</t>
        </is>
      </c>
      <c r="DS18" s="131" t="n"/>
      <c r="DT18" s="258" t="n">
        <v>338195.18</v>
      </c>
      <c r="DU18" s="258" t="n"/>
      <c r="DV18" s="258" t="n"/>
      <c r="DW18" s="258" t="n"/>
      <c r="DX18" s="258" t="n"/>
      <c r="DZ18" s="354" t="inlineStr">
        <is>
          <t>07</t>
        </is>
      </c>
      <c r="EA18" s="131" t="n"/>
      <c r="EB18" s="258" t="n"/>
      <c r="EC18" s="258" t="n"/>
      <c r="ED18" s="258" t="n"/>
      <c r="EE18" s="258" t="n"/>
      <c r="EF18" s="258" t="n"/>
    </row>
    <row r="19">
      <c r="B19" s="354" t="inlineStr">
        <is>
          <t>AOÛT</t>
        </is>
      </c>
      <c r="C19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Row],[2025]]+CACAT[[#This Row],[2025]])</f>
        <v/>
      </c>
      <c r="D19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19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19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19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19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19" s="258" t="n"/>
      <c r="J19" s="354" t="inlineStr">
        <is>
          <t>AOÛT</t>
        </is>
      </c>
      <c r="K19" s="131" t="n"/>
      <c r="L19" s="258" t="n">
        <v>441139.82</v>
      </c>
      <c r="M19" s="258" t="n">
        <v>486604.01</v>
      </c>
      <c r="N19" s="258" t="n">
        <v>442290.74</v>
      </c>
      <c r="O19" s="258" t="n">
        <v>460975.61</v>
      </c>
      <c r="P19" s="258" t="n">
        <v>460653</v>
      </c>
      <c r="R19" s="354" t="inlineStr">
        <is>
          <t>AOÛT</t>
        </is>
      </c>
      <c r="S19" s="131" t="n"/>
      <c r="T19" s="258" t="n">
        <v>248759.48</v>
      </c>
      <c r="U19" s="258" t="n">
        <v>259714.27</v>
      </c>
      <c r="V19" s="258" t="n">
        <v>236700.22</v>
      </c>
      <c r="W19" s="258" t="n">
        <v>290922.91</v>
      </c>
      <c r="X19" s="258" t="n">
        <v>275840</v>
      </c>
      <c r="Z19" s="354" t="inlineStr">
        <is>
          <t>AOÛT</t>
        </is>
      </c>
      <c r="AA19" s="273" t="n"/>
      <c r="AB19" s="258" t="n">
        <v>252910.94</v>
      </c>
      <c r="AC19" s="258" t="n">
        <v>270321.84</v>
      </c>
      <c r="AD19" s="258" t="n">
        <v>273527.27</v>
      </c>
      <c r="AE19" s="258" t="n">
        <v>265344.2</v>
      </c>
      <c r="AF19" s="258" t="n">
        <v>252044</v>
      </c>
      <c r="AH19" s="354" t="inlineStr">
        <is>
          <t>AOÛT</t>
        </is>
      </c>
      <c r="AI19" s="131" t="n"/>
      <c r="AJ19" s="131" t="n">
        <v>439960.98</v>
      </c>
      <c r="AK19" s="258" t="n">
        <v>454922.5</v>
      </c>
      <c r="AL19" s="258" t="n">
        <v>411623.24</v>
      </c>
      <c r="AM19" s="258" t="n">
        <v>418605.35</v>
      </c>
      <c r="AN19" s="258" t="n">
        <v>403765</v>
      </c>
      <c r="AP19" s="354" t="inlineStr">
        <is>
          <t>AOÛT</t>
        </is>
      </c>
      <c r="AQ19" s="131" t="n"/>
      <c r="AR19" s="131" t="n">
        <v>561903.96</v>
      </c>
      <c r="AS19" s="258" t="n">
        <v>578195.7</v>
      </c>
      <c r="AT19" s="258" t="n">
        <v>558518.88</v>
      </c>
      <c r="AU19" s="258" t="n">
        <v>496490.73</v>
      </c>
      <c r="AV19" s="258" t="n"/>
      <c r="AX19" s="354" t="inlineStr">
        <is>
          <t>AOÛT</t>
        </is>
      </c>
      <c r="AY19" s="131" t="n"/>
      <c r="AZ19" s="258" t="n">
        <v>319102.62</v>
      </c>
      <c r="BA19" s="258" t="n">
        <v>330457.29</v>
      </c>
      <c r="BB19" s="258" t="n">
        <v>304868.12</v>
      </c>
      <c r="BC19" s="258" t="n">
        <v>329480</v>
      </c>
      <c r="BD19" s="258" t="n"/>
      <c r="BE19" s="258" t="n"/>
      <c r="BF19" s="354" t="inlineStr">
        <is>
          <t>AOÛT</t>
        </is>
      </c>
      <c r="BG19" s="131" t="n"/>
      <c r="BH19" s="258" t="n">
        <v>399272.88</v>
      </c>
      <c r="BI19" s="258" t="n">
        <v>410522.6</v>
      </c>
      <c r="BJ19" s="258" t="n"/>
      <c r="BK19" s="258" t="n"/>
      <c r="BL19" s="258" t="n"/>
      <c r="BM19" s="258" t="n"/>
      <c r="BN19" s="354" t="inlineStr">
        <is>
          <t>AOÛT</t>
        </is>
      </c>
      <c r="BO19" s="131" t="n"/>
      <c r="BP19" s="258" t="n">
        <v>389592.4</v>
      </c>
      <c r="BQ19" s="258" t="n">
        <v>388179.47</v>
      </c>
      <c r="BR19" s="258" t="n">
        <v>363405.22</v>
      </c>
      <c r="BS19" s="258" t="n">
        <v>390834.7</v>
      </c>
      <c r="BT19" s="258" t="n">
        <v>406923</v>
      </c>
      <c r="BV19" s="354" t="inlineStr">
        <is>
          <t>AOÛT</t>
        </is>
      </c>
      <c r="BW19" s="131" t="n"/>
      <c r="BX19" s="258" t="n">
        <v>484264.72</v>
      </c>
      <c r="BY19" s="258" t="n">
        <v>483673.89</v>
      </c>
      <c r="BZ19" s="258" t="n">
        <v>508187.38</v>
      </c>
      <c r="CA19" s="258" t="n">
        <v>474650.8</v>
      </c>
      <c r="CB19" s="258" t="n">
        <v>467951</v>
      </c>
      <c r="CC19" s="258" t="n"/>
      <c r="CD19" s="354" t="inlineStr">
        <is>
          <t>AOÛT</t>
        </is>
      </c>
      <c r="CE19" s="131" t="n"/>
      <c r="CF19" s="258" t="n">
        <v>701345.89</v>
      </c>
      <c r="CG19" s="258" t="n">
        <v>710481.58</v>
      </c>
      <c r="CH19" s="258" t="n">
        <v>631349.46</v>
      </c>
      <c r="CI19" s="258" t="n">
        <v>665218.61</v>
      </c>
      <c r="CJ19" s="258" t="n">
        <v>692944</v>
      </c>
      <c r="CL19" s="354" t="inlineStr">
        <is>
          <t>AOÛT</t>
        </is>
      </c>
      <c r="CM19" s="131" t="n"/>
      <c r="CN19" s="258" t="n">
        <v>487871.85</v>
      </c>
      <c r="CO19" s="258" t="n">
        <v>672760.14</v>
      </c>
      <c r="CP19" s="258" t="n">
        <v>640375.92</v>
      </c>
      <c r="CQ19" s="258" t="n">
        <v>588531.26</v>
      </c>
      <c r="CR19" s="258" t="n">
        <v>601057</v>
      </c>
      <c r="CT19" s="354" t="inlineStr">
        <is>
          <t>AOÛT</t>
        </is>
      </c>
      <c r="CU19" s="131" t="n"/>
      <c r="CV19" s="131" t="n">
        <v>518058.24</v>
      </c>
      <c r="CW19" s="258" t="n"/>
      <c r="CX19" s="258" t="n"/>
      <c r="CY19" s="258" t="n"/>
      <c r="CZ19" s="258" t="n"/>
      <c r="DB19" s="354" t="inlineStr">
        <is>
          <t>AOÛT</t>
        </is>
      </c>
      <c r="DC19" s="131" t="n"/>
      <c r="DD19" s="258" t="n">
        <v>586019.36</v>
      </c>
      <c r="DE19" s="258" t="n"/>
      <c r="DF19" s="258" t="n"/>
      <c r="DG19" s="258" t="n"/>
      <c r="DH19" s="258" t="n"/>
      <c r="DI19" s="258" t="n"/>
      <c r="DJ19" s="354" t="inlineStr">
        <is>
          <t>AOÛT</t>
        </is>
      </c>
      <c r="DK19" s="131" t="n"/>
      <c r="DL19" s="258" t="n">
        <v>228519.63</v>
      </c>
      <c r="DM19" s="258" t="n"/>
      <c r="DN19" s="258" t="n"/>
      <c r="DO19" s="258" t="n"/>
      <c r="DP19" s="258" t="n"/>
      <c r="DR19" s="354" t="inlineStr">
        <is>
          <t>08</t>
        </is>
      </c>
      <c r="DS19" s="131" t="n"/>
      <c r="DT19" s="258" t="n">
        <v>359290.12</v>
      </c>
      <c r="DU19" s="258" t="n"/>
      <c r="DV19" s="258" t="n"/>
      <c r="DW19" s="258" t="n"/>
      <c r="DX19" s="258" t="n"/>
      <c r="DZ19" s="354" t="inlineStr">
        <is>
          <t>08</t>
        </is>
      </c>
      <c r="EA19" s="131" t="n"/>
      <c r="EB19" s="258" t="n">
        <v>365211.91</v>
      </c>
      <c r="EC19" s="258" t="n"/>
      <c r="ED19" s="258" t="n"/>
      <c r="EE19" s="258" t="n"/>
      <c r="EF19" s="258" t="n"/>
    </row>
    <row r="20">
      <c r="B20" s="354" t="inlineStr">
        <is>
          <t>SEPTEMBRE</t>
        </is>
      </c>
      <c r="C20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Row],[2025]]+CACAT[[#This Row],[2025]])</f>
        <v/>
      </c>
      <c r="D20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20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20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20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20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20" s="258" t="n"/>
      <c r="J20" s="354" t="inlineStr">
        <is>
          <t>SEPTEMBRE</t>
        </is>
      </c>
      <c r="K20" s="131" t="n"/>
      <c r="L20" s="258" t="n">
        <v>362094.56</v>
      </c>
      <c r="M20" s="258" t="n">
        <v>429554.42</v>
      </c>
      <c r="N20" s="258" t="n">
        <v>395893.26</v>
      </c>
      <c r="O20" s="258" t="n">
        <v>397263.84</v>
      </c>
      <c r="P20" s="258" t="n">
        <v>396890</v>
      </c>
      <c r="R20" s="354" t="inlineStr">
        <is>
          <t>SEPTEMBRE</t>
        </is>
      </c>
      <c r="S20" s="131" t="n"/>
      <c r="T20" s="258" t="n">
        <v>201669.11</v>
      </c>
      <c r="U20" s="258" t="n">
        <v>220244.67</v>
      </c>
      <c r="V20" s="258" t="n">
        <v>217815.81</v>
      </c>
      <c r="W20" s="258" t="n">
        <v>237442</v>
      </c>
      <c r="X20" s="258" t="n">
        <v>222596</v>
      </c>
      <c r="Z20" s="354" t="inlineStr">
        <is>
          <t>SEPTEMBRE</t>
        </is>
      </c>
      <c r="AA20" s="131" t="n"/>
      <c r="AB20" s="258" t="n">
        <v>242694.63</v>
      </c>
      <c r="AC20" s="258" t="n">
        <v>300462.24</v>
      </c>
      <c r="AD20" s="258" t="n">
        <v>288645.61</v>
      </c>
      <c r="AE20" s="258" t="n">
        <v>275452.994</v>
      </c>
      <c r="AF20" s="258" t="n">
        <v>267879</v>
      </c>
      <c r="AH20" s="354" t="inlineStr">
        <is>
          <t>SEPTEMBRE</t>
        </is>
      </c>
      <c r="AI20" s="131" t="n"/>
      <c r="AJ20" s="131" t="n">
        <v>375481.66</v>
      </c>
      <c r="AK20" s="258" t="n">
        <v>414735.37</v>
      </c>
      <c r="AL20" s="258" t="n">
        <v>366637.97</v>
      </c>
      <c r="AM20" s="258" t="n">
        <v>340526</v>
      </c>
      <c r="AN20" s="258" t="n">
        <v>363051</v>
      </c>
      <c r="AP20" s="354" t="inlineStr">
        <is>
          <t>SEPTEMBRE</t>
        </is>
      </c>
      <c r="AQ20" s="131" t="n"/>
      <c r="AR20" s="131" t="n">
        <v>426073.38</v>
      </c>
      <c r="AS20" s="258" t="n">
        <v>471211.77</v>
      </c>
      <c r="AT20" s="258" t="n">
        <v>444261.49</v>
      </c>
      <c r="AU20" s="258" t="n">
        <v>384902.66</v>
      </c>
      <c r="AV20" s="258" t="n"/>
      <c r="AX20" s="354" t="inlineStr">
        <is>
          <t>SEPTEMBRE</t>
        </is>
      </c>
      <c r="AY20" s="131" t="n"/>
      <c r="AZ20" s="258" t="n">
        <v>230549.28</v>
      </c>
      <c r="BA20" s="258" t="n">
        <v>253289.32</v>
      </c>
      <c r="BB20" s="258" t="n">
        <v>238896.91</v>
      </c>
      <c r="BC20" s="258" t="n">
        <v>230997.59</v>
      </c>
      <c r="BD20" s="258" t="n"/>
      <c r="BE20" s="258" t="n"/>
      <c r="BF20" s="354" t="inlineStr">
        <is>
          <t>SEPTEMBRE</t>
        </is>
      </c>
      <c r="BG20" s="131" t="n"/>
      <c r="BH20" s="258" t="n">
        <v>226476.08</v>
      </c>
      <c r="BI20" s="258" t="n">
        <v>263430.88</v>
      </c>
      <c r="BJ20" s="258" t="n"/>
      <c r="BK20" s="258" t="n"/>
      <c r="BL20" s="258" t="n"/>
      <c r="BM20" s="258" t="n"/>
      <c r="BN20" s="354" t="inlineStr">
        <is>
          <t>SEPTEMBRE</t>
        </is>
      </c>
      <c r="BO20" s="131" t="n"/>
      <c r="BP20" s="258" t="n">
        <v>339075.62</v>
      </c>
      <c r="BQ20" s="258" t="n">
        <v>353171.93</v>
      </c>
      <c r="BR20" s="258" t="n">
        <v>329560.94</v>
      </c>
      <c r="BS20" s="258" t="n">
        <v>333191.46</v>
      </c>
      <c r="BT20" s="258" t="n">
        <v>352516</v>
      </c>
      <c r="BV20" s="354" t="inlineStr">
        <is>
          <t>SEPTEMBRE</t>
        </is>
      </c>
      <c r="BW20" s="131" t="n"/>
      <c r="BX20" s="258" t="n">
        <v>258347.23</v>
      </c>
      <c r="BY20" s="258" t="n">
        <v>285336.66</v>
      </c>
      <c r="BZ20" s="258" t="n">
        <v>276169.11</v>
      </c>
      <c r="CA20" s="258" t="n">
        <v>255164.33</v>
      </c>
      <c r="CB20" s="258" t="n">
        <v>258615</v>
      </c>
      <c r="CC20" s="258" t="n"/>
      <c r="CD20" s="354" t="inlineStr">
        <is>
          <t>SEPTEMBRE</t>
        </is>
      </c>
      <c r="CE20" s="131" t="n"/>
      <c r="CF20" s="258" t="n">
        <v>342533.05</v>
      </c>
      <c r="CG20" s="258" t="n">
        <v>425112.89</v>
      </c>
      <c r="CH20" s="258" t="n">
        <v>340185.88</v>
      </c>
      <c r="CI20" s="258" t="n">
        <v>363747</v>
      </c>
      <c r="CJ20" s="258" t="n">
        <v>366872</v>
      </c>
      <c r="CL20" s="354" t="inlineStr">
        <is>
          <t>SEPTEMBRE</t>
        </is>
      </c>
      <c r="CM20" s="131" t="n"/>
      <c r="CN20" s="258" t="n">
        <v>373250.06</v>
      </c>
      <c r="CO20" s="258" t="n">
        <v>516435.67</v>
      </c>
      <c r="CP20" s="258" t="n">
        <v>463843.82</v>
      </c>
      <c r="CQ20" s="258" t="n">
        <v>437653.48</v>
      </c>
      <c r="CR20" s="258" t="n">
        <v>425920</v>
      </c>
      <c r="CT20" s="354" t="inlineStr">
        <is>
          <t>SEPTEMBRE</t>
        </is>
      </c>
      <c r="CU20" s="131" t="n"/>
      <c r="CV20" s="131" t="n">
        <v>438586.59</v>
      </c>
      <c r="CW20" s="258" t="n"/>
      <c r="CX20" s="258" t="n"/>
      <c r="CY20" s="258" t="n"/>
      <c r="CZ20" s="258" t="n"/>
      <c r="DB20" s="354" t="inlineStr">
        <is>
          <t>SEPTEMBRE</t>
        </is>
      </c>
      <c r="DC20" s="131" t="n"/>
      <c r="DD20" s="258" t="n">
        <v>494249.15</v>
      </c>
      <c r="DE20" s="258" t="n"/>
      <c r="DF20" s="258" t="n"/>
      <c r="DG20" s="258" t="n"/>
      <c r="DH20" s="258" t="n"/>
      <c r="DI20" s="258" t="n"/>
      <c r="DJ20" s="354" t="inlineStr">
        <is>
          <t>SEPTEMBRE</t>
        </is>
      </c>
      <c r="DK20" s="131" t="n"/>
      <c r="DL20" s="258" t="n">
        <v>213400.27</v>
      </c>
      <c r="DM20" s="258" t="n"/>
      <c r="DN20" s="258" t="n"/>
      <c r="DO20" s="258" t="n"/>
      <c r="DP20" s="258" t="n"/>
      <c r="DR20" s="354" t="inlineStr">
        <is>
          <t>09</t>
        </is>
      </c>
      <c r="DS20" s="131" t="n"/>
      <c r="DT20" s="258" t="n">
        <v>333942.53</v>
      </c>
      <c r="DU20" s="258" t="n"/>
      <c r="DV20" s="258" t="n"/>
      <c r="DW20" s="258" t="n"/>
      <c r="DX20" s="258" t="n"/>
      <c r="DZ20" s="354" t="inlineStr">
        <is>
          <t>09</t>
        </is>
      </c>
      <c r="EA20" s="131" t="n"/>
      <c r="EB20" s="258" t="n">
        <v>218756.84</v>
      </c>
      <c r="EC20" s="258" t="n"/>
      <c r="ED20" s="258" t="n"/>
      <c r="EE20" s="258" t="n"/>
      <c r="EF20" s="258" t="n"/>
    </row>
    <row r="21">
      <c r="B21" s="354" t="inlineStr">
        <is>
          <t>OCTOBRE</t>
        </is>
      </c>
      <c r="C21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Row],[2025]]+CACAT[[#This Row],[2025]])</f>
        <v/>
      </c>
      <c r="D21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21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21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21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21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21" s="258" t="n"/>
      <c r="J21" s="354" t="inlineStr">
        <is>
          <t>OCTOBRE</t>
        </is>
      </c>
      <c r="K21" s="131" t="n"/>
      <c r="L21" s="258" t="n">
        <v>409953.63</v>
      </c>
      <c r="M21" s="258" t="n">
        <v>426493.96</v>
      </c>
      <c r="N21" s="258" t="n">
        <v>472423.18</v>
      </c>
      <c r="O21" s="258" t="n">
        <v>451574.93</v>
      </c>
      <c r="P21" s="258" t="n">
        <v>417907</v>
      </c>
      <c r="R21" s="354" t="inlineStr">
        <is>
          <t>OCTOBRE</t>
        </is>
      </c>
      <c r="S21" s="131" t="n"/>
      <c r="T21" s="258" t="n">
        <v>212253.47</v>
      </c>
      <c r="U21" s="258" t="n">
        <v>221740</v>
      </c>
      <c r="V21" s="258" t="n">
        <v>245042.74</v>
      </c>
      <c r="W21" s="258" t="n">
        <v>260816.74</v>
      </c>
      <c r="X21" s="258" t="n">
        <v>247128</v>
      </c>
      <c r="Z21" s="354" t="inlineStr">
        <is>
          <t>OCTOBRE</t>
        </is>
      </c>
      <c r="AA21" s="131" t="n"/>
      <c r="AB21" s="258" t="n">
        <v>253082.85</v>
      </c>
      <c r="AC21" s="258" t="n">
        <v>281516.36</v>
      </c>
      <c r="AD21" s="258" t="n">
        <v>342671.77</v>
      </c>
      <c r="AE21" s="258" t="n">
        <v>308591.15</v>
      </c>
      <c r="AF21" s="258" t="n">
        <v>272845</v>
      </c>
      <c r="AH21" s="354" t="inlineStr">
        <is>
          <t>OCTOBRE</t>
        </is>
      </c>
      <c r="AI21" s="131" t="n"/>
      <c r="AJ21" s="131" t="n">
        <v>389992.15</v>
      </c>
      <c r="AK21" s="258" t="n">
        <v>430896.9</v>
      </c>
      <c r="AL21" s="258" t="n">
        <v>426127.35</v>
      </c>
      <c r="AM21" s="258" t="n">
        <v>382463.73</v>
      </c>
      <c r="AN21" s="258" t="n">
        <v>392550</v>
      </c>
      <c r="AP21" s="354" t="inlineStr">
        <is>
          <t>OCTOBRE</t>
        </is>
      </c>
      <c r="AQ21" s="131" t="n"/>
      <c r="AR21" s="131" t="n">
        <v>468469.78</v>
      </c>
      <c r="AS21" s="258" t="n">
        <v>490957.46</v>
      </c>
      <c r="AT21" s="258" t="n">
        <v>511359.87</v>
      </c>
      <c r="AU21" s="258" t="n">
        <v>438126.3</v>
      </c>
      <c r="AV21" s="258" t="n"/>
      <c r="AX21" s="354" t="inlineStr">
        <is>
          <t>OCTOBRE</t>
        </is>
      </c>
      <c r="AY21" s="131" t="n"/>
      <c r="AZ21" s="258" t="n">
        <v>236583.24</v>
      </c>
      <c r="BA21" s="258" t="n">
        <v>266917</v>
      </c>
      <c r="BB21" s="258" t="n">
        <v>272494.67</v>
      </c>
      <c r="BC21" s="258" t="n">
        <v>257744.22</v>
      </c>
      <c r="BD21" s="258" t="n"/>
      <c r="BE21" s="258" t="n"/>
      <c r="BF21" s="354" t="inlineStr">
        <is>
          <t>OCTOBRE</t>
        </is>
      </c>
      <c r="BG21" s="131" t="n"/>
      <c r="BH21" s="258" t="n">
        <v>240747.81</v>
      </c>
      <c r="BI21" s="258" t="n">
        <v>272202.07</v>
      </c>
      <c r="BJ21" s="258" t="n"/>
      <c r="BK21" s="258" t="n"/>
      <c r="BL21" s="258" t="n"/>
      <c r="BM21" s="258" t="n"/>
      <c r="BN21" s="354" t="inlineStr">
        <is>
          <t>OCTOBRE</t>
        </is>
      </c>
      <c r="BO21" s="131" t="n"/>
      <c r="BP21" s="258" t="n">
        <v>346372.13</v>
      </c>
      <c r="BQ21" s="258" t="n">
        <v>365066.34</v>
      </c>
      <c r="BR21" s="258" t="n">
        <v>375415.31</v>
      </c>
      <c r="BS21" s="258" t="n">
        <v>365738.81</v>
      </c>
      <c r="BT21" s="258" t="n">
        <v>368076</v>
      </c>
      <c r="BV21" s="354" t="inlineStr">
        <is>
          <t>OCTOBRE</t>
        </is>
      </c>
      <c r="BW21" s="131" t="n"/>
      <c r="BX21" s="258" t="n">
        <v>267026.53</v>
      </c>
      <c r="BY21" s="258" t="n">
        <v>288958.32</v>
      </c>
      <c r="BZ21" s="258" t="n">
        <v>304084.81</v>
      </c>
      <c r="CA21" s="258" t="n">
        <v>284275.99</v>
      </c>
      <c r="CB21" s="258" t="n">
        <v>272359</v>
      </c>
      <c r="CC21" s="258" t="n"/>
      <c r="CD21" s="354" t="inlineStr">
        <is>
          <t>OCTOBRE</t>
        </is>
      </c>
      <c r="CE21" s="131" t="n"/>
      <c r="CF21" s="258" t="n">
        <v>361489.56</v>
      </c>
      <c r="CG21" s="258" t="n">
        <v>421378.63</v>
      </c>
      <c r="CH21" s="258" t="n">
        <v>377968.49</v>
      </c>
      <c r="CI21" s="258" t="n">
        <v>383589.73</v>
      </c>
      <c r="CJ21" s="258" t="n">
        <v>352527</v>
      </c>
      <c r="CL21" s="354" t="inlineStr">
        <is>
          <t>OCTOBRE</t>
        </is>
      </c>
      <c r="CM21" s="131" t="n"/>
      <c r="CN21" s="258" t="n">
        <v>380609.01</v>
      </c>
      <c r="CO21" s="258" t="n">
        <v>537367.22</v>
      </c>
      <c r="CP21" s="258" t="n">
        <v>450146.96</v>
      </c>
      <c r="CQ21" s="258" t="n">
        <v>482367</v>
      </c>
      <c r="CR21" s="258" t="n">
        <v>446003</v>
      </c>
      <c r="CT21" s="354" t="inlineStr">
        <is>
          <t>OCTOBRE</t>
        </is>
      </c>
      <c r="CU21" s="131" t="n"/>
      <c r="CV21" s="131" t="n">
        <v>448749.97</v>
      </c>
      <c r="CW21" s="258" t="n"/>
      <c r="CX21" s="258" t="n"/>
      <c r="CY21" s="258" t="n"/>
      <c r="CZ21" s="258" t="n"/>
      <c r="DB21" s="354" t="inlineStr">
        <is>
          <t>OCTOBRE</t>
        </is>
      </c>
      <c r="DC21" s="131" t="n"/>
      <c r="DD21" s="258" t="n">
        <v>507610.36</v>
      </c>
      <c r="DE21" s="258" t="n"/>
      <c r="DF21" s="258" t="n"/>
      <c r="DG21" s="258" t="n"/>
      <c r="DH21" s="258" t="n"/>
      <c r="DI21" s="258" t="n"/>
      <c r="DJ21" s="354" t="inlineStr">
        <is>
          <t>OCTOBRE</t>
        </is>
      </c>
      <c r="DK21" s="131" t="n"/>
      <c r="DL21" s="258" t="n">
        <v>214907.75</v>
      </c>
      <c r="DM21" s="258" t="n"/>
      <c r="DN21" s="258" t="n"/>
      <c r="DO21" s="258" t="n"/>
      <c r="DP21" s="258" t="n"/>
      <c r="DR21" s="354" t="inlineStr">
        <is>
          <t>10</t>
        </is>
      </c>
      <c r="DS21" s="131" t="n"/>
      <c r="DT21" s="258" t="n">
        <v>345694.94</v>
      </c>
      <c r="DU21" s="258" t="n"/>
      <c r="DV21" s="258" t="n"/>
      <c r="DW21" s="258" t="n"/>
      <c r="DX21" s="258" t="n"/>
      <c r="DZ21" s="354" t="inlineStr">
        <is>
          <t>10</t>
        </is>
      </c>
      <c r="EA21" s="131" t="n"/>
      <c r="EB21" s="258" t="n">
        <v>227098.28</v>
      </c>
      <c r="EC21" s="258" t="n"/>
      <c r="ED21" s="258" t="n"/>
      <c r="EE21" s="258" t="n"/>
      <c r="EF21" s="258" t="n"/>
    </row>
    <row r="22">
      <c r="B22" s="354" t="inlineStr">
        <is>
          <t>NOVEMBRE</t>
        </is>
      </c>
      <c r="C22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Row],[2025]]+CACAT[[#This Row],[2025]])</f>
        <v/>
      </c>
      <c r="D22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22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22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22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22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22" s="258" t="n"/>
      <c r="J22" s="354" t="inlineStr">
        <is>
          <t>NOVEMBRE</t>
        </is>
      </c>
      <c r="K22" s="131" t="n"/>
      <c r="L22" s="258" t="n">
        <v>443820</v>
      </c>
      <c r="M22" s="258" t="n">
        <v>406697.2</v>
      </c>
      <c r="N22" s="258" t="n">
        <v>449029.83</v>
      </c>
      <c r="O22" s="258" t="n">
        <v>422145.68</v>
      </c>
      <c r="P22" s="258" t="n">
        <v>284775.23</v>
      </c>
      <c r="R22" s="354" t="inlineStr">
        <is>
          <t>NOVEMBRE</t>
        </is>
      </c>
      <c r="S22" s="131" t="n"/>
      <c r="T22" s="258" t="n">
        <v>216567.38</v>
      </c>
      <c r="U22" s="258" t="n">
        <v>217084</v>
      </c>
      <c r="V22" s="258" t="n">
        <v>228969.9</v>
      </c>
      <c r="W22" s="258" t="n">
        <v>240528.43</v>
      </c>
      <c r="X22" s="258" t="n">
        <v>171412.53</v>
      </c>
      <c r="Z22" s="354" t="inlineStr">
        <is>
          <t>NOVEMBRE</t>
        </is>
      </c>
      <c r="AA22" s="131" t="n"/>
      <c r="AB22" s="258" t="n">
        <v>292067.53</v>
      </c>
      <c r="AC22" s="258" t="n">
        <v>316999.32</v>
      </c>
      <c r="AD22" s="258" t="n">
        <v>323435.07</v>
      </c>
      <c r="AE22" s="258" t="n">
        <v>286984.23</v>
      </c>
      <c r="AF22" s="258" t="n">
        <v>199041.74</v>
      </c>
      <c r="AH22" s="354" t="inlineStr">
        <is>
          <t>NOVEMBRE</t>
        </is>
      </c>
      <c r="AI22" s="131" t="n"/>
      <c r="AJ22" s="131" t="n">
        <v>417235.16</v>
      </c>
      <c r="AK22" s="258" t="n">
        <v>409780.84</v>
      </c>
      <c r="AL22" s="258" t="n">
        <v>393046.78</v>
      </c>
      <c r="AM22" s="258" t="n">
        <v>366814.86</v>
      </c>
      <c r="AN22" s="258" t="n">
        <v>255747.06</v>
      </c>
      <c r="AP22" s="354" t="inlineStr">
        <is>
          <t>NOVEMBRE</t>
        </is>
      </c>
      <c r="AQ22" s="131" t="n"/>
      <c r="AR22" s="131" t="n">
        <v>490419.88</v>
      </c>
      <c r="AS22" s="258" t="n">
        <v>468036.26</v>
      </c>
      <c r="AT22" s="258" t="n">
        <v>468099.46</v>
      </c>
      <c r="AU22" s="258" t="n">
        <v>427191</v>
      </c>
      <c r="AV22" s="258" t="n"/>
      <c r="AX22" s="354" t="inlineStr">
        <is>
          <t>NOVEMBRE</t>
        </is>
      </c>
      <c r="AY22" s="131" t="n"/>
      <c r="AZ22" s="258" t="n">
        <v>246915.81</v>
      </c>
      <c r="BA22" s="258" t="n">
        <v>253103.95</v>
      </c>
      <c r="BB22" s="258" t="n">
        <v>251327.03</v>
      </c>
      <c r="BC22" s="258" t="n">
        <v>228976</v>
      </c>
      <c r="BD22" s="258" t="n"/>
      <c r="BE22" s="258" t="n"/>
      <c r="BF22" s="354" t="inlineStr">
        <is>
          <t>NOVEMBRE</t>
        </is>
      </c>
      <c r="BG22" s="131" t="n"/>
      <c r="BH22" s="258" t="n">
        <v>237763.28</v>
      </c>
      <c r="BI22" s="258" t="n">
        <v>251570.57</v>
      </c>
      <c r="BJ22" s="258" t="n"/>
      <c r="BK22" s="258" t="n"/>
      <c r="BL22" s="258" t="n"/>
      <c r="BM22" s="258" t="n"/>
      <c r="BN22" s="354" t="inlineStr">
        <is>
          <t>NOVEMBRE</t>
        </is>
      </c>
      <c r="BO22" s="131" t="n"/>
      <c r="BP22" s="258" t="n">
        <v>358423.24</v>
      </c>
      <c r="BQ22" s="258" t="n">
        <v>356548.18</v>
      </c>
      <c r="BR22" s="258" t="n">
        <v>330720</v>
      </c>
      <c r="BS22" s="258" t="n">
        <v>341138.91</v>
      </c>
      <c r="BT22" s="258" t="n">
        <v>211998.84</v>
      </c>
      <c r="BV22" s="354" t="inlineStr">
        <is>
          <t>NOVEMBRE</t>
        </is>
      </c>
      <c r="BW22" s="131" t="n"/>
      <c r="BX22" s="258" t="n">
        <v>254625.96</v>
      </c>
      <c r="BY22" s="258" t="n">
        <v>249157.58</v>
      </c>
      <c r="BZ22" s="258" t="n">
        <v>261491</v>
      </c>
      <c r="CA22" s="258" t="n">
        <v>254545.07</v>
      </c>
      <c r="CB22" s="258" t="n">
        <v>164336.95</v>
      </c>
      <c r="CC22" s="258" t="n"/>
      <c r="CD22" s="354" t="inlineStr">
        <is>
          <t>NOVEMBRE</t>
        </is>
      </c>
      <c r="CE22" s="131" t="n"/>
      <c r="CF22" s="258" t="n">
        <v>356179.32</v>
      </c>
      <c r="CG22" s="258" t="n">
        <v>376295.43</v>
      </c>
      <c r="CH22" s="258" t="n">
        <v>352453.18</v>
      </c>
      <c r="CI22" s="258" t="n">
        <v>343022.96</v>
      </c>
      <c r="CJ22" s="258" t="n">
        <v>208803.79</v>
      </c>
      <c r="CL22" s="354" t="inlineStr">
        <is>
          <t>NOVEMBRE</t>
        </is>
      </c>
      <c r="CM22" s="131" t="n"/>
      <c r="CN22" s="258" t="n">
        <v>408273.11</v>
      </c>
      <c r="CO22" s="258" t="n">
        <v>523194.13</v>
      </c>
      <c r="CP22" s="258" t="n">
        <v>476154.23</v>
      </c>
      <c r="CQ22" s="258" t="n">
        <v>456441.45</v>
      </c>
      <c r="CR22" s="258" t="n">
        <v>285078.73</v>
      </c>
      <c r="CT22" s="354" t="inlineStr">
        <is>
          <t>NOVEMBRE</t>
        </is>
      </c>
      <c r="CU22" s="131" t="n"/>
      <c r="CV22" s="131" t="n">
        <v>478557.31</v>
      </c>
      <c r="CW22" s="258" t="n"/>
      <c r="CX22" s="258" t="n"/>
      <c r="CY22" s="258" t="n"/>
      <c r="CZ22" s="258" t="n"/>
      <c r="DB22" s="354" t="inlineStr">
        <is>
          <t>NOVEMBRE</t>
        </is>
      </c>
      <c r="DC22" s="131" t="n"/>
      <c r="DD22" s="258" t="n">
        <v>555479.61</v>
      </c>
      <c r="DE22" s="258" t="n"/>
      <c r="DF22" s="258" t="n"/>
      <c r="DG22" s="258" t="n"/>
      <c r="DH22" s="258" t="n"/>
      <c r="DI22" s="258" t="n"/>
      <c r="DJ22" s="354" t="inlineStr">
        <is>
          <t>NOVEMBRE</t>
        </is>
      </c>
      <c r="DK22" s="131" t="n"/>
      <c r="DL22" s="258" t="n">
        <v>226433.92</v>
      </c>
      <c r="DM22" s="258" t="n"/>
      <c r="DN22" s="258" t="n"/>
      <c r="DO22" s="258" t="n"/>
      <c r="DP22" s="258" t="n"/>
      <c r="DR22" s="354" t="inlineStr">
        <is>
          <t>11</t>
        </is>
      </c>
      <c r="DS22" s="131" t="n"/>
      <c r="DT22" s="258" t="n">
        <v>361725.11</v>
      </c>
      <c r="DU22" s="258" t="n"/>
      <c r="DV22" s="258" t="n"/>
      <c r="DW22" s="258" t="n"/>
      <c r="DX22" s="258" t="n"/>
      <c r="DZ22" s="354" t="inlineStr">
        <is>
          <t>11</t>
        </is>
      </c>
      <c r="EA22" s="131" t="n"/>
      <c r="EB22" s="258" t="n">
        <v>228986.35</v>
      </c>
      <c r="EC22" s="258" t="n"/>
      <c r="ED22" s="258" t="n"/>
      <c r="EE22" s="258" t="n"/>
      <c r="EF22" s="258" t="n"/>
    </row>
    <row r="23">
      <c r="B23" s="354" t="inlineStr">
        <is>
          <t>DÉCEMBRE</t>
        </is>
      </c>
      <c r="C23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Row],[2025]]+CACAT[[#This Row],[2025]])</f>
        <v/>
      </c>
      <c r="D23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23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23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23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23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23" s="258" t="n"/>
      <c r="J23" s="354" t="inlineStr">
        <is>
          <t>DÉCEMBRE</t>
        </is>
      </c>
      <c r="K23" s="131" t="n"/>
      <c r="L23" s="258" t="n">
        <v>443820</v>
      </c>
      <c r="M23" s="258" t="n">
        <v>409440.12</v>
      </c>
      <c r="N23" s="258" t="n">
        <v>489142</v>
      </c>
      <c r="O23" s="258" t="n">
        <v>455443</v>
      </c>
      <c r="P23" s="258" t="n">
        <v>319096.81</v>
      </c>
      <c r="R23" s="354" t="inlineStr">
        <is>
          <t>DÉCEMBRE</t>
        </is>
      </c>
      <c r="S23" s="131" t="n">
        <v>218617.11</v>
      </c>
      <c r="T23" s="258" t="n">
        <v>218617.11</v>
      </c>
      <c r="U23" s="258" t="n">
        <v>224028.26</v>
      </c>
      <c r="V23" s="258" t="n">
        <v>245340.13</v>
      </c>
      <c r="W23" s="258" t="n">
        <v>251559</v>
      </c>
      <c r="X23" s="258" t="n">
        <v>208347.54</v>
      </c>
      <c r="Z23" s="354" t="inlineStr">
        <is>
          <t>DÉCEMBRE</t>
        </is>
      </c>
      <c r="AA23" s="131" t="n"/>
      <c r="AB23" s="258" t="n">
        <v>260696.55</v>
      </c>
      <c r="AC23" s="258" t="n">
        <v>271097.28</v>
      </c>
      <c r="AD23" s="258" t="n">
        <v>307019.48</v>
      </c>
      <c r="AE23" s="258" t="n">
        <v>278713</v>
      </c>
      <c r="AF23" s="258" t="n">
        <v>217126.45</v>
      </c>
      <c r="AH23" s="354" t="inlineStr">
        <is>
          <t>DÉCEMBRE</t>
        </is>
      </c>
      <c r="AI23" s="131" t="n"/>
      <c r="AJ23" s="131" t="n">
        <v>412209.79</v>
      </c>
      <c r="AK23" s="258" t="n">
        <v>414223.49</v>
      </c>
      <c r="AL23" s="258" t="n">
        <v>415082.37</v>
      </c>
      <c r="AM23" s="258" t="n">
        <v>380431</v>
      </c>
      <c r="AN23" s="258" t="n">
        <v>294685</v>
      </c>
      <c r="AP23" s="354" t="inlineStr">
        <is>
          <t>DÉCEMBRE</t>
        </is>
      </c>
      <c r="AQ23" s="131" t="n"/>
      <c r="AR23" s="131" t="n">
        <v>520127.03</v>
      </c>
      <c r="AS23" s="258" t="n">
        <v>527985.5</v>
      </c>
      <c r="AT23" s="258" t="n">
        <v>551392.09</v>
      </c>
      <c r="AU23" s="258" t="n">
        <v>467625</v>
      </c>
      <c r="AV23" s="258" t="n"/>
      <c r="AX23" s="354" t="inlineStr">
        <is>
          <t>DÉCEMBRE</t>
        </is>
      </c>
      <c r="AY23" s="131" t="n"/>
      <c r="AZ23" s="258" t="n">
        <v>254335.87</v>
      </c>
      <c r="BA23" s="258" t="n">
        <v>268757.44</v>
      </c>
      <c r="BB23" s="258" t="n">
        <v>272820.48</v>
      </c>
      <c r="BC23" s="258" t="n">
        <v>234220</v>
      </c>
      <c r="BD23" s="258" t="n"/>
      <c r="BE23" s="258" t="n"/>
      <c r="BF23" s="354" t="inlineStr">
        <is>
          <t>DÉCEMBRE</t>
        </is>
      </c>
      <c r="BG23" s="131" t="n"/>
      <c r="BH23" s="258" t="n">
        <v>233188.1</v>
      </c>
      <c r="BI23" s="258" t="n">
        <v>253816.58</v>
      </c>
      <c r="BJ23" s="258" t="n"/>
      <c r="BK23" s="258" t="n"/>
      <c r="BL23" s="258" t="n"/>
      <c r="BM23" s="258" t="n"/>
      <c r="BN23" s="354" t="inlineStr">
        <is>
          <t>DÉCEMBRE</t>
        </is>
      </c>
      <c r="BO23" s="131" t="n"/>
      <c r="BP23" s="258" t="n">
        <v>357979.69</v>
      </c>
      <c r="BQ23" s="258" t="n">
        <v>360728.07</v>
      </c>
      <c r="BR23" s="258" t="n">
        <v>365033</v>
      </c>
      <c r="BS23" s="258" t="n">
        <v>358938</v>
      </c>
      <c r="BT23" s="258" t="n">
        <v>256448.35</v>
      </c>
      <c r="BV23" s="354" t="inlineStr">
        <is>
          <t>DÉCEMBRE</t>
        </is>
      </c>
      <c r="BW23" s="131" t="n"/>
      <c r="BX23" s="258" t="n">
        <v>251066.69</v>
      </c>
      <c r="BY23" s="258" t="n">
        <v>243980.94</v>
      </c>
      <c r="BZ23" s="258" t="n">
        <v>260629</v>
      </c>
      <c r="CA23" s="258" t="n">
        <v>249600</v>
      </c>
      <c r="CB23" s="258" t="n">
        <v>202872.21</v>
      </c>
      <c r="CC23" s="258" t="n"/>
      <c r="CD23" s="354" t="inlineStr">
        <is>
          <t>DÉCEMBRE</t>
        </is>
      </c>
      <c r="CE23" s="131" t="n"/>
      <c r="CF23" s="258" t="n">
        <v>326511.15</v>
      </c>
      <c r="CG23" s="258" t="n">
        <v>372614.95</v>
      </c>
      <c r="CH23" s="258" t="n">
        <v>349347.8</v>
      </c>
      <c r="CI23" s="258" t="n">
        <v>349186</v>
      </c>
      <c r="CJ23" s="258" t="n">
        <v>262939.93</v>
      </c>
      <c r="CL23" s="354" t="inlineStr">
        <is>
          <t>DÉCEMBRE</t>
        </is>
      </c>
      <c r="CM23" s="131" t="n"/>
      <c r="CN23" s="258" t="n">
        <v>407405.56</v>
      </c>
      <c r="CO23" s="258" t="n">
        <v>428618.23</v>
      </c>
      <c r="CP23" s="258" t="n">
        <v>536116</v>
      </c>
      <c r="CQ23" s="258" t="n">
        <v>483886</v>
      </c>
      <c r="CR23" s="258" t="n">
        <v>356155.68</v>
      </c>
      <c r="CT23" s="354" t="inlineStr">
        <is>
          <t>DÉCEMBRE</t>
        </is>
      </c>
      <c r="CU23" s="131" t="n"/>
      <c r="CV23" s="131" t="n">
        <v>445203.67</v>
      </c>
      <c r="CW23" s="258" t="n"/>
      <c r="CX23" s="258" t="n"/>
      <c r="CY23" s="258" t="n"/>
      <c r="CZ23" s="258" t="n"/>
      <c r="DB23" s="354" t="inlineStr">
        <is>
          <t>DÉCEMBRE</t>
        </is>
      </c>
      <c r="DC23" s="131" t="n"/>
      <c r="DD23" s="258" t="n">
        <v>577281.33</v>
      </c>
      <c r="DE23" s="258" t="n"/>
      <c r="DF23" s="258" t="n"/>
      <c r="DG23" s="258" t="n"/>
      <c r="DH23" s="258" t="n"/>
      <c r="DI23" s="258" t="n"/>
      <c r="DJ23" s="354" t="inlineStr">
        <is>
          <t>DÉCEMBRE</t>
        </is>
      </c>
      <c r="DK23" s="131" t="n"/>
      <c r="DL23" s="258" t="n">
        <v>240551.02</v>
      </c>
      <c r="DM23" s="258" t="n"/>
      <c r="DN23" s="258" t="n"/>
      <c r="DO23" s="258" t="n"/>
      <c r="DP23" s="258" t="n"/>
      <c r="DR23" s="354" t="inlineStr">
        <is>
          <t>12</t>
        </is>
      </c>
      <c r="DS23" s="131" t="n"/>
      <c r="DT23" s="258" t="n">
        <v>363858.04</v>
      </c>
      <c r="DU23" s="258" t="n"/>
      <c r="DV23" s="258" t="n"/>
      <c r="DW23" s="258" t="n"/>
      <c r="DX23" s="258" t="n"/>
      <c r="DZ23" s="354" t="inlineStr">
        <is>
          <t>12</t>
        </is>
      </c>
      <c r="EA23" s="131" t="n"/>
      <c r="EB23" s="258" t="n">
        <v>221506.53</v>
      </c>
      <c r="EC23" s="258" t="n"/>
      <c r="ED23" s="258" t="n"/>
      <c r="EE23" s="258" t="n"/>
      <c r="EF23" s="258" t="n"/>
    </row>
    <row r="25" ht="15.75" customHeight="1" s="161">
      <c r="B25" s="355" t="inlineStr">
        <is>
          <t>Global</t>
        </is>
      </c>
      <c r="J25" s="355" t="inlineStr">
        <is>
          <t>GLR5</t>
        </is>
      </c>
      <c r="R25" s="355" t="inlineStr">
        <is>
          <t>HTR8</t>
        </is>
      </c>
      <c r="Z25" s="355" t="inlineStr">
        <is>
          <t>TIRR</t>
        </is>
      </c>
      <c r="AH25" s="355" t="inlineStr">
        <is>
          <t>VR7</t>
        </is>
      </c>
      <c r="AP25" s="355" t="inlineStr">
        <is>
          <t>TURVILLA</t>
        </is>
      </c>
      <c r="AX25" s="355" t="inlineStr">
        <is>
          <t>HART</t>
        </is>
      </c>
      <c r="BF25" s="355" t="inlineStr">
        <is>
          <t>VICTOIRE</t>
        </is>
      </c>
      <c r="BN25" s="355" t="inlineStr">
        <is>
          <t>TH4</t>
        </is>
      </c>
      <c r="BV25" s="355" t="inlineStr">
        <is>
          <t>TL DIVES</t>
        </is>
      </c>
      <c r="CD25" s="355" t="inlineStr">
        <is>
          <t>R3 14</t>
        </is>
      </c>
      <c r="CL25" s="355" t="inlineStr">
        <is>
          <t>LYSE</t>
        </is>
      </c>
      <c r="CT25" s="355" t="inlineStr">
        <is>
          <t>ARTHUR</t>
        </is>
      </c>
      <c r="DB25" s="355" t="inlineStr">
        <is>
          <t>HUGO</t>
        </is>
      </c>
      <c r="DJ25" s="355" t="inlineStr">
        <is>
          <t>JEANCLO</t>
        </is>
      </c>
      <c r="DR25" s="355" t="inlineStr">
        <is>
          <t>THOMAS</t>
        </is>
      </c>
      <c r="DZ25" s="355" t="inlineStr">
        <is>
          <t>CATALINA</t>
        </is>
      </c>
    </row>
    <row r="27" ht="18.6" customFormat="1" customHeight="1" s="188">
      <c r="A27" s="356" t="inlineStr">
        <is>
          <t>P&amp;L cumulés</t>
        </is>
      </c>
      <c r="B27" s="186" t="inlineStr">
        <is>
          <t>MOIS</t>
        </is>
      </c>
      <c r="C27" s="187" t="inlineStr">
        <is>
          <t>2024</t>
        </is>
      </c>
      <c r="D27" s="187" t="inlineStr">
        <is>
          <t>2023</t>
        </is>
      </c>
      <c r="E27" s="187" t="inlineStr">
        <is>
          <t>2022</t>
        </is>
      </c>
      <c r="F27" s="187" t="inlineStr">
        <is>
          <t>2021</t>
        </is>
      </c>
      <c r="G27" s="187" t="inlineStr">
        <is>
          <t>2020</t>
        </is>
      </c>
      <c r="H27" s="187" t="inlineStr">
        <is>
          <t>2019</t>
        </is>
      </c>
      <c r="I27" s="187" t="n"/>
      <c r="J27" s="186" t="inlineStr">
        <is>
          <t>MOIS</t>
        </is>
      </c>
      <c r="K27" s="186" t="inlineStr">
        <is>
          <t>2025</t>
        </is>
      </c>
      <c r="L27" s="186" t="inlineStr">
        <is>
          <t>2024</t>
        </is>
      </c>
      <c r="M27" s="186" t="inlineStr">
        <is>
          <t>2023</t>
        </is>
      </c>
      <c r="N27" s="186" t="inlineStr">
        <is>
          <t>2022</t>
        </is>
      </c>
      <c r="O27" s="186" t="inlineStr">
        <is>
          <t>2021</t>
        </is>
      </c>
      <c r="P27" s="186" t="inlineStr">
        <is>
          <t>2020</t>
        </is>
      </c>
      <c r="R27" s="186" t="inlineStr">
        <is>
          <t>MOIS</t>
        </is>
      </c>
      <c r="S27" s="186" t="inlineStr">
        <is>
          <t>2025</t>
        </is>
      </c>
      <c r="T27" s="186" t="inlineStr">
        <is>
          <t>2024</t>
        </is>
      </c>
      <c r="U27" s="186" t="inlineStr">
        <is>
          <t>2023</t>
        </is>
      </c>
      <c r="V27" s="186" t="inlineStr">
        <is>
          <t>2022</t>
        </is>
      </c>
      <c r="W27" s="186" t="inlineStr">
        <is>
          <t>2021</t>
        </is>
      </c>
      <c r="X27" s="186" t="inlineStr">
        <is>
          <t>2020</t>
        </is>
      </c>
      <c r="Z27" s="186" t="inlineStr">
        <is>
          <t>MOIS</t>
        </is>
      </c>
      <c r="AA27" s="186" t="inlineStr">
        <is>
          <t>2025</t>
        </is>
      </c>
      <c r="AB27" s="186" t="inlineStr">
        <is>
          <t>2024</t>
        </is>
      </c>
      <c r="AC27" s="186" t="inlineStr">
        <is>
          <t>2023</t>
        </is>
      </c>
      <c r="AD27" s="186" t="inlineStr">
        <is>
          <t>2022</t>
        </is>
      </c>
      <c r="AE27" s="186" t="inlineStr">
        <is>
          <t>2021</t>
        </is>
      </c>
      <c r="AF27" s="186" t="inlineStr">
        <is>
          <t>2020</t>
        </is>
      </c>
      <c r="AH27" s="186" t="inlineStr">
        <is>
          <t>MOIS</t>
        </is>
      </c>
      <c r="AI27" s="186" t="inlineStr">
        <is>
          <t>2025</t>
        </is>
      </c>
      <c r="AJ27" s="186" t="inlineStr">
        <is>
          <t>2024</t>
        </is>
      </c>
      <c r="AK27" s="186" t="inlineStr">
        <is>
          <t>2023</t>
        </is>
      </c>
      <c r="AL27" s="186" t="inlineStr">
        <is>
          <t>2022</t>
        </is>
      </c>
      <c r="AM27" s="186" t="inlineStr">
        <is>
          <t>2021</t>
        </is>
      </c>
      <c r="AN27" s="186" t="inlineStr">
        <is>
          <t>2020</t>
        </is>
      </c>
      <c r="AP27" s="186" t="inlineStr">
        <is>
          <t>MOIS</t>
        </is>
      </c>
      <c r="AQ27" s="186" t="inlineStr">
        <is>
          <t>2025</t>
        </is>
      </c>
      <c r="AR27" s="186" t="inlineStr">
        <is>
          <t>2024</t>
        </is>
      </c>
      <c r="AS27" s="186" t="inlineStr">
        <is>
          <t>2023</t>
        </is>
      </c>
      <c r="AT27" s="186" t="inlineStr">
        <is>
          <t>2022</t>
        </is>
      </c>
      <c r="AU27" s="186" t="inlineStr">
        <is>
          <t>2021</t>
        </is>
      </c>
      <c r="AV27" s="186" t="inlineStr">
        <is>
          <t>2020</t>
        </is>
      </c>
      <c r="AX27" s="186" t="inlineStr">
        <is>
          <t>MOIS</t>
        </is>
      </c>
      <c r="AY27" s="186" t="inlineStr">
        <is>
          <t>2025</t>
        </is>
      </c>
      <c r="AZ27" s="186" t="inlineStr">
        <is>
          <t>2024</t>
        </is>
      </c>
      <c r="BA27" s="186" t="inlineStr">
        <is>
          <t>2023</t>
        </is>
      </c>
      <c r="BB27" s="186" t="inlineStr">
        <is>
          <t>2022</t>
        </is>
      </c>
      <c r="BC27" s="186" t="inlineStr">
        <is>
          <t>2021</t>
        </is>
      </c>
      <c r="BD27" s="186" t="inlineStr">
        <is>
          <t>2020</t>
        </is>
      </c>
      <c r="BE27" s="187" t="n"/>
      <c r="BF27" s="186" t="inlineStr">
        <is>
          <t>MOIS</t>
        </is>
      </c>
      <c r="BG27" s="186" t="inlineStr">
        <is>
          <t>2025</t>
        </is>
      </c>
      <c r="BH27" s="186" t="inlineStr">
        <is>
          <t>2024</t>
        </is>
      </c>
      <c r="BI27" s="186" t="inlineStr">
        <is>
          <t>2023</t>
        </is>
      </c>
      <c r="BJ27" s="186" t="inlineStr">
        <is>
          <t>2022</t>
        </is>
      </c>
      <c r="BK27" s="186" t="inlineStr">
        <is>
          <t>2021</t>
        </is>
      </c>
      <c r="BL27" s="186" t="inlineStr">
        <is>
          <t>2020</t>
        </is>
      </c>
      <c r="BM27" s="186" t="n"/>
      <c r="BN27" s="186" t="inlineStr">
        <is>
          <t>MOIS</t>
        </is>
      </c>
      <c r="BO27" s="187" t="inlineStr">
        <is>
          <t>2025</t>
        </is>
      </c>
      <c r="BP27" s="187" t="inlineStr">
        <is>
          <t>2024</t>
        </is>
      </c>
      <c r="BQ27" s="187" t="inlineStr">
        <is>
          <t>2023</t>
        </is>
      </c>
      <c r="BR27" s="187" t="inlineStr">
        <is>
          <t>2022</t>
        </is>
      </c>
      <c r="BS27" s="187" t="inlineStr">
        <is>
          <t>2021</t>
        </is>
      </c>
      <c r="BT27" s="187" t="inlineStr">
        <is>
          <t>2020</t>
        </is>
      </c>
      <c r="BV27" s="186" t="inlineStr">
        <is>
          <t>MOIS</t>
        </is>
      </c>
      <c r="BW27" s="187" t="inlineStr">
        <is>
          <t>2025</t>
        </is>
      </c>
      <c r="BX27" s="187" t="inlineStr">
        <is>
          <t>2024</t>
        </is>
      </c>
      <c r="BY27" s="187" t="inlineStr">
        <is>
          <t>2023</t>
        </is>
      </c>
      <c r="BZ27" s="187" t="inlineStr">
        <is>
          <t>2022</t>
        </is>
      </c>
      <c r="CA27" s="187" t="inlineStr">
        <is>
          <t>2021</t>
        </is>
      </c>
      <c r="CB27" s="187" t="inlineStr">
        <is>
          <t>2020</t>
        </is>
      </c>
      <c r="CC27" s="187" t="n"/>
      <c r="CD27" s="186" t="inlineStr">
        <is>
          <t>MOIS</t>
        </is>
      </c>
      <c r="CE27" s="187" t="inlineStr">
        <is>
          <t>2025</t>
        </is>
      </c>
      <c r="CF27" s="187" t="inlineStr">
        <is>
          <t>2024</t>
        </is>
      </c>
      <c r="CG27" s="187" t="inlineStr">
        <is>
          <t>2023</t>
        </is>
      </c>
      <c r="CH27" s="187" t="inlineStr">
        <is>
          <t>2022</t>
        </is>
      </c>
      <c r="CI27" s="187" t="inlineStr">
        <is>
          <t>2021</t>
        </is>
      </c>
      <c r="CJ27" s="187" t="inlineStr">
        <is>
          <t>2020</t>
        </is>
      </c>
      <c r="CL27" s="186" t="inlineStr">
        <is>
          <t>MOIS</t>
        </is>
      </c>
      <c r="CM27" s="187" t="inlineStr">
        <is>
          <t>2025</t>
        </is>
      </c>
      <c r="CN27" s="187" t="inlineStr">
        <is>
          <t>2024</t>
        </is>
      </c>
      <c r="CO27" s="187" t="inlineStr">
        <is>
          <t>2023</t>
        </is>
      </c>
      <c r="CP27" s="187" t="inlineStr">
        <is>
          <t>2022</t>
        </is>
      </c>
      <c r="CQ27" s="187" t="inlineStr">
        <is>
          <t>2021</t>
        </is>
      </c>
      <c r="CR27" s="187" t="inlineStr">
        <is>
          <t>2020</t>
        </is>
      </c>
      <c r="CT27" s="186" t="inlineStr">
        <is>
          <t>MOIS</t>
        </is>
      </c>
      <c r="CU27" s="187" t="inlineStr">
        <is>
          <t>2025</t>
        </is>
      </c>
      <c r="CV27" s="187" t="inlineStr">
        <is>
          <t>2024</t>
        </is>
      </c>
      <c r="CW27" s="187" t="inlineStr">
        <is>
          <t>2023</t>
        </is>
      </c>
      <c r="CX27" s="187" t="inlineStr">
        <is>
          <t>2022</t>
        </is>
      </c>
      <c r="CY27" s="187" t="inlineStr">
        <is>
          <t>2021</t>
        </is>
      </c>
      <c r="CZ27" s="187" t="inlineStr">
        <is>
          <t>2020</t>
        </is>
      </c>
      <c r="DB27" s="186" t="inlineStr">
        <is>
          <t>MOIS</t>
        </is>
      </c>
      <c r="DC27" s="187" t="inlineStr">
        <is>
          <t>2025</t>
        </is>
      </c>
      <c r="DD27" s="187" t="inlineStr">
        <is>
          <t>2024</t>
        </is>
      </c>
      <c r="DE27" s="187" t="inlineStr">
        <is>
          <t>2023</t>
        </is>
      </c>
      <c r="DF27" s="187" t="inlineStr">
        <is>
          <t>2022</t>
        </is>
      </c>
      <c r="DG27" s="187" t="inlineStr">
        <is>
          <t>2021</t>
        </is>
      </c>
      <c r="DH27" s="187" t="inlineStr">
        <is>
          <t>2020</t>
        </is>
      </c>
      <c r="DI27" s="187" t="n"/>
      <c r="DJ27" s="186" t="inlineStr">
        <is>
          <t>MOIS</t>
        </is>
      </c>
      <c r="DK27" s="187" t="inlineStr">
        <is>
          <t>2025</t>
        </is>
      </c>
      <c r="DL27" s="187" t="inlineStr">
        <is>
          <t>2024</t>
        </is>
      </c>
      <c r="DM27" s="187" t="inlineStr">
        <is>
          <t>2023</t>
        </is>
      </c>
      <c r="DN27" s="187" t="inlineStr">
        <is>
          <t>2022</t>
        </is>
      </c>
      <c r="DO27" s="187" t="inlineStr">
        <is>
          <t>2021</t>
        </is>
      </c>
      <c r="DP27" s="187" t="inlineStr">
        <is>
          <t>2020</t>
        </is>
      </c>
      <c r="DR27" s="186" t="inlineStr">
        <is>
          <t>MOIS</t>
        </is>
      </c>
      <c r="DS27" s="187" t="inlineStr">
        <is>
          <t>2025</t>
        </is>
      </c>
      <c r="DT27" s="187" t="inlineStr">
        <is>
          <t>2024</t>
        </is>
      </c>
      <c r="DU27" s="187" t="inlineStr">
        <is>
          <t>2023</t>
        </is>
      </c>
      <c r="DV27" s="187" t="inlineStr">
        <is>
          <t>2022</t>
        </is>
      </c>
      <c r="DW27" s="187" t="inlineStr">
        <is>
          <t>2021</t>
        </is>
      </c>
      <c r="DX27" s="187" t="inlineStr">
        <is>
          <t>2020</t>
        </is>
      </c>
      <c r="DZ27" s="186" t="inlineStr">
        <is>
          <t>MOIS</t>
        </is>
      </c>
      <c r="EA27" s="187" t="inlineStr">
        <is>
          <t>2025</t>
        </is>
      </c>
      <c r="EB27" s="187" t="inlineStr">
        <is>
          <t>2024</t>
        </is>
      </c>
      <c r="EC27" s="187" t="inlineStr">
        <is>
          <t>2023</t>
        </is>
      </c>
      <c r="ED27" s="187" t="inlineStr">
        <is>
          <t>2022</t>
        </is>
      </c>
      <c r="EE27" s="187" t="inlineStr">
        <is>
          <t>2021</t>
        </is>
      </c>
      <c r="EF27" s="187" t="inlineStr">
        <is>
          <t>2020</t>
        </is>
      </c>
    </row>
    <row r="28">
      <c r="B28" s="354" t="inlineStr">
        <is>
          <t>JANVIER</t>
        </is>
      </c>
      <c r="C28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f>
        <v/>
      </c>
      <c r="D28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28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28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28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28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28" s="258" t="n"/>
      <c r="J28" s="354" t="inlineStr">
        <is>
          <t>JANVIER</t>
        </is>
      </c>
      <c r="K28" s="131" t="n">
        <v>-1132</v>
      </c>
      <c r="L28" s="258" t="n">
        <v>-712</v>
      </c>
      <c r="M28" s="258" t="n">
        <v>23975</v>
      </c>
      <c r="N28" s="258" t="n">
        <v>46024</v>
      </c>
      <c r="O28" s="258" t="n">
        <v>16913</v>
      </c>
      <c r="P28" s="258" t="n">
        <v>44760</v>
      </c>
      <c r="R28" s="354" t="inlineStr">
        <is>
          <t>JANVIER</t>
        </is>
      </c>
      <c r="S28" s="131" t="n">
        <v>-7163</v>
      </c>
      <c r="T28" s="258" t="n">
        <v>-19109</v>
      </c>
      <c r="U28" s="258" t="n">
        <v>-3666</v>
      </c>
      <c r="V28" s="258" t="n">
        <v>8248</v>
      </c>
      <c r="W28" s="258" t="n">
        <v>3667</v>
      </c>
      <c r="X28" s="258" t="n">
        <v>849</v>
      </c>
      <c r="Z28" s="354" t="inlineStr">
        <is>
          <t>JANVIER</t>
        </is>
      </c>
      <c r="AA28" s="131" t="n">
        <v>-1610</v>
      </c>
      <c r="AB28" s="258" t="n">
        <v>-15265</v>
      </c>
      <c r="AC28" s="258" t="n">
        <v>9115</v>
      </c>
      <c r="AD28" s="258" t="n">
        <v>23186</v>
      </c>
      <c r="AE28" s="258" t="n">
        <v>13549</v>
      </c>
      <c r="AF28" s="258" t="n">
        <v>26453</v>
      </c>
      <c r="AH28" s="354" t="inlineStr">
        <is>
          <t>JANVIER</t>
        </is>
      </c>
      <c r="AI28" s="131" t="n"/>
      <c r="AJ28" s="258" t="n">
        <v>-38</v>
      </c>
      <c r="AK28" s="258" t="n">
        <v>13490</v>
      </c>
      <c r="AL28" s="258" t="n">
        <v>56972</v>
      </c>
      <c r="AM28" s="258" t="n">
        <v>10196</v>
      </c>
      <c r="AN28" s="258" t="n">
        <v>15987</v>
      </c>
      <c r="AP28" s="354" t="inlineStr">
        <is>
          <t>JANVIER</t>
        </is>
      </c>
      <c r="AQ28" s="131" t="n">
        <v>13000</v>
      </c>
      <c r="AR28" s="258" t="n">
        <v>7484</v>
      </c>
      <c r="AS28" s="258" t="n">
        <v>31439</v>
      </c>
      <c r="AT28" s="258" t="n">
        <v>33738</v>
      </c>
      <c r="AU28" s="258" t="n">
        <v>-32996</v>
      </c>
      <c r="AV28" s="258" t="n"/>
      <c r="AX28" s="354" t="inlineStr">
        <is>
          <t>JANVIER</t>
        </is>
      </c>
      <c r="AY28" s="131" t="n"/>
      <c r="AZ28" s="258" t="n">
        <v>-2717</v>
      </c>
      <c r="BA28" s="258" t="n">
        <v>-1603</v>
      </c>
      <c r="BB28" s="258" t="n">
        <v>3547</v>
      </c>
      <c r="BC28" s="258" t="n"/>
      <c r="BD28" s="258" t="n"/>
      <c r="BE28" s="258" t="n"/>
      <c r="BF28" s="354" t="inlineStr">
        <is>
          <t>JANVIER</t>
        </is>
      </c>
      <c r="BG28" s="131" t="n">
        <v>-1084.6</v>
      </c>
      <c r="BH28" s="258" t="n">
        <v>5046</v>
      </c>
      <c r="BI28" s="258" t="n">
        <v>8987</v>
      </c>
      <c r="BJ28" s="258" t="n"/>
      <c r="BK28" s="258" t="n"/>
      <c r="BL28" s="258" t="n"/>
      <c r="BM28" s="258" t="n"/>
      <c r="BN28" s="354" t="inlineStr">
        <is>
          <t>JANVIER</t>
        </is>
      </c>
      <c r="BO28" s="131" t="n">
        <v>9729</v>
      </c>
      <c r="BP28" s="258" t="n">
        <v>15004</v>
      </c>
      <c r="BQ28" s="258" t="n">
        <v>3769</v>
      </c>
      <c r="BR28" s="258" t="n">
        <v>28006</v>
      </c>
      <c r="BS28" s="258" t="n">
        <v>5213</v>
      </c>
      <c r="BT28" s="258" t="n">
        <v>39095</v>
      </c>
      <c r="BV28" s="354" t="inlineStr">
        <is>
          <t>JANVIER</t>
        </is>
      </c>
      <c r="BW28" s="131" t="n">
        <v>-4936</v>
      </c>
      <c r="BX28" s="258" t="n">
        <v>-16140</v>
      </c>
      <c r="BY28" s="258" t="n">
        <v>-5675</v>
      </c>
      <c r="BZ28" s="258" t="n">
        <v>17435</v>
      </c>
      <c r="CA28" s="258" t="n">
        <v>4308</v>
      </c>
      <c r="CB28" s="258" t="n">
        <v>6276</v>
      </c>
      <c r="CC28" s="258" t="n"/>
      <c r="CD28" s="354" t="inlineStr">
        <is>
          <t>JANVIER</t>
        </is>
      </c>
      <c r="CE28" s="131" t="n">
        <v>-16856</v>
      </c>
      <c r="CF28" s="258" t="n">
        <v>-3688</v>
      </c>
      <c r="CG28" s="258" t="n">
        <v>-10768</v>
      </c>
      <c r="CH28" s="258" t="n">
        <v>5114</v>
      </c>
      <c r="CI28" s="258" t="n">
        <v>-33182</v>
      </c>
      <c r="CJ28" s="258" t="n">
        <v>4894</v>
      </c>
      <c r="CL28" s="354" t="inlineStr">
        <is>
          <t>JANVIER</t>
        </is>
      </c>
      <c r="CM28" s="131" t="n">
        <v>8362</v>
      </c>
      <c r="CN28" s="258" t="n">
        <v>-24555</v>
      </c>
      <c r="CO28" s="258" t="n">
        <v>42952</v>
      </c>
      <c r="CP28" s="258" t="n">
        <v>73888</v>
      </c>
      <c r="CQ28" s="258" t="n">
        <v>26914</v>
      </c>
      <c r="CR28" s="258" t="n">
        <v>59097</v>
      </c>
      <c r="CT28" s="354" t="inlineStr">
        <is>
          <t>JANVIER</t>
        </is>
      </c>
      <c r="CU28" s="131" t="n">
        <v>17703.31</v>
      </c>
      <c r="CV28" s="258" t="n">
        <v>-2689</v>
      </c>
      <c r="CW28" s="258" t="n"/>
      <c r="CX28" s="258" t="n"/>
      <c r="CY28" s="258" t="n"/>
      <c r="CZ28" s="258" t="n"/>
      <c r="DB28" s="354" t="inlineStr">
        <is>
          <t>JANVIER</t>
        </is>
      </c>
      <c r="DC28" s="131" t="n">
        <v>45323.09</v>
      </c>
      <c r="DD28" s="258" t="n">
        <v>22322</v>
      </c>
      <c r="DE28" s="258" t="n"/>
      <c r="DF28" s="258" t="n"/>
      <c r="DG28" s="258" t="n"/>
      <c r="DH28" s="258" t="n"/>
      <c r="DI28" s="258" t="n"/>
      <c r="DJ28" s="354" t="inlineStr">
        <is>
          <t>JANVIER</t>
        </is>
      </c>
      <c r="DK28" s="131" t="n">
        <v>-2380</v>
      </c>
      <c r="DL28" s="258" t="n">
        <v>-26085</v>
      </c>
      <c r="DM28" s="258" t="n"/>
      <c r="DN28" s="258" t="n"/>
      <c r="DO28" s="258" t="n"/>
      <c r="DP28" s="258" t="n"/>
      <c r="DR28" s="354" t="inlineStr">
        <is>
          <t>01</t>
        </is>
      </c>
      <c r="DS28" s="131" t="n">
        <v>5587.81</v>
      </c>
      <c r="DT28" s="258" t="n">
        <v>-14729</v>
      </c>
      <c r="DU28" s="258" t="n"/>
      <c r="DV28" s="258" t="n"/>
      <c r="DW28" s="258" t="n"/>
      <c r="DX28" s="258" t="n"/>
      <c r="DZ28" s="354" t="inlineStr">
        <is>
          <t>01</t>
        </is>
      </c>
      <c r="EA28" s="131" t="n">
        <v>-13966.86</v>
      </c>
      <c r="EB28" s="258" t="n"/>
      <c r="EC28" s="258" t="n"/>
      <c r="ED28" s="258" t="n"/>
      <c r="EE28" s="258" t="n"/>
      <c r="EF28" s="258" t="n"/>
    </row>
    <row r="29">
      <c r="B29" s="354" t="inlineStr">
        <is>
          <t>FÉVRIER</t>
        </is>
      </c>
      <c r="C29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f>
        <v/>
      </c>
      <c r="D29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29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29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29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29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29" s="258" t="n"/>
      <c r="J29" s="354" t="inlineStr">
        <is>
          <t>FÉVRIER</t>
        </is>
      </c>
      <c r="K29" s="131" t="n"/>
      <c r="L29" s="258" t="n">
        <v>-6231.87</v>
      </c>
      <c r="M29" s="258" t="n">
        <v>67887</v>
      </c>
      <c r="N29" s="258" t="n">
        <v>101039</v>
      </c>
      <c r="O29" s="258" t="n">
        <v>11814</v>
      </c>
      <c r="P29" s="258" t="n">
        <v>100201</v>
      </c>
      <c r="R29" s="354" t="inlineStr">
        <is>
          <t>FÉVRIER</t>
        </is>
      </c>
      <c r="S29" s="131" t="n"/>
      <c r="T29" s="258" t="n">
        <v>-35060.57</v>
      </c>
      <c r="U29" s="258" t="n">
        <v>-4234</v>
      </c>
      <c r="V29" s="258" t="n">
        <v>4850</v>
      </c>
      <c r="W29" s="258" t="n">
        <v>-6285</v>
      </c>
      <c r="X29" s="258" t="n">
        <v>3758</v>
      </c>
      <c r="Z29" s="354" t="inlineStr">
        <is>
          <t>FÉVRIER</t>
        </is>
      </c>
      <c r="AA29" s="131" t="n"/>
      <c r="AB29" s="258" t="n">
        <v>-4249.6</v>
      </c>
      <c r="AC29" s="258" t="n">
        <v>12253</v>
      </c>
      <c r="AD29" s="258" t="n">
        <v>43992</v>
      </c>
      <c r="AE29" s="258" t="n">
        <v>6924</v>
      </c>
      <c r="AF29" s="258" t="n">
        <v>62650</v>
      </c>
      <c r="AH29" s="354" t="inlineStr">
        <is>
          <t>FÉVRIER</t>
        </is>
      </c>
      <c r="AI29" s="131" t="n"/>
      <c r="AJ29" s="258" t="n">
        <v>-20851.76</v>
      </c>
      <c r="AK29" s="258" t="n">
        <v>24592</v>
      </c>
      <c r="AL29" s="258" t="n">
        <v>93277</v>
      </c>
      <c r="AM29" s="258" t="n">
        <v>6006</v>
      </c>
      <c r="AN29" s="258" t="n">
        <v>52183</v>
      </c>
      <c r="AP29" s="354" t="inlineStr">
        <is>
          <t>FÉVRIER</t>
        </is>
      </c>
      <c r="AQ29" s="131" t="n"/>
      <c r="AR29" s="258" t="n">
        <v>24141.98</v>
      </c>
      <c r="AS29" s="258" t="n">
        <v>57917</v>
      </c>
      <c r="AT29" s="258" t="n">
        <v>67773</v>
      </c>
      <c r="AU29" s="258" t="n">
        <v>-33064</v>
      </c>
      <c r="AV29" s="258" t="n"/>
      <c r="AX29" s="354" t="inlineStr">
        <is>
          <t>FÉVRIER</t>
        </is>
      </c>
      <c r="AY29" s="131" t="n"/>
      <c r="AZ29" s="258" t="n">
        <v>-12637.72</v>
      </c>
      <c r="BA29" s="258" t="n">
        <v>-872</v>
      </c>
      <c r="BB29" s="258" t="n">
        <v>-2880</v>
      </c>
      <c r="BC29" s="258" t="n"/>
      <c r="BD29" s="258" t="n"/>
      <c r="BE29" s="258" t="n"/>
      <c r="BF29" s="354" t="inlineStr">
        <is>
          <t>FÉVRIER</t>
        </is>
      </c>
      <c r="BG29" s="131" t="n"/>
      <c r="BH29" s="258" t="n">
        <v>14336.28</v>
      </c>
      <c r="BI29" s="258" t="n">
        <v>20096</v>
      </c>
      <c r="BJ29" s="258" t="n"/>
      <c r="BK29" s="258" t="n"/>
      <c r="BL29" s="258" t="n"/>
      <c r="BM29" s="258" t="n"/>
      <c r="BN29" s="354" t="inlineStr">
        <is>
          <t>FÉVRIER</t>
        </is>
      </c>
      <c r="BO29" s="131" t="n"/>
      <c r="BP29" s="258" t="n">
        <v>27892.93</v>
      </c>
      <c r="BQ29" s="258" t="n">
        <v>29239</v>
      </c>
      <c r="BR29" s="258" t="n">
        <v>67319</v>
      </c>
      <c r="BS29" s="258" t="n">
        <v>6030</v>
      </c>
      <c r="BT29" s="258" t="n">
        <v>76806</v>
      </c>
      <c r="BV29" s="354" t="inlineStr">
        <is>
          <t>FÉVRIER</t>
        </is>
      </c>
      <c r="BW29" s="131" t="n"/>
      <c r="BX29" s="258" t="n">
        <v>-28326.61</v>
      </c>
      <c r="BY29" s="258" t="n">
        <v>-1194</v>
      </c>
      <c r="BZ29" s="258" t="n">
        <v>60054</v>
      </c>
      <c r="CA29" s="258" t="n">
        <v>14380</v>
      </c>
      <c r="CB29" s="258" t="n">
        <v>13896</v>
      </c>
      <c r="CC29" s="258" t="n"/>
      <c r="CD29" s="354" t="inlineStr">
        <is>
          <t>FÉVRIER</t>
        </is>
      </c>
      <c r="CE29" s="131" t="n"/>
      <c r="CF29" s="258" t="n">
        <v>-12920</v>
      </c>
      <c r="CG29" s="258" t="n">
        <v>-5685</v>
      </c>
      <c r="CH29" s="258" t="n">
        <v>18473</v>
      </c>
      <c r="CI29" s="258" t="n">
        <v>-36557</v>
      </c>
      <c r="CJ29" s="258" t="n">
        <v>10723</v>
      </c>
      <c r="CL29" s="354" t="inlineStr">
        <is>
          <t>FÉVRIER</t>
        </is>
      </c>
      <c r="CM29" s="131" t="n"/>
      <c r="CN29" s="258" t="n">
        <v>-48335.86</v>
      </c>
      <c r="CO29" s="258" t="n">
        <v>80216</v>
      </c>
      <c r="CP29" s="258" t="n">
        <v>137805</v>
      </c>
      <c r="CQ29" s="258" t="n">
        <v>36691</v>
      </c>
      <c r="CR29" s="258" t="n">
        <v>117125</v>
      </c>
      <c r="CT29" s="354" t="inlineStr">
        <is>
          <t>FÉVRIER</t>
        </is>
      </c>
      <c r="CU29" s="131" t="n"/>
      <c r="CV29" s="258" t="n">
        <v>11894.4</v>
      </c>
      <c r="CW29" s="258" t="n"/>
      <c r="CX29" s="258" t="n"/>
      <c r="CY29" s="258" t="n"/>
      <c r="CZ29" s="258" t="n"/>
      <c r="DB29" s="354" t="inlineStr">
        <is>
          <t>FÉVRIER</t>
        </is>
      </c>
      <c r="DC29" s="131" t="n"/>
      <c r="DD29" s="258" t="n">
        <v>74127.78</v>
      </c>
      <c r="DE29" s="258" t="n"/>
      <c r="DF29" s="258" t="n"/>
      <c r="DG29" s="258" t="n"/>
      <c r="DH29" s="258" t="n"/>
      <c r="DI29" s="258" t="n"/>
      <c r="DJ29" s="354" t="inlineStr">
        <is>
          <t>FÉVRIER</t>
        </is>
      </c>
      <c r="DK29" s="131" t="n"/>
      <c r="DL29" s="258" t="n">
        <v>-10669.27</v>
      </c>
      <c r="DM29" s="258" t="n"/>
      <c r="DN29" s="258" t="n"/>
      <c r="DO29" s="258" t="n"/>
      <c r="DP29" s="258" t="n"/>
      <c r="DR29" s="354" t="inlineStr">
        <is>
          <t>02</t>
        </is>
      </c>
      <c r="DS29" s="131" t="n"/>
      <c r="DT29" s="258" t="n">
        <v>1313.96</v>
      </c>
      <c r="DU29" s="258" t="n"/>
      <c r="DV29" s="258" t="n"/>
      <c r="DW29" s="258" t="n"/>
      <c r="DX29" s="258" t="n"/>
      <c r="DZ29" s="354" t="inlineStr">
        <is>
          <t>02</t>
        </is>
      </c>
      <c r="EA29" s="131" t="n"/>
      <c r="EB29" s="258" t="n"/>
      <c r="EC29" s="258" t="n"/>
      <c r="ED29" s="258" t="n"/>
      <c r="EE29" s="258" t="n"/>
      <c r="EF29" s="258" t="n"/>
    </row>
    <row r="30">
      <c r="B30" s="354" t="inlineStr">
        <is>
          <t>MARS</t>
        </is>
      </c>
      <c r="C30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f>
        <v/>
      </c>
      <c r="D30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30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30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30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30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30" s="258" t="n"/>
      <c r="J30" s="354" t="inlineStr">
        <is>
          <t>MARS</t>
        </is>
      </c>
      <c r="K30" s="131" t="n"/>
      <c r="L30" s="258" t="n">
        <v>13716.79</v>
      </c>
      <c r="M30" s="258" t="n">
        <v>103869</v>
      </c>
      <c r="N30" s="258" t="n">
        <v>158060</v>
      </c>
      <c r="O30" s="258" t="n">
        <v>30502</v>
      </c>
      <c r="P30" s="258" t="n">
        <v>61145</v>
      </c>
      <c r="R30" s="354" t="inlineStr">
        <is>
          <t>MARS</t>
        </is>
      </c>
      <c r="S30" s="131" t="n"/>
      <c r="T30" s="258" t="n">
        <v>-35766.99</v>
      </c>
      <c r="U30" s="258" t="n">
        <v>-16687</v>
      </c>
      <c r="V30" s="258" t="n">
        <v>-2482</v>
      </c>
      <c r="W30" s="258" t="n">
        <v>-2962</v>
      </c>
      <c r="X30" s="258" t="n">
        <v>-33161</v>
      </c>
      <c r="Z30" s="354" t="inlineStr">
        <is>
          <t>MARS</t>
        </is>
      </c>
      <c r="AA30" s="131" t="n"/>
      <c r="AB30" s="258" t="n">
        <v>20812.85</v>
      </c>
      <c r="AC30" s="258" t="n">
        <v>35556</v>
      </c>
      <c r="AD30" s="258" t="n">
        <v>70076</v>
      </c>
      <c r="AE30" s="258" t="n">
        <v>1160</v>
      </c>
      <c r="AF30" s="258" t="n">
        <v>30194</v>
      </c>
      <c r="AH30" s="354" t="inlineStr">
        <is>
          <t>MARS</t>
        </is>
      </c>
      <c r="AI30" s="131" t="n"/>
      <c r="AJ30" s="258" t="n">
        <v>-11859.55</v>
      </c>
      <c r="AK30" s="258" t="n">
        <v>36263</v>
      </c>
      <c r="AL30" s="258" t="n">
        <v>131225</v>
      </c>
      <c r="AM30" s="258" t="n">
        <v>15001</v>
      </c>
      <c r="AN30" s="258" t="n">
        <v>-50052</v>
      </c>
      <c r="AP30" s="354" t="inlineStr">
        <is>
          <t>MARS</t>
        </is>
      </c>
      <c r="AQ30" s="131" t="n"/>
      <c r="AR30" s="258" t="n">
        <v>64414.53</v>
      </c>
      <c r="AS30" s="258" t="n">
        <v>81129</v>
      </c>
      <c r="AT30" s="258" t="n">
        <v>90907</v>
      </c>
      <c r="AU30" s="258" t="n">
        <v>-54313</v>
      </c>
      <c r="AV30" s="258" t="n"/>
      <c r="AX30" s="354" t="inlineStr">
        <is>
          <t>MARS</t>
        </is>
      </c>
      <c r="AY30" s="131" t="n"/>
      <c r="AZ30" s="258" t="n">
        <v>-854.21</v>
      </c>
      <c r="BA30" s="258" t="n">
        <v>11965</v>
      </c>
      <c r="BB30" s="258" t="n">
        <v>-1880</v>
      </c>
      <c r="BC30" s="258" t="n"/>
      <c r="BD30" s="258" t="n"/>
      <c r="BE30" s="258" t="n"/>
      <c r="BF30" s="354" t="inlineStr">
        <is>
          <t>MARS</t>
        </is>
      </c>
      <c r="BG30" s="131" t="n"/>
      <c r="BH30" s="258" t="n">
        <v>35717.69</v>
      </c>
      <c r="BI30" s="258" t="n">
        <v>54069</v>
      </c>
      <c r="BJ30" s="258" t="n"/>
      <c r="BK30" s="258" t="n"/>
      <c r="BL30" s="258" t="n"/>
      <c r="BM30" s="258" t="n"/>
      <c r="BN30" s="354" t="inlineStr">
        <is>
          <t>MARS</t>
        </is>
      </c>
      <c r="BO30" s="131" t="n"/>
      <c r="BP30" s="258" t="n">
        <v>56948.45</v>
      </c>
      <c r="BQ30" s="258" t="n">
        <v>51165</v>
      </c>
      <c r="BR30" s="258" t="n">
        <v>105342</v>
      </c>
      <c r="BS30" s="258" t="n">
        <v>14070</v>
      </c>
      <c r="BT30" s="258" t="n">
        <v>46393</v>
      </c>
      <c r="BV30" s="354" t="inlineStr">
        <is>
          <t>MARS</t>
        </is>
      </c>
      <c r="BW30" s="131" t="n"/>
      <c r="BX30" s="258" t="n">
        <v>-29161.93</v>
      </c>
      <c r="BY30" s="258" t="n">
        <v>380</v>
      </c>
      <c r="BZ30" s="258" t="n">
        <v>65954</v>
      </c>
      <c r="CA30" s="258" t="n">
        <v>16383</v>
      </c>
      <c r="CB30" s="258" t="n">
        <v>-24361</v>
      </c>
      <c r="CC30" s="258" t="n"/>
      <c r="CD30" s="354" t="inlineStr">
        <is>
          <t>MARS</t>
        </is>
      </c>
      <c r="CE30" s="131" t="n"/>
      <c r="CF30" s="258" t="n">
        <v>-20431.96</v>
      </c>
      <c r="CG30" s="258" t="n">
        <v>-6011</v>
      </c>
      <c r="CH30" s="258" t="n">
        <v>15900</v>
      </c>
      <c r="CI30" s="258" t="n">
        <v>-26973</v>
      </c>
      <c r="CJ30" s="258" t="n">
        <v>-48486</v>
      </c>
      <c r="CL30" s="354" t="inlineStr">
        <is>
          <t>MARS</t>
        </is>
      </c>
      <c r="CM30" s="131" t="n"/>
      <c r="CN30" s="258" t="n">
        <v>-13178.22</v>
      </c>
      <c r="CO30" s="258" t="n">
        <v>129726</v>
      </c>
      <c r="CP30" s="258" t="n">
        <v>197479</v>
      </c>
      <c r="CQ30" s="258" t="n">
        <v>60905</v>
      </c>
      <c r="CR30" s="258" t="n">
        <v>88958</v>
      </c>
      <c r="CT30" s="354" t="inlineStr">
        <is>
          <t>MARS</t>
        </is>
      </c>
      <c r="CU30" s="131" t="n"/>
      <c r="CV30" s="258" t="n">
        <v>28737.48</v>
      </c>
      <c r="CW30" s="258" t="n"/>
      <c r="CX30" s="258" t="n"/>
      <c r="CY30" s="258" t="n"/>
      <c r="CZ30" s="258" t="n"/>
      <c r="DB30" s="354" t="inlineStr">
        <is>
          <t>MARS</t>
        </is>
      </c>
      <c r="DC30" s="131" t="n"/>
      <c r="DD30" s="258" t="n">
        <v>131915.01</v>
      </c>
      <c r="DE30" s="258" t="n"/>
      <c r="DF30" s="258" t="n"/>
      <c r="DG30" s="258" t="n"/>
      <c r="DH30" s="258" t="n"/>
      <c r="DI30" s="258" t="n"/>
      <c r="DJ30" s="354" t="inlineStr">
        <is>
          <t>MARS</t>
        </is>
      </c>
      <c r="DK30" s="131" t="n"/>
      <c r="DL30" s="258" t="n">
        <v>-10237.69</v>
      </c>
      <c r="DM30" s="258" t="n"/>
      <c r="DN30" s="258" t="n"/>
      <c r="DO30" s="258" t="n"/>
      <c r="DP30" s="258" t="n"/>
      <c r="DR30" s="354" t="inlineStr">
        <is>
          <t>03</t>
        </is>
      </c>
      <c r="DS30" s="131" t="n"/>
      <c r="DT30" s="258" t="n">
        <v>18072.92</v>
      </c>
      <c r="DU30" s="258" t="n"/>
      <c r="DV30" s="258" t="n"/>
      <c r="DW30" s="258" t="n"/>
      <c r="DX30" s="258" t="n"/>
      <c r="DZ30" s="354" t="inlineStr">
        <is>
          <t>03</t>
        </is>
      </c>
      <c r="EA30" s="131" t="n"/>
      <c r="EB30" s="258" t="n"/>
      <c r="EC30" s="258" t="n"/>
      <c r="ED30" s="258" t="n"/>
      <c r="EE30" s="258" t="n"/>
      <c r="EF30" s="258" t="n"/>
    </row>
    <row r="31">
      <c r="B31" s="354" t="inlineStr">
        <is>
          <t>AVRIL</t>
        </is>
      </c>
      <c r="C31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f>
        <v/>
      </c>
      <c r="D31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31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31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31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31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31" s="258" t="n"/>
      <c r="J31" s="354" t="inlineStr">
        <is>
          <t>AVRIL</t>
        </is>
      </c>
      <c r="K31" s="131" t="n"/>
      <c r="L31" s="258" t="n">
        <v>8637</v>
      </c>
      <c r="M31" s="258" t="n">
        <v>154285</v>
      </c>
      <c r="N31" s="258" t="n">
        <v>207667</v>
      </c>
      <c r="O31" s="258" t="n">
        <v>56722</v>
      </c>
      <c r="P31" s="258" t="n">
        <v>-28183</v>
      </c>
      <c r="R31" s="354" t="inlineStr">
        <is>
          <t>AVRIL</t>
        </is>
      </c>
      <c r="S31" s="131" t="n"/>
      <c r="T31" s="258" t="n">
        <v>-47885</v>
      </c>
      <c r="U31" s="258" t="n">
        <v>-6454</v>
      </c>
      <c r="V31" s="258" t="n">
        <v>9351</v>
      </c>
      <c r="W31" s="258" t="n">
        <v>-5834</v>
      </c>
      <c r="X31" s="258" t="n">
        <v>-102687</v>
      </c>
      <c r="Z31" s="354" t="inlineStr">
        <is>
          <t>AVRIL</t>
        </is>
      </c>
      <c r="AA31" s="131" t="n"/>
      <c r="AB31" s="258" t="n">
        <v>28222</v>
      </c>
      <c r="AC31" s="258" t="n">
        <v>52488</v>
      </c>
      <c r="AD31" s="258" t="n">
        <v>87295</v>
      </c>
      <c r="AE31" s="258" t="n">
        <v>15532</v>
      </c>
      <c r="AF31" s="258" t="n">
        <v>-31797</v>
      </c>
      <c r="AH31" s="354" t="inlineStr">
        <is>
          <t>AVRIL</t>
        </is>
      </c>
      <c r="AI31" s="131" t="n"/>
      <c r="AJ31" s="258" t="n">
        <v>-9521</v>
      </c>
      <c r="AK31" s="258" t="n">
        <v>56392</v>
      </c>
      <c r="AL31" s="258" t="n">
        <v>162884</v>
      </c>
      <c r="AM31" s="258" t="n">
        <v>35292</v>
      </c>
      <c r="AN31" s="258" t="n">
        <v>-150415</v>
      </c>
      <c r="AP31" s="354" t="inlineStr">
        <is>
          <t>AVRIL</t>
        </is>
      </c>
      <c r="AQ31" s="131" t="n"/>
      <c r="AR31" s="258" t="n">
        <v>75757</v>
      </c>
      <c r="AS31" s="258" t="n">
        <v>148258</v>
      </c>
      <c r="AT31" s="258" t="n">
        <v>121039</v>
      </c>
      <c r="AU31" s="258" t="n">
        <v>-82734</v>
      </c>
      <c r="AV31" s="258" t="n"/>
      <c r="AX31" s="354" t="inlineStr">
        <is>
          <t>AVRIL</t>
        </is>
      </c>
      <c r="AY31" s="131" t="n"/>
      <c r="AZ31" s="258" t="n">
        <v>-2766</v>
      </c>
      <c r="BA31" s="258" t="n">
        <v>23600</v>
      </c>
      <c r="BB31" s="258" t="n">
        <v>23398</v>
      </c>
      <c r="BC31" s="258" t="n"/>
      <c r="BD31" s="258" t="n"/>
      <c r="BE31" s="258" t="n"/>
      <c r="BF31" s="354" t="inlineStr">
        <is>
          <t>AVRIL</t>
        </is>
      </c>
      <c r="BG31" s="131" t="n"/>
      <c r="BH31" s="258" t="n">
        <v>51051</v>
      </c>
      <c r="BI31" s="258" t="n">
        <v>115474</v>
      </c>
      <c r="BJ31" s="258" t="n"/>
      <c r="BK31" s="258" t="n"/>
      <c r="BL31" s="258" t="n"/>
      <c r="BM31" s="258" t="n"/>
      <c r="BN31" s="354" t="inlineStr">
        <is>
          <t>AVRIL</t>
        </is>
      </c>
      <c r="BO31" s="131" t="n"/>
      <c r="BP31" s="258" t="n">
        <v>71783</v>
      </c>
      <c r="BQ31" s="258" t="n">
        <v>90675</v>
      </c>
      <c r="BR31" s="258" t="n">
        <v>127976</v>
      </c>
      <c r="BS31" s="258" t="n">
        <v>39419</v>
      </c>
      <c r="BT31" s="258" t="n">
        <v>76200</v>
      </c>
      <c r="BV31" s="354" t="inlineStr">
        <is>
          <t>AVRIL</t>
        </is>
      </c>
      <c r="BW31" s="131" t="n"/>
      <c r="BX31" s="258" t="n">
        <v>-36236</v>
      </c>
      <c r="BY31" s="258" t="n">
        <v>9682</v>
      </c>
      <c r="BZ31" s="258" t="n">
        <v>102439</v>
      </c>
      <c r="CA31" s="258" t="n">
        <v>19311</v>
      </c>
      <c r="CB31" s="258" t="n">
        <v>-78784</v>
      </c>
      <c r="CC31" s="258" t="n"/>
      <c r="CD31" s="354" t="inlineStr">
        <is>
          <t>AVRIL</t>
        </is>
      </c>
      <c r="CE31" s="131" t="n"/>
      <c r="CF31" s="258" t="n">
        <v>-27719</v>
      </c>
      <c r="CG31" s="258" t="n">
        <v>51016</v>
      </c>
      <c r="CH31" s="258" t="n">
        <v>20541</v>
      </c>
      <c r="CI31" s="258" t="n">
        <v>-27941</v>
      </c>
      <c r="CJ31" s="258" t="n">
        <v>-132774</v>
      </c>
      <c r="CL31" s="354" t="inlineStr">
        <is>
          <t>AVRIL</t>
        </is>
      </c>
      <c r="CM31" s="131" t="n"/>
      <c r="CN31" s="258" t="n">
        <v>389</v>
      </c>
      <c r="CO31" s="258" t="n">
        <v>207638</v>
      </c>
      <c r="CP31" s="258" t="n">
        <v>276237</v>
      </c>
      <c r="CQ31" s="258" t="n">
        <v>83608</v>
      </c>
      <c r="CR31" s="258" t="n">
        <v>119838</v>
      </c>
      <c r="CT31" s="354" t="inlineStr">
        <is>
          <t>AVRIL</t>
        </is>
      </c>
      <c r="CU31" s="131" t="n"/>
      <c r="CV31" s="258" t="n">
        <v>64889.31</v>
      </c>
      <c r="CW31" s="258" t="n"/>
      <c r="CX31" s="258" t="n"/>
      <c r="CY31" s="258" t="n"/>
      <c r="CZ31" s="258" t="n"/>
      <c r="DB31" s="354" t="inlineStr">
        <is>
          <t>AVRIL</t>
        </is>
      </c>
      <c r="DC31" s="131" t="n"/>
      <c r="DD31" s="258" t="n">
        <v>161950.73</v>
      </c>
      <c r="DE31" s="258" t="n"/>
      <c r="DF31" s="258" t="n"/>
      <c r="DG31" s="258" t="n"/>
      <c r="DH31" s="258" t="n"/>
      <c r="DI31" s="258" t="n"/>
      <c r="DJ31" s="354" t="inlineStr">
        <is>
          <t>AVRIL</t>
        </is>
      </c>
      <c r="DK31" s="131" t="n"/>
      <c r="DL31" s="258" t="n">
        <v>-21197.68</v>
      </c>
      <c r="DM31" s="258" t="n"/>
      <c r="DN31" s="258" t="n"/>
      <c r="DO31" s="258" t="n"/>
      <c r="DP31" s="258" t="n"/>
      <c r="DR31" s="354" t="inlineStr">
        <is>
          <t>04</t>
        </is>
      </c>
      <c r="DS31" s="131" t="n"/>
      <c r="DT31" s="258" t="n">
        <v>20067.64</v>
      </c>
      <c r="DU31" s="258" t="n"/>
      <c r="DV31" s="258" t="n"/>
      <c r="DW31" s="258" t="n"/>
      <c r="DX31" s="258" t="n"/>
      <c r="DZ31" s="354" t="inlineStr">
        <is>
          <t>04</t>
        </is>
      </c>
      <c r="EA31" s="131" t="n"/>
      <c r="EB31" s="258" t="n"/>
      <c r="EC31" s="258" t="n"/>
      <c r="ED31" s="258" t="n"/>
      <c r="EE31" s="258" t="n"/>
      <c r="EF31" s="258" t="n"/>
    </row>
    <row r="32">
      <c r="B32" s="354" t="inlineStr">
        <is>
          <t>MAI</t>
        </is>
      </c>
      <c r="C32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f>
        <v/>
      </c>
      <c r="D32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32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32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32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32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32" s="258" t="n"/>
      <c r="J32" s="354" t="inlineStr">
        <is>
          <t>MAI</t>
        </is>
      </c>
      <c r="K32" s="131" t="n"/>
      <c r="L32" s="258" t="n">
        <v>14614</v>
      </c>
      <c r="M32" s="258" t="n">
        <v>178575</v>
      </c>
      <c r="N32" s="258" t="n">
        <v>256777</v>
      </c>
      <c r="O32" s="258" t="n">
        <v>95026</v>
      </c>
      <c r="P32" s="258" t="n">
        <v>-52525</v>
      </c>
      <c r="R32" s="354" t="inlineStr">
        <is>
          <t>MAI</t>
        </is>
      </c>
      <c r="S32" s="131" t="n"/>
      <c r="T32" s="258" t="n">
        <v>-56218</v>
      </c>
      <c r="U32" s="258" t="n">
        <v>-17112</v>
      </c>
      <c r="V32" s="258" t="n">
        <v>5518</v>
      </c>
      <c r="W32" s="258" t="n">
        <v>920</v>
      </c>
      <c r="X32" s="258" t="n">
        <v>-166200</v>
      </c>
      <c r="Z32" s="354" t="inlineStr">
        <is>
          <t>MAI</t>
        </is>
      </c>
      <c r="AA32" s="131" t="n"/>
      <c r="AB32" s="258" t="n">
        <v>16936</v>
      </c>
      <c r="AC32" s="258" t="n">
        <v>35900</v>
      </c>
      <c r="AD32" s="258" t="n">
        <v>109368</v>
      </c>
      <c r="AE32" s="258" t="n">
        <v>30881</v>
      </c>
      <c r="AF32" s="258" t="n">
        <v>-56845</v>
      </c>
      <c r="AH32" s="354" t="inlineStr">
        <is>
          <t>MAI</t>
        </is>
      </c>
      <c r="AI32" s="131" t="n"/>
      <c r="AJ32" s="258" t="n">
        <v>-6918</v>
      </c>
      <c r="AK32" s="258" t="n">
        <v>67329</v>
      </c>
      <c r="AL32" s="258" t="n">
        <v>185975</v>
      </c>
      <c r="AM32" s="258" t="n">
        <v>74682</v>
      </c>
      <c r="AN32" s="258" t="n">
        <v>-201052</v>
      </c>
      <c r="AP32" s="354" t="inlineStr">
        <is>
          <t>MAI</t>
        </is>
      </c>
      <c r="AQ32" s="131" t="n"/>
      <c r="AR32" s="258" t="n">
        <v>83162</v>
      </c>
      <c r="AS32" s="258" t="n">
        <v>162621</v>
      </c>
      <c r="AT32" s="258" t="n">
        <v>132293</v>
      </c>
      <c r="AU32" s="258" t="n">
        <v>-32940</v>
      </c>
      <c r="AV32" s="258" t="n"/>
      <c r="AX32" s="354" t="inlineStr">
        <is>
          <t>MAI</t>
        </is>
      </c>
      <c r="AY32" s="131" t="n"/>
      <c r="AZ32" s="258" t="n">
        <v>-490</v>
      </c>
      <c r="BA32" s="258" t="n">
        <v>18899</v>
      </c>
      <c r="BB32" s="258" t="n">
        <v>34500</v>
      </c>
      <c r="BC32" s="258" t="n"/>
      <c r="BD32" s="258" t="n"/>
      <c r="BE32" s="258" t="n"/>
      <c r="BF32" s="354" t="inlineStr">
        <is>
          <t>MAI</t>
        </is>
      </c>
      <c r="BG32" s="131" t="n"/>
      <c r="BH32" s="258" t="n">
        <v>64672</v>
      </c>
      <c r="BI32" s="258" t="n">
        <v>150923</v>
      </c>
      <c r="BJ32" s="258" t="n"/>
      <c r="BK32" s="258" t="n"/>
      <c r="BL32" s="258" t="n"/>
      <c r="BM32" s="258" t="n"/>
      <c r="BN32" s="354" t="inlineStr">
        <is>
          <t>MAI</t>
        </is>
      </c>
      <c r="BO32" s="131" t="n"/>
      <c r="BP32" s="258" t="n">
        <v>89328</v>
      </c>
      <c r="BQ32" s="258" t="n">
        <v>92475</v>
      </c>
      <c r="BR32" s="258" t="n">
        <v>166692</v>
      </c>
      <c r="BS32" s="258" t="n">
        <v>76865</v>
      </c>
      <c r="BT32" s="258" t="n">
        <v>-44421</v>
      </c>
      <c r="BV32" s="354" t="inlineStr">
        <is>
          <t>MAI</t>
        </is>
      </c>
      <c r="BW32" s="131" t="n"/>
      <c r="BX32" s="258" t="n">
        <v>-45197</v>
      </c>
      <c r="BY32" s="258" t="n">
        <v>9766</v>
      </c>
      <c r="BZ32" s="258" t="n">
        <v>125878</v>
      </c>
      <c r="CA32" s="258" t="n">
        <v>54139</v>
      </c>
      <c r="CB32" s="258" t="n">
        <v>-114831</v>
      </c>
      <c r="CC32" s="258" t="n"/>
      <c r="CD32" s="354" t="inlineStr">
        <is>
          <t>MAI</t>
        </is>
      </c>
      <c r="CE32" s="131" t="n"/>
      <c r="CF32" s="258" t="n">
        <v>2230</v>
      </c>
      <c r="CG32" s="258" t="n">
        <v>138471</v>
      </c>
      <c r="CH32" s="258" t="n">
        <v>47833</v>
      </c>
      <c r="CI32" s="258" t="n">
        <v>15241</v>
      </c>
      <c r="CJ32" s="258" t="n">
        <v>-156721</v>
      </c>
      <c r="CL32" s="354" t="inlineStr">
        <is>
          <t>MAI</t>
        </is>
      </c>
      <c r="CM32" s="131" t="n"/>
      <c r="CN32" s="258" t="n">
        <v>12513</v>
      </c>
      <c r="CO32" s="258" t="n">
        <v>261488</v>
      </c>
      <c r="CP32" s="258" t="n">
        <v>338962</v>
      </c>
      <c r="CQ32" s="258" t="n">
        <v>125462</v>
      </c>
      <c r="CR32" s="258" t="n">
        <v>-44966</v>
      </c>
      <c r="CT32" s="354" t="inlineStr">
        <is>
          <t>MAI</t>
        </is>
      </c>
      <c r="CU32" s="131" t="n"/>
      <c r="CV32" s="258" t="n">
        <v>80082.03999999999</v>
      </c>
      <c r="CW32" s="258" t="n"/>
      <c r="CX32" s="258" t="n"/>
      <c r="CY32" s="258" t="n"/>
      <c r="CZ32" s="258" t="n"/>
      <c r="DB32" s="354" t="inlineStr">
        <is>
          <t>MAI</t>
        </is>
      </c>
      <c r="DC32" s="131" t="n"/>
      <c r="DD32" s="258" t="n">
        <v>207016.81</v>
      </c>
      <c r="DE32" s="258" t="n"/>
      <c r="DF32" s="258" t="n"/>
      <c r="DG32" s="258" t="n"/>
      <c r="DH32" s="258" t="n"/>
      <c r="DI32" s="258" t="n"/>
      <c r="DJ32" s="354" t="inlineStr">
        <is>
          <t>MAI</t>
        </is>
      </c>
      <c r="DK32" s="131" t="n"/>
      <c r="DL32" s="258" t="n">
        <v>-20326.45</v>
      </c>
      <c r="DM32" s="258" t="n"/>
      <c r="DN32" s="258" t="n"/>
      <c r="DO32" s="258" t="n"/>
      <c r="DP32" s="258" t="n"/>
      <c r="DR32" s="354" t="inlineStr">
        <is>
          <t>05</t>
        </is>
      </c>
      <c r="DS32" s="131" t="n"/>
      <c r="DT32" s="258" t="n">
        <v>27796</v>
      </c>
      <c r="DU32" s="258" t="n"/>
      <c r="DV32" s="258" t="n"/>
      <c r="DW32" s="258" t="n"/>
      <c r="DX32" s="258" t="n"/>
      <c r="DZ32" s="354" t="inlineStr">
        <is>
          <t>05</t>
        </is>
      </c>
      <c r="EA32" s="131" t="n"/>
      <c r="EB32" s="258" t="n"/>
      <c r="EC32" s="258" t="n"/>
      <c r="ED32" s="258" t="n"/>
      <c r="EE32" s="258" t="n"/>
      <c r="EF32" s="258" t="n"/>
    </row>
    <row r="33">
      <c r="B33" s="354" t="inlineStr">
        <is>
          <t>JUIN</t>
        </is>
      </c>
      <c r="C33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f>
        <v/>
      </c>
      <c r="D33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33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33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33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33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33" s="258" t="n"/>
      <c r="J33" s="354" t="inlineStr">
        <is>
          <t>JUIN</t>
        </is>
      </c>
      <c r="K33" s="131" t="n"/>
      <c r="L33" s="258" t="n">
        <v>21065</v>
      </c>
      <c r="M33" s="258" t="n">
        <v>197815</v>
      </c>
      <c r="N33" s="258" t="n">
        <v>303767</v>
      </c>
      <c r="O33" s="258" t="n">
        <v>131146</v>
      </c>
      <c r="P33" s="258" t="n">
        <v>-47186</v>
      </c>
      <c r="R33" s="354" t="inlineStr">
        <is>
          <t>JUIN</t>
        </is>
      </c>
      <c r="S33" s="131" t="n"/>
      <c r="T33" s="258" t="n">
        <v>-64527</v>
      </c>
      <c r="U33" s="258" t="n">
        <v>-17290</v>
      </c>
      <c r="V33" s="258" t="n">
        <v>-3641</v>
      </c>
      <c r="W33" s="258" t="n">
        <v>12648</v>
      </c>
      <c r="X33" s="258" t="n">
        <v>-175944</v>
      </c>
      <c r="Z33" s="354" t="inlineStr">
        <is>
          <t>JUIN</t>
        </is>
      </c>
      <c r="AA33" s="131" t="n"/>
      <c r="AB33" s="258" t="n">
        <v>23815</v>
      </c>
      <c r="AC33" s="258" t="n">
        <v>35945</v>
      </c>
      <c r="AD33" s="258" t="n">
        <v>116191</v>
      </c>
      <c r="AE33" s="258" t="n">
        <v>47117</v>
      </c>
      <c r="AF33" s="258" t="n">
        <v>-78246</v>
      </c>
      <c r="AH33" s="354" t="inlineStr">
        <is>
          <t>JUIN</t>
        </is>
      </c>
      <c r="AI33" s="131" t="n"/>
      <c r="AJ33" s="258" t="n">
        <v>56673</v>
      </c>
      <c r="AK33" s="258" t="n">
        <v>74431</v>
      </c>
      <c r="AL33" s="258" t="n">
        <v>212402</v>
      </c>
      <c r="AM33" s="258" t="n">
        <v>104874</v>
      </c>
      <c r="AN33" s="258" t="n">
        <v>-195938</v>
      </c>
      <c r="AP33" s="354" t="inlineStr">
        <is>
          <t>JUIN</t>
        </is>
      </c>
      <c r="AQ33" s="131" t="n"/>
      <c r="AR33" s="258" t="n">
        <v>102040</v>
      </c>
      <c r="AS33" s="258" t="n">
        <v>194534</v>
      </c>
      <c r="AT33" s="258" t="n">
        <v>166465</v>
      </c>
      <c r="AU33" s="258" t="n">
        <v>-78512</v>
      </c>
      <c r="AV33" s="258" t="n"/>
      <c r="AX33" s="354" t="inlineStr">
        <is>
          <t>JUIN</t>
        </is>
      </c>
      <c r="AY33" s="131" t="n"/>
      <c r="AZ33" s="258" t="n">
        <v>12351</v>
      </c>
      <c r="BA33" s="258" t="n">
        <v>41506</v>
      </c>
      <c r="BB33" s="258" t="n">
        <v>75550</v>
      </c>
      <c r="BC33" s="258" t="n"/>
      <c r="BD33" s="258" t="n"/>
      <c r="BE33" s="258" t="n"/>
      <c r="BF33" s="354" t="inlineStr">
        <is>
          <t>JUIN</t>
        </is>
      </c>
      <c r="BG33" s="131" t="n"/>
      <c r="BH33" s="258" t="n">
        <v>66253</v>
      </c>
      <c r="BI33" s="258" t="n">
        <v>169163</v>
      </c>
      <c r="BJ33" s="258" t="n"/>
      <c r="BK33" s="258" t="n"/>
      <c r="BL33" s="258" t="n"/>
      <c r="BM33" s="258" t="n"/>
      <c r="BN33" s="354" t="inlineStr">
        <is>
          <t>JUIN</t>
        </is>
      </c>
      <c r="BO33" s="131" t="n"/>
      <c r="BP33" s="258" t="n">
        <v>118466</v>
      </c>
      <c r="BQ33" s="258" t="n">
        <v>106011</v>
      </c>
      <c r="BR33" s="258" t="n">
        <v>194750</v>
      </c>
      <c r="BS33" s="258" t="n">
        <v>128627</v>
      </c>
      <c r="BT33" s="258" t="n">
        <v>-18339</v>
      </c>
      <c r="BV33" s="354" t="inlineStr">
        <is>
          <t>JUIN</t>
        </is>
      </c>
      <c r="BW33" s="131" t="n"/>
      <c r="BX33" s="258" t="n">
        <v>-38040</v>
      </c>
      <c r="BY33" s="258" t="n">
        <v>1725</v>
      </c>
      <c r="BZ33" s="258" t="n">
        <v>138835</v>
      </c>
      <c r="CA33" s="258" t="n">
        <v>77928</v>
      </c>
      <c r="CB33" s="258" t="n">
        <v>-106631</v>
      </c>
      <c r="CC33" s="258" t="n"/>
      <c r="CD33" s="354" t="inlineStr">
        <is>
          <t>JUIN</t>
        </is>
      </c>
      <c r="CE33" s="131" t="n"/>
      <c r="CF33" s="258" t="n">
        <v>40868</v>
      </c>
      <c r="CG33" s="258" t="n">
        <v>166170</v>
      </c>
      <c r="CH33" s="258" t="n">
        <v>77847</v>
      </c>
      <c r="CI33" s="258" t="n">
        <v>32939</v>
      </c>
      <c r="CJ33" s="258" t="n">
        <v>-126123</v>
      </c>
      <c r="CL33" s="354" t="inlineStr">
        <is>
          <t>JUIN</t>
        </is>
      </c>
      <c r="CM33" s="131" t="n"/>
      <c r="CN33" s="258" t="n">
        <v>4783</v>
      </c>
      <c r="CO33" s="258" t="n">
        <v>306418</v>
      </c>
      <c r="CP33" s="258" t="n">
        <v>405877</v>
      </c>
      <c r="CQ33" s="258" t="n">
        <v>187618</v>
      </c>
      <c r="CR33" s="258" t="n">
        <v>-48009.57</v>
      </c>
      <c r="CT33" s="354" t="inlineStr">
        <is>
          <t>JUIN</t>
        </is>
      </c>
      <c r="CU33" s="131" t="n"/>
      <c r="CV33" s="258" t="n">
        <v>94472.61</v>
      </c>
      <c r="CW33" s="258" t="n"/>
      <c r="CX33" s="258" t="n"/>
      <c r="CY33" s="258" t="n"/>
      <c r="CZ33" s="258" t="n"/>
      <c r="DB33" s="354" t="inlineStr">
        <is>
          <t>JUIN</t>
        </is>
      </c>
      <c r="DC33" s="131" t="n"/>
      <c r="DD33" s="258" t="n">
        <v>235412</v>
      </c>
      <c r="DE33" s="258" t="n"/>
      <c r="DF33" s="258" t="n"/>
      <c r="DG33" s="258" t="n"/>
      <c r="DH33" s="258" t="n"/>
      <c r="DI33" s="258" t="n"/>
      <c r="DJ33" s="354" t="inlineStr">
        <is>
          <t>JUIN</t>
        </is>
      </c>
      <c r="DK33" s="131" t="n"/>
      <c r="DL33" s="258" t="n">
        <v>-27698</v>
      </c>
      <c r="DM33" s="258" t="n"/>
      <c r="DN33" s="258" t="n"/>
      <c r="DO33" s="258" t="n"/>
      <c r="DP33" s="258" t="n"/>
      <c r="DR33" s="354" t="inlineStr">
        <is>
          <t>06</t>
        </is>
      </c>
      <c r="DS33" s="131" t="n"/>
      <c r="DT33" s="258" t="n">
        <v>24534</v>
      </c>
      <c r="DU33" s="258" t="n"/>
      <c r="DV33" s="258" t="n"/>
      <c r="DW33" s="258" t="n"/>
      <c r="DX33" s="258" t="n"/>
      <c r="DZ33" s="354" t="inlineStr">
        <is>
          <t>06</t>
        </is>
      </c>
      <c r="EA33" s="131" t="n"/>
      <c r="EB33" s="258" t="n"/>
      <c r="EC33" s="258" t="n"/>
      <c r="ED33" s="258" t="n"/>
      <c r="EE33" s="258" t="n"/>
      <c r="EF33" s="258" t="n"/>
    </row>
    <row r="34">
      <c r="B34" s="354" t="inlineStr">
        <is>
          <t>JUILLET</t>
        </is>
      </c>
      <c r="C34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f>
        <v/>
      </c>
      <c r="D34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34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34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34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34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34" s="258" t="n"/>
      <c r="J34" s="354" t="inlineStr">
        <is>
          <t>JUILLET</t>
        </is>
      </c>
      <c r="K34" s="131" t="n"/>
      <c r="L34" s="258" t="n">
        <v>21177</v>
      </c>
      <c r="M34" s="258" t="n">
        <v>229921.37</v>
      </c>
      <c r="N34" s="258" t="n">
        <v>350147</v>
      </c>
      <c r="O34" s="258" t="n">
        <v>236946</v>
      </c>
      <c r="P34" s="258" t="n">
        <v>-27069</v>
      </c>
      <c r="R34" s="354" t="inlineStr">
        <is>
          <t>JUILLET</t>
        </is>
      </c>
      <c r="S34" s="131" t="n"/>
      <c r="T34" s="258" t="n">
        <v>-70248</v>
      </c>
      <c r="U34" s="258" t="n">
        <v>-13553</v>
      </c>
      <c r="V34" s="258" t="n">
        <v>-11341</v>
      </c>
      <c r="W34" s="258" t="n">
        <v>47346</v>
      </c>
      <c r="X34" s="258" t="n">
        <v>-169657</v>
      </c>
      <c r="Z34" s="354" t="inlineStr">
        <is>
          <t>JUILLET</t>
        </is>
      </c>
      <c r="AA34" s="131" t="n"/>
      <c r="AB34" s="258" t="n">
        <v>22244</v>
      </c>
      <c r="AC34" s="258" t="n">
        <v>43674</v>
      </c>
      <c r="AD34" s="258" t="n">
        <v>147660</v>
      </c>
      <c r="AE34" s="258" t="n">
        <v>69791</v>
      </c>
      <c r="AF34" s="258" t="n">
        <v>-79979</v>
      </c>
      <c r="AH34" s="354" t="inlineStr">
        <is>
          <t>JUILLET</t>
        </is>
      </c>
      <c r="AI34" s="131" t="n"/>
      <c r="AJ34" s="258" t="n">
        <v>70649</v>
      </c>
      <c r="AK34" s="258" t="n">
        <v>106958.67</v>
      </c>
      <c r="AL34" s="258" t="n">
        <v>247636</v>
      </c>
      <c r="AM34" s="258" t="n">
        <v>158833</v>
      </c>
      <c r="AN34" s="258" t="n">
        <v>-188252</v>
      </c>
      <c r="AP34" s="354" t="inlineStr">
        <is>
          <t>JUILLET</t>
        </is>
      </c>
      <c r="AQ34" s="131" t="n"/>
      <c r="AR34" s="258" t="n">
        <v>143952</v>
      </c>
      <c r="AS34" s="258" t="n">
        <v>267104.42</v>
      </c>
      <c r="AT34" s="258" t="n">
        <v>203760</v>
      </c>
      <c r="AU34" s="258" t="n">
        <v>-73340</v>
      </c>
      <c r="AV34" s="258" t="n"/>
      <c r="AX34" s="354" t="inlineStr">
        <is>
          <t>JUILLET</t>
        </is>
      </c>
      <c r="AY34" s="131" t="n"/>
      <c r="AZ34" s="258" t="n">
        <v>25933</v>
      </c>
      <c r="BA34" s="258" t="n">
        <v>64254.12</v>
      </c>
      <c r="BB34" s="258" t="n">
        <v>114881</v>
      </c>
      <c r="BC34" s="258" t="n"/>
      <c r="BD34" s="258" t="n"/>
      <c r="BE34" s="258" t="n"/>
      <c r="BF34" s="354" t="inlineStr">
        <is>
          <t>JUILLET</t>
        </is>
      </c>
      <c r="BG34" s="131" t="n"/>
      <c r="BH34" s="258" t="n">
        <v>105242.26</v>
      </c>
      <c r="BI34" s="258" t="n">
        <v>236310.78</v>
      </c>
      <c r="BJ34" s="258" t="n"/>
      <c r="BK34" s="258" t="n"/>
      <c r="BL34" s="258" t="n"/>
      <c r="BM34" s="258" t="n"/>
      <c r="BN34" s="354" t="inlineStr">
        <is>
          <t>JUILLET</t>
        </is>
      </c>
      <c r="BO34" s="131" t="n"/>
      <c r="BP34" s="258" t="n">
        <v>156824</v>
      </c>
      <c r="BQ34" s="258" t="n">
        <v>123325.71</v>
      </c>
      <c r="BR34" s="258" t="n">
        <v>199124</v>
      </c>
      <c r="BS34" s="258" t="n">
        <v>191379</v>
      </c>
      <c r="BT34" s="258" t="n">
        <v>12687</v>
      </c>
      <c r="BV34" s="354" t="inlineStr">
        <is>
          <t>JUILLET</t>
        </is>
      </c>
      <c r="BW34" s="131" t="n"/>
      <c r="BX34" s="258" t="n">
        <v>-2911</v>
      </c>
      <c r="BY34" s="258" t="n">
        <v>56698.61</v>
      </c>
      <c r="BZ34" s="258" t="n">
        <v>209730</v>
      </c>
      <c r="CA34" s="258" t="n">
        <v>138821</v>
      </c>
      <c r="CB34" s="258" t="n">
        <v>-63865</v>
      </c>
      <c r="CC34" s="258" t="n"/>
      <c r="CD34" s="354" t="inlineStr">
        <is>
          <t>JUILLET</t>
        </is>
      </c>
      <c r="CE34" s="131" t="n"/>
      <c r="CF34" s="258" t="n">
        <v>79462</v>
      </c>
      <c r="CG34" s="258" t="n">
        <v>227161.75</v>
      </c>
      <c r="CH34" s="258" t="n">
        <v>163947</v>
      </c>
      <c r="CI34" s="258" t="n">
        <v>80654</v>
      </c>
      <c r="CJ34" s="258" t="n">
        <v>-68752</v>
      </c>
      <c r="CL34" s="354" t="inlineStr">
        <is>
          <t>JUILLET</t>
        </is>
      </c>
      <c r="CM34" s="131" t="n"/>
      <c r="CN34" s="258" t="n">
        <v>28550</v>
      </c>
      <c r="CO34" s="258" t="n">
        <v>401217.14</v>
      </c>
      <c r="CP34" s="258" t="n">
        <v>509577</v>
      </c>
      <c r="CQ34" s="258" t="n">
        <v>330323</v>
      </c>
      <c r="CR34" s="258" t="n">
        <v>-3229</v>
      </c>
      <c r="CT34" s="354" t="inlineStr">
        <is>
          <t>JUILLET</t>
        </is>
      </c>
      <c r="CU34" s="131" t="n"/>
      <c r="CV34" s="258" t="n">
        <v>128809.27</v>
      </c>
      <c r="CW34" s="258" t="n"/>
      <c r="CX34" s="258" t="n"/>
      <c r="CY34" s="258" t="n"/>
      <c r="CZ34" s="258" t="n"/>
      <c r="DB34" s="354" t="inlineStr">
        <is>
          <t>JUILLET</t>
        </is>
      </c>
      <c r="DC34" s="131" t="n"/>
      <c r="DD34" s="258" t="n">
        <v>269316.95</v>
      </c>
      <c r="DE34" s="258" t="n"/>
      <c r="DF34" s="258" t="n"/>
      <c r="DG34" s="258" t="n"/>
      <c r="DH34" s="258" t="n"/>
      <c r="DI34" s="258" t="n"/>
      <c r="DJ34" s="354" t="inlineStr">
        <is>
          <t>JUILLET</t>
        </is>
      </c>
      <c r="DK34" s="131" t="n"/>
      <c r="DL34" s="258" t="n">
        <v>-22300.55</v>
      </c>
      <c r="DM34" s="258" t="n"/>
      <c r="DN34" s="258" t="n"/>
      <c r="DO34" s="258" t="n"/>
      <c r="DP34" s="258" t="n"/>
      <c r="DR34" s="354" t="inlineStr">
        <is>
          <t>07</t>
        </is>
      </c>
      <c r="DS34" s="131" t="n"/>
      <c r="DT34" s="258" t="n">
        <v>27494.66</v>
      </c>
      <c r="DU34" s="258" t="n"/>
      <c r="DV34" s="258" t="n"/>
      <c r="DW34" s="258" t="n"/>
      <c r="DX34" s="258" t="n"/>
      <c r="DZ34" s="354" t="inlineStr">
        <is>
          <t>07</t>
        </is>
      </c>
      <c r="EA34" s="131" t="n"/>
      <c r="EB34" s="258" t="n"/>
      <c r="EC34" s="258" t="n"/>
      <c r="ED34" s="258" t="n"/>
      <c r="EE34" s="258" t="n"/>
      <c r="EF34" s="258" t="n"/>
    </row>
    <row r="35">
      <c r="B35" s="354" t="inlineStr">
        <is>
          <t>AOÛT</t>
        </is>
      </c>
      <c r="C35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Row],[2025]]+PLCAT[[#This Row],[2025]])</f>
        <v/>
      </c>
      <c r="D35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35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35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35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35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35" s="258" t="n"/>
      <c r="J35" s="354" t="inlineStr">
        <is>
          <t>AOÛT</t>
        </is>
      </c>
      <c r="K35" s="131" t="n"/>
      <c r="L35" s="258" t="n">
        <v>55945</v>
      </c>
      <c r="M35" s="258" t="n">
        <v>265341.8</v>
      </c>
      <c r="N35" s="258" t="n">
        <v>391254</v>
      </c>
      <c r="O35" s="258" t="n">
        <v>320453</v>
      </c>
      <c r="P35" s="258" t="n">
        <v>16054</v>
      </c>
      <c r="R35" s="354" t="inlineStr">
        <is>
          <t>AOÛT</t>
        </is>
      </c>
      <c r="S35" s="131" t="n"/>
      <c r="T35" s="258" t="n">
        <v>-60408</v>
      </c>
      <c r="U35" s="258" t="n">
        <v>-14958.75</v>
      </c>
      <c r="V35" s="258" t="n">
        <v>-11755</v>
      </c>
      <c r="W35" s="258" t="n">
        <v>87343</v>
      </c>
      <c r="X35" s="258" t="n">
        <v>-162584</v>
      </c>
      <c r="Z35" s="354" t="inlineStr">
        <is>
          <t>AOÛT</t>
        </is>
      </c>
      <c r="AA35" s="131" t="n"/>
      <c r="AB35" s="258" t="n">
        <v>32615</v>
      </c>
      <c r="AC35" s="258" t="n">
        <v>49900.91</v>
      </c>
      <c r="AD35" s="258" t="n">
        <v>150512</v>
      </c>
      <c r="AE35" s="258" t="n">
        <v>96059</v>
      </c>
      <c r="AF35" s="258" t="n">
        <v>-78859</v>
      </c>
      <c r="AH35" s="354" t="inlineStr">
        <is>
          <t>AOÛT</t>
        </is>
      </c>
      <c r="AI35" s="131" t="n"/>
      <c r="AJ35" s="258" t="n">
        <v>92487</v>
      </c>
      <c r="AK35" s="258" t="n">
        <v>139687.71</v>
      </c>
      <c r="AL35" s="258" t="n">
        <v>270711</v>
      </c>
      <c r="AM35" s="258" t="n">
        <v>223012</v>
      </c>
      <c r="AN35" s="258" t="n">
        <v>-173959</v>
      </c>
      <c r="AP35" s="354" t="inlineStr">
        <is>
          <t>AOÛT</t>
        </is>
      </c>
      <c r="AQ35" s="131" t="n"/>
      <c r="AR35" s="258" t="n">
        <v>203285</v>
      </c>
      <c r="AS35" s="258" t="n">
        <v>334431.28</v>
      </c>
      <c r="AT35" s="258" t="n">
        <v>263393</v>
      </c>
      <c r="AU35" s="258" t="n">
        <v>-58625</v>
      </c>
      <c r="AV35" s="258" t="n"/>
      <c r="AX35" s="354" t="inlineStr">
        <is>
          <t>AOÛT</t>
        </is>
      </c>
      <c r="AY35" s="131" t="n"/>
      <c r="AZ35" s="258" t="n">
        <v>50052</v>
      </c>
      <c r="BA35" s="258" t="n">
        <v>86537.33</v>
      </c>
      <c r="BB35" s="258" t="n">
        <v>149783</v>
      </c>
      <c r="BC35" s="258" t="n">
        <v>20500</v>
      </c>
      <c r="BD35" s="258" t="n"/>
      <c r="BE35" s="258" t="n"/>
      <c r="BF35" s="354" t="inlineStr">
        <is>
          <t>AOÛT</t>
        </is>
      </c>
      <c r="BG35" s="131" t="n"/>
      <c r="BH35" s="258" t="n">
        <v>179305.5</v>
      </c>
      <c r="BI35" s="258" t="n">
        <v>294529.54</v>
      </c>
      <c r="BJ35" s="258" t="n"/>
      <c r="BK35" s="258" t="n"/>
      <c r="BL35" s="258" t="n"/>
      <c r="BM35" s="258" t="n"/>
      <c r="BN35" s="354" t="inlineStr">
        <is>
          <t>AOÛT</t>
        </is>
      </c>
      <c r="BO35" s="131" t="n"/>
      <c r="BP35" s="258" t="n">
        <v>196184</v>
      </c>
      <c r="BQ35" s="258" t="n">
        <v>155080.99</v>
      </c>
      <c r="BR35" s="258" t="n">
        <v>215310</v>
      </c>
      <c r="BS35" s="258" t="n">
        <v>210771</v>
      </c>
      <c r="BT35" s="258" t="n">
        <v>79899</v>
      </c>
      <c r="BV35" s="354" t="inlineStr">
        <is>
          <t>AOÛT</t>
        </is>
      </c>
      <c r="BW35" s="131" t="n"/>
      <c r="BX35" s="258" t="n">
        <v>81869</v>
      </c>
      <c r="BY35" s="258" t="n">
        <v>132197.87</v>
      </c>
      <c r="BZ35" s="258" t="n">
        <v>300452</v>
      </c>
      <c r="CA35" s="258" t="n">
        <v>241247</v>
      </c>
      <c r="CB35" s="258" t="n">
        <v>28747</v>
      </c>
      <c r="CC35" s="258" t="n"/>
      <c r="CD35" s="354" t="inlineStr">
        <is>
          <t>AOÛT</t>
        </is>
      </c>
      <c r="CE35" s="131" t="n"/>
      <c r="CF35" s="258" t="n">
        <v>188098</v>
      </c>
      <c r="CG35" s="258" t="n">
        <v>355279.44</v>
      </c>
      <c r="CH35" s="258" t="n">
        <v>295333</v>
      </c>
      <c r="CI35" s="258" t="n">
        <v>194951</v>
      </c>
      <c r="CJ35" s="258" t="n">
        <v>59029</v>
      </c>
      <c r="CL35" s="354" t="inlineStr">
        <is>
          <t>AOÛT</t>
        </is>
      </c>
      <c r="CM35" s="131" t="n"/>
      <c r="CN35" s="258" t="n">
        <v>94983</v>
      </c>
      <c r="CO35" s="258" t="n">
        <v>508262.49</v>
      </c>
      <c r="CP35" s="258" t="n">
        <v>606341</v>
      </c>
      <c r="CQ35" s="258" t="n">
        <v>421130</v>
      </c>
      <c r="CR35" s="258" t="n">
        <v>117034</v>
      </c>
      <c r="CT35" s="354" t="inlineStr">
        <is>
          <t>AOÛT</t>
        </is>
      </c>
      <c r="CU35" s="131" t="n"/>
      <c r="CV35" s="258" t="n">
        <v>179244.97</v>
      </c>
      <c r="CW35" s="258" t="n"/>
      <c r="CX35" s="258" t="n"/>
      <c r="CY35" s="258" t="n"/>
      <c r="CZ35" s="258" t="n"/>
      <c r="DB35" s="354" t="inlineStr">
        <is>
          <t>AOÛT</t>
        </is>
      </c>
      <c r="DC35" s="131" t="n"/>
      <c r="DD35" s="258" t="n">
        <v>327711.23</v>
      </c>
      <c r="DE35" s="258" t="n"/>
      <c r="DF35" s="258" t="n"/>
      <c r="DG35" s="258" t="n"/>
      <c r="DH35" s="258" t="n"/>
      <c r="DI35" s="258" t="n"/>
      <c r="DJ35" s="354" t="inlineStr">
        <is>
          <t>AOÛT</t>
        </is>
      </c>
      <c r="DK35" s="131" t="n"/>
      <c r="DL35" s="258" t="n">
        <v>-12535.17</v>
      </c>
      <c r="DM35" s="258" t="n"/>
      <c r="DN35" s="258" t="n"/>
      <c r="DO35" s="258" t="n"/>
      <c r="DP35" s="258" t="n"/>
      <c r="DR35" s="354" t="inlineStr">
        <is>
          <t>08</t>
        </is>
      </c>
      <c r="DS35" s="131" t="n"/>
      <c r="DT35" s="258" t="n">
        <v>41401.04</v>
      </c>
      <c r="DU35" s="258" t="n"/>
      <c r="DV35" s="258" t="n"/>
      <c r="DW35" s="258" t="n"/>
      <c r="DX35" s="258" t="n"/>
      <c r="DZ35" s="354" t="inlineStr">
        <is>
          <t>08</t>
        </is>
      </c>
      <c r="EA35" s="131" t="n"/>
      <c r="EB35" s="258" t="n">
        <v>20349.51</v>
      </c>
      <c r="EC35" s="258" t="n"/>
      <c r="ED35" s="258" t="n"/>
      <c r="EE35" s="258" t="n"/>
      <c r="EF35" s="258" t="n"/>
    </row>
    <row r="36">
      <c r="B36" s="354" t="inlineStr">
        <is>
          <t>SEPTEMBRE</t>
        </is>
      </c>
      <c r="C36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Row],[2025]]+PLCAT[[#This Row],[2025]])</f>
        <v/>
      </c>
      <c r="D36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36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36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36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36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36" s="258" t="n"/>
      <c r="J36" s="354" t="inlineStr">
        <is>
          <t>SEPTEMBRE</t>
        </is>
      </c>
      <c r="K36" s="131" t="n"/>
      <c r="L36" s="258" t="n">
        <v>67352</v>
      </c>
      <c r="M36" s="258" t="n">
        <v>302920.39</v>
      </c>
      <c r="N36" s="258" t="n">
        <v>415063</v>
      </c>
      <c r="O36" s="258" t="n">
        <v>367378</v>
      </c>
      <c r="P36" s="258" t="n">
        <v>29225</v>
      </c>
      <c r="R36" s="354" t="inlineStr">
        <is>
          <t>SEPTEMBRE</t>
        </is>
      </c>
      <c r="S36" s="131" t="n"/>
      <c r="T36" s="258" t="n">
        <v>-71719</v>
      </c>
      <c r="U36" s="258" t="n">
        <v>-26521.24</v>
      </c>
      <c r="V36" s="258" t="n">
        <v>-34339</v>
      </c>
      <c r="W36" s="258" t="n">
        <v>87343</v>
      </c>
      <c r="X36" s="258" t="n">
        <v>-173425</v>
      </c>
      <c r="Z36" s="354" t="inlineStr">
        <is>
          <t>SEPTEMBRE</t>
        </is>
      </c>
      <c r="AA36" s="131" t="n"/>
      <c r="AB36" s="258" t="n">
        <v>40019</v>
      </c>
      <c r="AC36" s="258" t="n">
        <v>66379.35000000001</v>
      </c>
      <c r="AD36" s="258" t="n">
        <v>161765</v>
      </c>
      <c r="AE36" s="258" t="n">
        <v>106981</v>
      </c>
      <c r="AF36" s="258" t="n">
        <v>-70404</v>
      </c>
      <c r="AH36" s="354" t="inlineStr">
        <is>
          <t>SEPTEMBRE</t>
        </is>
      </c>
      <c r="AI36" s="131" t="n"/>
      <c r="AJ36" s="258" t="n">
        <v>97528</v>
      </c>
      <c r="AK36" s="258" t="n">
        <v>163434.69</v>
      </c>
      <c r="AL36" s="258" t="n">
        <v>278725</v>
      </c>
      <c r="AM36" s="258" t="n">
        <v>252016</v>
      </c>
      <c r="AN36" s="258" t="n">
        <v>-171806</v>
      </c>
      <c r="AP36" s="354" t="inlineStr">
        <is>
          <t>SEPTEMBRE</t>
        </is>
      </c>
      <c r="AQ36" s="131" t="n"/>
      <c r="AR36" s="258" t="n">
        <v>212536</v>
      </c>
      <c r="AS36" s="258" t="n">
        <v>367406.17</v>
      </c>
      <c r="AT36" s="258" t="n">
        <v>269112</v>
      </c>
      <c r="AU36" s="258" t="n">
        <v>43385</v>
      </c>
      <c r="AV36" s="258" t="n"/>
      <c r="AX36" s="354" t="inlineStr">
        <is>
          <t>SEPTEMBRE</t>
        </is>
      </c>
      <c r="AY36" s="131" t="n"/>
      <c r="AZ36" s="258" t="n">
        <v>43425</v>
      </c>
      <c r="BA36" s="258" t="n">
        <v>97896.77</v>
      </c>
      <c r="BB36" s="258" t="n">
        <v>156666</v>
      </c>
      <c r="BC36" s="258" t="n">
        <v>38433</v>
      </c>
      <c r="BD36" s="258" t="n"/>
      <c r="BE36" s="258" t="n"/>
      <c r="BF36" s="354" t="inlineStr">
        <is>
          <t>SEPTEMBRE</t>
        </is>
      </c>
      <c r="BG36" s="131" t="n"/>
      <c r="BH36" s="258" t="n">
        <v>176932.87</v>
      </c>
      <c r="BI36" s="258" t="n">
        <v>313464.53</v>
      </c>
      <c r="BJ36" s="258" t="n"/>
      <c r="BK36" s="258" t="n"/>
      <c r="BL36" s="258" t="n"/>
      <c r="BM36" s="258" t="n"/>
      <c r="BN36" s="354" t="inlineStr">
        <is>
          <t>SEPTEMBRE</t>
        </is>
      </c>
      <c r="BO36" s="131" t="n"/>
      <c r="BP36" s="258" t="n">
        <v>209271</v>
      </c>
      <c r="BQ36" s="258" t="n">
        <v>182926.06</v>
      </c>
      <c r="BR36" s="258" t="n">
        <v>207760</v>
      </c>
      <c r="BS36" s="258" t="n">
        <v>249704</v>
      </c>
      <c r="BT36" s="258" t="n">
        <v>101566</v>
      </c>
      <c r="BV36" s="354" t="inlineStr">
        <is>
          <t>SEPTEMBRE</t>
        </is>
      </c>
      <c r="BW36" s="131" t="n"/>
      <c r="BX36" s="258" t="n">
        <v>87926</v>
      </c>
      <c r="BY36" s="258" t="n">
        <v>144509.94</v>
      </c>
      <c r="BZ36" s="258" t="n">
        <v>278362</v>
      </c>
      <c r="CA36" s="258" t="n">
        <v>239275</v>
      </c>
      <c r="CB36" s="258" t="n">
        <v>45790</v>
      </c>
      <c r="CC36" s="258" t="n"/>
      <c r="CD36" s="354" t="inlineStr">
        <is>
          <t>SEPTEMBRE</t>
        </is>
      </c>
      <c r="CE36" s="131" t="n"/>
      <c r="CF36" s="258" t="n">
        <v>182867</v>
      </c>
      <c r="CG36" s="258" t="n">
        <v>386994.05</v>
      </c>
      <c r="CH36" s="258" t="n">
        <v>274025</v>
      </c>
      <c r="CI36" s="258" t="n">
        <v>184247</v>
      </c>
      <c r="CJ36" s="258" t="n">
        <v>64773</v>
      </c>
      <c r="CL36" s="354" t="inlineStr">
        <is>
          <t>SEPTEMBRE</t>
        </is>
      </c>
      <c r="CM36" s="131" t="n"/>
      <c r="CN36" s="258" t="n">
        <v>116516</v>
      </c>
      <c r="CO36" s="258" t="n">
        <v>573628.15</v>
      </c>
      <c r="CP36" s="258" t="n">
        <v>748964</v>
      </c>
      <c r="CQ36" s="258" t="n">
        <v>483185</v>
      </c>
      <c r="CR36" s="258" t="n">
        <v>160342</v>
      </c>
      <c r="CT36" s="354" t="inlineStr">
        <is>
          <t>SEPTEMBRE</t>
        </is>
      </c>
      <c r="CU36" s="131" t="n"/>
      <c r="CV36" s="258" t="n">
        <v>189081.89</v>
      </c>
      <c r="CW36" s="258" t="n"/>
      <c r="CX36" s="258" t="n"/>
      <c r="CY36" s="258" t="n"/>
      <c r="CZ36" s="258" t="n"/>
      <c r="DB36" s="354" t="inlineStr">
        <is>
          <t>SEPTEMBRE</t>
        </is>
      </c>
      <c r="DC36" s="131" t="n"/>
      <c r="DD36" s="258" t="n">
        <v>351073.89</v>
      </c>
      <c r="DE36" s="258" t="n"/>
      <c r="DF36" s="258" t="n"/>
      <c r="DG36" s="258" t="n"/>
      <c r="DH36" s="258" t="n"/>
      <c r="DI36" s="258" t="n"/>
      <c r="DJ36" s="354" t="inlineStr">
        <is>
          <t>SEPTEMBRE</t>
        </is>
      </c>
      <c r="DK36" s="131" t="n"/>
      <c r="DL36" s="258" t="n">
        <v>-22127.27</v>
      </c>
      <c r="DM36" s="258" t="n"/>
      <c r="DN36" s="258" t="n"/>
      <c r="DO36" s="258" t="n"/>
      <c r="DP36" s="258" t="n"/>
      <c r="DR36" s="354" t="inlineStr">
        <is>
          <t>09</t>
        </is>
      </c>
      <c r="DS36" s="131" t="n"/>
      <c r="DT36" s="258" t="n">
        <v>36519.22</v>
      </c>
      <c r="DU36" s="258" t="n"/>
      <c r="DV36" s="258" t="n"/>
      <c r="DW36" s="258" t="n"/>
      <c r="DX36" s="258" t="n"/>
      <c r="DZ36" s="354" t="inlineStr">
        <is>
          <t>09</t>
        </is>
      </c>
      <c r="EA36" s="131" t="n"/>
      <c r="EB36" s="258" t="n">
        <v>18873.66</v>
      </c>
      <c r="EC36" s="258" t="n"/>
      <c r="ED36" s="258" t="n"/>
      <c r="EE36" s="258" t="n"/>
      <c r="EF36" s="258" t="n"/>
    </row>
    <row r="37">
      <c r="B37" s="354" t="inlineStr">
        <is>
          <t>OCTOBRE</t>
        </is>
      </c>
      <c r="C37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Row],[2025]]+PLCAT[[#This Row],[2025]])</f>
        <v/>
      </c>
      <c r="D37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37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37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37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37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37" s="258" t="n"/>
      <c r="J37" s="354" t="inlineStr">
        <is>
          <t>OCTOBRE</t>
        </is>
      </c>
      <c r="K37" s="131" t="n"/>
      <c r="L37" s="258" t="n">
        <v>86520</v>
      </c>
      <c r="M37" s="258" t="n">
        <v>327207.72</v>
      </c>
      <c r="N37" s="258" t="n">
        <v>450355</v>
      </c>
      <c r="O37" s="258" t="n">
        <v>423366</v>
      </c>
      <c r="P37" s="258" t="n">
        <v>53754</v>
      </c>
      <c r="R37" s="354" t="inlineStr">
        <is>
          <t>OCTOBRE</t>
        </is>
      </c>
      <c r="S37" s="131" t="n"/>
      <c r="T37" s="258" t="n">
        <v>-84785</v>
      </c>
      <c r="U37" s="258" t="n">
        <v>-36958.07</v>
      </c>
      <c r="V37" s="258" t="n">
        <v>-39782</v>
      </c>
      <c r="W37" s="258" t="n">
        <v>91702</v>
      </c>
      <c r="X37" s="258" t="n">
        <v>-159991</v>
      </c>
      <c r="Z37" s="354" t="inlineStr">
        <is>
          <t>OCTOBRE</t>
        </is>
      </c>
      <c r="AA37" s="131" t="n"/>
      <c r="AB37" s="258" t="n">
        <v>33695</v>
      </c>
      <c r="AC37" s="258" t="n">
        <v>62970.45</v>
      </c>
      <c r="AD37" s="258" t="n">
        <v>113890</v>
      </c>
      <c r="AE37" s="258" t="n">
        <v>136967</v>
      </c>
      <c r="AF37" s="258" t="n">
        <v>-73162</v>
      </c>
      <c r="AH37" s="354" t="inlineStr">
        <is>
          <t>OCTOBRE</t>
        </is>
      </c>
      <c r="AI37" s="131" t="n"/>
      <c r="AJ37" s="258" t="n">
        <v>106837</v>
      </c>
      <c r="AK37" s="258" t="n">
        <v>174856.14</v>
      </c>
      <c r="AL37" s="258" t="n">
        <v>284881.429999996</v>
      </c>
      <c r="AM37" s="258" t="n">
        <v>290293</v>
      </c>
      <c r="AN37" s="258" t="n">
        <v>-140004</v>
      </c>
      <c r="AP37" s="354" t="inlineStr">
        <is>
          <t>OCTOBRE</t>
        </is>
      </c>
      <c r="AQ37" s="131" t="n"/>
      <c r="AR37" s="258" t="n">
        <v>232076</v>
      </c>
      <c r="AS37" s="258" t="n">
        <v>366624.33</v>
      </c>
      <c r="AT37" s="258" t="n">
        <v>320699</v>
      </c>
      <c r="AU37" s="258" t="n">
        <v>43288</v>
      </c>
      <c r="AV37" s="258" t="n"/>
      <c r="AX37" s="354" t="inlineStr">
        <is>
          <t>OCTOBRE</t>
        </is>
      </c>
      <c r="AY37" s="131" t="n"/>
      <c r="AZ37" s="258" t="n">
        <v>35240</v>
      </c>
      <c r="BA37" s="258" t="n">
        <v>83129.73</v>
      </c>
      <c r="BB37" s="258" t="n">
        <v>284859</v>
      </c>
      <c r="BC37" s="258" t="n">
        <v>-90056</v>
      </c>
      <c r="BD37" s="258" t="n"/>
      <c r="BE37" s="258" t="n"/>
      <c r="BF37" s="354" t="inlineStr">
        <is>
          <t>OCTOBRE</t>
        </is>
      </c>
      <c r="BG37" s="131" t="n"/>
      <c r="BH37" s="258" t="n">
        <v>180720.14</v>
      </c>
      <c r="BI37" s="258" t="n">
        <v>338557.86</v>
      </c>
      <c r="BJ37" s="258" t="n"/>
      <c r="BK37" s="258" t="n"/>
      <c r="BL37" s="258" t="n"/>
      <c r="BM37" s="258" t="n"/>
      <c r="BN37" s="354" t="inlineStr">
        <is>
          <t>OCTOBRE</t>
        </is>
      </c>
      <c r="BO37" s="131" t="n"/>
      <c r="BP37" s="258" t="n">
        <v>229681</v>
      </c>
      <c r="BQ37" s="258" t="n">
        <v>197930.9</v>
      </c>
      <c r="BR37" s="258" t="n">
        <v>210122</v>
      </c>
      <c r="BS37" s="258" t="n">
        <v>296128</v>
      </c>
      <c r="BT37" s="258" t="n">
        <v>129151</v>
      </c>
      <c r="BV37" s="354" t="inlineStr">
        <is>
          <t>OCTOBRE</t>
        </is>
      </c>
      <c r="BW37" s="131" t="n"/>
      <c r="BX37" s="258" t="n">
        <v>93894</v>
      </c>
      <c r="BY37" s="258" t="n">
        <v>154975.06</v>
      </c>
      <c r="BZ37" s="258" t="n">
        <v>321265</v>
      </c>
      <c r="CA37" s="258" t="n">
        <v>288550</v>
      </c>
      <c r="CB37" s="258" t="n">
        <v>38162</v>
      </c>
      <c r="CC37" s="258" t="n"/>
      <c r="CD37" s="354" t="inlineStr">
        <is>
          <t>OCTOBRE</t>
        </is>
      </c>
      <c r="CE37" s="131" t="n"/>
      <c r="CF37" s="258" t="n">
        <v>192847</v>
      </c>
      <c r="CG37" s="258" t="n">
        <v>399712.07</v>
      </c>
      <c r="CH37" s="258" t="n">
        <v>282827</v>
      </c>
      <c r="CI37" s="258" t="n">
        <v>177273</v>
      </c>
      <c r="CJ37" s="258" t="n">
        <v>75586</v>
      </c>
      <c r="CL37" s="354" t="inlineStr">
        <is>
          <t>OCTOBRE</t>
        </is>
      </c>
      <c r="CM37" s="131" t="n"/>
      <c r="CN37" s="258" t="n">
        <v>142303</v>
      </c>
      <c r="CO37" s="258" t="n">
        <v>624428.1800000001</v>
      </c>
      <c r="CP37" s="258" t="n">
        <v>733684.5</v>
      </c>
      <c r="CQ37" s="258" t="n">
        <v>550884</v>
      </c>
      <c r="CR37" s="258" t="n">
        <v>200781</v>
      </c>
      <c r="CT37" s="354" t="inlineStr">
        <is>
          <t>OCTOBRE</t>
        </is>
      </c>
      <c r="CU37" s="131" t="n"/>
      <c r="CV37" s="258" t="n">
        <v>216123.91</v>
      </c>
      <c r="CW37" s="258" t="n"/>
      <c r="CX37" s="258" t="n"/>
      <c r="CY37" s="258" t="n"/>
      <c r="CZ37" s="258" t="n"/>
      <c r="DB37" s="354" t="inlineStr">
        <is>
          <t>OCTOBRE</t>
        </is>
      </c>
      <c r="DC37" s="131" t="n"/>
      <c r="DD37" s="258" t="n">
        <v>373138.56</v>
      </c>
      <c r="DE37" s="258" t="n"/>
      <c r="DF37" s="258" t="n"/>
      <c r="DG37" s="258" t="n"/>
      <c r="DH37" s="258" t="n"/>
      <c r="DI37" s="258" t="n"/>
      <c r="DJ37" s="354" t="inlineStr">
        <is>
          <t>OCTOBRE</t>
        </is>
      </c>
      <c r="DK37" s="131" t="n"/>
      <c r="DL37" s="258" t="n">
        <v>-28667.4</v>
      </c>
      <c r="DM37" s="258" t="n"/>
      <c r="DN37" s="258" t="n"/>
      <c r="DO37" s="258" t="n"/>
      <c r="DP37" s="258" t="n"/>
      <c r="DR37" s="354" t="inlineStr">
        <is>
          <t>10</t>
        </is>
      </c>
      <c r="DS37" s="131" t="n"/>
      <c r="DT37" s="258" t="n">
        <v>42758.42</v>
      </c>
      <c r="DU37" s="258" t="n"/>
      <c r="DV37" s="258" t="n"/>
      <c r="DW37" s="258" t="n"/>
      <c r="DX37" s="258" t="n"/>
      <c r="DZ37" s="354" t="inlineStr">
        <is>
          <t>10</t>
        </is>
      </c>
      <c r="EA37" s="131" t="n"/>
      <c r="EB37" s="258" t="n">
        <v>15482.9</v>
      </c>
      <c r="EC37" s="258" t="n"/>
      <c r="ED37" s="258" t="n"/>
      <c r="EE37" s="258" t="n"/>
      <c r="EF37" s="258" t="n"/>
    </row>
    <row r="38">
      <c r="B38" s="354" t="inlineStr">
        <is>
          <t>NOVEMBRE</t>
        </is>
      </c>
      <c r="C38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Row],[2025]]+PLCAT[[#This Row],[2025]])</f>
        <v/>
      </c>
      <c r="D38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38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38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38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38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38" s="258" t="n"/>
      <c r="J38" s="354" t="inlineStr">
        <is>
          <t>NOVEMBRE</t>
        </is>
      </c>
      <c r="K38" s="131" t="n"/>
      <c r="L38" s="258" t="n">
        <v>102169</v>
      </c>
      <c r="M38" s="258" t="n">
        <v>325258.88</v>
      </c>
      <c r="N38" s="258" t="n">
        <v>452900</v>
      </c>
      <c r="O38" s="258" t="n">
        <v>464433</v>
      </c>
      <c r="P38" s="258" t="n">
        <v>46587</v>
      </c>
      <c r="R38" s="354" t="inlineStr">
        <is>
          <t>NOVEMBRE</t>
        </is>
      </c>
      <c r="S38" s="131" t="n"/>
      <c r="T38" s="258" t="n">
        <v>-96060</v>
      </c>
      <c r="U38" s="258" t="n">
        <v>-42732.96</v>
      </c>
      <c r="V38" s="258" t="n">
        <v>-49491</v>
      </c>
      <c r="W38" s="258" t="n">
        <v>86730</v>
      </c>
      <c r="X38" s="258" t="n">
        <v>-161284</v>
      </c>
      <c r="Z38" s="354" t="inlineStr">
        <is>
          <t>NOVEMBRE</t>
        </is>
      </c>
      <c r="AA38" s="131" t="n"/>
      <c r="AB38" s="258" t="n">
        <v>49586</v>
      </c>
      <c r="AC38" s="258" t="n">
        <v>69179.35000000001</v>
      </c>
      <c r="AD38" s="258" t="n">
        <v>136156</v>
      </c>
      <c r="AE38" s="258" t="n">
        <v>147636</v>
      </c>
      <c r="AF38" s="258" t="n">
        <v>-81723</v>
      </c>
      <c r="AH38" s="354" t="inlineStr">
        <is>
          <t>NOVEMBRE</t>
        </is>
      </c>
      <c r="AI38" s="131" t="n"/>
      <c r="AJ38" s="258" t="n">
        <v>120606</v>
      </c>
      <c r="AK38" s="258" t="n">
        <v>172964.85</v>
      </c>
      <c r="AL38" s="258" t="n">
        <v>248612</v>
      </c>
      <c r="AM38" s="258" t="n">
        <v>304359</v>
      </c>
      <c r="AN38" s="258" t="n">
        <v>-153994</v>
      </c>
      <c r="AP38" s="354" t="inlineStr">
        <is>
          <t>NOVEMBRE</t>
        </is>
      </c>
      <c r="AQ38" s="131" t="n"/>
      <c r="AR38" s="258" t="n">
        <v>249621</v>
      </c>
      <c r="AS38" s="258" t="n">
        <v>378461.64</v>
      </c>
      <c r="AT38" s="258" t="n">
        <v>338381</v>
      </c>
      <c r="AU38" s="258" t="n">
        <v>-16030</v>
      </c>
      <c r="AV38" s="258" t="n"/>
      <c r="AX38" s="354" t="inlineStr">
        <is>
          <t>NOVEMBRE</t>
        </is>
      </c>
      <c r="AY38" s="131" t="n"/>
      <c r="AZ38" s="258" t="n">
        <v>25681</v>
      </c>
      <c r="BA38" s="258" t="n">
        <v>78234.13</v>
      </c>
      <c r="BB38" s="258" t="n">
        <v>147524</v>
      </c>
      <c r="BC38" s="258" t="n">
        <v>-106330</v>
      </c>
      <c r="BD38" s="258" t="n"/>
      <c r="BE38" s="258" t="n"/>
      <c r="BF38" s="354" t="inlineStr">
        <is>
          <t>NOVEMBRE</t>
        </is>
      </c>
      <c r="BG38" s="131" t="n"/>
      <c r="BH38" s="258" t="n">
        <v>178862.32</v>
      </c>
      <c r="BI38" s="258" t="n">
        <v>341640.67</v>
      </c>
      <c r="BJ38" s="258" t="n"/>
      <c r="BK38" s="258" t="n"/>
      <c r="BL38" s="258" t="n"/>
      <c r="BM38" s="258" t="n"/>
      <c r="BN38" s="354" t="inlineStr">
        <is>
          <t>NOVEMBRE</t>
        </is>
      </c>
      <c r="BO38" s="131" t="n"/>
      <c r="BP38" s="258" t="n">
        <v>243426</v>
      </c>
      <c r="BQ38" s="258" t="n">
        <v>215561.93</v>
      </c>
      <c r="BR38" s="258" t="n">
        <v>175028</v>
      </c>
      <c r="BS38" s="258" t="n">
        <v>314906</v>
      </c>
      <c r="BT38" s="258" t="n">
        <v>103372</v>
      </c>
      <c r="BV38" s="354" t="inlineStr">
        <is>
          <t>NOVEMBRE</t>
        </is>
      </c>
      <c r="BW38" s="131" t="n"/>
      <c r="BX38" s="258" t="n">
        <v>94831</v>
      </c>
      <c r="BY38" s="258" t="n">
        <v>129198.61</v>
      </c>
      <c r="BZ38" s="258" t="n">
        <v>289854</v>
      </c>
      <c r="CA38" s="258" t="n">
        <v>280413</v>
      </c>
      <c r="CB38" s="258" t="n">
        <v>7342</v>
      </c>
      <c r="CC38" s="258" t="n"/>
      <c r="CD38" s="354" t="inlineStr">
        <is>
          <t>NOVEMBRE</t>
        </is>
      </c>
      <c r="CE38" s="131" t="n"/>
      <c r="CF38" s="258" t="n">
        <v>188324</v>
      </c>
      <c r="CG38" s="258" t="n">
        <v>403259.9</v>
      </c>
      <c r="CH38" s="258" t="n">
        <v>286127</v>
      </c>
      <c r="CI38" s="258" t="n">
        <v>129798</v>
      </c>
      <c r="CJ38" s="258" t="n">
        <v>44081</v>
      </c>
      <c r="CL38" s="354" t="inlineStr">
        <is>
          <t>NOVEMBRE</t>
        </is>
      </c>
      <c r="CM38" s="131" t="n"/>
      <c r="CN38" s="258" t="n">
        <v>169731</v>
      </c>
      <c r="CO38" s="258" t="n">
        <v>674471.85</v>
      </c>
      <c r="CP38" s="258" t="n">
        <v>746553</v>
      </c>
      <c r="CQ38" s="258" t="n">
        <v>602841</v>
      </c>
      <c r="CR38" s="258" t="n">
        <v>197050</v>
      </c>
      <c r="CT38" s="354" t="inlineStr">
        <is>
          <t>NOVEMBRE</t>
        </is>
      </c>
      <c r="CU38" s="131" t="n"/>
      <c r="CV38" s="258" t="n">
        <v>242875.69</v>
      </c>
      <c r="CW38" s="258" t="n"/>
      <c r="CX38" s="258" t="n"/>
      <c r="CY38" s="258" t="n"/>
      <c r="CZ38" s="258" t="n"/>
      <c r="DB38" s="354" t="inlineStr">
        <is>
          <t>NOVEMBRE</t>
        </is>
      </c>
      <c r="DC38" s="131" t="n"/>
      <c r="DD38" s="258" t="n">
        <v>415541.12</v>
      </c>
      <c r="DE38" s="258" t="n"/>
      <c r="DF38" s="258" t="n"/>
      <c r="DG38" s="258" t="n"/>
      <c r="DH38" s="258" t="n"/>
      <c r="DI38" s="258" t="n"/>
      <c r="DJ38" s="354" t="inlineStr">
        <is>
          <t>NOVEMBRE</t>
        </is>
      </c>
      <c r="DK38" s="131" t="n"/>
      <c r="DL38" s="258" t="n">
        <v>-26965.51</v>
      </c>
      <c r="DM38" s="258" t="n"/>
      <c r="DN38" s="258" t="n"/>
      <c r="DO38" s="258" t="n"/>
      <c r="DP38" s="258" t="n"/>
      <c r="DR38" s="354" t="inlineStr">
        <is>
          <t>11</t>
        </is>
      </c>
      <c r="DS38" s="131" t="n"/>
      <c r="DT38" s="258" t="n">
        <v>43368.84</v>
      </c>
      <c r="DU38" s="258" t="n"/>
      <c r="DV38" s="258" t="n"/>
      <c r="DW38" s="258" t="n"/>
      <c r="DX38" s="258" t="n"/>
      <c r="DZ38" s="354" t="inlineStr">
        <is>
          <t>11</t>
        </is>
      </c>
      <c r="EA38" s="131" t="n"/>
      <c r="EB38" s="258" t="n">
        <v>12772.11</v>
      </c>
      <c r="EC38" s="258" t="n"/>
      <c r="ED38" s="258" t="n"/>
      <c r="EE38" s="258" t="n"/>
      <c r="EF38" s="258" t="n"/>
    </row>
    <row r="39">
      <c r="B39" s="354" t="inlineStr">
        <is>
          <t>DÉCEMBRE</t>
        </is>
      </c>
      <c r="C39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Row],[2025]]+PLCAT[[#This Row],[2025]])</f>
        <v/>
      </c>
      <c r="D39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39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39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39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39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39" s="258" t="n"/>
      <c r="J39" s="354" t="inlineStr">
        <is>
          <t>DÉCEMBRE</t>
        </is>
      </c>
      <c r="K39" s="131" t="n"/>
      <c r="L39" s="258" t="n">
        <v>155210</v>
      </c>
      <c r="M39" s="258" t="n">
        <v>328459.15</v>
      </c>
      <c r="N39" s="258" t="n">
        <v>489914</v>
      </c>
      <c r="O39" s="258" t="n">
        <v>533956</v>
      </c>
      <c r="P39" s="258" t="n">
        <v>61720</v>
      </c>
      <c r="R39" s="354" t="inlineStr">
        <is>
          <t>DÉCEMBRE</t>
        </is>
      </c>
      <c r="S39" s="131" t="n"/>
      <c r="T39" s="258" t="n">
        <v>-83667</v>
      </c>
      <c r="U39" s="258" t="n">
        <v>-54711.48</v>
      </c>
      <c r="V39" s="258" t="n">
        <v>-44177</v>
      </c>
      <c r="W39" s="258" t="n">
        <v>90817</v>
      </c>
      <c r="X39" s="258" t="n">
        <v>-119067</v>
      </c>
      <c r="Z39" s="354" t="inlineStr">
        <is>
          <t>DÉCEMBRE</t>
        </is>
      </c>
      <c r="AA39" s="131" t="n"/>
      <c r="AB39" s="258" t="n">
        <v>76861</v>
      </c>
      <c r="AC39" s="258" t="n">
        <v>58519.77</v>
      </c>
      <c r="AD39" s="258" t="n">
        <v>140108</v>
      </c>
      <c r="AE39" s="258" t="n">
        <v>138503</v>
      </c>
      <c r="AF39" s="258" t="n">
        <v>-83690</v>
      </c>
      <c r="AH39" s="354" t="inlineStr">
        <is>
          <t>DÉCEMBRE</t>
        </is>
      </c>
      <c r="AI39" s="131" t="n"/>
      <c r="AJ39" s="258" t="n">
        <v>169359</v>
      </c>
      <c r="AK39" s="258" t="n">
        <v>166313.05</v>
      </c>
      <c r="AL39" s="258" t="n">
        <v>201767</v>
      </c>
      <c r="AM39" s="258" t="n">
        <v>307909</v>
      </c>
      <c r="AN39" s="258" t="n">
        <v>-136822</v>
      </c>
      <c r="AP39" s="354" t="inlineStr">
        <is>
          <t>DÉCEMBRE</t>
        </is>
      </c>
      <c r="AQ39" s="131" t="n"/>
      <c r="AR39" s="258" t="n">
        <v>310783</v>
      </c>
      <c r="AS39" s="258" t="n">
        <v>401155.28</v>
      </c>
      <c r="AT39" s="258" t="n">
        <v>372357</v>
      </c>
      <c r="AU39" s="258" t="n">
        <v>506334</v>
      </c>
      <c r="AV39" s="258" t="n"/>
      <c r="AX39" s="354" t="inlineStr">
        <is>
          <t>DÉCEMBRE</t>
        </is>
      </c>
      <c r="AY39" s="131" t="n"/>
      <c r="AZ39" s="258" t="n">
        <v>44361</v>
      </c>
      <c r="BA39" s="258" t="n">
        <v>79669.22</v>
      </c>
      <c r="BB39" s="258" t="n">
        <v>134171</v>
      </c>
      <c r="BC39" s="258" t="n">
        <v>10714</v>
      </c>
      <c r="BD39" s="258" t="n"/>
      <c r="BE39" s="258" t="n"/>
      <c r="BF39" s="354" t="inlineStr">
        <is>
          <t>DÉCEMBRE</t>
        </is>
      </c>
      <c r="BG39" s="131" t="n"/>
      <c r="BH39" s="258" t="n">
        <v>171758.59</v>
      </c>
      <c r="BI39" s="258" t="n">
        <v>339063.98</v>
      </c>
      <c r="BJ39" s="258" t="n"/>
      <c r="BK39" s="258" t="n"/>
      <c r="BL39" s="258" t="n"/>
      <c r="BM39" s="258" t="n"/>
      <c r="BN39" s="354" t="inlineStr">
        <is>
          <t>DÉCEMBRE</t>
        </is>
      </c>
      <c r="BO39" s="131" t="n"/>
      <c r="BP39" s="258" t="n">
        <v>275037</v>
      </c>
      <c r="BQ39" s="258" t="n">
        <v>218380.07</v>
      </c>
      <c r="BR39" s="258" t="n">
        <v>188726</v>
      </c>
      <c r="BS39" s="258" t="n">
        <v>333949</v>
      </c>
      <c r="BT39" s="258" t="n">
        <v>101525</v>
      </c>
      <c r="BV39" s="354" t="inlineStr">
        <is>
          <t>DÉCEMBRE</t>
        </is>
      </c>
      <c r="BW39" s="131" t="n"/>
      <c r="BX39" s="258" t="n">
        <v>108767</v>
      </c>
      <c r="BY39" s="258" t="n">
        <v>100583.59</v>
      </c>
      <c r="BZ39" s="258" t="n">
        <v>281357</v>
      </c>
      <c r="CA39" s="258" t="n">
        <v>325111</v>
      </c>
      <c r="CB39" s="258" t="n">
        <v>-11682</v>
      </c>
      <c r="CC39" s="258" t="n"/>
      <c r="CD39" s="354" t="inlineStr">
        <is>
          <t>DÉCEMBRE</t>
        </is>
      </c>
      <c r="CE39" s="131" t="n"/>
      <c r="CF39" s="258" t="n">
        <v>195828</v>
      </c>
      <c r="CG39" s="258" t="n">
        <v>389819.71</v>
      </c>
      <c r="CH39" s="258" t="n">
        <v>236893</v>
      </c>
      <c r="CI39" s="258" t="n">
        <v>102377</v>
      </c>
      <c r="CJ39" s="258" t="n">
        <v>9518</v>
      </c>
      <c r="CL39" s="354" t="inlineStr">
        <is>
          <t>DÉCEMBRE</t>
        </is>
      </c>
      <c r="CM39" s="131" t="n"/>
      <c r="CN39" s="258" t="n">
        <v>187848</v>
      </c>
      <c r="CO39" s="258" t="n">
        <v>659283.08</v>
      </c>
      <c r="CP39" s="258" t="n">
        <v>654685</v>
      </c>
      <c r="CQ39" s="258" t="n">
        <v>651866</v>
      </c>
      <c r="CR39" s="258" t="n">
        <v>195164</v>
      </c>
      <c r="CT39" s="354" t="inlineStr">
        <is>
          <t>DÉCEMBRE</t>
        </is>
      </c>
      <c r="CU39" s="131" t="n"/>
      <c r="CV39" s="258" t="n">
        <v>255016.2100000001</v>
      </c>
      <c r="CW39" s="258" t="n"/>
      <c r="CX39" s="258" t="n"/>
      <c r="CY39" s="258" t="n"/>
      <c r="CZ39" s="258" t="n"/>
      <c r="DB39" s="354" t="inlineStr">
        <is>
          <t>DÉCEMBRE</t>
        </is>
      </c>
      <c r="DC39" s="131" t="n"/>
      <c r="DD39" s="258" t="n">
        <v>460720</v>
      </c>
      <c r="DE39" s="258" t="n"/>
      <c r="DF39" s="258" t="n"/>
      <c r="DG39" s="258" t="n"/>
      <c r="DH39" s="258" t="n"/>
      <c r="DI39" s="258" t="n"/>
      <c r="DJ39" s="354" t="inlineStr">
        <is>
          <t>DÉCEMBRE</t>
        </is>
      </c>
      <c r="DK39" s="131" t="n"/>
      <c r="DL39" s="258" t="n">
        <v>-30172.4699999998</v>
      </c>
      <c r="DM39" s="258" t="n"/>
      <c r="DN39" s="258" t="n"/>
      <c r="DO39" s="258" t="n"/>
      <c r="DP39" s="258" t="n"/>
      <c r="DR39" s="354" t="inlineStr">
        <is>
          <t>12</t>
        </is>
      </c>
      <c r="DS39" s="131" t="n"/>
      <c r="DT39" s="258" t="n">
        <v>47271.03999999928</v>
      </c>
      <c r="DU39" s="258" t="n"/>
      <c r="DV39" s="258" t="n"/>
      <c r="DW39" s="258" t="n"/>
      <c r="DX39" s="258" t="n"/>
      <c r="DZ39" s="354" t="inlineStr">
        <is>
          <t>12</t>
        </is>
      </c>
      <c r="EA39" s="131" t="n"/>
      <c r="EB39" s="258" t="n">
        <v>1869.359999999991</v>
      </c>
      <c r="EC39" s="258" t="n"/>
      <c r="ED39" s="258" t="n"/>
      <c r="EE39" s="258" t="n"/>
      <c r="EF39" s="258" t="n"/>
    </row>
    <row r="41" ht="15.75" customHeight="1" s="161">
      <c r="B41" s="355" t="inlineStr">
        <is>
          <t>Global</t>
        </is>
      </c>
      <c r="J41" s="355" t="inlineStr">
        <is>
          <t>GLR5</t>
        </is>
      </c>
      <c r="R41" s="355" t="inlineStr">
        <is>
          <t>HTR8</t>
        </is>
      </c>
      <c r="Z41" s="355" t="inlineStr">
        <is>
          <t>TIRR</t>
        </is>
      </c>
      <c r="AH41" s="355" t="inlineStr">
        <is>
          <t>VR7</t>
        </is>
      </c>
      <c r="AP41" s="355" t="inlineStr">
        <is>
          <t>TURVILLA</t>
        </is>
      </c>
      <c r="AX41" s="355" t="inlineStr">
        <is>
          <t>HART</t>
        </is>
      </c>
      <c r="BF41" s="355" t="inlineStr">
        <is>
          <t>VICTOIRE</t>
        </is>
      </c>
      <c r="BN41" s="355" t="inlineStr">
        <is>
          <t>TH4</t>
        </is>
      </c>
      <c r="BV41" s="355" t="inlineStr">
        <is>
          <t>TL DIVES</t>
        </is>
      </c>
      <c r="CD41" s="355" t="inlineStr">
        <is>
          <t>R3 14</t>
        </is>
      </c>
      <c r="CL41" s="355" t="inlineStr">
        <is>
          <t>LYSE</t>
        </is>
      </c>
      <c r="CT41" s="355" t="inlineStr">
        <is>
          <t>ARTHUR</t>
        </is>
      </c>
      <c r="DB41" s="355" t="inlineStr">
        <is>
          <t>HUGO</t>
        </is>
      </c>
      <c r="DJ41" s="355" t="inlineStr">
        <is>
          <t>JEANCLO</t>
        </is>
      </c>
      <c r="DR41" s="355" t="inlineStr">
        <is>
          <t>THOMAS</t>
        </is>
      </c>
      <c r="DZ41" s="355" t="inlineStr">
        <is>
          <t>CATALINA</t>
        </is>
      </c>
    </row>
    <row r="43" ht="18.6" customFormat="1" customHeight="1" s="188">
      <c r="A43" s="356" t="inlineStr">
        <is>
          <t>Transactions sur place</t>
        </is>
      </c>
      <c r="B43" s="186" t="inlineStr">
        <is>
          <t>MOIS</t>
        </is>
      </c>
      <c r="C43" s="187" t="inlineStr">
        <is>
          <t>2024</t>
        </is>
      </c>
      <c r="D43" s="187" t="inlineStr">
        <is>
          <t>2023</t>
        </is>
      </c>
      <c r="E43" s="187" t="inlineStr">
        <is>
          <t>2022</t>
        </is>
      </c>
      <c r="F43" s="187" t="inlineStr">
        <is>
          <t>2021</t>
        </is>
      </c>
      <c r="G43" s="187" t="inlineStr">
        <is>
          <t>2020</t>
        </is>
      </c>
      <c r="H43" s="187" t="inlineStr">
        <is>
          <t>2019</t>
        </is>
      </c>
      <c r="I43" s="187" t="n"/>
      <c r="J43" s="186" t="inlineStr">
        <is>
          <t>MOIS</t>
        </is>
      </c>
      <c r="K43" s="186" t="inlineStr">
        <is>
          <t>2025</t>
        </is>
      </c>
      <c r="L43" s="186" t="inlineStr">
        <is>
          <t>2024</t>
        </is>
      </c>
      <c r="M43" s="186" t="inlineStr">
        <is>
          <t>2023</t>
        </is>
      </c>
      <c r="N43" s="186" t="inlineStr">
        <is>
          <t>2022</t>
        </is>
      </c>
      <c r="O43" s="186" t="inlineStr">
        <is>
          <t>2021</t>
        </is>
      </c>
      <c r="P43" s="186" t="inlineStr">
        <is>
          <t>2020</t>
        </is>
      </c>
      <c r="R43" s="186" t="inlineStr">
        <is>
          <t>MOIS</t>
        </is>
      </c>
      <c r="S43" s="186" t="inlineStr">
        <is>
          <t>2025</t>
        </is>
      </c>
      <c r="T43" s="186" t="inlineStr">
        <is>
          <t>2024</t>
        </is>
      </c>
      <c r="U43" s="186" t="inlineStr">
        <is>
          <t>2023</t>
        </is>
      </c>
      <c r="V43" s="186" t="inlineStr">
        <is>
          <t>2022</t>
        </is>
      </c>
      <c r="W43" s="186" t="inlineStr">
        <is>
          <t>2021</t>
        </is>
      </c>
      <c r="X43" s="186" t="inlineStr">
        <is>
          <t>2020</t>
        </is>
      </c>
      <c r="Z43" s="186" t="inlineStr">
        <is>
          <t>MOIS</t>
        </is>
      </c>
      <c r="AA43" s="186" t="inlineStr">
        <is>
          <t>2025</t>
        </is>
      </c>
      <c r="AB43" s="186" t="inlineStr">
        <is>
          <t>2024</t>
        </is>
      </c>
      <c r="AC43" s="186" t="inlineStr">
        <is>
          <t>2023</t>
        </is>
      </c>
      <c r="AD43" s="186" t="inlineStr">
        <is>
          <t>2022</t>
        </is>
      </c>
      <c r="AE43" s="186" t="inlineStr">
        <is>
          <t>2021</t>
        </is>
      </c>
      <c r="AF43" s="186" t="inlineStr">
        <is>
          <t>2020</t>
        </is>
      </c>
      <c r="AH43" s="186" t="inlineStr">
        <is>
          <t>MOIS</t>
        </is>
      </c>
      <c r="AI43" s="186" t="inlineStr">
        <is>
          <t>2025</t>
        </is>
      </c>
      <c r="AJ43" s="186" t="inlineStr">
        <is>
          <t>2024</t>
        </is>
      </c>
      <c r="AK43" s="186" t="inlineStr">
        <is>
          <t>2023</t>
        </is>
      </c>
      <c r="AL43" s="186" t="inlineStr">
        <is>
          <t>2022</t>
        </is>
      </c>
      <c r="AM43" s="186" t="inlineStr">
        <is>
          <t>2021</t>
        </is>
      </c>
      <c r="AN43" s="186" t="inlineStr">
        <is>
          <t>2020</t>
        </is>
      </c>
      <c r="AP43" s="186" t="inlineStr">
        <is>
          <t>MOIS</t>
        </is>
      </c>
      <c r="AQ43" s="186" t="inlineStr">
        <is>
          <t>2025</t>
        </is>
      </c>
      <c r="AR43" s="186" t="inlineStr">
        <is>
          <t>2024</t>
        </is>
      </c>
      <c r="AS43" s="186" t="inlineStr">
        <is>
          <t>2023</t>
        </is>
      </c>
      <c r="AT43" s="186" t="inlineStr">
        <is>
          <t>2022</t>
        </is>
      </c>
      <c r="AU43" s="186" t="inlineStr">
        <is>
          <t>2021</t>
        </is>
      </c>
      <c r="AV43" s="186" t="inlineStr">
        <is>
          <t>2020</t>
        </is>
      </c>
      <c r="AX43" s="186" t="inlineStr">
        <is>
          <t>MOIS</t>
        </is>
      </c>
      <c r="AY43" s="186" t="inlineStr">
        <is>
          <t>2025</t>
        </is>
      </c>
      <c r="AZ43" s="186" t="inlineStr">
        <is>
          <t>2024</t>
        </is>
      </c>
      <c r="BA43" s="186" t="inlineStr">
        <is>
          <t>2023</t>
        </is>
      </c>
      <c r="BB43" s="186" t="inlineStr">
        <is>
          <t>2022</t>
        </is>
      </c>
      <c r="BC43" s="186" t="inlineStr">
        <is>
          <t>2021</t>
        </is>
      </c>
      <c r="BD43" s="186" t="inlineStr">
        <is>
          <t>2020</t>
        </is>
      </c>
      <c r="BE43" s="187" t="n"/>
      <c r="BF43" s="186" t="inlineStr">
        <is>
          <t>MOIS</t>
        </is>
      </c>
      <c r="BG43" s="186" t="inlineStr">
        <is>
          <t>2025</t>
        </is>
      </c>
      <c r="BH43" s="186" t="inlineStr">
        <is>
          <t>2024</t>
        </is>
      </c>
      <c r="BI43" s="186" t="inlineStr">
        <is>
          <t>2023</t>
        </is>
      </c>
      <c r="BJ43" s="186" t="inlineStr">
        <is>
          <t>2022</t>
        </is>
      </c>
      <c r="BK43" s="186" t="inlineStr">
        <is>
          <t>2021</t>
        </is>
      </c>
      <c r="BL43" s="186" t="inlineStr">
        <is>
          <t>2020</t>
        </is>
      </c>
      <c r="BM43" s="186" t="n"/>
      <c r="BN43" s="186" t="inlineStr">
        <is>
          <t>MOIS</t>
        </is>
      </c>
      <c r="BO43" s="187" t="inlineStr">
        <is>
          <t>2025</t>
        </is>
      </c>
      <c r="BP43" s="187" t="inlineStr">
        <is>
          <t>2024</t>
        </is>
      </c>
      <c r="BQ43" s="187" t="inlineStr">
        <is>
          <t>2023</t>
        </is>
      </c>
      <c r="BR43" s="187" t="inlineStr">
        <is>
          <t>2022</t>
        </is>
      </c>
      <c r="BS43" s="187" t="inlineStr">
        <is>
          <t>2021</t>
        </is>
      </c>
      <c r="BT43" s="187" t="inlineStr">
        <is>
          <t>2020</t>
        </is>
      </c>
      <c r="BV43" s="186" t="inlineStr">
        <is>
          <t>MOIS</t>
        </is>
      </c>
      <c r="BW43" s="187" t="inlineStr">
        <is>
          <t>2025</t>
        </is>
      </c>
      <c r="BX43" s="187" t="inlineStr">
        <is>
          <t>2024</t>
        </is>
      </c>
      <c r="BY43" s="187" t="inlineStr">
        <is>
          <t>2023</t>
        </is>
      </c>
      <c r="BZ43" s="187" t="inlineStr">
        <is>
          <t>2022</t>
        </is>
      </c>
      <c r="CA43" s="187" t="inlineStr">
        <is>
          <t>2021</t>
        </is>
      </c>
      <c r="CB43" s="187" t="inlineStr">
        <is>
          <t>2020</t>
        </is>
      </c>
      <c r="CC43" s="187" t="n"/>
      <c r="CD43" s="186" t="inlineStr">
        <is>
          <t>MOIS</t>
        </is>
      </c>
      <c r="CE43" s="187" t="inlineStr">
        <is>
          <t>2025</t>
        </is>
      </c>
      <c r="CF43" s="187" t="inlineStr">
        <is>
          <t>2024</t>
        </is>
      </c>
      <c r="CG43" s="187" t="inlineStr">
        <is>
          <t>2023</t>
        </is>
      </c>
      <c r="CH43" s="187" t="inlineStr">
        <is>
          <t>2022</t>
        </is>
      </c>
      <c r="CI43" s="187" t="inlineStr">
        <is>
          <t>2021</t>
        </is>
      </c>
      <c r="CJ43" s="187" t="inlineStr">
        <is>
          <t>2020</t>
        </is>
      </c>
      <c r="CL43" s="186" t="inlineStr">
        <is>
          <t>MOIS</t>
        </is>
      </c>
      <c r="CM43" s="187" t="inlineStr">
        <is>
          <t>2025</t>
        </is>
      </c>
      <c r="CN43" s="187" t="inlineStr">
        <is>
          <t>2024</t>
        </is>
      </c>
      <c r="CO43" s="187" t="inlineStr">
        <is>
          <t>2023</t>
        </is>
      </c>
      <c r="CP43" s="187" t="inlineStr">
        <is>
          <t>2022</t>
        </is>
      </c>
      <c r="CQ43" s="187" t="inlineStr">
        <is>
          <t>2021</t>
        </is>
      </c>
      <c r="CR43" s="187" t="inlineStr">
        <is>
          <t>2020</t>
        </is>
      </c>
      <c r="CT43" s="186" t="inlineStr">
        <is>
          <t>MOIS</t>
        </is>
      </c>
      <c r="CU43" s="187" t="inlineStr">
        <is>
          <t>2025</t>
        </is>
      </c>
      <c r="CV43" s="187" t="inlineStr">
        <is>
          <t>2024</t>
        </is>
      </c>
      <c r="CW43" s="187" t="inlineStr">
        <is>
          <t>2023</t>
        </is>
      </c>
      <c r="CX43" s="187" t="inlineStr">
        <is>
          <t>2022</t>
        </is>
      </c>
      <c r="CY43" s="187" t="inlineStr">
        <is>
          <t>2021</t>
        </is>
      </c>
      <c r="CZ43" s="187" t="inlineStr">
        <is>
          <t>2020</t>
        </is>
      </c>
      <c r="DB43" s="186" t="inlineStr">
        <is>
          <t>MOIS</t>
        </is>
      </c>
      <c r="DC43" s="187" t="inlineStr">
        <is>
          <t>2025</t>
        </is>
      </c>
      <c r="DD43" s="187" t="inlineStr">
        <is>
          <t>2024</t>
        </is>
      </c>
      <c r="DE43" s="187" t="inlineStr">
        <is>
          <t>2023</t>
        </is>
      </c>
      <c r="DF43" s="187" t="inlineStr">
        <is>
          <t>2022</t>
        </is>
      </c>
      <c r="DG43" s="187" t="inlineStr">
        <is>
          <t>2021</t>
        </is>
      </c>
      <c r="DH43" s="187" t="inlineStr">
        <is>
          <t>2020</t>
        </is>
      </c>
      <c r="DI43" s="187" t="n"/>
      <c r="DJ43" s="186" t="inlineStr">
        <is>
          <t>MOIS</t>
        </is>
      </c>
      <c r="DK43" s="187" t="inlineStr">
        <is>
          <t>2025</t>
        </is>
      </c>
      <c r="DL43" s="187" t="inlineStr">
        <is>
          <t>2024</t>
        </is>
      </c>
      <c r="DM43" s="187" t="inlineStr">
        <is>
          <t>2023</t>
        </is>
      </c>
      <c r="DN43" s="187" t="inlineStr">
        <is>
          <t>2022</t>
        </is>
      </c>
      <c r="DO43" s="187" t="inlineStr">
        <is>
          <t>2021</t>
        </is>
      </c>
      <c r="DP43" s="187" t="inlineStr">
        <is>
          <t>2020</t>
        </is>
      </c>
      <c r="DR43" s="186" t="inlineStr">
        <is>
          <t>MOIS</t>
        </is>
      </c>
      <c r="DS43" s="187" t="inlineStr">
        <is>
          <t>2025</t>
        </is>
      </c>
      <c r="DT43" s="187" t="inlineStr">
        <is>
          <t>2024</t>
        </is>
      </c>
      <c r="DU43" s="187" t="inlineStr">
        <is>
          <t>2023</t>
        </is>
      </c>
      <c r="DV43" s="187" t="inlineStr">
        <is>
          <t>2022</t>
        </is>
      </c>
      <c r="DW43" s="187" t="inlineStr">
        <is>
          <t>2021</t>
        </is>
      </c>
      <c r="DX43" s="187" t="inlineStr">
        <is>
          <t>2020</t>
        </is>
      </c>
      <c r="DZ43" s="186" t="inlineStr">
        <is>
          <t>MOIS</t>
        </is>
      </c>
      <c r="EA43" s="187" t="inlineStr">
        <is>
          <t>2025</t>
        </is>
      </c>
      <c r="EB43" s="187" t="inlineStr">
        <is>
          <t>2024</t>
        </is>
      </c>
      <c r="EC43" s="187" t="inlineStr">
        <is>
          <t>2023</t>
        </is>
      </c>
      <c r="ED43" s="187" t="inlineStr">
        <is>
          <t>2022</t>
        </is>
      </c>
      <c r="EE43" s="187" t="inlineStr">
        <is>
          <t>2021</t>
        </is>
      </c>
      <c r="EF43" s="187" t="inlineStr">
        <is>
          <t>2020</t>
        </is>
      </c>
    </row>
    <row r="44">
      <c r="B44" s="357" t="inlineStr">
        <is>
          <t>01</t>
        </is>
      </c>
      <c r="C44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44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44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44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44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44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44" s="258" t="n"/>
      <c r="J44" s="357" t="inlineStr">
        <is>
          <t>01</t>
        </is>
      </c>
      <c r="K44" s="131">
        <f>7449-5035</f>
        <v/>
      </c>
      <c r="L44" s="131" t="n">
        <v>3045</v>
      </c>
      <c r="M44" s="258" t="n">
        <v>3175</v>
      </c>
      <c r="N44" s="258" t="n">
        <v>2116</v>
      </c>
      <c r="O44" s="258" t="n">
        <v>39</v>
      </c>
      <c r="P44" s="258" t="n">
        <v>4939</v>
      </c>
      <c r="R44" s="357" t="inlineStr">
        <is>
          <t>01</t>
        </is>
      </c>
      <c r="S44" s="131">
        <f>4058-3059</f>
        <v/>
      </c>
      <c r="T44" s="258" t="n">
        <v>1028</v>
      </c>
      <c r="U44" s="258" t="n">
        <v>1304</v>
      </c>
      <c r="V44" s="258" t="n">
        <v>755</v>
      </c>
      <c r="W44" s="258" t="n">
        <v>20</v>
      </c>
      <c r="X44" s="258" t="n">
        <v>2582</v>
      </c>
      <c r="Z44" s="357" t="inlineStr">
        <is>
          <t>01</t>
        </is>
      </c>
      <c r="AA44" s="131">
        <f>7208-5295</f>
        <v/>
      </c>
      <c r="AB44" s="258" t="n">
        <v>1973</v>
      </c>
      <c r="AC44" s="258" t="n">
        <v>2718</v>
      </c>
      <c r="AD44" s="258" t="n">
        <v>1534</v>
      </c>
      <c r="AE44" s="258" t="n">
        <v>30</v>
      </c>
      <c r="AF44" s="258" t="n">
        <v>3470</v>
      </c>
      <c r="AH44" s="357" t="inlineStr">
        <is>
          <t>01</t>
        </is>
      </c>
      <c r="AI44" s="131" t="n"/>
      <c r="AJ44" s="131" t="n">
        <v>2269</v>
      </c>
      <c r="AK44" s="258" t="n">
        <v>2317</v>
      </c>
      <c r="AL44" s="258" t="n">
        <v>1544</v>
      </c>
      <c r="AM44" s="258" t="n">
        <v>92</v>
      </c>
      <c r="AN44" s="258" t="n">
        <v>3787</v>
      </c>
      <c r="AP44" s="357" t="inlineStr">
        <is>
          <t>01</t>
        </is>
      </c>
      <c r="AQ44" s="131">
        <f>12064-8421</f>
        <v/>
      </c>
      <c r="AR44" s="131" t="n">
        <v>4468</v>
      </c>
      <c r="AS44" s="258" t="n">
        <v>4511</v>
      </c>
      <c r="AT44" s="258" t="n">
        <v>2975</v>
      </c>
      <c r="AU44" s="258" t="n">
        <v>74</v>
      </c>
      <c r="AV44" s="258" t="n"/>
      <c r="AX44" s="357" t="inlineStr">
        <is>
          <t>01</t>
        </is>
      </c>
      <c r="AY44" s="131" t="n"/>
      <c r="AZ44" s="258" t="n">
        <v>1252</v>
      </c>
      <c r="BA44" s="258" t="n">
        <v>1336</v>
      </c>
      <c r="BB44" s="258" t="n">
        <v>997</v>
      </c>
      <c r="BC44" s="258" t="n"/>
      <c r="BD44" s="258" t="n"/>
      <c r="BE44" s="258" t="n"/>
      <c r="BF44" s="357" t="inlineStr">
        <is>
          <t>01</t>
        </is>
      </c>
      <c r="BG44" s="131">
        <f>5029-3532</f>
        <v/>
      </c>
      <c r="BH44" s="258" t="n">
        <v>1750</v>
      </c>
      <c r="BI44" s="258" t="n">
        <v>1647</v>
      </c>
      <c r="BJ44" s="258" t="n"/>
      <c r="BK44" s="258" t="n"/>
      <c r="BL44" s="258" t="n"/>
      <c r="BM44" s="258" t="n"/>
      <c r="BN44" s="357" t="inlineStr">
        <is>
          <t>01</t>
        </is>
      </c>
      <c r="BO44" s="131">
        <f>10297-6676</f>
        <v/>
      </c>
      <c r="BP44" s="258" t="n">
        <v>3584</v>
      </c>
      <c r="BQ44" s="258" t="n">
        <v>3874</v>
      </c>
      <c r="BR44" s="258" t="n">
        <v>3522</v>
      </c>
      <c r="BS44" s="258" t="n">
        <v>41</v>
      </c>
      <c r="BT44" s="258" t="n">
        <v>6811</v>
      </c>
      <c r="BV44" s="357" t="inlineStr">
        <is>
          <t>01</t>
        </is>
      </c>
      <c r="BW44" s="131">
        <f>5092-3389</f>
        <v/>
      </c>
      <c r="BX44" s="258" t="n">
        <v>1611</v>
      </c>
      <c r="BY44" s="258" t="n">
        <v>1921</v>
      </c>
      <c r="BZ44" s="258" t="n">
        <v>1108</v>
      </c>
      <c r="CA44" s="258" t="n">
        <v>3</v>
      </c>
      <c r="CB44" s="258" t="n">
        <v>2805</v>
      </c>
      <c r="CC44" s="258" t="n"/>
      <c r="CD44" s="357" t="inlineStr">
        <is>
          <t>01</t>
        </is>
      </c>
      <c r="CE44" s="131">
        <f>9252-5975</f>
        <v/>
      </c>
      <c r="CF44" s="258" t="n">
        <v>3635</v>
      </c>
      <c r="CG44" s="258" t="n">
        <v>3236</v>
      </c>
      <c r="CH44" s="258" t="n">
        <v>2824</v>
      </c>
      <c r="CI44" s="258" t="n">
        <v>1</v>
      </c>
      <c r="CJ44" s="258" t="n">
        <v>6019</v>
      </c>
      <c r="CL44" s="357" t="inlineStr">
        <is>
          <t>01</t>
        </is>
      </c>
      <c r="CM44" s="131">
        <f>7864-5636</f>
        <v/>
      </c>
      <c r="CN44" s="258" t="n">
        <v>2225</v>
      </c>
      <c r="CO44" s="258" t="n">
        <v>3169</v>
      </c>
      <c r="CP44" s="258" t="n">
        <v>1797</v>
      </c>
      <c r="CQ44" s="258" t="n">
        <v>84</v>
      </c>
      <c r="CR44" s="258" t="n">
        <v>5012</v>
      </c>
      <c r="CT44" s="357" t="inlineStr">
        <is>
          <t>01</t>
        </is>
      </c>
      <c r="CU44" s="131">
        <f>11213-7787</f>
        <v/>
      </c>
      <c r="CV44" s="131" t="n">
        <v>3956</v>
      </c>
      <c r="CW44" s="258" t="n"/>
      <c r="CX44" s="258" t="n"/>
      <c r="CY44" s="258" t="n"/>
      <c r="CZ44" s="258" t="n"/>
      <c r="DB44" s="357" t="inlineStr">
        <is>
          <t>01</t>
        </is>
      </c>
      <c r="DC44" s="131">
        <f>8553-6434</f>
        <v/>
      </c>
      <c r="DD44" s="258" t="n">
        <v>2624</v>
      </c>
      <c r="DE44" s="258" t="n"/>
      <c r="DF44" s="258" t="n"/>
      <c r="DG44" s="258" t="n"/>
      <c r="DH44" s="258" t="n"/>
      <c r="DI44" s="258" t="n"/>
      <c r="DJ44" s="357" t="inlineStr">
        <is>
          <t>01</t>
        </is>
      </c>
      <c r="DK44" s="131">
        <f>7247-4616</f>
        <v/>
      </c>
      <c r="DL44" s="258" t="n">
        <v>2747</v>
      </c>
      <c r="DM44" s="258" t="n"/>
      <c r="DN44" s="258" t="n"/>
      <c r="DO44" s="258" t="n"/>
      <c r="DP44" s="258" t="n"/>
      <c r="DR44" s="357" t="inlineStr">
        <is>
          <t>01</t>
        </is>
      </c>
      <c r="DS44" s="131">
        <f>4605-3233</f>
        <v/>
      </c>
      <c r="DT44" s="258" t="n">
        <v>1384</v>
      </c>
      <c r="DU44" s="258" t="n"/>
      <c r="DV44" s="258" t="n"/>
      <c r="DW44" s="258" t="n"/>
      <c r="DX44" s="258" t="n"/>
      <c r="DZ44" s="357" t="inlineStr">
        <is>
          <t>01</t>
        </is>
      </c>
      <c r="EA44" s="131">
        <f>4826-3060</f>
        <v/>
      </c>
      <c r="EB44" s="258" t="n"/>
      <c r="EC44" s="258" t="n"/>
      <c r="ED44" s="258" t="n"/>
      <c r="EE44" s="258" t="n"/>
      <c r="EF44" s="258" t="n"/>
    </row>
    <row r="45">
      <c r="B45" s="357" t="inlineStr">
        <is>
          <t>02</t>
        </is>
      </c>
      <c r="C45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45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45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45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45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45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45" s="258" t="n"/>
      <c r="J45" s="357" t="inlineStr">
        <is>
          <t>02</t>
        </is>
      </c>
      <c r="K45" s="131" t="n"/>
      <c r="L45" s="131" t="n">
        <v>2678</v>
      </c>
      <c r="M45" s="258" t="n">
        <v>3323</v>
      </c>
      <c r="N45" s="258" t="n">
        <v>2569</v>
      </c>
      <c r="O45" s="258" t="n">
        <v>79</v>
      </c>
      <c r="P45" s="258" t="n">
        <v>4634</v>
      </c>
      <c r="R45" s="357" t="inlineStr">
        <is>
          <t>02</t>
        </is>
      </c>
      <c r="S45" s="131" t="n"/>
      <c r="T45" s="258" t="n">
        <v>1219</v>
      </c>
      <c r="U45" s="258" t="n">
        <v>1319</v>
      </c>
      <c r="V45" s="258" t="n">
        <v>900</v>
      </c>
      <c r="W45" s="258" t="n">
        <v>46</v>
      </c>
      <c r="X45" s="258" t="n">
        <v>2044</v>
      </c>
      <c r="Z45" s="357" t="inlineStr">
        <is>
          <t>02</t>
        </is>
      </c>
      <c r="AA45" s="131" t="n"/>
      <c r="AB45" s="258" t="n">
        <v>2130</v>
      </c>
      <c r="AC45" s="258" t="n">
        <v>2517</v>
      </c>
      <c r="AD45" s="258" t="n">
        <v>1703</v>
      </c>
      <c r="AE45" s="258" t="n">
        <v>39</v>
      </c>
      <c r="AF45" s="258" t="n">
        <v>3665</v>
      </c>
      <c r="AH45" s="357" t="inlineStr">
        <is>
          <t>02</t>
        </is>
      </c>
      <c r="AI45" s="131" t="n"/>
      <c r="AJ45" s="131" t="n">
        <v>2599</v>
      </c>
      <c r="AK45" s="258" t="n">
        <v>2193</v>
      </c>
      <c r="AL45" s="258" t="n">
        <v>1991</v>
      </c>
      <c r="AM45" s="258" t="n">
        <v>103</v>
      </c>
      <c r="AN45" s="258" t="n">
        <v>3739</v>
      </c>
      <c r="AP45" s="357" t="inlineStr">
        <is>
          <t>02</t>
        </is>
      </c>
      <c r="AQ45" s="131" t="n"/>
      <c r="AR45" s="131" t="n">
        <v>4355</v>
      </c>
      <c r="AS45" s="258" t="n">
        <v>4427</v>
      </c>
      <c r="AT45" s="258" t="n">
        <v>3896</v>
      </c>
      <c r="AU45" s="258" t="n">
        <v>74</v>
      </c>
      <c r="AV45" s="258" t="n"/>
      <c r="AX45" s="357" t="inlineStr">
        <is>
          <t>02</t>
        </is>
      </c>
      <c r="AY45" s="131" t="n"/>
      <c r="AZ45" s="258" t="n">
        <v>1407</v>
      </c>
      <c r="BA45" s="258" t="n">
        <v>1416</v>
      </c>
      <c r="BB45" s="258" t="n">
        <v>1232</v>
      </c>
      <c r="BC45" s="258" t="n"/>
      <c r="BD45" s="258" t="n"/>
      <c r="BE45" s="258" t="n"/>
      <c r="BF45" s="357" t="inlineStr">
        <is>
          <t>02</t>
        </is>
      </c>
      <c r="BG45" s="131" t="n"/>
      <c r="BH45" s="258" t="n">
        <v>1760</v>
      </c>
      <c r="BI45" s="258" t="n">
        <v>1737</v>
      </c>
      <c r="BJ45" s="258" t="n"/>
      <c r="BK45" s="258" t="n"/>
      <c r="BL45" s="258" t="n"/>
      <c r="BM45" s="258" t="n"/>
      <c r="BN45" s="357" t="inlineStr">
        <is>
          <t>02</t>
        </is>
      </c>
      <c r="BO45" s="131" t="n"/>
      <c r="BP45" s="258" t="n">
        <v>3505</v>
      </c>
      <c r="BQ45" s="258" t="n">
        <v>3375</v>
      </c>
      <c r="BR45" s="258" t="n">
        <v>2949</v>
      </c>
      <c r="BS45" s="258" t="n">
        <v>95</v>
      </c>
      <c r="BT45" s="258" t="n">
        <v>5017</v>
      </c>
      <c r="BV45" s="357" t="inlineStr">
        <is>
          <t>02</t>
        </is>
      </c>
      <c r="BW45" s="131" t="n"/>
      <c r="BX45" s="258" t="n">
        <v>1772</v>
      </c>
      <c r="BY45" s="258" t="n">
        <v>2218</v>
      </c>
      <c r="BZ45" s="258" t="n">
        <v>1452</v>
      </c>
      <c r="CA45" s="258" t="n">
        <v>12</v>
      </c>
      <c r="CB45" s="258" t="n">
        <v>2833</v>
      </c>
      <c r="CC45" s="258" t="n"/>
      <c r="CD45" s="357" t="inlineStr">
        <is>
          <t>02</t>
        </is>
      </c>
      <c r="CE45" s="131" t="n"/>
      <c r="CF45" s="258" t="n">
        <v>3836</v>
      </c>
      <c r="CG45" s="258" t="n">
        <v>3584</v>
      </c>
      <c r="CH45" s="258" t="n">
        <v>2913</v>
      </c>
      <c r="CI45" s="258" t="n">
        <v>21</v>
      </c>
      <c r="CJ45" s="258" t="n">
        <v>6466</v>
      </c>
      <c r="CL45" s="357" t="inlineStr">
        <is>
          <t>02</t>
        </is>
      </c>
      <c r="CM45" s="131" t="n"/>
      <c r="CN45" s="258" t="n">
        <v>2605</v>
      </c>
      <c r="CO45" s="258" t="n">
        <v>3063</v>
      </c>
      <c r="CP45" s="258" t="n">
        <v>1997</v>
      </c>
      <c r="CQ45" s="258" t="n">
        <v>69</v>
      </c>
      <c r="CR45" s="258" t="n">
        <v>4795</v>
      </c>
      <c r="CT45" s="357" t="inlineStr">
        <is>
          <t>02</t>
        </is>
      </c>
      <c r="CU45" s="131" t="n"/>
      <c r="CV45" s="131" t="n">
        <v>3616</v>
      </c>
      <c r="CW45" s="258" t="n"/>
      <c r="CX45" s="258" t="n"/>
      <c r="CY45" s="258" t="n"/>
      <c r="CZ45" s="258" t="n"/>
      <c r="DB45" s="357" t="inlineStr">
        <is>
          <t>02</t>
        </is>
      </c>
      <c r="DC45" s="131" t="n"/>
      <c r="DD45" s="258" t="n">
        <v>3409</v>
      </c>
      <c r="DE45" s="258" t="n"/>
      <c r="DF45" s="258" t="n"/>
      <c r="DG45" s="258" t="n"/>
      <c r="DH45" s="258" t="n"/>
      <c r="DI45" s="258" t="n"/>
      <c r="DJ45" s="357" t="inlineStr">
        <is>
          <t>02</t>
        </is>
      </c>
      <c r="DK45" s="131" t="n"/>
      <c r="DL45" s="258" t="n">
        <v>3067</v>
      </c>
      <c r="DM45" s="258" t="n"/>
      <c r="DN45" s="258" t="n"/>
      <c r="DO45" s="258" t="n"/>
      <c r="DP45" s="258" t="n"/>
      <c r="DR45" s="357" t="inlineStr">
        <is>
          <t>02</t>
        </is>
      </c>
      <c r="DS45" s="131" t="n"/>
      <c r="DT45" s="258" t="n">
        <v>1331</v>
      </c>
      <c r="DU45" s="258" t="n"/>
      <c r="DV45" s="258" t="n"/>
      <c r="DW45" s="258" t="n"/>
      <c r="DX45" s="258" t="n"/>
      <c r="DZ45" s="357" t="inlineStr">
        <is>
          <t>02</t>
        </is>
      </c>
      <c r="EA45" s="131" t="n"/>
      <c r="EB45" s="258" t="n"/>
      <c r="EC45" s="258" t="n"/>
      <c r="ED45" s="258" t="n"/>
      <c r="EE45" s="258" t="n"/>
      <c r="EF45" s="258" t="n"/>
    </row>
    <row r="46">
      <c r="B46" s="357" t="inlineStr">
        <is>
          <t>03</t>
        </is>
      </c>
      <c r="C46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46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46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46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46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46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46" s="258" t="n"/>
      <c r="J46" s="357" t="inlineStr">
        <is>
          <t>03</t>
        </is>
      </c>
      <c r="K46" s="131" t="n"/>
      <c r="L46" s="131" t="n">
        <v>2384</v>
      </c>
      <c r="M46" s="258" t="n">
        <v>2889</v>
      </c>
      <c r="N46" s="258" t="n">
        <v>2817</v>
      </c>
      <c r="O46" s="258" t="n">
        <v>110</v>
      </c>
      <c r="P46" s="258" t="n">
        <v>1784</v>
      </c>
      <c r="R46" s="357" t="inlineStr">
        <is>
          <t>03</t>
        </is>
      </c>
      <c r="S46" s="131" t="n"/>
      <c r="T46" s="258" t="n">
        <v>1317</v>
      </c>
      <c r="U46" s="258" t="n">
        <v>1228</v>
      </c>
      <c r="V46" s="258" t="n">
        <v>962</v>
      </c>
      <c r="W46" s="258" t="n">
        <v>34</v>
      </c>
      <c r="X46" s="258" t="n">
        <v>875</v>
      </c>
      <c r="Z46" s="357" t="inlineStr">
        <is>
          <t>03</t>
        </is>
      </c>
      <c r="AA46" s="131" t="n"/>
      <c r="AB46" s="258" t="n">
        <v>2254</v>
      </c>
      <c r="AC46" s="258" t="n">
        <v>2471</v>
      </c>
      <c r="AD46" s="258" t="n">
        <v>2409</v>
      </c>
      <c r="AE46" s="258" t="n">
        <v>51</v>
      </c>
      <c r="AF46" s="258" t="n">
        <v>1657</v>
      </c>
      <c r="AH46" s="357" t="inlineStr">
        <is>
          <t>03</t>
        </is>
      </c>
      <c r="AI46" s="131" t="n"/>
      <c r="AJ46" s="131" t="n">
        <v>2213</v>
      </c>
      <c r="AK46" s="258" t="n">
        <v>2091</v>
      </c>
      <c r="AL46" s="258" t="n">
        <v>1832</v>
      </c>
      <c r="AM46" s="258" t="n">
        <v>84</v>
      </c>
      <c r="AN46" s="258" t="n">
        <v>112</v>
      </c>
      <c r="AP46" s="357" t="inlineStr">
        <is>
          <t>03</t>
        </is>
      </c>
      <c r="AQ46" s="131" t="n"/>
      <c r="AR46" s="131" t="n">
        <v>4828</v>
      </c>
      <c r="AS46" s="258" t="n">
        <v>3972</v>
      </c>
      <c r="AT46" s="258" t="n">
        <v>3893</v>
      </c>
      <c r="AU46" s="258" t="n">
        <v>105</v>
      </c>
      <c r="AV46" s="258" t="n"/>
      <c r="AX46" s="357" t="inlineStr">
        <is>
          <t>03</t>
        </is>
      </c>
      <c r="AY46" s="131" t="n"/>
      <c r="AZ46" s="258" t="n">
        <v>1678</v>
      </c>
      <c r="BA46" s="258" t="n">
        <v>1255</v>
      </c>
      <c r="BB46" s="258" t="n">
        <v>1228</v>
      </c>
      <c r="BC46" s="258" t="n"/>
      <c r="BD46" s="258" t="n"/>
      <c r="BE46" s="258" t="n"/>
      <c r="BF46" s="357" t="inlineStr">
        <is>
          <t>03</t>
        </is>
      </c>
      <c r="BG46" s="131" t="n"/>
      <c r="BH46" s="258" t="n">
        <v>1774</v>
      </c>
      <c r="BI46" s="258" t="n">
        <v>1310</v>
      </c>
      <c r="BJ46" s="258" t="n"/>
      <c r="BK46" s="258" t="n"/>
      <c r="BL46" s="258" t="n"/>
      <c r="BM46" s="258" t="n"/>
      <c r="BN46" s="357" t="inlineStr">
        <is>
          <t>03</t>
        </is>
      </c>
      <c r="BO46" s="131" t="n"/>
      <c r="BP46" s="258" t="n">
        <v>3387</v>
      </c>
      <c r="BQ46" s="258" t="n">
        <v>3500</v>
      </c>
      <c r="BR46" s="258" t="n">
        <v>4236</v>
      </c>
      <c r="BS46" s="258" t="n">
        <v>92</v>
      </c>
      <c r="BT46" s="258" t="n">
        <v>2691</v>
      </c>
      <c r="BV46" s="357" t="inlineStr">
        <is>
          <t>03</t>
        </is>
      </c>
      <c r="BW46" s="131" t="n"/>
      <c r="BX46" s="258" t="n">
        <v>2044</v>
      </c>
      <c r="BY46" s="258" t="n">
        <v>2130</v>
      </c>
      <c r="BZ46" s="258" t="n">
        <v>1693</v>
      </c>
      <c r="CA46" s="258" t="n">
        <v>46</v>
      </c>
      <c r="CB46" s="258" t="n">
        <v>1041</v>
      </c>
      <c r="CC46" s="258" t="n"/>
      <c r="CD46" s="357" t="inlineStr">
        <is>
          <t>03</t>
        </is>
      </c>
      <c r="CE46" s="131" t="n"/>
      <c r="CF46" s="258" t="n">
        <v>3995</v>
      </c>
      <c r="CG46" s="258" t="n">
        <v>3461</v>
      </c>
      <c r="CH46" s="258" t="n">
        <v>3410</v>
      </c>
      <c r="CI46" s="258" t="n">
        <v>45</v>
      </c>
      <c r="CJ46" s="258" t="n">
        <v>2614</v>
      </c>
      <c r="CL46" s="357" t="inlineStr">
        <is>
          <t>03</t>
        </is>
      </c>
      <c r="CM46" s="131" t="n"/>
      <c r="CN46" s="258" t="n">
        <v>3055</v>
      </c>
      <c r="CO46" s="258" t="n">
        <v>2741</v>
      </c>
      <c r="CP46" s="258" t="n">
        <v>2205</v>
      </c>
      <c r="CQ46" s="258" t="n">
        <v>55</v>
      </c>
      <c r="CR46" s="258" t="n">
        <v>2038</v>
      </c>
      <c r="CT46" s="357" t="inlineStr">
        <is>
          <t>03</t>
        </is>
      </c>
      <c r="CU46" s="131" t="n"/>
      <c r="CV46" s="131" t="n">
        <v>3693</v>
      </c>
      <c r="CW46" s="258" t="n"/>
      <c r="CX46" s="258" t="n"/>
      <c r="CY46" s="258" t="n"/>
      <c r="CZ46" s="258" t="n"/>
      <c r="DB46" s="357" t="inlineStr">
        <is>
          <t>03</t>
        </is>
      </c>
      <c r="DC46" s="131" t="n"/>
      <c r="DD46" s="258" t="n">
        <v>3336</v>
      </c>
      <c r="DE46" s="258" t="n"/>
      <c r="DF46" s="258" t="n"/>
      <c r="DG46" s="258" t="n"/>
      <c r="DH46" s="258" t="n"/>
      <c r="DI46" s="258" t="n"/>
      <c r="DJ46" s="357" t="inlineStr">
        <is>
          <t>03</t>
        </is>
      </c>
      <c r="DK46" s="131" t="n"/>
      <c r="DL46" s="258" t="n">
        <v>2489</v>
      </c>
      <c r="DM46" s="258" t="n"/>
      <c r="DN46" s="258" t="n"/>
      <c r="DO46" s="258" t="n"/>
      <c r="DP46" s="258" t="n"/>
      <c r="DR46" s="357" t="inlineStr">
        <is>
          <t>03</t>
        </is>
      </c>
      <c r="DS46" s="131" t="n"/>
      <c r="DT46" s="258" t="n">
        <v>1316</v>
      </c>
      <c r="DU46" s="258" t="n"/>
      <c r="DV46" s="258" t="n"/>
      <c r="DW46" s="258" t="n"/>
      <c r="DX46" s="258" t="n"/>
      <c r="DZ46" s="357" t="inlineStr">
        <is>
          <t>03</t>
        </is>
      </c>
      <c r="EA46" s="131" t="n"/>
      <c r="EB46" s="258" t="n"/>
      <c r="EC46" s="258" t="n"/>
      <c r="ED46" s="258" t="n"/>
      <c r="EE46" s="258" t="n"/>
      <c r="EF46" s="258" t="n"/>
    </row>
    <row r="47">
      <c r="B47" s="357" t="inlineStr">
        <is>
          <t>04</t>
        </is>
      </c>
      <c r="C47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47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47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47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47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47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47" s="258" t="n"/>
      <c r="J47" s="357" t="inlineStr">
        <is>
          <t>04</t>
        </is>
      </c>
      <c r="K47" s="131" t="n"/>
      <c r="L47" s="131" t="n">
        <v>2548</v>
      </c>
      <c r="M47" s="258" t="n">
        <v>2832</v>
      </c>
      <c r="N47" s="258" t="n">
        <v>2916</v>
      </c>
      <c r="O47" s="258" t="n">
        <v>74</v>
      </c>
      <c r="P47" s="258" t="n">
        <v>1e-08</v>
      </c>
      <c r="R47" s="357" t="inlineStr">
        <is>
          <t>04</t>
        </is>
      </c>
      <c r="S47" s="131" t="n"/>
      <c r="T47" s="258" t="n">
        <v>1421</v>
      </c>
      <c r="U47" s="258" t="n">
        <v>1388</v>
      </c>
      <c r="V47" s="258" t="n">
        <v>1129</v>
      </c>
      <c r="W47" s="258" t="n">
        <v>20</v>
      </c>
      <c r="X47" s="258" t="n">
        <v>0</v>
      </c>
      <c r="Z47" s="357" t="inlineStr">
        <is>
          <t>04</t>
        </is>
      </c>
      <c r="AA47" s="131" t="n"/>
      <c r="AB47" s="258" t="n">
        <v>2561</v>
      </c>
      <c r="AC47" s="258" t="n">
        <v>2690</v>
      </c>
      <c r="AD47" s="258" t="n">
        <v>1793</v>
      </c>
      <c r="AE47" s="258" t="n">
        <v>71</v>
      </c>
      <c r="AF47" s="258" t="n">
        <v>0</v>
      </c>
      <c r="AH47" s="357" t="inlineStr">
        <is>
          <t>04</t>
        </is>
      </c>
      <c r="AI47" s="131" t="n"/>
      <c r="AJ47" s="131" t="n">
        <v>3129</v>
      </c>
      <c r="AK47" s="258" t="n">
        <v>2628</v>
      </c>
      <c r="AL47" s="258" t="n">
        <v>2117</v>
      </c>
      <c r="AM47" s="258" t="n">
        <v>88</v>
      </c>
      <c r="AN47" s="258" t="n">
        <v>0</v>
      </c>
      <c r="AP47" s="357" t="inlineStr">
        <is>
          <t>04</t>
        </is>
      </c>
      <c r="AQ47" s="131" t="n"/>
      <c r="AR47" s="131" t="n">
        <v>4767</v>
      </c>
      <c r="AS47" s="258" t="n">
        <v>5088</v>
      </c>
      <c r="AT47" s="258" t="n">
        <v>4301</v>
      </c>
      <c r="AU47" s="258" t="n">
        <v>45</v>
      </c>
      <c r="AV47" s="258" t="n"/>
      <c r="AX47" s="357" t="inlineStr">
        <is>
          <t>04</t>
        </is>
      </c>
      <c r="AY47" s="131" t="n"/>
      <c r="AZ47" s="258" t="n">
        <v>1597</v>
      </c>
      <c r="BA47" s="258" t="n">
        <v>1649</v>
      </c>
      <c r="BB47" s="258" t="n">
        <v>1432</v>
      </c>
      <c r="BC47" s="258" t="n"/>
      <c r="BD47" s="258" t="n"/>
      <c r="BE47" s="258" t="n"/>
      <c r="BF47" s="357" t="inlineStr">
        <is>
          <t>04</t>
        </is>
      </c>
      <c r="BG47" s="131" t="n"/>
      <c r="BH47" s="258" t="n">
        <v>1815</v>
      </c>
      <c r="BI47" s="258" t="n">
        <v>1904</v>
      </c>
      <c r="BJ47" s="258" t="n"/>
      <c r="BK47" s="258" t="n"/>
      <c r="BL47" s="258" t="n"/>
      <c r="BM47" s="258" t="n"/>
      <c r="BN47" s="357" t="inlineStr">
        <is>
          <t>04</t>
        </is>
      </c>
      <c r="BO47" s="131" t="n"/>
      <c r="BP47" s="258" t="n">
        <v>3411</v>
      </c>
      <c r="BQ47" s="258" t="n">
        <v>3343</v>
      </c>
      <c r="BR47" s="258" t="n">
        <v>4498</v>
      </c>
      <c r="BS47" s="258" t="n">
        <v>42</v>
      </c>
      <c r="BT47" s="258" t="n">
        <v>0</v>
      </c>
      <c r="BV47" s="357" t="inlineStr">
        <is>
          <t>04</t>
        </is>
      </c>
      <c r="BW47" s="131" t="n"/>
      <c r="BX47" s="258" t="n">
        <v>2218</v>
      </c>
      <c r="BY47" s="258" t="n">
        <v>2067</v>
      </c>
      <c r="BZ47" s="258" t="n">
        <v>1958</v>
      </c>
      <c r="CA47" s="258" t="n">
        <v>30</v>
      </c>
      <c r="CB47" s="258" t="n">
        <v>0</v>
      </c>
      <c r="CC47" s="258" t="n"/>
      <c r="CD47" s="357" t="inlineStr">
        <is>
          <t>04</t>
        </is>
      </c>
      <c r="CE47" s="131" t="n"/>
      <c r="CF47" s="258" t="n">
        <v>4351</v>
      </c>
      <c r="CG47" s="258" t="n">
        <v>3728</v>
      </c>
      <c r="CH47" s="258" t="n">
        <v>3668</v>
      </c>
      <c r="CI47" s="258" t="n">
        <v>51</v>
      </c>
      <c r="CJ47" s="258" t="n">
        <v>1</v>
      </c>
      <c r="CL47" s="357" t="inlineStr">
        <is>
          <t>04</t>
        </is>
      </c>
      <c r="CM47" s="131" t="n"/>
      <c r="CN47" s="258" t="n">
        <v>2767</v>
      </c>
      <c r="CO47" s="258" t="n">
        <v>3317</v>
      </c>
      <c r="CP47" s="258" t="n">
        <v>2955</v>
      </c>
      <c r="CQ47" s="258" t="n">
        <v>40</v>
      </c>
      <c r="CR47" s="258" t="n">
        <v>0</v>
      </c>
      <c r="CT47" s="357" t="inlineStr">
        <is>
          <t>04</t>
        </is>
      </c>
      <c r="CU47" s="131" t="n"/>
      <c r="CV47" s="131" t="n">
        <v>4065</v>
      </c>
      <c r="CW47" s="258" t="n"/>
      <c r="CX47" s="258" t="n"/>
      <c r="CY47" s="258" t="n"/>
      <c r="CZ47" s="258" t="n"/>
      <c r="DB47" s="357" t="inlineStr">
        <is>
          <t>04</t>
        </is>
      </c>
      <c r="DC47" s="131" t="n"/>
      <c r="DD47" s="258" t="n">
        <v>2992</v>
      </c>
      <c r="DE47" s="258" t="n"/>
      <c r="DF47" s="258" t="n"/>
      <c r="DG47" s="258" t="n"/>
      <c r="DH47" s="258" t="n"/>
      <c r="DI47" s="258" t="n"/>
      <c r="DJ47" s="357" t="inlineStr">
        <is>
          <t>04</t>
        </is>
      </c>
      <c r="DK47" s="131" t="n"/>
      <c r="DL47" s="258" t="n">
        <v>2905</v>
      </c>
      <c r="DM47" s="258" t="n"/>
      <c r="DN47" s="258" t="n"/>
      <c r="DO47" s="258" t="n"/>
      <c r="DP47" s="258" t="n"/>
      <c r="DR47" s="357" t="inlineStr">
        <is>
          <t>04</t>
        </is>
      </c>
      <c r="DS47" s="131" t="n"/>
      <c r="DT47" s="258" t="n">
        <v>1708</v>
      </c>
      <c r="DU47" s="258" t="n"/>
      <c r="DV47" s="258" t="n"/>
      <c r="DW47" s="258" t="n"/>
      <c r="DX47" s="258" t="n"/>
      <c r="DZ47" s="357" t="inlineStr">
        <is>
          <t>04</t>
        </is>
      </c>
      <c r="EA47" s="131" t="n"/>
      <c r="EB47" s="258" t="n"/>
      <c r="EC47" s="258" t="n"/>
      <c r="ED47" s="258" t="n"/>
      <c r="EE47" s="258" t="n"/>
      <c r="EF47" s="258" t="n"/>
    </row>
    <row r="48">
      <c r="B48" s="357" t="inlineStr">
        <is>
          <t>05</t>
        </is>
      </c>
      <c r="C48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48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48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48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48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48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48" s="258" t="n"/>
      <c r="J48" s="357" t="inlineStr">
        <is>
          <t>05</t>
        </is>
      </c>
      <c r="K48" s="131" t="n"/>
      <c r="L48" s="131" t="n">
        <v>2844</v>
      </c>
      <c r="M48" s="258" t="n">
        <v>3026</v>
      </c>
      <c r="N48" s="258" t="n">
        <v>3549</v>
      </c>
      <c r="O48" s="258" t="n">
        <v>582</v>
      </c>
      <c r="P48" s="258" t="n">
        <v>1e-07</v>
      </c>
      <c r="R48" s="357" t="inlineStr">
        <is>
          <t>05</t>
        </is>
      </c>
      <c r="S48" s="273" t="n"/>
      <c r="T48" s="258" t="n">
        <v>1555</v>
      </c>
      <c r="U48" s="258" t="n">
        <v>1562</v>
      </c>
      <c r="V48" s="258" t="n">
        <v>1396</v>
      </c>
      <c r="W48" s="258" t="n">
        <v>153</v>
      </c>
      <c r="X48" s="258" t="n">
        <v>0</v>
      </c>
      <c r="Z48" s="357" t="inlineStr">
        <is>
          <t>05</t>
        </is>
      </c>
      <c r="AA48" s="131" t="n"/>
      <c r="AB48" s="258" t="n">
        <v>1937</v>
      </c>
      <c r="AC48" s="258" t="n">
        <v>2232</v>
      </c>
      <c r="AD48" s="258" t="n">
        <v>2451</v>
      </c>
      <c r="AE48" s="258" t="n">
        <v>309</v>
      </c>
      <c r="AF48" s="258" t="n">
        <v>0</v>
      </c>
      <c r="AH48" s="357" t="inlineStr">
        <is>
          <t>05</t>
        </is>
      </c>
      <c r="AI48" s="131" t="n"/>
      <c r="AJ48" s="131" t="n">
        <v>2606</v>
      </c>
      <c r="AK48" s="258" t="n">
        <v>2491</v>
      </c>
      <c r="AL48" s="258" t="n">
        <v>2582</v>
      </c>
      <c r="AM48" s="258" t="n">
        <v>348</v>
      </c>
      <c r="AN48" s="258" t="n">
        <v>0</v>
      </c>
      <c r="AP48" s="357" t="inlineStr">
        <is>
          <t>05</t>
        </is>
      </c>
      <c r="AQ48" s="131" t="n"/>
      <c r="AR48" s="131" t="n">
        <v>4403</v>
      </c>
      <c r="AS48" s="258" t="n">
        <v>4677</v>
      </c>
      <c r="AT48" s="258" t="n">
        <v>4743</v>
      </c>
      <c r="AU48" s="258" t="n">
        <v>710</v>
      </c>
      <c r="AV48" s="258" t="n"/>
      <c r="AX48" s="357" t="inlineStr">
        <is>
          <t>05</t>
        </is>
      </c>
      <c r="AY48" s="131" t="n"/>
      <c r="AZ48" s="258" t="n">
        <v>1671</v>
      </c>
      <c r="BA48" s="258" t="n">
        <v>1601</v>
      </c>
      <c r="BB48" s="258" t="n">
        <v>1448</v>
      </c>
      <c r="BC48" s="258" t="n"/>
      <c r="BD48" s="258" t="n"/>
      <c r="BE48" s="258" t="n"/>
      <c r="BF48" s="357" t="inlineStr">
        <is>
          <t>05</t>
        </is>
      </c>
      <c r="BG48" s="131" t="n"/>
      <c r="BH48" s="258" t="n">
        <v>2128</v>
      </c>
      <c r="BI48" s="258" t="n">
        <v>1956</v>
      </c>
      <c r="BJ48" s="258" t="n"/>
      <c r="BK48" s="258" t="n"/>
      <c r="BL48" s="258" t="n"/>
      <c r="BM48" s="258" t="n"/>
      <c r="BN48" s="357" t="inlineStr">
        <is>
          <t>05</t>
        </is>
      </c>
      <c r="BO48" s="131" t="n"/>
      <c r="BP48" s="258" t="n">
        <v>3384</v>
      </c>
      <c r="BQ48" s="258" t="n">
        <v>3326</v>
      </c>
      <c r="BR48" s="258" t="n">
        <v>4626</v>
      </c>
      <c r="BS48" s="258" t="n">
        <v>245</v>
      </c>
      <c r="BT48" s="258" t="n">
        <v>4</v>
      </c>
      <c r="BV48" s="357" t="inlineStr">
        <is>
          <t>05</t>
        </is>
      </c>
      <c r="BW48" s="131" t="n"/>
      <c r="BX48" s="258" t="n">
        <v>2407</v>
      </c>
      <c r="BY48" s="258" t="n">
        <v>2329</v>
      </c>
      <c r="BZ48" s="258" t="n">
        <v>2119</v>
      </c>
      <c r="CA48" s="258" t="n">
        <v>328</v>
      </c>
      <c r="CB48" s="258" t="n">
        <v>4</v>
      </c>
      <c r="CC48" s="258" t="n"/>
      <c r="CD48" s="357" t="inlineStr">
        <is>
          <t>05</t>
        </is>
      </c>
      <c r="CE48" s="131" t="n"/>
      <c r="CF48" s="258" t="n">
        <v>4648</v>
      </c>
      <c r="CG48" s="258" t="n">
        <v>4417</v>
      </c>
      <c r="CH48" s="258" t="n">
        <v>4635</v>
      </c>
      <c r="CI48" s="258" t="n">
        <v>584</v>
      </c>
      <c r="CJ48" s="258" t="n">
        <v>25</v>
      </c>
      <c r="CL48" s="357" t="inlineStr">
        <is>
          <t>05</t>
        </is>
      </c>
      <c r="CM48" s="131" t="n"/>
      <c r="CN48" s="258" t="n">
        <v>3020</v>
      </c>
      <c r="CO48" s="258" t="n">
        <v>3495</v>
      </c>
      <c r="CP48" s="258" t="n">
        <v>3805</v>
      </c>
      <c r="CQ48" s="258" t="n">
        <v>358</v>
      </c>
      <c r="CR48" s="258" t="n">
        <v>1</v>
      </c>
      <c r="CT48" s="357" t="inlineStr">
        <is>
          <t>05</t>
        </is>
      </c>
      <c r="CU48" s="131" t="n"/>
      <c r="CV48" s="131" t="n">
        <v>3809</v>
      </c>
      <c r="CW48" s="258" t="n"/>
      <c r="CX48" s="258" t="n"/>
      <c r="CY48" s="258" t="n"/>
      <c r="CZ48" s="258" t="n"/>
      <c r="DB48" s="357" t="inlineStr">
        <is>
          <t>05</t>
        </is>
      </c>
      <c r="DC48" s="131" t="n"/>
      <c r="DD48" s="258" t="n">
        <v>2867</v>
      </c>
      <c r="DE48" s="258" t="n"/>
      <c r="DF48" s="258" t="n"/>
      <c r="DG48" s="258" t="n"/>
      <c r="DH48" s="258" t="n"/>
      <c r="DI48" s="258" t="n"/>
      <c r="DJ48" s="357" t="inlineStr">
        <is>
          <t>05</t>
        </is>
      </c>
      <c r="DK48" s="131" t="n"/>
      <c r="DL48" s="258" t="n">
        <v>2867</v>
      </c>
      <c r="DM48" s="258" t="n"/>
      <c r="DN48" s="258" t="n"/>
      <c r="DO48" s="258" t="n"/>
      <c r="DP48" s="258" t="n"/>
      <c r="DR48" s="357" t="inlineStr">
        <is>
          <t>05</t>
        </is>
      </c>
      <c r="DS48" s="131" t="n"/>
      <c r="DT48" s="258" t="n">
        <v>1703</v>
      </c>
      <c r="DU48" s="258" t="n"/>
      <c r="DV48" s="258" t="n"/>
      <c r="DW48" s="258" t="n"/>
      <c r="DX48" s="258" t="n"/>
      <c r="DZ48" s="357" t="inlineStr">
        <is>
          <t>05</t>
        </is>
      </c>
      <c r="EA48" s="131" t="n"/>
      <c r="EB48" s="258" t="n"/>
      <c r="EC48" s="258" t="n"/>
      <c r="ED48" s="258" t="n"/>
      <c r="EE48" s="258" t="n"/>
      <c r="EF48" s="258" t="n"/>
    </row>
    <row r="49">
      <c r="B49" s="357" t="inlineStr">
        <is>
          <t>06</t>
        </is>
      </c>
      <c r="C49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49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49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49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49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49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49" s="258" t="n"/>
      <c r="J49" s="357" t="inlineStr">
        <is>
          <t>06</t>
        </is>
      </c>
      <c r="K49" s="131" t="n"/>
      <c r="L49" s="131" t="n">
        <v>2890</v>
      </c>
      <c r="M49" s="258" t="n">
        <v>2949</v>
      </c>
      <c r="N49" s="258" t="n">
        <v>3390</v>
      </c>
      <c r="O49" s="258" t="n">
        <v>2617</v>
      </c>
      <c r="P49" s="258" t="n">
        <v>1902</v>
      </c>
      <c r="R49" s="357" t="inlineStr">
        <is>
          <t>06</t>
        </is>
      </c>
      <c r="S49" s="273" t="n"/>
      <c r="T49" s="258" t="n">
        <v>1484</v>
      </c>
      <c r="U49" s="258" t="n">
        <v>1596</v>
      </c>
      <c r="V49" s="258" t="n">
        <v>1376</v>
      </c>
      <c r="W49" s="258" t="n">
        <v>1103</v>
      </c>
      <c r="X49" s="258" t="n">
        <v>782</v>
      </c>
      <c r="Z49" s="357" t="inlineStr">
        <is>
          <t>06</t>
        </is>
      </c>
      <c r="AA49" s="131" t="n"/>
      <c r="AB49" s="258" t="n">
        <v>2099</v>
      </c>
      <c r="AC49" s="258" t="n">
        <v>2203</v>
      </c>
      <c r="AD49" s="258" t="n">
        <v>2034</v>
      </c>
      <c r="AE49" s="258" t="n">
        <v>1288</v>
      </c>
      <c r="AF49" s="258" t="n">
        <v>1125</v>
      </c>
      <c r="AH49" s="357" t="inlineStr">
        <is>
          <t>06</t>
        </is>
      </c>
      <c r="AI49" s="131" t="n"/>
      <c r="AJ49" s="131" t="n">
        <v>2312</v>
      </c>
      <c r="AK49" s="258" t="n">
        <v>2518</v>
      </c>
      <c r="AL49" s="258" t="n">
        <v>2466</v>
      </c>
      <c r="AM49" s="258" t="n">
        <v>2145</v>
      </c>
      <c r="AN49" s="258" t="n">
        <v>1906</v>
      </c>
      <c r="AP49" s="357" t="inlineStr">
        <is>
          <t>06</t>
        </is>
      </c>
      <c r="AQ49" s="131" t="n"/>
      <c r="AR49" s="131" t="n">
        <v>3870</v>
      </c>
      <c r="AS49" s="258" t="n">
        <v>4360</v>
      </c>
      <c r="AT49" s="258" t="n">
        <v>5296</v>
      </c>
      <c r="AU49" s="258" t="n">
        <v>1061</v>
      </c>
      <c r="AV49" s="258" t="n"/>
      <c r="AX49" s="357" t="inlineStr">
        <is>
          <t>06</t>
        </is>
      </c>
      <c r="AY49" s="131" t="n"/>
      <c r="AZ49" s="258" t="n">
        <v>1606</v>
      </c>
      <c r="BA49" s="258" t="n">
        <v>1563</v>
      </c>
      <c r="BB49" s="258" t="n">
        <v>1636</v>
      </c>
      <c r="BC49" s="258" t="n"/>
      <c r="BD49" s="258" t="n"/>
      <c r="BE49" s="258" t="n"/>
      <c r="BF49" s="357" t="inlineStr">
        <is>
          <t>06</t>
        </is>
      </c>
      <c r="BG49" s="131" t="n"/>
      <c r="BH49" s="258" t="n">
        <v>2077</v>
      </c>
      <c r="BI49" s="258" t="n">
        <v>2029</v>
      </c>
      <c r="BJ49" s="258" t="n"/>
      <c r="BK49" s="258" t="n"/>
      <c r="BL49" s="258" t="n"/>
      <c r="BM49" s="258" t="n"/>
      <c r="BN49" s="357" t="inlineStr">
        <is>
          <t>06</t>
        </is>
      </c>
      <c r="BO49" s="131" t="n"/>
      <c r="BP49" s="258" t="n">
        <v>2912</v>
      </c>
      <c r="BQ49" s="258" t="n">
        <v>2908</v>
      </c>
      <c r="BR49" s="258" t="n">
        <v>3460</v>
      </c>
      <c r="BS49" s="258" t="n">
        <v>1999</v>
      </c>
      <c r="BT49" s="258" t="n">
        <v>1814</v>
      </c>
      <c r="BV49" s="357" t="inlineStr">
        <is>
          <t>06</t>
        </is>
      </c>
      <c r="BW49" s="131" t="n"/>
      <c r="BX49" s="258" t="n">
        <v>2286</v>
      </c>
      <c r="BY49" s="258" t="n">
        <v>2103</v>
      </c>
      <c r="BZ49" s="258" t="n">
        <v>2453</v>
      </c>
      <c r="CA49" s="258" t="n">
        <v>1636</v>
      </c>
      <c r="CB49" s="258" t="n">
        <v>1795</v>
      </c>
      <c r="CC49" s="258" t="n"/>
      <c r="CD49" s="357" t="inlineStr">
        <is>
          <t>06</t>
        </is>
      </c>
      <c r="CE49" s="131" t="n"/>
      <c r="CF49" s="258" t="n">
        <v>4103</v>
      </c>
      <c r="CG49" s="258" t="n">
        <v>4356</v>
      </c>
      <c r="CH49" s="258" t="n">
        <v>4552</v>
      </c>
      <c r="CI49" s="258" t="n">
        <v>3276</v>
      </c>
      <c r="CJ49" s="258" t="n">
        <v>4118</v>
      </c>
      <c r="CL49" s="357" t="inlineStr">
        <is>
          <t>06</t>
        </is>
      </c>
      <c r="CM49" s="131" t="n"/>
      <c r="CN49" s="258" t="n">
        <v>3373</v>
      </c>
      <c r="CO49" s="258" t="n">
        <v>3094</v>
      </c>
      <c r="CP49" s="258" t="n">
        <v>3992</v>
      </c>
      <c r="CQ49" s="258" t="n">
        <v>2254</v>
      </c>
      <c r="CR49" s="258" t="n">
        <v>1942</v>
      </c>
      <c r="CT49" s="357" t="inlineStr">
        <is>
          <t>06</t>
        </is>
      </c>
      <c r="CU49" s="131" t="n"/>
      <c r="CV49" s="131" t="n">
        <v>3552</v>
      </c>
      <c r="CW49" s="258" t="n"/>
      <c r="CX49" s="258" t="n"/>
      <c r="CY49" s="258" t="n"/>
      <c r="CZ49" s="258" t="n"/>
      <c r="DB49" s="357" t="inlineStr">
        <is>
          <t>06</t>
        </is>
      </c>
      <c r="DC49" s="131" t="n"/>
      <c r="DD49" s="258" t="n">
        <v>2597</v>
      </c>
      <c r="DE49" s="258" t="n"/>
      <c r="DF49" s="258" t="n"/>
      <c r="DG49" s="258" t="n"/>
      <c r="DH49" s="258" t="n"/>
      <c r="DI49" s="258" t="n"/>
      <c r="DJ49" s="357" t="inlineStr">
        <is>
          <t>06</t>
        </is>
      </c>
      <c r="DK49" s="131" t="n"/>
      <c r="DL49" s="258" t="n">
        <v>2524</v>
      </c>
      <c r="DM49" s="258" t="n"/>
      <c r="DN49" s="258" t="n"/>
      <c r="DO49" s="258" t="n"/>
      <c r="DP49" s="258" t="n"/>
      <c r="DR49" s="357" t="inlineStr">
        <is>
          <t>06</t>
        </is>
      </c>
      <c r="DS49" s="131" t="n"/>
      <c r="DT49" s="258" t="n">
        <v>1648</v>
      </c>
      <c r="DU49" s="258" t="n"/>
      <c r="DV49" s="258" t="n"/>
      <c r="DW49" s="258" t="n"/>
      <c r="DX49" s="258" t="n"/>
      <c r="DZ49" s="357" t="inlineStr">
        <is>
          <t>06</t>
        </is>
      </c>
      <c r="EA49" s="131" t="n"/>
      <c r="EB49" s="258" t="n"/>
      <c r="EC49" s="258" t="n"/>
      <c r="ED49" s="258" t="n"/>
      <c r="EE49" s="258" t="n"/>
      <c r="EF49" s="258" t="n"/>
    </row>
    <row r="50">
      <c r="B50" s="357" t="inlineStr">
        <is>
          <t>07</t>
        </is>
      </c>
      <c r="C50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50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50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50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50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50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50" s="258" t="n"/>
      <c r="J50" s="357" t="inlineStr">
        <is>
          <t>07</t>
        </is>
      </c>
      <c r="K50" s="131" t="n"/>
      <c r="L50" s="131" t="n">
        <v>3611</v>
      </c>
      <c r="M50" s="258" t="n">
        <v>3157</v>
      </c>
      <c r="N50" s="258" t="n">
        <v>3813</v>
      </c>
      <c r="O50" s="258" t="n">
        <v>3095</v>
      </c>
      <c r="P50" s="258" t="n">
        <v>2913</v>
      </c>
      <c r="R50" s="357" t="inlineStr">
        <is>
          <t>07</t>
        </is>
      </c>
      <c r="S50" s="131" t="n"/>
      <c r="T50" s="258" t="n">
        <v>1593</v>
      </c>
      <c r="U50" s="258" t="n">
        <v>1483</v>
      </c>
      <c r="V50" s="258" t="n">
        <v>1482</v>
      </c>
      <c r="W50" s="258" t="n">
        <v>1413</v>
      </c>
      <c r="X50" s="258" t="n">
        <v>1537</v>
      </c>
      <c r="Z50" s="357" t="inlineStr">
        <is>
          <t>07</t>
        </is>
      </c>
      <c r="AA50" s="131" t="n"/>
      <c r="AB50" s="258" t="n">
        <v>1911</v>
      </c>
      <c r="AC50" s="258" t="n">
        <v>1928</v>
      </c>
      <c r="AD50" s="258" t="n">
        <v>1910</v>
      </c>
      <c r="AE50" s="258" t="n">
        <v>1914</v>
      </c>
      <c r="AF50" s="258" t="n">
        <v>1654</v>
      </c>
      <c r="AH50" s="357" t="inlineStr">
        <is>
          <t>07</t>
        </is>
      </c>
      <c r="AI50" s="131" t="n"/>
      <c r="AJ50" s="131" t="n">
        <v>2205</v>
      </c>
      <c r="AK50" s="258" t="n">
        <v>2702</v>
      </c>
      <c r="AL50" s="258" t="n">
        <v>2420</v>
      </c>
      <c r="AM50" s="258" t="n">
        <v>2146</v>
      </c>
      <c r="AN50" s="258" t="n">
        <v>2497</v>
      </c>
      <c r="AP50" s="357" t="inlineStr">
        <is>
          <t>07</t>
        </is>
      </c>
      <c r="AQ50" s="131" t="n"/>
      <c r="AR50" s="131" t="n">
        <v>4363</v>
      </c>
      <c r="AS50" s="258" t="n">
        <v>4759</v>
      </c>
      <c r="AT50" s="258" t="n">
        <v>5763</v>
      </c>
      <c r="AU50" s="258" t="n">
        <v>1056</v>
      </c>
      <c r="AV50" s="258" t="n"/>
      <c r="AX50" s="357" t="inlineStr">
        <is>
          <t>07</t>
        </is>
      </c>
      <c r="AY50" s="131" t="n"/>
      <c r="AZ50" s="258" t="n">
        <v>1472</v>
      </c>
      <c r="BA50" s="258" t="n">
        <v>1718</v>
      </c>
      <c r="BB50" s="258" t="n">
        <v>1653</v>
      </c>
      <c r="BC50" s="258" t="n">
        <v>422</v>
      </c>
      <c r="BD50" s="258" t="n"/>
      <c r="BE50" s="258" t="n"/>
      <c r="BF50" s="357" t="inlineStr">
        <is>
          <t>07</t>
        </is>
      </c>
      <c r="BG50" s="131" t="n"/>
      <c r="BH50" s="258" t="n">
        <v>2478</v>
      </c>
      <c r="BI50" s="258" t="n">
        <v>2685</v>
      </c>
      <c r="BJ50" s="258" t="n"/>
      <c r="BK50" s="258" t="n"/>
      <c r="BL50" s="258" t="n"/>
      <c r="BM50" s="258" t="n"/>
      <c r="BN50" s="357" t="inlineStr">
        <is>
          <t>07</t>
        </is>
      </c>
      <c r="BO50" s="131" t="n"/>
      <c r="BP50" s="258" t="n">
        <v>2678</v>
      </c>
      <c r="BQ50" s="258" t="n">
        <v>2748</v>
      </c>
      <c r="BR50" s="258" t="n">
        <v>3382</v>
      </c>
      <c r="BS50" s="258" t="n">
        <v>2553</v>
      </c>
      <c r="BT50" s="258" t="n">
        <v>2435</v>
      </c>
      <c r="BV50" s="357" t="inlineStr">
        <is>
          <t>07</t>
        </is>
      </c>
      <c r="BW50" s="131" t="n"/>
      <c r="BX50" s="258" t="n">
        <v>3264</v>
      </c>
      <c r="BY50" s="258" t="n">
        <v>3122</v>
      </c>
      <c r="BZ50" s="258" t="n">
        <v>3503</v>
      </c>
      <c r="CA50" s="258" t="n">
        <v>2983</v>
      </c>
      <c r="CB50" s="258" t="n">
        <v>3056</v>
      </c>
      <c r="CC50" s="258" t="n"/>
      <c r="CD50" s="357" t="inlineStr">
        <is>
          <t>07</t>
        </is>
      </c>
      <c r="CE50" s="131" t="n"/>
      <c r="CF50" s="258" t="n">
        <v>5667</v>
      </c>
      <c r="CG50" s="258" t="n">
        <v>5769</v>
      </c>
      <c r="CH50" s="258" t="n">
        <v>6417</v>
      </c>
      <c r="CI50" s="258" t="n">
        <v>4888</v>
      </c>
      <c r="CJ50" s="258" t="n">
        <v>7039</v>
      </c>
      <c r="CL50" s="357" t="inlineStr">
        <is>
          <t>07</t>
        </is>
      </c>
      <c r="CM50" s="131" t="n"/>
      <c r="CN50" s="258" t="n">
        <v>4290</v>
      </c>
      <c r="CO50" s="258" t="n">
        <v>3825</v>
      </c>
      <c r="CP50" s="258" t="n">
        <v>4366</v>
      </c>
      <c r="CQ50" s="258" t="n">
        <v>3369</v>
      </c>
      <c r="CR50" s="258" t="n">
        <v>3405</v>
      </c>
      <c r="CT50" s="357" t="inlineStr">
        <is>
          <t>07</t>
        </is>
      </c>
      <c r="CU50" s="131" t="n"/>
      <c r="CV50" s="131" t="n">
        <v>3869</v>
      </c>
      <c r="CW50" s="258" t="n"/>
      <c r="CX50" s="258" t="n"/>
      <c r="CY50" s="258" t="n"/>
      <c r="CZ50" s="258" t="n"/>
      <c r="DB50" s="357" t="inlineStr">
        <is>
          <t>07</t>
        </is>
      </c>
      <c r="DC50" s="131" t="n"/>
      <c r="DD50" s="258" t="n">
        <v>2884</v>
      </c>
      <c r="DE50" s="258" t="n"/>
      <c r="DF50" s="258" t="n"/>
      <c r="DG50" s="258" t="n"/>
      <c r="DH50" s="258" t="n"/>
      <c r="DI50" s="258" t="n"/>
      <c r="DJ50" s="357" t="inlineStr">
        <is>
          <t>07</t>
        </is>
      </c>
      <c r="DK50" s="131" t="n"/>
      <c r="DL50" s="258" t="n">
        <v>2683</v>
      </c>
      <c r="DM50" s="258" t="n"/>
      <c r="DN50" s="258" t="n"/>
      <c r="DO50" s="258" t="n"/>
      <c r="DP50" s="258" t="n"/>
      <c r="DR50" s="357" t="inlineStr">
        <is>
          <t>07</t>
        </is>
      </c>
      <c r="DS50" s="131" t="n"/>
      <c r="DT50" s="258" t="n">
        <v>1591</v>
      </c>
      <c r="DU50" s="258" t="n"/>
      <c r="DV50" s="258" t="n"/>
      <c r="DW50" s="258" t="n"/>
      <c r="DX50" s="258" t="n"/>
      <c r="DZ50" s="357" t="inlineStr">
        <is>
          <t>07</t>
        </is>
      </c>
      <c r="EA50" s="131" t="n"/>
      <c r="EB50" s="258" t="n"/>
      <c r="EC50" s="258" t="n"/>
      <c r="ED50" s="258" t="n"/>
      <c r="EE50" s="258" t="n"/>
      <c r="EF50" s="258" t="n"/>
    </row>
    <row r="51">
      <c r="B51" s="357" t="inlineStr">
        <is>
          <t>08</t>
        </is>
      </c>
      <c r="C51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51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51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51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51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51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51" s="258" t="n"/>
      <c r="J51" s="357" t="inlineStr">
        <is>
          <t>08</t>
        </is>
      </c>
      <c r="K51" s="131" t="n"/>
      <c r="L51" s="131" t="n">
        <v>3825</v>
      </c>
      <c r="M51" s="258" t="n">
        <v>3244</v>
      </c>
      <c r="N51" s="258" t="n">
        <v>3890</v>
      </c>
      <c r="O51" s="258" t="n">
        <v>2093</v>
      </c>
      <c r="P51" s="258" t="n">
        <v>3387</v>
      </c>
      <c r="R51" s="357" t="inlineStr">
        <is>
          <t>08</t>
        </is>
      </c>
      <c r="S51" s="131" t="n"/>
      <c r="T51" s="258" t="n">
        <v>1515</v>
      </c>
      <c r="U51" s="258" t="n">
        <v>1443</v>
      </c>
      <c r="V51" s="258" t="n">
        <v>1433</v>
      </c>
      <c r="W51" s="258" t="n">
        <v>989</v>
      </c>
      <c r="X51" s="258" t="n">
        <v>1604</v>
      </c>
      <c r="Z51" s="357" t="inlineStr">
        <is>
          <t>08</t>
        </is>
      </c>
      <c r="AA51" s="131" t="n"/>
      <c r="AB51" s="258" t="n">
        <v>1665</v>
      </c>
      <c r="AC51" s="258" t="n">
        <v>2301</v>
      </c>
      <c r="AD51" s="258" t="n">
        <v>1920</v>
      </c>
      <c r="AE51" s="258" t="n">
        <v>1341</v>
      </c>
      <c r="AF51" s="258" t="n">
        <v>1662</v>
      </c>
      <c r="AH51" s="357" t="inlineStr">
        <is>
          <t>08</t>
        </is>
      </c>
      <c r="AI51" s="131" t="n"/>
      <c r="AJ51" s="131" t="n">
        <v>2241</v>
      </c>
      <c r="AK51" s="258" t="n">
        <v>2949</v>
      </c>
      <c r="AL51" s="258" t="n">
        <v>2489</v>
      </c>
      <c r="AM51" s="258" t="n">
        <v>1688</v>
      </c>
      <c r="AN51" s="258" t="n">
        <v>2751</v>
      </c>
      <c r="AP51" s="357" t="inlineStr">
        <is>
          <t>08</t>
        </is>
      </c>
      <c r="AQ51" s="131" t="n"/>
      <c r="AR51" s="131" t="n">
        <v>4697</v>
      </c>
      <c r="AS51" s="258" t="n">
        <v>4986</v>
      </c>
      <c r="AT51" s="258" t="n">
        <v>5903</v>
      </c>
      <c r="AU51" s="258" t="n">
        <v>3052</v>
      </c>
      <c r="AV51" s="258" t="n"/>
      <c r="AX51" s="357" t="inlineStr">
        <is>
          <t>08</t>
        </is>
      </c>
      <c r="AY51" s="131" t="n"/>
      <c r="AZ51" s="258" t="n">
        <v>1720</v>
      </c>
      <c r="BA51" s="258" t="n">
        <v>1874</v>
      </c>
      <c r="BB51" s="258" t="n">
        <v>1843</v>
      </c>
      <c r="BC51" s="258" t="n">
        <v>1826</v>
      </c>
      <c r="BD51" s="258" t="n"/>
      <c r="BE51" s="258" t="n"/>
      <c r="BF51" s="357" t="inlineStr">
        <is>
          <t>08</t>
        </is>
      </c>
      <c r="BG51" s="131" t="n"/>
      <c r="BH51" s="258" t="n">
        <v>2953</v>
      </c>
      <c r="BI51" s="258" t="n">
        <v>2875</v>
      </c>
      <c r="BJ51" s="258" t="n"/>
      <c r="BK51" s="258" t="n"/>
      <c r="BL51" s="258" t="n"/>
      <c r="BM51" s="258" t="n"/>
      <c r="BN51" s="357" t="inlineStr">
        <is>
          <t>08</t>
        </is>
      </c>
      <c r="BO51" s="131" t="n"/>
      <c r="BP51" s="258" t="n">
        <v>2751</v>
      </c>
      <c r="BQ51" s="258" t="n">
        <v>2651</v>
      </c>
      <c r="BR51" s="258" t="n">
        <v>3072</v>
      </c>
      <c r="BS51" s="258" t="n">
        <v>1794</v>
      </c>
      <c r="BT51" s="258" t="n">
        <v>2893</v>
      </c>
      <c r="BV51" s="357" t="inlineStr">
        <is>
          <t>08</t>
        </is>
      </c>
      <c r="BW51" s="131" t="n"/>
      <c r="BX51" s="258" t="n">
        <v>3514</v>
      </c>
      <c r="BY51" s="258" t="n">
        <v>3333</v>
      </c>
      <c r="BZ51" s="258" t="n">
        <v>3855</v>
      </c>
      <c r="CA51" s="258" t="n">
        <v>2372</v>
      </c>
      <c r="CB51" s="258" t="n">
        <v>3657</v>
      </c>
      <c r="CC51" s="258" t="n"/>
      <c r="CD51" s="357" t="inlineStr">
        <is>
          <t>08</t>
        </is>
      </c>
      <c r="CE51" s="131" t="n"/>
      <c r="CF51" s="258" t="n">
        <v>6667</v>
      </c>
      <c r="CG51" s="258" t="n">
        <v>6693</v>
      </c>
      <c r="CH51" s="258" t="n">
        <v>6518</v>
      </c>
      <c r="CI51" s="258" t="n">
        <v>4618</v>
      </c>
      <c r="CJ51" s="258" t="n">
        <v>7651</v>
      </c>
      <c r="CL51" s="357" t="inlineStr">
        <is>
          <t>08</t>
        </is>
      </c>
      <c r="CM51" s="131" t="n"/>
      <c r="CN51" s="258" t="n">
        <v>3662</v>
      </c>
      <c r="CO51" s="258" t="n">
        <v>4520</v>
      </c>
      <c r="CP51" s="258" t="n">
        <v>4691</v>
      </c>
      <c r="CQ51" s="258" t="n">
        <v>2764</v>
      </c>
      <c r="CR51" s="258" t="n">
        <v>4193</v>
      </c>
      <c r="CT51" s="357" t="inlineStr">
        <is>
          <t>08</t>
        </is>
      </c>
      <c r="CU51" s="131" t="n"/>
      <c r="CV51" s="131" t="n">
        <v>4568</v>
      </c>
      <c r="CW51" s="258" t="n"/>
      <c r="CX51" s="258" t="n"/>
      <c r="CY51" s="258" t="n"/>
      <c r="CZ51" s="258" t="n"/>
      <c r="DB51" s="357" t="inlineStr">
        <is>
          <t>08</t>
        </is>
      </c>
      <c r="DC51" s="131" t="n"/>
      <c r="DD51" s="258" t="n">
        <v>3062</v>
      </c>
      <c r="DE51" s="258" t="n"/>
      <c r="DF51" s="258" t="n"/>
      <c r="DG51" s="258" t="n"/>
      <c r="DH51" s="258" t="n"/>
      <c r="DI51" s="258" t="n"/>
      <c r="DJ51" s="357" t="inlineStr">
        <is>
          <t>08</t>
        </is>
      </c>
      <c r="DK51" s="131" t="n"/>
      <c r="DL51" s="258" t="n">
        <v>2680</v>
      </c>
      <c r="DM51" s="258" t="n"/>
      <c r="DN51" s="258" t="n"/>
      <c r="DO51" s="258" t="n"/>
      <c r="DP51" s="258" t="n"/>
      <c r="DR51" s="357" t="inlineStr">
        <is>
          <t>08</t>
        </is>
      </c>
      <c r="DS51" s="131" t="n"/>
      <c r="DT51" s="258" t="n">
        <v>1694</v>
      </c>
      <c r="DU51" s="258" t="n"/>
      <c r="DV51" s="258" t="n"/>
      <c r="DW51" s="258" t="n"/>
      <c r="DX51" s="258" t="n"/>
      <c r="DZ51" s="357" t="inlineStr">
        <is>
          <t>08</t>
        </is>
      </c>
      <c r="EA51" s="131" t="n"/>
      <c r="EB51" s="258" t="n">
        <v>3052</v>
      </c>
      <c r="EC51" s="258" t="n"/>
      <c r="ED51" s="258" t="n"/>
      <c r="EE51" s="258" t="n"/>
      <c r="EF51" s="258" t="n"/>
    </row>
    <row r="52">
      <c r="B52" s="357" t="inlineStr">
        <is>
          <t>09</t>
        </is>
      </c>
      <c r="C52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52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52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52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52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52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52" s="258" t="n"/>
      <c r="J52" s="357" t="inlineStr">
        <is>
          <t>09</t>
        </is>
      </c>
      <c r="K52" s="131" t="n"/>
      <c r="L52" s="131" t="n">
        <v>2633</v>
      </c>
      <c r="M52" s="258" t="n">
        <v>2742</v>
      </c>
      <c r="N52" s="258" t="n">
        <v>3294</v>
      </c>
      <c r="O52" s="258" t="n">
        <v>2330</v>
      </c>
      <c r="P52" s="258" t="n">
        <v>3465</v>
      </c>
      <c r="R52" s="357" t="inlineStr">
        <is>
          <t>09</t>
        </is>
      </c>
      <c r="S52" s="131" t="n"/>
      <c r="T52" s="258" t="n">
        <v>1161</v>
      </c>
      <c r="U52" s="258" t="n">
        <v>1329</v>
      </c>
      <c r="V52" s="258" t="n">
        <v>1265</v>
      </c>
      <c r="W52" s="258" t="n">
        <v>758</v>
      </c>
      <c r="X52" s="258" t="n">
        <v>1474</v>
      </c>
      <c r="Z52" s="357" t="inlineStr">
        <is>
          <t>09</t>
        </is>
      </c>
      <c r="AA52" s="131" t="n"/>
      <c r="AB52" s="258" t="n">
        <v>1748</v>
      </c>
      <c r="AC52" s="258" t="n">
        <v>2460</v>
      </c>
      <c r="AD52" s="258" t="n">
        <v>2461</v>
      </c>
      <c r="AE52" s="258" t="n">
        <v>1703</v>
      </c>
      <c r="AF52" s="258" t="n">
        <v>2604</v>
      </c>
      <c r="AH52" s="357" t="inlineStr">
        <is>
          <t>09</t>
        </is>
      </c>
      <c r="AI52" s="131" t="n"/>
      <c r="AJ52" s="131" t="n">
        <v>1786</v>
      </c>
      <c r="AK52" s="258" t="n">
        <v>2491</v>
      </c>
      <c r="AL52" s="258" t="n">
        <v>2149</v>
      </c>
      <c r="AM52" s="258" t="n">
        <v>1754</v>
      </c>
      <c r="AN52" s="258" t="n">
        <v>3249</v>
      </c>
      <c r="AP52" s="357" t="inlineStr">
        <is>
          <t>09</t>
        </is>
      </c>
      <c r="AQ52" s="131" t="n"/>
      <c r="AR52" s="131" t="n">
        <v>3082</v>
      </c>
      <c r="AS52" s="258" t="n">
        <v>4020</v>
      </c>
      <c r="AT52" s="258" t="n">
        <v>4303</v>
      </c>
      <c r="AU52" s="258" t="n">
        <v>2301</v>
      </c>
      <c r="AV52" s="258" t="n"/>
      <c r="AX52" s="357" t="inlineStr">
        <is>
          <t>09</t>
        </is>
      </c>
      <c r="AY52" s="131" t="n"/>
      <c r="AZ52" s="258" t="n">
        <v>1052</v>
      </c>
      <c r="BA52" s="258" t="n">
        <v>1458</v>
      </c>
      <c r="BB52" s="258" t="n">
        <v>1371</v>
      </c>
      <c r="BC52" s="258" t="n">
        <v>1797</v>
      </c>
      <c r="BD52" s="258" t="n"/>
      <c r="BE52" s="258" t="n"/>
      <c r="BF52" s="357" t="inlineStr">
        <is>
          <t>09</t>
        </is>
      </c>
      <c r="BG52" s="131" t="n"/>
      <c r="BH52" s="258" t="n">
        <v>1641</v>
      </c>
      <c r="BI52" s="258" t="n">
        <v>1743</v>
      </c>
      <c r="BJ52" s="258" t="n"/>
      <c r="BK52" s="258" t="n"/>
      <c r="BL52" s="258" t="n"/>
      <c r="BM52" s="258" t="n"/>
      <c r="BN52" s="357" t="inlineStr">
        <is>
          <t>09</t>
        </is>
      </c>
      <c r="BO52" s="131" t="n"/>
      <c r="BP52" s="258" t="n">
        <v>3400</v>
      </c>
      <c r="BQ52" s="258" t="n">
        <v>3662</v>
      </c>
      <c r="BR52" s="258" t="n">
        <v>4160</v>
      </c>
      <c r="BS52" s="258" t="n">
        <v>3238</v>
      </c>
      <c r="BT52" s="258" t="n">
        <v>5578</v>
      </c>
      <c r="BV52" s="357" t="inlineStr">
        <is>
          <t>09</t>
        </is>
      </c>
      <c r="BW52" s="131" t="n"/>
      <c r="BX52" s="258" t="n">
        <v>2000</v>
      </c>
      <c r="BY52" s="258" t="n">
        <v>2069</v>
      </c>
      <c r="BZ52" s="258" t="n">
        <v>2027</v>
      </c>
      <c r="CA52" s="258" t="n">
        <v>1417</v>
      </c>
      <c r="CB52" s="258" t="n">
        <v>2400</v>
      </c>
      <c r="CC52" s="258" t="n"/>
      <c r="CD52" s="357" t="inlineStr">
        <is>
          <t>09</t>
        </is>
      </c>
      <c r="CE52" s="131" t="n"/>
      <c r="CF52" s="258" t="n">
        <v>3586</v>
      </c>
      <c r="CG52" s="258" t="n">
        <v>4084</v>
      </c>
      <c r="CH52" s="258" t="n">
        <v>3278</v>
      </c>
      <c r="CI52" s="258" t="n">
        <v>2827</v>
      </c>
      <c r="CJ52" s="258" t="n">
        <v>4646</v>
      </c>
      <c r="CL52" s="357" t="inlineStr">
        <is>
          <t>09</t>
        </is>
      </c>
      <c r="CM52" s="131" t="n"/>
      <c r="CN52" s="258" t="n">
        <v>2369</v>
      </c>
      <c r="CO52" s="258" t="n">
        <v>2943</v>
      </c>
      <c r="CP52" s="258" t="n">
        <v>2956</v>
      </c>
      <c r="CQ52" s="258" t="n">
        <v>2105</v>
      </c>
      <c r="CR52" s="258" t="n">
        <v>3106</v>
      </c>
      <c r="CT52" s="357" t="inlineStr">
        <is>
          <t>09</t>
        </is>
      </c>
      <c r="CU52" s="131" t="n"/>
      <c r="CV52" s="131" t="n">
        <v>3812</v>
      </c>
      <c r="CW52" s="258" t="n"/>
      <c r="CX52" s="258" t="n"/>
      <c r="CY52" s="258" t="n"/>
      <c r="CZ52" s="258" t="n"/>
      <c r="DB52" s="357" t="inlineStr">
        <is>
          <t>09</t>
        </is>
      </c>
      <c r="DC52" s="131" t="n"/>
      <c r="DD52" s="258" t="n">
        <v>2329</v>
      </c>
      <c r="DE52" s="258" t="n"/>
      <c r="DF52" s="258" t="n"/>
      <c r="DG52" s="258" t="n"/>
      <c r="DH52" s="258" t="n"/>
      <c r="DI52" s="258" t="n"/>
      <c r="DJ52" s="357" t="inlineStr">
        <is>
          <t>09</t>
        </is>
      </c>
      <c r="DK52" s="131" t="n"/>
      <c r="DL52" s="258" t="n">
        <v>2478</v>
      </c>
      <c r="DM52" s="258" t="n"/>
      <c r="DN52" s="258" t="n"/>
      <c r="DO52" s="258" t="n"/>
      <c r="DP52" s="258" t="n"/>
      <c r="DR52" s="357" t="inlineStr">
        <is>
          <t>09</t>
        </is>
      </c>
      <c r="DS52" s="131" t="n"/>
      <c r="DT52" s="258" t="n">
        <v>1586</v>
      </c>
      <c r="DU52" s="258" t="n"/>
      <c r="DV52" s="258" t="n"/>
      <c r="DW52" s="258" t="n"/>
      <c r="DX52" s="258" t="n"/>
      <c r="DZ52" s="357" t="inlineStr">
        <is>
          <t>09</t>
        </is>
      </c>
      <c r="EA52" s="131" t="n"/>
      <c r="EB52" s="258" t="n">
        <v>1836</v>
      </c>
      <c r="EC52" s="258" t="n"/>
      <c r="ED52" s="258" t="n"/>
      <c r="EE52" s="258" t="n"/>
      <c r="EF52" s="258" t="n"/>
    </row>
    <row r="53">
      <c r="B53" s="357" t="inlineStr">
        <is>
          <t>10</t>
        </is>
      </c>
      <c r="C53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53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53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53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53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53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53" s="258" t="n"/>
      <c r="J53" s="357" t="inlineStr">
        <is>
          <t>10</t>
        </is>
      </c>
      <c r="K53" s="131" t="n"/>
      <c r="L53" s="131" t="n">
        <v>2867</v>
      </c>
      <c r="M53" s="258" t="n">
        <v>2525</v>
      </c>
      <c r="N53" s="258" t="n">
        <v>3883</v>
      </c>
      <c r="O53" s="258" t="n">
        <v>2678</v>
      </c>
      <c r="P53" s="258" t="n">
        <v>3648</v>
      </c>
      <c r="R53" s="357" t="inlineStr">
        <is>
          <t>10</t>
        </is>
      </c>
      <c r="S53" s="131" t="n"/>
      <c r="T53" s="258" t="n">
        <v>1297</v>
      </c>
      <c r="U53" s="258" t="n">
        <v>1187</v>
      </c>
      <c r="V53" s="258" t="n">
        <v>1371</v>
      </c>
      <c r="W53" s="258" t="n">
        <v>1054</v>
      </c>
      <c r="X53" s="258" t="n">
        <v>1788</v>
      </c>
      <c r="Z53" s="357" t="inlineStr">
        <is>
          <t>10</t>
        </is>
      </c>
      <c r="AA53" s="131" t="n"/>
      <c r="AB53" s="258" t="n">
        <v>2085</v>
      </c>
      <c r="AC53" s="258" t="n">
        <v>2197</v>
      </c>
      <c r="AD53" s="258" t="n">
        <v>2907</v>
      </c>
      <c r="AE53" s="258" t="n">
        <v>2361</v>
      </c>
      <c r="AF53" s="258" t="n">
        <v>2411</v>
      </c>
      <c r="AH53" s="357" t="inlineStr">
        <is>
          <t>10</t>
        </is>
      </c>
      <c r="AI53" s="131" t="n"/>
      <c r="AJ53" s="131" t="n">
        <v>2028</v>
      </c>
      <c r="AK53" s="258" t="n">
        <v>2469</v>
      </c>
      <c r="AL53" s="258" t="n">
        <v>2487</v>
      </c>
      <c r="AM53" s="258" t="n">
        <v>2124</v>
      </c>
      <c r="AN53" s="258" t="n">
        <v>3549</v>
      </c>
      <c r="AP53" s="357" t="inlineStr">
        <is>
          <t>10</t>
        </is>
      </c>
      <c r="AQ53" s="131" t="n"/>
      <c r="AR53" s="131" t="n">
        <v>3841</v>
      </c>
      <c r="AS53" s="258" t="n">
        <v>4054</v>
      </c>
      <c r="AT53" s="258" t="n">
        <v>5171</v>
      </c>
      <c r="AU53" s="258" t="n">
        <v>3230</v>
      </c>
      <c r="AV53" s="258" t="n"/>
      <c r="AX53" s="357" t="inlineStr">
        <is>
          <t>10</t>
        </is>
      </c>
      <c r="AY53" s="131" t="n"/>
      <c r="AZ53" s="258" t="n">
        <v>1226</v>
      </c>
      <c r="BA53" s="258" t="n">
        <v>1325</v>
      </c>
      <c r="BB53" s="258" t="n">
        <v>1547</v>
      </c>
      <c r="BC53" s="258" t="n">
        <v>1477</v>
      </c>
      <c r="BD53" s="258" t="n"/>
      <c r="BE53" s="258" t="n"/>
      <c r="BF53" s="357" t="inlineStr">
        <is>
          <t>10</t>
        </is>
      </c>
      <c r="BG53" s="131" t="n"/>
      <c r="BH53" s="258" t="n">
        <v>1800</v>
      </c>
      <c r="BI53" s="258" t="n">
        <v>1762</v>
      </c>
      <c r="BJ53" s="258" t="n"/>
      <c r="BK53" s="258" t="n"/>
      <c r="BL53" s="258" t="n"/>
      <c r="BM53" s="258" t="n"/>
      <c r="BN53" s="357" t="inlineStr">
        <is>
          <t>10</t>
        </is>
      </c>
      <c r="BO53" s="131" t="n"/>
      <c r="BP53" s="258" t="n">
        <v>2943</v>
      </c>
      <c r="BQ53" s="258" t="n">
        <v>3268</v>
      </c>
      <c r="BR53" s="258" t="n">
        <v>3913</v>
      </c>
      <c r="BS53" s="258" t="n">
        <v>3773</v>
      </c>
      <c r="BT53" s="258" t="n">
        <v>3888</v>
      </c>
      <c r="BV53" s="357" t="inlineStr">
        <is>
          <t>10</t>
        </is>
      </c>
      <c r="BW53" s="131" t="n"/>
      <c r="BX53" s="258" t="n">
        <v>2207</v>
      </c>
      <c r="BY53" s="258" t="n">
        <v>1948</v>
      </c>
      <c r="BZ53" s="258" t="n">
        <v>2077</v>
      </c>
      <c r="CA53" s="258" t="n">
        <v>1853</v>
      </c>
      <c r="CB53" s="258" t="n">
        <v>2525</v>
      </c>
      <c r="CC53" s="258" t="n"/>
      <c r="CD53" s="357" t="inlineStr">
        <is>
          <t>10</t>
        </is>
      </c>
      <c r="CE53" s="131" t="n"/>
      <c r="CF53" s="258" t="n">
        <v>3989</v>
      </c>
      <c r="CG53" s="258" t="n">
        <v>3965</v>
      </c>
      <c r="CH53" s="258" t="n">
        <v>3308</v>
      </c>
      <c r="CI53" s="258" t="n">
        <v>3186</v>
      </c>
      <c r="CJ53" s="258" t="n">
        <v>3887</v>
      </c>
      <c r="CL53" s="357" t="inlineStr">
        <is>
          <t>10</t>
        </is>
      </c>
      <c r="CM53" s="131" t="n"/>
      <c r="CN53" s="258" t="n">
        <v>2462</v>
      </c>
      <c r="CO53" s="258" t="n">
        <v>3291</v>
      </c>
      <c r="CP53" s="258" t="n">
        <v>2751</v>
      </c>
      <c r="CQ53" s="258" t="n">
        <v>2462</v>
      </c>
      <c r="CR53" s="258" t="n">
        <v>3432</v>
      </c>
      <c r="CT53" s="357" t="inlineStr">
        <is>
          <t>10</t>
        </is>
      </c>
      <c r="CU53" s="131" t="n"/>
      <c r="CV53" s="131" t="n">
        <v>3990</v>
      </c>
      <c r="CW53" s="258" t="n"/>
      <c r="CX53" s="258" t="n"/>
      <c r="CY53" s="258" t="n"/>
      <c r="CZ53" s="258" t="n"/>
      <c r="DB53" s="357" t="inlineStr">
        <is>
          <t>10</t>
        </is>
      </c>
      <c r="DC53" s="131" t="n"/>
      <c r="DD53" s="258" t="n">
        <v>2578</v>
      </c>
      <c r="DE53" s="258" t="n"/>
      <c r="DF53" s="258" t="n"/>
      <c r="DG53" s="258" t="n"/>
      <c r="DH53" s="258" t="n"/>
      <c r="DI53" s="258" t="n"/>
      <c r="DJ53" s="357" t="inlineStr">
        <is>
          <t>10</t>
        </is>
      </c>
      <c r="DK53" s="131" t="n"/>
      <c r="DL53" s="258" t="n">
        <v>2714</v>
      </c>
      <c r="DM53" s="258" t="n"/>
      <c r="DN53" s="258" t="n"/>
      <c r="DO53" s="258" t="n"/>
      <c r="DP53" s="258" t="n"/>
      <c r="DR53" s="357" t="inlineStr">
        <is>
          <t>10</t>
        </is>
      </c>
      <c r="DS53" s="131" t="n"/>
      <c r="DT53" s="258" t="n">
        <v>1505</v>
      </c>
      <c r="DU53" s="258" t="n"/>
      <c r="DV53" s="258" t="n"/>
      <c r="DW53" s="258" t="n"/>
      <c r="DX53" s="258" t="n"/>
      <c r="DZ53" s="357" t="inlineStr">
        <is>
          <t>10</t>
        </is>
      </c>
      <c r="EA53" s="131" t="n"/>
      <c r="EB53" s="258" t="n">
        <v>2305</v>
      </c>
      <c r="EC53" s="258" t="n"/>
      <c r="ED53" s="258" t="n"/>
      <c r="EE53" s="258" t="n"/>
      <c r="EF53" s="258" t="n"/>
    </row>
    <row r="54">
      <c r="B54" s="357" t="inlineStr">
        <is>
          <t>11</t>
        </is>
      </c>
      <c r="C54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54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54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54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54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54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54" s="258" t="n"/>
      <c r="J54" s="357" t="inlineStr">
        <is>
          <t>11</t>
        </is>
      </c>
      <c r="K54" s="131" t="n"/>
      <c r="L54" s="131" t="n">
        <v>2502</v>
      </c>
      <c r="M54" s="258" t="n">
        <v>2611</v>
      </c>
      <c r="N54" s="258" t="n">
        <v>3301</v>
      </c>
      <c r="O54" s="258" t="n">
        <v>3083</v>
      </c>
      <c r="P54" s="258" t="n">
        <v>14</v>
      </c>
      <c r="R54" s="357" t="inlineStr">
        <is>
          <t>11</t>
        </is>
      </c>
      <c r="S54" s="131" t="n"/>
      <c r="T54" s="258" t="n">
        <v>1059</v>
      </c>
      <c r="U54" s="258" t="n">
        <v>1228</v>
      </c>
      <c r="V54" s="258" t="n">
        <v>1161</v>
      </c>
      <c r="W54" s="258" t="n">
        <v>1264</v>
      </c>
      <c r="X54" s="258" t="n">
        <v>38</v>
      </c>
      <c r="Z54" s="357" t="inlineStr">
        <is>
          <t>11</t>
        </is>
      </c>
      <c r="AA54" s="131" t="n"/>
      <c r="AB54" s="258" t="n">
        <v>2010</v>
      </c>
      <c r="AC54" s="258" t="n">
        <v>2388</v>
      </c>
      <c r="AD54" s="258" t="n">
        <v>2848</v>
      </c>
      <c r="AE54" s="258" t="n">
        <v>2348</v>
      </c>
      <c r="AF54" s="258" t="n">
        <v>42</v>
      </c>
      <c r="AH54" s="357" t="inlineStr">
        <is>
          <t>11</t>
        </is>
      </c>
      <c r="AI54" s="131" t="n"/>
      <c r="AJ54" s="131" t="n">
        <v>1847</v>
      </c>
      <c r="AK54" s="258" t="n">
        <v>2115</v>
      </c>
      <c r="AL54" s="258" t="n">
        <v>2016</v>
      </c>
      <c r="AM54" s="258" t="n">
        <v>2320</v>
      </c>
      <c r="AN54" s="258" t="n">
        <v>16</v>
      </c>
      <c r="AP54" s="357" t="inlineStr">
        <is>
          <t>11</t>
        </is>
      </c>
      <c r="AQ54" s="131" t="n"/>
      <c r="AR54" s="131" t="n">
        <v>3628</v>
      </c>
      <c r="AS54" s="258" t="n">
        <v>3901</v>
      </c>
      <c r="AT54" s="258" t="n">
        <v>4490</v>
      </c>
      <c r="AU54" s="258" t="n">
        <v>4220</v>
      </c>
      <c r="AV54" s="258" t="n"/>
      <c r="AX54" s="357" t="inlineStr">
        <is>
          <t>11</t>
        </is>
      </c>
      <c r="AY54" s="131" t="n"/>
      <c r="AZ54" s="258" t="n">
        <v>1025</v>
      </c>
      <c r="BA54" s="258" t="n">
        <v>1158</v>
      </c>
      <c r="BB54" s="258" t="n">
        <v>1518</v>
      </c>
      <c r="BC54" s="258" t="n">
        <v>1438</v>
      </c>
      <c r="BD54" s="258" t="n"/>
      <c r="BE54" s="258" t="n"/>
      <c r="BF54" s="357" t="inlineStr">
        <is>
          <t>11</t>
        </is>
      </c>
      <c r="BG54" s="131" t="n"/>
      <c r="BH54" s="258" t="n">
        <v>1613</v>
      </c>
      <c r="BI54" s="258" t="n">
        <v>1630</v>
      </c>
      <c r="BJ54" s="258" t="n"/>
      <c r="BK54" s="258" t="n"/>
      <c r="BL54" s="258" t="n"/>
      <c r="BM54" s="258" t="n"/>
      <c r="BN54" s="357" t="inlineStr">
        <is>
          <t>11</t>
        </is>
      </c>
      <c r="BO54" s="131" t="n"/>
      <c r="BP54" s="258" t="n">
        <v>2977</v>
      </c>
      <c r="BQ54" s="258" t="n">
        <v>3656</v>
      </c>
      <c r="BR54" s="258" t="n">
        <v>3260</v>
      </c>
      <c r="BS54" s="258" t="n">
        <v>4726</v>
      </c>
      <c r="BT54" s="258" t="n">
        <v>23</v>
      </c>
      <c r="BV54" s="357" t="inlineStr">
        <is>
          <t>11</t>
        </is>
      </c>
      <c r="BW54" s="131" t="n"/>
      <c r="BX54" s="258" t="n">
        <v>1851</v>
      </c>
      <c r="BY54" s="258" t="n">
        <v>1702</v>
      </c>
      <c r="BZ54" s="258" t="n">
        <v>1788</v>
      </c>
      <c r="CA54" s="258" t="n">
        <v>1753</v>
      </c>
      <c r="CB54" s="258" t="n">
        <v>14</v>
      </c>
      <c r="CC54" s="258" t="n"/>
      <c r="CD54" s="357" t="inlineStr">
        <is>
          <t>11</t>
        </is>
      </c>
      <c r="CE54" s="131" t="n"/>
      <c r="CF54" s="258" t="n">
        <v>3519</v>
      </c>
      <c r="CG54" s="258" t="n">
        <v>3470</v>
      </c>
      <c r="CH54" s="258" t="n">
        <v>3437</v>
      </c>
      <c r="CI54" s="258" t="n">
        <v>2687</v>
      </c>
      <c r="CJ54" s="258" t="n">
        <v>19</v>
      </c>
      <c r="CL54" s="357" t="inlineStr">
        <is>
          <t>11</t>
        </is>
      </c>
      <c r="CM54" s="131" t="n"/>
      <c r="CN54" s="258" t="n">
        <v>2290</v>
      </c>
      <c r="CO54" s="258" t="n">
        <v>3138</v>
      </c>
      <c r="CP54" s="258" t="n">
        <v>2807</v>
      </c>
      <c r="CQ54" s="258" t="n">
        <v>2649</v>
      </c>
      <c r="CR54" s="258" t="n">
        <v>101</v>
      </c>
      <c r="CT54" s="357" t="inlineStr">
        <is>
          <t>11</t>
        </is>
      </c>
      <c r="CU54" s="131" t="n"/>
      <c r="CV54" s="131" t="n">
        <v>3532</v>
      </c>
      <c r="CW54" s="258" t="n"/>
      <c r="CX54" s="258" t="n"/>
      <c r="CY54" s="258" t="n"/>
      <c r="CZ54" s="258" t="n"/>
      <c r="DB54" s="357" t="inlineStr">
        <is>
          <t>11</t>
        </is>
      </c>
      <c r="DC54" s="131" t="n"/>
      <c r="DD54" s="258" t="n">
        <v>2483</v>
      </c>
      <c r="DE54" s="258" t="n"/>
      <c r="DF54" s="258" t="n"/>
      <c r="DG54" s="258" t="n"/>
      <c r="DH54" s="258" t="n"/>
      <c r="DI54" s="258" t="n"/>
      <c r="DJ54" s="357" t="inlineStr">
        <is>
          <t>11</t>
        </is>
      </c>
      <c r="DK54" s="131" t="n"/>
      <c r="DL54" s="258" t="n">
        <v>2456</v>
      </c>
      <c r="DM54" s="258" t="n"/>
      <c r="DN54" s="258" t="n"/>
      <c r="DO54" s="258" t="n"/>
      <c r="DP54" s="258" t="n"/>
      <c r="DR54" s="357" t="inlineStr">
        <is>
          <t>11</t>
        </is>
      </c>
      <c r="DS54" s="131" t="n"/>
      <c r="DT54" s="258" t="n">
        <v>1414</v>
      </c>
      <c r="DU54" s="258" t="n"/>
      <c r="DV54" s="258" t="n"/>
      <c r="DW54" s="258" t="n"/>
      <c r="DX54" s="258" t="n"/>
      <c r="DZ54" s="357" t="inlineStr">
        <is>
          <t>11</t>
        </is>
      </c>
      <c r="EA54" s="131" t="n"/>
      <c r="EB54" s="258" t="n">
        <v>2041</v>
      </c>
      <c r="EC54" s="258" t="n"/>
      <c r="ED54" s="258" t="n"/>
      <c r="EE54" s="258" t="n"/>
      <c r="EF54" s="258" t="n"/>
    </row>
    <row r="55">
      <c r="B55" s="357" t="inlineStr">
        <is>
          <t>12</t>
        </is>
      </c>
      <c r="C55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55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55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55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55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55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55" s="258" t="n"/>
      <c r="J55" s="357" t="inlineStr">
        <is>
          <t>12</t>
        </is>
      </c>
      <c r="K55" s="131" t="n"/>
      <c r="L55" s="131" t="n">
        <v>2527</v>
      </c>
      <c r="M55" s="258" t="n">
        <v>2842</v>
      </c>
      <c r="N55" s="258" t="n">
        <v>3282</v>
      </c>
      <c r="O55" s="258" t="n">
        <v>2760</v>
      </c>
      <c r="P55" s="258" t="n">
        <v>18</v>
      </c>
      <c r="R55" s="357" t="inlineStr">
        <is>
          <t>12</t>
        </is>
      </c>
      <c r="S55" s="131" t="n">
        <v>1012</v>
      </c>
      <c r="T55" s="258" t="n">
        <v>1012</v>
      </c>
      <c r="U55" s="258" t="n">
        <v>1108</v>
      </c>
      <c r="V55" s="258" t="n">
        <v>1301</v>
      </c>
      <c r="W55" s="258" t="n">
        <v>1168</v>
      </c>
      <c r="X55" s="258" t="n">
        <v>33</v>
      </c>
      <c r="Z55" s="357" t="inlineStr">
        <is>
          <t>12</t>
        </is>
      </c>
      <c r="AA55" s="131" t="n"/>
      <c r="AB55" s="258" t="n">
        <v>1757</v>
      </c>
      <c r="AC55" s="258" t="n">
        <v>1867</v>
      </c>
      <c r="AD55" s="258" t="n">
        <v>2031</v>
      </c>
      <c r="AE55" s="258" t="n">
        <v>1587</v>
      </c>
      <c r="AF55" s="258" t="n">
        <v>31</v>
      </c>
      <c r="AH55" s="357" t="inlineStr">
        <is>
          <t>12</t>
        </is>
      </c>
      <c r="AI55" s="131" t="n"/>
      <c r="AJ55" s="131" t="n">
        <v>1595</v>
      </c>
      <c r="AK55" s="258" t="n">
        <v>2015</v>
      </c>
      <c r="AL55" s="258" t="n">
        <v>2066</v>
      </c>
      <c r="AM55" s="258" t="n">
        <v>1914</v>
      </c>
      <c r="AN55" s="258" t="n">
        <v>72</v>
      </c>
      <c r="AP55" s="357" t="inlineStr">
        <is>
          <t>12</t>
        </is>
      </c>
      <c r="AQ55" s="131" t="n"/>
      <c r="AR55" s="131" t="n">
        <v>4045</v>
      </c>
      <c r="AS55" s="258" t="n">
        <v>4266</v>
      </c>
      <c r="AT55" s="258" t="n">
        <v>5068</v>
      </c>
      <c r="AU55" s="258" t="n">
        <v>3941</v>
      </c>
      <c r="AV55" s="258" t="n"/>
      <c r="AX55" s="357" t="inlineStr">
        <is>
          <t>12</t>
        </is>
      </c>
      <c r="AY55" s="131" t="n"/>
      <c r="AZ55" s="258" t="n">
        <v>1033</v>
      </c>
      <c r="BA55" s="258" t="n">
        <v>1242</v>
      </c>
      <c r="BB55" s="258" t="n">
        <v>1266</v>
      </c>
      <c r="BC55" s="258" t="n">
        <v>1223</v>
      </c>
      <c r="BD55" s="258" t="n"/>
      <c r="BE55" s="258" t="n"/>
      <c r="BF55" s="357" t="inlineStr">
        <is>
          <t>12</t>
        </is>
      </c>
      <c r="BG55" s="131" t="n"/>
      <c r="BH55" s="258" t="n">
        <v>1629</v>
      </c>
      <c r="BI55" s="258" t="n">
        <v>1549</v>
      </c>
      <c r="BJ55" s="258" t="n"/>
      <c r="BK55" s="258" t="n"/>
      <c r="BL55" s="258" t="n"/>
      <c r="BM55" s="258" t="n"/>
      <c r="BN55" s="357" t="inlineStr">
        <is>
          <t>12</t>
        </is>
      </c>
      <c r="BO55" s="131" t="n"/>
      <c r="BP55" s="258" t="n">
        <v>3251</v>
      </c>
      <c r="BQ55" s="258" t="n">
        <v>3033</v>
      </c>
      <c r="BR55" s="258" t="n">
        <v>2889</v>
      </c>
      <c r="BS55" s="258" t="n">
        <v>3508</v>
      </c>
      <c r="BT55" s="258" t="n">
        <v>16</v>
      </c>
      <c r="BV55" s="357" t="inlineStr">
        <is>
          <t>12</t>
        </is>
      </c>
      <c r="BW55" s="131" t="n"/>
      <c r="BX55" s="258" t="n">
        <v>1566</v>
      </c>
      <c r="BY55" s="258" t="n">
        <v>1721</v>
      </c>
      <c r="BZ55" s="258" t="n">
        <v>1563</v>
      </c>
      <c r="CA55" s="258" t="n">
        <v>1412</v>
      </c>
      <c r="CB55" s="258" t="n">
        <v>4</v>
      </c>
      <c r="CC55" s="258" t="n"/>
      <c r="CD55" s="357" t="inlineStr">
        <is>
          <t>12</t>
        </is>
      </c>
      <c r="CE55" s="131" t="n"/>
      <c r="CF55" s="258" t="n">
        <v>3345</v>
      </c>
      <c r="CG55" s="258" t="n">
        <v>3474</v>
      </c>
      <c r="CH55" s="258" t="n">
        <v>3076</v>
      </c>
      <c r="CI55" s="258" t="n">
        <v>2753</v>
      </c>
      <c r="CJ55" s="258" t="n">
        <v>37</v>
      </c>
      <c r="CL55" s="357" t="inlineStr">
        <is>
          <t>12</t>
        </is>
      </c>
      <c r="CM55" s="131" t="n"/>
      <c r="CN55" s="258" t="n">
        <v>2545</v>
      </c>
      <c r="CO55" s="258" t="n">
        <v>2890</v>
      </c>
      <c r="CP55" s="258" t="n">
        <v>2888</v>
      </c>
      <c r="CQ55" s="258" t="n">
        <v>2461</v>
      </c>
      <c r="CR55" s="258" t="n">
        <v>82</v>
      </c>
      <c r="CT55" s="357" t="inlineStr">
        <is>
          <t>12</t>
        </is>
      </c>
      <c r="CU55" s="131" t="n"/>
      <c r="CV55" s="131" t="n">
        <v>3347</v>
      </c>
      <c r="CW55" s="258" t="n"/>
      <c r="CX55" s="258" t="n"/>
      <c r="CY55" s="258" t="n"/>
      <c r="CZ55" s="258" t="n"/>
      <c r="DB55" s="357" t="inlineStr">
        <is>
          <t>12</t>
        </is>
      </c>
      <c r="DC55" s="131" t="n"/>
      <c r="DD55" s="258" t="n">
        <v>2644</v>
      </c>
      <c r="DE55" s="258" t="n"/>
      <c r="DF55" s="258" t="n"/>
      <c r="DG55" s="258" t="n"/>
      <c r="DH55" s="258" t="n"/>
      <c r="DI55" s="258" t="n"/>
      <c r="DJ55" s="357" t="inlineStr">
        <is>
          <t>12</t>
        </is>
      </c>
      <c r="DK55" s="131" t="n"/>
      <c r="DL55" s="258" t="n">
        <v>2722</v>
      </c>
      <c r="DM55" s="258" t="n"/>
      <c r="DN55" s="258" t="n"/>
      <c r="DO55" s="258" t="n"/>
      <c r="DP55" s="258" t="n"/>
      <c r="DR55" s="357" t="inlineStr">
        <is>
          <t>12</t>
        </is>
      </c>
      <c r="DS55" s="131" t="n"/>
      <c r="DT55" s="258" t="n">
        <v>1281</v>
      </c>
      <c r="DU55" s="258" t="n"/>
      <c r="DV55" s="258" t="n"/>
      <c r="DW55" s="258" t="n"/>
      <c r="DX55" s="258" t="n"/>
      <c r="DZ55" s="357" t="inlineStr">
        <is>
          <t>12</t>
        </is>
      </c>
      <c r="EA55" s="131" t="n"/>
      <c r="EB55" s="258" t="n">
        <v>1986</v>
      </c>
      <c r="EC55" s="258" t="n"/>
      <c r="ED55" s="258" t="n"/>
      <c r="EE55" s="258" t="n"/>
      <c r="EF55" s="258" t="n"/>
    </row>
    <row r="57" ht="15.75" customHeight="1" s="161">
      <c r="B57" s="355" t="inlineStr">
        <is>
          <t>Global</t>
        </is>
      </c>
      <c r="J57" s="355" t="inlineStr">
        <is>
          <t>GLR5</t>
        </is>
      </c>
      <c r="R57" s="355" t="inlineStr">
        <is>
          <t>HTR8</t>
        </is>
      </c>
      <c r="Z57" s="355" t="inlineStr">
        <is>
          <t>TIRR</t>
        </is>
      </c>
      <c r="AH57" s="355" t="inlineStr">
        <is>
          <t>VR7</t>
        </is>
      </c>
      <c r="AP57" s="355" t="inlineStr">
        <is>
          <t>TURVILLA</t>
        </is>
      </c>
      <c r="AX57" s="355" t="inlineStr">
        <is>
          <t>HART</t>
        </is>
      </c>
      <c r="BF57" s="355" t="inlineStr">
        <is>
          <t>VICTOIRE</t>
        </is>
      </c>
      <c r="BN57" s="355" t="inlineStr">
        <is>
          <t>TH4</t>
        </is>
      </c>
      <c r="BV57" s="355" t="inlineStr">
        <is>
          <t>TL DIVES</t>
        </is>
      </c>
      <c r="CD57" s="355" t="inlineStr">
        <is>
          <t>R3 14</t>
        </is>
      </c>
      <c r="CL57" s="355" t="inlineStr">
        <is>
          <t>LYSE</t>
        </is>
      </c>
      <c r="CT57" s="355" t="inlineStr">
        <is>
          <t>ARTHUR</t>
        </is>
      </c>
      <c r="DB57" s="355" t="inlineStr">
        <is>
          <t>HUGO</t>
        </is>
      </c>
      <c r="DJ57" s="355" t="inlineStr">
        <is>
          <t>JEANCLO</t>
        </is>
      </c>
      <c r="DR57" s="355" t="inlineStr">
        <is>
          <t>THOMAS</t>
        </is>
      </c>
      <c r="DZ57" s="355" t="inlineStr">
        <is>
          <t>CATALINA</t>
        </is>
      </c>
    </row>
    <row r="59" ht="18.6" customFormat="1" customHeight="1" s="188">
      <c r="A59" s="356" t="inlineStr">
        <is>
          <t>Transactions à emporter</t>
        </is>
      </c>
      <c r="B59" s="186" t="inlineStr">
        <is>
          <t>MOIS</t>
        </is>
      </c>
      <c r="C59" s="187" t="inlineStr">
        <is>
          <t>2024</t>
        </is>
      </c>
      <c r="D59" s="187" t="inlineStr">
        <is>
          <t>2023</t>
        </is>
      </c>
      <c r="E59" s="187" t="inlineStr">
        <is>
          <t>2022</t>
        </is>
      </c>
      <c r="F59" s="187" t="inlineStr">
        <is>
          <t>2021</t>
        </is>
      </c>
      <c r="G59" s="187" t="inlineStr">
        <is>
          <t>2020</t>
        </is>
      </c>
      <c r="H59" s="187" t="inlineStr">
        <is>
          <t>2019</t>
        </is>
      </c>
      <c r="I59" s="187" t="n"/>
      <c r="J59" s="186" t="inlineStr">
        <is>
          <t>MOIS</t>
        </is>
      </c>
      <c r="K59" s="186" t="inlineStr">
        <is>
          <t>2025</t>
        </is>
      </c>
      <c r="L59" s="186" t="inlineStr">
        <is>
          <t>2024</t>
        </is>
      </c>
      <c r="M59" s="186" t="inlineStr">
        <is>
          <t>2023</t>
        </is>
      </c>
      <c r="N59" s="186" t="inlineStr">
        <is>
          <t>2022</t>
        </is>
      </c>
      <c r="O59" s="186" t="inlineStr">
        <is>
          <t>2021</t>
        </is>
      </c>
      <c r="P59" s="186" t="inlineStr">
        <is>
          <t>2020</t>
        </is>
      </c>
      <c r="R59" s="186" t="inlineStr">
        <is>
          <t>MOIS</t>
        </is>
      </c>
      <c r="S59" s="186" t="inlineStr">
        <is>
          <t>2025</t>
        </is>
      </c>
      <c r="T59" s="186" t="inlineStr">
        <is>
          <t>2024</t>
        </is>
      </c>
      <c r="U59" s="186" t="inlineStr">
        <is>
          <t>2023</t>
        </is>
      </c>
      <c r="V59" s="186" t="inlineStr">
        <is>
          <t>2022</t>
        </is>
      </c>
      <c r="W59" s="186" t="inlineStr">
        <is>
          <t>2021</t>
        </is>
      </c>
      <c r="X59" s="186" t="inlineStr">
        <is>
          <t>2020</t>
        </is>
      </c>
      <c r="Z59" s="186" t="inlineStr">
        <is>
          <t>MOIS</t>
        </is>
      </c>
      <c r="AA59" s="186" t="inlineStr">
        <is>
          <t>2025</t>
        </is>
      </c>
      <c r="AB59" s="186" t="inlineStr">
        <is>
          <t>2024</t>
        </is>
      </c>
      <c r="AC59" s="186" t="inlineStr">
        <is>
          <t>2023</t>
        </is>
      </c>
      <c r="AD59" s="186" t="inlineStr">
        <is>
          <t>2022</t>
        </is>
      </c>
      <c r="AE59" s="186" t="inlineStr">
        <is>
          <t>2021</t>
        </is>
      </c>
      <c r="AF59" s="186" t="inlineStr">
        <is>
          <t>2020</t>
        </is>
      </c>
      <c r="AH59" s="186" t="inlineStr">
        <is>
          <t>MOIS</t>
        </is>
      </c>
      <c r="AI59" s="186" t="inlineStr">
        <is>
          <t>2025</t>
        </is>
      </c>
      <c r="AJ59" s="186" t="inlineStr">
        <is>
          <t>2024</t>
        </is>
      </c>
      <c r="AK59" s="186" t="inlineStr">
        <is>
          <t>2023</t>
        </is>
      </c>
      <c r="AL59" s="186" t="inlineStr">
        <is>
          <t>2022</t>
        </is>
      </c>
      <c r="AM59" s="186" t="inlineStr">
        <is>
          <t>2021</t>
        </is>
      </c>
      <c r="AN59" s="186" t="inlineStr">
        <is>
          <t>2020</t>
        </is>
      </c>
      <c r="AP59" s="186" t="inlineStr">
        <is>
          <t>MOIS</t>
        </is>
      </c>
      <c r="AQ59" s="186" t="inlineStr">
        <is>
          <t>2025</t>
        </is>
      </c>
      <c r="AR59" s="186" t="inlineStr">
        <is>
          <t>2024</t>
        </is>
      </c>
      <c r="AS59" s="186" t="inlineStr">
        <is>
          <t>2023</t>
        </is>
      </c>
      <c r="AT59" s="186" t="inlineStr">
        <is>
          <t>2022</t>
        </is>
      </c>
      <c r="AU59" s="186" t="inlineStr">
        <is>
          <t>2021</t>
        </is>
      </c>
      <c r="AV59" s="186" t="inlineStr">
        <is>
          <t>2020</t>
        </is>
      </c>
      <c r="AX59" s="186" t="inlineStr">
        <is>
          <t>MOIS</t>
        </is>
      </c>
      <c r="AY59" s="186" t="inlineStr">
        <is>
          <t>2025</t>
        </is>
      </c>
      <c r="AZ59" s="186" t="inlineStr">
        <is>
          <t>2024</t>
        </is>
      </c>
      <c r="BA59" s="186" t="inlineStr">
        <is>
          <t>2023</t>
        </is>
      </c>
      <c r="BB59" s="186" t="inlineStr">
        <is>
          <t>2022</t>
        </is>
      </c>
      <c r="BC59" s="186" t="inlineStr">
        <is>
          <t>2021</t>
        </is>
      </c>
      <c r="BD59" s="186" t="inlineStr">
        <is>
          <t>2020</t>
        </is>
      </c>
      <c r="BE59" s="187" t="n"/>
      <c r="BF59" s="186" t="inlineStr">
        <is>
          <t>MOIS</t>
        </is>
      </c>
      <c r="BG59" s="186" t="inlineStr">
        <is>
          <t>2025</t>
        </is>
      </c>
      <c r="BH59" s="186" t="inlineStr">
        <is>
          <t>2024</t>
        </is>
      </c>
      <c r="BI59" s="186" t="inlineStr">
        <is>
          <t>2023</t>
        </is>
      </c>
      <c r="BJ59" s="186" t="inlineStr">
        <is>
          <t>2022</t>
        </is>
      </c>
      <c r="BK59" s="186" t="inlineStr">
        <is>
          <t>2021</t>
        </is>
      </c>
      <c r="BL59" s="186" t="inlineStr">
        <is>
          <t>2020</t>
        </is>
      </c>
      <c r="BM59" s="186" t="n"/>
      <c r="BN59" s="186" t="inlineStr">
        <is>
          <t>MOIS</t>
        </is>
      </c>
      <c r="BO59" s="187" t="inlineStr">
        <is>
          <t>2025</t>
        </is>
      </c>
      <c r="BP59" s="187" t="inlineStr">
        <is>
          <t>2024</t>
        </is>
      </c>
      <c r="BQ59" s="187" t="inlineStr">
        <is>
          <t>2023</t>
        </is>
      </c>
      <c r="BR59" s="187" t="inlineStr">
        <is>
          <t>2022</t>
        </is>
      </c>
      <c r="BS59" s="187" t="inlineStr">
        <is>
          <t>2021</t>
        </is>
      </c>
      <c r="BT59" s="187" t="inlineStr">
        <is>
          <t>2020</t>
        </is>
      </c>
      <c r="BV59" s="186" t="inlineStr">
        <is>
          <t>MOIS</t>
        </is>
      </c>
      <c r="BW59" s="187" t="inlineStr">
        <is>
          <t>2025</t>
        </is>
      </c>
      <c r="BX59" s="187" t="inlineStr">
        <is>
          <t>2024</t>
        </is>
      </c>
      <c r="BY59" s="187" t="inlineStr">
        <is>
          <t>2023</t>
        </is>
      </c>
      <c r="BZ59" s="187" t="inlineStr">
        <is>
          <t>2022</t>
        </is>
      </c>
      <c r="CA59" s="187" t="inlineStr">
        <is>
          <t>2021</t>
        </is>
      </c>
      <c r="CB59" s="187" t="inlineStr">
        <is>
          <t>2020</t>
        </is>
      </c>
      <c r="CC59" s="187" t="n"/>
      <c r="CD59" s="186" t="inlineStr">
        <is>
          <t>MOIS</t>
        </is>
      </c>
      <c r="CE59" s="187" t="inlineStr">
        <is>
          <t>2025</t>
        </is>
      </c>
      <c r="CF59" s="187" t="inlineStr">
        <is>
          <t>2024</t>
        </is>
      </c>
      <c r="CG59" s="187" t="inlineStr">
        <is>
          <t>2023</t>
        </is>
      </c>
      <c r="CH59" s="187" t="inlineStr">
        <is>
          <t>2022</t>
        </is>
      </c>
      <c r="CI59" s="187" t="inlineStr">
        <is>
          <t>2021</t>
        </is>
      </c>
      <c r="CJ59" s="187" t="inlineStr">
        <is>
          <t>2020</t>
        </is>
      </c>
      <c r="CL59" s="186" t="inlineStr">
        <is>
          <t>MOIS</t>
        </is>
      </c>
      <c r="CM59" s="187" t="inlineStr">
        <is>
          <t>2025</t>
        </is>
      </c>
      <c r="CN59" s="187" t="inlineStr">
        <is>
          <t>2024</t>
        </is>
      </c>
      <c r="CO59" s="187" t="inlineStr">
        <is>
          <t>2023</t>
        </is>
      </c>
      <c r="CP59" s="187" t="inlineStr">
        <is>
          <t>2022</t>
        </is>
      </c>
      <c r="CQ59" s="187" t="inlineStr">
        <is>
          <t>2021</t>
        </is>
      </c>
      <c r="CR59" s="187" t="inlineStr">
        <is>
          <t>2020</t>
        </is>
      </c>
      <c r="CT59" s="186" t="inlineStr">
        <is>
          <t>MOIS</t>
        </is>
      </c>
      <c r="CU59" s="187" t="inlineStr">
        <is>
          <t>2025</t>
        </is>
      </c>
      <c r="CV59" s="187" t="inlineStr">
        <is>
          <t>2024</t>
        </is>
      </c>
      <c r="CW59" s="187" t="inlineStr">
        <is>
          <t>2023</t>
        </is>
      </c>
      <c r="CX59" s="187" t="inlineStr">
        <is>
          <t>2022</t>
        </is>
      </c>
      <c r="CY59" s="187" t="inlineStr">
        <is>
          <t>2021</t>
        </is>
      </c>
      <c r="CZ59" s="187" t="inlineStr">
        <is>
          <t>2020</t>
        </is>
      </c>
      <c r="DB59" s="186" t="inlineStr">
        <is>
          <t>MOIS</t>
        </is>
      </c>
      <c r="DC59" s="187" t="inlineStr">
        <is>
          <t>2025</t>
        </is>
      </c>
      <c r="DD59" s="187" t="inlineStr">
        <is>
          <t>2024</t>
        </is>
      </c>
      <c r="DE59" s="187" t="inlineStr">
        <is>
          <t>2023</t>
        </is>
      </c>
      <c r="DF59" s="187" t="inlineStr">
        <is>
          <t>2022</t>
        </is>
      </c>
      <c r="DG59" s="187" t="inlineStr">
        <is>
          <t>2021</t>
        </is>
      </c>
      <c r="DH59" s="187" t="inlineStr">
        <is>
          <t>2020</t>
        </is>
      </c>
      <c r="DI59" s="187" t="n"/>
      <c r="DJ59" s="186" t="inlineStr">
        <is>
          <t>MOIS</t>
        </is>
      </c>
      <c r="DK59" s="187" t="inlineStr">
        <is>
          <t>2025</t>
        </is>
      </c>
      <c r="DL59" s="187" t="inlineStr">
        <is>
          <t>2024</t>
        </is>
      </c>
      <c r="DM59" s="187" t="inlineStr">
        <is>
          <t>2023</t>
        </is>
      </c>
      <c r="DN59" s="187" t="inlineStr">
        <is>
          <t>2022</t>
        </is>
      </c>
      <c r="DO59" s="187" t="inlineStr">
        <is>
          <t>2021</t>
        </is>
      </c>
      <c r="DP59" s="187" t="inlineStr">
        <is>
          <t>2020</t>
        </is>
      </c>
      <c r="DR59" s="186" t="inlineStr">
        <is>
          <t>MOIS</t>
        </is>
      </c>
      <c r="DS59" s="187" t="inlineStr">
        <is>
          <t>2025</t>
        </is>
      </c>
      <c r="DT59" s="187" t="inlineStr">
        <is>
          <t>2024</t>
        </is>
      </c>
      <c r="DU59" s="187" t="inlineStr">
        <is>
          <t>2023</t>
        </is>
      </c>
      <c r="DV59" s="187" t="inlineStr">
        <is>
          <t>2022</t>
        </is>
      </c>
      <c r="DW59" s="187" t="inlineStr">
        <is>
          <t>2021</t>
        </is>
      </c>
      <c r="DX59" s="187" t="inlineStr">
        <is>
          <t>2020</t>
        </is>
      </c>
      <c r="DZ59" s="186" t="inlineStr">
        <is>
          <t>MOIS</t>
        </is>
      </c>
      <c r="EA59" s="187" t="inlineStr">
        <is>
          <t>2025</t>
        </is>
      </c>
      <c r="EB59" s="187" t="inlineStr">
        <is>
          <t>2024</t>
        </is>
      </c>
      <c r="EC59" s="187" t="inlineStr">
        <is>
          <t>2023</t>
        </is>
      </c>
      <c r="ED59" s="187" t="inlineStr">
        <is>
          <t>2022</t>
        </is>
      </c>
      <c r="EE59" s="187" t="inlineStr">
        <is>
          <t>2021</t>
        </is>
      </c>
      <c r="EF59" s="187" t="inlineStr">
        <is>
          <t>2020</t>
        </is>
      </c>
    </row>
    <row r="60">
      <c r="B60" s="357" t="inlineStr">
        <is>
          <t>01</t>
        </is>
      </c>
      <c r="C60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0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60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60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60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60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60" s="258" t="n"/>
      <c r="J60" s="357" t="inlineStr">
        <is>
          <t>01</t>
        </is>
      </c>
      <c r="K60" s="131">
        <f>7927-2757</f>
        <v/>
      </c>
      <c r="L60" s="131" t="n">
        <v>3309</v>
      </c>
      <c r="M60" s="258" t="n">
        <v>3543</v>
      </c>
      <c r="N60" s="258" t="n">
        <v>3627</v>
      </c>
      <c r="O60" s="258" t="n">
        <v>2866</v>
      </c>
      <c r="P60" s="258" t="n">
        <v>3382</v>
      </c>
      <c r="R60" s="357" t="inlineStr">
        <is>
          <t>01</t>
        </is>
      </c>
      <c r="S60" s="131">
        <f>4181-2180</f>
        <v/>
      </c>
      <c r="T60" s="258" t="n">
        <v>1388</v>
      </c>
      <c r="U60" s="258" t="n">
        <v>2092</v>
      </c>
      <c r="V60" s="258" t="n">
        <v>2868</v>
      </c>
      <c r="W60" s="258" t="n">
        <v>1497</v>
      </c>
      <c r="X60" s="258" t="n">
        <v>1626</v>
      </c>
      <c r="Z60" s="357" t="inlineStr">
        <is>
          <t>01</t>
        </is>
      </c>
      <c r="AA60" s="131">
        <f>4735-1994</f>
        <v/>
      </c>
      <c r="AB60" s="258" t="n">
        <v>2716</v>
      </c>
      <c r="AC60" s="258" t="n">
        <v>2872</v>
      </c>
      <c r="AD60" s="258" t="n">
        <v>3424</v>
      </c>
      <c r="AE60" s="258" t="n">
        <v>3122</v>
      </c>
      <c r="AF60" s="258" t="n">
        <v>2472</v>
      </c>
      <c r="AH60" s="357" t="inlineStr">
        <is>
          <t>01</t>
        </is>
      </c>
      <c r="AI60" s="131" t="n"/>
      <c r="AJ60" s="131" t="n">
        <v>3632</v>
      </c>
      <c r="AK60" s="258" t="n">
        <v>3155</v>
      </c>
      <c r="AL60" s="258" t="n">
        <v>2214</v>
      </c>
      <c r="AM60" s="258" t="n">
        <v>1258</v>
      </c>
      <c r="AN60" s="258" t="n">
        <v>1651</v>
      </c>
      <c r="AP60" s="357" t="inlineStr">
        <is>
          <t>01</t>
        </is>
      </c>
      <c r="AQ60" s="131">
        <f>5667-2468</f>
        <v/>
      </c>
      <c r="AR60" s="131" t="n">
        <v>2980</v>
      </c>
      <c r="AS60" s="258" t="n">
        <v>2503</v>
      </c>
      <c r="AT60" s="258" t="n">
        <v>2195</v>
      </c>
      <c r="AU60" s="258" t="n">
        <v>1567</v>
      </c>
      <c r="AV60" s="258" t="n"/>
      <c r="AX60" s="357" t="inlineStr">
        <is>
          <t>01</t>
        </is>
      </c>
      <c r="AY60" s="131" t="n"/>
      <c r="AZ60" s="258" t="n">
        <v>1649</v>
      </c>
      <c r="BA60" s="258" t="n">
        <v>1083</v>
      </c>
      <c r="BB60" s="258" t="n">
        <v>1246</v>
      </c>
      <c r="BC60" s="258" t="n"/>
      <c r="BD60" s="258" t="n"/>
      <c r="BE60" s="258" t="n"/>
      <c r="BF60" s="357" t="inlineStr">
        <is>
          <t>01</t>
        </is>
      </c>
      <c r="BG60" s="131">
        <f>3395-1668</f>
        <v/>
      </c>
      <c r="BH60" s="258" t="n">
        <v>1024</v>
      </c>
      <c r="BI60" s="258" t="n">
        <v>952</v>
      </c>
      <c r="BJ60" s="258" t="n"/>
      <c r="BK60" s="258" t="n"/>
      <c r="BL60" s="258" t="n"/>
      <c r="BM60" s="258" t="n"/>
      <c r="BN60" s="357" t="inlineStr">
        <is>
          <t>01</t>
        </is>
      </c>
      <c r="BO60" s="131">
        <f>5365-2122</f>
        <v/>
      </c>
      <c r="BP60" s="258" t="n">
        <v>2735</v>
      </c>
      <c r="BQ60" s="258" t="n">
        <v>2373</v>
      </c>
      <c r="BR60" s="258" t="n">
        <v>2769</v>
      </c>
      <c r="BS60" s="258" t="n">
        <v>2236</v>
      </c>
      <c r="BT60" s="258" t="n">
        <v>2128</v>
      </c>
      <c r="BV60" s="357" t="inlineStr">
        <is>
          <t>01</t>
        </is>
      </c>
      <c r="BW60" s="131">
        <f>4383-1725</f>
        <v/>
      </c>
      <c r="BX60" s="258" t="n">
        <v>2195</v>
      </c>
      <c r="BY60" s="258" t="n">
        <v>2356</v>
      </c>
      <c r="BZ60" s="258" t="n">
        <v>2130</v>
      </c>
      <c r="CA60" s="258" t="n">
        <v>1199</v>
      </c>
      <c r="CB60" s="258" t="n">
        <v>1552</v>
      </c>
      <c r="CC60" s="258" t="n"/>
      <c r="CD60" s="357" t="inlineStr">
        <is>
          <t>01</t>
        </is>
      </c>
      <c r="CE60" s="131">
        <f>4693-1960</f>
        <v/>
      </c>
      <c r="CF60" s="258" t="n">
        <v>2464</v>
      </c>
      <c r="CG60" s="258" t="n">
        <v>2883</v>
      </c>
      <c r="CH60" s="258" t="n">
        <v>3429</v>
      </c>
      <c r="CI60" s="258" t="n">
        <v>134</v>
      </c>
      <c r="CJ60" s="258" t="n">
        <v>1723</v>
      </c>
      <c r="CL60" s="357" t="inlineStr">
        <is>
          <t>01</t>
        </is>
      </c>
      <c r="CM60" s="131">
        <f>6689-2560</f>
        <v/>
      </c>
      <c r="CN60" s="258" t="n">
        <v>2857</v>
      </c>
      <c r="CO60" s="258" t="n">
        <v>3571</v>
      </c>
      <c r="CP60" s="258" t="n">
        <v>3748</v>
      </c>
      <c r="CQ60" s="258" t="n">
        <v>2174</v>
      </c>
      <c r="CR60" s="258" t="n">
        <v>2247</v>
      </c>
      <c r="CT60" s="357" t="inlineStr">
        <is>
          <t>01</t>
        </is>
      </c>
      <c r="CU60" s="131">
        <f>8572-3035</f>
        <v/>
      </c>
      <c r="CV60" s="131" t="n">
        <v>5065</v>
      </c>
      <c r="CW60" s="258" t="n"/>
      <c r="CX60" s="258" t="n"/>
      <c r="CY60" s="258" t="n"/>
      <c r="CZ60" s="258" t="n"/>
      <c r="DB60" s="357" t="inlineStr">
        <is>
          <t>01</t>
        </is>
      </c>
      <c r="DC60" s="131">
        <f>9080-3658</f>
        <v/>
      </c>
      <c r="DD60" s="258" t="n">
        <v>3573</v>
      </c>
      <c r="DE60" s="258" t="n"/>
      <c r="DF60" s="258" t="n"/>
      <c r="DG60" s="258" t="n"/>
      <c r="DH60" s="258" t="n"/>
      <c r="DI60" s="258" t="n"/>
      <c r="DJ60" s="357" t="inlineStr">
        <is>
          <t>01</t>
        </is>
      </c>
      <c r="DK60" s="131">
        <f>7247-4616</f>
        <v/>
      </c>
      <c r="DL60" s="258" t="n">
        <v>5429</v>
      </c>
      <c r="DM60" s="258" t="n"/>
      <c r="DN60" s="258" t="n"/>
      <c r="DO60" s="258" t="n"/>
      <c r="DP60" s="258" t="n"/>
      <c r="DR60" s="357" t="inlineStr">
        <is>
          <t>01</t>
        </is>
      </c>
      <c r="DS60" s="131">
        <f>5804-2722</f>
        <v/>
      </c>
      <c r="DT60" s="258" t="n">
        <v>3024</v>
      </c>
      <c r="DU60" s="258" t="n"/>
      <c r="DV60" s="258" t="n"/>
      <c r="DW60" s="258" t="n"/>
      <c r="DX60" s="258" t="n"/>
      <c r="DZ60" s="357" t="inlineStr">
        <is>
          <t>01</t>
        </is>
      </c>
      <c r="EA60" s="131">
        <f>2877-1202</f>
        <v/>
      </c>
      <c r="EB60" s="258" t="n"/>
      <c r="EC60" s="258" t="n"/>
      <c r="ED60" s="258" t="n"/>
      <c r="EE60" s="258" t="n"/>
      <c r="EF60" s="258" t="n"/>
    </row>
    <row r="61">
      <c r="B61" s="357" t="inlineStr">
        <is>
          <t>02</t>
        </is>
      </c>
      <c r="C61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1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61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61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61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61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61" s="258" t="n"/>
      <c r="J61" s="357" t="inlineStr">
        <is>
          <t>02</t>
        </is>
      </c>
      <c r="K61" s="131" t="n"/>
      <c r="L61" s="131" t="n">
        <v>3540</v>
      </c>
      <c r="M61" s="258" t="n">
        <v>3564</v>
      </c>
      <c r="N61" s="258" t="n">
        <v>3865</v>
      </c>
      <c r="O61" s="258" t="n">
        <v>3010</v>
      </c>
      <c r="P61" s="258" t="n">
        <v>3222</v>
      </c>
      <c r="R61" s="357" t="inlineStr">
        <is>
          <t>02</t>
        </is>
      </c>
      <c r="S61" s="131" t="n"/>
      <c r="T61" s="258" t="n">
        <v>1698</v>
      </c>
      <c r="U61" s="258" t="n">
        <v>1969</v>
      </c>
      <c r="V61" s="258" t="n">
        <v>2749</v>
      </c>
      <c r="W61" s="258" t="n">
        <v>1586</v>
      </c>
      <c r="X61" s="258" t="n">
        <v>1572</v>
      </c>
      <c r="Z61" s="357" t="inlineStr">
        <is>
          <t>02</t>
        </is>
      </c>
      <c r="AA61" s="131" t="n"/>
      <c r="AB61" s="258" t="n">
        <v>2441</v>
      </c>
      <c r="AC61" s="258" t="n">
        <v>2451</v>
      </c>
      <c r="AD61" s="258" t="n">
        <v>3240</v>
      </c>
      <c r="AE61" s="258" t="n">
        <v>3002</v>
      </c>
      <c r="AF61" s="258" t="n">
        <v>2338</v>
      </c>
      <c r="AH61" s="357" t="inlineStr">
        <is>
          <t>02</t>
        </is>
      </c>
      <c r="AI61" s="131" t="n"/>
      <c r="AJ61" s="131" t="n">
        <v>3524</v>
      </c>
      <c r="AK61" s="258" t="n">
        <v>2735</v>
      </c>
      <c r="AL61" s="258" t="n">
        <v>2269</v>
      </c>
      <c r="AM61" s="258" t="n">
        <v>1761</v>
      </c>
      <c r="AN61" s="258" t="n">
        <v>1689</v>
      </c>
      <c r="AP61" s="357" t="inlineStr">
        <is>
          <t>02</t>
        </is>
      </c>
      <c r="AQ61" s="131" t="n"/>
      <c r="AR61" s="273" t="n">
        <v>2853</v>
      </c>
      <c r="AS61" s="258" t="n">
        <v>2213</v>
      </c>
      <c r="AT61" s="258" t="n">
        <v>2534</v>
      </c>
      <c r="AU61" s="258" t="n">
        <v>1666</v>
      </c>
      <c r="AV61" s="258" t="n"/>
      <c r="AX61" s="357" t="inlineStr">
        <is>
          <t>02</t>
        </is>
      </c>
      <c r="AY61" s="131" t="n"/>
      <c r="AZ61" s="258" t="n">
        <v>1701</v>
      </c>
      <c r="BA61" s="258" t="n">
        <v>1249</v>
      </c>
      <c r="BB61" s="258" t="n">
        <v>1344</v>
      </c>
      <c r="BC61" s="258" t="n"/>
      <c r="BD61" s="258" t="n"/>
      <c r="BE61" s="258" t="n"/>
      <c r="BF61" s="357" t="inlineStr">
        <is>
          <t>02</t>
        </is>
      </c>
      <c r="BG61" s="131" t="n"/>
      <c r="BH61" s="258" t="n">
        <v>958</v>
      </c>
      <c r="BI61" s="258" t="n">
        <v>971</v>
      </c>
      <c r="BJ61" s="258" t="n"/>
      <c r="BK61" s="258" t="n"/>
      <c r="BL61" s="258" t="n"/>
      <c r="BM61" s="258" t="n"/>
      <c r="BN61" s="357" t="inlineStr">
        <is>
          <t>02</t>
        </is>
      </c>
      <c r="BO61" s="131" t="n"/>
      <c r="BP61" s="258" t="n">
        <v>2565</v>
      </c>
      <c r="BQ61" s="258" t="n">
        <v>2217</v>
      </c>
      <c r="BR61" s="258" t="n">
        <v>2798</v>
      </c>
      <c r="BS61" s="258" t="n">
        <v>2980</v>
      </c>
      <c r="BT61" s="258" t="n">
        <v>1776</v>
      </c>
      <c r="BV61" s="357" t="inlineStr">
        <is>
          <t>02</t>
        </is>
      </c>
      <c r="BW61" s="131" t="n"/>
      <c r="BX61" s="258" t="n">
        <v>2111</v>
      </c>
      <c r="BY61" s="258" t="n">
        <v>2116</v>
      </c>
      <c r="BZ61" s="258" t="n">
        <v>2277</v>
      </c>
      <c r="CA61" s="258" t="n">
        <v>1249</v>
      </c>
      <c r="CB61" s="258" t="n">
        <v>1509</v>
      </c>
      <c r="CC61" s="258" t="n"/>
      <c r="CD61" s="357" t="inlineStr">
        <is>
          <t>02</t>
        </is>
      </c>
      <c r="CE61" s="131" t="n"/>
      <c r="CF61" s="258" t="n">
        <v>2277</v>
      </c>
      <c r="CG61" s="258" t="n">
        <v>2366</v>
      </c>
      <c r="CH61" s="258" t="n">
        <v>3028</v>
      </c>
      <c r="CI61" s="258" t="n">
        <v>932</v>
      </c>
      <c r="CJ61" s="258" t="n">
        <v>1608</v>
      </c>
      <c r="CL61" s="357" t="inlineStr">
        <is>
          <t>02</t>
        </is>
      </c>
      <c r="CM61" s="131" t="n"/>
      <c r="CN61" s="258" t="n">
        <v>2928</v>
      </c>
      <c r="CO61" s="258" t="n">
        <v>3280</v>
      </c>
      <c r="CP61" s="258" t="n">
        <v>3659</v>
      </c>
      <c r="CQ61" s="258" t="n">
        <v>2524</v>
      </c>
      <c r="CR61" s="258" t="n">
        <v>2090</v>
      </c>
      <c r="CT61" s="357" t="inlineStr">
        <is>
          <t>02</t>
        </is>
      </c>
      <c r="CU61" s="131" t="n"/>
      <c r="CV61" s="131" t="n">
        <v>4755</v>
      </c>
      <c r="CW61" s="258" t="n"/>
      <c r="CX61" s="258" t="n"/>
      <c r="CY61" s="258" t="n"/>
      <c r="CZ61" s="258" t="n"/>
      <c r="DB61" s="357" t="inlineStr">
        <is>
          <t>02</t>
        </is>
      </c>
      <c r="DC61" s="131" t="n"/>
      <c r="DD61" s="258" t="n">
        <v>3785</v>
      </c>
      <c r="DE61" s="258" t="n"/>
      <c r="DF61" s="258" t="n"/>
      <c r="DG61" s="258" t="n"/>
      <c r="DH61" s="258" t="n"/>
      <c r="DI61" s="258" t="n"/>
      <c r="DJ61" s="357" t="inlineStr">
        <is>
          <t>02</t>
        </is>
      </c>
      <c r="DK61" s="131" t="n"/>
      <c r="DL61" s="258" t="n">
        <v>5632</v>
      </c>
      <c r="DM61" s="258" t="n"/>
      <c r="DN61" s="258" t="n"/>
      <c r="DO61" s="258" t="n"/>
      <c r="DP61" s="258" t="n"/>
      <c r="DR61" s="357" t="inlineStr">
        <is>
          <t>02</t>
        </is>
      </c>
      <c r="DS61" s="131" t="n"/>
      <c r="DT61" s="258" t="n">
        <v>2684</v>
      </c>
      <c r="DU61" s="258" t="n"/>
      <c r="DV61" s="258" t="n"/>
      <c r="DW61" s="258" t="n"/>
      <c r="DX61" s="258" t="n"/>
      <c r="DZ61" s="357" t="inlineStr">
        <is>
          <t>02</t>
        </is>
      </c>
      <c r="EA61" s="131" t="n"/>
      <c r="EB61" s="258" t="n"/>
      <c r="EC61" s="258" t="n"/>
      <c r="ED61" s="258" t="n"/>
      <c r="EE61" s="258" t="n"/>
      <c r="EF61" s="258" t="n"/>
    </row>
    <row r="62">
      <c r="B62" s="357" t="inlineStr">
        <is>
          <t>03</t>
        </is>
      </c>
      <c r="C62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2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62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62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62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62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62" s="258" t="n"/>
      <c r="J62" s="357" t="inlineStr">
        <is>
          <t>03</t>
        </is>
      </c>
      <c r="K62" s="131" t="n"/>
      <c r="L62" s="131" t="n">
        <v>3929</v>
      </c>
      <c r="M62" s="258" t="n">
        <v>3352</v>
      </c>
      <c r="N62" s="258" t="n">
        <v>3797</v>
      </c>
      <c r="O62" s="258" t="n">
        <v>3371</v>
      </c>
      <c r="P62" s="258" t="n">
        <v>1561</v>
      </c>
      <c r="R62" s="357" t="inlineStr">
        <is>
          <t>03</t>
        </is>
      </c>
      <c r="S62" s="131" t="n"/>
      <c r="T62" s="258" t="n">
        <v>2285</v>
      </c>
      <c r="U62" s="258" t="n">
        <v>1951</v>
      </c>
      <c r="V62" s="258" t="n">
        <v>2421</v>
      </c>
      <c r="W62" s="258" t="n">
        <v>1763</v>
      </c>
      <c r="X62" s="258" t="n">
        <v>764</v>
      </c>
      <c r="Z62" s="357" t="inlineStr">
        <is>
          <t>03</t>
        </is>
      </c>
      <c r="AA62" s="131" t="n"/>
      <c r="AB62" s="258" t="n">
        <v>2807</v>
      </c>
      <c r="AC62" s="258" t="n">
        <v>2327</v>
      </c>
      <c r="AD62" s="258" t="n">
        <v>3083</v>
      </c>
      <c r="AE62" s="258" t="n">
        <v>3007</v>
      </c>
      <c r="AF62" s="258" t="n">
        <v>1286</v>
      </c>
      <c r="AH62" s="357" t="inlineStr">
        <is>
          <t>03</t>
        </is>
      </c>
      <c r="AI62" s="131" t="n"/>
      <c r="AJ62" s="131" t="n">
        <v>3757</v>
      </c>
      <c r="AK62" s="258" t="n">
        <v>2827</v>
      </c>
      <c r="AL62" s="258" t="n">
        <v>2470</v>
      </c>
      <c r="AM62" s="258" t="n">
        <v>1767</v>
      </c>
      <c r="AN62" s="258" t="n">
        <v>46</v>
      </c>
      <c r="AP62" s="357" t="inlineStr">
        <is>
          <t>03</t>
        </is>
      </c>
      <c r="AQ62" s="131" t="n"/>
      <c r="AR62" s="131" t="n">
        <v>3370</v>
      </c>
      <c r="AS62" s="258" t="n">
        <v>2281</v>
      </c>
      <c r="AT62" s="258" t="n">
        <v>2320</v>
      </c>
      <c r="AU62" s="258" t="n">
        <v>2159</v>
      </c>
      <c r="AV62" s="258" t="n"/>
      <c r="AX62" s="357" t="inlineStr">
        <is>
          <t>03</t>
        </is>
      </c>
      <c r="AY62" s="131" t="n"/>
      <c r="AZ62" s="258" t="n">
        <v>1970</v>
      </c>
      <c r="BA62" s="258" t="n">
        <v>1262</v>
      </c>
      <c r="BB62" s="258" t="n">
        <v>1161</v>
      </c>
      <c r="BC62" s="258" t="n"/>
      <c r="BD62" s="258" t="n"/>
      <c r="BE62" s="258" t="n"/>
      <c r="BF62" s="357" t="inlineStr">
        <is>
          <t>03</t>
        </is>
      </c>
      <c r="BG62" s="131" t="n"/>
      <c r="BH62" s="258" t="n">
        <v>1054</v>
      </c>
      <c r="BI62" s="258" t="n">
        <v>832</v>
      </c>
      <c r="BJ62" s="258" t="n"/>
      <c r="BK62" s="258" t="n"/>
      <c r="BL62" s="258" t="n"/>
      <c r="BM62" s="258" t="n"/>
      <c r="BN62" s="357" t="inlineStr">
        <is>
          <t>03</t>
        </is>
      </c>
      <c r="BO62" s="131" t="n"/>
      <c r="BP62" s="258" t="n">
        <v>2721</v>
      </c>
      <c r="BQ62" s="258" t="n">
        <v>2253</v>
      </c>
      <c r="BR62" s="258" t="n">
        <v>2807</v>
      </c>
      <c r="BS62" s="258" t="n">
        <v>3172</v>
      </c>
      <c r="BT62" s="258" t="n">
        <v>892</v>
      </c>
      <c r="BV62" s="357" t="inlineStr">
        <is>
          <t>03</t>
        </is>
      </c>
      <c r="BW62" s="131" t="n"/>
      <c r="BX62" s="258" t="n">
        <v>2292</v>
      </c>
      <c r="BY62" s="258" t="n">
        <v>2056</v>
      </c>
      <c r="BZ62" s="258" t="n">
        <v>2071</v>
      </c>
      <c r="CA62" s="258" t="n">
        <v>1459</v>
      </c>
      <c r="CB62" s="258" t="n">
        <v>701</v>
      </c>
      <c r="CC62" s="258" t="n"/>
      <c r="CD62" s="357" t="inlineStr">
        <is>
          <t>03</t>
        </is>
      </c>
      <c r="CE62" s="131" t="n"/>
      <c r="CF62" s="258" t="n">
        <v>2494</v>
      </c>
      <c r="CG62" s="258" t="n">
        <v>2233</v>
      </c>
      <c r="CH62" s="258" t="n">
        <v>2885</v>
      </c>
      <c r="CI62" s="258" t="n">
        <v>1455</v>
      </c>
      <c r="CJ62" s="258" t="n">
        <v>717</v>
      </c>
      <c r="CL62" s="357" t="inlineStr">
        <is>
          <t>03</t>
        </is>
      </c>
      <c r="CM62" s="131" t="n"/>
      <c r="CN62" s="258" t="n">
        <v>3481</v>
      </c>
      <c r="CO62" s="258" t="n">
        <v>3065</v>
      </c>
      <c r="CP62" s="258" t="n">
        <v>3366</v>
      </c>
      <c r="CQ62" s="258" t="n">
        <v>2617</v>
      </c>
      <c r="CR62" s="258" t="n">
        <v>986</v>
      </c>
      <c r="CT62" s="357" t="inlineStr">
        <is>
          <t>03</t>
        </is>
      </c>
      <c r="CU62" s="131" t="n"/>
      <c r="CV62" s="131" t="n">
        <v>5478</v>
      </c>
      <c r="CW62" s="258" t="n"/>
      <c r="CX62" s="258" t="n"/>
      <c r="CY62" s="258" t="n"/>
      <c r="CZ62" s="258" t="n"/>
      <c r="DB62" s="357" t="inlineStr">
        <is>
          <t>03</t>
        </is>
      </c>
      <c r="DC62" s="131" t="n"/>
      <c r="DD62" s="258" t="n">
        <v>4309</v>
      </c>
      <c r="DE62" s="258" t="n"/>
      <c r="DF62" s="258" t="n"/>
      <c r="DG62" s="258" t="n"/>
      <c r="DH62" s="258" t="n"/>
      <c r="DI62" s="258" t="n"/>
      <c r="DJ62" s="357" t="inlineStr">
        <is>
          <t>03</t>
        </is>
      </c>
      <c r="DK62" s="131" t="n"/>
      <c r="DL62" s="258" t="n">
        <v>5634</v>
      </c>
      <c r="DM62" s="258" t="n"/>
      <c r="DN62" s="258" t="n"/>
      <c r="DO62" s="258" t="n"/>
      <c r="DP62" s="258" t="n"/>
      <c r="DR62" s="357" t="inlineStr">
        <is>
          <t>03</t>
        </is>
      </c>
      <c r="DS62" s="131" t="n"/>
      <c r="DT62" s="258" t="n">
        <v>3287</v>
      </c>
      <c r="DU62" s="258" t="n"/>
      <c r="DV62" s="258" t="n"/>
      <c r="DW62" s="258" t="n"/>
      <c r="DX62" s="258" t="n"/>
      <c r="DZ62" s="357" t="inlineStr">
        <is>
          <t>03</t>
        </is>
      </c>
      <c r="EA62" s="131" t="n"/>
      <c r="EB62" s="258" t="n"/>
      <c r="EC62" s="258" t="n"/>
      <c r="ED62" s="258" t="n"/>
      <c r="EE62" s="258" t="n"/>
      <c r="EF62" s="258" t="n"/>
    </row>
    <row r="63">
      <c r="B63" s="357" t="inlineStr">
        <is>
          <t>04</t>
        </is>
      </c>
      <c r="C63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3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63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63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63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63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63" s="258" t="n"/>
      <c r="J63" s="357" t="inlineStr">
        <is>
          <t>04</t>
        </is>
      </c>
      <c r="K63" s="131" t="n"/>
      <c r="L63" s="131" t="n">
        <v>4158</v>
      </c>
      <c r="M63" s="258" t="n">
        <v>3377</v>
      </c>
      <c r="N63" s="258" t="n">
        <v>3478</v>
      </c>
      <c r="O63" s="258" t="n">
        <v>3634</v>
      </c>
      <c r="P63" s="258" t="n">
        <v>1e-05</v>
      </c>
      <c r="R63" s="357" t="inlineStr">
        <is>
          <t>04</t>
        </is>
      </c>
      <c r="S63" s="131" t="n"/>
      <c r="T63" s="258" t="n">
        <v>2249</v>
      </c>
      <c r="U63" s="258" t="n">
        <v>1940</v>
      </c>
      <c r="V63" s="258" t="n">
        <v>2230</v>
      </c>
      <c r="W63" s="258" t="n">
        <v>1916</v>
      </c>
      <c r="X63" s="258" t="n">
        <v>0</v>
      </c>
      <c r="Z63" s="357" t="inlineStr">
        <is>
          <t>04</t>
        </is>
      </c>
      <c r="AA63" s="131" t="n"/>
      <c r="AB63" s="258" t="n">
        <v>2889</v>
      </c>
      <c r="AC63" s="258" t="n">
        <v>2486</v>
      </c>
      <c r="AD63" s="258" t="n">
        <v>2540</v>
      </c>
      <c r="AE63" s="258" t="n">
        <v>3477</v>
      </c>
      <c r="AF63" s="258" t="n">
        <v>0</v>
      </c>
      <c r="AH63" s="357" t="inlineStr">
        <is>
          <t>04</t>
        </is>
      </c>
      <c r="AI63" s="131" t="n"/>
      <c r="AJ63" s="131" t="n">
        <v>4045</v>
      </c>
      <c r="AK63" s="258" t="n">
        <v>3181</v>
      </c>
      <c r="AL63" s="258" t="n">
        <v>2054</v>
      </c>
      <c r="AM63" s="258" t="n">
        <v>2142</v>
      </c>
      <c r="AN63" s="258" t="n">
        <v>0</v>
      </c>
      <c r="AP63" s="357" t="inlineStr">
        <is>
          <t>04</t>
        </is>
      </c>
      <c r="AQ63" s="131" t="n"/>
      <c r="AR63" s="131" t="n">
        <v>3575</v>
      </c>
      <c r="AS63" s="258" t="n">
        <v>2494</v>
      </c>
      <c r="AT63" s="258" t="n">
        <v>1998</v>
      </c>
      <c r="AU63" s="258" t="n">
        <v>2447</v>
      </c>
      <c r="AV63" s="258" t="n"/>
      <c r="AX63" s="357" t="inlineStr">
        <is>
          <t>04</t>
        </is>
      </c>
      <c r="AY63" s="131" t="n"/>
      <c r="AZ63" s="258" t="n">
        <v>1834</v>
      </c>
      <c r="BA63" s="258" t="n">
        <v>1610</v>
      </c>
      <c r="BB63" s="258" t="n">
        <v>1149</v>
      </c>
      <c r="BC63" s="258" t="n"/>
      <c r="BD63" s="258" t="n"/>
      <c r="BE63" s="258" t="n"/>
      <c r="BF63" s="357" t="inlineStr">
        <is>
          <t>04</t>
        </is>
      </c>
      <c r="BG63" s="131" t="n"/>
      <c r="BH63" s="258" t="n">
        <v>1193</v>
      </c>
      <c r="BI63" s="258" t="n">
        <v>1062</v>
      </c>
      <c r="BJ63" s="258" t="n"/>
      <c r="BK63" s="258" t="n"/>
      <c r="BL63" s="258" t="n"/>
      <c r="BM63" s="258" t="n"/>
      <c r="BN63" s="357" t="inlineStr">
        <is>
          <t>04</t>
        </is>
      </c>
      <c r="BO63" s="131" t="n"/>
      <c r="BP63" s="258" t="n">
        <v>2914</v>
      </c>
      <c r="BQ63" s="258" t="n">
        <v>2473</v>
      </c>
      <c r="BR63" s="258" t="n">
        <v>2560</v>
      </c>
      <c r="BS63" s="258" t="n">
        <v>2829</v>
      </c>
      <c r="BT63" s="258" t="n">
        <v>0</v>
      </c>
      <c r="BV63" s="357" t="inlineStr">
        <is>
          <t>04</t>
        </is>
      </c>
      <c r="BW63" s="131" t="n"/>
      <c r="BX63" s="258" t="n">
        <v>2439</v>
      </c>
      <c r="BY63" s="258" t="n">
        <v>2128</v>
      </c>
      <c r="BZ63" s="258" t="n">
        <v>2185</v>
      </c>
      <c r="CA63" s="258" t="n">
        <v>1768</v>
      </c>
      <c r="CB63" s="258" t="n">
        <v>0</v>
      </c>
      <c r="CC63" s="258" t="n"/>
      <c r="CD63" s="357" t="inlineStr">
        <is>
          <t>04</t>
        </is>
      </c>
      <c r="CE63" s="131" t="n"/>
      <c r="CF63" s="258" t="n">
        <v>2427</v>
      </c>
      <c r="CG63" s="258" t="n">
        <v>2338</v>
      </c>
      <c r="CH63" s="258" t="n">
        <v>2733</v>
      </c>
      <c r="CI63" s="258" t="n">
        <v>1784</v>
      </c>
      <c r="CJ63" s="258" t="n">
        <v>0</v>
      </c>
      <c r="CL63" s="357" t="inlineStr">
        <is>
          <t>04</t>
        </is>
      </c>
      <c r="CM63" s="131" t="n"/>
      <c r="CN63" s="258" t="n">
        <v>3289</v>
      </c>
      <c r="CO63" s="258" t="n">
        <v>3534</v>
      </c>
      <c r="CP63" s="258" t="n">
        <v>3328</v>
      </c>
      <c r="CQ63" s="258" t="n">
        <v>2706</v>
      </c>
      <c r="CR63" s="258" t="n">
        <v>0</v>
      </c>
      <c r="CT63" s="357" t="inlineStr">
        <is>
          <t>04</t>
        </is>
      </c>
      <c r="CU63" s="131" t="n"/>
      <c r="CV63" s="131" t="n">
        <v>5003</v>
      </c>
      <c r="CW63" s="258" t="n"/>
      <c r="CX63" s="258" t="n"/>
      <c r="CY63" s="258" t="n"/>
      <c r="CZ63" s="258" t="n"/>
      <c r="DB63" s="357" t="inlineStr">
        <is>
          <t>04</t>
        </is>
      </c>
      <c r="DC63" s="131" t="n"/>
      <c r="DD63" s="258" t="n">
        <v>4036</v>
      </c>
      <c r="DE63" s="258" t="n"/>
      <c r="DF63" s="258" t="n"/>
      <c r="DG63" s="258" t="n"/>
      <c r="DH63" s="258" t="n"/>
      <c r="DI63" s="258" t="n"/>
      <c r="DJ63" s="357" t="inlineStr">
        <is>
          <t>04</t>
        </is>
      </c>
      <c r="DK63" s="131" t="n"/>
      <c r="DL63" s="258" t="n">
        <v>5451</v>
      </c>
      <c r="DM63" s="258" t="n"/>
      <c r="DN63" s="258" t="n"/>
      <c r="DO63" s="258" t="n"/>
      <c r="DP63" s="258" t="n"/>
      <c r="DR63" s="357" t="inlineStr">
        <is>
          <t>04</t>
        </is>
      </c>
      <c r="DS63" s="131" t="n"/>
      <c r="DT63" s="258" t="n">
        <v>3006</v>
      </c>
      <c r="DU63" s="258" t="n"/>
      <c r="DV63" s="258" t="n"/>
      <c r="DW63" s="258" t="n"/>
      <c r="DX63" s="258" t="n"/>
      <c r="DZ63" s="357" t="inlineStr">
        <is>
          <t>04</t>
        </is>
      </c>
      <c r="EA63" s="131" t="n"/>
      <c r="EB63" s="258" t="n"/>
      <c r="EC63" s="258" t="n"/>
      <c r="ED63" s="258" t="n"/>
      <c r="EE63" s="258" t="n"/>
      <c r="EF63" s="258" t="n"/>
    </row>
    <row r="64">
      <c r="B64" s="357" t="inlineStr">
        <is>
          <t>05</t>
        </is>
      </c>
      <c r="C64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4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64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64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64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64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64" s="258" t="n"/>
      <c r="J64" s="357" t="inlineStr">
        <is>
          <t>05</t>
        </is>
      </c>
      <c r="K64" s="131" t="n"/>
      <c r="L64" s="131" t="n">
        <v>4236</v>
      </c>
      <c r="M64" s="258" t="n">
        <v>3511</v>
      </c>
      <c r="N64" s="258" t="n">
        <v>3298</v>
      </c>
      <c r="O64" s="258" t="n">
        <v>4522</v>
      </c>
      <c r="P64" s="258" t="n">
        <v>1207</v>
      </c>
      <c r="R64" s="357" t="inlineStr">
        <is>
          <t>05</t>
        </is>
      </c>
      <c r="S64" s="131" t="n"/>
      <c r="T64" s="258" t="n">
        <v>2190</v>
      </c>
      <c r="U64" s="258" t="n">
        <v>2006</v>
      </c>
      <c r="V64" s="258" t="n">
        <v>2011</v>
      </c>
      <c r="W64" s="258" t="n">
        <v>2514</v>
      </c>
      <c r="X64" s="258" t="n">
        <v>376</v>
      </c>
      <c r="Z64" s="357" t="inlineStr">
        <is>
          <t>05</t>
        </is>
      </c>
      <c r="AA64" s="131" t="n"/>
      <c r="AB64" s="258" t="n">
        <v>2484</v>
      </c>
      <c r="AC64" s="258" t="n">
        <v>2403</v>
      </c>
      <c r="AD64" s="258" t="n">
        <v>2843</v>
      </c>
      <c r="AE64" s="258" t="n">
        <v>3987</v>
      </c>
      <c r="AF64" s="258" t="n">
        <v>1323</v>
      </c>
      <c r="AH64" s="357" t="inlineStr">
        <is>
          <t>05</t>
        </is>
      </c>
      <c r="AI64" s="131" t="n"/>
      <c r="AJ64" s="131" t="n">
        <v>4064</v>
      </c>
      <c r="AK64" s="258" t="n">
        <v>3282</v>
      </c>
      <c r="AL64" s="258" t="n">
        <v>2320</v>
      </c>
      <c r="AM64" s="258" t="n">
        <v>3092</v>
      </c>
      <c r="AN64" s="258" t="n">
        <v>21</v>
      </c>
      <c r="AP64" s="357" t="inlineStr">
        <is>
          <t>05</t>
        </is>
      </c>
      <c r="AQ64" s="131" t="n"/>
      <c r="AR64" s="131" t="n">
        <v>3203</v>
      </c>
      <c r="AS64" s="258" t="n">
        <v>2769</v>
      </c>
      <c r="AT64" s="258" t="n">
        <v>2315</v>
      </c>
      <c r="AU64" s="258" t="n">
        <v>2832</v>
      </c>
      <c r="AV64" s="258" t="n"/>
      <c r="AX64" s="357" t="inlineStr">
        <is>
          <t>05</t>
        </is>
      </c>
      <c r="AY64" s="131" t="n"/>
      <c r="AZ64" s="258" t="n">
        <v>1918</v>
      </c>
      <c r="BA64" s="258" t="n">
        <v>1659</v>
      </c>
      <c r="BB64" s="258" t="n">
        <v>1210</v>
      </c>
      <c r="BC64" s="258" t="n"/>
      <c r="BD64" s="258" t="n"/>
      <c r="BE64" s="258" t="n"/>
      <c r="BF64" s="357" t="inlineStr">
        <is>
          <t>05</t>
        </is>
      </c>
      <c r="BG64" s="131" t="n"/>
      <c r="BH64" s="258" t="n">
        <v>1388</v>
      </c>
      <c r="BI64" s="258" t="n">
        <v>1140</v>
      </c>
      <c r="BJ64" s="258" t="n"/>
      <c r="BK64" s="258" t="n"/>
      <c r="BL64" s="258" t="n"/>
      <c r="BM64" s="258" t="n"/>
      <c r="BN64" s="357" t="inlineStr">
        <is>
          <t>05</t>
        </is>
      </c>
      <c r="BO64" s="131" t="n"/>
      <c r="BP64" s="258" t="n">
        <v>3016</v>
      </c>
      <c r="BQ64" s="258" t="n">
        <v>2696</v>
      </c>
      <c r="BR64" s="258" t="n">
        <v>2686</v>
      </c>
      <c r="BS64" s="258" t="n">
        <v>3932</v>
      </c>
      <c r="BT64" s="258" t="n">
        <v>0</v>
      </c>
      <c r="BV64" s="357" t="inlineStr">
        <is>
          <t>05</t>
        </is>
      </c>
      <c r="BW64" s="131" t="n"/>
      <c r="BX64" s="258" t="n">
        <v>2475</v>
      </c>
      <c r="BY64" s="258" t="n">
        <v>2303</v>
      </c>
      <c r="BZ64" s="258" t="n">
        <v>2306</v>
      </c>
      <c r="CA64" s="258" t="n">
        <v>2587</v>
      </c>
      <c r="CB64" s="258" t="n">
        <v>412</v>
      </c>
      <c r="CC64" s="258" t="n"/>
      <c r="CD64" s="357" t="inlineStr">
        <is>
          <t>05</t>
        </is>
      </c>
      <c r="CE64" s="131" t="n"/>
      <c r="CF64" s="258" t="n">
        <v>3214</v>
      </c>
      <c r="CG64" s="258" t="n">
        <v>2423</v>
      </c>
      <c r="CH64" s="258" t="n">
        <v>3315</v>
      </c>
      <c r="CI64" s="258" t="n">
        <v>4097</v>
      </c>
      <c r="CJ64" s="258" t="n">
        <v>8</v>
      </c>
      <c r="CL64" s="357" t="inlineStr">
        <is>
          <t>05</t>
        </is>
      </c>
      <c r="CM64" s="131" t="n"/>
      <c r="CN64" s="258" t="n">
        <v>3402</v>
      </c>
      <c r="CO64" s="258" t="n">
        <v>3665</v>
      </c>
      <c r="CP64" s="258" t="n">
        <v>3539</v>
      </c>
      <c r="CQ64" s="258" t="n">
        <v>3954</v>
      </c>
      <c r="CR64" s="258" t="n">
        <v>261</v>
      </c>
      <c r="CT64" s="357" t="inlineStr">
        <is>
          <t>05</t>
        </is>
      </c>
      <c r="CU64" s="131" t="n"/>
      <c r="CV64" s="131" t="n">
        <v>4974</v>
      </c>
      <c r="CW64" s="258" t="n"/>
      <c r="CX64" s="258" t="n"/>
      <c r="CY64" s="258" t="n"/>
      <c r="CZ64" s="258" t="n"/>
      <c r="DB64" s="357" t="inlineStr">
        <is>
          <t>05</t>
        </is>
      </c>
      <c r="DC64" s="131" t="n"/>
      <c r="DD64" s="258" t="n">
        <v>3934</v>
      </c>
      <c r="DE64" s="258" t="n"/>
      <c r="DF64" s="258" t="n"/>
      <c r="DG64" s="258" t="n"/>
      <c r="DH64" s="258" t="n"/>
      <c r="DI64" s="258" t="n"/>
      <c r="DJ64" s="357" t="inlineStr">
        <is>
          <t>05</t>
        </is>
      </c>
      <c r="DK64" s="131" t="n"/>
      <c r="DL64" s="258" t="n">
        <v>5659</v>
      </c>
      <c r="DM64" s="258" t="n"/>
      <c r="DN64" s="258" t="n"/>
      <c r="DO64" s="258" t="n"/>
      <c r="DP64" s="258" t="n"/>
      <c r="DR64" s="357" t="inlineStr">
        <is>
          <t>05</t>
        </is>
      </c>
      <c r="DS64" s="131" t="n"/>
      <c r="DT64" s="258" t="n">
        <v>3113</v>
      </c>
      <c r="DU64" s="258" t="n"/>
      <c r="DV64" s="258" t="n"/>
      <c r="DW64" s="258" t="n"/>
      <c r="DX64" s="258" t="n"/>
      <c r="DZ64" s="357" t="inlineStr">
        <is>
          <t>05</t>
        </is>
      </c>
      <c r="EA64" s="131" t="n"/>
      <c r="EB64" s="258" t="n"/>
      <c r="EC64" s="258" t="n"/>
      <c r="ED64" s="258" t="n"/>
      <c r="EE64" s="258" t="n"/>
      <c r="EF64" s="258" t="n"/>
    </row>
    <row r="65">
      <c r="B65" s="357" t="inlineStr">
        <is>
          <t>06</t>
        </is>
      </c>
      <c r="C65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5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65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65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65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65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65" s="258" t="n"/>
      <c r="J65" s="357" t="inlineStr">
        <is>
          <t>06</t>
        </is>
      </c>
      <c r="K65" s="131" t="n"/>
      <c r="L65" s="131" t="n">
        <v>4083</v>
      </c>
      <c r="M65" s="258" t="n">
        <v>3349</v>
      </c>
      <c r="N65" s="258" t="n">
        <v>3185</v>
      </c>
      <c r="O65" s="258" t="n">
        <v>4392</v>
      </c>
      <c r="P65" s="258" t="n">
        <v>2260</v>
      </c>
      <c r="R65" s="357" t="inlineStr">
        <is>
          <t>06</t>
        </is>
      </c>
      <c r="S65" s="131" t="n"/>
      <c r="T65" s="258" t="n">
        <v>2012</v>
      </c>
      <c r="U65" s="258" t="n">
        <v>1948</v>
      </c>
      <c r="V65" s="258" t="n">
        <v>1970</v>
      </c>
      <c r="W65" s="258" t="n">
        <v>2716</v>
      </c>
      <c r="X65" s="258" t="n">
        <v>1285</v>
      </c>
      <c r="Z65" s="357" t="inlineStr">
        <is>
          <t>06</t>
        </is>
      </c>
      <c r="AA65" s="131" t="n"/>
      <c r="AB65" s="258" t="n">
        <v>2529</v>
      </c>
      <c r="AC65" s="258" t="n">
        <v>2363</v>
      </c>
      <c r="AD65" s="258" t="n">
        <v>2538</v>
      </c>
      <c r="AE65" s="258" t="n">
        <v>3403</v>
      </c>
      <c r="AF65" s="258" t="n">
        <v>2134</v>
      </c>
      <c r="AH65" s="357" t="inlineStr">
        <is>
          <t>06</t>
        </is>
      </c>
      <c r="AI65" s="131" t="n"/>
      <c r="AJ65" s="131" t="n">
        <v>3832</v>
      </c>
      <c r="AK65" s="258" t="n">
        <v>3155</v>
      </c>
      <c r="AL65" s="258" t="n">
        <v>2206</v>
      </c>
      <c r="AM65" s="258" t="n">
        <v>3238</v>
      </c>
      <c r="AN65" s="258" t="n">
        <v>1041</v>
      </c>
      <c r="AP65" s="357" t="inlineStr">
        <is>
          <t>06</t>
        </is>
      </c>
      <c r="AQ65" s="131" t="n"/>
      <c r="AR65" s="131" t="n">
        <v>2885</v>
      </c>
      <c r="AS65" s="258" t="n">
        <v>2515</v>
      </c>
      <c r="AT65" s="258" t="n">
        <v>2244</v>
      </c>
      <c r="AU65" s="258" t="n">
        <v>1281</v>
      </c>
      <c r="AV65" s="258" t="n"/>
      <c r="AX65" s="357" t="inlineStr">
        <is>
          <t>06</t>
        </is>
      </c>
      <c r="AY65" s="131" t="n"/>
      <c r="AZ65" s="258" t="n">
        <v>1959</v>
      </c>
      <c r="BA65" s="258" t="n">
        <v>1551</v>
      </c>
      <c r="BB65" s="258" t="n">
        <v>1125</v>
      </c>
      <c r="BC65" s="258" t="n"/>
      <c r="BD65" s="258" t="n"/>
      <c r="BE65" s="258" t="n"/>
      <c r="BF65" s="357" t="inlineStr">
        <is>
          <t>06</t>
        </is>
      </c>
      <c r="BG65" s="131" t="n"/>
      <c r="BH65" s="258" t="n">
        <v>1644</v>
      </c>
      <c r="BI65" s="258" t="n">
        <v>1133</v>
      </c>
      <c r="BJ65" s="258" t="n"/>
      <c r="BK65" s="258" t="n"/>
      <c r="BL65" s="258" t="n"/>
      <c r="BM65" s="258" t="n"/>
      <c r="BN65" s="357" t="inlineStr">
        <is>
          <t>06</t>
        </is>
      </c>
      <c r="BO65" s="131" t="n"/>
      <c r="BP65" s="258" t="n">
        <v>2885</v>
      </c>
      <c r="BQ65" s="258" t="n">
        <v>2560</v>
      </c>
      <c r="BR65" s="258" t="n">
        <v>2355</v>
      </c>
      <c r="BS65" s="258" t="n">
        <v>3625</v>
      </c>
      <c r="BT65" s="258" t="n">
        <v>1092</v>
      </c>
      <c r="BV65" s="357" t="inlineStr">
        <is>
          <t>06</t>
        </is>
      </c>
      <c r="BW65" s="131" t="n"/>
      <c r="BX65" s="258" t="n">
        <v>2329</v>
      </c>
      <c r="BY65" s="258" t="n">
        <v>2082</v>
      </c>
      <c r="BZ65" s="258" t="n">
        <v>2260</v>
      </c>
      <c r="CA65" s="258" t="n">
        <v>2569</v>
      </c>
      <c r="CB65" s="258" t="n">
        <v>1475</v>
      </c>
      <c r="CC65" s="258" t="n"/>
      <c r="CD65" s="357" t="inlineStr">
        <is>
          <t>06</t>
        </is>
      </c>
      <c r="CE65" s="131" t="n"/>
      <c r="CF65" s="258" t="n">
        <v>3398</v>
      </c>
      <c r="CG65" s="258" t="n">
        <v>2059</v>
      </c>
      <c r="CH65" s="258" t="n">
        <v>3081</v>
      </c>
      <c r="CI65" s="258" t="n">
        <v>3496</v>
      </c>
      <c r="CJ65" s="258" t="n">
        <v>1429</v>
      </c>
      <c r="CL65" s="357" t="inlineStr">
        <is>
          <t>06</t>
        </is>
      </c>
      <c r="CM65" s="131" t="n"/>
      <c r="CN65" s="258" t="n">
        <v>3685</v>
      </c>
      <c r="CO65" s="258" t="n">
        <v>3495</v>
      </c>
      <c r="CP65" s="258" t="n">
        <v>3608</v>
      </c>
      <c r="CQ65" s="258" t="n">
        <v>3631</v>
      </c>
      <c r="CR65" s="258" t="n">
        <v>1290</v>
      </c>
      <c r="CT65" s="357" t="inlineStr">
        <is>
          <t>06</t>
        </is>
      </c>
      <c r="CU65" s="131" t="n"/>
      <c r="CV65" s="131" t="n">
        <v>4879</v>
      </c>
      <c r="CW65" s="258" t="n"/>
      <c r="CX65" s="258" t="n"/>
      <c r="CY65" s="258" t="n"/>
      <c r="CZ65" s="258" t="n"/>
      <c r="DB65" s="357" t="inlineStr">
        <is>
          <t>06</t>
        </is>
      </c>
      <c r="DC65" s="131" t="n"/>
      <c r="DD65" s="258" t="n">
        <v>4433</v>
      </c>
      <c r="DE65" s="258" t="n"/>
      <c r="DF65" s="258" t="n"/>
      <c r="DG65" s="258" t="n"/>
      <c r="DH65" s="258" t="n"/>
      <c r="DI65" s="258" t="n"/>
      <c r="DJ65" s="357" t="inlineStr">
        <is>
          <t>06</t>
        </is>
      </c>
      <c r="DK65" s="131" t="n"/>
      <c r="DL65" s="258" t="n">
        <v>5505</v>
      </c>
      <c r="DM65" s="258" t="n"/>
      <c r="DN65" s="258" t="n"/>
      <c r="DO65" s="258" t="n"/>
      <c r="DP65" s="258" t="n"/>
      <c r="DR65" s="357" t="inlineStr">
        <is>
          <t>06</t>
        </is>
      </c>
      <c r="DS65" s="131" t="n"/>
      <c r="DT65" s="258" t="n">
        <v>2956</v>
      </c>
      <c r="DU65" s="258" t="n"/>
      <c r="DV65" s="258" t="n"/>
      <c r="DW65" s="258" t="n"/>
      <c r="DX65" s="258" t="n"/>
      <c r="DZ65" s="357" t="inlineStr">
        <is>
          <t>06</t>
        </is>
      </c>
      <c r="EA65" s="131" t="n"/>
      <c r="EB65" s="258" t="n"/>
      <c r="EC65" s="258" t="n"/>
      <c r="ED65" s="258" t="n"/>
      <c r="EE65" s="258" t="n"/>
      <c r="EF65" s="258" t="n"/>
    </row>
    <row r="66">
      <c r="B66" s="357" t="inlineStr">
        <is>
          <t>07</t>
        </is>
      </c>
      <c r="C66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6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66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66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66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66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66" s="258" t="n"/>
      <c r="J66" s="357" t="inlineStr">
        <is>
          <t>07</t>
        </is>
      </c>
      <c r="K66" s="131" t="n"/>
      <c r="L66" s="131" t="n">
        <v>4143</v>
      </c>
      <c r="M66" s="258" t="n">
        <v>3430</v>
      </c>
      <c r="N66" s="258" t="n">
        <v>3443</v>
      </c>
      <c r="O66" s="258" t="n">
        <v>6525</v>
      </c>
      <c r="P66" s="258" t="n">
        <v>2623</v>
      </c>
      <c r="R66" s="357" t="inlineStr">
        <is>
          <t>07</t>
        </is>
      </c>
      <c r="S66" s="131" t="n"/>
      <c r="T66" s="258" t="n">
        <v>1969</v>
      </c>
      <c r="U66" s="258" t="n">
        <v>1838</v>
      </c>
      <c r="V66" s="258" t="n">
        <v>1977</v>
      </c>
      <c r="W66" s="258" t="n">
        <v>2727</v>
      </c>
      <c r="X66" s="258" t="n">
        <v>1578</v>
      </c>
      <c r="Z66" s="357" t="inlineStr">
        <is>
          <t>07</t>
        </is>
      </c>
      <c r="AA66" s="131" t="n"/>
      <c r="AB66" s="258" t="n">
        <v>2459</v>
      </c>
      <c r="AC66" s="258" t="n">
        <v>2271</v>
      </c>
      <c r="AD66" s="258" t="n">
        <v>2552</v>
      </c>
      <c r="AE66" s="258" t="n">
        <v>2891</v>
      </c>
      <c r="AF66" s="258" t="n">
        <v>2026</v>
      </c>
      <c r="AH66" s="357" t="inlineStr">
        <is>
          <t>07</t>
        </is>
      </c>
      <c r="AI66" s="131" t="n"/>
      <c r="AJ66" s="131" t="n">
        <v>3952</v>
      </c>
      <c r="AK66" s="258" t="n">
        <v>3574</v>
      </c>
      <c r="AL66" s="258" t="n">
        <v>2605</v>
      </c>
      <c r="AM66" s="258" t="n">
        <v>2813</v>
      </c>
      <c r="AN66" s="258" t="n">
        <v>1269</v>
      </c>
      <c r="AP66" s="357" t="inlineStr">
        <is>
          <t>07</t>
        </is>
      </c>
      <c r="AQ66" s="131" t="n"/>
      <c r="AR66" s="131" t="n">
        <v>2951</v>
      </c>
      <c r="AS66" s="258" t="n">
        <v>2882</v>
      </c>
      <c r="AT66" s="258" t="n">
        <v>2427</v>
      </c>
      <c r="AU66" s="258" t="n">
        <v>1006</v>
      </c>
      <c r="AV66" s="258" t="n"/>
      <c r="AX66" s="357" t="inlineStr">
        <is>
          <t>07</t>
        </is>
      </c>
      <c r="AY66" s="131" t="n"/>
      <c r="AZ66" s="258" t="n">
        <v>1841</v>
      </c>
      <c r="BA66" s="258" t="n">
        <v>1748</v>
      </c>
      <c r="BB66" s="258" t="n">
        <v>1295</v>
      </c>
      <c r="BC66" s="258" t="n">
        <v>375</v>
      </c>
      <c r="BD66" s="258" t="n"/>
      <c r="BE66" s="258" t="n"/>
      <c r="BF66" s="357" t="inlineStr">
        <is>
          <t>07</t>
        </is>
      </c>
      <c r="BG66" s="131" t="n"/>
      <c r="BH66" s="258" t="n">
        <v>1945</v>
      </c>
      <c r="BI66" s="258" t="n">
        <v>1378</v>
      </c>
      <c r="BJ66" s="258" t="n"/>
      <c r="BK66" s="258" t="n"/>
      <c r="BL66" s="258" t="n"/>
      <c r="BM66" s="258" t="n"/>
      <c r="BN66" s="357" t="inlineStr">
        <is>
          <t>07</t>
        </is>
      </c>
      <c r="BO66" s="131" t="n"/>
      <c r="BP66" s="258" t="n">
        <v>2808</v>
      </c>
      <c r="BQ66" s="258" t="n">
        <v>2527</v>
      </c>
      <c r="BR66" s="258" t="n">
        <v>2329</v>
      </c>
      <c r="BS66" s="258" t="n">
        <v>2920</v>
      </c>
      <c r="BT66" s="258" t="n">
        <v>1391</v>
      </c>
      <c r="BV66" s="357" t="inlineStr">
        <is>
          <t>07</t>
        </is>
      </c>
      <c r="BW66" s="131" t="n"/>
      <c r="BX66" s="258" t="n">
        <v>2685</v>
      </c>
      <c r="BY66" s="258" t="n">
        <v>2544</v>
      </c>
      <c r="BZ66" s="258" t="n">
        <v>2732</v>
      </c>
      <c r="CA66" s="258" t="n">
        <v>2686</v>
      </c>
      <c r="CB66" s="258" t="n">
        <v>1858</v>
      </c>
      <c r="CC66" s="258" t="n"/>
      <c r="CD66" s="357" t="inlineStr">
        <is>
          <t>07</t>
        </is>
      </c>
      <c r="CE66" s="131" t="n"/>
      <c r="CF66" s="258" t="n">
        <v>3930</v>
      </c>
      <c r="CG66" s="258" t="n">
        <v>2654</v>
      </c>
      <c r="CH66" s="258" t="n">
        <v>3927</v>
      </c>
      <c r="CI66" s="258" t="n">
        <v>3963</v>
      </c>
      <c r="CJ66" s="258" t="n">
        <v>2264</v>
      </c>
      <c r="CL66" s="357" t="inlineStr">
        <is>
          <t>07</t>
        </is>
      </c>
      <c r="CM66" s="131" t="n"/>
      <c r="CN66" s="258" t="n">
        <v>3845</v>
      </c>
      <c r="CO66" s="258" t="n">
        <v>3934</v>
      </c>
      <c r="CP66" s="258" t="n">
        <v>3539</v>
      </c>
      <c r="CQ66" s="258" t="n">
        <v>3586</v>
      </c>
      <c r="CR66" s="258" t="n">
        <v>1835</v>
      </c>
      <c r="CT66" s="357" t="inlineStr">
        <is>
          <t>07</t>
        </is>
      </c>
      <c r="CU66" s="131" t="n"/>
      <c r="CV66" s="131" t="n">
        <v>4973</v>
      </c>
      <c r="CW66" s="258" t="n"/>
      <c r="CX66" s="258" t="n"/>
      <c r="CY66" s="258" t="n"/>
      <c r="CZ66" s="258" t="n"/>
      <c r="DB66" s="357" t="inlineStr">
        <is>
          <t>07</t>
        </is>
      </c>
      <c r="DC66" s="131" t="n"/>
      <c r="DD66" s="258" t="n">
        <v>4739</v>
      </c>
      <c r="DE66" s="258" t="n"/>
      <c r="DF66" s="258" t="n"/>
      <c r="DG66" s="258" t="n"/>
      <c r="DH66" s="258" t="n"/>
      <c r="DI66" s="258" t="n"/>
      <c r="DJ66" s="357" t="inlineStr">
        <is>
          <t>07</t>
        </is>
      </c>
      <c r="DK66" s="131" t="n"/>
      <c r="DL66" s="258" t="n">
        <v>5296</v>
      </c>
      <c r="DM66" s="258" t="n"/>
      <c r="DN66" s="258" t="n"/>
      <c r="DO66" s="258" t="n"/>
      <c r="DP66" s="258" t="n"/>
      <c r="DR66" s="357" t="inlineStr">
        <is>
          <t>07</t>
        </is>
      </c>
      <c r="DS66" s="131" t="n"/>
      <c r="DT66" s="258" t="n">
        <v>2894</v>
      </c>
      <c r="DU66" s="258" t="n"/>
      <c r="DV66" s="258" t="n"/>
      <c r="DW66" s="258" t="n"/>
      <c r="DX66" s="258" t="n"/>
      <c r="DZ66" s="357" t="inlineStr">
        <is>
          <t>07</t>
        </is>
      </c>
      <c r="EA66" s="131" t="n"/>
      <c r="EB66" s="258" t="n"/>
      <c r="EC66" s="258" t="n"/>
      <c r="ED66" s="258" t="n"/>
      <c r="EE66" s="258" t="n"/>
      <c r="EF66" s="258" t="n"/>
    </row>
    <row r="67">
      <c r="B67" s="357" t="inlineStr">
        <is>
          <t>08</t>
        </is>
      </c>
      <c r="C67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7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67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67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67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67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67" s="258" t="n"/>
      <c r="J67" s="357" t="inlineStr">
        <is>
          <t>08</t>
        </is>
      </c>
      <c r="K67" s="131" t="n"/>
      <c r="L67" s="131" t="n">
        <v>3986</v>
      </c>
      <c r="M67" s="258" t="n">
        <v>3263</v>
      </c>
      <c r="N67" s="258" t="n">
        <v>3307</v>
      </c>
      <c r="O67" s="258" t="n">
        <v>3945</v>
      </c>
      <c r="P67" s="258" t="n">
        <v>2602</v>
      </c>
      <c r="R67" s="357" t="inlineStr">
        <is>
          <t>08</t>
        </is>
      </c>
      <c r="S67" s="131" t="n"/>
      <c r="T67" s="258" t="n">
        <v>1932</v>
      </c>
      <c r="U67" s="258" t="n">
        <v>1913</v>
      </c>
      <c r="V67" s="258" t="n">
        <v>2098</v>
      </c>
      <c r="W67" s="258" t="n">
        <v>2733</v>
      </c>
      <c r="X67" s="258" t="n">
        <v>1682</v>
      </c>
      <c r="Z67" s="357" t="inlineStr">
        <is>
          <t>08</t>
        </is>
      </c>
      <c r="AA67" s="131" t="n"/>
      <c r="AB67" s="258" t="n">
        <v>2361</v>
      </c>
      <c r="AC67" s="258" t="n">
        <v>2301</v>
      </c>
      <c r="AD67" s="258" t="n">
        <v>2423</v>
      </c>
      <c r="AE67" s="258" t="n">
        <v>2845</v>
      </c>
      <c r="AF67" s="258" t="n">
        <v>2338</v>
      </c>
      <c r="AH67" s="357" t="inlineStr">
        <is>
          <t>08</t>
        </is>
      </c>
      <c r="AI67" s="131" t="n"/>
      <c r="AJ67" s="131" t="n">
        <v>4003</v>
      </c>
      <c r="AK67" s="258" t="n">
        <v>3598</v>
      </c>
      <c r="AL67" s="258" t="n">
        <v>2635</v>
      </c>
      <c r="AM67" s="258" t="n">
        <v>3209</v>
      </c>
      <c r="AN67" s="258" t="n">
        <v>1478</v>
      </c>
      <c r="AP67" s="357" t="inlineStr">
        <is>
          <t>08</t>
        </is>
      </c>
      <c r="AQ67" s="131" t="n"/>
      <c r="AR67" s="131" t="n">
        <v>2953</v>
      </c>
      <c r="AS67" s="258" t="n">
        <v>2785</v>
      </c>
      <c r="AT67" s="258" t="n">
        <v>2376</v>
      </c>
      <c r="AU67" s="258" t="n">
        <v>1900</v>
      </c>
      <c r="AV67" s="258" t="n"/>
      <c r="AX67" s="357" t="inlineStr">
        <is>
          <t>08</t>
        </is>
      </c>
      <c r="AY67" s="131" t="n"/>
      <c r="AZ67" s="258" t="n">
        <v>2016</v>
      </c>
      <c r="BA67" s="258" t="n">
        <v>1667</v>
      </c>
      <c r="BB67" s="258" t="n">
        <v>1472</v>
      </c>
      <c r="BC67" s="258" t="n">
        <v>1994</v>
      </c>
      <c r="BD67" s="258" t="n"/>
      <c r="BE67" s="258" t="n"/>
      <c r="BF67" s="357" t="inlineStr">
        <is>
          <t>08</t>
        </is>
      </c>
      <c r="BG67" s="131" t="n"/>
      <c r="BH67" s="258" t="n">
        <v>2033</v>
      </c>
      <c r="BI67" s="258" t="n">
        <v>1282</v>
      </c>
      <c r="BJ67" s="258" t="n"/>
      <c r="BK67" s="258" t="n"/>
      <c r="BL67" s="258" t="n"/>
      <c r="BM67" s="258" t="n"/>
      <c r="BN67" s="357" t="inlineStr">
        <is>
          <t>08</t>
        </is>
      </c>
      <c r="BO67" s="131" t="n"/>
      <c r="BP67" s="258" t="n">
        <v>2918</v>
      </c>
      <c r="BQ67" s="258" t="n">
        <v>2424</v>
      </c>
      <c r="BR67" s="258" t="n">
        <v>2179</v>
      </c>
      <c r="BS67" s="258" t="n">
        <v>3164</v>
      </c>
      <c r="BT67" s="258" t="n">
        <v>1683</v>
      </c>
      <c r="BV67" s="357" t="inlineStr">
        <is>
          <t>08</t>
        </is>
      </c>
      <c r="BW67" s="131" t="n"/>
      <c r="BX67" s="258" t="n">
        <v>2913</v>
      </c>
      <c r="BY67" s="258" t="n">
        <v>2653</v>
      </c>
      <c r="BZ67" s="258" t="n">
        <v>2850</v>
      </c>
      <c r="CA67" s="258" t="n">
        <v>3483</v>
      </c>
      <c r="CB67" s="258" t="n">
        <v>2368</v>
      </c>
      <c r="CC67" s="258" t="n"/>
      <c r="CD67" s="357" t="inlineStr">
        <is>
          <t>08</t>
        </is>
      </c>
      <c r="CE67" s="131" t="n"/>
      <c r="CF67" s="258" t="n">
        <v>4795</v>
      </c>
      <c r="CG67" s="258" t="n">
        <v>3178</v>
      </c>
      <c r="CH67" s="258" t="n">
        <v>4742</v>
      </c>
      <c r="CI67" s="258" t="n">
        <v>4725</v>
      </c>
      <c r="CJ67" s="258" t="n">
        <v>2626</v>
      </c>
      <c r="CL67" s="357" t="inlineStr">
        <is>
          <t>08</t>
        </is>
      </c>
      <c r="CM67" s="131" t="n"/>
      <c r="CN67" s="258" t="n">
        <v>3731</v>
      </c>
      <c r="CO67" s="258" t="n">
        <v>4161</v>
      </c>
      <c r="CP67" s="258" t="n">
        <v>3601</v>
      </c>
      <c r="CQ67" s="258" t="n">
        <v>4375</v>
      </c>
      <c r="CR67" s="258" t="n">
        <v>2431</v>
      </c>
      <c r="CT67" s="357" t="inlineStr">
        <is>
          <t>08</t>
        </is>
      </c>
      <c r="CU67" s="131" t="n"/>
      <c r="CV67" s="131" t="n">
        <v>5150</v>
      </c>
      <c r="CW67" s="258" t="n"/>
      <c r="CX67" s="258" t="n"/>
      <c r="CY67" s="258" t="n"/>
      <c r="CZ67" s="258" t="n"/>
      <c r="DB67" s="357" t="inlineStr">
        <is>
          <t>08</t>
        </is>
      </c>
      <c r="DC67" s="131" t="n"/>
      <c r="DD67" s="258" t="n">
        <v>4884</v>
      </c>
      <c r="DE67" s="258" t="n"/>
      <c r="DF67" s="258" t="n"/>
      <c r="DG67" s="258" t="n"/>
      <c r="DH67" s="258" t="n"/>
      <c r="DI67" s="258" t="n"/>
      <c r="DJ67" s="357" t="inlineStr">
        <is>
          <t>08</t>
        </is>
      </c>
      <c r="DK67" s="131" t="n"/>
      <c r="DL67" s="258" t="n">
        <v>5434</v>
      </c>
      <c r="DM67" s="258" t="n"/>
      <c r="DN67" s="258" t="n"/>
      <c r="DO67" s="258" t="n"/>
      <c r="DP67" s="258" t="n"/>
      <c r="DR67" s="357" t="inlineStr">
        <is>
          <t>08</t>
        </is>
      </c>
      <c r="DS67" s="131" t="n"/>
      <c r="DT67" s="258" t="n">
        <v>2966</v>
      </c>
      <c r="DU67" s="258" t="n"/>
      <c r="DV67" s="258" t="n"/>
      <c r="DW67" s="258" t="n"/>
      <c r="DX67" s="258" t="n"/>
      <c r="DZ67" s="357" t="inlineStr">
        <is>
          <t>08</t>
        </is>
      </c>
      <c r="EA67" s="131" t="n"/>
      <c r="EB67" s="258" t="n">
        <v>1891</v>
      </c>
      <c r="EC67" s="258" t="n"/>
      <c r="ED67" s="258" t="n"/>
      <c r="EE67" s="258" t="n"/>
      <c r="EF67" s="258" t="n"/>
    </row>
    <row r="68">
      <c r="B68" s="357" t="inlineStr">
        <is>
          <t>09</t>
        </is>
      </c>
      <c r="C68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8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68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68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68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68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68" s="258" t="n"/>
      <c r="J68" s="357" t="inlineStr">
        <is>
          <t>09</t>
        </is>
      </c>
      <c r="K68" s="131" t="n"/>
      <c r="L68" s="131" t="n">
        <v>3631</v>
      </c>
      <c r="M68" s="258" t="n">
        <v>3361</v>
      </c>
      <c r="N68" s="258" t="n">
        <v>3368</v>
      </c>
      <c r="O68" s="258" t="n">
        <v>3520</v>
      </c>
      <c r="P68" s="258" t="n">
        <v>3214</v>
      </c>
      <c r="R68" s="357" t="inlineStr">
        <is>
          <t>09</t>
        </is>
      </c>
      <c r="S68" s="131" t="n"/>
      <c r="T68" s="258" t="n">
        <v>1884</v>
      </c>
      <c r="U68" s="258" t="n">
        <v>1790</v>
      </c>
      <c r="V68" s="258" t="n">
        <v>1942</v>
      </c>
      <c r="W68" s="258" t="n">
        <v>2533</v>
      </c>
      <c r="X68" s="258" t="n">
        <v>1693</v>
      </c>
      <c r="Z68" s="357" t="inlineStr">
        <is>
          <t>09</t>
        </is>
      </c>
      <c r="AA68" s="131" t="n"/>
      <c r="AB68" s="258" t="n">
        <v>2319</v>
      </c>
      <c r="AC68" s="258" t="n">
        <v>2377</v>
      </c>
      <c r="AD68" s="258" t="n">
        <v>2698</v>
      </c>
      <c r="AE68" s="258" t="n">
        <v>2900</v>
      </c>
      <c r="AF68" s="258" t="n">
        <v>2558</v>
      </c>
      <c r="AH68" s="357" t="inlineStr">
        <is>
          <t>09</t>
        </is>
      </c>
      <c r="AI68" s="131" t="n"/>
      <c r="AJ68" s="131" t="n">
        <v>3658</v>
      </c>
      <c r="AK68" s="258" t="n">
        <v>3207</v>
      </c>
      <c r="AL68" s="258" t="n">
        <v>2456</v>
      </c>
      <c r="AM68" s="258" t="n">
        <v>2083</v>
      </c>
      <c r="AN68" s="258" t="n">
        <v>1652</v>
      </c>
      <c r="AP68" s="357" t="inlineStr">
        <is>
          <t>09</t>
        </is>
      </c>
      <c r="AQ68" s="131" t="n"/>
      <c r="AR68" s="131" t="n">
        <v>2808</v>
      </c>
      <c r="AS68" s="258" t="n">
        <v>2587</v>
      </c>
      <c r="AT68" s="258" t="n">
        <v>2182</v>
      </c>
      <c r="AU68" s="258" t="n">
        <v>1891</v>
      </c>
      <c r="AV68" s="258" t="n"/>
      <c r="AX68" s="357" t="inlineStr">
        <is>
          <t>09</t>
        </is>
      </c>
      <c r="AY68" s="131" t="n"/>
      <c r="AZ68" s="258" t="n">
        <v>1777</v>
      </c>
      <c r="BA68" s="258" t="n">
        <v>1808</v>
      </c>
      <c r="BB68" s="258" t="n">
        <v>1226</v>
      </c>
      <c r="BC68" s="258" t="n">
        <v>1553</v>
      </c>
      <c r="BD68" s="258" t="n"/>
      <c r="BE68" s="258" t="n"/>
      <c r="BF68" s="357" t="inlineStr">
        <is>
          <t>09</t>
        </is>
      </c>
      <c r="BG68" s="131" t="n"/>
      <c r="BH68" s="258" t="n">
        <v>1627</v>
      </c>
      <c r="BI68" s="258" t="n">
        <v>1218</v>
      </c>
      <c r="BJ68" s="258" t="n"/>
      <c r="BK68" s="258" t="n"/>
      <c r="BL68" s="258" t="n"/>
      <c r="BM68" s="258" t="n"/>
      <c r="BN68" s="357" t="inlineStr">
        <is>
          <t>09</t>
        </is>
      </c>
      <c r="BO68" s="131" t="n"/>
      <c r="BP68" s="258" t="n">
        <v>2775</v>
      </c>
      <c r="BQ68" s="258" t="n">
        <v>2580</v>
      </c>
      <c r="BR68" s="258" t="n">
        <v>2206</v>
      </c>
      <c r="BS68" s="258" t="n">
        <v>3148</v>
      </c>
      <c r="BT68" s="258" t="n">
        <v>2480</v>
      </c>
      <c r="BV68" s="357" t="inlineStr">
        <is>
          <t>09</t>
        </is>
      </c>
      <c r="BW68" s="131" t="n"/>
      <c r="BX68" s="258" t="n">
        <v>2377</v>
      </c>
      <c r="BY68" s="258" t="n">
        <v>2712</v>
      </c>
      <c r="BZ68" s="258" t="n">
        <v>2112</v>
      </c>
      <c r="CA68" s="258" t="n">
        <v>2305</v>
      </c>
      <c r="CB68" s="258" t="n">
        <v>2062</v>
      </c>
      <c r="CC68" s="258" t="n"/>
      <c r="CD68" s="357" t="inlineStr">
        <is>
          <t>09</t>
        </is>
      </c>
      <c r="CE68" s="131" t="n"/>
      <c r="CF68" s="258" t="n">
        <v>2911</v>
      </c>
      <c r="CG68" s="258" t="n">
        <v>2147</v>
      </c>
      <c r="CH68" s="258" t="n">
        <v>3500</v>
      </c>
      <c r="CI68" s="258" t="n">
        <v>2749</v>
      </c>
      <c r="CJ68" s="258" t="n">
        <v>1555</v>
      </c>
      <c r="CL68" s="357" t="inlineStr">
        <is>
          <t>09</t>
        </is>
      </c>
      <c r="CM68" s="131" t="n"/>
      <c r="CN68" s="258" t="n">
        <v>3267</v>
      </c>
      <c r="CO68" s="258" t="n">
        <v>3485</v>
      </c>
      <c r="CP68" s="258" t="n">
        <v>3329</v>
      </c>
      <c r="CQ68" s="258" t="n">
        <v>3411</v>
      </c>
      <c r="CR68" s="258" t="n">
        <v>2170</v>
      </c>
      <c r="CT68" s="357" t="inlineStr">
        <is>
          <t>09</t>
        </is>
      </c>
      <c r="CU68" s="131" t="n"/>
      <c r="CV68" s="131" t="n">
        <v>4940</v>
      </c>
      <c r="CW68" s="258" t="n"/>
      <c r="CX68" s="258" t="n"/>
      <c r="CY68" s="258" t="n"/>
      <c r="CZ68" s="258" t="n"/>
      <c r="DB68" s="357" t="inlineStr">
        <is>
          <t>09</t>
        </is>
      </c>
      <c r="DC68" s="131" t="n"/>
      <c r="DD68" s="258" t="n">
        <v>4621</v>
      </c>
      <c r="DE68" s="258" t="n"/>
      <c r="DF68" s="258" t="n"/>
      <c r="DG68" s="258" t="n"/>
      <c r="DH68" s="258" t="n"/>
      <c r="DI68" s="258" t="n"/>
      <c r="DJ68" s="357" t="inlineStr">
        <is>
          <t>09</t>
        </is>
      </c>
      <c r="DK68" s="131" t="n"/>
      <c r="DL68" s="258" t="n">
        <v>5820</v>
      </c>
      <c r="DM68" s="258" t="n"/>
      <c r="DN68" s="258" t="n"/>
      <c r="DO68" s="258" t="n"/>
      <c r="DP68" s="258" t="n"/>
      <c r="DR68" s="357" t="inlineStr">
        <is>
          <t>09</t>
        </is>
      </c>
      <c r="DS68" s="131" t="n"/>
      <c r="DT68" s="258" t="n">
        <v>2779</v>
      </c>
      <c r="DU68" s="258" t="n"/>
      <c r="DV68" s="258" t="n"/>
      <c r="DW68" s="258" t="n"/>
      <c r="DX68" s="258" t="n"/>
      <c r="DZ68" s="357" t="inlineStr">
        <is>
          <t>09</t>
        </is>
      </c>
      <c r="EA68" s="273" t="n"/>
      <c r="EB68" s="258" t="n">
        <v>1579</v>
      </c>
      <c r="EC68" s="258" t="n"/>
      <c r="ED68" s="258" t="n"/>
      <c r="EE68" s="258" t="n"/>
      <c r="EF68" s="258" t="n"/>
    </row>
    <row r="69">
      <c r="B69" s="357" t="inlineStr">
        <is>
          <t>10</t>
        </is>
      </c>
      <c r="C69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9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69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69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69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69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69" s="258" t="n"/>
      <c r="J69" s="357" t="inlineStr">
        <is>
          <t>10</t>
        </is>
      </c>
      <c r="K69" s="131" t="n"/>
      <c r="L69" s="131" t="n">
        <v>4203</v>
      </c>
      <c r="M69" s="258" t="n">
        <v>3280</v>
      </c>
      <c r="N69" s="258" t="n">
        <v>4170</v>
      </c>
      <c r="O69" s="258" t="n">
        <v>4110</v>
      </c>
      <c r="P69" s="258" t="n">
        <v>3493</v>
      </c>
      <c r="R69" s="357" t="inlineStr">
        <is>
          <t>10</t>
        </is>
      </c>
      <c r="S69" s="131" t="n"/>
      <c r="T69" s="258" t="n">
        <v>1857</v>
      </c>
      <c r="U69" s="258" t="n">
        <v>1825</v>
      </c>
      <c r="V69" s="258" t="n">
        <v>2247</v>
      </c>
      <c r="W69" s="258" t="n">
        <v>2940</v>
      </c>
      <c r="X69" s="258" t="n">
        <v>2038</v>
      </c>
      <c r="Z69" s="357" t="inlineStr">
        <is>
          <t>10</t>
        </is>
      </c>
      <c r="AA69" s="131" t="n"/>
      <c r="AB69" s="258" t="n">
        <v>2123</v>
      </c>
      <c r="AC69" s="258" t="n">
        <v>2329</v>
      </c>
      <c r="AD69" s="258" t="n">
        <v>2969</v>
      </c>
      <c r="AE69" s="258" t="n">
        <v>3648</v>
      </c>
      <c r="AF69" s="258" t="n">
        <v>2877</v>
      </c>
      <c r="AH69" s="357" t="inlineStr">
        <is>
          <t>10</t>
        </is>
      </c>
      <c r="AI69" s="131" t="n"/>
      <c r="AJ69" s="131" t="n">
        <v>3865</v>
      </c>
      <c r="AK69" s="258" t="n">
        <v>3403</v>
      </c>
      <c r="AL69" s="258" t="n">
        <v>2799</v>
      </c>
      <c r="AM69" s="258" t="n">
        <v>2544</v>
      </c>
      <c r="AN69" s="258" t="n">
        <v>1666</v>
      </c>
      <c r="AP69" s="357" t="inlineStr">
        <is>
          <t>10</t>
        </is>
      </c>
      <c r="AQ69" s="131" t="n"/>
      <c r="AR69" s="131" t="n">
        <v>3002</v>
      </c>
      <c r="AS69" s="258" t="n">
        <v>2750</v>
      </c>
      <c r="AT69" s="258" t="n">
        <v>2517</v>
      </c>
      <c r="AU69" s="258" t="n">
        <v>2749</v>
      </c>
      <c r="AV69" s="258" t="n"/>
      <c r="AX69" s="357" t="inlineStr">
        <is>
          <t>10</t>
        </is>
      </c>
      <c r="AY69" s="131" t="n"/>
      <c r="AZ69" s="258" t="n">
        <v>1829</v>
      </c>
      <c r="BA69" s="258" t="n">
        <v>1744</v>
      </c>
      <c r="BB69" s="258" t="n">
        <v>1432</v>
      </c>
      <c r="BC69" s="258" t="n">
        <v>1509</v>
      </c>
      <c r="BD69" s="258" t="n"/>
      <c r="BE69" s="258" t="n"/>
      <c r="BF69" s="357" t="inlineStr">
        <is>
          <t>10</t>
        </is>
      </c>
      <c r="BG69" s="131" t="n"/>
      <c r="BH69" s="258" t="n">
        <v>1632</v>
      </c>
      <c r="BI69" s="258" t="n">
        <v>966</v>
      </c>
      <c r="BJ69" s="258" t="n"/>
      <c r="BK69" s="258" t="n"/>
      <c r="BL69" s="258" t="n"/>
      <c r="BM69" s="258" t="n"/>
      <c r="BN69" s="357" t="inlineStr">
        <is>
          <t>10</t>
        </is>
      </c>
      <c r="BO69" s="131" t="n"/>
      <c r="BP69" s="258" t="n">
        <v>2871</v>
      </c>
      <c r="BQ69" s="258" t="n">
        <v>2615</v>
      </c>
      <c r="BR69" s="258" t="n">
        <v>2495</v>
      </c>
      <c r="BS69" s="258" t="n">
        <v>3424</v>
      </c>
      <c r="BT69" s="258" t="n">
        <v>1803</v>
      </c>
      <c r="BV69" s="357" t="inlineStr">
        <is>
          <t>10</t>
        </is>
      </c>
      <c r="BW69" s="131" t="n"/>
      <c r="BX69" s="258" t="n">
        <v>2368</v>
      </c>
      <c r="BY69" s="258" t="n">
        <v>2227</v>
      </c>
      <c r="BZ69" s="258" t="n">
        <v>2218</v>
      </c>
      <c r="CA69" s="258" t="n">
        <v>2886</v>
      </c>
      <c r="CB69" s="258" t="n">
        <v>1827</v>
      </c>
      <c r="CC69" s="258" t="n"/>
      <c r="CD69" s="357" t="inlineStr">
        <is>
          <t>10</t>
        </is>
      </c>
      <c r="CE69" s="131" t="n"/>
      <c r="CF69" s="258" t="n">
        <v>3040</v>
      </c>
      <c r="CG69" s="258" t="n">
        <v>2100</v>
      </c>
      <c r="CH69" s="258" t="n">
        <v>3287</v>
      </c>
      <c r="CI69" s="258" t="n">
        <v>3241</v>
      </c>
      <c r="CJ69" s="258" t="n">
        <v>1243</v>
      </c>
      <c r="CL69" s="357" t="inlineStr">
        <is>
          <t>10</t>
        </is>
      </c>
      <c r="CM69" s="131" t="n"/>
      <c r="CN69" s="258" t="n">
        <v>3455</v>
      </c>
      <c r="CO69" s="258" t="n">
        <v>3702</v>
      </c>
      <c r="CP69" s="258" t="n">
        <v>3289</v>
      </c>
      <c r="CQ69" s="258" t="n">
        <v>4038</v>
      </c>
      <c r="CR69" s="258" t="n">
        <v>2028</v>
      </c>
      <c r="CT69" s="357" t="inlineStr">
        <is>
          <t>10</t>
        </is>
      </c>
      <c r="CU69" s="131" t="n"/>
      <c r="CV69" s="131" t="n">
        <v>4627</v>
      </c>
      <c r="CW69" s="258" t="n"/>
      <c r="CX69" s="258" t="n"/>
      <c r="CY69" s="258" t="n"/>
      <c r="CZ69" s="258" t="n"/>
      <c r="DB69" s="357" t="inlineStr">
        <is>
          <t>10</t>
        </is>
      </c>
      <c r="DC69" s="131" t="n"/>
      <c r="DD69" s="258" t="n">
        <v>4554</v>
      </c>
      <c r="DE69" s="258" t="n"/>
      <c r="DF69" s="258" t="n"/>
      <c r="DG69" s="258" t="n"/>
      <c r="DH69" s="258" t="n"/>
      <c r="DI69" s="258" t="n"/>
      <c r="DJ69" s="357" t="inlineStr">
        <is>
          <t>10</t>
        </is>
      </c>
      <c r="DK69" s="131" t="n"/>
      <c r="DL69" s="258" t="n">
        <v>5758</v>
      </c>
      <c r="DM69" s="258" t="n"/>
      <c r="DN69" s="258" t="n"/>
      <c r="DO69" s="258" t="n"/>
      <c r="DP69" s="258" t="n"/>
      <c r="DR69" s="357" t="inlineStr">
        <is>
          <t>10</t>
        </is>
      </c>
      <c r="DS69" s="131" t="n"/>
      <c r="DT69" s="258" t="n">
        <v>3191</v>
      </c>
      <c r="DU69" s="258" t="n"/>
      <c r="DV69" s="258" t="n"/>
      <c r="DW69" s="258" t="n"/>
      <c r="DX69" s="258" t="n"/>
      <c r="DZ69" s="357" t="inlineStr">
        <is>
          <t>10</t>
        </is>
      </c>
      <c r="EA69" s="131" t="n"/>
      <c r="EB69" s="258" t="n">
        <v>1809</v>
      </c>
      <c r="EC69" s="258" t="n"/>
      <c r="ED69" s="258" t="n"/>
      <c r="EE69" s="258" t="n"/>
      <c r="EF69" s="258" t="n"/>
    </row>
    <row r="70">
      <c r="B70" s="357" t="inlineStr">
        <is>
          <t>11</t>
        </is>
      </c>
      <c r="C70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70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70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70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70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70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70" s="258" t="n"/>
      <c r="J70" s="357" t="inlineStr">
        <is>
          <t>11</t>
        </is>
      </c>
      <c r="K70" s="131" t="n"/>
      <c r="L70" s="131" t="n">
        <v>4811</v>
      </c>
      <c r="M70" s="258" t="n">
        <v>3575</v>
      </c>
      <c r="N70" s="258" t="n">
        <v>3686</v>
      </c>
      <c r="O70" s="258" t="n">
        <v>4669</v>
      </c>
      <c r="P70" s="258" t="n">
        <v>1944</v>
      </c>
      <c r="R70" s="357" t="inlineStr">
        <is>
          <t>11</t>
        </is>
      </c>
      <c r="S70" s="131" t="n"/>
      <c r="T70" s="258" t="n">
        <v>1830</v>
      </c>
      <c r="U70" s="258" t="n">
        <v>1936</v>
      </c>
      <c r="V70" s="258" t="n">
        <v>2029</v>
      </c>
      <c r="W70" s="258" t="n">
        <v>3338</v>
      </c>
      <c r="X70" s="258" t="n">
        <v>1643</v>
      </c>
      <c r="Z70" s="357" t="inlineStr">
        <is>
          <t>11</t>
        </is>
      </c>
      <c r="AA70" s="131" t="n"/>
      <c r="AB70" s="258" t="n">
        <v>2623</v>
      </c>
      <c r="AC70" s="258" t="n">
        <v>2511</v>
      </c>
      <c r="AD70" s="258" t="n">
        <v>2677</v>
      </c>
      <c r="AE70" s="258" t="n">
        <v>3606</v>
      </c>
      <c r="AF70" s="258" t="n">
        <v>2323</v>
      </c>
      <c r="AH70" s="357" t="inlineStr">
        <is>
          <t>11</t>
        </is>
      </c>
      <c r="AI70" s="131" t="n"/>
      <c r="AJ70" s="131" t="n">
        <v>4240</v>
      </c>
      <c r="AK70" s="258" t="n">
        <v>3531</v>
      </c>
      <c r="AL70" s="258" t="n">
        <v>2839</v>
      </c>
      <c r="AM70" s="258" t="n">
        <v>3177</v>
      </c>
      <c r="AN70" s="258" t="n">
        <v>57</v>
      </c>
      <c r="AP70" s="357" t="inlineStr">
        <is>
          <t>11</t>
        </is>
      </c>
      <c r="AQ70" s="131" t="n"/>
      <c r="AR70" s="131" t="n">
        <v>3297</v>
      </c>
      <c r="AS70" s="258" t="n">
        <v>2966</v>
      </c>
      <c r="AT70" s="258" t="n">
        <v>2332</v>
      </c>
      <c r="AU70" s="258" t="n">
        <v>3362</v>
      </c>
      <c r="AV70" s="258" t="n"/>
      <c r="AX70" s="357" t="inlineStr">
        <is>
          <t>11</t>
        </is>
      </c>
      <c r="AY70" s="131" t="n"/>
      <c r="AZ70" s="258" t="n">
        <v>1865</v>
      </c>
      <c r="BA70" s="258" t="n">
        <v>1940</v>
      </c>
      <c r="BB70" s="258" t="n">
        <v>1300</v>
      </c>
      <c r="BC70" s="258" t="n">
        <v>1815</v>
      </c>
      <c r="BD70" s="258" t="n"/>
      <c r="BE70" s="258" t="n"/>
      <c r="BF70" s="357" t="inlineStr">
        <is>
          <t>11</t>
        </is>
      </c>
      <c r="BG70" s="131" t="n"/>
      <c r="BH70" s="258" t="n">
        <v>1653</v>
      </c>
      <c r="BI70" s="258" t="n">
        <v>1049</v>
      </c>
      <c r="BJ70" s="258" t="n"/>
      <c r="BK70" s="258" t="n"/>
      <c r="BL70" s="258" t="n"/>
      <c r="BM70" s="258" t="n"/>
      <c r="BN70" s="357" t="inlineStr">
        <is>
          <t>11</t>
        </is>
      </c>
      <c r="BO70" s="131" t="n"/>
      <c r="BP70" s="258" t="n">
        <v>3116</v>
      </c>
      <c r="BQ70" s="258" t="n">
        <v>2866</v>
      </c>
      <c r="BR70" s="258" t="n">
        <v>2190</v>
      </c>
      <c r="BS70" s="258" t="n">
        <v>3788</v>
      </c>
      <c r="BT70" s="258" t="n">
        <v>189</v>
      </c>
      <c r="BV70" s="357" t="inlineStr">
        <is>
          <t>11</t>
        </is>
      </c>
      <c r="BW70" s="131" t="n"/>
      <c r="BX70" s="258" t="n">
        <v>2402</v>
      </c>
      <c r="BY70" s="258" t="n">
        <v>2251</v>
      </c>
      <c r="BZ70" s="258" t="n">
        <v>1929</v>
      </c>
      <c r="CA70" s="258" t="n">
        <v>2897</v>
      </c>
      <c r="CB70" s="258" t="n">
        <v>1158</v>
      </c>
      <c r="CC70" s="258" t="n"/>
      <c r="CD70" s="357" t="inlineStr">
        <is>
          <t>11</t>
        </is>
      </c>
      <c r="CE70" s="131" t="n"/>
      <c r="CF70" s="258" t="n">
        <v>2850</v>
      </c>
      <c r="CG70" s="258" t="n">
        <v>2213</v>
      </c>
      <c r="CH70" s="258" t="n">
        <v>3240</v>
      </c>
      <c r="CI70" s="258" t="n">
        <v>3370</v>
      </c>
      <c r="CJ70" s="258" t="n">
        <v>87</v>
      </c>
      <c r="CL70" s="357" t="inlineStr">
        <is>
          <t>11</t>
        </is>
      </c>
      <c r="CM70" s="131" t="n"/>
      <c r="CN70" s="258" t="n">
        <v>4073</v>
      </c>
      <c r="CO70" s="258" t="n">
        <v>3905</v>
      </c>
      <c r="CP70" s="258" t="n">
        <v>3196</v>
      </c>
      <c r="CQ70" s="258" t="n">
        <v>4412</v>
      </c>
      <c r="CR70" s="258" t="n">
        <v>909</v>
      </c>
      <c r="CT70" s="357" t="inlineStr">
        <is>
          <t>11</t>
        </is>
      </c>
      <c r="CU70" s="131" t="n"/>
      <c r="CV70" s="131" t="n">
        <v>5284</v>
      </c>
      <c r="CW70" s="258" t="n"/>
      <c r="CX70" s="258" t="n"/>
      <c r="CY70" s="258" t="n"/>
      <c r="CZ70" s="258" t="n"/>
      <c r="DB70" s="357" t="inlineStr">
        <is>
          <t>11</t>
        </is>
      </c>
      <c r="DC70" s="131" t="n"/>
      <c r="DD70" s="258" t="n">
        <v>5017</v>
      </c>
      <c r="DE70" s="258" t="n"/>
      <c r="DF70" s="258" t="n"/>
      <c r="DG70" s="258" t="n"/>
      <c r="DH70" s="258" t="n"/>
      <c r="DI70" s="258" t="n"/>
      <c r="DJ70" s="357" t="inlineStr">
        <is>
          <t>11</t>
        </is>
      </c>
      <c r="DK70" s="131" t="n"/>
      <c r="DL70" s="258" t="n">
        <v>5872</v>
      </c>
      <c r="DM70" s="258" t="n"/>
      <c r="DN70" s="258" t="n"/>
      <c r="DO70" s="258" t="n"/>
      <c r="DP70" s="258" t="n"/>
      <c r="DR70" s="357" t="inlineStr">
        <is>
          <t>11</t>
        </is>
      </c>
      <c r="DS70" s="131" t="n"/>
      <c r="DT70" s="258" t="n">
        <v>3308</v>
      </c>
      <c r="DU70" s="258" t="n"/>
      <c r="DV70" s="258" t="n"/>
      <c r="DW70" s="258" t="n"/>
      <c r="DX70" s="258" t="n"/>
      <c r="DZ70" s="357" t="inlineStr">
        <is>
          <t>11</t>
        </is>
      </c>
      <c r="EA70" s="131" t="n"/>
      <c r="EB70" s="258" t="n">
        <v>1792</v>
      </c>
      <c r="EC70" s="258" t="n"/>
      <c r="ED70" s="258" t="n"/>
      <c r="EE70" s="258" t="n"/>
      <c r="EF70" s="258" t="n"/>
    </row>
    <row r="71">
      <c r="B71" s="357" t="inlineStr">
        <is>
          <t>12</t>
        </is>
      </c>
      <c r="C71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71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71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71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71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71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71" s="258" t="n"/>
      <c r="J71" s="357" t="inlineStr">
        <is>
          <t>12</t>
        </is>
      </c>
      <c r="K71" s="131" t="n"/>
      <c r="L71" s="131" t="n">
        <v>4907</v>
      </c>
      <c r="M71" s="258" t="n">
        <v>3471</v>
      </c>
      <c r="N71" s="258" t="n">
        <v>3534</v>
      </c>
      <c r="O71" s="258" t="n">
        <v>4071</v>
      </c>
      <c r="P71" s="258" t="n">
        <v>2288</v>
      </c>
      <c r="R71" s="357" t="inlineStr">
        <is>
          <t>12</t>
        </is>
      </c>
      <c r="S71" s="131" t="n">
        <v>1930</v>
      </c>
      <c r="T71" s="258" t="n">
        <v>1930</v>
      </c>
      <c r="U71" s="258" t="n">
        <v>1717</v>
      </c>
      <c r="V71" s="258" t="n">
        <v>2033</v>
      </c>
      <c r="W71" s="258" t="n">
        <v>2859</v>
      </c>
      <c r="X71" s="258" t="n">
        <v>1877</v>
      </c>
      <c r="Z71" s="357" t="inlineStr">
        <is>
          <t>12</t>
        </is>
      </c>
      <c r="AA71" s="131" t="n"/>
      <c r="AB71" s="258" t="n">
        <v>2552</v>
      </c>
      <c r="AC71" s="258" t="n">
        <v>2177</v>
      </c>
      <c r="AD71" s="258" t="n">
        <v>2587</v>
      </c>
      <c r="AE71" s="258" t="n">
        <v>3183</v>
      </c>
      <c r="AF71" s="258" t="n">
        <v>2197</v>
      </c>
      <c r="AH71" s="357" t="inlineStr">
        <is>
          <t>12</t>
        </is>
      </c>
      <c r="AI71" s="131" t="n"/>
      <c r="AJ71" s="131" t="n">
        <v>4392</v>
      </c>
      <c r="AK71" s="258" t="n">
        <v>3431</v>
      </c>
      <c r="AL71" s="258" t="n">
        <v>2934</v>
      </c>
      <c r="AM71" s="258" t="n">
        <v>2470</v>
      </c>
      <c r="AN71" s="258" t="n">
        <v>845</v>
      </c>
      <c r="AP71" s="357" t="inlineStr">
        <is>
          <t>12</t>
        </is>
      </c>
      <c r="AQ71" s="131" t="n"/>
      <c r="AR71" s="131" t="n">
        <v>3484</v>
      </c>
      <c r="AS71" s="258" t="n">
        <v>3115</v>
      </c>
      <c r="AT71" s="258" t="n">
        <v>2460</v>
      </c>
      <c r="AU71" s="258" t="n">
        <v>2785</v>
      </c>
      <c r="AV71" s="258" t="n"/>
      <c r="AX71" s="357" t="inlineStr">
        <is>
          <t>12</t>
        </is>
      </c>
      <c r="AY71" s="131" t="n"/>
      <c r="AZ71" s="258" t="n">
        <v>1909</v>
      </c>
      <c r="BA71" s="258" t="n">
        <v>1844</v>
      </c>
      <c r="BB71" s="258" t="n">
        <v>1384</v>
      </c>
      <c r="BC71" s="258" t="n">
        <v>1411</v>
      </c>
      <c r="BD71" s="258" t="n"/>
      <c r="BE71" s="258" t="n"/>
      <c r="BF71" s="357" t="inlineStr">
        <is>
          <t>12</t>
        </is>
      </c>
      <c r="BG71" s="131" t="n"/>
      <c r="BH71" s="258" t="n">
        <v>1729</v>
      </c>
      <c r="BI71" s="258" t="n">
        <v>983</v>
      </c>
      <c r="BJ71" s="258" t="n"/>
      <c r="BK71" s="258" t="n"/>
      <c r="BL71" s="258" t="n"/>
      <c r="BM71" s="258" t="n"/>
      <c r="BN71" s="357" t="inlineStr">
        <is>
          <t>12</t>
        </is>
      </c>
      <c r="BO71" s="131" t="n"/>
      <c r="BP71" s="258" t="n">
        <v>3288</v>
      </c>
      <c r="BQ71" s="258" t="n">
        <v>2765</v>
      </c>
      <c r="BR71" s="258" t="n">
        <v>2034</v>
      </c>
      <c r="BS71" s="258" t="n">
        <v>2990</v>
      </c>
      <c r="BT71" s="258" t="n">
        <v>1031</v>
      </c>
      <c r="BV71" s="357" t="inlineStr">
        <is>
          <t>12</t>
        </is>
      </c>
      <c r="BW71" s="131" t="n"/>
      <c r="BX71" s="258" t="n">
        <v>2518</v>
      </c>
      <c r="BY71" s="258" t="n">
        <v>2152</v>
      </c>
      <c r="BZ71" s="258" t="n">
        <v>2050</v>
      </c>
      <c r="CA71" s="258" t="n">
        <v>2410</v>
      </c>
      <c r="CB71" s="258" t="n">
        <v>1213</v>
      </c>
      <c r="CC71" s="258" t="n"/>
      <c r="CD71" s="357" t="inlineStr">
        <is>
          <t>12</t>
        </is>
      </c>
      <c r="CE71" s="131" t="n"/>
      <c r="CF71" s="258" t="n">
        <v>2785</v>
      </c>
      <c r="CG71" s="258" t="n">
        <v>2257</v>
      </c>
      <c r="CH71" s="258" t="n">
        <v>2720</v>
      </c>
      <c r="CI71" s="258" t="n">
        <v>3329</v>
      </c>
      <c r="CJ71" s="258" t="n">
        <v>715</v>
      </c>
      <c r="CL71" s="357" t="inlineStr">
        <is>
          <t>12</t>
        </is>
      </c>
      <c r="CM71" s="131" t="n"/>
      <c r="CN71" s="258" t="n">
        <v>4266</v>
      </c>
      <c r="CO71" s="258" t="n">
        <v>3057</v>
      </c>
      <c r="CP71" s="258" t="n">
        <v>3107</v>
      </c>
      <c r="CQ71" s="258" t="n">
        <v>4040</v>
      </c>
      <c r="CR71" s="258" t="n">
        <v>1745</v>
      </c>
      <c r="CT71" s="357" t="inlineStr">
        <is>
          <t>12</t>
        </is>
      </c>
      <c r="CU71" s="131" t="n"/>
      <c r="CV71" s="131" t="n">
        <v>5229</v>
      </c>
      <c r="CW71" s="258" t="n"/>
      <c r="CX71" s="258" t="n"/>
      <c r="CY71" s="258" t="n"/>
      <c r="CZ71" s="258" t="n"/>
      <c r="DB71" s="357" t="inlineStr">
        <is>
          <t>12</t>
        </is>
      </c>
      <c r="DC71" s="131" t="n"/>
      <c r="DD71" s="258" t="n">
        <v>5704</v>
      </c>
      <c r="DE71" s="258" t="n"/>
      <c r="DF71" s="258" t="n"/>
      <c r="DG71" s="258" t="n"/>
      <c r="DH71" s="258" t="n"/>
      <c r="DI71" s="258" t="n"/>
      <c r="DJ71" s="357" t="inlineStr">
        <is>
          <t>12</t>
        </is>
      </c>
      <c r="DK71" s="131" t="n"/>
      <c r="DL71" s="258" t="n">
        <v>6125</v>
      </c>
      <c r="DM71" s="258" t="n"/>
      <c r="DN71" s="258" t="n"/>
      <c r="DO71" s="258" t="n"/>
      <c r="DP71" s="258" t="n"/>
      <c r="DR71" s="357" t="inlineStr">
        <is>
          <t>12</t>
        </is>
      </c>
      <c r="DS71" s="131" t="n"/>
      <c r="DT71" s="258" t="n">
        <v>3627</v>
      </c>
      <c r="DU71" s="258" t="n"/>
      <c r="DV71" s="258" t="n"/>
      <c r="DW71" s="258" t="n"/>
      <c r="DX71" s="258" t="n"/>
      <c r="DZ71" s="357" t="inlineStr">
        <is>
          <t>12</t>
        </is>
      </c>
      <c r="EA71" s="131" t="n"/>
      <c r="EB71" s="258" t="n">
        <v>1841</v>
      </c>
      <c r="EC71" s="258" t="n"/>
      <c r="ED71" s="258" t="n"/>
      <c r="EE71" s="258" t="n"/>
      <c r="EF71" s="258" t="n"/>
    </row>
    <row r="73" ht="15.75" customHeight="1" s="161">
      <c r="B73" s="355" t="inlineStr">
        <is>
          <t>Global</t>
        </is>
      </c>
      <c r="J73" s="355" t="inlineStr">
        <is>
          <t>GLR5</t>
        </is>
      </c>
      <c r="R73" s="355" t="inlineStr">
        <is>
          <t>HTR8</t>
        </is>
      </c>
      <c r="Z73" s="355" t="inlineStr">
        <is>
          <t>TIRR</t>
        </is>
      </c>
      <c r="AH73" s="355" t="inlineStr">
        <is>
          <t>VR7</t>
        </is>
      </c>
      <c r="AP73" s="355" t="inlineStr">
        <is>
          <t>TURVILLA</t>
        </is>
      </c>
      <c r="AX73" s="355" t="inlineStr">
        <is>
          <t>HART</t>
        </is>
      </c>
      <c r="BF73" s="355" t="inlineStr">
        <is>
          <t>VICTOIRE</t>
        </is>
      </c>
      <c r="BN73" s="355" t="inlineStr">
        <is>
          <t>TH4</t>
        </is>
      </c>
      <c r="BV73" s="355" t="inlineStr">
        <is>
          <t>TL DIVES</t>
        </is>
      </c>
      <c r="CD73" s="355" t="inlineStr">
        <is>
          <t>R3 14</t>
        </is>
      </c>
      <c r="CL73" s="355" t="inlineStr">
        <is>
          <t>LYSE</t>
        </is>
      </c>
      <c r="CT73" s="355" t="inlineStr">
        <is>
          <t>ARTHUR</t>
        </is>
      </c>
      <c r="DB73" s="355" t="inlineStr">
        <is>
          <t>HUGO</t>
        </is>
      </c>
      <c r="DJ73" s="355" t="inlineStr">
        <is>
          <t>JEANCLO</t>
        </is>
      </c>
      <c r="DR73" s="355" t="inlineStr">
        <is>
          <t>THOMAS</t>
        </is>
      </c>
      <c r="DZ73" s="355" t="inlineStr">
        <is>
          <t>CATALINA</t>
        </is>
      </c>
    </row>
    <row r="75" ht="18.6" customFormat="1" customHeight="1" s="188">
      <c r="A75" s="356" t="inlineStr">
        <is>
          <t>Transactions Mc Drive</t>
        </is>
      </c>
      <c r="B75" s="186" t="inlineStr">
        <is>
          <t>MOIS</t>
        </is>
      </c>
      <c r="C75" s="187" t="inlineStr">
        <is>
          <t>2024</t>
        </is>
      </c>
      <c r="D75" s="187" t="inlineStr">
        <is>
          <t>2023</t>
        </is>
      </c>
      <c r="E75" s="187" t="inlineStr">
        <is>
          <t>2022</t>
        </is>
      </c>
      <c r="F75" s="187" t="inlineStr">
        <is>
          <t>2021</t>
        </is>
      </c>
      <c r="G75" s="187" t="inlineStr">
        <is>
          <t>2020</t>
        </is>
      </c>
      <c r="H75" s="187" t="inlineStr">
        <is>
          <t>2019</t>
        </is>
      </c>
      <c r="I75" s="187" t="n"/>
      <c r="J75" s="186" t="inlineStr">
        <is>
          <t>MOIS</t>
        </is>
      </c>
      <c r="K75" s="186" t="inlineStr">
        <is>
          <t>2025</t>
        </is>
      </c>
      <c r="L75" s="186" t="inlineStr">
        <is>
          <t>2024</t>
        </is>
      </c>
      <c r="M75" s="186" t="inlineStr">
        <is>
          <t>2023</t>
        </is>
      </c>
      <c r="N75" s="186" t="inlineStr">
        <is>
          <t>2022</t>
        </is>
      </c>
      <c r="O75" s="186" t="inlineStr">
        <is>
          <t>2021</t>
        </is>
      </c>
      <c r="P75" s="186" t="inlineStr">
        <is>
          <t>2020</t>
        </is>
      </c>
      <c r="R75" s="186" t="inlineStr">
        <is>
          <t>MOIS</t>
        </is>
      </c>
      <c r="S75" s="186" t="inlineStr">
        <is>
          <t>2025</t>
        </is>
      </c>
      <c r="T75" s="186" t="inlineStr">
        <is>
          <t>2024</t>
        </is>
      </c>
      <c r="U75" s="186" t="inlineStr">
        <is>
          <t>2023</t>
        </is>
      </c>
      <c r="V75" s="186" t="inlineStr">
        <is>
          <t>2022</t>
        </is>
      </c>
      <c r="W75" s="186" t="inlineStr">
        <is>
          <t>2021</t>
        </is>
      </c>
      <c r="X75" s="186" t="inlineStr">
        <is>
          <t>2020</t>
        </is>
      </c>
      <c r="Z75" s="186" t="inlineStr">
        <is>
          <t>MOIS</t>
        </is>
      </c>
      <c r="AA75" s="186" t="inlineStr">
        <is>
          <t>2025</t>
        </is>
      </c>
      <c r="AB75" s="186" t="inlineStr">
        <is>
          <t>2024</t>
        </is>
      </c>
      <c r="AC75" s="186" t="inlineStr">
        <is>
          <t>2023</t>
        </is>
      </c>
      <c r="AD75" s="186" t="inlineStr">
        <is>
          <t>2022</t>
        </is>
      </c>
      <c r="AE75" s="186" t="inlineStr">
        <is>
          <t>2021</t>
        </is>
      </c>
      <c r="AF75" s="186" t="inlineStr">
        <is>
          <t>2020</t>
        </is>
      </c>
      <c r="AH75" s="186" t="inlineStr">
        <is>
          <t>MOIS</t>
        </is>
      </c>
      <c r="AI75" s="186" t="inlineStr">
        <is>
          <t>2025</t>
        </is>
      </c>
      <c r="AJ75" s="186" t="inlineStr">
        <is>
          <t>2024</t>
        </is>
      </c>
      <c r="AK75" s="186" t="inlineStr">
        <is>
          <t>2023</t>
        </is>
      </c>
      <c r="AL75" s="186" t="inlineStr">
        <is>
          <t>2022</t>
        </is>
      </c>
      <c r="AM75" s="186" t="inlineStr">
        <is>
          <t>2021</t>
        </is>
      </c>
      <c r="AN75" s="186" t="inlineStr">
        <is>
          <t>2020</t>
        </is>
      </c>
      <c r="AP75" s="186" t="inlineStr">
        <is>
          <t>MOIS</t>
        </is>
      </c>
      <c r="AQ75" s="186" t="inlineStr">
        <is>
          <t>2025</t>
        </is>
      </c>
      <c r="AR75" s="186" t="inlineStr">
        <is>
          <t>2024</t>
        </is>
      </c>
      <c r="AS75" s="186" t="inlineStr">
        <is>
          <t>2023</t>
        </is>
      </c>
      <c r="AT75" s="186" t="inlineStr">
        <is>
          <t>2022</t>
        </is>
      </c>
      <c r="AU75" s="186" t="inlineStr">
        <is>
          <t>2021</t>
        </is>
      </c>
      <c r="AV75" s="186" t="inlineStr">
        <is>
          <t>2020</t>
        </is>
      </c>
      <c r="AX75" s="186" t="inlineStr">
        <is>
          <t>MOIS</t>
        </is>
      </c>
      <c r="AY75" s="186" t="inlineStr">
        <is>
          <t>2025</t>
        </is>
      </c>
      <c r="AZ75" s="186" t="inlineStr">
        <is>
          <t>2024</t>
        </is>
      </c>
      <c r="BA75" s="186" t="inlineStr">
        <is>
          <t>2023</t>
        </is>
      </c>
      <c r="BB75" s="186" t="inlineStr">
        <is>
          <t>2022</t>
        </is>
      </c>
      <c r="BC75" s="186" t="inlineStr">
        <is>
          <t>2021</t>
        </is>
      </c>
      <c r="BD75" s="186" t="inlineStr">
        <is>
          <t>2020</t>
        </is>
      </c>
      <c r="BE75" s="187" t="n"/>
      <c r="BF75" s="186" t="inlineStr">
        <is>
          <t>MOIS</t>
        </is>
      </c>
      <c r="BG75" s="186" t="inlineStr">
        <is>
          <t>2025</t>
        </is>
      </c>
      <c r="BH75" s="186" t="inlineStr">
        <is>
          <t>2024</t>
        </is>
      </c>
      <c r="BI75" s="186" t="inlineStr">
        <is>
          <t>2023</t>
        </is>
      </c>
      <c r="BJ75" s="186" t="inlineStr">
        <is>
          <t>2022</t>
        </is>
      </c>
      <c r="BK75" s="186" t="inlineStr">
        <is>
          <t>2021</t>
        </is>
      </c>
      <c r="BL75" s="186" t="inlineStr">
        <is>
          <t>2020</t>
        </is>
      </c>
      <c r="BM75" s="186" t="n"/>
      <c r="BN75" s="186" t="inlineStr">
        <is>
          <t>MOIS</t>
        </is>
      </c>
      <c r="BO75" s="187" t="inlineStr">
        <is>
          <t>2025</t>
        </is>
      </c>
      <c r="BP75" s="187" t="inlineStr">
        <is>
          <t>2024</t>
        </is>
      </c>
      <c r="BQ75" s="187" t="inlineStr">
        <is>
          <t>2023</t>
        </is>
      </c>
      <c r="BR75" s="187" t="inlineStr">
        <is>
          <t>2022</t>
        </is>
      </c>
      <c r="BS75" s="187" t="inlineStr">
        <is>
          <t>2021</t>
        </is>
      </c>
      <c r="BT75" s="187" t="inlineStr">
        <is>
          <t>2020</t>
        </is>
      </c>
      <c r="BV75" s="186" t="inlineStr">
        <is>
          <t>MOIS</t>
        </is>
      </c>
      <c r="BW75" s="187" t="inlineStr">
        <is>
          <t>2025</t>
        </is>
      </c>
      <c r="BX75" s="187" t="inlineStr">
        <is>
          <t>2024</t>
        </is>
      </c>
      <c r="BY75" s="187" t="inlineStr">
        <is>
          <t>2023</t>
        </is>
      </c>
      <c r="BZ75" s="187" t="inlineStr">
        <is>
          <t>2022</t>
        </is>
      </c>
      <c r="CA75" s="187" t="inlineStr">
        <is>
          <t>2021</t>
        </is>
      </c>
      <c r="CB75" s="187" t="inlineStr">
        <is>
          <t>2020</t>
        </is>
      </c>
      <c r="CC75" s="187" t="n"/>
      <c r="CD75" s="186" t="inlineStr">
        <is>
          <t>MOIS</t>
        </is>
      </c>
      <c r="CE75" s="187" t="inlineStr">
        <is>
          <t>2025</t>
        </is>
      </c>
      <c r="CF75" s="187" t="inlineStr">
        <is>
          <t>2024</t>
        </is>
      </c>
      <c r="CG75" s="187" t="inlineStr">
        <is>
          <t>2023</t>
        </is>
      </c>
      <c r="CH75" s="187" t="inlineStr">
        <is>
          <t>2022</t>
        </is>
      </c>
      <c r="CI75" s="187" t="inlineStr">
        <is>
          <t>2021</t>
        </is>
      </c>
      <c r="CJ75" s="187" t="inlineStr">
        <is>
          <t>2020</t>
        </is>
      </c>
      <c r="CL75" s="186" t="inlineStr">
        <is>
          <t>MOIS</t>
        </is>
      </c>
      <c r="CM75" s="187" t="inlineStr">
        <is>
          <t>2025</t>
        </is>
      </c>
      <c r="CN75" s="187" t="inlineStr">
        <is>
          <t>2024</t>
        </is>
      </c>
      <c r="CO75" s="187" t="inlineStr">
        <is>
          <t>2023</t>
        </is>
      </c>
      <c r="CP75" s="187" t="inlineStr">
        <is>
          <t>2022</t>
        </is>
      </c>
      <c r="CQ75" s="187" t="inlineStr">
        <is>
          <t>2021</t>
        </is>
      </c>
      <c r="CR75" s="187" t="inlineStr">
        <is>
          <t>2020</t>
        </is>
      </c>
      <c r="CT75" s="186" t="inlineStr">
        <is>
          <t>MOIS</t>
        </is>
      </c>
      <c r="CU75" s="187" t="inlineStr">
        <is>
          <t>2025</t>
        </is>
      </c>
      <c r="CV75" s="187" t="inlineStr">
        <is>
          <t>2024</t>
        </is>
      </c>
      <c r="CW75" s="187" t="inlineStr">
        <is>
          <t>2023</t>
        </is>
      </c>
      <c r="CX75" s="187" t="inlineStr">
        <is>
          <t>2022</t>
        </is>
      </c>
      <c r="CY75" s="187" t="inlineStr">
        <is>
          <t>2021</t>
        </is>
      </c>
      <c r="CZ75" s="187" t="inlineStr">
        <is>
          <t>2020</t>
        </is>
      </c>
      <c r="DB75" s="186" t="inlineStr">
        <is>
          <t>MOIS</t>
        </is>
      </c>
      <c r="DC75" s="187" t="inlineStr">
        <is>
          <t>2025</t>
        </is>
      </c>
      <c r="DD75" s="187" t="inlineStr">
        <is>
          <t>2024</t>
        </is>
      </c>
      <c r="DE75" s="187" t="inlineStr">
        <is>
          <t>2023</t>
        </is>
      </c>
      <c r="DF75" s="187" t="inlineStr">
        <is>
          <t>2022</t>
        </is>
      </c>
      <c r="DG75" s="187" t="inlineStr">
        <is>
          <t>2021</t>
        </is>
      </c>
      <c r="DH75" s="187" t="inlineStr">
        <is>
          <t>2020</t>
        </is>
      </c>
      <c r="DI75" s="187" t="n"/>
      <c r="DJ75" s="186" t="inlineStr">
        <is>
          <t>MOIS</t>
        </is>
      </c>
      <c r="DK75" s="187" t="inlineStr">
        <is>
          <t>2025</t>
        </is>
      </c>
      <c r="DL75" s="187" t="inlineStr">
        <is>
          <t>2024</t>
        </is>
      </c>
      <c r="DM75" s="187" t="inlineStr">
        <is>
          <t>2023</t>
        </is>
      </c>
      <c r="DN75" s="187" t="inlineStr">
        <is>
          <t>2022</t>
        </is>
      </c>
      <c r="DO75" s="187" t="inlineStr">
        <is>
          <t>2021</t>
        </is>
      </c>
      <c r="DP75" s="187" t="inlineStr">
        <is>
          <t>2020</t>
        </is>
      </c>
      <c r="DR75" s="186" t="inlineStr">
        <is>
          <t>MOIS</t>
        </is>
      </c>
      <c r="DS75" s="187" t="inlineStr">
        <is>
          <t>2025</t>
        </is>
      </c>
      <c r="DT75" s="187" t="inlineStr">
        <is>
          <t>2024</t>
        </is>
      </c>
      <c r="DU75" s="187" t="inlineStr">
        <is>
          <t>2023</t>
        </is>
      </c>
      <c r="DV75" s="187" t="inlineStr">
        <is>
          <t>2022</t>
        </is>
      </c>
      <c r="DW75" s="187" t="inlineStr">
        <is>
          <t>2021</t>
        </is>
      </c>
      <c r="DX75" s="187" t="inlineStr">
        <is>
          <t>2020</t>
        </is>
      </c>
      <c r="DZ75" s="186" t="inlineStr">
        <is>
          <t>MOIS</t>
        </is>
      </c>
      <c r="EA75" s="187" t="inlineStr">
        <is>
          <t>2025</t>
        </is>
      </c>
      <c r="EB75" s="187" t="inlineStr">
        <is>
          <t>2024</t>
        </is>
      </c>
      <c r="EC75" s="187" t="inlineStr">
        <is>
          <t>2023</t>
        </is>
      </c>
      <c r="ED75" s="187" t="inlineStr">
        <is>
          <t>2022</t>
        </is>
      </c>
      <c r="EE75" s="187" t="inlineStr">
        <is>
          <t>2021</t>
        </is>
      </c>
      <c r="EF75" s="187" t="inlineStr">
        <is>
          <t>2020</t>
        </is>
      </c>
    </row>
    <row r="76">
      <c r="B76" s="357" t="inlineStr">
        <is>
          <t>01</t>
        </is>
      </c>
      <c r="C76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76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76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76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76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76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76" s="258" t="n"/>
      <c r="J76" s="357" t="inlineStr">
        <is>
          <t>01</t>
        </is>
      </c>
      <c r="K76" s="131" t="n">
        <v>9483</v>
      </c>
      <c r="L76" s="131" t="n">
        <v>9713</v>
      </c>
      <c r="M76" s="258" t="n">
        <v>12388</v>
      </c>
      <c r="N76" s="258" t="n">
        <v>13745</v>
      </c>
      <c r="O76" s="258" t="n">
        <v>13088</v>
      </c>
      <c r="P76" s="258" t="n">
        <v>13793</v>
      </c>
      <c r="R76" s="357" t="inlineStr">
        <is>
          <t>01</t>
        </is>
      </c>
      <c r="S76" s="131" t="n">
        <v>4471</v>
      </c>
      <c r="T76" s="258" t="n">
        <v>4668</v>
      </c>
      <c r="U76" s="258" t="n">
        <v>6255</v>
      </c>
      <c r="V76" s="258" t="n">
        <v>7205</v>
      </c>
      <c r="W76" s="258" t="n">
        <v>8097</v>
      </c>
      <c r="X76" s="258" t="n">
        <v>6611</v>
      </c>
      <c r="Z76" s="357" t="inlineStr">
        <is>
          <t>01</t>
        </is>
      </c>
      <c r="AA76" s="131" t="n">
        <v>4830</v>
      </c>
      <c r="AB76" s="258" t="n">
        <v>5314</v>
      </c>
      <c r="AC76" s="258" t="n">
        <v>6897</v>
      </c>
      <c r="AD76" s="258" t="n">
        <v>8124</v>
      </c>
      <c r="AE76" s="258" t="n">
        <v>8187</v>
      </c>
      <c r="AF76" s="258" t="n">
        <v>6856</v>
      </c>
      <c r="AH76" s="357" t="inlineStr">
        <is>
          <t>01</t>
        </is>
      </c>
      <c r="AI76" s="131" t="n"/>
      <c r="AJ76" s="131" t="n">
        <v>8173</v>
      </c>
      <c r="AK76" s="258" t="n">
        <v>9368</v>
      </c>
      <c r="AL76" s="258" t="n">
        <v>11421</v>
      </c>
      <c r="AM76" s="258" t="n">
        <v>11763</v>
      </c>
      <c r="AN76" s="258" t="n">
        <v>9914</v>
      </c>
      <c r="AP76" s="357" t="inlineStr">
        <is>
          <t>01</t>
        </is>
      </c>
      <c r="AQ76" s="131" t="n">
        <v>9404</v>
      </c>
      <c r="AR76" s="131" t="n">
        <v>9679</v>
      </c>
      <c r="AS76" s="258" t="n">
        <v>11124</v>
      </c>
      <c r="AT76" s="258" t="n">
        <v>13184</v>
      </c>
      <c r="AU76" s="258" t="n">
        <v>15667</v>
      </c>
      <c r="AV76" s="258" t="n"/>
      <c r="AX76" s="357" t="inlineStr">
        <is>
          <t>01</t>
        </is>
      </c>
      <c r="AY76" s="131" t="n"/>
      <c r="AZ76" s="258" t="n">
        <v>4342</v>
      </c>
      <c r="BA76" s="258" t="n">
        <v>5870</v>
      </c>
      <c r="BB76" s="258" t="n">
        <v>6719</v>
      </c>
      <c r="BC76" s="258" t="n"/>
      <c r="BD76" s="258" t="n"/>
      <c r="BE76" s="258" t="n"/>
      <c r="BF76" s="357" t="inlineStr">
        <is>
          <t>01</t>
        </is>
      </c>
      <c r="BG76" s="131" t="n">
        <v>4180</v>
      </c>
      <c r="BH76" s="258" t="n">
        <v>5031</v>
      </c>
      <c r="BI76" s="258" t="n">
        <v>5369</v>
      </c>
      <c r="BJ76" s="258" t="n"/>
      <c r="BK76" s="258" t="n"/>
      <c r="BL76" s="258" t="n"/>
      <c r="BM76" s="258" t="n"/>
      <c r="BN76" s="357" t="inlineStr">
        <is>
          <t>01</t>
        </is>
      </c>
      <c r="BO76" s="131" t="n">
        <v>6154</v>
      </c>
      <c r="BP76" s="258" t="n">
        <v>6466</v>
      </c>
      <c r="BQ76" s="258" t="n">
        <v>7493</v>
      </c>
      <c r="BR76" s="258" t="n">
        <v>8780</v>
      </c>
      <c r="BS76" s="258" t="n">
        <v>9353</v>
      </c>
      <c r="BT76" s="258" t="n">
        <v>7647</v>
      </c>
      <c r="BV76" s="357" t="inlineStr">
        <is>
          <t>01</t>
        </is>
      </c>
      <c r="BW76" s="131" t="n">
        <v>3962</v>
      </c>
      <c r="BX76" s="258" t="n">
        <v>4058</v>
      </c>
      <c r="BY76" s="258" t="n">
        <v>5089</v>
      </c>
      <c r="BZ76" s="258" t="n">
        <v>6465</v>
      </c>
      <c r="CA76" s="258" t="n">
        <v>8077</v>
      </c>
      <c r="CB76" s="258" t="n">
        <v>4997</v>
      </c>
      <c r="CC76" s="258" t="n"/>
      <c r="CD76" s="357" t="inlineStr">
        <is>
          <t>01</t>
        </is>
      </c>
      <c r="CE76" s="131" t="n">
        <v>6241</v>
      </c>
      <c r="CF76" s="258" t="n">
        <v>7536</v>
      </c>
      <c r="CG76" s="258" t="n">
        <v>6994</v>
      </c>
      <c r="CH76" s="258" t="n">
        <v>10048</v>
      </c>
      <c r="CI76" s="258" t="n">
        <v>9379</v>
      </c>
      <c r="CJ76" s="258" t="n">
        <v>8669</v>
      </c>
      <c r="CL76" s="357" t="inlineStr">
        <is>
          <t>01</t>
        </is>
      </c>
      <c r="CM76" s="131" t="n">
        <v>7040</v>
      </c>
      <c r="CN76" s="258" t="n">
        <v>6607</v>
      </c>
      <c r="CO76" s="258" t="n">
        <v>10372</v>
      </c>
      <c r="CP76" s="258" t="n">
        <v>12941</v>
      </c>
      <c r="CQ76" s="258" t="n">
        <v>12843</v>
      </c>
      <c r="CR76" s="258" t="n">
        <v>10540</v>
      </c>
      <c r="CT76" s="357" t="inlineStr">
        <is>
          <t>01</t>
        </is>
      </c>
      <c r="CU76" s="131" t="n">
        <v>9067</v>
      </c>
      <c r="CV76" s="131" t="n">
        <v>8205</v>
      </c>
      <c r="CW76" s="258" t="n"/>
      <c r="CX76" s="258" t="n"/>
      <c r="CY76" s="258" t="n"/>
      <c r="CZ76" s="258" t="n"/>
      <c r="DB76" s="357" t="inlineStr">
        <is>
          <t>01</t>
        </is>
      </c>
      <c r="DC76" s="131" t="n">
        <v>10873</v>
      </c>
      <c r="DD76" s="258" t="n">
        <v>11542</v>
      </c>
      <c r="DE76" s="258" t="n"/>
      <c r="DF76" s="258" t="n"/>
      <c r="DG76" s="258" t="n"/>
      <c r="DH76" s="258" t="n"/>
      <c r="DI76" s="258" t="n"/>
      <c r="DJ76" s="357" t="inlineStr">
        <is>
          <t>01</t>
        </is>
      </c>
      <c r="DK76" s="131" t="n">
        <v>0</v>
      </c>
      <c r="DL76" s="258" t="n">
        <v>0</v>
      </c>
      <c r="DM76" s="258" t="n"/>
      <c r="DN76" s="258" t="n"/>
      <c r="DO76" s="258" t="n"/>
      <c r="DP76" s="258" t="n"/>
      <c r="DR76" s="357" t="inlineStr">
        <is>
          <t>01</t>
        </is>
      </c>
      <c r="DS76" s="131" t="n">
        <v>8735</v>
      </c>
      <c r="DT76" s="258" t="n">
        <v>8928</v>
      </c>
      <c r="DU76" s="258" t="n"/>
      <c r="DV76" s="258" t="n"/>
      <c r="DW76" s="258" t="n"/>
      <c r="DX76" s="258" t="n"/>
      <c r="DZ76" s="357" t="inlineStr">
        <is>
          <t>01</t>
        </is>
      </c>
      <c r="EA76" s="131" t="n">
        <v>3700</v>
      </c>
      <c r="EB76" s="258" t="n"/>
      <c r="EC76" s="258" t="n"/>
      <c r="ED76" s="258" t="n"/>
      <c r="EE76" s="258" t="n"/>
      <c r="EF76" s="258" t="n"/>
    </row>
    <row r="77">
      <c r="B77" s="357" t="inlineStr">
        <is>
          <t>02</t>
        </is>
      </c>
      <c r="C77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77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77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77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77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77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77" s="258" t="n"/>
      <c r="J77" s="357" t="inlineStr">
        <is>
          <t>02</t>
        </is>
      </c>
      <c r="K77" s="131" t="n"/>
      <c r="L77" s="131" t="n">
        <v>8938</v>
      </c>
      <c r="M77" s="258" t="n">
        <v>10860</v>
      </c>
      <c r="N77" s="258" t="n">
        <v>13277</v>
      </c>
      <c r="O77" s="258" t="n">
        <v>11255</v>
      </c>
      <c r="P77" s="258" t="n">
        <v>12820</v>
      </c>
      <c r="R77" s="357" t="inlineStr">
        <is>
          <t>02</t>
        </is>
      </c>
      <c r="S77" s="131" t="n"/>
      <c r="T77" s="258" t="n">
        <v>4363</v>
      </c>
      <c r="U77" s="258" t="n">
        <v>5507</v>
      </c>
      <c r="V77" s="258" t="n">
        <v>6948</v>
      </c>
      <c r="W77" s="258" t="n">
        <v>7192</v>
      </c>
      <c r="X77" s="258" t="n">
        <v>6234</v>
      </c>
      <c r="Z77" s="357" t="inlineStr">
        <is>
          <t>02</t>
        </is>
      </c>
      <c r="AA77" s="131" t="n"/>
      <c r="AB77" s="258" t="n">
        <v>5277</v>
      </c>
      <c r="AC77" s="258" t="n">
        <v>6427</v>
      </c>
      <c r="AD77" s="258" t="n">
        <v>8047</v>
      </c>
      <c r="AE77" s="258" t="n">
        <v>6986</v>
      </c>
      <c r="AF77" s="258" t="n">
        <v>6478</v>
      </c>
      <c r="AH77" s="357" t="inlineStr">
        <is>
          <t>02</t>
        </is>
      </c>
      <c r="AI77" s="131" t="n"/>
      <c r="AJ77" s="131" t="n">
        <v>7830</v>
      </c>
      <c r="AK77" s="258" t="n">
        <v>8497</v>
      </c>
      <c r="AL77" s="258" t="n">
        <v>11295</v>
      </c>
      <c r="AM77" s="258" t="n">
        <v>9829</v>
      </c>
      <c r="AN77" s="258" t="n">
        <v>9160</v>
      </c>
      <c r="AP77" s="357" t="inlineStr">
        <is>
          <t>02</t>
        </is>
      </c>
      <c r="AQ77" s="131" t="n"/>
      <c r="AR77" s="131" t="n">
        <v>9182</v>
      </c>
      <c r="AS77" s="258" t="n">
        <v>10442</v>
      </c>
      <c r="AT77" s="258" t="n">
        <v>13133</v>
      </c>
      <c r="AU77" s="258" t="n">
        <v>13550</v>
      </c>
      <c r="AV77" s="258" t="n"/>
      <c r="AX77" s="357" t="inlineStr">
        <is>
          <t>02</t>
        </is>
      </c>
      <c r="AY77" s="131" t="n"/>
      <c r="AZ77" s="258" t="n">
        <v>4240</v>
      </c>
      <c r="BA77" s="258" t="n">
        <v>4958</v>
      </c>
      <c r="BB77" s="258" t="n">
        <v>6237</v>
      </c>
      <c r="BC77" s="258" t="n"/>
      <c r="BD77" s="258" t="n"/>
      <c r="BE77" s="258" t="n"/>
      <c r="BF77" s="357" t="inlineStr">
        <is>
          <t>02</t>
        </is>
      </c>
      <c r="BG77" s="131" t="n"/>
      <c r="BH77" s="258" t="n">
        <v>4931</v>
      </c>
      <c r="BI77" s="258" t="n">
        <v>4908</v>
      </c>
      <c r="BJ77" s="258" t="n"/>
      <c r="BK77" s="258" t="n"/>
      <c r="BL77" s="258" t="n"/>
      <c r="BM77" s="258" t="n"/>
      <c r="BN77" s="357" t="inlineStr">
        <is>
          <t>02</t>
        </is>
      </c>
      <c r="BO77" s="131" t="n"/>
      <c r="BP77" s="258" t="n">
        <v>6167</v>
      </c>
      <c r="BQ77" s="258" t="n">
        <v>6811</v>
      </c>
      <c r="BR77" s="258" t="n">
        <v>8080</v>
      </c>
      <c r="BS77" s="258" t="n">
        <v>7515</v>
      </c>
      <c r="BT77" s="258" t="n">
        <v>7333</v>
      </c>
      <c r="BV77" s="357" t="inlineStr">
        <is>
          <t>02</t>
        </is>
      </c>
      <c r="BW77" s="131" t="n"/>
      <c r="BX77" s="258" t="n">
        <v>3924</v>
      </c>
      <c r="BY77" s="258" t="n">
        <v>4838</v>
      </c>
      <c r="BZ77" s="258" t="n">
        <v>6160</v>
      </c>
      <c r="CA77" s="258" t="n">
        <v>7676</v>
      </c>
      <c r="CB77" s="258" t="n">
        <v>4920</v>
      </c>
      <c r="CC77" s="258" t="n"/>
      <c r="CD77" s="357" t="inlineStr">
        <is>
          <t>02</t>
        </is>
      </c>
      <c r="CE77" s="131" t="n"/>
      <c r="CF77" s="258" t="n">
        <v>6945</v>
      </c>
      <c r="CG77" s="258" t="n">
        <v>7230</v>
      </c>
      <c r="CH77" s="258" t="n">
        <v>9582</v>
      </c>
      <c r="CI77" s="258" t="n">
        <v>10432</v>
      </c>
      <c r="CJ77" s="258" t="n">
        <v>8474</v>
      </c>
      <c r="CL77" s="357" t="inlineStr">
        <is>
          <t>02</t>
        </is>
      </c>
      <c r="CM77" s="131" t="n"/>
      <c r="CN77" s="258" t="n">
        <v>6665</v>
      </c>
      <c r="CO77" s="258" t="n">
        <v>9707</v>
      </c>
      <c r="CP77" s="258" t="n">
        <v>12215</v>
      </c>
      <c r="CQ77" s="258" t="n">
        <v>11091</v>
      </c>
      <c r="CR77" s="258" t="n">
        <v>9894</v>
      </c>
      <c r="CT77" s="357" t="inlineStr">
        <is>
          <t>02</t>
        </is>
      </c>
      <c r="CU77" s="131" t="n"/>
      <c r="CV77" s="131" t="n">
        <v>7679</v>
      </c>
      <c r="CW77" s="258" t="n"/>
      <c r="CX77" s="258" t="n"/>
      <c r="CY77" s="258" t="n"/>
      <c r="CZ77" s="258" t="n"/>
      <c r="DB77" s="357" t="inlineStr">
        <is>
          <t>02</t>
        </is>
      </c>
      <c r="DC77" s="131" t="n"/>
      <c r="DD77" s="258" t="n">
        <v>10553</v>
      </c>
      <c r="DE77" s="258" t="n"/>
      <c r="DF77" s="258" t="n"/>
      <c r="DG77" s="258" t="n"/>
      <c r="DH77" s="258" t="n"/>
      <c r="DI77" s="258" t="n"/>
      <c r="DJ77" s="357" t="inlineStr">
        <is>
          <t>02</t>
        </is>
      </c>
      <c r="DK77" s="131" t="n">
        <v>0</v>
      </c>
      <c r="DL77" s="258" t="n">
        <v>0</v>
      </c>
      <c r="DM77" s="258" t="n"/>
      <c r="DN77" s="258" t="n"/>
      <c r="DO77" s="258" t="n"/>
      <c r="DP77" s="258" t="n"/>
      <c r="DR77" s="357" t="inlineStr">
        <is>
          <t>02</t>
        </is>
      </c>
      <c r="DS77" s="131" t="n"/>
      <c r="DT77" s="258" t="n">
        <v>8426</v>
      </c>
      <c r="DU77" s="258" t="n"/>
      <c r="DV77" s="258" t="n"/>
      <c r="DW77" s="258" t="n"/>
      <c r="DX77" s="258" t="n"/>
      <c r="DZ77" s="357" t="inlineStr">
        <is>
          <t>02</t>
        </is>
      </c>
      <c r="EA77" s="131" t="n"/>
      <c r="EB77" s="258" t="n"/>
      <c r="EC77" s="258" t="n"/>
      <c r="ED77" s="258" t="n"/>
      <c r="EE77" s="258" t="n"/>
      <c r="EF77" s="258" t="n"/>
    </row>
    <row r="78">
      <c r="B78" s="357" t="inlineStr">
        <is>
          <t>03</t>
        </is>
      </c>
      <c r="C78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78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78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78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78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78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78" s="258" t="n"/>
      <c r="J78" s="357" t="inlineStr">
        <is>
          <t>03</t>
        </is>
      </c>
      <c r="K78" s="131" t="n"/>
      <c r="L78" s="131" t="n">
        <v>9839</v>
      </c>
      <c r="M78" s="258" t="n">
        <v>11662</v>
      </c>
      <c r="N78" s="258" t="n">
        <v>13796</v>
      </c>
      <c r="O78" s="258" t="n">
        <v>12785</v>
      </c>
      <c r="P78" s="258" t="n">
        <v>6525</v>
      </c>
      <c r="R78" s="357" t="inlineStr">
        <is>
          <t>03</t>
        </is>
      </c>
      <c r="S78" s="131" t="n"/>
      <c r="T78" s="258" t="n">
        <v>4701</v>
      </c>
      <c r="U78" s="258" t="n">
        <v>5773</v>
      </c>
      <c r="V78" s="258" t="n">
        <v>7117</v>
      </c>
      <c r="W78" s="258" t="n">
        <v>7152</v>
      </c>
      <c r="X78" s="258" t="n">
        <v>3393</v>
      </c>
      <c r="Z78" s="357" t="inlineStr">
        <is>
          <t>03</t>
        </is>
      </c>
      <c r="AA78" s="131" t="n"/>
      <c r="AB78" s="258" t="n">
        <v>5831</v>
      </c>
      <c r="AC78" s="258" t="n">
        <v>6965</v>
      </c>
      <c r="AD78" s="258" t="n">
        <v>8578</v>
      </c>
      <c r="AE78" s="258" t="n">
        <v>7712</v>
      </c>
      <c r="AF78" s="258" t="n">
        <v>3561</v>
      </c>
      <c r="AH78" s="357" t="inlineStr">
        <is>
          <t>03</t>
        </is>
      </c>
      <c r="AI78" s="131" t="n"/>
      <c r="AJ78" s="131" t="n">
        <v>8224</v>
      </c>
      <c r="AK78" s="258" t="n">
        <v>9254</v>
      </c>
      <c r="AL78" s="258" t="n">
        <v>10981</v>
      </c>
      <c r="AM78" s="258" t="n">
        <v>10653</v>
      </c>
      <c r="AN78" s="258" t="n">
        <v>2527</v>
      </c>
      <c r="AP78" s="357" t="inlineStr">
        <is>
          <t>03</t>
        </is>
      </c>
      <c r="AQ78" s="131" t="n"/>
      <c r="AR78" s="131" t="n">
        <v>9698</v>
      </c>
      <c r="AS78" s="258" t="n">
        <v>10892</v>
      </c>
      <c r="AT78" s="258" t="n">
        <v>12812</v>
      </c>
      <c r="AU78" s="258" t="n">
        <v>13807</v>
      </c>
      <c r="AV78" s="258" t="n"/>
      <c r="AX78" s="357" t="inlineStr">
        <is>
          <t>03</t>
        </is>
      </c>
      <c r="AY78" s="131" t="n"/>
      <c r="AZ78" s="258" t="n">
        <v>4596</v>
      </c>
      <c r="BA78" s="258" t="n">
        <v>5473</v>
      </c>
      <c r="BB78" s="258" t="n">
        <v>6477</v>
      </c>
      <c r="BC78" s="258" t="n"/>
      <c r="BD78" s="258" t="n"/>
      <c r="BE78" s="258" t="n"/>
      <c r="BF78" s="357" t="inlineStr">
        <is>
          <t>03</t>
        </is>
      </c>
      <c r="BG78" s="131" t="n"/>
      <c r="BH78" s="258" t="n">
        <v>5040</v>
      </c>
      <c r="BI78" s="258" t="n">
        <v>5058</v>
      </c>
      <c r="BJ78" s="258" t="n"/>
      <c r="BK78" s="258" t="n"/>
      <c r="BL78" s="258" t="n"/>
      <c r="BM78" s="258" t="n"/>
      <c r="BN78" s="357" t="inlineStr">
        <is>
          <t>03</t>
        </is>
      </c>
      <c r="BO78" s="131" t="n"/>
      <c r="BP78" s="258" t="n">
        <v>6672</v>
      </c>
      <c r="BQ78" s="258" t="n">
        <v>7338</v>
      </c>
      <c r="BR78" s="258" t="n">
        <v>8357</v>
      </c>
      <c r="BS78" s="258" t="n">
        <v>7976</v>
      </c>
      <c r="BT78" s="258" t="n">
        <v>3805</v>
      </c>
      <c r="BV78" s="357" t="inlineStr">
        <is>
          <t>03</t>
        </is>
      </c>
      <c r="BW78" s="131" t="n"/>
      <c r="BX78" s="258" t="n">
        <v>4481</v>
      </c>
      <c r="BY78" s="258" t="n">
        <v>5093</v>
      </c>
      <c r="BZ78" s="258" t="n">
        <v>6132</v>
      </c>
      <c r="CA78" s="258" t="n">
        <v>7329</v>
      </c>
      <c r="CB78" s="258" t="n">
        <v>2324</v>
      </c>
      <c r="CC78" s="258" t="n"/>
      <c r="CD78" s="357" t="inlineStr">
        <is>
          <t>03</t>
        </is>
      </c>
      <c r="CE78" s="131" t="n"/>
      <c r="CF78" s="258" t="n">
        <v>7457</v>
      </c>
      <c r="CG78" s="258" t="n">
        <v>7707</v>
      </c>
      <c r="CH78" s="258" t="n">
        <v>9873</v>
      </c>
      <c r="CI78" s="258" t="n">
        <v>10818</v>
      </c>
      <c r="CJ78" s="258" t="n">
        <v>4289</v>
      </c>
      <c r="CL78" s="357" t="inlineStr">
        <is>
          <t>03</t>
        </is>
      </c>
      <c r="CM78" s="131" t="n"/>
      <c r="CN78" s="258" t="n">
        <v>7521</v>
      </c>
      <c r="CO78" s="258" t="n">
        <v>10275</v>
      </c>
      <c r="CP78" s="258" t="n">
        <v>12251</v>
      </c>
      <c r="CQ78" s="258" t="n">
        <v>12646</v>
      </c>
      <c r="CR78" s="258" t="n">
        <v>5343</v>
      </c>
      <c r="CT78" s="357" t="inlineStr">
        <is>
          <t>03</t>
        </is>
      </c>
      <c r="CU78" s="131" t="n"/>
      <c r="CV78" s="131" t="n">
        <v>8315</v>
      </c>
      <c r="CW78" s="258" t="n"/>
      <c r="CX78" s="258" t="n"/>
      <c r="CY78" s="258" t="n"/>
      <c r="CZ78" s="258" t="n"/>
      <c r="DB78" s="357" t="inlineStr">
        <is>
          <t>03</t>
        </is>
      </c>
      <c r="DC78" s="131" t="n"/>
      <c r="DD78" s="258" t="n">
        <v>11974</v>
      </c>
      <c r="DE78" s="258" t="n"/>
      <c r="DF78" s="258" t="n"/>
      <c r="DG78" s="258" t="n"/>
      <c r="DH78" s="258" t="n"/>
      <c r="DI78" s="258" t="n"/>
      <c r="DJ78" s="357" t="inlineStr">
        <is>
          <t>03</t>
        </is>
      </c>
      <c r="DK78" s="131" t="n">
        <v>0</v>
      </c>
      <c r="DL78" s="258" t="n">
        <v>0</v>
      </c>
      <c r="DM78" s="258" t="n"/>
      <c r="DN78" s="258" t="n"/>
      <c r="DO78" s="258" t="n"/>
      <c r="DP78" s="258" t="n"/>
      <c r="DR78" s="357" t="inlineStr">
        <is>
          <t>03</t>
        </is>
      </c>
      <c r="DS78" s="131" t="n"/>
      <c r="DT78" s="258" t="n">
        <v>8789</v>
      </c>
      <c r="DU78" s="258" t="n"/>
      <c r="DV78" s="258" t="n"/>
      <c r="DW78" s="258" t="n"/>
      <c r="DX78" s="258" t="n"/>
      <c r="DZ78" s="357" t="inlineStr">
        <is>
          <t>03</t>
        </is>
      </c>
      <c r="EA78" s="131" t="n"/>
      <c r="EB78" s="258" t="n"/>
      <c r="EC78" s="258" t="n"/>
      <c r="ED78" s="258" t="n"/>
      <c r="EE78" s="258" t="n"/>
      <c r="EF78" s="258" t="n"/>
    </row>
    <row r="79">
      <c r="B79" s="357" t="inlineStr">
        <is>
          <t>04</t>
        </is>
      </c>
      <c r="C79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79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79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79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79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79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79" s="258" t="n"/>
      <c r="J79" s="357" t="inlineStr">
        <is>
          <t>04</t>
        </is>
      </c>
      <c r="K79" s="131" t="n"/>
      <c r="L79" s="131" t="n">
        <v>9536</v>
      </c>
      <c r="M79" s="258" t="n">
        <v>11536</v>
      </c>
      <c r="N79" s="258" t="n">
        <v>13153</v>
      </c>
      <c r="O79" s="258" t="n">
        <v>12878</v>
      </c>
      <c r="P79" s="258" t="n">
        <v>1e-05</v>
      </c>
      <c r="R79" s="357" t="inlineStr">
        <is>
          <t>04</t>
        </is>
      </c>
      <c r="S79" s="131" t="n"/>
      <c r="T79" s="258" t="n">
        <v>4817</v>
      </c>
      <c r="U79" s="258" t="n">
        <v>5537</v>
      </c>
      <c r="V79" s="258" t="n">
        <v>6575</v>
      </c>
      <c r="W79" s="258" t="n">
        <v>7303</v>
      </c>
      <c r="X79" s="258" t="n">
        <v>0</v>
      </c>
      <c r="Z79" s="357" t="inlineStr">
        <is>
          <t>04</t>
        </is>
      </c>
      <c r="AA79" s="131" t="n"/>
      <c r="AB79" s="258" t="n">
        <v>5757</v>
      </c>
      <c r="AC79" s="258" t="n">
        <v>6587</v>
      </c>
      <c r="AD79" s="258" t="n">
        <v>7578</v>
      </c>
      <c r="AE79" s="258" t="n">
        <v>7929</v>
      </c>
      <c r="AF79" s="258" t="n">
        <v>0</v>
      </c>
      <c r="AH79" s="357" t="inlineStr">
        <is>
          <t>04</t>
        </is>
      </c>
      <c r="AI79" s="131" t="n"/>
      <c r="AJ79" s="131" t="n">
        <v>8675</v>
      </c>
      <c r="AK79" s="258" t="n">
        <v>9448</v>
      </c>
      <c r="AL79" s="258" t="n">
        <v>10793</v>
      </c>
      <c r="AM79" s="258" t="n">
        <v>11229</v>
      </c>
      <c r="AN79" s="258" t="n">
        <v>0</v>
      </c>
      <c r="AP79" s="357" t="inlineStr">
        <is>
          <t>04</t>
        </is>
      </c>
      <c r="AQ79" s="131" t="n"/>
      <c r="AR79" s="131" t="n">
        <v>9991</v>
      </c>
      <c r="AS79" s="258" t="n">
        <v>11209</v>
      </c>
      <c r="AT79" s="258" t="n">
        <v>12341</v>
      </c>
      <c r="AU79" s="258" t="n">
        <v>12833</v>
      </c>
      <c r="AV79" s="258" t="n"/>
      <c r="AX79" s="357" t="inlineStr">
        <is>
          <t>04</t>
        </is>
      </c>
      <c r="AY79" s="131" t="n"/>
      <c r="AZ79" s="258" t="n">
        <v>4551</v>
      </c>
      <c r="BA79" s="258" t="n">
        <v>5331</v>
      </c>
      <c r="BB79" s="258" t="n">
        <v>6174</v>
      </c>
      <c r="BC79" s="258" t="n"/>
      <c r="BD79" s="258" t="n"/>
      <c r="BE79" s="258" t="n"/>
      <c r="BF79" s="357" t="inlineStr">
        <is>
          <t>04</t>
        </is>
      </c>
      <c r="BG79" s="131" t="n"/>
      <c r="BH79" s="258" t="n">
        <v>5398</v>
      </c>
      <c r="BI79" s="258" t="n">
        <v>5717</v>
      </c>
      <c r="BJ79" s="258" t="n"/>
      <c r="BK79" s="258" t="n"/>
      <c r="BL79" s="258" t="n"/>
      <c r="BM79" s="258" t="n"/>
      <c r="BN79" s="357" t="inlineStr">
        <is>
          <t>04</t>
        </is>
      </c>
      <c r="BO79" s="131" t="n"/>
      <c r="BP79" s="258" t="n">
        <v>6514</v>
      </c>
      <c r="BQ79" s="258" t="n">
        <v>7251</v>
      </c>
      <c r="BR79" s="258" t="n">
        <v>8130</v>
      </c>
      <c r="BS79" s="258" t="n">
        <v>8876</v>
      </c>
      <c r="BT79" s="258" t="n">
        <v>0</v>
      </c>
      <c r="BV79" s="357" t="inlineStr">
        <is>
          <t>04</t>
        </is>
      </c>
      <c r="BW79" s="131" t="n"/>
      <c r="BX79" s="258" t="n">
        <v>4604</v>
      </c>
      <c r="BY79" s="258" t="n">
        <v>5042</v>
      </c>
      <c r="BZ79" s="258" t="n">
        <v>6398</v>
      </c>
      <c r="CA79" s="258" t="n">
        <v>7054</v>
      </c>
      <c r="CB79" s="258" t="n">
        <v>0</v>
      </c>
      <c r="CC79" s="258" t="n"/>
      <c r="CD79" s="357" t="inlineStr">
        <is>
          <t>04</t>
        </is>
      </c>
      <c r="CE79" s="131" t="n"/>
      <c r="CF79" s="258" t="n">
        <v>8009</v>
      </c>
      <c r="CG79" s="258" t="n">
        <v>8098</v>
      </c>
      <c r="CH79" s="258" t="n">
        <v>9682</v>
      </c>
      <c r="CI79" s="258" t="n">
        <v>10631</v>
      </c>
      <c r="CJ79" s="258" t="n">
        <v>0</v>
      </c>
      <c r="CL79" s="357" t="inlineStr">
        <is>
          <t>04</t>
        </is>
      </c>
      <c r="CM79" s="131" t="n"/>
      <c r="CN79" s="258" t="n">
        <v>7408</v>
      </c>
      <c r="CO79" s="258" t="n">
        <v>10350</v>
      </c>
      <c r="CP79" s="258" t="n">
        <v>12136</v>
      </c>
      <c r="CQ79" s="258" t="n">
        <v>12427</v>
      </c>
      <c r="CR79" s="258" t="n">
        <v>0</v>
      </c>
      <c r="CT79" s="357" t="inlineStr">
        <is>
          <t>04</t>
        </is>
      </c>
      <c r="CU79" s="131" t="n"/>
      <c r="CV79" s="131" t="n">
        <v>8402</v>
      </c>
      <c r="CW79" s="258" t="n"/>
      <c r="CX79" s="258" t="n"/>
      <c r="CY79" s="258" t="n"/>
      <c r="CZ79" s="258" t="n"/>
      <c r="DB79" s="357" t="inlineStr">
        <is>
          <t>04</t>
        </is>
      </c>
      <c r="DC79" s="131" t="n"/>
      <c r="DD79" s="258" t="n">
        <v>11946</v>
      </c>
      <c r="DE79" s="258" t="n"/>
      <c r="DF79" s="258" t="n"/>
      <c r="DG79" s="258" t="n"/>
      <c r="DH79" s="258" t="n"/>
      <c r="DI79" s="258" t="n"/>
      <c r="DJ79" s="357" t="inlineStr">
        <is>
          <t>04</t>
        </is>
      </c>
      <c r="DK79" s="131" t="n">
        <v>0</v>
      </c>
      <c r="DL79" s="258" t="n">
        <v>0</v>
      </c>
      <c r="DM79" s="258" t="n"/>
      <c r="DN79" s="258" t="n"/>
      <c r="DO79" s="258" t="n"/>
      <c r="DP79" s="258" t="n"/>
      <c r="DR79" s="357" t="inlineStr">
        <is>
          <t>04</t>
        </is>
      </c>
      <c r="DS79" s="131" t="n"/>
      <c r="DT79" s="258" t="n">
        <v>8934</v>
      </c>
      <c r="DU79" s="258" t="n"/>
      <c r="DV79" s="258" t="n"/>
      <c r="DW79" s="258" t="n"/>
      <c r="DX79" s="258" t="n"/>
      <c r="DZ79" s="357" t="inlineStr">
        <is>
          <t>04</t>
        </is>
      </c>
      <c r="EA79" s="131" t="n"/>
      <c r="EB79" s="258" t="n"/>
      <c r="EC79" s="258" t="n"/>
      <c r="ED79" s="258" t="n"/>
      <c r="EE79" s="258" t="n"/>
      <c r="EF79" s="258" t="n"/>
    </row>
    <row r="80">
      <c r="B80" s="357" t="inlineStr">
        <is>
          <t>05</t>
        </is>
      </c>
      <c r="C80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0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80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80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80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80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80" s="258" t="n"/>
      <c r="J80" s="357" t="inlineStr">
        <is>
          <t>05</t>
        </is>
      </c>
      <c r="K80" s="131" t="n"/>
      <c r="L80" s="131" t="n">
        <v>9798</v>
      </c>
      <c r="M80" s="258" t="n">
        <v>11563</v>
      </c>
      <c r="N80" s="258" t="n">
        <v>13394</v>
      </c>
      <c r="O80" s="258" t="n">
        <v>14570</v>
      </c>
      <c r="P80" s="258" t="n">
        <v>11088</v>
      </c>
      <c r="R80" s="357" t="inlineStr">
        <is>
          <t>05</t>
        </is>
      </c>
      <c r="S80" s="131" t="n"/>
      <c r="T80" s="258" t="n">
        <v>4870</v>
      </c>
      <c r="U80" s="258" t="n">
        <v>5605</v>
      </c>
      <c r="V80" s="258" t="n">
        <v>6448</v>
      </c>
      <c r="W80" s="258" t="n">
        <v>8449</v>
      </c>
      <c r="X80" s="258" t="n">
        <v>3592</v>
      </c>
      <c r="Z80" s="357" t="inlineStr">
        <is>
          <t>05</t>
        </is>
      </c>
      <c r="AA80" s="131" t="n"/>
      <c r="AB80" s="258" t="n">
        <v>5225</v>
      </c>
      <c r="AC80" s="258" t="n">
        <v>6665</v>
      </c>
      <c r="AD80" s="258" t="n">
        <v>8213</v>
      </c>
      <c r="AE80" s="258" t="n">
        <v>9303</v>
      </c>
      <c r="AF80" s="258" t="n">
        <v>5459</v>
      </c>
      <c r="AH80" s="357" t="inlineStr">
        <is>
          <t>05</t>
        </is>
      </c>
      <c r="AI80" s="131" t="n"/>
      <c r="AJ80" s="131" t="n">
        <v>8426</v>
      </c>
      <c r="AK80" s="258" t="n">
        <v>9393</v>
      </c>
      <c r="AL80" s="258" t="n">
        <v>10947</v>
      </c>
      <c r="AM80" s="258" t="n">
        <v>13003</v>
      </c>
      <c r="AN80" s="258" t="n">
        <v>10879</v>
      </c>
      <c r="AP80" s="357" t="inlineStr">
        <is>
          <t>05</t>
        </is>
      </c>
      <c r="AQ80" s="131" t="n"/>
      <c r="AR80" s="131" t="n">
        <v>10070</v>
      </c>
      <c r="AS80" s="258" t="n">
        <v>11539</v>
      </c>
      <c r="AT80" s="258" t="n">
        <v>12545</v>
      </c>
      <c r="AU80" s="258" t="n">
        <v>16565</v>
      </c>
      <c r="AV80" s="258" t="n"/>
      <c r="AX80" s="357" t="inlineStr">
        <is>
          <t>05</t>
        </is>
      </c>
      <c r="AY80" s="131" t="n"/>
      <c r="AZ80" s="258" t="n">
        <v>4763</v>
      </c>
      <c r="BA80" s="258" t="n">
        <v>5381</v>
      </c>
      <c r="BB80" s="258" t="n">
        <v>6464</v>
      </c>
      <c r="BC80" s="258" t="n"/>
      <c r="BD80" s="258" t="n"/>
      <c r="BE80" s="258" t="n"/>
      <c r="BF80" s="357" t="inlineStr">
        <is>
          <t>05</t>
        </is>
      </c>
      <c r="BG80" s="131" t="n"/>
      <c r="BH80" s="258" t="n">
        <v>5280</v>
      </c>
      <c r="BI80" s="258" t="n">
        <v>5839</v>
      </c>
      <c r="BJ80" s="258" t="n"/>
      <c r="BK80" s="258" t="n"/>
      <c r="BL80" s="258" t="n"/>
      <c r="BM80" s="258" t="n"/>
      <c r="BN80" s="357" t="inlineStr">
        <is>
          <t>05</t>
        </is>
      </c>
      <c r="BO80" s="131" t="n"/>
      <c r="BP80" s="258" t="n">
        <v>6809</v>
      </c>
      <c r="BQ80" s="258" t="n">
        <v>7224</v>
      </c>
      <c r="BR80" s="258" t="n">
        <v>8555</v>
      </c>
      <c r="BS80" s="258" t="n">
        <v>10516</v>
      </c>
      <c r="BT80" s="258" t="n">
        <v>7069</v>
      </c>
      <c r="BV80" s="357" t="inlineStr">
        <is>
          <t>05</t>
        </is>
      </c>
      <c r="BW80" s="131" t="n"/>
      <c r="BX80" s="258" t="n">
        <v>5020</v>
      </c>
      <c r="BY80" s="258" t="n">
        <v>5545</v>
      </c>
      <c r="BZ80" s="258" t="n">
        <v>6685</v>
      </c>
      <c r="CA80" s="258" t="n">
        <v>8803</v>
      </c>
      <c r="CB80" s="258" t="n">
        <v>3964</v>
      </c>
      <c r="CC80" s="258" t="n"/>
      <c r="CD80" s="357" t="inlineStr">
        <is>
          <t>05</t>
        </is>
      </c>
      <c r="CE80" s="131" t="n"/>
      <c r="CF80" s="258" t="n">
        <v>8396</v>
      </c>
      <c r="CG80" s="258" t="n">
        <v>9116</v>
      </c>
      <c r="CH80" s="258" t="n">
        <v>10514</v>
      </c>
      <c r="CI80" s="258" t="n">
        <v>12763</v>
      </c>
      <c r="CJ80" s="258" t="n">
        <v>12119</v>
      </c>
      <c r="CL80" s="357" t="inlineStr">
        <is>
          <t>05</t>
        </is>
      </c>
      <c r="CM80" s="131" t="n"/>
      <c r="CN80" s="258" t="n">
        <v>7767</v>
      </c>
      <c r="CO80" s="258" t="n">
        <v>10537</v>
      </c>
      <c r="CP80" s="258" t="n">
        <v>12341</v>
      </c>
      <c r="CQ80" s="258" t="n">
        <v>14893</v>
      </c>
      <c r="CR80" s="258" t="n">
        <v>10953</v>
      </c>
      <c r="CT80" s="357" t="inlineStr">
        <is>
          <t>05</t>
        </is>
      </c>
      <c r="CU80" s="131" t="n"/>
      <c r="CV80" s="131" t="n">
        <v>8757</v>
      </c>
      <c r="CW80" s="258" t="n"/>
      <c r="CX80" s="258" t="n"/>
      <c r="CY80" s="258" t="n"/>
      <c r="CZ80" s="258" t="n"/>
      <c r="DB80" s="357" t="inlineStr">
        <is>
          <t>05</t>
        </is>
      </c>
      <c r="DC80" s="131" t="n"/>
      <c r="DD80" s="258" t="n">
        <v>12405</v>
      </c>
      <c r="DE80" s="258" t="n"/>
      <c r="DF80" s="258" t="n"/>
      <c r="DG80" s="258" t="n"/>
      <c r="DH80" s="258" t="n"/>
      <c r="DI80" s="258" t="n"/>
      <c r="DJ80" s="357" t="inlineStr">
        <is>
          <t>05</t>
        </is>
      </c>
      <c r="DK80" s="131" t="n">
        <v>0</v>
      </c>
      <c r="DL80" s="258" t="n">
        <v>0</v>
      </c>
      <c r="DM80" s="258" t="n"/>
      <c r="DN80" s="258" t="n"/>
      <c r="DO80" s="258" t="n"/>
      <c r="DP80" s="258" t="n"/>
      <c r="DR80" s="357" t="inlineStr">
        <is>
          <t>05</t>
        </is>
      </c>
      <c r="DS80" s="131" t="n"/>
      <c r="DT80" s="258" t="n">
        <v>9094</v>
      </c>
      <c r="DU80" s="258" t="n"/>
      <c r="DV80" s="258" t="n"/>
      <c r="DW80" s="258" t="n"/>
      <c r="DX80" s="258" t="n"/>
      <c r="DZ80" s="357" t="inlineStr">
        <is>
          <t>05</t>
        </is>
      </c>
      <c r="EA80" s="131" t="n"/>
      <c r="EB80" s="258" t="n"/>
      <c r="EC80" s="258" t="n"/>
      <c r="ED80" s="258" t="n"/>
      <c r="EE80" s="258" t="n"/>
      <c r="EF80" s="258" t="n"/>
    </row>
    <row r="81">
      <c r="B81" s="357" t="inlineStr">
        <is>
          <t>06</t>
        </is>
      </c>
      <c r="C81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1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81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81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81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81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81" s="258" t="n"/>
      <c r="J81" s="357" t="inlineStr">
        <is>
          <t>06</t>
        </is>
      </c>
      <c r="K81" s="131" t="n"/>
      <c r="L81" s="131" t="n">
        <v>9553</v>
      </c>
      <c r="M81" s="258" t="n">
        <v>11204</v>
      </c>
      <c r="N81" s="258" t="n">
        <v>12970</v>
      </c>
      <c r="O81" s="258" t="n">
        <v>15430</v>
      </c>
      <c r="P81" s="258" t="n">
        <v>15082</v>
      </c>
      <c r="R81" s="357" t="inlineStr">
        <is>
          <t>06</t>
        </is>
      </c>
      <c r="S81" s="131" t="n"/>
      <c r="T81" s="258" t="n">
        <v>4830</v>
      </c>
      <c r="U81" s="258" t="n">
        <v>5431</v>
      </c>
      <c r="V81" s="258" t="n">
        <v>6144</v>
      </c>
      <c r="W81" s="258" t="n">
        <v>8583</v>
      </c>
      <c r="X81" s="258" t="n">
        <v>7552</v>
      </c>
      <c r="Z81" s="357" t="inlineStr">
        <is>
          <t>06</t>
        </is>
      </c>
      <c r="AA81" s="131" t="n"/>
      <c r="AB81" s="258" t="n">
        <v>5508</v>
      </c>
      <c r="AC81" s="258" t="n">
        <v>6433</v>
      </c>
      <c r="AD81" s="258" t="n">
        <v>7750</v>
      </c>
      <c r="AE81" s="258" t="n">
        <v>9099</v>
      </c>
      <c r="AF81" s="258" t="n">
        <v>8088</v>
      </c>
      <c r="AH81" s="357" t="inlineStr">
        <is>
          <t>06</t>
        </is>
      </c>
      <c r="AI81" s="131" t="n"/>
      <c r="AJ81" s="131" t="n">
        <v>8435</v>
      </c>
      <c r="AK81" s="258" t="n">
        <v>9401</v>
      </c>
      <c r="AL81" s="258" t="n">
        <v>10239</v>
      </c>
      <c r="AM81" s="258" t="n">
        <v>13135</v>
      </c>
      <c r="AN81" s="258" t="n">
        <v>13197</v>
      </c>
      <c r="AP81" s="357" t="inlineStr">
        <is>
          <t>06</t>
        </is>
      </c>
      <c r="AQ81" s="131" t="n"/>
      <c r="AR81" s="131" t="n">
        <v>10224</v>
      </c>
      <c r="AS81" s="258" t="n">
        <v>11035</v>
      </c>
      <c r="AT81" s="258" t="n">
        <v>12460</v>
      </c>
      <c r="AU81" s="258" t="n">
        <v>7243</v>
      </c>
      <c r="AV81" s="258" t="n"/>
      <c r="AX81" s="357" t="inlineStr">
        <is>
          <t>06</t>
        </is>
      </c>
      <c r="AY81" s="131" t="n"/>
      <c r="AZ81" s="258" t="n">
        <v>4741</v>
      </c>
      <c r="BA81" s="258" t="n">
        <v>5123</v>
      </c>
      <c r="BB81" s="258" t="n">
        <v>6258</v>
      </c>
      <c r="BC81" s="258" t="n"/>
      <c r="BD81" s="258" t="n"/>
      <c r="BE81" s="258" t="n"/>
      <c r="BF81" s="357" t="inlineStr">
        <is>
          <t>06</t>
        </is>
      </c>
      <c r="BG81" s="131" t="n"/>
      <c r="BH81" s="258" t="n">
        <v>4804</v>
      </c>
      <c r="BI81" s="258" t="n">
        <v>5671</v>
      </c>
      <c r="BJ81" s="258" t="n"/>
      <c r="BK81" s="258" t="n"/>
      <c r="BL81" s="258" t="n"/>
      <c r="BM81" s="258" t="n"/>
      <c r="BN81" s="357" t="inlineStr">
        <is>
          <t>06</t>
        </is>
      </c>
      <c r="BO81" s="131" t="n"/>
      <c r="BP81" s="258" t="n">
        <v>6809</v>
      </c>
      <c r="BQ81" s="258" t="n">
        <v>7029</v>
      </c>
      <c r="BR81" s="258" t="n">
        <v>8239</v>
      </c>
      <c r="BS81" s="258" t="n">
        <v>9977</v>
      </c>
      <c r="BT81" s="258" t="n">
        <v>10087</v>
      </c>
      <c r="BV81" s="357" t="inlineStr">
        <is>
          <t>06</t>
        </is>
      </c>
      <c r="BW81" s="131" t="n"/>
      <c r="BX81" s="258" t="n">
        <v>4811</v>
      </c>
      <c r="BY81" s="258" t="n">
        <v>5241</v>
      </c>
      <c r="BZ81" s="258" t="n">
        <v>6399</v>
      </c>
      <c r="CA81" s="258" t="n">
        <v>7833</v>
      </c>
      <c r="CB81" s="258" t="n">
        <v>7524</v>
      </c>
      <c r="CC81" s="258" t="n"/>
      <c r="CD81" s="357" t="inlineStr">
        <is>
          <t>06</t>
        </is>
      </c>
      <c r="CE81" s="131" t="n"/>
      <c r="CF81" s="258" t="n">
        <v>8000</v>
      </c>
      <c r="CG81" s="258" t="n">
        <v>8517</v>
      </c>
      <c r="CH81" s="258" t="n">
        <v>10139</v>
      </c>
      <c r="CI81" s="258" t="n">
        <v>12488</v>
      </c>
      <c r="CJ81" s="258" t="n">
        <v>13584</v>
      </c>
      <c r="CL81" s="357" t="inlineStr">
        <is>
          <t>06</t>
        </is>
      </c>
      <c r="CM81" s="131" t="n"/>
      <c r="CN81" s="258" t="n">
        <v>7724</v>
      </c>
      <c r="CO81" s="258" t="n">
        <v>9823</v>
      </c>
      <c r="CP81" s="258" t="n">
        <v>11503</v>
      </c>
      <c r="CQ81" s="258" t="n">
        <v>14196</v>
      </c>
      <c r="CR81" s="258" t="n">
        <v>14050</v>
      </c>
      <c r="CT81" s="357" t="inlineStr">
        <is>
          <t>06</t>
        </is>
      </c>
      <c r="CU81" s="131" t="n"/>
      <c r="CV81" s="131" t="n">
        <v>8760</v>
      </c>
      <c r="CW81" s="258" t="n"/>
      <c r="CX81" s="258" t="n"/>
      <c r="CY81" s="258" t="n"/>
      <c r="CZ81" s="258" t="n"/>
      <c r="DB81" s="357" t="inlineStr">
        <is>
          <t>06</t>
        </is>
      </c>
      <c r="DC81" s="131" t="n"/>
      <c r="DD81" s="258" t="n">
        <v>11991</v>
      </c>
      <c r="DE81" s="258" t="n"/>
      <c r="DF81" s="258" t="n"/>
      <c r="DG81" s="258" t="n"/>
      <c r="DH81" s="258" t="n"/>
      <c r="DI81" s="258" t="n"/>
      <c r="DJ81" s="357" t="inlineStr">
        <is>
          <t>06</t>
        </is>
      </c>
      <c r="DK81" s="131" t="n">
        <v>0</v>
      </c>
      <c r="DL81" s="258" t="n">
        <v>0</v>
      </c>
      <c r="DM81" s="258" t="n"/>
      <c r="DN81" s="258" t="n"/>
      <c r="DO81" s="258" t="n"/>
      <c r="DP81" s="258" t="n"/>
      <c r="DR81" s="357" t="inlineStr">
        <is>
          <t>06</t>
        </is>
      </c>
      <c r="DS81" s="131" t="n"/>
      <c r="DT81" s="258" t="n">
        <v>9066</v>
      </c>
      <c r="DU81" s="258" t="n"/>
      <c r="DV81" s="258" t="n"/>
      <c r="DW81" s="258" t="n"/>
      <c r="DX81" s="258" t="n"/>
      <c r="DZ81" s="357" t="inlineStr">
        <is>
          <t>06</t>
        </is>
      </c>
      <c r="EA81" s="131" t="n"/>
      <c r="EB81" s="258" t="n"/>
      <c r="EC81" s="258" t="n"/>
      <c r="ED81" s="258" t="n"/>
      <c r="EE81" s="258" t="n"/>
      <c r="EF81" s="258" t="n"/>
    </row>
    <row r="82">
      <c r="B82" s="357" t="inlineStr">
        <is>
          <t>07</t>
        </is>
      </c>
      <c r="C82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2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82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82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82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82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82" s="258" t="n"/>
      <c r="J82" s="357" t="inlineStr">
        <is>
          <t>07</t>
        </is>
      </c>
      <c r="K82" s="131" t="n"/>
      <c r="L82" s="131" t="n">
        <v>9705</v>
      </c>
      <c r="M82" s="258" t="n">
        <v>11241</v>
      </c>
      <c r="N82" s="258" t="n">
        <v>12421</v>
      </c>
      <c r="O82" s="258" t="n">
        <v>15208</v>
      </c>
      <c r="P82" s="258" t="n">
        <v>14830</v>
      </c>
      <c r="R82" s="357" t="inlineStr">
        <is>
          <t>07</t>
        </is>
      </c>
      <c r="S82" s="131" t="n"/>
      <c r="T82" s="258" t="n">
        <v>4452</v>
      </c>
      <c r="U82" s="258" t="n">
        <v>5126</v>
      </c>
      <c r="V82" s="258" t="n">
        <v>5615</v>
      </c>
      <c r="W82" s="258" t="n">
        <v>8055</v>
      </c>
      <c r="X82" s="258" t="n">
        <v>7534</v>
      </c>
      <c r="Z82" s="357" t="inlineStr">
        <is>
          <t>07</t>
        </is>
      </c>
      <c r="AA82" s="131" t="n"/>
      <c r="AB82" s="258" t="n">
        <v>4815</v>
      </c>
      <c r="AC82" s="258" t="n">
        <v>5998</v>
      </c>
      <c r="AD82" s="258" t="n">
        <v>7045</v>
      </c>
      <c r="AE82" s="258" t="n">
        <v>8561</v>
      </c>
      <c r="AF82" s="258" t="n">
        <v>7606</v>
      </c>
      <c r="AH82" s="357" t="inlineStr">
        <is>
          <t>07</t>
        </is>
      </c>
      <c r="AI82" s="131" t="n"/>
      <c r="AJ82" s="131" t="n">
        <v>8102</v>
      </c>
      <c r="AK82" s="258" t="n">
        <v>9542</v>
      </c>
      <c r="AL82" s="258" t="n">
        <v>10183</v>
      </c>
      <c r="AM82" s="258" t="n">
        <v>12380</v>
      </c>
      <c r="AN82" s="258" t="n">
        <v>13084</v>
      </c>
      <c r="AP82" s="357" t="inlineStr">
        <is>
          <t>07</t>
        </is>
      </c>
      <c r="AQ82" s="131" t="n"/>
      <c r="AR82" s="131" t="n">
        <v>10167</v>
      </c>
      <c r="AS82" s="258" t="n">
        <v>11283</v>
      </c>
      <c r="AT82" s="258" t="n">
        <v>12475</v>
      </c>
      <c r="AU82" s="258" t="n">
        <v>15544</v>
      </c>
      <c r="AV82" s="258" t="n"/>
      <c r="AX82" s="357" t="inlineStr">
        <is>
          <t>07</t>
        </is>
      </c>
      <c r="AY82" s="131" t="n"/>
      <c r="AZ82" s="258" t="n">
        <v>4496</v>
      </c>
      <c r="BA82" s="258" t="n">
        <v>5230</v>
      </c>
      <c r="BB82" s="258" t="n">
        <v>6161</v>
      </c>
      <c r="BC82" s="258" t="n">
        <v>1658</v>
      </c>
      <c r="BD82" s="258" t="n"/>
      <c r="BE82" s="258" t="n"/>
      <c r="BF82" s="357" t="inlineStr">
        <is>
          <t>07</t>
        </is>
      </c>
      <c r="BG82" s="131" t="n"/>
      <c r="BH82" s="258" t="n">
        <v>5086</v>
      </c>
      <c r="BI82" s="258" t="n">
        <v>6532</v>
      </c>
      <c r="BJ82" s="258" t="n"/>
      <c r="BK82" s="258" t="n"/>
      <c r="BL82" s="258" t="n"/>
      <c r="BM82" s="258" t="n"/>
      <c r="BN82" s="357" t="inlineStr">
        <is>
          <t>07</t>
        </is>
      </c>
      <c r="BO82" s="131" t="n"/>
      <c r="BP82" s="258" t="n">
        <v>6239</v>
      </c>
      <c r="BQ82" s="258" t="n">
        <v>7199</v>
      </c>
      <c r="BR82" s="258" t="n">
        <v>8180</v>
      </c>
      <c r="BS82" s="258" t="n">
        <v>9936</v>
      </c>
      <c r="BT82" s="258" t="n">
        <v>9934</v>
      </c>
      <c r="BV82" s="357" t="inlineStr">
        <is>
          <t>07</t>
        </is>
      </c>
      <c r="BW82" s="131" t="n"/>
      <c r="BX82" s="258" t="n">
        <v>5690</v>
      </c>
      <c r="BY82" s="258" t="n">
        <v>6596</v>
      </c>
      <c r="BZ82" s="258" t="n">
        <v>7838</v>
      </c>
      <c r="CA82" s="258" t="n">
        <v>9067</v>
      </c>
      <c r="CB82" s="258" t="n">
        <v>8572</v>
      </c>
      <c r="CC82" s="258" t="n"/>
      <c r="CD82" s="357" t="inlineStr">
        <is>
          <t>07</t>
        </is>
      </c>
      <c r="CE82" s="131" t="n"/>
      <c r="CF82" s="258" t="n">
        <v>8739</v>
      </c>
      <c r="CG82" s="258" t="n">
        <v>10445</v>
      </c>
      <c r="CH82" s="258" t="n">
        <v>11398</v>
      </c>
      <c r="CI82" s="258" t="n">
        <v>15367</v>
      </c>
      <c r="CJ82" s="258" t="n">
        <v>15387</v>
      </c>
      <c r="CL82" s="357" t="inlineStr">
        <is>
          <t>07</t>
        </is>
      </c>
      <c r="CM82" s="131" t="n"/>
      <c r="CN82" s="258" t="n">
        <v>7698</v>
      </c>
      <c r="CO82" s="258" t="n">
        <v>10593</v>
      </c>
      <c r="CP82" s="258" t="n">
        <v>12064</v>
      </c>
      <c r="CQ82" s="258" t="n">
        <v>14058</v>
      </c>
      <c r="CR82" s="258" t="n">
        <v>14334</v>
      </c>
      <c r="CT82" s="357" t="inlineStr">
        <is>
          <t>07</t>
        </is>
      </c>
      <c r="CU82" s="131" t="n"/>
      <c r="CV82" s="131" t="n">
        <v>8155</v>
      </c>
      <c r="CW82" s="258" t="n"/>
      <c r="CX82" s="258" t="n"/>
      <c r="CY82" s="258" t="n"/>
      <c r="CZ82" s="258" t="n"/>
      <c r="DB82" s="357" t="inlineStr">
        <is>
          <t>07</t>
        </is>
      </c>
      <c r="DC82" s="131" t="n"/>
      <c r="DD82" s="258" t="n">
        <v>11143</v>
      </c>
      <c r="DE82" s="258" t="n"/>
      <c r="DF82" s="258" t="n"/>
      <c r="DG82" s="258" t="n"/>
      <c r="DH82" s="258" t="n"/>
      <c r="DI82" s="258" t="n"/>
      <c r="DJ82" s="357" t="inlineStr">
        <is>
          <t>07</t>
        </is>
      </c>
      <c r="DK82" s="131" t="n">
        <v>0</v>
      </c>
      <c r="DL82" s="258" t="n">
        <v>0</v>
      </c>
      <c r="DM82" s="258" t="n"/>
      <c r="DN82" s="258" t="n"/>
      <c r="DO82" s="258" t="n"/>
      <c r="DP82" s="258" t="n"/>
      <c r="DR82" s="357" t="inlineStr">
        <is>
          <t>07</t>
        </is>
      </c>
      <c r="DS82" s="131" t="n"/>
      <c r="DT82" s="258" t="n">
        <v>8428</v>
      </c>
      <c r="DU82" s="258" t="n"/>
      <c r="DV82" s="258" t="n"/>
      <c r="DW82" s="258" t="n"/>
      <c r="DX82" s="258" t="n"/>
      <c r="DZ82" s="357" t="inlineStr">
        <is>
          <t>07</t>
        </is>
      </c>
      <c r="EA82" s="131" t="n"/>
      <c r="EB82" s="258" t="n"/>
      <c r="EC82" s="258" t="n"/>
      <c r="ED82" s="258" t="n"/>
      <c r="EE82" s="258" t="n"/>
      <c r="EF82" s="258" t="n"/>
    </row>
    <row r="83">
      <c r="B83" s="357" t="inlineStr">
        <is>
          <t>08</t>
        </is>
      </c>
      <c r="C83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3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83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83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83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83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83" s="258" t="n"/>
      <c r="J83" s="357" t="inlineStr">
        <is>
          <t>08</t>
        </is>
      </c>
      <c r="K83" s="131" t="n"/>
      <c r="L83" s="131" t="n">
        <v>9405</v>
      </c>
      <c r="M83" s="258" t="n">
        <v>10628</v>
      </c>
      <c r="N83" s="258" t="n">
        <v>11288</v>
      </c>
      <c r="O83" s="258" t="n">
        <v>14866</v>
      </c>
      <c r="P83" s="258" t="n">
        <v>14339</v>
      </c>
      <c r="R83" s="357" t="inlineStr">
        <is>
          <t>08</t>
        </is>
      </c>
      <c r="S83" s="131" t="n"/>
      <c r="T83" s="258" t="n">
        <v>4146</v>
      </c>
      <c r="U83" s="258" t="n">
        <v>4883</v>
      </c>
      <c r="V83" s="258" t="n">
        <v>5327</v>
      </c>
      <c r="W83" s="258" t="n">
        <v>8475</v>
      </c>
      <c r="X83" s="258" t="n">
        <v>7278</v>
      </c>
      <c r="Z83" s="357" t="inlineStr">
        <is>
          <t>08</t>
        </is>
      </c>
      <c r="AA83" s="131" t="n"/>
      <c r="AB83" s="258" t="n">
        <v>4564</v>
      </c>
      <c r="AC83" s="258" t="n">
        <v>5575</v>
      </c>
      <c r="AD83" s="258" t="n">
        <v>6528</v>
      </c>
      <c r="AE83" s="258" t="n">
        <v>9211</v>
      </c>
      <c r="AF83" s="258" t="n">
        <v>7262</v>
      </c>
      <c r="AH83" s="357" t="inlineStr">
        <is>
          <t>08</t>
        </is>
      </c>
      <c r="AI83" s="131" t="n"/>
      <c r="AJ83" s="131" t="n">
        <v>7661</v>
      </c>
      <c r="AK83" s="258" t="n">
        <v>9011</v>
      </c>
      <c r="AL83" s="258" t="n">
        <v>9811</v>
      </c>
      <c r="AM83" s="258" t="n">
        <v>13324</v>
      </c>
      <c r="AN83" s="258" t="n">
        <v>12528</v>
      </c>
      <c r="AP83" s="357" t="inlineStr">
        <is>
          <t>08</t>
        </is>
      </c>
      <c r="AQ83" s="131" t="n"/>
      <c r="AR83" s="131" t="n">
        <v>9942</v>
      </c>
      <c r="AS83" s="258" t="n">
        <v>10801</v>
      </c>
      <c r="AT83" s="258" t="n">
        <v>12153</v>
      </c>
      <c r="AU83" s="258" t="n">
        <v>16078</v>
      </c>
      <c r="AV83" s="258" t="n"/>
      <c r="AX83" s="357" t="inlineStr">
        <is>
          <t>08</t>
        </is>
      </c>
      <c r="AY83" s="131" t="n"/>
      <c r="AZ83" s="258" t="n">
        <v>4377</v>
      </c>
      <c r="BA83" s="258" t="n">
        <v>4921</v>
      </c>
      <c r="BB83" s="258" t="n">
        <v>5835</v>
      </c>
      <c r="BC83" s="258" t="n">
        <v>8379</v>
      </c>
      <c r="BD83" s="258" t="n"/>
      <c r="BE83" s="258" t="n"/>
      <c r="BF83" s="357" t="inlineStr">
        <is>
          <t>08</t>
        </is>
      </c>
      <c r="BG83" s="131" t="n"/>
      <c r="BH83" s="258" t="n">
        <v>5218</v>
      </c>
      <c r="BI83" s="258" t="n">
        <v>6036</v>
      </c>
      <c r="BJ83" s="258" t="n"/>
      <c r="BK83" s="258" t="n"/>
      <c r="BL83" s="258" t="n"/>
      <c r="BM83" s="258" t="n"/>
      <c r="BN83" s="357" t="inlineStr">
        <is>
          <t>08</t>
        </is>
      </c>
      <c r="BO83" s="131" t="n"/>
      <c r="BP83" s="258" t="n">
        <v>6055</v>
      </c>
      <c r="BQ83" s="258" t="n">
        <v>6843</v>
      </c>
      <c r="BR83" s="258" t="n">
        <v>7463</v>
      </c>
      <c r="BS83" s="258" t="n">
        <v>10268</v>
      </c>
      <c r="BT83" s="258" t="n">
        <v>9627</v>
      </c>
      <c r="BV83" s="357" t="inlineStr">
        <is>
          <t>08</t>
        </is>
      </c>
      <c r="BW83" s="131" t="n"/>
      <c r="BX83" s="258" t="n">
        <v>5867</v>
      </c>
      <c r="BY83" s="258" t="n">
        <v>6475</v>
      </c>
      <c r="BZ83" s="258" t="n">
        <v>8085</v>
      </c>
      <c r="CA83" s="258" t="n">
        <v>10319</v>
      </c>
      <c r="CB83" s="258" t="n">
        <v>8847</v>
      </c>
      <c r="CC83" s="258" t="n"/>
      <c r="CD83" s="357" t="inlineStr">
        <is>
          <t>08</t>
        </is>
      </c>
      <c r="CE83" s="131" t="n"/>
      <c r="CF83" s="258" t="n">
        <v>10175</v>
      </c>
      <c r="CG83" s="258" t="n">
        <v>11248</v>
      </c>
      <c r="CH83" s="258" t="n">
        <v>10161</v>
      </c>
      <c r="CI83" s="258" t="n">
        <v>17410</v>
      </c>
      <c r="CJ83" s="258" t="n">
        <v>15672</v>
      </c>
      <c r="CL83" s="357" t="inlineStr">
        <is>
          <t>08</t>
        </is>
      </c>
      <c r="CM83" s="131" t="n"/>
      <c r="CN83" s="258" t="n">
        <v>7760</v>
      </c>
      <c r="CO83" s="258" t="n">
        <v>10549</v>
      </c>
      <c r="CP83" s="258" t="n">
        <v>11863</v>
      </c>
      <c r="CQ83" s="258" t="n">
        <v>16127</v>
      </c>
      <c r="CR83" s="258" t="n">
        <v>13897</v>
      </c>
      <c r="CT83" s="357" t="inlineStr">
        <is>
          <t>08</t>
        </is>
      </c>
      <c r="CU83" s="131" t="n"/>
      <c r="CV83" s="131" t="n">
        <v>9135</v>
      </c>
      <c r="CW83" s="258" t="n"/>
      <c r="CX83" s="258" t="n"/>
      <c r="CY83" s="258" t="n"/>
      <c r="CZ83" s="258" t="n"/>
      <c r="DB83" s="357" t="inlineStr">
        <is>
          <t>08</t>
        </is>
      </c>
      <c r="DC83" s="131" t="n"/>
      <c r="DD83" s="258" t="n">
        <v>11561</v>
      </c>
      <c r="DE83" s="258" t="n"/>
      <c r="DF83" s="258" t="n"/>
      <c r="DG83" s="258" t="n"/>
      <c r="DH83" s="258" t="n"/>
      <c r="DI83" s="258" t="n"/>
      <c r="DJ83" s="357" t="inlineStr">
        <is>
          <t>08</t>
        </is>
      </c>
      <c r="DK83" s="131" t="n">
        <v>0</v>
      </c>
      <c r="DL83" s="258" t="n">
        <v>0</v>
      </c>
      <c r="DM83" s="258" t="n"/>
      <c r="DN83" s="258" t="n"/>
      <c r="DO83" s="258" t="n"/>
      <c r="DP83" s="258" t="n"/>
      <c r="DR83" s="357" t="inlineStr">
        <is>
          <t>08</t>
        </is>
      </c>
      <c r="DS83" s="131" t="n"/>
      <c r="DT83" s="258" t="n">
        <v>8405</v>
      </c>
      <c r="DU83" s="258" t="n"/>
      <c r="DV83" s="258" t="n"/>
      <c r="DW83" s="258" t="n"/>
      <c r="DX83" s="258" t="n"/>
      <c r="DZ83" s="357" t="inlineStr">
        <is>
          <t>08</t>
        </is>
      </c>
      <c r="EA83" s="131" t="n"/>
      <c r="EB83" s="258" t="n">
        <v>5052</v>
      </c>
      <c r="EC83" s="258" t="n"/>
      <c r="ED83" s="258" t="n"/>
      <c r="EE83" s="258" t="n"/>
      <c r="EF83" s="258" t="n"/>
    </row>
    <row r="84">
      <c r="B84" s="357" t="inlineStr">
        <is>
          <t>09</t>
        </is>
      </c>
      <c r="C84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4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84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84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84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84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84" s="258" t="n"/>
      <c r="J84" s="357" t="inlineStr">
        <is>
          <t>09</t>
        </is>
      </c>
      <c r="K84" s="131" t="n"/>
      <c r="L84" s="131" t="n">
        <v>9037</v>
      </c>
      <c r="M84" s="258" t="n">
        <v>10294</v>
      </c>
      <c r="N84" s="258" t="n">
        <v>11364</v>
      </c>
      <c r="O84" s="258" t="n">
        <v>13995</v>
      </c>
      <c r="P84" s="258" t="n">
        <v>13786</v>
      </c>
      <c r="R84" s="357" t="inlineStr">
        <is>
          <t>09</t>
        </is>
      </c>
      <c r="S84" s="131" t="n"/>
      <c r="T84" s="258" t="n">
        <v>4417</v>
      </c>
      <c r="U84" s="258" t="n">
        <v>4750</v>
      </c>
      <c r="V84" s="258" t="n">
        <v>5681</v>
      </c>
      <c r="W84" s="258" t="n">
        <v>7858</v>
      </c>
      <c r="X84" s="258" t="n">
        <v>7142</v>
      </c>
      <c r="Z84" s="357" t="inlineStr">
        <is>
          <t>09</t>
        </is>
      </c>
      <c r="AA84" s="131" t="n"/>
      <c r="AB84" s="258" t="n">
        <v>4898</v>
      </c>
      <c r="AC84" s="258" t="n">
        <v>6244</v>
      </c>
      <c r="AD84" s="258" t="n">
        <v>6805</v>
      </c>
      <c r="AE84" s="258" t="n">
        <v>9111</v>
      </c>
      <c r="AF84" s="258" t="n">
        <v>7762</v>
      </c>
      <c r="AH84" s="357" t="inlineStr">
        <is>
          <t>09</t>
        </is>
      </c>
      <c r="AI84" s="131" t="n"/>
      <c r="AJ84" s="131" t="n">
        <v>7583</v>
      </c>
      <c r="AK84" s="258" t="n">
        <v>8975</v>
      </c>
      <c r="AL84" s="258" t="n">
        <v>9680</v>
      </c>
      <c r="AM84" s="258" t="n">
        <v>12106</v>
      </c>
      <c r="AN84" s="258" t="n">
        <v>11792</v>
      </c>
      <c r="AP84" s="357" t="inlineStr">
        <is>
          <t>09</t>
        </is>
      </c>
      <c r="AQ84" s="131" t="n"/>
      <c r="AR84" s="131" t="n">
        <v>9215</v>
      </c>
      <c r="AS84" s="258" t="n">
        <v>10258</v>
      </c>
      <c r="AT84" s="258" t="n">
        <v>11488</v>
      </c>
      <c r="AU84" s="258" t="n">
        <v>13738</v>
      </c>
      <c r="AV84" s="258" t="n"/>
      <c r="AX84" s="357" t="inlineStr">
        <is>
          <t>09</t>
        </is>
      </c>
      <c r="AY84" s="131" t="n"/>
      <c r="AZ84" s="258" t="n">
        <v>4130</v>
      </c>
      <c r="BA84" s="258" t="n">
        <v>3825</v>
      </c>
      <c r="BB84" s="258" t="n">
        <v>5807</v>
      </c>
      <c r="BC84" s="258" t="n">
        <v>6680</v>
      </c>
      <c r="BD84" s="258" t="n"/>
      <c r="BE84" s="258" t="n"/>
      <c r="BF84" s="357" t="inlineStr">
        <is>
          <t>09</t>
        </is>
      </c>
      <c r="BG84" s="131" t="n"/>
      <c r="BH84" s="258" t="n">
        <v>4120</v>
      </c>
      <c r="BI84" s="258" t="n">
        <v>4684</v>
      </c>
      <c r="BJ84" s="258" t="n"/>
      <c r="BK84" s="258" t="n"/>
      <c r="BL84" s="258" t="n"/>
      <c r="BM84" s="258" t="n"/>
      <c r="BN84" s="357" t="inlineStr">
        <is>
          <t>09</t>
        </is>
      </c>
      <c r="BO84" s="131" t="n"/>
      <c r="BP84" s="258" t="n">
        <v>6091</v>
      </c>
      <c r="BQ84" s="258" t="n">
        <v>6857</v>
      </c>
      <c r="BR84" s="258" t="n">
        <v>7501</v>
      </c>
      <c r="BS84" s="258" t="n">
        <v>9252</v>
      </c>
      <c r="BT84" s="258" t="n">
        <v>8543</v>
      </c>
      <c r="BV84" s="357" t="inlineStr">
        <is>
          <t>09</t>
        </is>
      </c>
      <c r="BW84" s="131" t="n"/>
      <c r="BX84" s="258" t="n">
        <v>3840</v>
      </c>
      <c r="BY84" s="258" t="n">
        <v>3127</v>
      </c>
      <c r="BZ84" s="258" t="n">
        <v>5862</v>
      </c>
      <c r="CA84" s="258" t="n">
        <v>7288</v>
      </c>
      <c r="CB84" s="258" t="n">
        <v>6418</v>
      </c>
      <c r="CC84" s="258" t="n"/>
      <c r="CD84" s="357" t="inlineStr">
        <is>
          <t>09</t>
        </is>
      </c>
      <c r="CE84" s="131" t="n"/>
      <c r="CF84" s="258" t="n">
        <v>6636</v>
      </c>
      <c r="CG84" s="258" t="n">
        <v>7676</v>
      </c>
      <c r="CH84" s="258" t="n">
        <v>5851</v>
      </c>
      <c r="CI84" s="258" t="n">
        <v>11577</v>
      </c>
      <c r="CJ84" s="258" t="n">
        <v>11182</v>
      </c>
      <c r="CL84" s="357" t="inlineStr">
        <is>
          <t>09</t>
        </is>
      </c>
      <c r="CM84" s="131" t="n"/>
      <c r="CN84" s="258" t="n">
        <v>7328</v>
      </c>
      <c r="CO84" s="258" t="n">
        <v>9319</v>
      </c>
      <c r="CP84" s="258" t="n">
        <v>9278</v>
      </c>
      <c r="CQ84" s="258" t="n">
        <v>13750</v>
      </c>
      <c r="CR84" s="258" t="n">
        <v>12133</v>
      </c>
      <c r="CT84" s="357" t="inlineStr">
        <is>
          <t>09</t>
        </is>
      </c>
      <c r="CU84" s="131" t="n"/>
      <c r="CV84" s="131" t="n">
        <v>8755</v>
      </c>
      <c r="CW84" s="258" t="n"/>
      <c r="CX84" s="258" t="n"/>
      <c r="CY84" s="258" t="n"/>
      <c r="CZ84" s="258" t="n"/>
      <c r="DB84" s="357" t="inlineStr">
        <is>
          <t>09</t>
        </is>
      </c>
      <c r="DC84" s="131" t="n"/>
      <c r="DD84" s="258" t="n">
        <v>10722</v>
      </c>
      <c r="DE84" s="258" t="n"/>
      <c r="DF84" s="258" t="n"/>
      <c r="DG84" s="258" t="n"/>
      <c r="DH84" s="258" t="n"/>
      <c r="DI84" s="258" t="n"/>
      <c r="DJ84" s="357" t="inlineStr">
        <is>
          <t>09</t>
        </is>
      </c>
      <c r="DK84" s="131" t="n">
        <v>0</v>
      </c>
      <c r="DL84" s="258" t="n">
        <v>0</v>
      </c>
      <c r="DM84" s="258" t="n"/>
      <c r="DN84" s="258" t="n"/>
      <c r="DO84" s="258" t="n"/>
      <c r="DP84" s="258" t="n"/>
      <c r="DR84" s="357" t="inlineStr">
        <is>
          <t>09</t>
        </is>
      </c>
      <c r="DS84" s="131" t="n"/>
      <c r="DT84" s="258" t="n">
        <v>8714</v>
      </c>
      <c r="DU84" s="258" t="n"/>
      <c r="DV84" s="258" t="n"/>
      <c r="DW84" s="258" t="n"/>
      <c r="DX84" s="258" t="n"/>
      <c r="DZ84" s="357" t="inlineStr">
        <is>
          <t>09</t>
        </is>
      </c>
      <c r="EA84" s="131" t="n"/>
      <c r="EB84" s="258" t="n">
        <v>3827</v>
      </c>
      <c r="EC84" s="258" t="n"/>
      <c r="ED84" s="258" t="n"/>
      <c r="EE84" s="258" t="n"/>
      <c r="EF84" s="258" t="n"/>
    </row>
    <row r="85">
      <c r="B85" s="357" t="inlineStr">
        <is>
          <t>10</t>
        </is>
      </c>
      <c r="C85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5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85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85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85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85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85" s="258" t="n"/>
      <c r="J85" s="357" t="inlineStr">
        <is>
          <t>10</t>
        </is>
      </c>
      <c r="K85" s="131" t="n"/>
      <c r="L85" s="131" t="n">
        <v>9746</v>
      </c>
      <c r="M85" s="258" t="n">
        <v>10500</v>
      </c>
      <c r="N85" s="258" t="n">
        <v>12360</v>
      </c>
      <c r="O85" s="258" t="n">
        <v>15044</v>
      </c>
      <c r="P85" s="258" t="n">
        <v>14169</v>
      </c>
      <c r="R85" s="357" t="inlineStr">
        <is>
          <t>10</t>
        </is>
      </c>
      <c r="S85" s="131" t="n"/>
      <c r="T85" s="258" t="n">
        <v>4649</v>
      </c>
      <c r="U85" s="258" t="n">
        <v>4891</v>
      </c>
      <c r="V85" s="258" t="n">
        <v>6172</v>
      </c>
      <c r="W85" s="258" t="n">
        <v>8003</v>
      </c>
      <c r="X85" s="258" t="n">
        <v>7719</v>
      </c>
      <c r="Z85" s="357" t="inlineStr">
        <is>
          <t>10</t>
        </is>
      </c>
      <c r="AA85" s="131" t="n"/>
      <c r="AB85" s="258" t="n">
        <v>5189</v>
      </c>
      <c r="AC85" s="258" t="n">
        <v>5960</v>
      </c>
      <c r="AD85" s="258" t="n">
        <v>7627</v>
      </c>
      <c r="AE85" s="258" t="n">
        <v>9295</v>
      </c>
      <c r="AF85" s="258" t="n">
        <v>7852</v>
      </c>
      <c r="AH85" s="357" t="inlineStr">
        <is>
          <t>10</t>
        </is>
      </c>
      <c r="AI85" s="131" t="n"/>
      <c r="AJ85" s="131" t="n">
        <v>7941</v>
      </c>
      <c r="AK85" s="258" t="n">
        <v>9255</v>
      </c>
      <c r="AL85" s="258" t="n">
        <v>10446</v>
      </c>
      <c r="AM85" s="258" t="n">
        <v>12336</v>
      </c>
      <c r="AN85" s="258" t="n">
        <v>12626</v>
      </c>
      <c r="AP85" s="357" t="inlineStr">
        <is>
          <t>10</t>
        </is>
      </c>
      <c r="AQ85" s="131" t="n"/>
      <c r="AR85" s="131" t="n">
        <v>9875</v>
      </c>
      <c r="AS85" s="258" t="n">
        <v>10416</v>
      </c>
      <c r="AT85" s="258" t="n">
        <v>12198</v>
      </c>
      <c r="AU85" s="258" t="n">
        <v>13913</v>
      </c>
      <c r="AV85" s="258" t="n"/>
      <c r="AX85" s="357" t="inlineStr">
        <is>
          <t>10</t>
        </is>
      </c>
      <c r="AY85" s="131" t="n"/>
      <c r="AZ85" s="258" t="n">
        <v>4282</v>
      </c>
      <c r="BA85" s="258" t="n">
        <v>4071</v>
      </c>
      <c r="BB85" s="258" t="n">
        <v>6039</v>
      </c>
      <c r="BC85" s="258" t="n">
        <v>7300</v>
      </c>
      <c r="BD85" s="258" t="n"/>
      <c r="BE85" s="258" t="n"/>
      <c r="BF85" s="357" t="inlineStr">
        <is>
          <t>10</t>
        </is>
      </c>
      <c r="BG85" s="131" t="n"/>
      <c r="BH85" s="258" t="n">
        <v>4172</v>
      </c>
      <c r="BI85" s="258" t="n">
        <v>5468</v>
      </c>
      <c r="BJ85" s="258" t="n"/>
      <c r="BK85" s="258" t="n"/>
      <c r="BL85" s="258" t="n"/>
      <c r="BM85" s="258" t="n"/>
      <c r="BN85" s="357" t="inlineStr">
        <is>
          <t>10</t>
        </is>
      </c>
      <c r="BO85" s="131" t="n"/>
      <c r="BP85" s="258" t="n">
        <v>6365</v>
      </c>
      <c r="BQ85" s="258" t="n">
        <v>7014</v>
      </c>
      <c r="BR85" s="258" t="n">
        <v>7904</v>
      </c>
      <c r="BS85" s="258" t="n">
        <v>9403</v>
      </c>
      <c r="BT85" s="258" t="n">
        <v>9202</v>
      </c>
      <c r="BV85" s="357" t="inlineStr">
        <is>
          <t>10</t>
        </is>
      </c>
      <c r="BW85" s="131" t="n"/>
      <c r="BX85" s="258" t="n">
        <v>4452</v>
      </c>
      <c r="BY85" s="258" t="n">
        <v>4699</v>
      </c>
      <c r="BZ85" s="258" t="n">
        <v>5927</v>
      </c>
      <c r="CA85" s="258" t="n">
        <v>7107</v>
      </c>
      <c r="CB85" s="258" t="n">
        <v>6691</v>
      </c>
      <c r="CC85" s="258" t="n"/>
      <c r="CD85" s="357" t="inlineStr">
        <is>
          <t>10</t>
        </is>
      </c>
      <c r="CE85" s="131" t="n"/>
      <c r="CF85" s="258" t="n">
        <v>6939</v>
      </c>
      <c r="CG85" s="258" t="n">
        <v>8548</v>
      </c>
      <c r="CH85" s="258" t="n">
        <v>7037</v>
      </c>
      <c r="CI85" s="258" t="n">
        <v>11263</v>
      </c>
      <c r="CJ85" s="258" t="n">
        <v>11253</v>
      </c>
      <c r="CL85" s="357" t="inlineStr">
        <is>
          <t>10</t>
        </is>
      </c>
      <c r="CM85" s="131" t="n"/>
      <c r="CN85" s="258" t="n">
        <v>7465</v>
      </c>
      <c r="CO85" s="258" t="n">
        <v>9891</v>
      </c>
      <c r="CP85" s="258" t="n">
        <v>8316</v>
      </c>
      <c r="CQ85" s="258" t="n">
        <v>13414</v>
      </c>
      <c r="CR85" s="258" t="n">
        <v>12774</v>
      </c>
      <c r="CT85" s="357" t="inlineStr">
        <is>
          <t>10</t>
        </is>
      </c>
      <c r="CU85" s="131" t="n"/>
      <c r="CV85" s="131" t="n">
        <v>9232</v>
      </c>
      <c r="CW85" s="258" t="n"/>
      <c r="CX85" s="258" t="n"/>
      <c r="CY85" s="258" t="n"/>
      <c r="CZ85" s="258" t="n"/>
      <c r="DB85" s="357" t="inlineStr">
        <is>
          <t>10</t>
        </is>
      </c>
      <c r="DC85" s="131" t="n"/>
      <c r="DD85" s="258" t="n">
        <v>11395</v>
      </c>
      <c r="DE85" s="258" t="n"/>
      <c r="DF85" s="258" t="n"/>
      <c r="DG85" s="258" t="n"/>
      <c r="DH85" s="258" t="n"/>
      <c r="DI85" s="258" t="n"/>
      <c r="DJ85" s="357" t="inlineStr">
        <is>
          <t>10</t>
        </is>
      </c>
      <c r="DK85" s="131" t="n">
        <v>0</v>
      </c>
      <c r="DL85" s="258" t="n">
        <v>0</v>
      </c>
      <c r="DM85" s="258" t="n"/>
      <c r="DN85" s="258" t="n"/>
      <c r="DO85" s="258" t="n"/>
      <c r="DP85" s="258" t="n"/>
      <c r="DR85" s="357" t="inlineStr">
        <is>
          <t>10</t>
        </is>
      </c>
      <c r="DS85" s="131" t="n"/>
      <c r="DT85" s="258" t="n">
        <v>9007</v>
      </c>
      <c r="DU85" s="258" t="n"/>
      <c r="DV85" s="258" t="n"/>
      <c r="DW85" s="258" t="n"/>
      <c r="DX85" s="258" t="n"/>
      <c r="DZ85" s="357" t="inlineStr">
        <is>
          <t>10</t>
        </is>
      </c>
      <c r="EA85" s="131" t="n"/>
      <c r="EB85" s="258" t="n">
        <v>4005</v>
      </c>
      <c r="EC85" s="258" t="n"/>
      <c r="ED85" s="258" t="n"/>
      <c r="EE85" s="258" t="n"/>
      <c r="EF85" s="258" t="n"/>
    </row>
    <row r="86">
      <c r="B86" s="357" t="inlineStr">
        <is>
          <t>11</t>
        </is>
      </c>
      <c r="C86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6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86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86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86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86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86" s="258" t="n"/>
      <c r="J86" s="357" t="inlineStr">
        <is>
          <t>11</t>
        </is>
      </c>
      <c r="K86" s="131" t="n"/>
      <c r="L86" s="131" t="n">
        <v>9807</v>
      </c>
      <c r="M86" s="258" t="n">
        <v>9934</v>
      </c>
      <c r="N86" s="258" t="n">
        <v>11960</v>
      </c>
      <c r="O86" s="258" t="n">
        <v>13669</v>
      </c>
      <c r="P86" s="258" t="n">
        <v>15114</v>
      </c>
      <c r="R86" s="357" t="inlineStr">
        <is>
          <t>11</t>
        </is>
      </c>
      <c r="S86" s="131" t="n"/>
      <c r="T86" s="258" t="n">
        <v>4449</v>
      </c>
      <c r="U86" s="258" t="n">
        <v>4805</v>
      </c>
      <c r="V86" s="258" t="n">
        <v>6077</v>
      </c>
      <c r="W86" s="258" t="n">
        <v>7249</v>
      </c>
      <c r="X86" s="258" t="n">
        <v>8741</v>
      </c>
      <c r="Z86" s="357" t="inlineStr">
        <is>
          <t>11</t>
        </is>
      </c>
      <c r="AA86" s="131" t="n"/>
      <c r="AB86" s="258" t="n">
        <v>4928</v>
      </c>
      <c r="AC86" s="258" t="n">
        <v>5995</v>
      </c>
      <c r="AD86" s="258" t="n">
        <v>7305</v>
      </c>
      <c r="AE86" s="258" t="n">
        <v>8479</v>
      </c>
      <c r="AF86" s="258" t="n">
        <v>9069</v>
      </c>
      <c r="AH86" s="357" t="inlineStr">
        <is>
          <t>11</t>
        </is>
      </c>
      <c r="AI86" s="131" t="n"/>
      <c r="AJ86" s="131" t="n">
        <v>7300</v>
      </c>
      <c r="AK86" s="258" t="n">
        <v>8425</v>
      </c>
      <c r="AL86" s="258" t="n">
        <v>9688</v>
      </c>
      <c r="AM86" s="258" t="n">
        <v>11562</v>
      </c>
      <c r="AN86" s="258" t="n">
        <v>14192</v>
      </c>
      <c r="AP86" s="357" t="inlineStr">
        <is>
          <t>11</t>
        </is>
      </c>
      <c r="AQ86" s="131" t="n"/>
      <c r="AR86" s="131" t="n">
        <v>9850</v>
      </c>
      <c r="AS86" s="258" t="n">
        <v>9800</v>
      </c>
      <c r="AT86" s="258" t="n">
        <v>11329</v>
      </c>
      <c r="AU86" s="258" t="n">
        <v>12930</v>
      </c>
      <c r="AV86" s="258" t="n"/>
      <c r="AX86" s="357" t="inlineStr">
        <is>
          <t>11</t>
        </is>
      </c>
      <c r="AY86" s="131" t="n"/>
      <c r="AZ86" s="258" t="n">
        <v>4272</v>
      </c>
      <c r="BA86" s="258" t="n">
        <v>4041</v>
      </c>
      <c r="BB86" s="258" t="n">
        <v>5757</v>
      </c>
      <c r="BC86" s="258" t="n">
        <v>6740</v>
      </c>
      <c r="BD86" s="258" t="n"/>
      <c r="BE86" s="258" t="n"/>
      <c r="BF86" s="357" t="inlineStr">
        <is>
          <t>11</t>
        </is>
      </c>
      <c r="BG86" s="131" t="n"/>
      <c r="BH86" s="258" t="n">
        <v>4044</v>
      </c>
      <c r="BI86" s="258" t="n">
        <v>5322</v>
      </c>
      <c r="BJ86" s="258" t="n"/>
      <c r="BK86" s="258" t="n"/>
      <c r="BL86" s="258" t="n"/>
      <c r="BM86" s="258" t="n"/>
      <c r="BN86" s="357" t="inlineStr">
        <is>
          <t>11</t>
        </is>
      </c>
      <c r="BO86" s="131" t="n"/>
      <c r="BP86" s="258" t="n">
        <v>6232</v>
      </c>
      <c r="BQ86" s="258" t="n">
        <v>6667</v>
      </c>
      <c r="BR86" s="258" t="n">
        <v>7355</v>
      </c>
      <c r="BS86" s="258" t="n">
        <v>8732</v>
      </c>
      <c r="BT86" s="258" t="n">
        <v>10963</v>
      </c>
      <c r="BV86" s="357" t="inlineStr">
        <is>
          <t>11</t>
        </is>
      </c>
      <c r="BW86" s="131" t="n"/>
      <c r="BX86" s="258" t="n">
        <v>4158</v>
      </c>
      <c r="BY86" s="258" t="n">
        <v>4352</v>
      </c>
      <c r="BZ86" s="258" t="n">
        <v>5317</v>
      </c>
      <c r="CA86" s="258" t="n">
        <v>6591</v>
      </c>
      <c r="CB86" s="258" t="n">
        <v>7106</v>
      </c>
      <c r="CC86" s="258" t="n"/>
      <c r="CD86" s="357" t="inlineStr">
        <is>
          <t>11</t>
        </is>
      </c>
      <c r="CE86" s="131" t="n"/>
      <c r="CF86" s="258" t="n">
        <v>6672</v>
      </c>
      <c r="CG86" s="258" t="n">
        <v>7847</v>
      </c>
      <c r="CH86" s="258" t="n">
        <v>6359</v>
      </c>
      <c r="CI86" s="258" t="n">
        <v>11030</v>
      </c>
      <c r="CJ86" s="258" t="n">
        <v>11489</v>
      </c>
      <c r="CL86" s="357" t="inlineStr">
        <is>
          <t>11</t>
        </is>
      </c>
      <c r="CM86" s="131" t="n"/>
      <c r="CN86" s="258" t="n">
        <v>7108</v>
      </c>
      <c r="CO86" s="258" t="n">
        <v>9213</v>
      </c>
      <c r="CP86" s="258" t="n">
        <v>10291</v>
      </c>
      <c r="CQ86" s="258" t="n">
        <v>12610</v>
      </c>
      <c r="CR86" s="258" t="n">
        <v>14107</v>
      </c>
      <c r="CT86" s="357" t="inlineStr">
        <is>
          <t>11</t>
        </is>
      </c>
      <c r="CU86" s="131" t="n"/>
      <c r="CV86" s="131" t="n">
        <v>8991</v>
      </c>
      <c r="CW86" s="258" t="n"/>
      <c r="CX86" s="258" t="n"/>
      <c r="CY86" s="258" t="n"/>
      <c r="CZ86" s="258" t="n"/>
      <c r="DB86" s="357" t="inlineStr">
        <is>
          <t>11</t>
        </is>
      </c>
      <c r="DC86" s="131" t="n"/>
      <c r="DD86" s="258" t="n">
        <v>11017</v>
      </c>
      <c r="DE86" s="258" t="n"/>
      <c r="DF86" s="258" t="n"/>
      <c r="DG86" s="258" t="n"/>
      <c r="DH86" s="258" t="n"/>
      <c r="DI86" s="258" t="n"/>
      <c r="DJ86" s="357" t="inlineStr">
        <is>
          <t>11</t>
        </is>
      </c>
      <c r="DK86" s="131" t="n">
        <v>0</v>
      </c>
      <c r="DL86" s="258" t="n">
        <v>0</v>
      </c>
      <c r="DM86" s="258" t="n"/>
      <c r="DN86" s="258" t="n"/>
      <c r="DO86" s="258" t="n"/>
      <c r="DP86" s="258" t="n"/>
      <c r="DR86" s="357" t="inlineStr">
        <is>
          <t>11</t>
        </is>
      </c>
      <c r="DS86" s="131" t="n"/>
      <c r="DT86" s="258" t="n">
        <v>8830</v>
      </c>
      <c r="DU86" s="258" t="n"/>
      <c r="DV86" s="258" t="n"/>
      <c r="DW86" s="258" t="n"/>
      <c r="DX86" s="258" t="n"/>
      <c r="DZ86" s="357" t="inlineStr">
        <is>
          <t>11</t>
        </is>
      </c>
      <c r="EA86" s="131" t="n"/>
      <c r="EB86" s="258" t="n">
        <v>3853</v>
      </c>
      <c r="EC86" s="258" t="n"/>
      <c r="ED86" s="258" t="n"/>
      <c r="EE86" s="258" t="n"/>
      <c r="EF86" s="258" t="n"/>
    </row>
    <row r="87">
      <c r="B87" s="357" t="inlineStr">
        <is>
          <t>12</t>
        </is>
      </c>
      <c r="C87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7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87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87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87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87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87" s="258" t="n"/>
      <c r="J87" s="357" t="inlineStr">
        <is>
          <t>12</t>
        </is>
      </c>
      <c r="K87" s="131" t="n"/>
      <c r="L87" s="131" t="n">
        <v>9634</v>
      </c>
      <c r="M87" s="258" t="n">
        <v>10074</v>
      </c>
      <c r="N87" s="258" t="n">
        <v>12352</v>
      </c>
      <c r="O87" s="258" t="n">
        <v>13942</v>
      </c>
      <c r="P87" s="258" t="n">
        <v>16787</v>
      </c>
      <c r="R87" s="357" t="inlineStr">
        <is>
          <t>12</t>
        </is>
      </c>
      <c r="S87" s="131" t="n">
        <v>4424</v>
      </c>
      <c r="T87" s="258" t="n">
        <v>4424</v>
      </c>
      <c r="U87" s="258" t="n">
        <v>4823</v>
      </c>
      <c r="V87" s="258" t="n">
        <v>6169</v>
      </c>
      <c r="W87" s="258" t="n">
        <v>7430</v>
      </c>
      <c r="X87" s="258" t="n">
        <v>10275</v>
      </c>
      <c r="Z87" s="357" t="inlineStr">
        <is>
          <t>12</t>
        </is>
      </c>
      <c r="AA87" s="131" t="n"/>
      <c r="AB87" s="258" t="n">
        <v>5022</v>
      </c>
      <c r="AC87" s="258" t="n">
        <v>5461</v>
      </c>
      <c r="AD87" s="258" t="n">
        <v>6933</v>
      </c>
      <c r="AE87" s="258" t="n">
        <v>8269</v>
      </c>
      <c r="AF87" s="258" t="n">
        <v>9968</v>
      </c>
      <c r="AH87" s="357" t="inlineStr">
        <is>
          <t>12</t>
        </is>
      </c>
      <c r="AI87" s="131" t="n"/>
      <c r="AJ87" s="131" t="n">
        <v>7214</v>
      </c>
      <c r="AK87" s="258" t="n">
        <v>8294</v>
      </c>
      <c r="AL87" s="258" t="n">
        <v>9391</v>
      </c>
      <c r="AM87" s="258" t="n">
        <v>11824</v>
      </c>
      <c r="AN87" s="258" t="n">
        <v>15229</v>
      </c>
      <c r="AP87" s="357" t="inlineStr">
        <is>
          <t>12</t>
        </is>
      </c>
      <c r="AQ87" s="131" t="n"/>
      <c r="AR87" s="131" t="n">
        <v>10264</v>
      </c>
      <c r="AS87" s="258" t="n">
        <v>10593</v>
      </c>
      <c r="AT87" s="258" t="n">
        <v>12168</v>
      </c>
      <c r="AU87" s="258" t="n">
        <v>13675</v>
      </c>
      <c r="AV87" s="258" t="n"/>
      <c r="AX87" s="357" t="inlineStr">
        <is>
          <t>12</t>
        </is>
      </c>
      <c r="AY87" s="131" t="n"/>
      <c r="AZ87" s="258" t="n">
        <v>4249</v>
      </c>
      <c r="BA87" s="258" t="n">
        <v>4408</v>
      </c>
      <c r="BB87" s="258" t="n">
        <v>5838</v>
      </c>
      <c r="BC87" s="258" t="n">
        <v>6751</v>
      </c>
      <c r="BD87" s="258" t="n"/>
      <c r="BE87" s="258" t="n"/>
      <c r="BF87" s="357" t="inlineStr">
        <is>
          <t>12</t>
        </is>
      </c>
      <c r="BG87" s="131" t="n"/>
      <c r="BH87" s="258" t="n">
        <v>4122</v>
      </c>
      <c r="BI87" s="258" t="n">
        <v>5172</v>
      </c>
      <c r="BJ87" s="258" t="n"/>
      <c r="BK87" s="258" t="n"/>
      <c r="BL87" s="258" t="n"/>
      <c r="BM87" s="258" t="n"/>
      <c r="BN87" s="357" t="inlineStr">
        <is>
          <t>12</t>
        </is>
      </c>
      <c r="BO87" s="131" t="n"/>
      <c r="BP87" s="258" t="n">
        <v>6212</v>
      </c>
      <c r="BQ87" s="258" t="n">
        <v>6752</v>
      </c>
      <c r="BR87" s="258" t="n">
        <v>7677</v>
      </c>
      <c r="BS87" s="258" t="n">
        <v>8959</v>
      </c>
      <c r="BT87" s="258" t="n">
        <v>12079</v>
      </c>
      <c r="BV87" s="357" t="inlineStr">
        <is>
          <t>12</t>
        </is>
      </c>
      <c r="BW87" s="131" t="n"/>
      <c r="BX87" s="258" t="n">
        <v>4230</v>
      </c>
      <c r="BY87" s="258" t="n">
        <v>4252</v>
      </c>
      <c r="BZ87" s="258" t="n">
        <v>5117</v>
      </c>
      <c r="CA87" s="258" t="n">
        <v>6591</v>
      </c>
      <c r="CB87" s="258" t="n">
        <v>9016</v>
      </c>
      <c r="CC87" s="258" t="n"/>
      <c r="CD87" s="357" t="inlineStr">
        <is>
          <t>12</t>
        </is>
      </c>
      <c r="CE87" s="131" t="n"/>
      <c r="CF87" s="258" t="n">
        <v>6292</v>
      </c>
      <c r="CG87" s="258" t="n">
        <v>7566</v>
      </c>
      <c r="CH87" s="258" t="n">
        <v>6892</v>
      </c>
      <c r="CI87" s="258" t="n">
        <v>9969</v>
      </c>
      <c r="CJ87" s="258" t="n">
        <v>13520</v>
      </c>
      <c r="CL87" s="357" t="inlineStr">
        <is>
          <t>12</t>
        </is>
      </c>
      <c r="CM87" s="131" t="n"/>
      <c r="CN87" s="258" t="n">
        <v>7461</v>
      </c>
      <c r="CO87" s="258" t="n">
        <v>8081</v>
      </c>
      <c r="CP87" s="258" t="n">
        <v>10671</v>
      </c>
      <c r="CQ87" s="258" t="n">
        <v>12914</v>
      </c>
      <c r="CR87" s="258" t="n">
        <v>16447</v>
      </c>
      <c r="CT87" s="357" t="inlineStr">
        <is>
          <t>12</t>
        </is>
      </c>
      <c r="CU87" s="131" t="n"/>
      <c r="CV87" s="131" t="n">
        <v>8837</v>
      </c>
      <c r="CW87" s="258" t="n"/>
      <c r="CX87" s="258" t="n"/>
      <c r="CY87" s="258" t="n"/>
      <c r="CZ87" s="258" t="n"/>
      <c r="DB87" s="357" t="inlineStr">
        <is>
          <t>12</t>
        </is>
      </c>
      <c r="DC87" s="131" t="n"/>
      <c r="DD87" s="258" t="n">
        <v>11558</v>
      </c>
      <c r="DE87" s="258" t="n"/>
      <c r="DF87" s="258" t="n"/>
      <c r="DG87" s="258" t="n"/>
      <c r="DH87" s="258" t="n"/>
      <c r="DI87" s="258" t="n"/>
      <c r="DJ87" s="357" t="inlineStr">
        <is>
          <t>12</t>
        </is>
      </c>
      <c r="DK87" s="131" t="n">
        <v>0</v>
      </c>
      <c r="DL87" s="258" t="n">
        <v>0</v>
      </c>
      <c r="DM87" s="258" t="n"/>
      <c r="DN87" s="258" t="n"/>
      <c r="DO87" s="258" t="n"/>
      <c r="DP87" s="258" t="n"/>
      <c r="DR87" s="357" t="inlineStr">
        <is>
          <t>12</t>
        </is>
      </c>
      <c r="DS87" s="131" t="n"/>
      <c r="DT87" s="258" t="n">
        <v>8967</v>
      </c>
      <c r="DU87" s="258" t="n"/>
      <c r="DV87" s="258" t="n"/>
      <c r="DW87" s="258" t="n"/>
      <c r="DX87" s="258" t="n"/>
      <c r="DZ87" s="357" t="inlineStr">
        <is>
          <t>12</t>
        </is>
      </c>
      <c r="EA87" s="131" t="n"/>
      <c r="EB87" s="258" t="n">
        <v>3881</v>
      </c>
      <c r="EC87" s="258" t="n"/>
      <c r="ED87" s="258" t="n"/>
      <c r="EE87" s="258" t="n"/>
      <c r="EF87" s="258" t="n"/>
    </row>
    <row r="89" ht="15.75" customHeight="1" s="161">
      <c r="B89" s="355" t="inlineStr">
        <is>
          <t>Global</t>
        </is>
      </c>
      <c r="J89" s="355" t="inlineStr">
        <is>
          <t>GLR5</t>
        </is>
      </c>
      <c r="R89" s="355" t="inlineStr">
        <is>
          <t>HTR8</t>
        </is>
      </c>
      <c r="Z89" s="355" t="inlineStr">
        <is>
          <t>TIRR</t>
        </is>
      </c>
      <c r="AH89" s="355" t="inlineStr">
        <is>
          <t>VR7</t>
        </is>
      </c>
      <c r="AP89" s="355" t="inlineStr">
        <is>
          <t>TURVILLA</t>
        </is>
      </c>
      <c r="AX89" s="355" t="inlineStr">
        <is>
          <t>HART</t>
        </is>
      </c>
      <c r="BF89" s="355" t="inlineStr">
        <is>
          <t>VICTOIRE</t>
        </is>
      </c>
      <c r="BN89" s="355" t="inlineStr">
        <is>
          <t>TH4</t>
        </is>
      </c>
      <c r="BV89" s="355" t="inlineStr">
        <is>
          <t>TL DIVES</t>
        </is>
      </c>
      <c r="CD89" s="355" t="inlineStr">
        <is>
          <t>R3 14</t>
        </is>
      </c>
      <c r="CL89" s="355" t="inlineStr">
        <is>
          <t>LYSE</t>
        </is>
      </c>
      <c r="CT89" s="355" t="inlineStr">
        <is>
          <t>ARTHUR</t>
        </is>
      </c>
      <c r="DB89" s="355" t="inlineStr">
        <is>
          <t>HUGO</t>
        </is>
      </c>
      <c r="DJ89" s="355" t="inlineStr">
        <is>
          <t>JEANCLO</t>
        </is>
      </c>
      <c r="DR89" s="355" t="inlineStr">
        <is>
          <t>THOMAS</t>
        </is>
      </c>
      <c r="DZ89" s="355" t="inlineStr">
        <is>
          <t>CATALINA</t>
        </is>
      </c>
    </row>
    <row r="91" ht="18.6" customFormat="1" customHeight="1" s="188">
      <c r="A91" s="356" t="inlineStr">
        <is>
          <t>Transactions kiosque</t>
        </is>
      </c>
      <c r="B91" s="186" t="inlineStr">
        <is>
          <t>MOIS</t>
        </is>
      </c>
      <c r="C91" s="187" t="inlineStr">
        <is>
          <t>2024</t>
        </is>
      </c>
      <c r="D91" s="187" t="inlineStr">
        <is>
          <t>2023</t>
        </is>
      </c>
      <c r="E91" s="187" t="inlineStr">
        <is>
          <t>2022</t>
        </is>
      </c>
      <c r="F91" s="187" t="inlineStr">
        <is>
          <t>2021</t>
        </is>
      </c>
      <c r="G91" s="187" t="inlineStr">
        <is>
          <t>2020</t>
        </is>
      </c>
      <c r="H91" s="187" t="inlineStr">
        <is>
          <t>2019</t>
        </is>
      </c>
      <c r="I91" s="187" t="n"/>
      <c r="J91" s="186" t="inlineStr">
        <is>
          <t>MOIS</t>
        </is>
      </c>
      <c r="K91" s="186" t="inlineStr">
        <is>
          <t>2025</t>
        </is>
      </c>
      <c r="L91" s="186" t="inlineStr">
        <is>
          <t>2024</t>
        </is>
      </c>
      <c r="M91" s="186" t="inlineStr">
        <is>
          <t>2023</t>
        </is>
      </c>
      <c r="N91" s="186" t="inlineStr">
        <is>
          <t>2022</t>
        </is>
      </c>
      <c r="O91" s="186" t="inlineStr">
        <is>
          <t>2021</t>
        </is>
      </c>
      <c r="P91" s="186" t="inlineStr">
        <is>
          <t>2020</t>
        </is>
      </c>
      <c r="R91" s="186" t="inlineStr">
        <is>
          <t>MOIS</t>
        </is>
      </c>
      <c r="S91" s="186" t="inlineStr">
        <is>
          <t>2025</t>
        </is>
      </c>
      <c r="T91" s="186" t="inlineStr">
        <is>
          <t>2024</t>
        </is>
      </c>
      <c r="U91" s="186" t="inlineStr">
        <is>
          <t>2023</t>
        </is>
      </c>
      <c r="V91" s="186" t="inlineStr">
        <is>
          <t>2022</t>
        </is>
      </c>
      <c r="W91" s="186" t="inlineStr">
        <is>
          <t>2021</t>
        </is>
      </c>
      <c r="X91" s="186" t="inlineStr">
        <is>
          <t>2020</t>
        </is>
      </c>
      <c r="Z91" s="186" t="inlineStr">
        <is>
          <t>MOIS</t>
        </is>
      </c>
      <c r="AA91" s="186" t="inlineStr">
        <is>
          <t>2025</t>
        </is>
      </c>
      <c r="AB91" s="186" t="inlineStr">
        <is>
          <t>2024</t>
        </is>
      </c>
      <c r="AC91" s="186" t="inlineStr">
        <is>
          <t>2023</t>
        </is>
      </c>
      <c r="AD91" s="186" t="inlineStr">
        <is>
          <t>2022</t>
        </is>
      </c>
      <c r="AE91" s="186" t="inlineStr">
        <is>
          <t>2021</t>
        </is>
      </c>
      <c r="AF91" s="186" t="inlineStr">
        <is>
          <t>2020</t>
        </is>
      </c>
      <c r="AH91" s="186" t="inlineStr">
        <is>
          <t>MOIS</t>
        </is>
      </c>
      <c r="AI91" s="186" t="inlineStr">
        <is>
          <t>2025</t>
        </is>
      </c>
      <c r="AJ91" s="186" t="inlineStr">
        <is>
          <t>2024</t>
        </is>
      </c>
      <c r="AK91" s="186" t="inlineStr">
        <is>
          <t>2023</t>
        </is>
      </c>
      <c r="AL91" s="186" t="inlineStr">
        <is>
          <t>2022</t>
        </is>
      </c>
      <c r="AM91" s="186" t="inlineStr">
        <is>
          <t>2021</t>
        </is>
      </c>
      <c r="AN91" s="186" t="inlineStr">
        <is>
          <t>2020</t>
        </is>
      </c>
      <c r="AP91" s="186" t="inlineStr">
        <is>
          <t>MOIS</t>
        </is>
      </c>
      <c r="AQ91" s="186" t="inlineStr">
        <is>
          <t>2025</t>
        </is>
      </c>
      <c r="AR91" s="186" t="inlineStr">
        <is>
          <t>2024</t>
        </is>
      </c>
      <c r="AS91" s="186" t="inlineStr">
        <is>
          <t>2023</t>
        </is>
      </c>
      <c r="AT91" s="186" t="inlineStr">
        <is>
          <t>2022</t>
        </is>
      </c>
      <c r="AU91" s="186" t="inlineStr">
        <is>
          <t>2021</t>
        </is>
      </c>
      <c r="AV91" s="186" t="inlineStr">
        <is>
          <t>2020</t>
        </is>
      </c>
      <c r="AX91" s="186" t="inlineStr">
        <is>
          <t>MOIS</t>
        </is>
      </c>
      <c r="AY91" s="186" t="inlineStr">
        <is>
          <t>2025</t>
        </is>
      </c>
      <c r="AZ91" s="186" t="inlineStr">
        <is>
          <t>2024</t>
        </is>
      </c>
      <c r="BA91" s="186" t="inlineStr">
        <is>
          <t>2023</t>
        </is>
      </c>
      <c r="BB91" s="186" t="inlineStr">
        <is>
          <t>2022</t>
        </is>
      </c>
      <c r="BC91" s="186" t="inlineStr">
        <is>
          <t>2021</t>
        </is>
      </c>
      <c r="BD91" s="186" t="inlineStr">
        <is>
          <t>2020</t>
        </is>
      </c>
      <c r="BE91" s="187" t="n"/>
      <c r="BF91" s="186" t="inlineStr">
        <is>
          <t>MOIS</t>
        </is>
      </c>
      <c r="BG91" s="186" t="inlineStr">
        <is>
          <t>2025</t>
        </is>
      </c>
      <c r="BH91" s="186" t="inlineStr">
        <is>
          <t>2024</t>
        </is>
      </c>
      <c r="BI91" s="186" t="inlineStr">
        <is>
          <t>2023</t>
        </is>
      </c>
      <c r="BJ91" s="186" t="inlineStr">
        <is>
          <t>2022</t>
        </is>
      </c>
      <c r="BK91" s="186" t="inlineStr">
        <is>
          <t>2021</t>
        </is>
      </c>
      <c r="BL91" s="186" t="inlineStr">
        <is>
          <t>2020</t>
        </is>
      </c>
      <c r="BM91" s="186" t="n"/>
      <c r="BN91" s="186" t="inlineStr">
        <is>
          <t>MOIS</t>
        </is>
      </c>
      <c r="BO91" s="187" t="inlineStr">
        <is>
          <t>2025</t>
        </is>
      </c>
      <c r="BP91" s="187" t="inlineStr">
        <is>
          <t>2024</t>
        </is>
      </c>
      <c r="BQ91" s="187" t="inlineStr">
        <is>
          <t>2023</t>
        </is>
      </c>
      <c r="BR91" s="187" t="inlineStr">
        <is>
          <t>2022</t>
        </is>
      </c>
      <c r="BS91" s="187" t="inlineStr">
        <is>
          <t>2021</t>
        </is>
      </c>
      <c r="BT91" s="187" t="inlineStr">
        <is>
          <t>2020</t>
        </is>
      </c>
      <c r="BV91" s="186" t="inlineStr">
        <is>
          <t>MOIS</t>
        </is>
      </c>
      <c r="BW91" s="187" t="inlineStr">
        <is>
          <t>2025</t>
        </is>
      </c>
      <c r="BX91" s="187" t="inlineStr">
        <is>
          <t>2024</t>
        </is>
      </c>
      <c r="BY91" s="187" t="inlineStr">
        <is>
          <t>2023</t>
        </is>
      </c>
      <c r="BZ91" s="187" t="inlineStr">
        <is>
          <t>2022</t>
        </is>
      </c>
      <c r="CA91" s="187" t="inlineStr">
        <is>
          <t>2021</t>
        </is>
      </c>
      <c r="CB91" s="187" t="inlineStr">
        <is>
          <t>2020</t>
        </is>
      </c>
      <c r="CC91" s="187" t="n"/>
      <c r="CD91" s="186" t="inlineStr">
        <is>
          <t>MOIS</t>
        </is>
      </c>
      <c r="CE91" s="187" t="inlineStr">
        <is>
          <t>2025</t>
        </is>
      </c>
      <c r="CF91" s="187" t="inlineStr">
        <is>
          <t>2024</t>
        </is>
      </c>
      <c r="CG91" s="187" t="inlineStr">
        <is>
          <t>2023</t>
        </is>
      </c>
      <c r="CH91" s="187" t="inlineStr">
        <is>
          <t>2022</t>
        </is>
      </c>
      <c r="CI91" s="187" t="inlineStr">
        <is>
          <t>2021</t>
        </is>
      </c>
      <c r="CJ91" s="187" t="inlineStr">
        <is>
          <t>2020</t>
        </is>
      </c>
      <c r="CL91" s="186" t="inlineStr">
        <is>
          <t>MOIS</t>
        </is>
      </c>
      <c r="CM91" s="187" t="inlineStr">
        <is>
          <t>2025</t>
        </is>
      </c>
      <c r="CN91" s="187" t="inlineStr">
        <is>
          <t>2024</t>
        </is>
      </c>
      <c r="CO91" s="187" t="inlineStr">
        <is>
          <t>2023</t>
        </is>
      </c>
      <c r="CP91" s="187" t="inlineStr">
        <is>
          <t>2022</t>
        </is>
      </c>
      <c r="CQ91" s="187" t="inlineStr">
        <is>
          <t>2021</t>
        </is>
      </c>
      <c r="CR91" s="187" t="inlineStr">
        <is>
          <t>2020</t>
        </is>
      </c>
      <c r="CT91" s="186" t="inlineStr">
        <is>
          <t>MOIS</t>
        </is>
      </c>
      <c r="CU91" s="187" t="inlineStr">
        <is>
          <t>2025</t>
        </is>
      </c>
      <c r="CV91" s="187" t="inlineStr">
        <is>
          <t>2024</t>
        </is>
      </c>
      <c r="CW91" s="187" t="inlineStr">
        <is>
          <t>2023</t>
        </is>
      </c>
      <c r="CX91" s="187" t="inlineStr">
        <is>
          <t>2022</t>
        </is>
      </c>
      <c r="CY91" s="187" t="inlineStr">
        <is>
          <t>2021</t>
        </is>
      </c>
      <c r="CZ91" s="187" t="inlineStr">
        <is>
          <t>2020</t>
        </is>
      </c>
      <c r="DB91" s="186" t="inlineStr">
        <is>
          <t>MOIS</t>
        </is>
      </c>
      <c r="DC91" s="187" t="inlineStr">
        <is>
          <t>2025</t>
        </is>
      </c>
      <c r="DD91" s="187" t="inlineStr">
        <is>
          <t>2024</t>
        </is>
      </c>
      <c r="DE91" s="187" t="inlineStr">
        <is>
          <t>2023</t>
        </is>
      </c>
      <c r="DF91" s="187" t="inlineStr">
        <is>
          <t>2022</t>
        </is>
      </c>
      <c r="DG91" s="187" t="inlineStr">
        <is>
          <t>2021</t>
        </is>
      </c>
      <c r="DH91" s="187" t="inlineStr">
        <is>
          <t>2020</t>
        </is>
      </c>
      <c r="DI91" s="187" t="n"/>
      <c r="DJ91" s="186" t="inlineStr">
        <is>
          <t>MOIS</t>
        </is>
      </c>
      <c r="DK91" s="187" t="inlineStr">
        <is>
          <t>2025</t>
        </is>
      </c>
      <c r="DL91" s="187" t="inlineStr">
        <is>
          <t>2024</t>
        </is>
      </c>
      <c r="DM91" s="187" t="inlineStr">
        <is>
          <t>2023</t>
        </is>
      </c>
      <c r="DN91" s="187" t="inlineStr">
        <is>
          <t>2022</t>
        </is>
      </c>
      <c r="DO91" s="187" t="inlineStr">
        <is>
          <t>2021</t>
        </is>
      </c>
      <c r="DP91" s="187" t="inlineStr">
        <is>
          <t>2020</t>
        </is>
      </c>
      <c r="DR91" s="186" t="inlineStr">
        <is>
          <t>MOIS</t>
        </is>
      </c>
      <c r="DS91" s="187" t="inlineStr">
        <is>
          <t>2025</t>
        </is>
      </c>
      <c r="DT91" s="187" t="inlineStr">
        <is>
          <t>2024</t>
        </is>
      </c>
      <c r="DU91" s="187" t="inlineStr">
        <is>
          <t>2023</t>
        </is>
      </c>
      <c r="DV91" s="187" t="inlineStr">
        <is>
          <t>2022</t>
        </is>
      </c>
      <c r="DW91" s="187" t="inlineStr">
        <is>
          <t>2021</t>
        </is>
      </c>
      <c r="DX91" s="187" t="inlineStr">
        <is>
          <t>2020</t>
        </is>
      </c>
      <c r="DZ91" s="186" t="inlineStr">
        <is>
          <t>MOIS</t>
        </is>
      </c>
      <c r="EA91" s="187" t="inlineStr">
        <is>
          <t>2025</t>
        </is>
      </c>
      <c r="EB91" s="187" t="inlineStr">
        <is>
          <t>2024</t>
        </is>
      </c>
      <c r="EC91" s="187" t="inlineStr">
        <is>
          <t>2023</t>
        </is>
      </c>
      <c r="ED91" s="187" t="inlineStr">
        <is>
          <t>2022</t>
        </is>
      </c>
      <c r="EE91" s="187" t="inlineStr">
        <is>
          <t>2021</t>
        </is>
      </c>
      <c r="EF91" s="187" t="inlineStr">
        <is>
          <t>2020</t>
        </is>
      </c>
    </row>
    <row r="92">
      <c r="B92" s="357" t="inlineStr">
        <is>
          <t>01</t>
        </is>
      </c>
      <c r="C92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2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92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92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92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92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92" s="258" t="n"/>
      <c r="J92" s="357" t="inlineStr">
        <is>
          <t>01</t>
        </is>
      </c>
      <c r="K92" s="131" t="n">
        <v>7792</v>
      </c>
      <c r="L92" s="131" t="n">
        <v>7485</v>
      </c>
      <c r="M92" s="258" t="n">
        <v>9254</v>
      </c>
      <c r="N92" s="258" t="n">
        <v>7238</v>
      </c>
      <c r="O92" s="258" t="n">
        <v>824</v>
      </c>
      <c r="P92" s="258" t="n">
        <v>10543</v>
      </c>
      <c r="R92" s="357" t="inlineStr">
        <is>
          <t>01</t>
        </is>
      </c>
      <c r="S92" s="131" t="n">
        <v>5239</v>
      </c>
      <c r="T92" s="258" t="n">
        <v>4875</v>
      </c>
      <c r="U92" s="258" t="n">
        <v>5191</v>
      </c>
      <c r="V92" s="258" t="n">
        <v>3991</v>
      </c>
      <c r="W92" s="258" t="n">
        <v>673</v>
      </c>
      <c r="X92" s="258" t="n">
        <v>6587</v>
      </c>
      <c r="Z92" s="357" t="inlineStr">
        <is>
          <t>01</t>
        </is>
      </c>
      <c r="AA92" s="131" t="n">
        <v>7289</v>
      </c>
      <c r="AB92" s="258" t="n">
        <v>6099</v>
      </c>
      <c r="AC92" s="258" t="n">
        <v>7803</v>
      </c>
      <c r="AD92" s="258" t="n">
        <v>5033</v>
      </c>
      <c r="AE92" s="258" t="n">
        <v>680</v>
      </c>
      <c r="AF92" s="258" t="n">
        <v>8554</v>
      </c>
      <c r="AH92" s="357" t="inlineStr">
        <is>
          <t>01</t>
        </is>
      </c>
      <c r="AI92" s="131" t="n"/>
      <c r="AJ92" s="131" t="n">
        <v>7144</v>
      </c>
      <c r="AK92" s="258" t="n">
        <v>8031</v>
      </c>
      <c r="AL92" s="258" t="n">
        <v>5683</v>
      </c>
      <c r="AM92" s="258" t="n">
        <v>885</v>
      </c>
      <c r="AN92" s="258" t="n">
        <v>8685</v>
      </c>
      <c r="AP92" s="357" t="inlineStr">
        <is>
          <t>01</t>
        </is>
      </c>
      <c r="AQ92" s="131" t="n">
        <v>10889</v>
      </c>
      <c r="AR92" s="131" t="n">
        <v>10022</v>
      </c>
      <c r="AS92" s="258" t="n">
        <v>10797</v>
      </c>
      <c r="AT92" s="258" t="n">
        <v>7429</v>
      </c>
      <c r="AU92" s="258" t="n">
        <v>1627</v>
      </c>
      <c r="AV92" s="258" t="n"/>
      <c r="AX92" s="357" t="inlineStr">
        <is>
          <t>01</t>
        </is>
      </c>
      <c r="AY92" s="131" t="n"/>
      <c r="AZ92" s="258" t="n">
        <v>5224</v>
      </c>
      <c r="BA92" s="258" t="n">
        <v>5225</v>
      </c>
      <c r="BB92" s="258" t="n">
        <v>3486</v>
      </c>
      <c r="BC92" s="258" t="n"/>
      <c r="BD92" s="258" t="n"/>
      <c r="BE92" s="258" t="n"/>
      <c r="BF92" s="357" t="inlineStr">
        <is>
          <t>01</t>
        </is>
      </c>
      <c r="BG92" s="131" t="n">
        <v>5200</v>
      </c>
      <c r="BH92" s="258" t="n">
        <v>5793</v>
      </c>
      <c r="BI92" s="258" t="n">
        <v>5269</v>
      </c>
      <c r="BJ92" s="258" t="n"/>
      <c r="BK92" s="258" t="n"/>
      <c r="BL92" s="258" t="n"/>
      <c r="BM92" s="258" t="n"/>
      <c r="BN92" s="357" t="inlineStr">
        <is>
          <t>01</t>
        </is>
      </c>
      <c r="BO92" s="131" t="n">
        <v>8798</v>
      </c>
      <c r="BP92" s="258" t="n">
        <v>7477</v>
      </c>
      <c r="BQ92" s="258" t="n">
        <v>8445</v>
      </c>
      <c r="BR92" s="258" t="n">
        <v>6571</v>
      </c>
      <c r="BS92" s="258" t="n">
        <v>742</v>
      </c>
      <c r="BT92" s="258" t="n">
        <v>9699</v>
      </c>
      <c r="BV92" s="357" t="inlineStr">
        <is>
          <t>01</t>
        </is>
      </c>
      <c r="BW92" s="131" t="n">
        <v>5114</v>
      </c>
      <c r="BX92" s="258" t="n">
        <v>4922</v>
      </c>
      <c r="BY92" s="258" t="n">
        <v>4871</v>
      </c>
      <c r="BZ92" s="258" t="n">
        <v>3583</v>
      </c>
      <c r="CA92" s="258" t="n">
        <v>0</v>
      </c>
      <c r="CB92" s="258" t="n">
        <v>5751</v>
      </c>
      <c r="CC92" s="258" t="n"/>
      <c r="CD92" s="357" t="inlineStr">
        <is>
          <t>01</t>
        </is>
      </c>
      <c r="CE92" s="131" t="n">
        <v>7935</v>
      </c>
      <c r="CF92" s="258" t="n">
        <v>8152</v>
      </c>
      <c r="CG92" s="258" t="n">
        <v>7787</v>
      </c>
      <c r="CH92" s="258" t="n">
        <v>5476</v>
      </c>
      <c r="CI92" s="258" t="n">
        <v>0</v>
      </c>
      <c r="CJ92" s="258" t="n">
        <v>7984</v>
      </c>
      <c r="CL92" s="357" t="inlineStr">
        <is>
          <t>01</t>
        </is>
      </c>
      <c r="CM92" s="131" t="n">
        <v>8196</v>
      </c>
      <c r="CN92" s="258" t="n">
        <v>7000</v>
      </c>
      <c r="CO92" s="258" t="n">
        <v>10190</v>
      </c>
      <c r="CP92" s="258" t="n">
        <v>7082</v>
      </c>
      <c r="CQ92" s="258" t="n">
        <v>666</v>
      </c>
      <c r="CR92" s="258" t="n">
        <v>11901</v>
      </c>
      <c r="CT92" s="357" t="inlineStr">
        <is>
          <t>01</t>
        </is>
      </c>
      <c r="CU92" s="131" t="n">
        <v>10822</v>
      </c>
      <c r="CV92" s="131" t="n">
        <v>8451</v>
      </c>
      <c r="CW92" s="258" t="n"/>
      <c r="CX92" s="258" t="n"/>
      <c r="CY92" s="258" t="n"/>
      <c r="CZ92" s="258" t="n"/>
      <c r="DB92" s="357" t="inlineStr">
        <is>
          <t>01</t>
        </is>
      </c>
      <c r="DC92" s="131" t="n">
        <v>10092</v>
      </c>
      <c r="DD92" s="258" t="n">
        <v>9427</v>
      </c>
      <c r="DE92" s="258" t="n"/>
      <c r="DF92" s="258" t="n"/>
      <c r="DG92" s="258" t="n"/>
      <c r="DH92" s="258" t="n"/>
      <c r="DI92" s="258" t="n"/>
      <c r="DJ92" s="357" t="inlineStr">
        <is>
          <t>01</t>
        </is>
      </c>
      <c r="DK92" s="131" t="n">
        <v>7655</v>
      </c>
      <c r="DL92" s="258" t="n">
        <v>7114</v>
      </c>
      <c r="DM92" s="258" t="n"/>
      <c r="DN92" s="258" t="n"/>
      <c r="DO92" s="258" t="n"/>
      <c r="DP92" s="258" t="n"/>
      <c r="DR92" s="357" t="inlineStr">
        <is>
          <t>01</t>
        </is>
      </c>
      <c r="DS92" s="131" t="n">
        <v>5955</v>
      </c>
      <c r="DT92" s="258" t="n">
        <v>5597</v>
      </c>
      <c r="DU92" s="258" t="n"/>
      <c r="DV92" s="258" t="n"/>
      <c r="DW92" s="258" t="n"/>
      <c r="DX92" s="258" t="n"/>
      <c r="DZ92" s="357" t="inlineStr">
        <is>
          <t>01</t>
        </is>
      </c>
      <c r="EA92" s="131" t="n">
        <v>4262</v>
      </c>
      <c r="EB92" s="258" t="n"/>
      <c r="EC92" s="258" t="n"/>
      <c r="ED92" s="258" t="n"/>
      <c r="EE92" s="258" t="n"/>
      <c r="EF92" s="258" t="n"/>
    </row>
    <row r="93">
      <c r="B93" s="357" t="inlineStr">
        <is>
          <t>02</t>
        </is>
      </c>
      <c r="C93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3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93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93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93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93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93" s="258" t="n"/>
      <c r="J93" s="357" t="inlineStr">
        <is>
          <t>02</t>
        </is>
      </c>
      <c r="K93" s="131" t="n"/>
      <c r="L93" s="131" t="n">
        <v>7467</v>
      </c>
      <c r="M93" s="258" t="n">
        <v>9209</v>
      </c>
      <c r="N93" s="258" t="n">
        <v>8282</v>
      </c>
      <c r="O93" s="258" t="n">
        <v>1443</v>
      </c>
      <c r="P93" s="258" t="n">
        <v>11496</v>
      </c>
      <c r="R93" s="357" t="inlineStr">
        <is>
          <t>02</t>
        </is>
      </c>
      <c r="S93" s="131" t="n"/>
      <c r="T93" s="258" t="n">
        <v>5005</v>
      </c>
      <c r="U93" s="258" t="n">
        <v>5148</v>
      </c>
      <c r="V93" s="258" t="n">
        <v>4553</v>
      </c>
      <c r="W93" s="258" t="n">
        <v>1147</v>
      </c>
      <c r="X93" s="258" t="n">
        <v>6954</v>
      </c>
      <c r="Z93" s="357" t="inlineStr">
        <is>
          <t>02</t>
        </is>
      </c>
      <c r="AA93" s="131" t="n"/>
      <c r="AB93" s="258" t="n">
        <v>7258</v>
      </c>
      <c r="AC93" s="258" t="n">
        <v>8092</v>
      </c>
      <c r="AD93" s="258" t="n">
        <v>5924</v>
      </c>
      <c r="AE93" s="258" t="n">
        <v>980</v>
      </c>
      <c r="AF93" s="258" t="n">
        <v>8506</v>
      </c>
      <c r="AH93" s="357" t="inlineStr">
        <is>
          <t>02</t>
        </is>
      </c>
      <c r="AI93" s="131" t="n"/>
      <c r="AJ93" s="131" t="n">
        <v>6767</v>
      </c>
      <c r="AK93" s="258" t="n">
        <v>7741</v>
      </c>
      <c r="AL93" s="258" t="n">
        <v>6756</v>
      </c>
      <c r="AM93" s="258" t="n">
        <v>1592</v>
      </c>
      <c r="AN93" s="258" t="n">
        <v>8490</v>
      </c>
      <c r="AP93" s="357" t="inlineStr">
        <is>
          <t>02</t>
        </is>
      </c>
      <c r="AQ93" s="131" t="n"/>
      <c r="AR93" s="131" t="n">
        <v>10202</v>
      </c>
      <c r="AS93" s="258" t="n">
        <v>11049</v>
      </c>
      <c r="AT93" s="258" t="n">
        <v>8522</v>
      </c>
      <c r="AU93" s="258" t="n">
        <v>1749</v>
      </c>
      <c r="AV93" s="258" t="n"/>
      <c r="AX93" s="357" t="inlineStr">
        <is>
          <t>02</t>
        </is>
      </c>
      <c r="AY93" s="131" t="n"/>
      <c r="AZ93" s="258" t="n">
        <v>4914</v>
      </c>
      <c r="BA93" s="258" t="n">
        <v>5235</v>
      </c>
      <c r="BB93" s="258" t="n">
        <v>3603</v>
      </c>
      <c r="BC93" s="258" t="n"/>
      <c r="BD93" s="258" t="n"/>
      <c r="BE93" s="258" t="n"/>
      <c r="BF93" s="357" t="inlineStr">
        <is>
          <t>02</t>
        </is>
      </c>
      <c r="BG93" s="131" t="n"/>
      <c r="BH93" s="258" t="n">
        <v>5689</v>
      </c>
      <c r="BI93" s="258" t="n">
        <v>5811</v>
      </c>
      <c r="BJ93" s="258" t="n"/>
      <c r="BK93" s="258" t="n"/>
      <c r="BL93" s="258" t="n"/>
      <c r="BM93" s="258" t="n"/>
      <c r="BN93" s="357" t="inlineStr">
        <is>
          <t>02</t>
        </is>
      </c>
      <c r="BO93" s="131" t="n"/>
      <c r="BP93" s="258" t="n">
        <v>7632</v>
      </c>
      <c r="BQ93" s="258" t="n">
        <v>7948</v>
      </c>
      <c r="BR93" s="258" t="n">
        <v>6462</v>
      </c>
      <c r="BS93" s="258" t="n">
        <v>1513</v>
      </c>
      <c r="BT93" s="258" t="n">
        <v>8882</v>
      </c>
      <c r="BV93" s="357" t="inlineStr">
        <is>
          <t>02</t>
        </is>
      </c>
      <c r="BW93" s="131" t="n"/>
      <c r="BX93" s="258" t="n">
        <v>5148</v>
      </c>
      <c r="BY93" s="258" t="n">
        <v>5221</v>
      </c>
      <c r="BZ93" s="258" t="n">
        <v>4704</v>
      </c>
      <c r="CA93" s="258" t="n">
        <v>31</v>
      </c>
      <c r="CB93" s="258" t="n">
        <v>6098</v>
      </c>
      <c r="CC93" s="258" t="n"/>
      <c r="CD93" s="357" t="inlineStr">
        <is>
          <t>02</t>
        </is>
      </c>
      <c r="CE93" s="131" t="n"/>
      <c r="CF93" s="258" t="n">
        <v>8779</v>
      </c>
      <c r="CG93" s="258" t="n">
        <v>8263</v>
      </c>
      <c r="CH93" s="258" t="n">
        <v>6560</v>
      </c>
      <c r="CI93" s="258" t="n">
        <v>346</v>
      </c>
      <c r="CJ93" s="258" t="n">
        <v>9304</v>
      </c>
      <c r="CL93" s="357" t="inlineStr">
        <is>
          <t>02</t>
        </is>
      </c>
      <c r="CM93" s="131" t="n"/>
      <c r="CN93" s="258" t="n">
        <v>7251</v>
      </c>
      <c r="CO93" s="258" t="n">
        <v>10492</v>
      </c>
      <c r="CP93" s="258" t="n">
        <v>8098</v>
      </c>
      <c r="CQ93" s="258" t="n">
        <v>890</v>
      </c>
      <c r="CR93" s="258" t="n">
        <v>12463</v>
      </c>
      <c r="CT93" s="357" t="inlineStr">
        <is>
          <t>02</t>
        </is>
      </c>
      <c r="CU93" s="131" t="n"/>
      <c r="CV93" s="131" t="n">
        <v>9064</v>
      </c>
      <c r="CW93" s="258" t="n"/>
      <c r="CX93" s="258" t="n"/>
      <c r="CY93" s="258" t="n"/>
      <c r="CZ93" s="258" t="n"/>
      <c r="DB93" s="357" t="inlineStr">
        <is>
          <t>02</t>
        </is>
      </c>
      <c r="DC93" s="131" t="n"/>
      <c r="DD93" s="258" t="n">
        <v>7747</v>
      </c>
      <c r="DE93" s="258" t="n"/>
      <c r="DF93" s="258" t="n"/>
      <c r="DG93" s="258" t="n"/>
      <c r="DH93" s="258" t="n"/>
      <c r="DI93" s="258" t="n"/>
      <c r="DJ93" s="357" t="inlineStr">
        <is>
          <t>02</t>
        </is>
      </c>
      <c r="DK93" s="131" t="n"/>
      <c r="DL93" s="258" t="n">
        <v>6157</v>
      </c>
      <c r="DM93" s="258" t="n"/>
      <c r="DN93" s="258" t="n"/>
      <c r="DO93" s="258" t="n"/>
      <c r="DP93" s="258" t="n"/>
      <c r="DR93" s="357" t="inlineStr">
        <is>
          <t>02</t>
        </is>
      </c>
      <c r="DS93" s="131" t="n"/>
      <c r="DT93" s="258" t="n">
        <v>6014</v>
      </c>
      <c r="DU93" s="258" t="n"/>
      <c r="DV93" s="258" t="n"/>
      <c r="DW93" s="258" t="n"/>
      <c r="DX93" s="258" t="n"/>
      <c r="DZ93" s="357" t="inlineStr">
        <is>
          <t>02</t>
        </is>
      </c>
      <c r="EA93" s="131" t="n"/>
      <c r="EB93" s="258" t="n"/>
      <c r="EC93" s="258" t="n"/>
      <c r="ED93" s="258" t="n"/>
      <c r="EE93" s="258" t="n"/>
      <c r="EF93" s="258" t="n"/>
    </row>
    <row r="94">
      <c r="B94" s="357" t="inlineStr">
        <is>
          <t>03</t>
        </is>
      </c>
      <c r="C94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4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94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94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94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94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94" s="258" t="n"/>
      <c r="J94" s="357" t="inlineStr">
        <is>
          <t>03</t>
        </is>
      </c>
      <c r="K94" s="131" t="n"/>
      <c r="L94" s="131" t="n">
        <v>9164</v>
      </c>
      <c r="M94" s="258" t="n">
        <v>9210</v>
      </c>
      <c r="N94" s="258" t="n">
        <v>8637</v>
      </c>
      <c r="O94" s="258" t="n">
        <v>1527</v>
      </c>
      <c r="P94" s="258" t="n">
        <v>5173</v>
      </c>
      <c r="R94" s="357" t="inlineStr">
        <is>
          <t>03</t>
        </is>
      </c>
      <c r="S94" s="131" t="n"/>
      <c r="T94" s="258" t="n">
        <v>5070</v>
      </c>
      <c r="U94" s="258" t="n">
        <v>5215</v>
      </c>
      <c r="V94" s="258" t="n">
        <v>4821</v>
      </c>
      <c r="W94" s="258" t="n">
        <v>1453</v>
      </c>
      <c r="X94" s="258" t="n">
        <v>3096</v>
      </c>
      <c r="Z94" s="357" t="inlineStr">
        <is>
          <t>03</t>
        </is>
      </c>
      <c r="AA94" s="131" t="n"/>
      <c r="AB94" s="258" t="n">
        <v>8797</v>
      </c>
      <c r="AC94" s="258" t="n">
        <v>8788</v>
      </c>
      <c r="AD94" s="258" t="n">
        <v>7002</v>
      </c>
      <c r="AE94" s="258" t="n">
        <v>1243</v>
      </c>
      <c r="AF94" s="258" t="n">
        <v>4047</v>
      </c>
      <c r="AH94" s="357" t="inlineStr">
        <is>
          <t>03</t>
        </is>
      </c>
      <c r="AI94" s="131" t="n"/>
      <c r="AJ94" s="131" t="n">
        <v>8250</v>
      </c>
      <c r="AK94" s="258" t="n">
        <v>8155</v>
      </c>
      <c r="AL94" s="258" t="n">
        <v>6506</v>
      </c>
      <c r="AM94" s="258" t="n">
        <v>1636</v>
      </c>
      <c r="AN94" s="258" t="n">
        <v>260</v>
      </c>
      <c r="AP94" s="357" t="inlineStr">
        <is>
          <t>03</t>
        </is>
      </c>
      <c r="AQ94" s="131" t="n"/>
      <c r="AR94" s="131" t="n">
        <v>10524</v>
      </c>
      <c r="AS94" s="258" t="n">
        <v>10952</v>
      </c>
      <c r="AT94" s="258" t="n">
        <v>8441</v>
      </c>
      <c r="AU94" s="258" t="n">
        <v>1509</v>
      </c>
      <c r="AV94" s="258" t="n"/>
      <c r="AX94" s="357" t="inlineStr">
        <is>
          <t>03</t>
        </is>
      </c>
      <c r="AY94" s="131" t="n"/>
      <c r="AZ94" s="258" t="n">
        <v>5324</v>
      </c>
      <c r="BA94" s="258" t="n">
        <v>5581</v>
      </c>
      <c r="BB94" s="258" t="n">
        <v>3988</v>
      </c>
      <c r="BC94" s="258" t="n"/>
      <c r="BD94" s="258" t="n"/>
      <c r="BE94" s="258" t="n"/>
      <c r="BF94" s="357" t="inlineStr">
        <is>
          <t>03</t>
        </is>
      </c>
      <c r="BG94" s="131" t="n"/>
      <c r="BH94" s="258" t="n">
        <v>6270</v>
      </c>
      <c r="BI94" s="258" t="n">
        <v>5202</v>
      </c>
      <c r="BJ94" s="258" t="n"/>
      <c r="BK94" s="258" t="n"/>
      <c r="BL94" s="258" t="n"/>
      <c r="BM94" s="258" t="n"/>
      <c r="BN94" s="357" t="inlineStr">
        <is>
          <t>03</t>
        </is>
      </c>
      <c r="BO94" s="131" t="n"/>
      <c r="BP94" s="258" t="n">
        <v>8803</v>
      </c>
      <c r="BQ94" s="258" t="n">
        <v>8504</v>
      </c>
      <c r="BR94" s="258" t="n">
        <v>6973</v>
      </c>
      <c r="BS94" s="258" t="n">
        <v>1478</v>
      </c>
      <c r="BT94" s="258" t="n">
        <v>4558</v>
      </c>
      <c r="BV94" s="357" t="inlineStr">
        <is>
          <t>03</t>
        </is>
      </c>
      <c r="BW94" s="131" t="n"/>
      <c r="BX94" s="258" t="n">
        <v>6067</v>
      </c>
      <c r="BY94" s="258" t="n">
        <v>4977</v>
      </c>
      <c r="BZ94" s="258" t="n">
        <v>4683</v>
      </c>
      <c r="CA94" s="258" t="n">
        <v>697</v>
      </c>
      <c r="CB94" s="258" t="n">
        <v>2574</v>
      </c>
      <c r="CC94" s="258" t="n"/>
      <c r="CD94" s="357" t="inlineStr">
        <is>
          <t>03</t>
        </is>
      </c>
      <c r="CE94" s="131" t="n"/>
      <c r="CF94" s="258" t="n">
        <v>9227</v>
      </c>
      <c r="CG94" s="258" t="n">
        <v>7791</v>
      </c>
      <c r="CH94" s="258" t="n">
        <v>6842</v>
      </c>
      <c r="CI94" s="258" t="n">
        <v>870</v>
      </c>
      <c r="CJ94" s="258" t="n">
        <v>3766</v>
      </c>
      <c r="CL94" s="357" t="inlineStr">
        <is>
          <t>03</t>
        </is>
      </c>
      <c r="CM94" s="131" t="n"/>
      <c r="CN94" s="258" t="n">
        <v>8480</v>
      </c>
      <c r="CO94" s="258" t="n">
        <v>10461</v>
      </c>
      <c r="CP94" s="258" t="n">
        <v>8546</v>
      </c>
      <c r="CQ94" s="258" t="n">
        <v>1218</v>
      </c>
      <c r="CR94" s="258" t="n">
        <v>5453</v>
      </c>
      <c r="CT94" s="357" t="inlineStr">
        <is>
          <t>03</t>
        </is>
      </c>
      <c r="CU94" s="131" t="n"/>
      <c r="CV94" s="131" t="n">
        <v>10301</v>
      </c>
      <c r="CW94" s="258" t="n"/>
      <c r="CX94" s="258" t="n"/>
      <c r="CY94" s="258" t="n"/>
      <c r="CZ94" s="258" t="n"/>
      <c r="DB94" s="357" t="inlineStr">
        <is>
          <t>03</t>
        </is>
      </c>
      <c r="DC94" s="131" t="n"/>
      <c r="DD94" s="258" t="n">
        <v>9771</v>
      </c>
      <c r="DE94" s="258" t="n"/>
      <c r="DF94" s="258" t="n"/>
      <c r="DG94" s="258" t="n"/>
      <c r="DH94" s="258" t="n"/>
      <c r="DI94" s="258" t="n"/>
      <c r="DJ94" s="357" t="inlineStr">
        <is>
          <t>03</t>
        </is>
      </c>
      <c r="DK94" s="131" t="n"/>
      <c r="DL94" s="258" t="n">
        <v>6490</v>
      </c>
      <c r="DM94" s="258" t="n"/>
      <c r="DN94" s="258" t="n"/>
      <c r="DO94" s="258" t="n"/>
      <c r="DP94" s="258" t="n"/>
      <c r="DR94" s="357" t="inlineStr">
        <is>
          <t>03</t>
        </is>
      </c>
      <c r="DS94" s="131" t="n"/>
      <c r="DT94" s="258" t="n">
        <v>6542</v>
      </c>
      <c r="DU94" s="258" t="n"/>
      <c r="DV94" s="258" t="n"/>
      <c r="DW94" s="258" t="n"/>
      <c r="DX94" s="258" t="n"/>
      <c r="DZ94" s="357" t="inlineStr">
        <is>
          <t>03</t>
        </is>
      </c>
      <c r="EA94" s="131" t="n"/>
      <c r="EB94" s="258" t="n"/>
      <c r="EC94" s="258" t="n"/>
      <c r="ED94" s="258" t="n"/>
      <c r="EE94" s="258" t="n"/>
      <c r="EF94" s="258" t="n"/>
    </row>
    <row r="95">
      <c r="B95" s="357" t="inlineStr">
        <is>
          <t>04</t>
        </is>
      </c>
      <c r="C95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5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95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95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95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95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95" s="258" t="n"/>
      <c r="J95" s="357" t="inlineStr">
        <is>
          <t>04</t>
        </is>
      </c>
      <c r="K95" s="131" t="n"/>
      <c r="L95" s="131" t="n">
        <v>8887</v>
      </c>
      <c r="M95" s="258" t="n">
        <v>10627</v>
      </c>
      <c r="N95" s="258" t="n">
        <v>8536</v>
      </c>
      <c r="O95" s="258" t="n">
        <v>1701</v>
      </c>
      <c r="P95" s="258" t="n">
        <v>1e-05</v>
      </c>
      <c r="R95" s="357" t="inlineStr">
        <is>
          <t>04</t>
        </is>
      </c>
      <c r="S95" s="131" t="n"/>
      <c r="T95" s="258" t="n">
        <v>5460</v>
      </c>
      <c r="U95" s="258" t="n">
        <v>5581</v>
      </c>
      <c r="V95" s="258" t="n">
        <v>5315</v>
      </c>
      <c r="W95" s="258" t="n">
        <v>1456</v>
      </c>
      <c r="X95" s="258" t="n">
        <v>0</v>
      </c>
      <c r="Z95" s="357" t="inlineStr">
        <is>
          <t>04</t>
        </is>
      </c>
      <c r="AA95" s="131" t="n"/>
      <c r="AB95" s="258" t="n">
        <v>8269</v>
      </c>
      <c r="AC95" s="258" t="n">
        <v>7684</v>
      </c>
      <c r="AD95" s="258" t="n">
        <v>7083</v>
      </c>
      <c r="AE95" s="258" t="n">
        <v>1276</v>
      </c>
      <c r="AF95" s="258" t="n">
        <v>0</v>
      </c>
      <c r="AH95" s="357" t="inlineStr">
        <is>
          <t>04</t>
        </is>
      </c>
      <c r="AI95" s="131" t="n"/>
      <c r="AJ95" s="131" t="n">
        <v>7707</v>
      </c>
      <c r="AK95" s="258" t="n">
        <v>8430</v>
      </c>
      <c r="AL95" s="258" t="n">
        <v>7220</v>
      </c>
      <c r="AM95" s="258" t="n">
        <v>1605</v>
      </c>
      <c r="AN95" s="258" t="n">
        <v>0</v>
      </c>
      <c r="AP95" s="357" t="inlineStr">
        <is>
          <t>04</t>
        </is>
      </c>
      <c r="AQ95" s="131" t="n"/>
      <c r="AR95" s="131" t="n">
        <v>11401</v>
      </c>
      <c r="AS95" s="258" t="n">
        <v>12115</v>
      </c>
      <c r="AT95" s="258" t="n">
        <v>9976</v>
      </c>
      <c r="AU95" s="258" t="n">
        <v>1129</v>
      </c>
      <c r="AV95" s="258" t="n"/>
      <c r="AX95" s="357" t="inlineStr">
        <is>
          <t>04</t>
        </is>
      </c>
      <c r="AY95" s="131" t="n"/>
      <c r="AZ95" s="258" t="n">
        <v>6047</v>
      </c>
      <c r="BA95" s="258" t="n">
        <v>6122</v>
      </c>
      <c r="BB95" s="258" t="n">
        <v>4931</v>
      </c>
      <c r="BC95" s="258" t="n"/>
      <c r="BD95" s="258" t="n"/>
      <c r="BE95" s="258" t="n"/>
      <c r="BF95" s="357" t="inlineStr">
        <is>
          <t>04</t>
        </is>
      </c>
      <c r="BG95" s="131" t="n"/>
      <c r="BH95" s="258" t="n">
        <v>7049</v>
      </c>
      <c r="BI95" s="258" t="n">
        <v>7112</v>
      </c>
      <c r="BJ95" s="258" t="n"/>
      <c r="BK95" s="258" t="n"/>
      <c r="BL95" s="258" t="n"/>
      <c r="BM95" s="258" t="n"/>
      <c r="BN95" s="357" t="inlineStr">
        <is>
          <t>04</t>
        </is>
      </c>
      <c r="BO95" s="131" t="n"/>
      <c r="BP95" s="258" t="n">
        <v>8522</v>
      </c>
      <c r="BQ95" s="258" t="n">
        <v>7670</v>
      </c>
      <c r="BR95" s="258" t="n">
        <v>7008</v>
      </c>
      <c r="BS95" s="258" t="n">
        <v>1183</v>
      </c>
      <c r="BT95" s="258" t="n">
        <v>0</v>
      </c>
      <c r="BV95" s="357" t="inlineStr">
        <is>
          <t>04</t>
        </is>
      </c>
      <c r="BW95" s="131" t="n"/>
      <c r="BX95" s="258" t="n">
        <v>6878</v>
      </c>
      <c r="BY95" s="258" t="n">
        <v>6667</v>
      </c>
      <c r="BZ95" s="258" t="n">
        <v>6013</v>
      </c>
      <c r="CA95" s="258" t="n">
        <v>716</v>
      </c>
      <c r="CB95" s="258" t="n">
        <v>0</v>
      </c>
      <c r="CC95" s="258" t="n"/>
      <c r="CD95" s="357" t="inlineStr">
        <is>
          <t>04</t>
        </is>
      </c>
      <c r="CE95" s="131" t="n"/>
      <c r="CF95" s="258" t="n">
        <v>10480</v>
      </c>
      <c r="CG95" s="258" t="n">
        <v>9706</v>
      </c>
      <c r="CH95" s="258" t="n">
        <v>7761</v>
      </c>
      <c r="CI95" s="258" t="n">
        <v>826</v>
      </c>
      <c r="CJ95" s="258" t="n">
        <v>0</v>
      </c>
      <c r="CL95" s="357" t="inlineStr">
        <is>
          <t>04</t>
        </is>
      </c>
      <c r="CM95" s="131" t="n"/>
      <c r="CN95" s="258" t="n">
        <v>8787</v>
      </c>
      <c r="CO95" s="258" t="n">
        <v>11658</v>
      </c>
      <c r="CP95" s="258" t="n">
        <v>9964</v>
      </c>
      <c r="CQ95" s="258" t="n">
        <v>1099</v>
      </c>
      <c r="CR95" s="258" t="n">
        <v>0</v>
      </c>
      <c r="CT95" s="357" t="inlineStr">
        <is>
          <t>04</t>
        </is>
      </c>
      <c r="CU95" s="131" t="n"/>
      <c r="CV95" s="131" t="n">
        <v>9955</v>
      </c>
      <c r="CW95" s="258" t="n"/>
      <c r="CX95" s="258" t="n"/>
      <c r="CY95" s="258" t="n"/>
      <c r="CZ95" s="258" t="n"/>
      <c r="DB95" s="357" t="inlineStr">
        <is>
          <t>04</t>
        </is>
      </c>
      <c r="DC95" s="131" t="n"/>
      <c r="DD95" s="258" t="n">
        <v>9546</v>
      </c>
      <c r="DE95" s="258" t="n"/>
      <c r="DF95" s="258" t="n"/>
      <c r="DG95" s="258" t="n"/>
      <c r="DH95" s="258" t="n"/>
      <c r="DI95" s="258" t="n"/>
      <c r="DJ95" s="357" t="inlineStr">
        <is>
          <t>04</t>
        </is>
      </c>
      <c r="DK95" s="131" t="n"/>
      <c r="DL95" s="258" t="n">
        <v>6612</v>
      </c>
      <c r="DM95" s="258" t="n"/>
      <c r="DN95" s="258" t="n"/>
      <c r="DO95" s="258" t="n"/>
      <c r="DP95" s="258" t="n"/>
      <c r="DR95" s="357" t="inlineStr">
        <is>
          <t>04</t>
        </is>
      </c>
      <c r="DS95" s="131" t="n"/>
      <c r="DT95" s="258" t="n">
        <v>6225</v>
      </c>
      <c r="DU95" s="258" t="n"/>
      <c r="DV95" s="258" t="n"/>
      <c r="DW95" s="258" t="n"/>
      <c r="DX95" s="258" t="n"/>
      <c r="DZ95" s="357" t="inlineStr">
        <is>
          <t>04</t>
        </is>
      </c>
      <c r="EA95" s="131" t="n"/>
      <c r="EB95" s="258" t="n"/>
      <c r="EC95" s="258" t="n"/>
      <c r="ED95" s="258" t="n"/>
      <c r="EE95" s="258" t="n"/>
      <c r="EF95" s="258" t="n"/>
    </row>
    <row r="96">
      <c r="B96" s="357" t="inlineStr">
        <is>
          <t>05</t>
        </is>
      </c>
      <c r="C96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6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96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96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96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96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96" s="258" t="n"/>
      <c r="J96" s="357" t="inlineStr">
        <is>
          <t>05</t>
        </is>
      </c>
      <c r="K96" s="131" t="n"/>
      <c r="L96" s="131" t="n">
        <v>9358</v>
      </c>
      <c r="M96" s="258" t="n">
        <v>10723</v>
      </c>
      <c r="N96" s="258" t="n">
        <v>9582</v>
      </c>
      <c r="O96" s="258" t="n">
        <v>3542</v>
      </c>
      <c r="P96" s="258" t="n">
        <v>1e-05</v>
      </c>
      <c r="R96" s="357" t="inlineStr">
        <is>
          <t>05</t>
        </is>
      </c>
      <c r="S96" s="131" t="n"/>
      <c r="T96" s="258" t="n">
        <v>5440</v>
      </c>
      <c r="U96" s="258" t="n">
        <v>5677</v>
      </c>
      <c r="V96" s="258" t="n">
        <v>5819</v>
      </c>
      <c r="W96" s="258" t="n">
        <v>2233</v>
      </c>
      <c r="X96" s="258" t="n">
        <v>0</v>
      </c>
      <c r="Z96" s="357" t="inlineStr">
        <is>
          <t>05</t>
        </is>
      </c>
      <c r="AA96" s="131" t="n"/>
      <c r="AB96" s="258" t="n">
        <v>6126</v>
      </c>
      <c r="AC96" s="258" t="n">
        <v>7822</v>
      </c>
      <c r="AD96" s="258" t="n">
        <v>7928</v>
      </c>
      <c r="AE96" s="258" t="n">
        <v>2179</v>
      </c>
      <c r="AF96" s="258" t="n">
        <v>0</v>
      </c>
      <c r="AH96" s="357" t="inlineStr">
        <is>
          <t>05</t>
        </is>
      </c>
      <c r="AI96" s="131" t="n"/>
      <c r="AJ96" s="131" t="n">
        <v>8013</v>
      </c>
      <c r="AK96" s="258" t="n">
        <v>9310</v>
      </c>
      <c r="AL96" s="258" t="n">
        <v>8012</v>
      </c>
      <c r="AM96" s="258" t="n">
        <v>2710</v>
      </c>
      <c r="AN96" s="258" t="n">
        <v>0</v>
      </c>
      <c r="AP96" s="357" t="inlineStr">
        <is>
          <t>05</t>
        </is>
      </c>
      <c r="AQ96" s="131" t="n"/>
      <c r="AR96" s="131" t="n">
        <v>11946</v>
      </c>
      <c r="AS96" s="258" t="n">
        <v>12313</v>
      </c>
      <c r="AT96" s="258" t="n">
        <v>10776</v>
      </c>
      <c r="AU96" s="258" t="n">
        <v>3909</v>
      </c>
      <c r="AV96" s="258" t="n"/>
      <c r="AX96" s="357" t="inlineStr">
        <is>
          <t>05</t>
        </is>
      </c>
      <c r="AY96" s="131" t="n"/>
      <c r="AZ96" s="258" t="n">
        <v>6583</v>
      </c>
      <c r="BA96" s="258" t="n">
        <v>6557</v>
      </c>
      <c r="BB96" s="258" t="n">
        <v>5368</v>
      </c>
      <c r="BC96" s="258" t="n"/>
      <c r="BD96" s="258" t="n"/>
      <c r="BE96" s="258" t="n"/>
      <c r="BF96" s="357" t="inlineStr">
        <is>
          <t>05</t>
        </is>
      </c>
      <c r="BG96" s="131" t="n"/>
      <c r="BH96" s="258" t="n">
        <v>7480</v>
      </c>
      <c r="BI96" s="258" t="n">
        <v>7419</v>
      </c>
      <c r="BJ96" s="258" t="n"/>
      <c r="BK96" s="258" t="n"/>
      <c r="BL96" s="258" t="n"/>
      <c r="BM96" s="258" t="n"/>
      <c r="BN96" s="357" t="inlineStr">
        <is>
          <t>05</t>
        </is>
      </c>
      <c r="BO96" s="131" t="n"/>
      <c r="BP96" s="258" t="n">
        <v>9562</v>
      </c>
      <c r="BQ96" s="258" t="n">
        <v>9052</v>
      </c>
      <c r="BR96" s="258" t="n">
        <v>8475</v>
      </c>
      <c r="BS96" s="258" t="n">
        <v>2476</v>
      </c>
      <c r="BT96" s="258" t="n">
        <v>0</v>
      </c>
      <c r="BV96" s="357" t="inlineStr">
        <is>
          <t>05</t>
        </is>
      </c>
      <c r="BW96" s="131" t="n"/>
      <c r="BX96" s="258" t="n">
        <v>7336</v>
      </c>
      <c r="BY96" s="258" t="n">
        <v>7584</v>
      </c>
      <c r="BZ96" s="258" t="n">
        <v>6558</v>
      </c>
      <c r="CA96" s="258" t="n">
        <v>2216</v>
      </c>
      <c r="CB96" s="258" t="n">
        <v>0</v>
      </c>
      <c r="CC96" s="258" t="n"/>
      <c r="CD96" s="357" t="inlineStr">
        <is>
          <t>05</t>
        </is>
      </c>
      <c r="CE96" s="131" t="n"/>
      <c r="CF96" s="258" t="n">
        <v>11793</v>
      </c>
      <c r="CG96" s="258" t="n">
        <v>11480</v>
      </c>
      <c r="CH96" s="258" t="n">
        <v>8839</v>
      </c>
      <c r="CI96" s="258" t="n">
        <v>2858</v>
      </c>
      <c r="CJ96" s="258" t="n">
        <v>0</v>
      </c>
      <c r="CL96" s="357" t="inlineStr">
        <is>
          <t>05</t>
        </is>
      </c>
      <c r="CM96" s="131" t="n"/>
      <c r="CN96" s="258" t="n">
        <v>9219</v>
      </c>
      <c r="CO96" s="258" t="n">
        <v>12098</v>
      </c>
      <c r="CP96" s="258" t="n">
        <v>9818</v>
      </c>
      <c r="CQ96" s="258" t="n">
        <v>2591</v>
      </c>
      <c r="CR96" s="258" t="n">
        <v>0</v>
      </c>
      <c r="CT96" s="357" t="inlineStr">
        <is>
          <t>05</t>
        </is>
      </c>
      <c r="CU96" s="131" t="n"/>
      <c r="CV96" s="131" t="n">
        <v>10850</v>
      </c>
      <c r="CW96" s="258" t="n"/>
      <c r="CX96" s="258" t="n"/>
      <c r="CY96" s="258" t="n"/>
      <c r="CZ96" s="258" t="n"/>
      <c r="DB96" s="357" t="inlineStr">
        <is>
          <t>05</t>
        </is>
      </c>
      <c r="DC96" s="131" t="n"/>
      <c r="DD96" s="258" t="n">
        <v>10242</v>
      </c>
      <c r="DE96" s="258" t="n"/>
      <c r="DF96" s="258" t="n"/>
      <c r="DG96" s="258" t="n"/>
      <c r="DH96" s="258" t="n"/>
      <c r="DI96" s="258" t="n"/>
      <c r="DJ96" s="357" t="inlineStr">
        <is>
          <t>05</t>
        </is>
      </c>
      <c r="DK96" s="131" t="n"/>
      <c r="DL96" s="258" t="n">
        <v>6765</v>
      </c>
      <c r="DM96" s="258" t="n"/>
      <c r="DN96" s="258" t="n"/>
      <c r="DO96" s="258" t="n"/>
      <c r="DP96" s="258" t="n"/>
      <c r="DR96" s="357" t="inlineStr">
        <is>
          <t>05</t>
        </is>
      </c>
      <c r="DS96" s="131" t="n"/>
      <c r="DT96" s="258" t="n">
        <v>6455</v>
      </c>
      <c r="DU96" s="258" t="n"/>
      <c r="DV96" s="258" t="n"/>
      <c r="DW96" s="258" t="n"/>
      <c r="DX96" s="258" t="n"/>
      <c r="DZ96" s="357" t="inlineStr">
        <is>
          <t>05</t>
        </is>
      </c>
      <c r="EA96" s="131" t="n"/>
      <c r="EB96" s="258" t="n"/>
      <c r="EC96" s="258" t="n"/>
      <c r="ED96" s="258" t="n"/>
      <c r="EE96" s="258" t="n"/>
      <c r="EF96" s="258" t="n"/>
    </row>
    <row r="97">
      <c r="B97" s="357" t="inlineStr">
        <is>
          <t>06</t>
        </is>
      </c>
      <c r="C97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7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97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97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97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97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97" s="258" t="n"/>
      <c r="J97" s="357" t="inlineStr">
        <is>
          <t>06</t>
        </is>
      </c>
      <c r="K97" s="131" t="n"/>
      <c r="L97" s="131" t="n">
        <v>8103</v>
      </c>
      <c r="M97" s="258" t="n">
        <v>10898</v>
      </c>
      <c r="N97" s="258" t="n">
        <v>9202</v>
      </c>
      <c r="O97" s="258" t="n">
        <v>6560</v>
      </c>
      <c r="P97" s="258" t="n">
        <v>4911</v>
      </c>
      <c r="R97" s="357" t="inlineStr">
        <is>
          <t>06</t>
        </is>
      </c>
      <c r="S97" s="131" t="n"/>
      <c r="T97" s="258" t="n">
        <v>5789</v>
      </c>
      <c r="U97" s="258" t="n">
        <v>5696</v>
      </c>
      <c r="V97" s="258" t="n">
        <v>5788</v>
      </c>
      <c r="W97" s="258" t="n">
        <v>4368</v>
      </c>
      <c r="X97" s="258" t="n">
        <v>3122</v>
      </c>
      <c r="Z97" s="357" t="inlineStr">
        <is>
          <t>06</t>
        </is>
      </c>
      <c r="AA97" s="131" t="n"/>
      <c r="AB97" s="258" t="n">
        <v>6844</v>
      </c>
      <c r="AC97" s="258" t="n">
        <v>7835</v>
      </c>
      <c r="AD97" s="258" t="n">
        <v>6906</v>
      </c>
      <c r="AE97" s="258" t="n">
        <v>4019</v>
      </c>
      <c r="AF97" s="258" t="n">
        <v>2860</v>
      </c>
      <c r="AH97" s="357" t="inlineStr">
        <is>
          <t>06</t>
        </is>
      </c>
      <c r="AI97" s="131" t="n"/>
      <c r="AJ97" s="131" t="n">
        <v>9269</v>
      </c>
      <c r="AK97" s="258" t="n">
        <v>8648</v>
      </c>
      <c r="AL97" s="258" t="n">
        <v>8629</v>
      </c>
      <c r="AM97" s="258" t="n">
        <v>5233</v>
      </c>
      <c r="AN97" s="258" t="n">
        <v>4990</v>
      </c>
      <c r="AP97" s="357" t="inlineStr">
        <is>
          <t>06</t>
        </is>
      </c>
      <c r="AQ97" s="131" t="n"/>
      <c r="AR97" s="131" t="n">
        <v>11915</v>
      </c>
      <c r="AS97" s="258" t="n">
        <v>12129</v>
      </c>
      <c r="AT97" s="258" t="n">
        <v>11699</v>
      </c>
      <c r="AU97" s="258" t="n">
        <v>3570</v>
      </c>
      <c r="AV97" s="258" t="n"/>
      <c r="AX97" s="357" t="inlineStr">
        <is>
          <t>06</t>
        </is>
      </c>
      <c r="AY97" s="131" t="n"/>
      <c r="AZ97" s="258" t="n">
        <v>6669</v>
      </c>
      <c r="BA97" s="258" t="n">
        <v>6491</v>
      </c>
      <c r="BB97" s="258" t="n">
        <v>5865</v>
      </c>
      <c r="BC97" s="258" t="n"/>
      <c r="BD97" s="258" t="n"/>
      <c r="BE97" s="258" t="n"/>
      <c r="BF97" s="357" t="inlineStr">
        <is>
          <t>06</t>
        </is>
      </c>
      <c r="BG97" s="131" t="n"/>
      <c r="BH97" s="258" t="n">
        <v>7072</v>
      </c>
      <c r="BI97" s="258" t="n">
        <v>6732</v>
      </c>
      <c r="BJ97" s="258" t="n"/>
      <c r="BK97" s="258" t="n"/>
      <c r="BL97" s="258" t="n"/>
      <c r="BM97" s="258" t="n"/>
      <c r="BN97" s="357" t="inlineStr">
        <is>
          <t>06</t>
        </is>
      </c>
      <c r="BO97" s="131" t="n"/>
      <c r="BP97" s="258" t="n">
        <v>9030</v>
      </c>
      <c r="BQ97" s="258" t="n">
        <v>7897</v>
      </c>
      <c r="BR97" s="258" t="n">
        <v>8561</v>
      </c>
      <c r="BS97" s="258" t="n">
        <v>5525</v>
      </c>
      <c r="BT97" s="258" t="n">
        <v>4172</v>
      </c>
      <c r="BV97" s="357" t="inlineStr">
        <is>
          <t>06</t>
        </is>
      </c>
      <c r="BW97" s="131" t="n"/>
      <c r="BX97" s="258" t="n">
        <v>6763</v>
      </c>
      <c r="BY97" s="258" t="n">
        <v>6445</v>
      </c>
      <c r="BZ97" s="258" t="n">
        <v>6470</v>
      </c>
      <c r="CA97" s="258" t="n">
        <v>4453</v>
      </c>
      <c r="CB97" s="258" t="n">
        <v>4036</v>
      </c>
      <c r="CC97" s="258" t="n"/>
      <c r="CD97" s="357" t="inlineStr">
        <is>
          <t>06</t>
        </is>
      </c>
      <c r="CE97" s="131" t="n"/>
      <c r="CF97" s="258" t="n">
        <v>11683</v>
      </c>
      <c r="CG97" s="258" t="n">
        <v>10726</v>
      </c>
      <c r="CH97" s="258" t="n">
        <v>8652</v>
      </c>
      <c r="CI97" s="258" t="n">
        <v>6938</v>
      </c>
      <c r="CJ97" s="258" t="n">
        <v>7030</v>
      </c>
      <c r="CL97" s="357" t="inlineStr">
        <is>
          <t>06</t>
        </is>
      </c>
      <c r="CM97" s="131" t="n"/>
      <c r="CN97" s="258" t="n">
        <v>7901</v>
      </c>
      <c r="CO97" s="258" t="n">
        <v>11359</v>
      </c>
      <c r="CP97" s="258" t="n">
        <v>10635</v>
      </c>
      <c r="CQ97" s="258" t="n">
        <v>6438</v>
      </c>
      <c r="CR97" s="258" t="n">
        <v>5774</v>
      </c>
      <c r="CT97" s="357" t="inlineStr">
        <is>
          <t>06</t>
        </is>
      </c>
      <c r="CU97" s="131" t="n"/>
      <c r="CV97" s="131" t="n">
        <v>10256</v>
      </c>
      <c r="CW97" s="258" t="n"/>
      <c r="CX97" s="258" t="n"/>
      <c r="CY97" s="258" t="n"/>
      <c r="CZ97" s="258" t="n"/>
      <c r="DB97" s="357" t="inlineStr">
        <is>
          <t>06</t>
        </is>
      </c>
      <c r="DC97" s="131" t="n"/>
      <c r="DD97" s="258" t="n">
        <v>10218</v>
      </c>
      <c r="DE97" s="258" t="n"/>
      <c r="DF97" s="258" t="n"/>
      <c r="DG97" s="258" t="n"/>
      <c r="DH97" s="258" t="n"/>
      <c r="DI97" s="258" t="n"/>
      <c r="DJ97" s="357" t="inlineStr">
        <is>
          <t>06</t>
        </is>
      </c>
      <c r="DK97" s="131" t="n"/>
      <c r="DL97" s="258" t="n">
        <v>7290</v>
      </c>
      <c r="DM97" s="258" t="n"/>
      <c r="DN97" s="258" t="n"/>
      <c r="DO97" s="258" t="n"/>
      <c r="DP97" s="258" t="n"/>
      <c r="DR97" s="357" t="inlineStr">
        <is>
          <t>06</t>
        </is>
      </c>
      <c r="DS97" s="131" t="n"/>
      <c r="DT97" s="258" t="n">
        <v>6404</v>
      </c>
      <c r="DU97" s="258" t="n"/>
      <c r="DV97" s="258" t="n"/>
      <c r="DW97" s="258" t="n"/>
      <c r="DX97" s="258" t="n"/>
      <c r="DZ97" s="357" t="inlineStr">
        <is>
          <t>06</t>
        </is>
      </c>
      <c r="EA97" s="131" t="n"/>
      <c r="EB97" s="258" t="n"/>
      <c r="EC97" s="258" t="n"/>
      <c r="ED97" s="258" t="n"/>
      <c r="EE97" s="258" t="n"/>
      <c r="EF97" s="258" t="n"/>
    </row>
    <row r="98">
      <c r="B98" s="357" t="inlineStr">
        <is>
          <t>07</t>
        </is>
      </c>
      <c r="C98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8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98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98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98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98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98" s="258" t="n"/>
      <c r="J98" s="357" t="inlineStr">
        <is>
          <t>07</t>
        </is>
      </c>
      <c r="K98" s="131" t="n"/>
      <c r="L98" s="131" t="n">
        <v>8404</v>
      </c>
      <c r="M98" s="258" t="n">
        <v>11919</v>
      </c>
      <c r="N98" s="258" t="n">
        <v>10108</v>
      </c>
      <c r="O98" s="258" t="n">
        <v>8669</v>
      </c>
      <c r="P98" s="258" t="n">
        <v>7382</v>
      </c>
      <c r="R98" s="357" t="inlineStr">
        <is>
          <t>07</t>
        </is>
      </c>
      <c r="S98" s="131" t="n"/>
      <c r="T98" s="258" t="n">
        <v>5985</v>
      </c>
      <c r="U98" s="258" t="n">
        <v>5983</v>
      </c>
      <c r="V98" s="258" t="n">
        <v>5520</v>
      </c>
      <c r="W98" s="258" t="n">
        <v>6062</v>
      </c>
      <c r="X98" s="258" t="n">
        <v>5487</v>
      </c>
      <c r="Z98" s="357" t="inlineStr">
        <is>
          <t>07</t>
        </is>
      </c>
      <c r="AA98" s="131" t="n"/>
      <c r="AB98" s="258" t="n">
        <v>5927</v>
      </c>
      <c r="AC98" s="258" t="n">
        <v>6701</v>
      </c>
      <c r="AD98" s="258" t="n">
        <v>6248</v>
      </c>
      <c r="AE98" s="258" t="n">
        <v>4741</v>
      </c>
      <c r="AF98" s="258" t="n">
        <v>4299</v>
      </c>
      <c r="AH98" s="357" t="inlineStr">
        <is>
          <t>07</t>
        </is>
      </c>
      <c r="AI98" s="131" t="n"/>
      <c r="AJ98" s="131" t="n">
        <v>9110</v>
      </c>
      <c r="AK98" s="258" t="n">
        <v>9040</v>
      </c>
      <c r="AL98" s="258" t="n">
        <v>8976</v>
      </c>
      <c r="AM98" s="258" t="n">
        <v>6994</v>
      </c>
      <c r="AN98" s="258" t="n">
        <v>6763</v>
      </c>
      <c r="AP98" s="357" t="inlineStr">
        <is>
          <t>07</t>
        </is>
      </c>
      <c r="AQ98" s="131" t="n"/>
      <c r="AR98" s="131" t="n">
        <v>12821</v>
      </c>
      <c r="AS98" s="258" t="n">
        <v>14116</v>
      </c>
      <c r="AT98" s="258" t="n">
        <v>12656</v>
      </c>
      <c r="AU98" s="258" t="n">
        <v>2493</v>
      </c>
      <c r="AV98" s="258" t="n"/>
      <c r="AX98" s="357" t="inlineStr">
        <is>
          <t>07</t>
        </is>
      </c>
      <c r="AY98" s="131" t="n"/>
      <c r="AZ98" s="258" t="n">
        <v>7225</v>
      </c>
      <c r="BA98" s="258" t="n">
        <v>7590</v>
      </c>
      <c r="BB98" s="258" t="n">
        <v>6719</v>
      </c>
      <c r="BC98" s="258" t="n">
        <v>1073</v>
      </c>
      <c r="BD98" s="258" t="n"/>
      <c r="BE98" s="258" t="n"/>
      <c r="BF98" s="357" t="inlineStr">
        <is>
          <t>07</t>
        </is>
      </c>
      <c r="BG98" s="131" t="n"/>
      <c r="BH98" s="258" t="n">
        <v>8979</v>
      </c>
      <c r="BI98" s="258" t="n">
        <v>9384</v>
      </c>
      <c r="BJ98" s="258" t="n"/>
      <c r="BK98" s="258" t="n"/>
      <c r="BL98" s="258" t="n"/>
      <c r="BM98" s="258" t="n"/>
      <c r="BN98" s="357" t="inlineStr">
        <is>
          <t>07</t>
        </is>
      </c>
      <c r="BO98" s="131" t="n"/>
      <c r="BP98" s="258" t="n">
        <v>8584</v>
      </c>
      <c r="BQ98" s="258" t="n">
        <v>8933</v>
      </c>
      <c r="BR98" s="258" t="n">
        <v>8467</v>
      </c>
      <c r="BS98" s="258" t="n">
        <v>7392</v>
      </c>
      <c r="BT98" s="258" t="n">
        <v>6652</v>
      </c>
      <c r="BV98" s="357" t="inlineStr">
        <is>
          <t>07</t>
        </is>
      </c>
      <c r="BW98" s="131" t="n"/>
      <c r="BX98" s="258" t="n">
        <v>10094</v>
      </c>
      <c r="BY98" s="258" t="n">
        <v>9769</v>
      </c>
      <c r="BZ98" s="258" t="n">
        <v>10389</v>
      </c>
      <c r="CA98" s="258" t="n">
        <v>7138</v>
      </c>
      <c r="CB98" s="258" t="n">
        <v>8389</v>
      </c>
      <c r="CC98" s="258" t="n"/>
      <c r="CD98" s="357" t="inlineStr">
        <is>
          <t>07</t>
        </is>
      </c>
      <c r="CE98" s="131" t="n"/>
      <c r="CF98" s="258" t="n">
        <v>14297</v>
      </c>
      <c r="CG98" s="258" t="n">
        <v>14835</v>
      </c>
      <c r="CH98" s="258" t="n">
        <v>13754</v>
      </c>
      <c r="CI98" s="258" t="n">
        <v>9876</v>
      </c>
      <c r="CJ98" s="258" t="n">
        <v>12605</v>
      </c>
      <c r="CL98" s="357" t="inlineStr">
        <is>
          <t>07</t>
        </is>
      </c>
      <c r="CM98" s="131" t="n"/>
      <c r="CN98" s="258" t="n">
        <v>8914</v>
      </c>
      <c r="CO98" s="258" t="n">
        <v>13793</v>
      </c>
      <c r="CP98" s="258" t="n">
        <v>13118</v>
      </c>
      <c r="CQ98" s="258" t="n">
        <v>9323</v>
      </c>
      <c r="CR98" s="258" t="n">
        <v>10320</v>
      </c>
      <c r="CT98" s="357" t="inlineStr">
        <is>
          <t>07</t>
        </is>
      </c>
      <c r="CU98" s="131" t="n"/>
      <c r="CV98" s="131" t="n">
        <v>10734</v>
      </c>
      <c r="CW98" s="258" t="n"/>
      <c r="CX98" s="258" t="n"/>
      <c r="CY98" s="258" t="n"/>
      <c r="CZ98" s="258" t="n"/>
      <c r="DB98" s="357" t="inlineStr">
        <is>
          <t>07</t>
        </is>
      </c>
      <c r="DC98" s="131" t="n"/>
      <c r="DD98" s="258" t="n">
        <v>10158</v>
      </c>
      <c r="DE98" s="258" t="n"/>
      <c r="DF98" s="258" t="n"/>
      <c r="DG98" s="258" t="n"/>
      <c r="DH98" s="258" t="n"/>
      <c r="DI98" s="258" t="n"/>
      <c r="DJ98" s="357" t="inlineStr">
        <is>
          <t>07</t>
        </is>
      </c>
      <c r="DK98" s="131" t="n"/>
      <c r="DL98" s="258" t="n">
        <v>7146</v>
      </c>
      <c r="DM98" s="258" t="n"/>
      <c r="DN98" s="258" t="n"/>
      <c r="DO98" s="258" t="n"/>
      <c r="DP98" s="258" t="n"/>
      <c r="DR98" s="357" t="inlineStr">
        <is>
          <t>07</t>
        </is>
      </c>
      <c r="DS98" s="131" t="n"/>
      <c r="DT98" s="258" t="n">
        <v>6085</v>
      </c>
      <c r="DU98" s="258" t="n"/>
      <c r="DV98" s="258" t="n"/>
      <c r="DW98" s="258" t="n"/>
      <c r="DX98" s="258" t="n"/>
      <c r="DZ98" s="357" t="inlineStr">
        <is>
          <t>07</t>
        </is>
      </c>
      <c r="EA98" s="131" t="n"/>
      <c r="EB98" s="258" t="n"/>
      <c r="EC98" s="258" t="n"/>
      <c r="ED98" s="258" t="n"/>
      <c r="EE98" s="258" t="n"/>
      <c r="EF98" s="258" t="n"/>
    </row>
    <row r="99">
      <c r="B99" s="357" t="inlineStr">
        <is>
          <t>08</t>
        </is>
      </c>
      <c r="C99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9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99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99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99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99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99" s="258" t="n"/>
      <c r="J99" s="357" t="inlineStr">
        <is>
          <t>08</t>
        </is>
      </c>
      <c r="K99" s="131" t="n"/>
      <c r="L99" s="131" t="n">
        <v>8592</v>
      </c>
      <c r="M99" s="258" t="n">
        <v>11488</v>
      </c>
      <c r="N99" s="258" t="n">
        <v>9097</v>
      </c>
      <c r="O99" s="258" t="n">
        <v>7370</v>
      </c>
      <c r="P99" s="258" t="n">
        <v>9334</v>
      </c>
      <c r="R99" s="357" t="inlineStr">
        <is>
          <t>08</t>
        </is>
      </c>
      <c r="S99" s="131" t="n"/>
      <c r="T99" s="258" t="n">
        <v>6480</v>
      </c>
      <c r="U99" s="258" t="n">
        <v>6301</v>
      </c>
      <c r="V99" s="258" t="n">
        <v>5564</v>
      </c>
      <c r="W99" s="258" t="n">
        <v>5100</v>
      </c>
      <c r="X99" s="258" t="n">
        <v>6400</v>
      </c>
      <c r="Z99" s="357" t="inlineStr">
        <is>
          <t>08</t>
        </is>
      </c>
      <c r="AA99" s="131" t="n"/>
      <c r="AB99" s="258" t="n">
        <v>6386</v>
      </c>
      <c r="AC99" s="258" t="n">
        <v>6179</v>
      </c>
      <c r="AD99" s="258" t="n">
        <v>6256</v>
      </c>
      <c r="AE99" s="258" t="n">
        <v>3362</v>
      </c>
      <c r="AF99" s="258" t="n">
        <v>4614</v>
      </c>
      <c r="AH99" s="357" t="inlineStr">
        <is>
          <t>08</t>
        </is>
      </c>
      <c r="AI99" s="131" t="n"/>
      <c r="AJ99" s="131" t="n">
        <v>9113</v>
      </c>
      <c r="AK99" s="258" t="n">
        <v>8324</v>
      </c>
      <c r="AL99" s="258" t="n">
        <v>8353</v>
      </c>
      <c r="AM99" s="258" t="n">
        <v>4738</v>
      </c>
      <c r="AN99" s="258" t="n">
        <v>7609</v>
      </c>
      <c r="AP99" s="357" t="inlineStr">
        <is>
          <t>08</t>
        </is>
      </c>
      <c r="AQ99" s="131" t="n"/>
      <c r="AR99" s="131" t="n">
        <v>13653</v>
      </c>
      <c r="AS99" s="258" t="n">
        <v>14395</v>
      </c>
      <c r="AT99" s="258" t="n">
        <v>13589</v>
      </c>
      <c r="AU99" s="258" t="n">
        <v>8481</v>
      </c>
      <c r="AV99" s="258" t="n"/>
      <c r="AX99" s="357" t="inlineStr">
        <is>
          <t>08</t>
        </is>
      </c>
      <c r="AY99" s="131" t="n"/>
      <c r="AZ99" s="258" t="n">
        <v>7507</v>
      </c>
      <c r="BA99" s="258" t="n">
        <v>7410</v>
      </c>
      <c r="BB99" s="258" t="n">
        <v>6885</v>
      </c>
      <c r="BC99" s="258" t="n">
        <v>4084</v>
      </c>
      <c r="BD99" s="258" t="n"/>
      <c r="BE99" s="258" t="n"/>
      <c r="BF99" s="357" t="inlineStr">
        <is>
          <t>08</t>
        </is>
      </c>
      <c r="BG99" s="131" t="n"/>
      <c r="BH99" s="258" t="n">
        <v>10223</v>
      </c>
      <c r="BI99" s="258" t="n">
        <v>10256</v>
      </c>
      <c r="BJ99" s="258" t="n"/>
      <c r="BK99" s="258" t="n"/>
      <c r="BL99" s="258" t="n"/>
      <c r="BM99" s="258" t="n"/>
      <c r="BN99" s="357" t="inlineStr">
        <is>
          <t>08</t>
        </is>
      </c>
      <c r="BO99" s="131" t="n"/>
      <c r="BP99" s="258" t="n">
        <v>8708</v>
      </c>
      <c r="BQ99" s="258" t="n">
        <v>8385</v>
      </c>
      <c r="BR99" s="258" t="n">
        <v>7905</v>
      </c>
      <c r="BS99" s="258" t="n">
        <v>5628</v>
      </c>
      <c r="BT99" s="258" t="n">
        <v>8268</v>
      </c>
      <c r="BV99" s="357" t="inlineStr">
        <is>
          <t>08</t>
        </is>
      </c>
      <c r="BW99" s="131" t="n"/>
      <c r="BX99" s="258" t="n">
        <v>11022</v>
      </c>
      <c r="BY99" s="258" t="n">
        <v>10318</v>
      </c>
      <c r="BZ99" s="258" t="n">
        <v>11301</v>
      </c>
      <c r="CA99" s="258" t="n">
        <v>7764</v>
      </c>
      <c r="CB99" s="258" t="n">
        <v>9826</v>
      </c>
      <c r="CC99" s="258" t="n"/>
      <c r="CD99" s="357" t="inlineStr">
        <is>
          <t>08</t>
        </is>
      </c>
      <c r="CE99" s="131" t="n"/>
      <c r="CF99" s="258" t="n">
        <v>17362</v>
      </c>
      <c r="CG99" s="258" t="n">
        <v>16407</v>
      </c>
      <c r="CH99" s="258" t="n">
        <v>13656</v>
      </c>
      <c r="CI99" s="258" t="n">
        <v>10921</v>
      </c>
      <c r="CJ99" s="258" t="n">
        <v>14503</v>
      </c>
      <c r="CL99" s="357" t="inlineStr">
        <is>
          <t>08</t>
        </is>
      </c>
      <c r="CM99" s="131" t="n"/>
      <c r="CN99" s="258" t="n">
        <v>11404</v>
      </c>
      <c r="CO99" s="258" t="n">
        <v>14837</v>
      </c>
      <c r="CP99" s="258" t="n">
        <v>14536</v>
      </c>
      <c r="CQ99" s="258" t="n">
        <v>8117</v>
      </c>
      <c r="CR99" s="258" t="n">
        <v>13279</v>
      </c>
      <c r="CT99" s="357" t="inlineStr">
        <is>
          <t>08</t>
        </is>
      </c>
      <c r="CU99" s="131" t="n"/>
      <c r="CV99" s="131" t="n">
        <v>12816</v>
      </c>
      <c r="CW99" s="258" t="n"/>
      <c r="CX99" s="258" t="n"/>
      <c r="CY99" s="258" t="n"/>
      <c r="CZ99" s="258" t="n"/>
      <c r="DB99" s="357" t="inlineStr">
        <is>
          <t>08</t>
        </is>
      </c>
      <c r="DC99" s="131" t="n"/>
      <c r="DD99" s="258" t="n">
        <v>10976</v>
      </c>
      <c r="DE99" s="258" t="n"/>
      <c r="DF99" s="258" t="n"/>
      <c r="DG99" s="258" t="n"/>
      <c r="DH99" s="258" t="n"/>
      <c r="DI99" s="258" t="n"/>
      <c r="DJ99" s="357" t="inlineStr">
        <is>
          <t>08</t>
        </is>
      </c>
      <c r="DK99" s="131" t="n"/>
      <c r="DL99" s="258" t="n">
        <v>7701</v>
      </c>
      <c r="DM99" s="258" t="n"/>
      <c r="DN99" s="258" t="n"/>
      <c r="DO99" s="258" t="n"/>
      <c r="DP99" s="258" t="n"/>
      <c r="DR99" s="357" t="inlineStr">
        <is>
          <t>08</t>
        </is>
      </c>
      <c r="DS99" s="131" t="n"/>
      <c r="DT99" s="258" t="n">
        <v>6406</v>
      </c>
      <c r="DU99" s="258" t="n"/>
      <c r="DV99" s="258" t="n"/>
      <c r="DW99" s="258" t="n"/>
      <c r="DX99" s="258" t="n"/>
      <c r="DZ99" s="357" t="inlineStr">
        <is>
          <t>08</t>
        </is>
      </c>
      <c r="EA99" s="131" t="n"/>
      <c r="EB99" s="258" t="n">
        <v>8518</v>
      </c>
      <c r="EC99" s="258" t="n"/>
      <c r="ED99" s="258" t="n"/>
      <c r="EE99" s="258" t="n"/>
      <c r="EF99" s="258" t="n"/>
    </row>
    <row r="100">
      <c r="B100" s="357" t="inlineStr">
        <is>
          <t>09</t>
        </is>
      </c>
      <c r="C100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100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100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100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100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100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100" s="258" t="n"/>
      <c r="J100" s="357" t="inlineStr">
        <is>
          <t>09</t>
        </is>
      </c>
      <c r="K100" s="131" t="n"/>
      <c r="L100" s="131" t="n">
        <v>7472</v>
      </c>
      <c r="M100" s="258" t="n">
        <v>10431</v>
      </c>
      <c r="N100" s="258" t="n">
        <v>8327</v>
      </c>
      <c r="O100" s="258" t="n">
        <v>6913</v>
      </c>
      <c r="P100" s="258" t="n">
        <v>7848</v>
      </c>
      <c r="R100" s="357" t="inlineStr">
        <is>
          <t>09</t>
        </is>
      </c>
      <c r="S100" s="131" t="n"/>
      <c r="T100" s="258" t="n">
        <v>5178</v>
      </c>
      <c r="U100" s="258" t="n">
        <v>5516</v>
      </c>
      <c r="V100" s="258" t="n">
        <v>5161</v>
      </c>
      <c r="W100" s="258" t="n">
        <v>4483</v>
      </c>
      <c r="X100" s="258" t="n">
        <v>5201</v>
      </c>
      <c r="Z100" s="357" t="inlineStr">
        <is>
          <t>09</t>
        </is>
      </c>
      <c r="AA100" s="131" t="n"/>
      <c r="AB100" s="258" t="n">
        <v>6684</v>
      </c>
      <c r="AC100" s="258" t="n">
        <v>8357</v>
      </c>
      <c r="AD100" s="258" t="n">
        <v>7817</v>
      </c>
      <c r="AE100" s="258" t="n">
        <v>5048</v>
      </c>
      <c r="AF100" s="258" t="n">
        <v>6044</v>
      </c>
      <c r="AH100" s="357" t="inlineStr">
        <is>
          <t>09</t>
        </is>
      </c>
      <c r="AI100" s="131" t="n"/>
      <c r="AJ100" s="131" t="n">
        <v>7763</v>
      </c>
      <c r="AK100" s="258" t="n">
        <v>8384</v>
      </c>
      <c r="AL100" s="258" t="n">
        <v>7462</v>
      </c>
      <c r="AM100" s="258" t="n">
        <v>4293</v>
      </c>
      <c r="AN100" s="258" t="n">
        <v>7482</v>
      </c>
      <c r="AP100" s="357" t="inlineStr">
        <is>
          <t>09</t>
        </is>
      </c>
      <c r="AQ100" s="131" t="n"/>
      <c r="AR100" s="131" t="n">
        <v>10441</v>
      </c>
      <c r="AS100" s="258" t="n">
        <v>13514</v>
      </c>
      <c r="AT100" s="258" t="n">
        <v>10523</v>
      </c>
      <c r="AU100" s="258" t="n">
        <v>7048</v>
      </c>
      <c r="AV100" s="258" t="n"/>
      <c r="AX100" s="357" t="inlineStr">
        <is>
          <t>09</t>
        </is>
      </c>
      <c r="AY100" s="131" t="n"/>
      <c r="AZ100" s="258" t="n">
        <v>5297</v>
      </c>
      <c r="BA100" s="258" t="n">
        <v>5938</v>
      </c>
      <c r="BB100" s="258" t="n">
        <v>5082</v>
      </c>
      <c r="BC100" s="258" t="n">
        <v>2605</v>
      </c>
      <c r="BD100" s="258" t="n"/>
      <c r="BE100" s="258" t="n"/>
      <c r="BF100" s="357" t="inlineStr">
        <is>
          <t>09</t>
        </is>
      </c>
      <c r="BG100" s="131" t="n"/>
      <c r="BH100" s="258" t="n">
        <v>5562</v>
      </c>
      <c r="BI100" s="258" t="n">
        <v>6829</v>
      </c>
      <c r="BJ100" s="258" t="n"/>
      <c r="BK100" s="258" t="n"/>
      <c r="BL100" s="258" t="n"/>
      <c r="BM100" s="258" t="n"/>
      <c r="BN100" s="357" t="inlineStr">
        <is>
          <t>09</t>
        </is>
      </c>
      <c r="BO100" s="131" t="n"/>
      <c r="BP100" s="258" t="n">
        <v>8766</v>
      </c>
      <c r="BQ100" s="258" t="n">
        <v>8529</v>
      </c>
      <c r="BR100" s="258" t="n">
        <v>8144</v>
      </c>
      <c r="BS100" s="258" t="n">
        <v>6160</v>
      </c>
      <c r="BT100" s="258" t="n">
        <v>8460</v>
      </c>
      <c r="BV100" s="357" t="inlineStr">
        <is>
          <t>09</t>
        </is>
      </c>
      <c r="BW100" s="131" t="n"/>
      <c r="BX100" s="258" t="n">
        <v>5963</v>
      </c>
      <c r="BY100" s="258" t="n">
        <v>7068</v>
      </c>
      <c r="BZ100" s="258" t="n">
        <v>5685</v>
      </c>
      <c r="CA100" s="258" t="n">
        <v>3848</v>
      </c>
      <c r="CB100" s="258" t="n">
        <v>5194</v>
      </c>
      <c r="CC100" s="258" t="n"/>
      <c r="CD100" s="357" t="inlineStr">
        <is>
          <t>09</t>
        </is>
      </c>
      <c r="CE100" s="131" t="n"/>
      <c r="CF100" s="258" t="n">
        <v>8807</v>
      </c>
      <c r="CG100" s="258" t="n">
        <v>10580</v>
      </c>
      <c r="CH100" s="258" t="n">
        <v>8613</v>
      </c>
      <c r="CI100" s="258" t="n">
        <v>6023</v>
      </c>
      <c r="CJ100" s="258" t="n">
        <v>8315</v>
      </c>
      <c r="CL100" s="357" t="inlineStr">
        <is>
          <t>09</t>
        </is>
      </c>
      <c r="CM100" s="131" t="n"/>
      <c r="CN100" s="258" t="n">
        <v>8423</v>
      </c>
      <c r="CO100" s="258" t="n">
        <v>11457</v>
      </c>
      <c r="CP100" s="258" t="n">
        <v>10807</v>
      </c>
      <c r="CQ100" s="258" t="n">
        <v>6596</v>
      </c>
      <c r="CR100" s="258" t="n">
        <v>9861</v>
      </c>
      <c r="CT100" s="357" t="inlineStr">
        <is>
          <t>09</t>
        </is>
      </c>
      <c r="CU100" s="131" t="n"/>
      <c r="CV100" s="131" t="n">
        <v>11171</v>
      </c>
      <c r="CW100" s="258" t="n"/>
      <c r="CX100" s="258" t="n"/>
      <c r="CY100" s="258" t="n"/>
      <c r="CZ100" s="258" t="n"/>
      <c r="DB100" s="357" t="inlineStr">
        <is>
          <t>09</t>
        </is>
      </c>
      <c r="DC100" s="131" t="n"/>
      <c r="DD100" s="258" t="n">
        <v>9133</v>
      </c>
      <c r="DE100" s="258" t="n"/>
      <c r="DF100" s="258" t="n"/>
      <c r="DG100" s="258" t="n"/>
      <c r="DH100" s="258" t="n"/>
      <c r="DI100" s="258" t="n"/>
      <c r="DJ100" s="357" t="inlineStr">
        <is>
          <t>09</t>
        </is>
      </c>
      <c r="DK100" s="131" t="n"/>
      <c r="DL100" s="258" t="n">
        <v>7631</v>
      </c>
      <c r="DM100" s="258" t="n"/>
      <c r="DN100" s="258" t="n"/>
      <c r="DO100" s="258" t="n"/>
      <c r="DP100" s="258" t="n"/>
      <c r="DR100" s="357" t="inlineStr">
        <is>
          <t>09</t>
        </is>
      </c>
      <c r="DS100" s="131" t="n"/>
      <c r="DT100" s="258" t="n">
        <v>6018</v>
      </c>
      <c r="DU100" s="258" t="n"/>
      <c r="DV100" s="258" t="n"/>
      <c r="DW100" s="258" t="n"/>
      <c r="DX100" s="258" t="n"/>
      <c r="DZ100" s="357" t="inlineStr">
        <is>
          <t>09</t>
        </is>
      </c>
      <c r="EA100" s="131" t="n"/>
      <c r="EB100" s="258" t="n">
        <v>4589</v>
      </c>
      <c r="EC100" s="258" t="n"/>
      <c r="ED100" s="258" t="n"/>
      <c r="EE100" s="258" t="n"/>
      <c r="EF100" s="258" t="n"/>
    </row>
    <row r="101">
      <c r="B101" s="357" t="inlineStr">
        <is>
          <t>10</t>
        </is>
      </c>
      <c r="C101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101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101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101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101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101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101" s="258" t="n"/>
      <c r="J101" s="357" t="inlineStr">
        <is>
          <t>10</t>
        </is>
      </c>
      <c r="K101" s="131" t="n"/>
      <c r="L101" s="131" t="n">
        <v>8907</v>
      </c>
      <c r="M101" s="258" t="n">
        <v>9627</v>
      </c>
      <c r="N101" s="258" t="n">
        <v>9681</v>
      </c>
      <c r="O101" s="258" t="n">
        <v>8056</v>
      </c>
      <c r="P101" s="258" t="n">
        <v>7433</v>
      </c>
      <c r="R101" s="357" t="inlineStr">
        <is>
          <t>10</t>
        </is>
      </c>
      <c r="S101" s="131" t="n"/>
      <c r="T101" s="258" t="n">
        <v>5707</v>
      </c>
      <c r="U101" s="258" t="n">
        <v>5395</v>
      </c>
      <c r="V101" s="258" t="n">
        <v>5657</v>
      </c>
      <c r="W101" s="258" t="n">
        <v>5282</v>
      </c>
      <c r="X101" s="258" t="n">
        <v>5335</v>
      </c>
      <c r="Z101" s="357" t="inlineStr">
        <is>
          <t>10</t>
        </is>
      </c>
      <c r="AA101" s="131" t="n"/>
      <c r="AB101" s="258" t="n">
        <v>7284</v>
      </c>
      <c r="AC101" s="258" t="n">
        <v>7431</v>
      </c>
      <c r="AD101" s="258" t="n">
        <v>9162</v>
      </c>
      <c r="AE101" s="258" t="n">
        <v>5860</v>
      </c>
      <c r="AF101" s="258" t="n">
        <v>5546</v>
      </c>
      <c r="AH101" s="357" t="inlineStr">
        <is>
          <t>10</t>
        </is>
      </c>
      <c r="AI101" s="131" t="n"/>
      <c r="AJ101" s="131" t="n">
        <v>8415</v>
      </c>
      <c r="AK101" s="258" t="n">
        <v>8538</v>
      </c>
      <c r="AL101" s="258" t="n">
        <v>8681</v>
      </c>
      <c r="AM101" s="258" t="n">
        <v>5789</v>
      </c>
      <c r="AN101" s="258" t="n">
        <v>7726</v>
      </c>
      <c r="AP101" s="357" t="inlineStr">
        <is>
          <t>10</t>
        </is>
      </c>
      <c r="AQ101" s="131" t="n"/>
      <c r="AR101" s="131" t="n">
        <v>12126</v>
      </c>
      <c r="AS101" s="258" t="n">
        <v>11749</v>
      </c>
      <c r="AT101" s="258" t="n">
        <v>11997</v>
      </c>
      <c r="AU101" s="258" t="n">
        <v>8410</v>
      </c>
      <c r="AV101" s="258" t="n"/>
      <c r="AX101" s="357" t="inlineStr">
        <is>
          <t>10</t>
        </is>
      </c>
      <c r="AY101" s="131" t="n"/>
      <c r="AZ101" s="258" t="n">
        <v>5478</v>
      </c>
      <c r="BA101" s="258" t="n">
        <v>6191</v>
      </c>
      <c r="BB101" s="258" t="n">
        <v>5675</v>
      </c>
      <c r="BC101" s="258" t="n">
        <v>4052</v>
      </c>
      <c r="BD101" s="258" t="n"/>
      <c r="BE101" s="258" t="n"/>
      <c r="BF101" s="357" t="inlineStr">
        <is>
          <t>10</t>
        </is>
      </c>
      <c r="BG101" s="131" t="n"/>
      <c r="BH101" s="258" t="n">
        <v>6305</v>
      </c>
      <c r="BI101" s="258" t="n">
        <v>6396</v>
      </c>
      <c r="BJ101" s="258" t="n"/>
      <c r="BK101" s="258" t="n"/>
      <c r="BL101" s="258" t="n"/>
      <c r="BM101" s="258" t="n"/>
      <c r="BN101" s="357" t="inlineStr">
        <is>
          <t>10</t>
        </is>
      </c>
      <c r="BO101" s="131" t="n"/>
      <c r="BP101" s="258" t="n">
        <v>8529</v>
      </c>
      <c r="BQ101" s="258" t="n">
        <v>7835</v>
      </c>
      <c r="BR101" s="258" t="n">
        <v>8726</v>
      </c>
      <c r="BS101" s="258" t="n">
        <v>6768</v>
      </c>
      <c r="BT101" s="258" t="n">
        <v>8805</v>
      </c>
      <c r="BV101" s="357" t="inlineStr">
        <is>
          <t>10</t>
        </is>
      </c>
      <c r="BW101" s="131" t="n"/>
      <c r="BX101" s="258" t="n">
        <v>6270</v>
      </c>
      <c r="BY101" s="258" t="n">
        <v>6213</v>
      </c>
      <c r="BZ101" s="258" t="n">
        <v>6354</v>
      </c>
      <c r="CA101" s="258" t="n">
        <v>4488</v>
      </c>
      <c r="CB101" s="258" t="n">
        <v>5323</v>
      </c>
      <c r="CC101" s="258" t="n"/>
      <c r="CD101" s="357" t="inlineStr">
        <is>
          <t>10</t>
        </is>
      </c>
      <c r="CE101" s="131" t="n"/>
      <c r="CF101" s="258" t="n">
        <v>9188</v>
      </c>
      <c r="CG101" s="258" t="n">
        <v>9656</v>
      </c>
      <c r="CH101" s="258" t="n">
        <v>8732</v>
      </c>
      <c r="CI101" s="258" t="n">
        <v>6455</v>
      </c>
      <c r="CJ101" s="258" t="n">
        <v>7924</v>
      </c>
      <c r="CL101" s="357" t="inlineStr">
        <is>
          <t>10</t>
        </is>
      </c>
      <c r="CM101" s="131" t="n"/>
      <c r="CN101" s="258" t="n">
        <v>8903</v>
      </c>
      <c r="CO101" s="258" t="n">
        <v>10742</v>
      </c>
      <c r="CP101" s="258" t="n">
        <v>10221</v>
      </c>
      <c r="CQ101" s="258" t="n">
        <v>8277</v>
      </c>
      <c r="CR101" s="258" t="n">
        <v>9466</v>
      </c>
      <c r="CT101" s="357" t="inlineStr">
        <is>
          <t>10</t>
        </is>
      </c>
      <c r="CU101" s="131" t="n"/>
      <c r="CV101" s="131" t="n">
        <v>12176</v>
      </c>
      <c r="CW101" s="258" t="n"/>
      <c r="CX101" s="258" t="n"/>
      <c r="CY101" s="258" t="n"/>
      <c r="CZ101" s="258" t="n"/>
      <c r="DB101" s="357" t="inlineStr">
        <is>
          <t>10</t>
        </is>
      </c>
      <c r="DC101" s="131" t="n"/>
      <c r="DD101" s="258" t="n">
        <v>10123</v>
      </c>
      <c r="DE101" s="258" t="n"/>
      <c r="DF101" s="258" t="n"/>
      <c r="DG101" s="258" t="n"/>
      <c r="DH101" s="258" t="n"/>
      <c r="DI101" s="258" t="n"/>
      <c r="DJ101" s="357" t="inlineStr">
        <is>
          <t>10</t>
        </is>
      </c>
      <c r="DK101" s="131" t="n"/>
      <c r="DL101" s="258" t="n">
        <v>7729</v>
      </c>
      <c r="DM101" s="258" t="n"/>
      <c r="DN101" s="258" t="n"/>
      <c r="DO101" s="258" t="n"/>
      <c r="DP101" s="258" t="n"/>
      <c r="DR101" s="357" t="inlineStr">
        <is>
          <t>10</t>
        </is>
      </c>
      <c r="DS101" s="131" t="n"/>
      <c r="DT101" s="258" t="n">
        <v>6254</v>
      </c>
      <c r="DU101" s="258" t="n"/>
      <c r="DV101" s="258" t="n"/>
      <c r="DW101" s="258" t="n"/>
      <c r="DX101" s="258" t="n"/>
      <c r="DZ101" s="357" t="inlineStr">
        <is>
          <t>10</t>
        </is>
      </c>
      <c r="EA101" s="131" t="n"/>
      <c r="EB101" s="258" t="n">
        <v>4637</v>
      </c>
      <c r="EC101" s="258" t="n"/>
      <c r="ED101" s="258" t="n"/>
      <c r="EE101" s="258" t="n"/>
      <c r="EF101" s="258" t="n"/>
    </row>
    <row r="102">
      <c r="B102" s="357" t="inlineStr">
        <is>
          <t>11</t>
        </is>
      </c>
      <c r="C102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102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102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102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102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102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102" s="258" t="n"/>
      <c r="J102" s="357" t="inlineStr">
        <is>
          <t>11</t>
        </is>
      </c>
      <c r="K102" s="131" t="n"/>
      <c r="L102" s="131" t="n">
        <v>9134</v>
      </c>
      <c r="M102" s="258" t="n">
        <v>8974</v>
      </c>
      <c r="N102" s="258" t="n">
        <v>9516</v>
      </c>
      <c r="O102" s="258" t="n">
        <v>7974</v>
      </c>
      <c r="P102" s="258" t="n"/>
      <c r="R102" s="357" t="inlineStr">
        <is>
          <t>11</t>
        </is>
      </c>
      <c r="S102" s="131" t="n"/>
      <c r="T102" s="258" t="n">
        <v>5560</v>
      </c>
      <c r="U102" s="258" t="n">
        <v>5197</v>
      </c>
      <c r="V102" s="258" t="n">
        <v>5266</v>
      </c>
      <c r="W102" s="258" t="n">
        <v>4679</v>
      </c>
      <c r="X102" s="258" t="n"/>
      <c r="Z102" s="357" t="inlineStr">
        <is>
          <t>11</t>
        </is>
      </c>
      <c r="AA102" s="131" t="n"/>
      <c r="AB102" s="258" t="n">
        <v>8134</v>
      </c>
      <c r="AC102" s="258" t="n">
        <v>8859</v>
      </c>
      <c r="AD102" s="258" t="n">
        <v>8870</v>
      </c>
      <c r="AE102" s="258" t="n">
        <v>5973</v>
      </c>
      <c r="AF102" s="258" t="n">
        <v>0</v>
      </c>
      <c r="AH102" s="357" t="inlineStr">
        <is>
          <t>11</t>
        </is>
      </c>
      <c r="AI102" s="131" t="n"/>
      <c r="AJ102" s="131" t="n">
        <v>8388</v>
      </c>
      <c r="AK102" s="258" t="n">
        <v>8008</v>
      </c>
      <c r="AL102" s="258" t="n">
        <v>8035</v>
      </c>
      <c r="AM102" s="258" t="n">
        <v>5975</v>
      </c>
      <c r="AN102" s="258" t="n">
        <v>1</v>
      </c>
      <c r="AP102" s="357" t="inlineStr">
        <is>
          <t>11</t>
        </is>
      </c>
      <c r="AQ102" s="131" t="n"/>
      <c r="AR102" s="131" t="n">
        <v>11759</v>
      </c>
      <c r="AS102" s="258" t="n">
        <v>11070</v>
      </c>
      <c r="AT102" s="258" t="n">
        <v>11343</v>
      </c>
      <c r="AU102" s="258" t="n">
        <v>8261</v>
      </c>
      <c r="AV102" s="258" t="n"/>
      <c r="AX102" s="357" t="inlineStr">
        <is>
          <t>11</t>
        </is>
      </c>
      <c r="AY102" s="131" t="n"/>
      <c r="AZ102" s="258" t="n">
        <v>5064</v>
      </c>
      <c r="BA102" s="258" t="n">
        <v>5540</v>
      </c>
      <c r="BB102" s="258" t="n">
        <v>5148</v>
      </c>
      <c r="BC102" s="258" t="n">
        <v>3805</v>
      </c>
      <c r="BD102" s="258" t="n"/>
      <c r="BE102" s="258" t="n"/>
      <c r="BF102" s="357" t="inlineStr">
        <is>
          <t>11</t>
        </is>
      </c>
      <c r="BG102" s="131" t="n"/>
      <c r="BH102" s="258" t="n">
        <v>5628</v>
      </c>
      <c r="BI102" s="258" t="n">
        <v>5724</v>
      </c>
      <c r="BJ102" s="258" t="n"/>
      <c r="BK102" s="258" t="n"/>
      <c r="BL102" s="258" t="n"/>
      <c r="BM102" s="258" t="n"/>
      <c r="BN102" s="357" t="inlineStr">
        <is>
          <t>11</t>
        </is>
      </c>
      <c r="BO102" s="131" t="n"/>
      <c r="BP102" s="258" t="n">
        <v>8471</v>
      </c>
      <c r="BQ102" s="258" t="n">
        <v>8099</v>
      </c>
      <c r="BR102" s="258" t="n">
        <v>7796</v>
      </c>
      <c r="BS102" s="258" t="n">
        <v>6649</v>
      </c>
      <c r="BT102" s="258" t="n">
        <v>165</v>
      </c>
      <c r="BV102" s="357" t="inlineStr">
        <is>
          <t>11</t>
        </is>
      </c>
      <c r="BW102" s="131" t="n"/>
      <c r="BX102" s="258" t="n">
        <v>5309</v>
      </c>
      <c r="BY102" s="258" t="n">
        <v>5240</v>
      </c>
      <c r="BZ102" s="258" t="n">
        <v>5638</v>
      </c>
      <c r="CA102" s="258" t="n">
        <v>4135</v>
      </c>
      <c r="CB102" s="258" t="n">
        <v>37</v>
      </c>
      <c r="CC102" s="258" t="n"/>
      <c r="CD102" s="357" t="inlineStr">
        <is>
          <t>11</t>
        </is>
      </c>
      <c r="CE102" s="131" t="n"/>
      <c r="CF102" s="258" t="n">
        <v>8955</v>
      </c>
      <c r="CG102" s="258" t="n">
        <v>8494</v>
      </c>
      <c r="CH102" s="258" t="n">
        <v>8350</v>
      </c>
      <c r="CI102" s="258" t="n">
        <v>4809</v>
      </c>
      <c r="CJ102" s="258" t="n">
        <v>0</v>
      </c>
      <c r="CL102" s="357" t="inlineStr">
        <is>
          <t>11</t>
        </is>
      </c>
      <c r="CM102" s="131" t="n"/>
      <c r="CN102" s="258" t="n">
        <v>8710</v>
      </c>
      <c r="CO102" s="258" t="n">
        <v>11369</v>
      </c>
      <c r="CP102" s="258" t="n">
        <v>10449</v>
      </c>
      <c r="CQ102" s="258" t="n">
        <v>8137</v>
      </c>
      <c r="CR102" s="258" t="n">
        <v>275</v>
      </c>
      <c r="CT102" s="357" t="inlineStr">
        <is>
          <t>11</t>
        </is>
      </c>
      <c r="CU102" s="131" t="n"/>
      <c r="CV102" s="131" t="n">
        <v>12075</v>
      </c>
      <c r="CW102" s="258" t="n"/>
      <c r="CX102" s="258" t="n"/>
      <c r="CY102" s="258" t="n"/>
      <c r="CZ102" s="258" t="n"/>
      <c r="DB102" s="357" t="inlineStr">
        <is>
          <t>11</t>
        </is>
      </c>
      <c r="DC102" s="131" t="n"/>
      <c r="DD102" s="258" t="n">
        <v>10401</v>
      </c>
      <c r="DE102" s="258" t="n"/>
      <c r="DF102" s="258" t="n"/>
      <c r="DG102" s="258" t="n"/>
      <c r="DH102" s="258" t="n"/>
      <c r="DI102" s="258" t="n"/>
      <c r="DJ102" s="357" t="inlineStr">
        <is>
          <t>11</t>
        </is>
      </c>
      <c r="DK102" s="131" t="n"/>
      <c r="DL102" s="258" t="n">
        <v>8062</v>
      </c>
      <c r="DM102" s="258" t="n"/>
      <c r="DN102" s="258" t="n"/>
      <c r="DO102" s="258" t="n"/>
      <c r="DP102" s="258" t="n"/>
      <c r="DR102" s="357" t="inlineStr">
        <is>
          <t>11</t>
        </is>
      </c>
      <c r="DS102" s="131" t="n"/>
      <c r="DT102" s="258" t="n">
        <v>6136</v>
      </c>
      <c r="DU102" s="258" t="n"/>
      <c r="DV102" s="258" t="n"/>
      <c r="DW102" s="258" t="n"/>
      <c r="DX102" s="258" t="n"/>
      <c r="DZ102" s="357" t="inlineStr">
        <is>
          <t>11</t>
        </is>
      </c>
      <c r="EA102" s="131" t="n"/>
      <c r="EB102" s="258" t="n">
        <v>4590</v>
      </c>
      <c r="EC102" s="258" t="n"/>
      <c r="ED102" s="258" t="n"/>
      <c r="EE102" s="258" t="n"/>
      <c r="EF102" s="258" t="n"/>
    </row>
    <row r="103">
      <c r="B103" s="357" t="inlineStr">
        <is>
          <t>12</t>
        </is>
      </c>
      <c r="C103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103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103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103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103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103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103" s="258" t="n"/>
      <c r="J103" s="357" t="inlineStr">
        <is>
          <t>12</t>
        </is>
      </c>
      <c r="K103" s="131" t="n"/>
      <c r="L103" s="131" t="n">
        <v>8780</v>
      </c>
      <c r="M103" s="258" t="n">
        <v>8193</v>
      </c>
      <c r="N103" s="258" t="n">
        <v>9708</v>
      </c>
      <c r="O103" s="258" t="n">
        <v>8870</v>
      </c>
      <c r="P103" s="258" t="n">
        <v>2</v>
      </c>
      <c r="R103" s="357" t="inlineStr">
        <is>
          <t>12</t>
        </is>
      </c>
      <c r="S103" s="131" t="n">
        <v>5707</v>
      </c>
      <c r="T103" s="258" t="n">
        <v>5707</v>
      </c>
      <c r="U103" s="258" t="n">
        <v>5284</v>
      </c>
      <c r="V103" s="258" t="n">
        <v>5387</v>
      </c>
      <c r="W103" s="258" t="n">
        <v>4697</v>
      </c>
      <c r="X103" s="258" t="n"/>
      <c r="Z103" s="357" t="inlineStr">
        <is>
          <t>12</t>
        </is>
      </c>
      <c r="AA103" s="131" t="n"/>
      <c r="AB103" s="258" t="n">
        <v>6723</v>
      </c>
      <c r="AC103" s="258" t="n">
        <v>6641</v>
      </c>
      <c r="AD103" s="258" t="n">
        <v>7343</v>
      </c>
      <c r="AE103" s="258" t="n">
        <v>5143</v>
      </c>
      <c r="AF103" s="258" t="n">
        <v>0</v>
      </c>
      <c r="AH103" s="357" t="inlineStr">
        <is>
          <t>12</t>
        </is>
      </c>
      <c r="AI103" s="131" t="n"/>
      <c r="AJ103" s="131" t="n">
        <v>7896</v>
      </c>
      <c r="AK103" s="258" t="n">
        <v>8072</v>
      </c>
      <c r="AL103" s="258" t="n">
        <v>7925</v>
      </c>
      <c r="AM103" s="258" t="n">
        <v>5958</v>
      </c>
      <c r="AN103" s="258" t="n">
        <v>0</v>
      </c>
      <c r="AP103" s="357" t="inlineStr">
        <is>
          <t>12</t>
        </is>
      </c>
      <c r="AQ103" s="131" t="n"/>
      <c r="AR103" s="131" t="n">
        <v>13002</v>
      </c>
      <c r="AS103" s="258" t="n">
        <v>12270</v>
      </c>
      <c r="AT103" s="258" t="n">
        <v>12914</v>
      </c>
      <c r="AU103" s="258" t="n">
        <v>9234</v>
      </c>
      <c r="AV103" s="258" t="n"/>
      <c r="AX103" s="357" t="inlineStr">
        <is>
          <t>12</t>
        </is>
      </c>
      <c r="AY103" s="131" t="n"/>
      <c r="AZ103" s="258" t="n">
        <v>5170</v>
      </c>
      <c r="BA103" s="258" t="n">
        <v>5576</v>
      </c>
      <c r="BB103" s="258" t="n">
        <v>5370</v>
      </c>
      <c r="BC103" s="258" t="n">
        <v>3836</v>
      </c>
      <c r="BD103" s="258" t="n"/>
      <c r="BE103" s="258" t="n"/>
      <c r="BF103" s="357" t="inlineStr">
        <is>
          <t>12</t>
        </is>
      </c>
      <c r="BG103" s="131" t="n"/>
      <c r="BH103" s="258" t="n">
        <v>5406</v>
      </c>
      <c r="BI103" s="258" t="n">
        <v>5711</v>
      </c>
      <c r="BJ103" s="258" t="n"/>
      <c r="BK103" s="258" t="n"/>
      <c r="BL103" s="258" t="n"/>
      <c r="BM103" s="258" t="n"/>
      <c r="BN103" s="357" t="inlineStr">
        <is>
          <t>12</t>
        </is>
      </c>
      <c r="BO103" s="131" t="n"/>
      <c r="BP103" s="258" t="n">
        <v>8698</v>
      </c>
      <c r="BQ103" s="258" t="n">
        <v>8086</v>
      </c>
      <c r="BR103" s="258" t="n">
        <v>8266</v>
      </c>
      <c r="BS103" s="258" t="n">
        <v>6698</v>
      </c>
      <c r="BT103" s="258" t="n">
        <v>0</v>
      </c>
      <c r="BV103" s="357" t="inlineStr">
        <is>
          <t>12</t>
        </is>
      </c>
      <c r="BW103" s="131" t="n"/>
      <c r="BX103" s="258" t="n">
        <v>5334</v>
      </c>
      <c r="BY103" s="258" t="n">
        <v>5058</v>
      </c>
      <c r="BZ103" s="258" t="n">
        <v>5086</v>
      </c>
      <c r="CA103" s="258" t="n">
        <v>3746</v>
      </c>
      <c r="CB103" s="258" t="n">
        <v>0</v>
      </c>
      <c r="CC103" s="258" t="n"/>
      <c r="CD103" s="357" t="inlineStr">
        <is>
          <t>12</t>
        </is>
      </c>
      <c r="CE103" s="131" t="n"/>
      <c r="CF103" s="258" t="n">
        <v>8159</v>
      </c>
      <c r="CG103" s="258" t="n">
        <v>8501</v>
      </c>
      <c r="CH103" s="258" t="n">
        <v>7676</v>
      </c>
      <c r="CI103" s="258" t="n">
        <v>5598</v>
      </c>
      <c r="CJ103" s="258" t="n">
        <v>0</v>
      </c>
      <c r="CL103" s="357" t="inlineStr">
        <is>
          <t>12</t>
        </is>
      </c>
      <c r="CM103" s="131" t="n"/>
      <c r="CN103" s="258" t="n">
        <v>8695</v>
      </c>
      <c r="CO103" s="258" t="n">
        <v>9630</v>
      </c>
      <c r="CP103" s="258" t="n">
        <v>11252</v>
      </c>
      <c r="CQ103" s="258" t="n">
        <v>8366</v>
      </c>
      <c r="CR103" s="258" t="n">
        <v>365</v>
      </c>
      <c r="CT103" s="357" t="inlineStr">
        <is>
          <t>12</t>
        </is>
      </c>
      <c r="CU103" s="131" t="n"/>
      <c r="CV103" s="131" t="n">
        <v>10891</v>
      </c>
      <c r="CW103" s="258" t="n"/>
      <c r="CX103" s="258" t="n"/>
      <c r="CY103" s="258" t="n"/>
      <c r="CZ103" s="258" t="n"/>
      <c r="DB103" s="357" t="inlineStr">
        <is>
          <t>12</t>
        </is>
      </c>
      <c r="DC103" s="131" t="n"/>
      <c r="DD103" s="258" t="n">
        <v>10972</v>
      </c>
      <c r="DE103" s="258" t="n"/>
      <c r="DF103" s="258" t="n"/>
      <c r="DG103" s="258" t="n"/>
      <c r="DH103" s="258" t="n"/>
      <c r="DI103" s="258" t="n"/>
      <c r="DJ103" s="357" t="inlineStr">
        <is>
          <t>12</t>
        </is>
      </c>
      <c r="DK103" s="131" t="n"/>
      <c r="DL103" s="258" t="n">
        <v>8796</v>
      </c>
      <c r="DM103" s="258" t="n"/>
      <c r="DN103" s="258" t="n"/>
      <c r="DO103" s="258" t="n"/>
      <c r="DP103" s="258" t="n"/>
      <c r="DR103" s="357" t="inlineStr">
        <is>
          <t>12</t>
        </is>
      </c>
      <c r="DS103" s="131" t="n"/>
      <c r="DT103" s="258" t="n">
        <v>6126</v>
      </c>
      <c r="DU103" s="258" t="n"/>
      <c r="DV103" s="258" t="n"/>
      <c r="DW103" s="258" t="n"/>
      <c r="DX103" s="258" t="n"/>
      <c r="DZ103" s="357" t="inlineStr">
        <is>
          <t>12</t>
        </is>
      </c>
      <c r="EA103" s="131" t="n"/>
      <c r="EB103" s="258" t="n">
        <v>4197</v>
      </c>
      <c r="EC103" s="258" t="n"/>
      <c r="ED103" s="258" t="n"/>
      <c r="EE103" s="258" t="n"/>
      <c r="EF103" s="258" t="n"/>
    </row>
    <row r="105" ht="15.75" customHeight="1" s="161">
      <c r="B105" s="355" t="inlineStr">
        <is>
          <t>Global</t>
        </is>
      </c>
      <c r="J105" s="355" t="inlineStr">
        <is>
          <t>GLR5</t>
        </is>
      </c>
      <c r="R105" s="355" t="inlineStr">
        <is>
          <t>HTR8</t>
        </is>
      </c>
      <c r="Z105" s="355" t="inlineStr">
        <is>
          <t>TIRR</t>
        </is>
      </c>
      <c r="AH105" s="355" t="inlineStr">
        <is>
          <t>VR7</t>
        </is>
      </c>
      <c r="AP105" s="355" t="inlineStr">
        <is>
          <t>TURVILLA</t>
        </is>
      </c>
      <c r="AX105" s="355" t="inlineStr">
        <is>
          <t>HART</t>
        </is>
      </c>
      <c r="BF105" s="355" t="inlineStr">
        <is>
          <t>VICTOIRE</t>
        </is>
      </c>
      <c r="BN105" s="355" t="inlineStr">
        <is>
          <t>TH4</t>
        </is>
      </c>
      <c r="BV105" s="355" t="inlineStr">
        <is>
          <t>TL DIVES</t>
        </is>
      </c>
      <c r="CD105" s="355" t="inlineStr">
        <is>
          <t>R3 14</t>
        </is>
      </c>
      <c r="CL105" s="355" t="inlineStr">
        <is>
          <t>LYSE</t>
        </is>
      </c>
      <c r="CT105" s="355" t="inlineStr">
        <is>
          <t>ARTHUR</t>
        </is>
      </c>
      <c r="DB105" s="355" t="inlineStr">
        <is>
          <t>HUGO</t>
        </is>
      </c>
      <c r="DJ105" s="355" t="inlineStr">
        <is>
          <t>JEANCLO</t>
        </is>
      </c>
      <c r="DR105" s="355" t="inlineStr">
        <is>
          <t>THOMAS</t>
        </is>
      </c>
      <c r="DZ105" s="355" t="inlineStr">
        <is>
          <t>CATALINA</t>
        </is>
      </c>
    </row>
    <row r="107" ht="18.6" customFormat="1" customHeight="1" s="188">
      <c r="A107" s="356" t="inlineStr">
        <is>
          <t>Transactions totales</t>
        </is>
      </c>
      <c r="B107" s="186" t="inlineStr">
        <is>
          <t>MOIS</t>
        </is>
      </c>
      <c r="C107" s="187" t="inlineStr">
        <is>
          <t>2024</t>
        </is>
      </c>
      <c r="D107" s="187" t="inlineStr">
        <is>
          <t>2023</t>
        </is>
      </c>
      <c r="E107" s="187" t="inlineStr">
        <is>
          <t>2022</t>
        </is>
      </c>
      <c r="F107" s="187" t="inlineStr">
        <is>
          <t>2021</t>
        </is>
      </c>
      <c r="G107" s="187" t="inlineStr">
        <is>
          <t>2020</t>
        </is>
      </c>
      <c r="H107" s="187" t="inlineStr">
        <is>
          <t>2019</t>
        </is>
      </c>
      <c r="I107" s="187" t="n"/>
      <c r="J107" s="186" t="inlineStr">
        <is>
          <t>MOIS</t>
        </is>
      </c>
      <c r="K107" s="186" t="inlineStr">
        <is>
          <t>2025</t>
        </is>
      </c>
      <c r="L107" s="186" t="inlineStr">
        <is>
          <t>2024</t>
        </is>
      </c>
      <c r="M107" s="186" t="inlineStr">
        <is>
          <t>2023</t>
        </is>
      </c>
      <c r="N107" s="186" t="inlineStr">
        <is>
          <t>2022</t>
        </is>
      </c>
      <c r="O107" s="186" t="inlineStr">
        <is>
          <t>2021</t>
        </is>
      </c>
      <c r="P107" s="186" t="inlineStr">
        <is>
          <t>2020</t>
        </is>
      </c>
      <c r="R107" s="186" t="inlineStr">
        <is>
          <t>MOIS</t>
        </is>
      </c>
      <c r="S107" s="186" t="inlineStr">
        <is>
          <t>2025</t>
        </is>
      </c>
      <c r="T107" s="186" t="inlineStr">
        <is>
          <t>2024</t>
        </is>
      </c>
      <c r="U107" s="186" t="inlineStr">
        <is>
          <t>2023</t>
        </is>
      </c>
      <c r="V107" s="186" t="inlineStr">
        <is>
          <t>2022</t>
        </is>
      </c>
      <c r="W107" s="186" t="inlineStr">
        <is>
          <t>2021</t>
        </is>
      </c>
      <c r="X107" s="186" t="inlineStr">
        <is>
          <t>2020</t>
        </is>
      </c>
      <c r="Z107" s="186" t="inlineStr">
        <is>
          <t>MOIS</t>
        </is>
      </c>
      <c r="AA107" s="186" t="inlineStr">
        <is>
          <t>2025</t>
        </is>
      </c>
      <c r="AB107" s="186" t="inlineStr">
        <is>
          <t>2024</t>
        </is>
      </c>
      <c r="AC107" s="186" t="inlineStr">
        <is>
          <t>2023</t>
        </is>
      </c>
      <c r="AD107" s="186" t="inlineStr">
        <is>
          <t>2022</t>
        </is>
      </c>
      <c r="AE107" s="186" t="inlineStr">
        <is>
          <t>2021</t>
        </is>
      </c>
      <c r="AF107" s="186" t="inlineStr">
        <is>
          <t>2020</t>
        </is>
      </c>
      <c r="AH107" s="186" t="inlineStr">
        <is>
          <t>MOIS</t>
        </is>
      </c>
      <c r="AI107" s="186" t="inlineStr">
        <is>
          <t>2025</t>
        </is>
      </c>
      <c r="AJ107" s="186" t="inlineStr">
        <is>
          <t>2024</t>
        </is>
      </c>
      <c r="AK107" s="186" t="inlineStr">
        <is>
          <t>2023</t>
        </is>
      </c>
      <c r="AL107" s="186" t="inlineStr">
        <is>
          <t>2022</t>
        </is>
      </c>
      <c r="AM107" s="186" t="inlineStr">
        <is>
          <t>2021</t>
        </is>
      </c>
      <c r="AN107" s="186" t="inlineStr">
        <is>
          <t>2020</t>
        </is>
      </c>
      <c r="AP107" s="186" t="inlineStr">
        <is>
          <t>MOIS</t>
        </is>
      </c>
      <c r="AQ107" s="186" t="inlineStr">
        <is>
          <t>2025</t>
        </is>
      </c>
      <c r="AR107" s="186" t="inlineStr">
        <is>
          <t>2024</t>
        </is>
      </c>
      <c r="AS107" s="186" t="inlineStr">
        <is>
          <t>2023</t>
        </is>
      </c>
      <c r="AT107" s="186" t="inlineStr">
        <is>
          <t>2022</t>
        </is>
      </c>
      <c r="AU107" s="186" t="inlineStr">
        <is>
          <t>2021</t>
        </is>
      </c>
      <c r="AV107" s="186" t="inlineStr">
        <is>
          <t>2020</t>
        </is>
      </c>
      <c r="AX107" s="186" t="inlineStr">
        <is>
          <t>MOIS</t>
        </is>
      </c>
      <c r="AY107" s="186" t="inlineStr">
        <is>
          <t>2025</t>
        </is>
      </c>
      <c r="AZ107" s="186" t="inlineStr">
        <is>
          <t>2024</t>
        </is>
      </c>
      <c r="BA107" s="186" t="inlineStr">
        <is>
          <t>2023</t>
        </is>
      </c>
      <c r="BB107" s="186" t="inlineStr">
        <is>
          <t>2022</t>
        </is>
      </c>
      <c r="BC107" s="186" t="inlineStr">
        <is>
          <t>2021</t>
        </is>
      </c>
      <c r="BD107" s="186" t="inlineStr">
        <is>
          <t>2020</t>
        </is>
      </c>
      <c r="BE107" s="187" t="n"/>
      <c r="BF107" s="186" t="inlineStr">
        <is>
          <t>MOIS</t>
        </is>
      </c>
      <c r="BG107" s="186" t="inlineStr">
        <is>
          <t>2025</t>
        </is>
      </c>
      <c r="BH107" s="186" t="inlineStr">
        <is>
          <t>2024</t>
        </is>
      </c>
      <c r="BI107" s="186" t="inlineStr">
        <is>
          <t>2023</t>
        </is>
      </c>
      <c r="BJ107" s="186" t="inlineStr">
        <is>
          <t>2022</t>
        </is>
      </c>
      <c r="BK107" s="186" t="inlineStr">
        <is>
          <t>2021</t>
        </is>
      </c>
      <c r="BL107" s="186" t="inlineStr">
        <is>
          <t>2020</t>
        </is>
      </c>
      <c r="BM107" s="186" t="n"/>
      <c r="BN107" s="186" t="inlineStr">
        <is>
          <t>MOIS</t>
        </is>
      </c>
      <c r="BO107" s="187" t="inlineStr">
        <is>
          <t>2025</t>
        </is>
      </c>
      <c r="BP107" s="187" t="inlineStr">
        <is>
          <t>2024</t>
        </is>
      </c>
      <c r="BQ107" s="187" t="inlineStr">
        <is>
          <t>2023</t>
        </is>
      </c>
      <c r="BR107" s="187" t="inlineStr">
        <is>
          <t>2022</t>
        </is>
      </c>
      <c r="BS107" s="187" t="inlineStr">
        <is>
          <t>2021</t>
        </is>
      </c>
      <c r="BT107" s="187" t="inlineStr">
        <is>
          <t>2020</t>
        </is>
      </c>
      <c r="BV107" s="186" t="inlineStr">
        <is>
          <t>MOIS</t>
        </is>
      </c>
      <c r="BW107" s="187" t="inlineStr">
        <is>
          <t>2025</t>
        </is>
      </c>
      <c r="BX107" s="187" t="inlineStr">
        <is>
          <t>2024</t>
        </is>
      </c>
      <c r="BY107" s="187" t="inlineStr">
        <is>
          <t>2023</t>
        </is>
      </c>
      <c r="BZ107" s="187" t="inlineStr">
        <is>
          <t>2022</t>
        </is>
      </c>
      <c r="CA107" s="187" t="inlineStr">
        <is>
          <t>2021</t>
        </is>
      </c>
      <c r="CB107" s="187" t="inlineStr">
        <is>
          <t>2020</t>
        </is>
      </c>
      <c r="CC107" s="187" t="n"/>
      <c r="CD107" s="186" t="inlineStr">
        <is>
          <t>MOIS</t>
        </is>
      </c>
      <c r="CE107" s="187" t="inlineStr">
        <is>
          <t>2025</t>
        </is>
      </c>
      <c r="CF107" s="187" t="inlineStr">
        <is>
          <t>2024</t>
        </is>
      </c>
      <c r="CG107" s="187" t="inlineStr">
        <is>
          <t>2023</t>
        </is>
      </c>
      <c r="CH107" s="187" t="inlineStr">
        <is>
          <t>2022</t>
        </is>
      </c>
      <c r="CI107" s="187" t="inlineStr">
        <is>
          <t>2021</t>
        </is>
      </c>
      <c r="CJ107" s="187" t="inlineStr">
        <is>
          <t>2020</t>
        </is>
      </c>
      <c r="CL107" s="186" t="inlineStr">
        <is>
          <t>MOIS</t>
        </is>
      </c>
      <c r="CM107" s="187" t="inlineStr">
        <is>
          <t>2025</t>
        </is>
      </c>
      <c r="CN107" s="187" t="inlineStr">
        <is>
          <t>2024</t>
        </is>
      </c>
      <c r="CO107" s="187" t="inlineStr">
        <is>
          <t>2023</t>
        </is>
      </c>
      <c r="CP107" s="187" t="inlineStr">
        <is>
          <t>2022</t>
        </is>
      </c>
      <c r="CQ107" s="187" t="inlineStr">
        <is>
          <t>2021</t>
        </is>
      </c>
      <c r="CR107" s="187" t="inlineStr">
        <is>
          <t>2020</t>
        </is>
      </c>
      <c r="CT107" s="186" t="inlineStr">
        <is>
          <t>MOIS</t>
        </is>
      </c>
      <c r="CU107" s="187" t="inlineStr">
        <is>
          <t>2025</t>
        </is>
      </c>
      <c r="CV107" s="187" t="inlineStr">
        <is>
          <t>2024</t>
        </is>
      </c>
      <c r="CW107" s="187" t="inlineStr">
        <is>
          <t>2023</t>
        </is>
      </c>
      <c r="CX107" s="187" t="inlineStr">
        <is>
          <t>2022</t>
        </is>
      </c>
      <c r="CY107" s="187" t="inlineStr">
        <is>
          <t>2021</t>
        </is>
      </c>
      <c r="CZ107" s="187" t="inlineStr">
        <is>
          <t>2020</t>
        </is>
      </c>
      <c r="DB107" s="186" t="inlineStr">
        <is>
          <t>MOIS</t>
        </is>
      </c>
      <c r="DC107" s="187" t="inlineStr">
        <is>
          <t>2025</t>
        </is>
      </c>
      <c r="DD107" s="187" t="inlineStr">
        <is>
          <t>2024</t>
        </is>
      </c>
      <c r="DE107" s="187" t="inlineStr">
        <is>
          <t>2023</t>
        </is>
      </c>
      <c r="DF107" s="187" t="inlineStr">
        <is>
          <t>2022</t>
        </is>
      </c>
      <c r="DG107" s="187" t="inlineStr">
        <is>
          <t>2021</t>
        </is>
      </c>
      <c r="DH107" s="187" t="inlineStr">
        <is>
          <t>2020</t>
        </is>
      </c>
      <c r="DI107" s="187" t="n"/>
      <c r="DJ107" s="186" t="inlineStr">
        <is>
          <t>MOIS</t>
        </is>
      </c>
      <c r="DK107" s="187" t="inlineStr">
        <is>
          <t>2025</t>
        </is>
      </c>
      <c r="DL107" s="187" t="inlineStr">
        <is>
          <t>2024</t>
        </is>
      </c>
      <c r="DM107" s="187" t="inlineStr">
        <is>
          <t>2023</t>
        </is>
      </c>
      <c r="DN107" s="187" t="inlineStr">
        <is>
          <t>2022</t>
        </is>
      </c>
      <c r="DO107" s="187" t="inlineStr">
        <is>
          <t>2021</t>
        </is>
      </c>
      <c r="DP107" s="187" t="inlineStr">
        <is>
          <t>2020</t>
        </is>
      </c>
      <c r="DR107" s="186" t="inlineStr">
        <is>
          <t>MOIS</t>
        </is>
      </c>
      <c r="DS107" s="187" t="inlineStr">
        <is>
          <t>2025</t>
        </is>
      </c>
      <c r="DT107" s="187" t="inlineStr">
        <is>
          <t>2024</t>
        </is>
      </c>
      <c r="DU107" s="187" t="inlineStr">
        <is>
          <t>2023</t>
        </is>
      </c>
      <c r="DV107" s="187" t="inlineStr">
        <is>
          <t>2022</t>
        </is>
      </c>
      <c r="DW107" s="187" t="inlineStr">
        <is>
          <t>2021</t>
        </is>
      </c>
      <c r="DX107" s="187" t="inlineStr">
        <is>
          <t>2020</t>
        </is>
      </c>
      <c r="DZ107" s="186" t="inlineStr">
        <is>
          <t>MOIS</t>
        </is>
      </c>
      <c r="EA107" s="187" t="inlineStr">
        <is>
          <t>2025</t>
        </is>
      </c>
      <c r="EB107" s="187" t="inlineStr">
        <is>
          <t>2024</t>
        </is>
      </c>
      <c r="EC107" s="187" t="inlineStr">
        <is>
          <t>2023</t>
        </is>
      </c>
      <c r="ED107" s="187" t="inlineStr">
        <is>
          <t>2022</t>
        </is>
      </c>
      <c r="EE107" s="187" t="inlineStr">
        <is>
          <t>2021</t>
        </is>
      </c>
      <c r="EF107" s="187" t="inlineStr">
        <is>
          <t>2020</t>
        </is>
      </c>
    </row>
    <row r="108">
      <c r="B108" s="357" t="inlineStr">
        <is>
          <t>01</t>
        </is>
      </c>
      <c r="C108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08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08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08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08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08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08" s="258" t="n"/>
      <c r="J108" s="357" t="inlineStr">
        <is>
          <t>01</t>
        </is>
      </c>
      <c r="K108" s="131">
        <f>+K92+K76+K60+K44</f>
        <v/>
      </c>
      <c r="L108" s="258" t="n">
        <v>23552</v>
      </c>
      <c r="M108" s="258" t="n">
        <v>28360</v>
      </c>
      <c r="N108" s="258" t="n">
        <v>26726</v>
      </c>
      <c r="O108" s="258" t="n">
        <v>16817</v>
      </c>
      <c r="P108" s="258" t="n">
        <v>32657</v>
      </c>
      <c r="R108" s="357" t="inlineStr">
        <is>
          <t>01</t>
        </is>
      </c>
      <c r="S108" s="258">
        <f>+S92+S76+S60+S44</f>
        <v/>
      </c>
      <c r="T108" s="258" t="n">
        <v>11959</v>
      </c>
      <c r="U108" s="258" t="n">
        <v>14842</v>
      </c>
      <c r="V108" s="258" t="n">
        <v>14819</v>
      </c>
      <c r="W108" s="258" t="n">
        <v>10287</v>
      </c>
      <c r="X108" s="258" t="n">
        <v>17406</v>
      </c>
      <c r="Z108" s="357" t="inlineStr">
        <is>
          <t>01</t>
        </is>
      </c>
      <c r="AA108" s="131">
        <f>+AA92+AA76+AA60+AA44</f>
        <v/>
      </c>
      <c r="AB108" s="258" t="n">
        <v>16102</v>
      </c>
      <c r="AC108" s="258" t="n">
        <v>20290</v>
      </c>
      <c r="AD108" s="258" t="n">
        <v>18115</v>
      </c>
      <c r="AE108" s="258" t="n">
        <v>12019</v>
      </c>
      <c r="AF108" s="258" t="n">
        <v>21352</v>
      </c>
      <c r="AH108" s="357" t="inlineStr">
        <is>
          <t>01</t>
        </is>
      </c>
      <c r="AI108" s="131">
        <f>+AI92+AI76+AI60+AI44</f>
        <v/>
      </c>
      <c r="AJ108" s="258" t="n">
        <v>21218</v>
      </c>
      <c r="AK108" s="258" t="n">
        <v>22871</v>
      </c>
      <c r="AL108" s="258" t="n">
        <v>20862</v>
      </c>
      <c r="AM108" s="258" t="n">
        <v>13998</v>
      </c>
      <c r="AN108" s="258" t="n">
        <v>24037</v>
      </c>
      <c r="AP108" s="357" t="inlineStr">
        <is>
          <t>01</t>
        </is>
      </c>
      <c r="AQ108" s="131">
        <f>+AQ92+AQ76+AQ60+AQ44</f>
        <v/>
      </c>
      <c r="AR108" s="258" t="n">
        <v>27149</v>
      </c>
      <c r="AS108" s="258" t="n">
        <v>28935</v>
      </c>
      <c r="AT108" s="258" t="n">
        <v>25783</v>
      </c>
      <c r="AU108" s="258" t="n">
        <v>18935</v>
      </c>
      <c r="AV108" s="258" t="n">
        <v>0</v>
      </c>
      <c r="AX108" s="357" t="inlineStr">
        <is>
          <t>01</t>
        </is>
      </c>
      <c r="AY108" s="131">
        <f>+AY92+AY76+AY60+AY44</f>
        <v/>
      </c>
      <c r="AZ108" s="258" t="n">
        <v>12467</v>
      </c>
      <c r="BA108" s="258" t="n">
        <v>13514</v>
      </c>
      <c r="BB108" s="258" t="n">
        <v>12448</v>
      </c>
      <c r="BC108" s="258" t="n"/>
      <c r="BD108" s="258" t="n"/>
      <c r="BE108" s="258" t="n"/>
      <c r="BF108" s="357" t="inlineStr">
        <is>
          <t>01</t>
        </is>
      </c>
      <c r="BG108" s="131">
        <f>+BG92+BG76+BG60+BG44</f>
        <v/>
      </c>
      <c r="BH108" s="258" t="n">
        <v>13598</v>
      </c>
      <c r="BI108" s="258" t="n">
        <v>13237</v>
      </c>
      <c r="BJ108" s="258" t="n"/>
      <c r="BK108" s="258" t="n"/>
      <c r="BL108" s="258" t="n"/>
      <c r="BM108" s="258" t="n"/>
      <c r="BN108" s="357" t="inlineStr">
        <is>
          <t>01</t>
        </is>
      </c>
      <c r="BO108" s="131">
        <f>+BO92+BO76+BO60+BO44</f>
        <v/>
      </c>
      <c r="BP108" s="258" t="n">
        <v>20262</v>
      </c>
      <c r="BQ108" s="258" t="n">
        <v>22185</v>
      </c>
      <c r="BR108" s="258" t="n">
        <v>21642</v>
      </c>
      <c r="BS108" s="258" t="n">
        <v>12372</v>
      </c>
      <c r="BT108" s="258" t="n">
        <v>26285</v>
      </c>
      <c r="BV108" s="357" t="inlineStr">
        <is>
          <t>01</t>
        </is>
      </c>
      <c r="BW108" s="131">
        <f>+BW92+BW76+BW60+BW44</f>
        <v/>
      </c>
      <c r="BX108" s="258" t="n">
        <v>12786</v>
      </c>
      <c r="BY108" s="258" t="n">
        <v>14237</v>
      </c>
      <c r="BZ108" s="258" t="n">
        <v>13286</v>
      </c>
      <c r="CA108" s="258" t="n">
        <v>9279</v>
      </c>
      <c r="CB108" s="258" t="n">
        <v>15105</v>
      </c>
      <c r="CC108" s="258" t="n"/>
      <c r="CD108" s="357" t="inlineStr">
        <is>
          <t>01</t>
        </is>
      </c>
      <c r="CE108" s="131">
        <f>+CE92+CE76+CE60+CE44</f>
        <v/>
      </c>
      <c r="CF108" s="258" t="n">
        <v>21787</v>
      </c>
      <c r="CG108" s="258" t="n">
        <v>20900</v>
      </c>
      <c r="CH108" s="258" t="n">
        <v>21777</v>
      </c>
      <c r="CI108" s="258" t="n">
        <v>9514</v>
      </c>
      <c r="CJ108" s="258" t="n">
        <v>24395</v>
      </c>
      <c r="CL108" s="357" t="inlineStr">
        <is>
          <t>01</t>
        </is>
      </c>
      <c r="CM108" s="131">
        <f>+CM92+CM76+CM60+CM44</f>
        <v/>
      </c>
      <c r="CN108" s="258" t="n">
        <v>18689</v>
      </c>
      <c r="CO108" s="258" t="n">
        <v>27302</v>
      </c>
      <c r="CP108" s="258" t="n">
        <v>25568</v>
      </c>
      <c r="CQ108" s="258" t="n">
        <v>15767</v>
      </c>
      <c r="CR108" s="258" t="n">
        <v>29700</v>
      </c>
      <c r="CT108" s="357" t="inlineStr">
        <is>
          <t>01</t>
        </is>
      </c>
      <c r="CU108" s="131">
        <f>+CU92+CU76+CU60+CU44</f>
        <v/>
      </c>
      <c r="CV108" s="258" t="n">
        <v>25677</v>
      </c>
      <c r="CW108" s="258" t="n">
        <v>0</v>
      </c>
      <c r="CX108" s="258" t="n"/>
      <c r="CY108" s="258" t="n"/>
      <c r="CZ108" s="258" t="n"/>
      <c r="DB108" s="357" t="inlineStr">
        <is>
          <t>01</t>
        </is>
      </c>
      <c r="DC108" s="131">
        <f>+DC92+DC76+DC60+DC44</f>
        <v/>
      </c>
      <c r="DD108" s="258" t="n">
        <v>27166</v>
      </c>
      <c r="DE108" s="258" t="n">
        <v>0</v>
      </c>
      <c r="DF108" s="258" t="n"/>
      <c r="DG108" s="258" t="n"/>
      <c r="DH108" s="258" t="n"/>
      <c r="DI108" s="258" t="n"/>
      <c r="DJ108" s="357" t="inlineStr">
        <is>
          <t>01</t>
        </is>
      </c>
      <c r="DK108" s="131">
        <f>+DK92+DK76+DK60+DK44</f>
        <v/>
      </c>
      <c r="DL108" s="258" t="n">
        <v>15290</v>
      </c>
      <c r="DM108" s="258" t="n">
        <v>0</v>
      </c>
      <c r="DN108" s="258" t="n"/>
      <c r="DO108" s="258" t="n"/>
      <c r="DP108" s="258" t="n"/>
      <c r="DR108" s="357" t="inlineStr">
        <is>
          <t>01</t>
        </is>
      </c>
      <c r="DS108" s="131">
        <f>+DS92+DS76+DS60+DS44</f>
        <v/>
      </c>
      <c r="DT108" s="258" t="n">
        <v>18933</v>
      </c>
      <c r="DU108" s="258" t="n">
        <v>0</v>
      </c>
      <c r="DV108" s="258" t="n"/>
      <c r="DW108" s="258" t="n"/>
      <c r="DX108" s="258" t="n"/>
      <c r="DZ108" s="357" t="inlineStr">
        <is>
          <t>01</t>
        </is>
      </c>
      <c r="EA108" s="131">
        <f>+EA92+EA76+EA60+EA44</f>
        <v/>
      </c>
      <c r="EB108" s="258" t="n"/>
      <c r="EC108" s="258" t="n">
        <v>0</v>
      </c>
      <c r="ED108" s="258" t="n"/>
      <c r="EE108" s="258" t="n"/>
      <c r="EF108" s="258" t="n"/>
    </row>
    <row r="109">
      <c r="B109" s="357" t="inlineStr">
        <is>
          <t>02</t>
        </is>
      </c>
      <c r="C109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09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09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09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09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09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09" s="258" t="n"/>
      <c r="J109" s="357" t="inlineStr">
        <is>
          <t>02</t>
        </is>
      </c>
      <c r="K109" s="131">
        <f>+K93+K77+K61+K45</f>
        <v/>
      </c>
      <c r="L109" s="258" t="n">
        <v>22623</v>
      </c>
      <c r="M109" s="258" t="n">
        <v>26956</v>
      </c>
      <c r="N109" s="258" t="n">
        <v>27993</v>
      </c>
      <c r="O109" s="258" t="n">
        <v>15787</v>
      </c>
      <c r="P109" s="258" t="n">
        <v>32172</v>
      </c>
      <c r="R109" s="357" t="inlineStr">
        <is>
          <t>02</t>
        </is>
      </c>
      <c r="S109" s="258">
        <f>+S93+S77+S61+S45</f>
        <v/>
      </c>
      <c r="T109" s="258" t="n">
        <v>12285</v>
      </c>
      <c r="U109" s="258" t="n">
        <v>13943</v>
      </c>
      <c r="V109" s="258" t="n">
        <v>15150</v>
      </c>
      <c r="W109" s="258" t="n">
        <v>9971</v>
      </c>
      <c r="X109" s="258" t="n">
        <v>16804</v>
      </c>
      <c r="Z109" s="357" t="inlineStr">
        <is>
          <t>02</t>
        </is>
      </c>
      <c r="AA109" s="131">
        <f>+AA93+AA77+AA61+AA45</f>
        <v/>
      </c>
      <c r="AB109" s="258" t="n">
        <v>17106</v>
      </c>
      <c r="AC109" s="258" t="n">
        <v>19487</v>
      </c>
      <c r="AD109" s="258" t="n">
        <v>18914</v>
      </c>
      <c r="AE109" s="258" t="n">
        <v>11007</v>
      </c>
      <c r="AF109" s="258" t="n">
        <v>20987</v>
      </c>
      <c r="AH109" s="357" t="inlineStr">
        <is>
          <t>02</t>
        </is>
      </c>
      <c r="AI109" s="131">
        <f>+AI93+AI77+AI61+AI45</f>
        <v/>
      </c>
      <c r="AJ109" s="258" t="n">
        <v>20720</v>
      </c>
      <c r="AK109" s="258" t="n">
        <v>21166</v>
      </c>
      <c r="AL109" s="258" t="n">
        <v>22311</v>
      </c>
      <c r="AM109" s="258" t="n">
        <v>13285</v>
      </c>
      <c r="AN109" s="258" t="n">
        <v>23078</v>
      </c>
      <c r="AP109" s="357" t="inlineStr">
        <is>
          <t>02</t>
        </is>
      </c>
      <c r="AQ109" s="131">
        <f>+AQ93+AQ77+AQ61+AQ45</f>
        <v/>
      </c>
      <c r="AR109" s="258" t="n">
        <v>26592</v>
      </c>
      <c r="AS109" s="258" t="n">
        <v>28421</v>
      </c>
      <c r="AT109" s="258" t="n">
        <v>28085</v>
      </c>
      <c r="AU109" s="258" t="n">
        <v>17039</v>
      </c>
      <c r="AV109" s="258" t="n">
        <v>0</v>
      </c>
      <c r="AX109" s="357" t="inlineStr">
        <is>
          <t>02</t>
        </is>
      </c>
      <c r="AY109" s="131">
        <f>+AY93+AY77+AY61+AY45</f>
        <v/>
      </c>
      <c r="AZ109" s="258" t="n">
        <v>12262</v>
      </c>
      <c r="BA109" s="258" t="n">
        <v>12858</v>
      </c>
      <c r="BB109" s="258" t="n">
        <v>12416</v>
      </c>
      <c r="BC109" s="258" t="n"/>
      <c r="BD109" s="258" t="n"/>
      <c r="BE109" s="258" t="n"/>
      <c r="BF109" s="357" t="inlineStr">
        <is>
          <t>02</t>
        </is>
      </c>
      <c r="BG109" s="131">
        <f>+BG93+BG77+BG61+BG45</f>
        <v/>
      </c>
      <c r="BH109" s="258" t="n">
        <v>13338</v>
      </c>
      <c r="BI109" s="258" t="n">
        <v>13427</v>
      </c>
      <c r="BJ109" s="258" t="n"/>
      <c r="BK109" s="258" t="n"/>
      <c r="BL109" s="258" t="n"/>
      <c r="BM109" s="258" t="n"/>
      <c r="BN109" s="357" t="inlineStr">
        <is>
          <t>02</t>
        </is>
      </c>
      <c r="BO109" s="131">
        <f>+BO93+BO77+BO61+BO45</f>
        <v/>
      </c>
      <c r="BP109" s="258" t="n">
        <v>19869</v>
      </c>
      <c r="BQ109" s="258" t="n">
        <v>20351</v>
      </c>
      <c r="BR109" s="258" t="n">
        <v>20289</v>
      </c>
      <c r="BS109" s="258" t="n">
        <v>12103</v>
      </c>
      <c r="BT109" s="258" t="n">
        <v>23008</v>
      </c>
      <c r="BV109" s="357" t="inlineStr">
        <is>
          <t>02</t>
        </is>
      </c>
      <c r="BW109" s="131">
        <f>+BW93+BW77+BW61+BW45</f>
        <v/>
      </c>
      <c r="BX109" s="258" t="n">
        <v>12955</v>
      </c>
      <c r="BY109" s="258" t="n">
        <v>14393</v>
      </c>
      <c r="BZ109" s="258" t="n">
        <v>14593</v>
      </c>
      <c r="CA109" s="258" t="n">
        <v>8968</v>
      </c>
      <c r="CB109" s="258" t="n">
        <v>15360</v>
      </c>
      <c r="CC109" s="258" t="n"/>
      <c r="CD109" s="357" t="inlineStr">
        <is>
          <t>02</t>
        </is>
      </c>
      <c r="CE109" s="131">
        <f>+CE93+CE77+CE61+CE45</f>
        <v/>
      </c>
      <c r="CF109" s="258" t="n">
        <v>21837</v>
      </c>
      <c r="CG109" s="258" t="n">
        <v>21443</v>
      </c>
      <c r="CH109" s="258" t="n">
        <v>22083</v>
      </c>
      <c r="CI109" s="258" t="n">
        <v>11731</v>
      </c>
      <c r="CJ109" s="258" t="n">
        <v>25852</v>
      </c>
      <c r="CL109" s="357" t="inlineStr">
        <is>
          <t>02</t>
        </is>
      </c>
      <c r="CM109" s="131">
        <f>+CM93+CM77+CM61+CM45</f>
        <v/>
      </c>
      <c r="CN109" s="258" t="n">
        <v>19449</v>
      </c>
      <c r="CO109" s="258" t="n">
        <v>26542</v>
      </c>
      <c r="CP109" s="258" t="n">
        <v>25969</v>
      </c>
      <c r="CQ109" s="258" t="n">
        <v>14574</v>
      </c>
      <c r="CR109" s="258" t="n">
        <v>29242</v>
      </c>
      <c r="CT109" s="357" t="inlineStr">
        <is>
          <t>02</t>
        </is>
      </c>
      <c r="CU109" s="131">
        <f>+CU93+CU77+CU61+CU45</f>
        <v/>
      </c>
      <c r="CV109" s="258" t="n">
        <v>25114</v>
      </c>
      <c r="CW109" s="258" t="n">
        <v>0</v>
      </c>
      <c r="CX109" s="258" t="n"/>
      <c r="CY109" s="258" t="n"/>
      <c r="CZ109" s="258" t="n"/>
      <c r="DB109" s="357" t="inlineStr">
        <is>
          <t>02</t>
        </is>
      </c>
      <c r="DC109" s="131">
        <f>+DC93+DC77+DC61+DC45</f>
        <v/>
      </c>
      <c r="DD109" s="258" t="n">
        <v>25494</v>
      </c>
      <c r="DE109" s="258" t="n">
        <v>0</v>
      </c>
      <c r="DF109" s="258" t="n"/>
      <c r="DG109" s="258" t="n"/>
      <c r="DH109" s="258" t="n"/>
      <c r="DI109" s="258" t="n"/>
      <c r="DJ109" s="357" t="inlineStr">
        <is>
          <t>02</t>
        </is>
      </c>
      <c r="DK109" s="131">
        <f>+DK93+DK77+DK61+DK45</f>
        <v/>
      </c>
      <c r="DL109" s="258" t="n">
        <v>14856</v>
      </c>
      <c r="DM109" s="258" t="n">
        <v>0</v>
      </c>
      <c r="DN109" s="258" t="n"/>
      <c r="DO109" s="258" t="n"/>
      <c r="DP109" s="258" t="n"/>
      <c r="DR109" s="357" t="inlineStr">
        <is>
          <t>02</t>
        </is>
      </c>
      <c r="DS109" s="131">
        <f>+DS93+DS77+DS61+DS45</f>
        <v/>
      </c>
      <c r="DT109" s="258" t="n">
        <v>18455</v>
      </c>
      <c r="DU109" s="258" t="n">
        <v>0</v>
      </c>
      <c r="DV109" s="258" t="n"/>
      <c r="DW109" s="258" t="n"/>
      <c r="DX109" s="258" t="n"/>
      <c r="DZ109" s="357" t="inlineStr">
        <is>
          <t>02</t>
        </is>
      </c>
      <c r="EA109" s="131">
        <f>+EA93+EA77+EA61+EA45</f>
        <v/>
      </c>
      <c r="EB109" s="258" t="n"/>
      <c r="EC109" s="258" t="n">
        <v>0</v>
      </c>
      <c r="ED109" s="258" t="n"/>
      <c r="EE109" s="258" t="n"/>
      <c r="EF109" s="258" t="n"/>
    </row>
    <row r="110">
      <c r="B110" s="357" t="inlineStr">
        <is>
          <t>03</t>
        </is>
      </c>
      <c r="C110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0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10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10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10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10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10" s="258" t="n"/>
      <c r="J110" s="357" t="inlineStr">
        <is>
          <t>03</t>
        </is>
      </c>
      <c r="K110" s="131">
        <f>+K94+K78+K62+K46</f>
        <v/>
      </c>
      <c r="L110" s="258" t="n">
        <v>25316</v>
      </c>
      <c r="M110" s="258" t="n">
        <v>27113</v>
      </c>
      <c r="N110" s="258" t="n">
        <v>29047</v>
      </c>
      <c r="O110" s="258" t="n">
        <v>17793</v>
      </c>
      <c r="P110" s="258" t="n">
        <v>15043</v>
      </c>
      <c r="R110" s="357" t="inlineStr">
        <is>
          <t>03</t>
        </is>
      </c>
      <c r="S110" s="258">
        <f>+S94+S78+S62+S46</f>
        <v/>
      </c>
      <c r="T110" s="258" t="n">
        <v>13373</v>
      </c>
      <c r="U110" s="258" t="n">
        <v>14167</v>
      </c>
      <c r="V110" s="258" t="n">
        <v>15321</v>
      </c>
      <c r="W110" s="258" t="n">
        <v>10402</v>
      </c>
      <c r="X110" s="258" t="n">
        <v>8128</v>
      </c>
      <c r="Z110" s="357" t="inlineStr">
        <is>
          <t>03</t>
        </is>
      </c>
      <c r="AA110" s="131">
        <f>+AA94+AA78+AA62+AA46</f>
        <v/>
      </c>
      <c r="AB110" s="258" t="n">
        <v>19689</v>
      </c>
      <c r="AC110" s="258" t="n">
        <v>20551</v>
      </c>
      <c r="AD110" s="258" t="n">
        <v>21072</v>
      </c>
      <c r="AE110" s="258" t="n">
        <v>12013</v>
      </c>
      <c r="AF110" s="258" t="n">
        <v>10551</v>
      </c>
      <c r="AH110" s="357" t="inlineStr">
        <is>
          <t>03</t>
        </is>
      </c>
      <c r="AI110" s="131">
        <f>+AI94+AI78+AI62+AI46</f>
        <v/>
      </c>
      <c r="AJ110" s="258" t="n">
        <v>22444</v>
      </c>
      <c r="AK110" s="258" t="n">
        <v>22327</v>
      </c>
      <c r="AL110" s="258" t="n">
        <v>21789</v>
      </c>
      <c r="AM110" s="258" t="n">
        <v>14140</v>
      </c>
      <c r="AN110" s="258" t="n">
        <v>2945</v>
      </c>
      <c r="AP110" s="357" t="inlineStr">
        <is>
          <t>03</t>
        </is>
      </c>
      <c r="AQ110" s="131">
        <f>+AQ94+AQ78+AQ62+AQ46</f>
        <v/>
      </c>
      <c r="AR110" s="258" t="n">
        <v>28420</v>
      </c>
      <c r="AS110" s="258" t="n">
        <v>28097</v>
      </c>
      <c r="AT110" s="258" t="n">
        <v>27466</v>
      </c>
      <c r="AU110" s="258" t="n">
        <v>17580</v>
      </c>
      <c r="AV110" s="258" t="n">
        <v>0</v>
      </c>
      <c r="AX110" s="357" t="inlineStr">
        <is>
          <t>03</t>
        </is>
      </c>
      <c r="AY110" s="131">
        <f>+AY94+AY78+AY62+AY46</f>
        <v/>
      </c>
      <c r="AZ110" s="258" t="n">
        <v>13568</v>
      </c>
      <c r="BA110" s="258" t="n">
        <v>13571</v>
      </c>
      <c r="BB110" s="258" t="n">
        <v>12854</v>
      </c>
      <c r="BC110" s="258" t="n"/>
      <c r="BD110" s="258" t="n"/>
      <c r="BE110" s="258" t="n"/>
      <c r="BF110" s="357" t="inlineStr">
        <is>
          <t>03</t>
        </is>
      </c>
      <c r="BG110" s="131">
        <f>+BG94+BG78+BG62+BG46</f>
        <v/>
      </c>
      <c r="BH110" s="258" t="n">
        <v>14138</v>
      </c>
      <c r="BI110" s="258" t="n">
        <v>12402</v>
      </c>
      <c r="BJ110" s="258" t="n"/>
      <c r="BK110" s="258" t="n"/>
      <c r="BL110" s="258" t="n"/>
      <c r="BM110" s="258" t="n"/>
      <c r="BN110" s="357" t="inlineStr">
        <is>
          <t>03</t>
        </is>
      </c>
      <c r="BO110" s="131">
        <f>+BO94+BO78+BO62+BO46</f>
        <v/>
      </c>
      <c r="BP110" s="258" t="n">
        <v>21583</v>
      </c>
      <c r="BQ110" s="258" t="n">
        <v>21595</v>
      </c>
      <c r="BR110" s="258" t="n">
        <v>22373</v>
      </c>
      <c r="BS110" s="258" t="n">
        <v>12718</v>
      </c>
      <c r="BT110" s="258" t="n">
        <v>11946</v>
      </c>
      <c r="BV110" s="357" t="inlineStr">
        <is>
          <t>03</t>
        </is>
      </c>
      <c r="BW110" s="131">
        <f>+BW94+BW78+BW62+BW46</f>
        <v/>
      </c>
      <c r="BX110" s="258" t="n">
        <v>14884</v>
      </c>
      <c r="BY110" s="258" t="n">
        <v>14256</v>
      </c>
      <c r="BZ110" s="258" t="n">
        <v>14579</v>
      </c>
      <c r="CA110" s="258" t="n">
        <v>9531</v>
      </c>
      <c r="CB110" s="258" t="n">
        <v>6640</v>
      </c>
      <c r="CC110" s="258" t="n"/>
      <c r="CD110" s="357" t="inlineStr">
        <is>
          <t>03</t>
        </is>
      </c>
      <c r="CE110" s="131">
        <f>+CE94+CE78+CE62+CE46</f>
        <v/>
      </c>
      <c r="CF110" s="258" t="n">
        <v>23173</v>
      </c>
      <c r="CG110" s="258" t="n">
        <v>21192</v>
      </c>
      <c r="CH110" s="258" t="n">
        <v>23010</v>
      </c>
      <c r="CI110" s="258" t="n">
        <v>13188</v>
      </c>
      <c r="CJ110" s="258" t="n">
        <v>11386</v>
      </c>
      <c r="CL110" s="357" t="inlineStr">
        <is>
          <t>03</t>
        </is>
      </c>
      <c r="CM110" s="131">
        <f>+CM94+CM78+CM62+CM46</f>
        <v/>
      </c>
      <c r="CN110" s="258" t="n">
        <v>22537</v>
      </c>
      <c r="CO110" s="258" t="n">
        <v>26542</v>
      </c>
      <c r="CP110" s="258" t="n">
        <v>26368</v>
      </c>
      <c r="CQ110" s="258" t="n">
        <v>16536</v>
      </c>
      <c r="CR110" s="258" t="n">
        <v>13820</v>
      </c>
      <c r="CT110" s="357" t="inlineStr">
        <is>
          <t>03</t>
        </is>
      </c>
      <c r="CU110" s="131">
        <f>+CU94+CU78+CU62+CU46</f>
        <v/>
      </c>
      <c r="CV110" s="258" t="n">
        <v>27787</v>
      </c>
      <c r="CW110" s="258" t="n">
        <v>0</v>
      </c>
      <c r="CX110" s="258" t="n"/>
      <c r="CY110" s="258" t="n"/>
      <c r="CZ110" s="258" t="n"/>
      <c r="DB110" s="357" t="inlineStr">
        <is>
          <t>03</t>
        </is>
      </c>
      <c r="DC110" s="131">
        <f>+DC94+DC78+DC62+DC46</f>
        <v/>
      </c>
      <c r="DD110" s="258" t="n">
        <v>29390</v>
      </c>
      <c r="DE110" s="258" t="n">
        <v>0</v>
      </c>
      <c r="DF110" s="258" t="n"/>
      <c r="DG110" s="258" t="n"/>
      <c r="DH110" s="258" t="n"/>
      <c r="DI110" s="258" t="n"/>
      <c r="DJ110" s="357" t="inlineStr">
        <is>
          <t>03</t>
        </is>
      </c>
      <c r="DK110" s="131">
        <f>+DK94+DK78+DK62+DK46</f>
        <v/>
      </c>
      <c r="DL110" s="258" t="n">
        <v>14613</v>
      </c>
      <c r="DM110" s="258" t="n">
        <v>0</v>
      </c>
      <c r="DN110" s="258" t="n"/>
      <c r="DO110" s="258" t="n"/>
      <c r="DP110" s="258" t="n"/>
      <c r="DR110" s="357" t="inlineStr">
        <is>
          <t>03</t>
        </is>
      </c>
      <c r="DS110" s="131">
        <f>+DS94+DS78+DS62+DS46</f>
        <v/>
      </c>
      <c r="DT110" s="258" t="n">
        <v>19934</v>
      </c>
      <c r="DU110" s="258" t="n">
        <v>0</v>
      </c>
      <c r="DV110" s="258" t="n"/>
      <c r="DW110" s="258" t="n"/>
      <c r="DX110" s="258" t="n"/>
      <c r="DZ110" s="357" t="inlineStr">
        <is>
          <t>03</t>
        </is>
      </c>
      <c r="EA110" s="131">
        <f>+EA94+EA78+EA62+EA46</f>
        <v/>
      </c>
      <c r="EB110" s="258" t="n"/>
      <c r="EC110" s="258" t="n">
        <v>0</v>
      </c>
      <c r="ED110" s="258" t="n"/>
      <c r="EE110" s="258" t="n"/>
      <c r="EF110" s="258" t="n"/>
    </row>
    <row r="111">
      <c r="B111" s="357" t="inlineStr">
        <is>
          <t>04</t>
        </is>
      </c>
      <c r="C111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1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11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11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11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11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11" s="258" t="n"/>
      <c r="J111" s="357" t="inlineStr">
        <is>
          <t>04</t>
        </is>
      </c>
      <c r="K111" s="131">
        <f>+K95+K79+K63+K47</f>
        <v/>
      </c>
      <c r="L111" s="258" t="n">
        <v>25129</v>
      </c>
      <c r="M111" s="258" t="n">
        <v>28372</v>
      </c>
      <c r="N111" s="258" t="n">
        <v>28083</v>
      </c>
      <c r="O111" s="258" t="n">
        <v>18287</v>
      </c>
      <c r="P111" s="258" t="n">
        <v>3.001000000000001e-05</v>
      </c>
      <c r="R111" s="357" t="inlineStr">
        <is>
          <t>04</t>
        </is>
      </c>
      <c r="S111" s="258">
        <f>+S95+S79+S63+S47</f>
        <v/>
      </c>
      <c r="T111" s="258" t="n">
        <v>13947</v>
      </c>
      <c r="U111" s="258" t="n">
        <v>14446</v>
      </c>
      <c r="V111" s="258" t="n">
        <v>15249</v>
      </c>
      <c r="W111" s="258" t="n">
        <v>10695</v>
      </c>
      <c r="X111" s="258" t="n">
        <v>0</v>
      </c>
      <c r="Z111" s="357" t="inlineStr">
        <is>
          <t>04</t>
        </is>
      </c>
      <c r="AA111" s="131">
        <f>+AA95+AA79+AA63+AA47</f>
        <v/>
      </c>
      <c r="AB111" s="258" t="n">
        <v>19476</v>
      </c>
      <c r="AC111" s="258" t="n">
        <v>19447</v>
      </c>
      <c r="AD111" s="258" t="n">
        <v>18994</v>
      </c>
      <c r="AE111" s="258" t="n">
        <v>12753</v>
      </c>
      <c r="AF111" s="258" t="n">
        <v>0</v>
      </c>
      <c r="AH111" s="357" t="inlineStr">
        <is>
          <t>04</t>
        </is>
      </c>
      <c r="AI111" s="131">
        <f>+AI95+AI79+AI63+AI47</f>
        <v/>
      </c>
      <c r="AJ111" s="258" t="n">
        <v>23556</v>
      </c>
      <c r="AK111" s="258" t="n">
        <v>23687</v>
      </c>
      <c r="AL111" s="258" t="n">
        <v>22184</v>
      </c>
      <c r="AM111" s="258" t="n">
        <v>15064</v>
      </c>
      <c r="AN111" s="258" t="n">
        <v>0</v>
      </c>
      <c r="AP111" s="357" t="inlineStr">
        <is>
          <t>04</t>
        </is>
      </c>
      <c r="AQ111" s="131">
        <f>+AQ95+AQ79+AQ63+AQ47</f>
        <v/>
      </c>
      <c r="AR111" s="258" t="n">
        <v>29734</v>
      </c>
      <c r="AS111" s="258" t="n">
        <v>30906</v>
      </c>
      <c r="AT111" s="258" t="n">
        <v>28616</v>
      </c>
      <c r="AU111" s="258" t="n">
        <v>16454</v>
      </c>
      <c r="AV111" s="258" t="n">
        <v>0</v>
      </c>
      <c r="AX111" s="357" t="inlineStr">
        <is>
          <t>04</t>
        </is>
      </c>
      <c r="AY111" s="131">
        <f>+AY95+AY79+AY63+AY47</f>
        <v/>
      </c>
      <c r="AZ111" s="258" t="n">
        <v>14029</v>
      </c>
      <c r="BA111" s="258" t="n">
        <v>14712</v>
      </c>
      <c r="BB111" s="258" t="n">
        <v>13686</v>
      </c>
      <c r="BC111" s="258" t="n"/>
      <c r="BD111" s="258" t="n"/>
      <c r="BE111" s="258" t="n"/>
      <c r="BF111" s="357" t="inlineStr">
        <is>
          <t>04</t>
        </is>
      </c>
      <c r="BG111" s="131">
        <f>+BG95+BG79+BG63+BG47</f>
        <v/>
      </c>
      <c r="BH111" s="258" t="n">
        <v>15455</v>
      </c>
      <c r="BI111" s="258" t="n">
        <v>15795</v>
      </c>
      <c r="BJ111" s="258" t="n"/>
      <c r="BK111" s="258" t="n"/>
      <c r="BL111" s="258" t="n"/>
      <c r="BM111" s="258" t="n"/>
      <c r="BN111" s="357" t="inlineStr">
        <is>
          <t>04</t>
        </is>
      </c>
      <c r="BO111" s="131">
        <f>+BO95+BO79+BO63+BO47</f>
        <v/>
      </c>
      <c r="BP111" s="258" t="n">
        <v>21361</v>
      </c>
      <c r="BQ111" s="258" t="n">
        <v>20737</v>
      </c>
      <c r="BR111" s="258" t="n">
        <v>22196</v>
      </c>
      <c r="BS111" s="258" t="n">
        <v>12930</v>
      </c>
      <c r="BT111" s="258" t="n">
        <v>0</v>
      </c>
      <c r="BV111" s="357" t="inlineStr">
        <is>
          <t>04</t>
        </is>
      </c>
      <c r="BW111" s="131">
        <f>+BW95+BW79+BW63+BW47</f>
        <v/>
      </c>
      <c r="BX111" s="258" t="n">
        <v>16139</v>
      </c>
      <c r="BY111" s="258" t="n">
        <v>15904</v>
      </c>
      <c r="BZ111" s="258" t="n">
        <v>16554</v>
      </c>
      <c r="CA111" s="258" t="n">
        <v>9568</v>
      </c>
      <c r="CB111" s="258" t="n">
        <v>0</v>
      </c>
      <c r="CC111" s="258" t="n"/>
      <c r="CD111" s="357" t="inlineStr">
        <is>
          <t>04</t>
        </is>
      </c>
      <c r="CE111" s="131">
        <f>+CE95+CE79+CE63+CE47</f>
        <v/>
      </c>
      <c r="CF111" s="258" t="n">
        <v>25267</v>
      </c>
      <c r="CG111" s="258" t="n">
        <v>23870</v>
      </c>
      <c r="CH111" s="258" t="n">
        <v>23844</v>
      </c>
      <c r="CI111" s="258" t="n">
        <v>13292</v>
      </c>
      <c r="CJ111" s="258" t="n">
        <v>1</v>
      </c>
      <c r="CL111" s="357" t="inlineStr">
        <is>
          <t>04</t>
        </is>
      </c>
      <c r="CM111" s="131">
        <f>+CM95+CM79+CM63+CM47</f>
        <v/>
      </c>
      <c r="CN111" s="258" t="n">
        <v>22251</v>
      </c>
      <c r="CO111" s="258" t="n">
        <v>28859</v>
      </c>
      <c r="CP111" s="258" t="n">
        <v>28383</v>
      </c>
      <c r="CQ111" s="258" t="n">
        <v>16272</v>
      </c>
      <c r="CR111" s="258" t="n">
        <v>0</v>
      </c>
      <c r="CT111" s="357" t="inlineStr">
        <is>
          <t>04</t>
        </is>
      </c>
      <c r="CU111" s="131">
        <f>+CU95+CU79+CU63+CU47</f>
        <v/>
      </c>
      <c r="CV111" s="258" t="n">
        <v>27425</v>
      </c>
      <c r="CW111" s="258" t="n">
        <v>0</v>
      </c>
      <c r="CX111" s="258" t="n"/>
      <c r="CY111" s="258" t="n"/>
      <c r="CZ111" s="258" t="n"/>
      <c r="DB111" s="357" t="inlineStr">
        <is>
          <t>04</t>
        </is>
      </c>
      <c r="DC111" s="131">
        <f>+DC95+DC79+DC63+DC47</f>
        <v/>
      </c>
      <c r="DD111" s="258" t="n">
        <v>28520</v>
      </c>
      <c r="DE111" s="258" t="n">
        <v>0</v>
      </c>
      <c r="DF111" s="258" t="n"/>
      <c r="DG111" s="258" t="n"/>
      <c r="DH111" s="258" t="n"/>
      <c r="DI111" s="258" t="n"/>
      <c r="DJ111" s="357" t="inlineStr">
        <is>
          <t>04</t>
        </is>
      </c>
      <c r="DK111" s="131">
        <f>+DK95+DK79+DK63+DK47</f>
        <v/>
      </c>
      <c r="DL111" s="258" t="n">
        <v>14968</v>
      </c>
      <c r="DM111" s="258" t="n">
        <v>0</v>
      </c>
      <c r="DN111" s="258" t="n"/>
      <c r="DO111" s="258" t="n"/>
      <c r="DP111" s="258" t="n"/>
      <c r="DR111" s="357" t="inlineStr">
        <is>
          <t>04</t>
        </is>
      </c>
      <c r="DS111" s="131">
        <f>+DS95+DS79+DS63+DS47</f>
        <v/>
      </c>
      <c r="DT111" s="258" t="n">
        <v>19873</v>
      </c>
      <c r="DU111" s="258" t="n">
        <v>0</v>
      </c>
      <c r="DV111" s="258" t="n"/>
      <c r="DW111" s="258" t="n"/>
      <c r="DX111" s="258" t="n"/>
      <c r="DZ111" s="357" t="inlineStr">
        <is>
          <t>04</t>
        </is>
      </c>
      <c r="EA111" s="131">
        <f>+EA95+EA79+EA63+EA47</f>
        <v/>
      </c>
      <c r="EB111" s="258" t="n"/>
      <c r="EC111" s="258" t="n">
        <v>0</v>
      </c>
      <c r="ED111" s="258" t="n"/>
      <c r="EE111" s="258" t="n"/>
      <c r="EF111" s="258" t="n"/>
    </row>
    <row r="112">
      <c r="B112" s="357" t="inlineStr">
        <is>
          <t>05</t>
        </is>
      </c>
      <c r="C112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2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12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12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12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12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12" s="258" t="n"/>
      <c r="J112" s="357" t="inlineStr">
        <is>
          <t>05</t>
        </is>
      </c>
      <c r="K112" s="131">
        <f>+K96+K80+K64+K48</f>
        <v/>
      </c>
      <c r="L112" s="258" t="n">
        <v>26236</v>
      </c>
      <c r="M112" s="258" t="n">
        <v>28823</v>
      </c>
      <c r="N112" s="258" t="n">
        <v>29823</v>
      </c>
      <c r="O112" s="258" t="n">
        <v>23216</v>
      </c>
      <c r="P112" s="258" t="n">
        <v>12295.0000101</v>
      </c>
      <c r="R112" s="357" t="inlineStr">
        <is>
          <t>05</t>
        </is>
      </c>
      <c r="S112" s="258">
        <f>+S96+S80+S64+S48</f>
        <v/>
      </c>
      <c r="T112" s="258" t="n">
        <v>14055</v>
      </c>
      <c r="U112" s="258" t="n">
        <v>14850</v>
      </c>
      <c r="V112" s="258" t="n">
        <v>15674</v>
      </c>
      <c r="W112" s="258" t="n">
        <v>13349</v>
      </c>
      <c r="X112" s="258" t="n">
        <v>3968</v>
      </c>
      <c r="Z112" s="357" t="inlineStr">
        <is>
          <t>05</t>
        </is>
      </c>
      <c r="AA112" s="131">
        <f>+AA96+AA80+AA64+AA48</f>
        <v/>
      </c>
      <c r="AB112" s="258" t="n">
        <v>15772</v>
      </c>
      <c r="AC112" s="258" t="n">
        <v>19122</v>
      </c>
      <c r="AD112" s="258" t="n">
        <v>21435</v>
      </c>
      <c r="AE112" s="258" t="n">
        <v>15778</v>
      </c>
      <c r="AF112" s="258" t="n">
        <v>6782</v>
      </c>
      <c r="AH112" s="357" t="inlineStr">
        <is>
          <t>05</t>
        </is>
      </c>
      <c r="AI112" s="131">
        <f>+AI96+AI80+AI64+AI48</f>
        <v/>
      </c>
      <c r="AJ112" s="258" t="n">
        <v>23109</v>
      </c>
      <c r="AK112" s="258" t="n">
        <v>24476</v>
      </c>
      <c r="AL112" s="258" t="n">
        <v>23861</v>
      </c>
      <c r="AM112" s="258" t="n">
        <v>19153</v>
      </c>
      <c r="AN112" s="258" t="n">
        <v>10900</v>
      </c>
      <c r="AP112" s="357" t="inlineStr">
        <is>
          <t>05</t>
        </is>
      </c>
      <c r="AQ112" s="131">
        <f>+AQ96+AQ80+AQ64+AQ48</f>
        <v/>
      </c>
      <c r="AR112" s="258" t="n">
        <v>29622</v>
      </c>
      <c r="AS112" s="258" t="n">
        <v>31298</v>
      </c>
      <c r="AT112" s="258" t="n">
        <v>30379</v>
      </c>
      <c r="AU112" s="258" t="n">
        <v>24016</v>
      </c>
      <c r="AV112" s="258" t="n">
        <v>0</v>
      </c>
      <c r="AX112" s="357" t="inlineStr">
        <is>
          <t>05</t>
        </is>
      </c>
      <c r="AY112" s="131">
        <f>+AY96+AY80+AY64+AY48</f>
        <v/>
      </c>
      <c r="AZ112" s="258" t="n">
        <v>14935</v>
      </c>
      <c r="BA112" s="258" t="n">
        <v>15198</v>
      </c>
      <c r="BB112" s="258" t="n">
        <v>14490</v>
      </c>
      <c r="BC112" s="258" t="n"/>
      <c r="BD112" s="258" t="n"/>
      <c r="BE112" s="258" t="n"/>
      <c r="BF112" s="357" t="inlineStr">
        <is>
          <t>05</t>
        </is>
      </c>
      <c r="BG112" s="131">
        <f>+BG96+BG80+BG64+BG48</f>
        <v/>
      </c>
      <c r="BH112" s="258" t="n">
        <v>16276</v>
      </c>
      <c r="BI112" s="258" t="n">
        <v>16354</v>
      </c>
      <c r="BJ112" s="258" t="n"/>
      <c r="BK112" s="258" t="n"/>
      <c r="BL112" s="258" t="n"/>
      <c r="BM112" s="258" t="n"/>
      <c r="BN112" s="357" t="inlineStr">
        <is>
          <t>05</t>
        </is>
      </c>
      <c r="BO112" s="131">
        <f>+BO96+BO80+BO64+BO48</f>
        <v/>
      </c>
      <c r="BP112" s="258" t="n">
        <v>22771</v>
      </c>
      <c r="BQ112" s="258" t="n">
        <v>22298</v>
      </c>
      <c r="BR112" s="258" t="n">
        <v>24342</v>
      </c>
      <c r="BS112" s="258" t="n">
        <v>17169</v>
      </c>
      <c r="BT112" s="258" t="n">
        <v>7073</v>
      </c>
      <c r="BV112" s="357" t="inlineStr">
        <is>
          <t>05</t>
        </is>
      </c>
      <c r="BW112" s="131">
        <f>+BW96+BW80+BW64+BW48</f>
        <v/>
      </c>
      <c r="BX112" s="258" t="n">
        <v>17238</v>
      </c>
      <c r="BY112" s="258" t="n">
        <v>17761</v>
      </c>
      <c r="BZ112" s="258" t="n">
        <v>17668</v>
      </c>
      <c r="CA112" s="258" t="n">
        <v>13934</v>
      </c>
      <c r="CB112" s="258" t="n">
        <v>4380</v>
      </c>
      <c r="CC112" s="258" t="n"/>
      <c r="CD112" s="357" t="inlineStr">
        <is>
          <t>05</t>
        </is>
      </c>
      <c r="CE112" s="131">
        <f>+CE96+CE80+CE64+CE48</f>
        <v/>
      </c>
      <c r="CF112" s="258" t="n">
        <v>28051</v>
      </c>
      <c r="CG112" s="258" t="n">
        <v>27436</v>
      </c>
      <c r="CH112" s="258" t="n">
        <v>27303</v>
      </c>
      <c r="CI112" s="258" t="n">
        <v>20302</v>
      </c>
      <c r="CJ112" s="258" t="n">
        <v>12152</v>
      </c>
      <c r="CL112" s="357" t="inlineStr">
        <is>
          <t>05</t>
        </is>
      </c>
      <c r="CM112" s="131">
        <f>+CM96+CM80+CM64+CM48</f>
        <v/>
      </c>
      <c r="CN112" s="258" t="n">
        <v>23408</v>
      </c>
      <c r="CO112" s="258" t="n">
        <v>29795</v>
      </c>
      <c r="CP112" s="258" t="n">
        <v>29503</v>
      </c>
      <c r="CQ112" s="258" t="n">
        <v>21796</v>
      </c>
      <c r="CR112" s="258" t="n">
        <v>11215</v>
      </c>
      <c r="CT112" s="357" t="inlineStr">
        <is>
          <t>05</t>
        </is>
      </c>
      <c r="CU112" s="131">
        <f>+CU96+CU80+CU64+CU48</f>
        <v/>
      </c>
      <c r="CV112" s="258" t="n">
        <v>28390</v>
      </c>
      <c r="CW112" s="258" t="n">
        <v>0</v>
      </c>
      <c r="CX112" s="258" t="n"/>
      <c r="CY112" s="258" t="n"/>
      <c r="CZ112" s="258" t="n"/>
      <c r="DB112" s="357" t="inlineStr">
        <is>
          <t>05</t>
        </is>
      </c>
      <c r="DC112" s="131">
        <f>+DC96+DC80+DC64+DC48</f>
        <v/>
      </c>
      <c r="DD112" s="258" t="n">
        <v>29448</v>
      </c>
      <c r="DE112" s="258" t="n">
        <v>0</v>
      </c>
      <c r="DF112" s="258" t="n"/>
      <c r="DG112" s="258" t="n"/>
      <c r="DH112" s="258" t="n"/>
      <c r="DI112" s="258" t="n"/>
      <c r="DJ112" s="357" t="inlineStr">
        <is>
          <t>05</t>
        </is>
      </c>
      <c r="DK112" s="131">
        <f>+DK96+DK80+DK64+DK48</f>
        <v/>
      </c>
      <c r="DL112" s="258" t="n">
        <v>15291</v>
      </c>
      <c r="DM112" s="258" t="n">
        <v>0</v>
      </c>
      <c r="DN112" s="258" t="n"/>
      <c r="DO112" s="258" t="n"/>
      <c r="DP112" s="258" t="n"/>
      <c r="DR112" s="357" t="inlineStr">
        <is>
          <t>05</t>
        </is>
      </c>
      <c r="DS112" s="131">
        <f>+DS96+DS80+DS64+DS48</f>
        <v/>
      </c>
      <c r="DT112" s="258" t="n">
        <v>20365</v>
      </c>
      <c r="DU112" s="258" t="n">
        <v>0</v>
      </c>
      <c r="DV112" s="258" t="n"/>
      <c r="DW112" s="258" t="n"/>
      <c r="DX112" s="258" t="n"/>
      <c r="DZ112" s="357" t="inlineStr">
        <is>
          <t>05</t>
        </is>
      </c>
      <c r="EA112" s="131">
        <f>+EA96+EA80+EA64+EA48</f>
        <v/>
      </c>
      <c r="EB112" s="258" t="n"/>
      <c r="EC112" s="258" t="n">
        <v>0</v>
      </c>
      <c r="ED112" s="258" t="n"/>
      <c r="EE112" s="258" t="n"/>
      <c r="EF112" s="258" t="n"/>
    </row>
    <row r="113">
      <c r="B113" s="357" t="inlineStr">
        <is>
          <t>06</t>
        </is>
      </c>
      <c r="C113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3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13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13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13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13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13" s="258" t="n"/>
      <c r="J113" s="357" t="inlineStr">
        <is>
          <t>06</t>
        </is>
      </c>
      <c r="K113" s="131">
        <f>+K97+K81+K65+K49</f>
        <v/>
      </c>
      <c r="L113" s="258" t="n">
        <v>24629</v>
      </c>
      <c r="M113" s="258" t="n">
        <v>28400</v>
      </c>
      <c r="N113" s="258" t="n">
        <v>28747</v>
      </c>
      <c r="O113" s="258" t="n">
        <v>28999</v>
      </c>
      <c r="P113" s="258" t="n">
        <v>24155</v>
      </c>
      <c r="R113" s="357" t="inlineStr">
        <is>
          <t>06</t>
        </is>
      </c>
      <c r="S113" s="258">
        <f>+S97+S81+S65+S49</f>
        <v/>
      </c>
      <c r="T113" s="258" t="n">
        <v>14115</v>
      </c>
      <c r="U113" s="258" t="n">
        <v>14671</v>
      </c>
      <c r="V113" s="258" t="n">
        <v>15278</v>
      </c>
      <c r="W113" s="258" t="n">
        <v>16770</v>
      </c>
      <c r="X113" s="258" t="n">
        <v>12741</v>
      </c>
      <c r="Z113" s="357" t="inlineStr">
        <is>
          <t>06</t>
        </is>
      </c>
      <c r="AA113" s="131">
        <f>+AA97+AA81+AA65+AA49</f>
        <v/>
      </c>
      <c r="AB113" s="258" t="n">
        <v>16980</v>
      </c>
      <c r="AC113" s="258" t="n">
        <v>18834</v>
      </c>
      <c r="AD113" s="258" t="n">
        <v>19228</v>
      </c>
      <c r="AE113" s="258" t="n">
        <v>17809</v>
      </c>
      <c r="AF113" s="258" t="n">
        <v>14207</v>
      </c>
      <c r="AH113" s="357" t="inlineStr">
        <is>
          <t>06</t>
        </is>
      </c>
      <c r="AI113" s="131">
        <f>+AI97+AI81+AI65+AI49</f>
        <v/>
      </c>
      <c r="AJ113" s="258" t="n">
        <v>23848</v>
      </c>
      <c r="AK113" s="258" t="n">
        <v>23722</v>
      </c>
      <c r="AL113" s="258" t="n">
        <v>23540</v>
      </c>
      <c r="AM113" s="258" t="n">
        <v>23751</v>
      </c>
      <c r="AN113" s="258" t="n">
        <v>21134</v>
      </c>
      <c r="AP113" s="357" t="inlineStr">
        <is>
          <t>06</t>
        </is>
      </c>
      <c r="AQ113" s="131">
        <f>+AQ97+AQ81+AQ65+AQ49</f>
        <v/>
      </c>
      <c r="AR113" s="258" t="n">
        <v>28894</v>
      </c>
      <c r="AS113" s="258" t="n">
        <v>30039</v>
      </c>
      <c r="AT113" s="258" t="n">
        <v>31699</v>
      </c>
      <c r="AU113" s="258" t="n">
        <v>13155</v>
      </c>
      <c r="AV113" s="258" t="n">
        <v>0</v>
      </c>
      <c r="AX113" s="357" t="inlineStr">
        <is>
          <t>06</t>
        </is>
      </c>
      <c r="AY113" s="131">
        <f>+AY97+AY81+AY65+AY49</f>
        <v/>
      </c>
      <c r="AZ113" s="258" t="n">
        <v>14975</v>
      </c>
      <c r="BA113" s="258" t="n">
        <v>14728</v>
      </c>
      <c r="BB113" s="258" t="n">
        <v>14884</v>
      </c>
      <c r="BC113" s="258" t="n"/>
      <c r="BD113" s="258" t="n"/>
      <c r="BE113" s="258" t="n"/>
      <c r="BF113" s="357" t="inlineStr">
        <is>
          <t>06</t>
        </is>
      </c>
      <c r="BG113" s="131">
        <f>+BG97+BG81+BG65+BG49</f>
        <v/>
      </c>
      <c r="BH113" s="258" t="n">
        <v>15597</v>
      </c>
      <c r="BI113" s="258" t="n">
        <v>15565</v>
      </c>
      <c r="BJ113" s="258" t="n"/>
      <c r="BK113" s="258" t="n"/>
      <c r="BL113" s="258" t="n"/>
      <c r="BM113" s="258" t="n"/>
      <c r="BN113" s="357" t="inlineStr">
        <is>
          <t>06</t>
        </is>
      </c>
      <c r="BO113" s="131">
        <f>+BO97+BO81+BO65+BO49</f>
        <v/>
      </c>
      <c r="BP113" s="258" t="n">
        <v>21636</v>
      </c>
      <c r="BQ113" s="258" t="n">
        <v>20394</v>
      </c>
      <c r="BR113" s="258" t="n">
        <v>22615</v>
      </c>
      <c r="BS113" s="258" t="n">
        <v>21126</v>
      </c>
      <c r="BT113" s="258" t="n">
        <v>17165</v>
      </c>
      <c r="BV113" s="357" t="inlineStr">
        <is>
          <t>06</t>
        </is>
      </c>
      <c r="BW113" s="131">
        <f>+BW97+BW81+BW65+BW49</f>
        <v/>
      </c>
      <c r="BX113" s="258" t="n">
        <v>16189</v>
      </c>
      <c r="BY113" s="258" t="n">
        <v>15871</v>
      </c>
      <c r="BZ113" s="258" t="n">
        <v>17582</v>
      </c>
      <c r="CA113" s="258" t="n">
        <v>16491</v>
      </c>
      <c r="CB113" s="258" t="n">
        <v>14830</v>
      </c>
      <c r="CC113" s="258" t="n"/>
      <c r="CD113" s="357" t="inlineStr">
        <is>
          <t>06</t>
        </is>
      </c>
      <c r="CE113" s="131">
        <f>+CE97+CE81+CE65+CE49</f>
        <v/>
      </c>
      <c r="CF113" s="258" t="n">
        <v>27184</v>
      </c>
      <c r="CG113" s="258" t="n">
        <v>25658</v>
      </c>
      <c r="CH113" s="258" t="n">
        <v>26424</v>
      </c>
      <c r="CI113" s="258" t="n">
        <v>26198</v>
      </c>
      <c r="CJ113" s="258" t="n">
        <v>26161</v>
      </c>
      <c r="CL113" s="357" t="inlineStr">
        <is>
          <t>06</t>
        </is>
      </c>
      <c r="CM113" s="131">
        <f>+CM97+CM81+CM65+CM49</f>
        <v/>
      </c>
      <c r="CN113" s="258" t="n">
        <v>22683</v>
      </c>
      <c r="CO113" s="258" t="n">
        <v>27771</v>
      </c>
      <c r="CP113" s="258" t="n">
        <v>29738</v>
      </c>
      <c r="CQ113" s="258" t="n">
        <v>26519</v>
      </c>
      <c r="CR113" s="258" t="n">
        <v>23056</v>
      </c>
      <c r="CT113" s="357" t="inlineStr">
        <is>
          <t>06</t>
        </is>
      </c>
      <c r="CU113" s="131">
        <f>+CU97+CU81+CU65+CU49</f>
        <v/>
      </c>
      <c r="CV113" s="258" t="n">
        <v>27447</v>
      </c>
      <c r="CW113" s="258" t="n">
        <v>0</v>
      </c>
      <c r="CX113" s="258" t="n"/>
      <c r="CY113" s="258" t="n"/>
      <c r="CZ113" s="258" t="n"/>
      <c r="DB113" s="357" t="inlineStr">
        <is>
          <t>06</t>
        </is>
      </c>
      <c r="DC113" s="131">
        <f>+DC97+DC81+DC65+DC49</f>
        <v/>
      </c>
      <c r="DD113" s="258" t="n">
        <v>29239</v>
      </c>
      <c r="DE113" s="258" t="n">
        <v>0</v>
      </c>
      <c r="DF113" s="258" t="n"/>
      <c r="DG113" s="258" t="n"/>
      <c r="DH113" s="258" t="n"/>
      <c r="DI113" s="258" t="n"/>
      <c r="DJ113" s="357" t="inlineStr">
        <is>
          <t>06</t>
        </is>
      </c>
      <c r="DK113" s="131">
        <f>+DK97+DK81+DK65+DK49</f>
        <v/>
      </c>
      <c r="DL113" s="258" t="n">
        <v>15319</v>
      </c>
      <c r="DM113" s="258" t="n">
        <v>0</v>
      </c>
      <c r="DN113" s="258" t="n"/>
      <c r="DO113" s="258" t="n"/>
      <c r="DP113" s="258" t="n"/>
      <c r="DR113" s="357" t="inlineStr">
        <is>
          <t>06</t>
        </is>
      </c>
      <c r="DS113" s="131">
        <f>+DS97+DS81+DS65+DS49</f>
        <v/>
      </c>
      <c r="DT113" s="258" t="n">
        <v>20074</v>
      </c>
      <c r="DU113" s="258" t="n">
        <v>0</v>
      </c>
      <c r="DV113" s="258" t="n"/>
      <c r="DW113" s="258" t="n"/>
      <c r="DX113" s="258" t="n"/>
      <c r="DZ113" s="357" t="inlineStr">
        <is>
          <t>06</t>
        </is>
      </c>
      <c r="EA113" s="131">
        <f>+EA97+EA81+EA65+EA49</f>
        <v/>
      </c>
      <c r="EB113" s="258" t="n"/>
      <c r="EC113" s="258" t="n">
        <v>0</v>
      </c>
      <c r="ED113" s="258" t="n"/>
      <c r="EE113" s="258" t="n"/>
      <c r="EF113" s="258" t="n"/>
    </row>
    <row r="114">
      <c r="B114" s="357" t="inlineStr">
        <is>
          <t>07</t>
        </is>
      </c>
      <c r="C114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4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14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14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14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14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14" s="258" t="n"/>
      <c r="J114" s="357" t="inlineStr">
        <is>
          <t>07</t>
        </is>
      </c>
      <c r="K114" s="131">
        <f>+K98+K82+K66+K50</f>
        <v/>
      </c>
      <c r="L114" s="258" t="n">
        <v>25863</v>
      </c>
      <c r="M114" s="258" t="n">
        <v>29747</v>
      </c>
      <c r="N114" s="258" t="n">
        <v>29785</v>
      </c>
      <c r="O114" s="258" t="n">
        <v>33497</v>
      </c>
      <c r="P114" s="258" t="n">
        <v>27748</v>
      </c>
      <c r="R114" s="357" t="inlineStr">
        <is>
          <t>07</t>
        </is>
      </c>
      <c r="S114" s="258">
        <f>+S98+S82+S66+S50</f>
        <v/>
      </c>
      <c r="T114" s="258" t="n">
        <v>13999</v>
      </c>
      <c r="U114" s="258" t="n">
        <v>14430</v>
      </c>
      <c r="V114" s="258" t="n">
        <v>14594</v>
      </c>
      <c r="W114" s="258" t="n">
        <v>18257</v>
      </c>
      <c r="X114" s="258" t="n">
        <v>16136</v>
      </c>
      <c r="Z114" s="357" t="inlineStr">
        <is>
          <t>07</t>
        </is>
      </c>
      <c r="AA114" s="131">
        <f>+AA98+AA82+AA66+AA50</f>
        <v/>
      </c>
      <c r="AB114" s="258" t="n">
        <v>15112</v>
      </c>
      <c r="AC114" s="258" t="n">
        <v>16898</v>
      </c>
      <c r="AD114" s="258" t="n">
        <v>17755</v>
      </c>
      <c r="AE114" s="258" t="n">
        <v>18107</v>
      </c>
      <c r="AF114" s="258" t="n">
        <v>15585</v>
      </c>
      <c r="AH114" s="357" t="inlineStr">
        <is>
          <t>07</t>
        </is>
      </c>
      <c r="AI114" s="131">
        <f>+AI98+AI82+AI66+AI50</f>
        <v/>
      </c>
      <c r="AJ114" s="258" t="n">
        <v>23369</v>
      </c>
      <c r="AK114" s="258" t="n">
        <v>24858</v>
      </c>
      <c r="AL114" s="258" t="n">
        <v>24184</v>
      </c>
      <c r="AM114" s="258" t="n">
        <v>24333</v>
      </c>
      <c r="AN114" s="258" t="n">
        <v>23613</v>
      </c>
      <c r="AP114" s="357" t="inlineStr">
        <is>
          <t>07</t>
        </is>
      </c>
      <c r="AQ114" s="131">
        <f>+AQ98+AQ82+AQ66+AQ50</f>
        <v/>
      </c>
      <c r="AR114" s="258" t="n">
        <v>30302</v>
      </c>
      <c r="AS114" s="258" t="n">
        <v>33040</v>
      </c>
      <c r="AT114" s="258" t="n">
        <v>33321</v>
      </c>
      <c r="AU114" s="258" t="n">
        <v>20099</v>
      </c>
      <c r="AV114" s="258" t="n">
        <v>0</v>
      </c>
      <c r="AX114" s="357" t="inlineStr">
        <is>
          <t>07</t>
        </is>
      </c>
      <c r="AY114" s="131">
        <f>+AY98+AY82+AY66+AY50</f>
        <v/>
      </c>
      <c r="AZ114" s="258" t="n">
        <v>15034</v>
      </c>
      <c r="BA114" s="258" t="n">
        <v>16286</v>
      </c>
      <c r="BB114" s="258" t="n">
        <v>15828</v>
      </c>
      <c r="BC114" s="258" t="n">
        <v>3528</v>
      </c>
      <c r="BD114" s="258" t="n"/>
      <c r="BE114" s="258" t="n"/>
      <c r="BF114" s="357" t="inlineStr">
        <is>
          <t>07</t>
        </is>
      </c>
      <c r="BG114" s="131">
        <f>+BG98+BG82+BG66+BG50</f>
        <v/>
      </c>
      <c r="BH114" s="258" t="n">
        <v>18488</v>
      </c>
      <c r="BI114" s="258" t="n">
        <v>19979</v>
      </c>
      <c r="BJ114" s="258" t="n"/>
      <c r="BK114" s="258" t="n"/>
      <c r="BL114" s="258" t="n"/>
      <c r="BM114" s="258" t="n"/>
      <c r="BN114" s="357" t="inlineStr">
        <is>
          <t>07</t>
        </is>
      </c>
      <c r="BO114" s="131">
        <f>+BO98+BO82+BO66+BO50</f>
        <v/>
      </c>
      <c r="BP114" s="258" t="n">
        <v>20309</v>
      </c>
      <c r="BQ114" s="258" t="n">
        <v>21407</v>
      </c>
      <c r="BR114" s="258" t="n">
        <v>22358</v>
      </c>
      <c r="BS114" s="258" t="n">
        <v>22801</v>
      </c>
      <c r="BT114" s="258" t="n">
        <v>20412</v>
      </c>
      <c r="BV114" s="357" t="inlineStr">
        <is>
          <t>07</t>
        </is>
      </c>
      <c r="BW114" s="131">
        <f>+BW98+BW82+BW66+BW50</f>
        <v/>
      </c>
      <c r="BX114" s="258" t="n">
        <v>21733</v>
      </c>
      <c r="BY114" s="258" t="n">
        <v>22031</v>
      </c>
      <c r="BZ114" s="258" t="n">
        <v>24462</v>
      </c>
      <c r="CA114" s="258" t="n">
        <v>21874</v>
      </c>
      <c r="CB114" s="258" t="n">
        <v>21875</v>
      </c>
      <c r="CC114" s="258" t="n"/>
      <c r="CD114" s="357" t="inlineStr">
        <is>
          <t>07</t>
        </is>
      </c>
      <c r="CE114" s="131">
        <f>+CE98+CE82+CE66+CE50</f>
        <v/>
      </c>
      <c r="CF114" s="258" t="n">
        <v>32633</v>
      </c>
      <c r="CG114" s="258" t="n">
        <v>33703</v>
      </c>
      <c r="CH114" s="258" t="n">
        <v>35496</v>
      </c>
      <c r="CI114" s="258" t="n">
        <v>34094</v>
      </c>
      <c r="CJ114" s="258" t="n">
        <v>37295</v>
      </c>
      <c r="CL114" s="357" t="inlineStr">
        <is>
          <t>07</t>
        </is>
      </c>
      <c r="CM114" s="131">
        <f>+CM98+CM82+CM66+CM50</f>
        <v/>
      </c>
      <c r="CN114" s="258" t="n">
        <v>24747</v>
      </c>
      <c r="CO114" s="258" t="n">
        <v>32145</v>
      </c>
      <c r="CP114" s="258" t="n">
        <v>33087</v>
      </c>
      <c r="CQ114" s="258" t="n">
        <v>30336</v>
      </c>
      <c r="CR114" s="258" t="n">
        <v>29894</v>
      </c>
      <c r="CT114" s="357" t="inlineStr">
        <is>
          <t>07</t>
        </is>
      </c>
      <c r="CU114" s="131">
        <f>+CU98+CU82+CU66+CU50</f>
        <v/>
      </c>
      <c r="CV114" s="258" t="n">
        <v>27731</v>
      </c>
      <c r="CW114" s="258" t="n">
        <v>0</v>
      </c>
      <c r="CX114" s="258" t="n"/>
      <c r="CY114" s="258" t="n"/>
      <c r="CZ114" s="258" t="n"/>
      <c r="DB114" s="357" t="inlineStr">
        <is>
          <t>07</t>
        </is>
      </c>
      <c r="DC114" s="131">
        <f>+DC98+DC82+DC66+DC50</f>
        <v/>
      </c>
      <c r="DD114" s="258" t="n">
        <v>28924</v>
      </c>
      <c r="DE114" s="258" t="n">
        <v>0</v>
      </c>
      <c r="DF114" s="258" t="n"/>
      <c r="DG114" s="258" t="n"/>
      <c r="DH114" s="258" t="n"/>
      <c r="DI114" s="258" t="n"/>
      <c r="DJ114" s="357" t="inlineStr">
        <is>
          <t>07</t>
        </is>
      </c>
      <c r="DK114" s="131">
        <f>+DK98+DK82+DK66+DK50</f>
        <v/>
      </c>
      <c r="DL114" s="258" t="n">
        <v>15125</v>
      </c>
      <c r="DM114" s="258" t="n">
        <v>0</v>
      </c>
      <c r="DN114" s="258" t="n"/>
      <c r="DO114" s="258" t="n"/>
      <c r="DP114" s="258" t="n"/>
      <c r="DR114" s="357" t="inlineStr">
        <is>
          <t>07</t>
        </is>
      </c>
      <c r="DS114" s="131">
        <f>+DS98+DS82+DS66+DS50</f>
        <v/>
      </c>
      <c r="DT114" s="258" t="n">
        <v>18998</v>
      </c>
      <c r="DU114" s="258" t="n">
        <v>0</v>
      </c>
      <c r="DV114" s="258" t="n"/>
      <c r="DW114" s="258" t="n"/>
      <c r="DX114" s="258" t="n"/>
      <c r="DZ114" s="357" t="inlineStr">
        <is>
          <t>07</t>
        </is>
      </c>
      <c r="EA114" s="131">
        <f>+EA98+EA82+EA66+EA50</f>
        <v/>
      </c>
      <c r="EB114" s="258" t="n"/>
      <c r="EC114" s="258" t="n">
        <v>0</v>
      </c>
      <c r="ED114" s="258" t="n"/>
      <c r="EE114" s="258" t="n"/>
      <c r="EF114" s="258" t="n"/>
    </row>
    <row r="115">
      <c r="B115" s="357" t="inlineStr">
        <is>
          <t>08</t>
        </is>
      </c>
      <c r="C115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5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15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15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15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15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15" s="258" t="n"/>
      <c r="J115" s="357" t="inlineStr">
        <is>
          <t>08</t>
        </is>
      </c>
      <c r="K115" s="131">
        <f>+K99+K83+K67+K51</f>
        <v/>
      </c>
      <c r="L115" s="258" t="n">
        <v>25808</v>
      </c>
      <c r="M115" s="258" t="n">
        <v>28623</v>
      </c>
      <c r="N115" s="258" t="n">
        <v>27582</v>
      </c>
      <c r="O115" s="258" t="n">
        <v>28274</v>
      </c>
      <c r="P115" s="258" t="n">
        <v>29662</v>
      </c>
      <c r="R115" s="357" t="inlineStr">
        <is>
          <t>08</t>
        </is>
      </c>
      <c r="S115" s="258">
        <f>+S99+S83+S67+S51</f>
        <v/>
      </c>
      <c r="T115" s="258" t="n">
        <v>14073</v>
      </c>
      <c r="U115" s="258" t="n">
        <v>14540</v>
      </c>
      <c r="V115" s="258" t="n">
        <v>14422</v>
      </c>
      <c r="W115" s="258" t="n">
        <v>17297</v>
      </c>
      <c r="X115" s="258" t="n">
        <v>16964</v>
      </c>
      <c r="Z115" s="357" t="inlineStr">
        <is>
          <t>08</t>
        </is>
      </c>
      <c r="AA115" s="131">
        <f>+AA99+AA83+AA67+AA51</f>
        <v/>
      </c>
      <c r="AB115" s="258" t="n">
        <v>14976</v>
      </c>
      <c r="AC115" s="258" t="n">
        <v>16356</v>
      </c>
      <c r="AD115" s="258" t="n">
        <v>17127</v>
      </c>
      <c r="AE115" s="258" t="n">
        <v>16759</v>
      </c>
      <c r="AF115" s="258" t="n">
        <v>15876</v>
      </c>
      <c r="AH115" s="357" t="inlineStr">
        <is>
          <t>08</t>
        </is>
      </c>
      <c r="AI115" s="131">
        <f>+AI99+AI83+AI67+AI51</f>
        <v/>
      </c>
      <c r="AJ115" s="258" t="n">
        <v>23018</v>
      </c>
      <c r="AK115" s="258" t="n">
        <v>23882</v>
      </c>
      <c r="AL115" s="258" t="n">
        <v>23288</v>
      </c>
      <c r="AM115" s="258" t="n">
        <v>22959</v>
      </c>
      <c r="AN115" s="258" t="n">
        <v>24366</v>
      </c>
      <c r="AP115" s="357" t="inlineStr">
        <is>
          <t>08</t>
        </is>
      </c>
      <c r="AQ115" s="131">
        <f>+AQ99+AQ83+AQ67+AQ51</f>
        <v/>
      </c>
      <c r="AR115" s="258" t="n">
        <v>31245</v>
      </c>
      <c r="AS115" s="258" t="n">
        <v>32967</v>
      </c>
      <c r="AT115" s="258" t="n">
        <v>34021</v>
      </c>
      <c r="AU115" s="258" t="n">
        <v>29511</v>
      </c>
      <c r="AV115" s="258" t="n">
        <v>0</v>
      </c>
      <c r="AX115" s="357" t="inlineStr">
        <is>
          <t>08</t>
        </is>
      </c>
      <c r="AY115" s="131">
        <f>+AY99+AY83+AY67+AY51</f>
        <v/>
      </c>
      <c r="AZ115" s="258" t="n">
        <v>15620</v>
      </c>
      <c r="BA115" s="258" t="n">
        <v>15872</v>
      </c>
      <c r="BB115" s="258" t="n">
        <v>16035</v>
      </c>
      <c r="BC115" s="258" t="n">
        <v>16283</v>
      </c>
      <c r="BD115" s="258" t="n"/>
      <c r="BE115" s="258" t="n"/>
      <c r="BF115" s="357" t="inlineStr">
        <is>
          <t>08</t>
        </is>
      </c>
      <c r="BG115" s="131">
        <f>+BG99+BG83+BG67+BG51</f>
        <v/>
      </c>
      <c r="BH115" s="258" t="n">
        <v>20427</v>
      </c>
      <c r="BI115" s="258" t="n">
        <v>20449</v>
      </c>
      <c r="BJ115" s="258" t="n"/>
      <c r="BK115" s="258" t="n"/>
      <c r="BL115" s="258" t="n"/>
      <c r="BM115" s="258" t="n"/>
      <c r="BN115" s="357" t="inlineStr">
        <is>
          <t>08</t>
        </is>
      </c>
      <c r="BO115" s="131">
        <f>+BO99+BO83+BO67+BO51</f>
        <v/>
      </c>
      <c r="BP115" s="258" t="n">
        <v>20432</v>
      </c>
      <c r="BQ115" s="258" t="n">
        <v>20303</v>
      </c>
      <c r="BR115" s="258" t="n">
        <v>20619</v>
      </c>
      <c r="BS115" s="258" t="n">
        <v>20854</v>
      </c>
      <c r="BT115" s="258" t="n">
        <v>22471</v>
      </c>
      <c r="BV115" s="357" t="inlineStr">
        <is>
          <t>08</t>
        </is>
      </c>
      <c r="BW115" s="131">
        <f>+BW99+BW83+BW67+BW51</f>
        <v/>
      </c>
      <c r="BX115" s="258" t="n">
        <v>23316</v>
      </c>
      <c r="BY115" s="258" t="n">
        <v>22779</v>
      </c>
      <c r="BZ115" s="258" t="n">
        <v>26091</v>
      </c>
      <c r="CA115" s="258" t="n">
        <v>23938</v>
      </c>
      <c r="CB115" s="258" t="n">
        <v>24698</v>
      </c>
      <c r="CC115" s="258" t="n"/>
      <c r="CD115" s="357" t="inlineStr">
        <is>
          <t>08</t>
        </is>
      </c>
      <c r="CE115" s="131">
        <f>+CE99+CE83+CE67+CE51</f>
        <v/>
      </c>
      <c r="CF115" s="258" t="n">
        <v>38999</v>
      </c>
      <c r="CG115" s="258" t="n">
        <v>37526</v>
      </c>
      <c r="CH115" s="258" t="n">
        <v>35077</v>
      </c>
      <c r="CI115" s="258" t="n">
        <v>37674</v>
      </c>
      <c r="CJ115" s="258" t="n">
        <v>40452</v>
      </c>
      <c r="CL115" s="357" t="inlineStr">
        <is>
          <t>08</t>
        </is>
      </c>
      <c r="CM115" s="131">
        <f>+CM99+CM83+CM67+CM51</f>
        <v/>
      </c>
      <c r="CN115" s="258" t="n">
        <v>26557</v>
      </c>
      <c r="CO115" s="258" t="n">
        <v>34067</v>
      </c>
      <c r="CP115" s="258" t="n">
        <v>34691</v>
      </c>
      <c r="CQ115" s="258" t="n">
        <v>31383</v>
      </c>
      <c r="CR115" s="258" t="n">
        <v>33800</v>
      </c>
      <c r="CT115" s="357" t="inlineStr">
        <is>
          <t>08</t>
        </is>
      </c>
      <c r="CU115" s="131">
        <f>+CU99+CU83+CU67+CU51</f>
        <v/>
      </c>
      <c r="CV115" s="258" t="n">
        <v>31669</v>
      </c>
      <c r="CW115" s="258" t="n">
        <v>0</v>
      </c>
      <c r="CX115" s="258" t="n"/>
      <c r="CY115" s="258" t="n"/>
      <c r="CZ115" s="258" t="n"/>
      <c r="DB115" s="357" t="inlineStr">
        <is>
          <t>08</t>
        </is>
      </c>
      <c r="DC115" s="131">
        <f>+DC99+DC83+DC67+DC51</f>
        <v/>
      </c>
      <c r="DD115" s="258" t="n">
        <v>30483</v>
      </c>
      <c r="DE115" s="258" t="n">
        <v>0</v>
      </c>
      <c r="DF115" s="258" t="n"/>
      <c r="DG115" s="258" t="n"/>
      <c r="DH115" s="258" t="n"/>
      <c r="DI115" s="258" t="n"/>
      <c r="DJ115" s="357" t="inlineStr">
        <is>
          <t>08</t>
        </is>
      </c>
      <c r="DK115" s="131">
        <f>+DK99+DK83+DK67+DK51</f>
        <v/>
      </c>
      <c r="DL115" s="258" t="n">
        <v>15815</v>
      </c>
      <c r="DM115" s="258" t="n">
        <v>0</v>
      </c>
      <c r="DN115" s="258" t="n"/>
      <c r="DO115" s="258" t="n"/>
      <c r="DP115" s="258" t="n"/>
      <c r="DR115" s="357" t="inlineStr">
        <is>
          <t>08</t>
        </is>
      </c>
      <c r="DS115" s="131">
        <f>+DS99+DS83+DS67+DS51</f>
        <v/>
      </c>
      <c r="DT115" s="258" t="n">
        <v>19471</v>
      </c>
      <c r="DU115" s="258" t="n">
        <v>0</v>
      </c>
      <c r="DV115" s="258" t="n"/>
      <c r="DW115" s="258" t="n"/>
      <c r="DX115" s="258" t="n"/>
      <c r="DZ115" s="357" t="inlineStr">
        <is>
          <t>08</t>
        </is>
      </c>
      <c r="EA115" s="131">
        <f>+EA99+EA83+EA67+EA51</f>
        <v/>
      </c>
      <c r="EB115" s="258" t="n">
        <v>18513</v>
      </c>
      <c r="EC115" s="258" t="n">
        <v>0</v>
      </c>
      <c r="ED115" s="258" t="n"/>
      <c r="EE115" s="258" t="n"/>
      <c r="EF115" s="258" t="n"/>
    </row>
    <row r="116">
      <c r="B116" s="357" t="inlineStr">
        <is>
          <t>09</t>
        </is>
      </c>
      <c r="C116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6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16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16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16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16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16" s="258" t="n"/>
      <c r="J116" s="357" t="inlineStr">
        <is>
          <t>09</t>
        </is>
      </c>
      <c r="K116" s="131">
        <f>+K100+K84+K68+K52</f>
        <v/>
      </c>
      <c r="L116" s="258" t="n">
        <v>22773</v>
      </c>
      <c r="M116" s="258" t="n">
        <v>26828</v>
      </c>
      <c r="N116" s="258" t="n">
        <v>26353</v>
      </c>
      <c r="O116" s="258" t="n">
        <v>26758</v>
      </c>
      <c r="P116" s="258" t="n">
        <v>28313</v>
      </c>
      <c r="R116" s="357" t="inlineStr">
        <is>
          <t>09</t>
        </is>
      </c>
      <c r="S116" s="258">
        <f>+S100+S84+S68+S52</f>
        <v/>
      </c>
      <c r="T116" s="258" t="n">
        <v>12640</v>
      </c>
      <c r="U116" s="258" t="n">
        <v>13385</v>
      </c>
      <c r="V116" s="258" t="n">
        <v>14049</v>
      </c>
      <c r="W116" s="258" t="n">
        <v>15632</v>
      </c>
      <c r="X116" s="258" t="n">
        <v>15510</v>
      </c>
      <c r="Z116" s="357" t="inlineStr">
        <is>
          <t>09</t>
        </is>
      </c>
      <c r="AA116" s="131">
        <f>+AA100+AA84+AA68+AA52</f>
        <v/>
      </c>
      <c r="AB116" s="258" t="n">
        <v>15649</v>
      </c>
      <c r="AC116" s="258" t="n">
        <v>19438</v>
      </c>
      <c r="AD116" s="258" t="n">
        <v>19781</v>
      </c>
      <c r="AE116" s="258" t="n">
        <v>18762</v>
      </c>
      <c r="AF116" s="258" t="n">
        <v>18968</v>
      </c>
      <c r="AH116" s="357" t="inlineStr">
        <is>
          <t>09</t>
        </is>
      </c>
      <c r="AI116" s="131">
        <f>+AI100+AI84+AI68+AI52</f>
        <v/>
      </c>
      <c r="AJ116" s="258" t="n">
        <v>20790</v>
      </c>
      <c r="AK116" s="258" t="n">
        <v>23057</v>
      </c>
      <c r="AL116" s="258" t="n">
        <v>21747</v>
      </c>
      <c r="AM116" s="258" t="n">
        <v>20236</v>
      </c>
      <c r="AN116" s="258" t="n">
        <v>24175</v>
      </c>
      <c r="AP116" s="357" t="inlineStr">
        <is>
          <t>09</t>
        </is>
      </c>
      <c r="AQ116" s="131">
        <f>+AQ100+AQ84+AQ68+AQ52</f>
        <v/>
      </c>
      <c r="AR116" s="258" t="n">
        <v>25546</v>
      </c>
      <c r="AS116" s="258" t="n">
        <v>30379</v>
      </c>
      <c r="AT116" s="258" t="n">
        <v>28496</v>
      </c>
      <c r="AU116" s="258" t="n">
        <v>24978</v>
      </c>
      <c r="AV116" s="258" t="n">
        <v>0</v>
      </c>
      <c r="AX116" s="357" t="inlineStr">
        <is>
          <t>09</t>
        </is>
      </c>
      <c r="AY116" s="131">
        <f>+AY100+AY84+AY68+AY52</f>
        <v/>
      </c>
      <c r="AZ116" s="258" t="n">
        <v>12256</v>
      </c>
      <c r="BA116" s="258" t="n">
        <v>13029</v>
      </c>
      <c r="BB116" s="258" t="n">
        <v>13486</v>
      </c>
      <c r="BC116" s="258" t="n">
        <v>12635</v>
      </c>
      <c r="BD116" s="258" t="n"/>
      <c r="BE116" s="258" t="n"/>
      <c r="BF116" s="357" t="inlineStr">
        <is>
          <t>09</t>
        </is>
      </c>
      <c r="BG116" s="131">
        <f>+BG100+BG84+BG68+BG52</f>
        <v/>
      </c>
      <c r="BH116" s="258" t="n">
        <v>12950</v>
      </c>
      <c r="BI116" s="258" t="n">
        <v>14474</v>
      </c>
      <c r="BJ116" s="258" t="n"/>
      <c r="BK116" s="258" t="n"/>
      <c r="BL116" s="258" t="n"/>
      <c r="BM116" s="258" t="n"/>
      <c r="BN116" s="357" t="inlineStr">
        <is>
          <t>09</t>
        </is>
      </c>
      <c r="BO116" s="131">
        <f>+BO100+BO84+BO68+BO52</f>
        <v/>
      </c>
      <c r="BP116" s="258" t="n">
        <v>21032</v>
      </c>
      <c r="BQ116" s="258" t="n">
        <v>21628</v>
      </c>
      <c r="BR116" s="258" t="n">
        <v>22011</v>
      </c>
      <c r="BS116" s="258" t="n">
        <v>21798</v>
      </c>
      <c r="BT116" s="258" t="n">
        <v>25061</v>
      </c>
      <c r="BV116" s="357" t="inlineStr">
        <is>
          <t>09</t>
        </is>
      </c>
      <c r="BW116" s="131">
        <f>+BW100+BW84+BW68+BW52</f>
        <v/>
      </c>
      <c r="BX116" s="258" t="n">
        <v>14180</v>
      </c>
      <c r="BY116" s="258" t="n">
        <v>14976</v>
      </c>
      <c r="BZ116" s="258" t="n">
        <v>15686</v>
      </c>
      <c r="CA116" s="258" t="n">
        <v>14858</v>
      </c>
      <c r="CB116" s="258" t="n">
        <v>16074</v>
      </c>
      <c r="CC116" s="258" t="n"/>
      <c r="CD116" s="357" t="inlineStr">
        <is>
          <t>09</t>
        </is>
      </c>
      <c r="CE116" s="131">
        <f>+CE100+CE84+CE68+CE52</f>
        <v/>
      </c>
      <c r="CF116" s="258" t="n">
        <v>21940</v>
      </c>
      <c r="CG116" s="258" t="n">
        <v>24487</v>
      </c>
      <c r="CH116" s="258" t="n">
        <v>21242</v>
      </c>
      <c r="CI116" s="258" t="n">
        <v>23176</v>
      </c>
      <c r="CJ116" s="258" t="n">
        <v>25698</v>
      </c>
      <c r="CL116" s="357" t="inlineStr">
        <is>
          <t>09</t>
        </is>
      </c>
      <c r="CM116" s="131">
        <f>+CM100+CM84+CM68+CM52</f>
        <v/>
      </c>
      <c r="CN116" s="258" t="n">
        <v>21387</v>
      </c>
      <c r="CO116" s="258" t="n">
        <v>27204</v>
      </c>
      <c r="CP116" s="258" t="n">
        <v>26370</v>
      </c>
      <c r="CQ116" s="258" t="n">
        <v>25862</v>
      </c>
      <c r="CR116" s="258" t="n">
        <v>27270</v>
      </c>
      <c r="CT116" s="357" t="inlineStr">
        <is>
          <t>09</t>
        </is>
      </c>
      <c r="CU116" s="131">
        <f>+CU100+CU84+CU68+CU52</f>
        <v/>
      </c>
      <c r="CV116" s="258" t="n">
        <v>28678</v>
      </c>
      <c r="CW116" s="258" t="n">
        <v>0</v>
      </c>
      <c r="CX116" s="258" t="n"/>
      <c r="CY116" s="258" t="n"/>
      <c r="CZ116" s="258" t="n"/>
      <c r="DB116" s="357" t="inlineStr">
        <is>
          <t>09</t>
        </is>
      </c>
      <c r="DC116" s="131">
        <f>+DC100+DC84+DC68+DC52</f>
        <v/>
      </c>
      <c r="DD116" s="258" t="n">
        <v>26805</v>
      </c>
      <c r="DE116" s="258" t="n">
        <v>0</v>
      </c>
      <c r="DF116" s="258" t="n"/>
      <c r="DG116" s="258" t="n"/>
      <c r="DH116" s="258" t="n"/>
      <c r="DI116" s="258" t="n"/>
      <c r="DJ116" s="357" t="inlineStr">
        <is>
          <t>09</t>
        </is>
      </c>
      <c r="DK116" s="131">
        <f>+DK100+DK84+DK68+DK52</f>
        <v/>
      </c>
      <c r="DL116" s="258" t="n">
        <v>15929</v>
      </c>
      <c r="DM116" s="258" t="n">
        <v>0</v>
      </c>
      <c r="DN116" s="258" t="n"/>
      <c r="DO116" s="258" t="n"/>
      <c r="DP116" s="258" t="n"/>
      <c r="DR116" s="357" t="inlineStr">
        <is>
          <t>09</t>
        </is>
      </c>
      <c r="DS116" s="131">
        <f>+DS100+DS84+DS68+DS52</f>
        <v/>
      </c>
      <c r="DT116" s="258" t="n">
        <v>19097</v>
      </c>
      <c r="DU116" s="258" t="n">
        <v>0</v>
      </c>
      <c r="DV116" s="258" t="n"/>
      <c r="DW116" s="258" t="n"/>
      <c r="DX116" s="258" t="n"/>
      <c r="DZ116" s="357" t="inlineStr">
        <is>
          <t>09</t>
        </is>
      </c>
      <c r="EA116" s="273">
        <f>+EA100+EA84+EA68+EA52</f>
        <v/>
      </c>
      <c r="EB116" s="258" t="n">
        <v>11831</v>
      </c>
      <c r="EC116" s="258" t="n">
        <v>0</v>
      </c>
      <c r="ED116" s="258" t="n"/>
      <c r="EE116" s="258" t="n"/>
      <c r="EF116" s="258" t="n"/>
    </row>
    <row r="117">
      <c r="B117" s="357" t="inlineStr">
        <is>
          <t>10</t>
        </is>
      </c>
      <c r="C117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7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17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17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17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17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17" s="258" t="n"/>
      <c r="J117" s="357" t="inlineStr">
        <is>
          <t>10</t>
        </is>
      </c>
      <c r="K117" s="131">
        <f>+K101+K85+K69+K53</f>
        <v/>
      </c>
      <c r="L117" s="258" t="n">
        <v>25723</v>
      </c>
      <c r="M117" s="258" t="n">
        <v>25932</v>
      </c>
      <c r="N117" s="258" t="n">
        <v>30094</v>
      </c>
      <c r="O117" s="258" t="n">
        <v>29888</v>
      </c>
      <c r="P117" s="258" t="n">
        <v>28743</v>
      </c>
      <c r="R117" s="357" t="inlineStr">
        <is>
          <t>10</t>
        </is>
      </c>
      <c r="S117" s="258">
        <f>+S101+S85+S69+S53</f>
        <v/>
      </c>
      <c r="T117" s="258" t="n">
        <v>13510</v>
      </c>
      <c r="U117" s="258" t="n">
        <v>13298</v>
      </c>
      <c r="V117" s="258" t="n">
        <v>15447</v>
      </c>
      <c r="W117" s="258" t="n">
        <v>17279</v>
      </c>
      <c r="X117" s="258" t="n">
        <v>16880</v>
      </c>
      <c r="Z117" s="357" t="inlineStr">
        <is>
          <t>10</t>
        </is>
      </c>
      <c r="AA117" s="131">
        <f>+AA101+AA85+AA69+AA53</f>
        <v/>
      </c>
      <c r="AB117" s="258" t="n">
        <v>16681</v>
      </c>
      <c r="AC117" s="258" t="n">
        <v>17917</v>
      </c>
      <c r="AD117" s="258" t="n">
        <v>22665</v>
      </c>
      <c r="AE117" s="258" t="n">
        <v>21164</v>
      </c>
      <c r="AF117" s="258" t="n">
        <v>18686</v>
      </c>
      <c r="AH117" s="357" t="inlineStr">
        <is>
          <t>10</t>
        </is>
      </c>
      <c r="AI117" s="131">
        <f>+AI101+AI85+AI69+AI53</f>
        <v/>
      </c>
      <c r="AJ117" s="258" t="n">
        <v>22249</v>
      </c>
      <c r="AK117" s="258" t="n">
        <v>23665</v>
      </c>
      <c r="AL117" s="258" t="n">
        <v>24413</v>
      </c>
      <c r="AM117" s="258" t="n">
        <v>22793</v>
      </c>
      <c r="AN117" s="258" t="n">
        <v>25567</v>
      </c>
      <c r="AP117" s="357" t="inlineStr">
        <is>
          <t>10</t>
        </is>
      </c>
      <c r="AQ117" s="131">
        <f>+AQ101+AQ85+AQ69+AQ53</f>
        <v/>
      </c>
      <c r="AR117" s="258" t="n">
        <v>28844</v>
      </c>
      <c r="AS117" s="258" t="n">
        <v>28969</v>
      </c>
      <c r="AT117" s="258" t="n">
        <v>31883</v>
      </c>
      <c r="AU117" s="258" t="n">
        <v>28302</v>
      </c>
      <c r="AV117" s="258" t="n">
        <v>0</v>
      </c>
      <c r="AX117" s="357" t="inlineStr">
        <is>
          <t>10</t>
        </is>
      </c>
      <c r="AY117" s="131">
        <f>+AY101+AY85+AY69+AY53</f>
        <v/>
      </c>
      <c r="AZ117" s="258" t="n">
        <v>12815</v>
      </c>
      <c r="BA117" s="258" t="n">
        <v>13331</v>
      </c>
      <c r="BB117" s="258" t="n">
        <v>14693</v>
      </c>
      <c r="BC117" s="258" t="n">
        <v>14338</v>
      </c>
      <c r="BD117" s="258" t="n"/>
      <c r="BE117" s="258" t="n"/>
      <c r="BF117" s="357" t="inlineStr">
        <is>
          <t>10</t>
        </is>
      </c>
      <c r="BG117" s="131">
        <f>+BG101+BG85+BG69+BG53</f>
        <v/>
      </c>
      <c r="BH117" s="258" t="n">
        <v>13909</v>
      </c>
      <c r="BI117" s="258" t="n">
        <v>14592</v>
      </c>
      <c r="BJ117" s="258" t="n"/>
      <c r="BK117" s="258" t="n"/>
      <c r="BL117" s="258" t="n"/>
      <c r="BM117" s="258" t="n"/>
      <c r="BN117" s="357" t="inlineStr">
        <is>
          <t>10</t>
        </is>
      </c>
      <c r="BO117" s="131">
        <f>+BO101+BO85+BO69+BO53</f>
        <v/>
      </c>
      <c r="BP117" s="258" t="n">
        <v>20708</v>
      </c>
      <c r="BQ117" s="258" t="n">
        <v>20732</v>
      </c>
      <c r="BR117" s="258" t="n">
        <v>23038</v>
      </c>
      <c r="BS117" s="258" t="n">
        <v>23368</v>
      </c>
      <c r="BT117" s="258" t="n">
        <v>23698</v>
      </c>
      <c r="BV117" s="357" t="inlineStr">
        <is>
          <t>10</t>
        </is>
      </c>
      <c r="BW117" s="131">
        <f>+BW101+BW85+BW69+BW53</f>
        <v/>
      </c>
      <c r="BX117" s="258" t="n">
        <v>15297</v>
      </c>
      <c r="BY117" s="258" t="n">
        <v>15087</v>
      </c>
      <c r="BZ117" s="258" t="n">
        <v>16576</v>
      </c>
      <c r="CA117" s="258" t="n">
        <v>16334</v>
      </c>
      <c r="CB117" s="258" t="n">
        <v>16366</v>
      </c>
      <c r="CC117" s="258" t="n"/>
      <c r="CD117" s="357" t="inlineStr">
        <is>
          <t>10</t>
        </is>
      </c>
      <c r="CE117" s="131">
        <f>+CE101+CE85+CE69+CE53</f>
        <v/>
      </c>
      <c r="CF117" s="258" t="n">
        <v>23156</v>
      </c>
      <c r="CG117" s="258" t="n">
        <v>24269</v>
      </c>
      <c r="CH117" s="258" t="n">
        <v>22364</v>
      </c>
      <c r="CI117" s="258" t="n">
        <v>24145</v>
      </c>
      <c r="CJ117" s="258" t="n">
        <v>24307</v>
      </c>
      <c r="CL117" s="357" t="inlineStr">
        <is>
          <t>10</t>
        </is>
      </c>
      <c r="CM117" s="131">
        <f>+CM101+CM85+CM69+CM53</f>
        <v/>
      </c>
      <c r="CN117" s="258" t="n">
        <v>22285</v>
      </c>
      <c r="CO117" s="258" t="n">
        <v>27626</v>
      </c>
      <c r="CP117" s="258" t="n">
        <v>24577</v>
      </c>
      <c r="CQ117" s="258" t="n">
        <v>28191</v>
      </c>
      <c r="CR117" s="258" t="n">
        <v>27700</v>
      </c>
      <c r="CT117" s="357" t="inlineStr">
        <is>
          <t>10</t>
        </is>
      </c>
      <c r="CU117" s="131">
        <f>+CU101+CU85+CU69+CU53</f>
        <v/>
      </c>
      <c r="CV117" s="258" t="n">
        <v>30025</v>
      </c>
      <c r="CW117" s="258" t="n">
        <v>0</v>
      </c>
      <c r="CX117" s="258" t="n"/>
      <c r="CY117" s="258" t="n"/>
      <c r="CZ117" s="258" t="n"/>
      <c r="DB117" s="357" t="inlineStr">
        <is>
          <t>10</t>
        </is>
      </c>
      <c r="DC117" s="131">
        <f>+DC101+DC85+DC69+DC53</f>
        <v/>
      </c>
      <c r="DD117" s="258" t="n">
        <v>28650</v>
      </c>
      <c r="DE117" s="258" t="n">
        <v>0</v>
      </c>
      <c r="DF117" s="258" t="n"/>
      <c r="DG117" s="258" t="n"/>
      <c r="DH117" s="258" t="n"/>
      <c r="DI117" s="258" t="n"/>
      <c r="DJ117" s="357" t="inlineStr">
        <is>
          <t>10</t>
        </is>
      </c>
      <c r="DK117" s="131">
        <f>+DK101+DK85+DK69+DK53</f>
        <v/>
      </c>
      <c r="DL117" s="258" t="n">
        <v>16201</v>
      </c>
      <c r="DM117" s="258" t="n">
        <v>0</v>
      </c>
      <c r="DN117" s="258" t="n"/>
      <c r="DO117" s="258" t="n"/>
      <c r="DP117" s="258" t="n"/>
      <c r="DR117" s="357" t="inlineStr">
        <is>
          <t>10</t>
        </is>
      </c>
      <c r="DS117" s="131">
        <f>+DS101+DS85+DS69+DS53</f>
        <v/>
      </c>
      <c r="DT117" s="258" t="n">
        <v>19957</v>
      </c>
      <c r="DU117" s="258" t="n">
        <v>0</v>
      </c>
      <c r="DV117" s="258" t="n"/>
      <c r="DW117" s="258" t="n"/>
      <c r="DX117" s="258" t="n"/>
      <c r="DZ117" s="357" t="inlineStr">
        <is>
          <t>10</t>
        </is>
      </c>
      <c r="EA117" s="131">
        <f>+EA101+EA85+EA69+EA53</f>
        <v/>
      </c>
      <c r="EB117" s="258" t="n">
        <v>12756</v>
      </c>
      <c r="EC117" s="258" t="n">
        <v>0</v>
      </c>
      <c r="ED117" s="258" t="n"/>
      <c r="EE117" s="258" t="n"/>
      <c r="EF117" s="258" t="n"/>
    </row>
    <row r="118">
      <c r="B118" s="357" t="inlineStr">
        <is>
          <t>11</t>
        </is>
      </c>
      <c r="C118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8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18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18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18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18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18" s="258" t="n"/>
      <c r="J118" s="357" t="inlineStr">
        <is>
          <t>11</t>
        </is>
      </c>
      <c r="K118" s="131">
        <f>+K102+K86+K70+K54</f>
        <v/>
      </c>
      <c r="L118" s="258" t="n">
        <v>26254</v>
      </c>
      <c r="M118" s="258" t="n">
        <v>25094</v>
      </c>
      <c r="N118" s="258" t="n">
        <v>28463</v>
      </c>
      <c r="O118" s="258" t="n">
        <v>29395</v>
      </c>
      <c r="P118" s="258" t="n">
        <v>17072</v>
      </c>
      <c r="R118" s="357" t="inlineStr">
        <is>
          <t>11</t>
        </is>
      </c>
      <c r="S118" s="258">
        <f>+S102+S86+S70+S54</f>
        <v/>
      </c>
      <c r="T118" s="258" t="n">
        <v>12898</v>
      </c>
      <c r="U118" s="258" t="n">
        <v>13166</v>
      </c>
      <c r="V118" s="258" t="n">
        <v>14533</v>
      </c>
      <c r="W118" s="258" t="n">
        <v>16530</v>
      </c>
      <c r="X118" s="258" t="n">
        <v>10422</v>
      </c>
      <c r="Z118" s="357" t="inlineStr">
        <is>
          <t>11</t>
        </is>
      </c>
      <c r="AA118" s="131">
        <f>+AA102+AA86+AA70+AA54</f>
        <v/>
      </c>
      <c r="AB118" s="258" t="n">
        <v>17695</v>
      </c>
      <c r="AC118" s="258" t="n">
        <v>19753</v>
      </c>
      <c r="AD118" s="258" t="n">
        <v>21700</v>
      </c>
      <c r="AE118" s="258" t="n">
        <v>20406</v>
      </c>
      <c r="AF118" s="258" t="n">
        <v>11434</v>
      </c>
      <c r="AH118" s="357" t="inlineStr">
        <is>
          <t>11</t>
        </is>
      </c>
      <c r="AI118" s="131">
        <f>+AI102+AI86+AI70+AI54</f>
        <v/>
      </c>
      <c r="AJ118" s="258" t="n">
        <v>21775</v>
      </c>
      <c r="AK118" s="258" t="n">
        <v>22079</v>
      </c>
      <c r="AL118" s="258" t="n">
        <v>22578</v>
      </c>
      <c r="AM118" s="258" t="n">
        <v>23034</v>
      </c>
      <c r="AN118" s="258" t="n">
        <v>14266</v>
      </c>
      <c r="AP118" s="357" t="inlineStr">
        <is>
          <t>11</t>
        </is>
      </c>
      <c r="AQ118" s="131">
        <f>+AQ102+AQ86+AQ70+AQ54</f>
        <v/>
      </c>
      <c r="AR118" s="258" t="n">
        <v>28534</v>
      </c>
      <c r="AS118" s="258" t="n">
        <v>27737</v>
      </c>
      <c r="AT118" s="258" t="n">
        <v>29494</v>
      </c>
      <c r="AU118" s="258" t="n">
        <v>28773</v>
      </c>
      <c r="AV118" s="258" t="n">
        <v>0</v>
      </c>
      <c r="AX118" s="357" t="inlineStr">
        <is>
          <t>11</t>
        </is>
      </c>
      <c r="AY118" s="131">
        <f>+AY102+AY86+AY70+AY54</f>
        <v/>
      </c>
      <c r="AZ118" s="258" t="n">
        <v>12226</v>
      </c>
      <c r="BA118" s="258" t="n">
        <v>12679</v>
      </c>
      <c r="BB118" s="258" t="n">
        <v>13723</v>
      </c>
      <c r="BC118" s="258" t="n">
        <v>13798</v>
      </c>
      <c r="BD118" s="258" t="n"/>
      <c r="BE118" s="258" t="n"/>
      <c r="BF118" s="357" t="inlineStr">
        <is>
          <t>11</t>
        </is>
      </c>
      <c r="BG118" s="131">
        <f>+BG102+BG86+BG70+BG54</f>
        <v/>
      </c>
      <c r="BH118" s="258" t="n">
        <v>12938</v>
      </c>
      <c r="BI118" s="258" t="n">
        <v>13725</v>
      </c>
      <c r="BJ118" s="258" t="n"/>
      <c r="BK118" s="258" t="n"/>
      <c r="BL118" s="258" t="n"/>
      <c r="BM118" s="258" t="n"/>
      <c r="BN118" s="357" t="inlineStr">
        <is>
          <t>11</t>
        </is>
      </c>
      <c r="BO118" s="131">
        <f>+BO102+BO86+BO70+BO54</f>
        <v/>
      </c>
      <c r="BP118" s="258" t="n">
        <v>20796</v>
      </c>
      <c r="BQ118" s="258" t="n">
        <v>21288</v>
      </c>
      <c r="BR118" s="258" t="n">
        <v>20601</v>
      </c>
      <c r="BS118" s="258" t="n">
        <v>23895</v>
      </c>
      <c r="BT118" s="258" t="n">
        <v>11340</v>
      </c>
      <c r="BV118" s="357" t="inlineStr">
        <is>
          <t>11</t>
        </is>
      </c>
      <c r="BW118" s="131">
        <f>+BW102+BW86+BW70+BW54</f>
        <v/>
      </c>
      <c r="BX118" s="258" t="n">
        <v>13720</v>
      </c>
      <c r="BY118" s="258" t="n">
        <v>13545</v>
      </c>
      <c r="BZ118" s="258" t="n">
        <v>14672</v>
      </c>
      <c r="CA118" s="258" t="n">
        <v>15376</v>
      </c>
      <c r="CB118" s="258" t="n">
        <v>8315</v>
      </c>
      <c r="CC118" s="258" t="n"/>
      <c r="CD118" s="357" t="inlineStr">
        <is>
          <t>11</t>
        </is>
      </c>
      <c r="CE118" s="131">
        <f>+CE102+CE86+CE70+CE54</f>
        <v/>
      </c>
      <c r="CF118" s="258" t="n">
        <v>21996</v>
      </c>
      <c r="CG118" s="258" t="n">
        <v>22024</v>
      </c>
      <c r="CH118" s="258" t="n">
        <v>21386</v>
      </c>
      <c r="CI118" s="258" t="n">
        <v>21896</v>
      </c>
      <c r="CJ118" s="258" t="n">
        <v>11595</v>
      </c>
      <c r="CL118" s="357" t="inlineStr">
        <is>
          <t>11</t>
        </is>
      </c>
      <c r="CM118" s="131">
        <f>+CM102+CM86+CM70+CM54</f>
        <v/>
      </c>
      <c r="CN118" s="258" t="n">
        <v>22181</v>
      </c>
      <c r="CO118" s="258" t="n">
        <v>27625</v>
      </c>
      <c r="CP118" s="258" t="n">
        <v>26743</v>
      </c>
      <c r="CQ118" s="258" t="n">
        <v>27808</v>
      </c>
      <c r="CR118" s="258" t="n">
        <v>15392</v>
      </c>
      <c r="CT118" s="357" t="inlineStr">
        <is>
          <t>11</t>
        </is>
      </c>
      <c r="CU118" s="131">
        <f>+CU102+CU86+CU70+CU54</f>
        <v/>
      </c>
      <c r="CV118" s="258" t="n">
        <v>29882</v>
      </c>
      <c r="CW118" s="258" t="n">
        <v>0</v>
      </c>
      <c r="CX118" s="258" t="n"/>
      <c r="CY118" s="258" t="n"/>
      <c r="CZ118" s="258" t="n"/>
      <c r="DB118" s="357" t="inlineStr">
        <is>
          <t>11</t>
        </is>
      </c>
      <c r="DC118" s="131">
        <f>+DC102+DC86+DC70+DC54</f>
        <v/>
      </c>
      <c r="DD118" s="258" t="n">
        <v>28918</v>
      </c>
      <c r="DE118" s="258" t="n">
        <v>0</v>
      </c>
      <c r="DF118" s="258" t="n"/>
      <c r="DG118" s="258" t="n"/>
      <c r="DH118" s="258" t="n"/>
      <c r="DI118" s="258" t="n"/>
      <c r="DJ118" s="357" t="inlineStr">
        <is>
          <t>11</t>
        </is>
      </c>
      <c r="DK118" s="131">
        <f>+DK102+DK86+DK70+DK54</f>
        <v/>
      </c>
      <c r="DL118" s="258" t="n">
        <v>16390</v>
      </c>
      <c r="DM118" s="258" t="n">
        <v>0</v>
      </c>
      <c r="DN118" s="258" t="n"/>
      <c r="DO118" s="258" t="n"/>
      <c r="DP118" s="258" t="n"/>
      <c r="DR118" s="357" t="inlineStr">
        <is>
          <t>11</t>
        </is>
      </c>
      <c r="DS118" s="131">
        <f>+DS102+DS86+DS70+DS54</f>
        <v/>
      </c>
      <c r="DT118" s="258" t="n">
        <v>19688</v>
      </c>
      <c r="DU118" s="258" t="n">
        <v>0</v>
      </c>
      <c r="DV118" s="258" t="n"/>
      <c r="DW118" s="258" t="n"/>
      <c r="DX118" s="258" t="n"/>
      <c r="DZ118" s="357" t="inlineStr">
        <is>
          <t>11</t>
        </is>
      </c>
      <c r="EA118" s="131">
        <f>+EA102+EA86+EA70+EA54</f>
        <v/>
      </c>
      <c r="EB118" s="258" t="n">
        <v>12276</v>
      </c>
      <c r="EC118" s="258" t="n">
        <v>0</v>
      </c>
      <c r="ED118" s="258" t="n"/>
      <c r="EE118" s="258" t="n"/>
      <c r="EF118" s="258" t="n"/>
    </row>
    <row r="119">
      <c r="B119" s="357" t="inlineStr">
        <is>
          <t>12</t>
        </is>
      </c>
      <c r="C119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9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19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19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19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19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19" s="258" t="n"/>
      <c r="J119" s="357" t="inlineStr">
        <is>
          <t>12</t>
        </is>
      </c>
      <c r="K119" s="131">
        <f>+K103+K87+K71+K55</f>
        <v/>
      </c>
      <c r="L119" s="258" t="n">
        <v>25848</v>
      </c>
      <c r="M119" s="258" t="n">
        <v>24580</v>
      </c>
      <c r="N119" s="258" t="n">
        <v>28876</v>
      </c>
      <c r="O119" s="258" t="n">
        <v>29643</v>
      </c>
      <c r="P119" s="258" t="n">
        <v>19095</v>
      </c>
      <c r="R119" s="357" t="inlineStr">
        <is>
          <t>12</t>
        </is>
      </c>
      <c r="S119" s="258" t="n">
        <v>13073</v>
      </c>
      <c r="T119" s="258" t="n">
        <v>13073</v>
      </c>
      <c r="U119" s="258" t="n">
        <v>12932</v>
      </c>
      <c r="V119" s="258" t="n">
        <v>14890</v>
      </c>
      <c r="W119" s="258" t="n">
        <v>16154</v>
      </c>
      <c r="X119" s="258" t="n">
        <v>12185</v>
      </c>
      <c r="Z119" s="357" t="inlineStr">
        <is>
          <t>12</t>
        </is>
      </c>
      <c r="AA119" s="131">
        <f>+AA103+AA87+AA71+AA55</f>
        <v/>
      </c>
      <c r="AB119" s="258" t="n">
        <v>16054</v>
      </c>
      <c r="AC119" s="258" t="n">
        <v>16146</v>
      </c>
      <c r="AD119" s="258" t="n">
        <v>18894</v>
      </c>
      <c r="AE119" s="258" t="n">
        <v>18182</v>
      </c>
      <c r="AF119" s="258" t="n">
        <v>12196</v>
      </c>
      <c r="AH119" s="357" t="inlineStr">
        <is>
          <t>12</t>
        </is>
      </c>
      <c r="AI119" s="131">
        <f>+AI103+AI87+AI71+AI55</f>
        <v/>
      </c>
      <c r="AJ119" s="258" t="n">
        <v>21097</v>
      </c>
      <c r="AK119" s="258" t="n">
        <v>21812</v>
      </c>
      <c r="AL119" s="258" t="n">
        <v>22316</v>
      </c>
      <c r="AM119" s="258" t="n">
        <v>22166</v>
      </c>
      <c r="AN119" s="258" t="n">
        <v>16146</v>
      </c>
      <c r="AP119" s="357" t="inlineStr">
        <is>
          <t>12</t>
        </is>
      </c>
      <c r="AQ119" s="131">
        <f>+AQ103+AQ87+AQ71+AQ55</f>
        <v/>
      </c>
      <c r="AR119" s="258" t="n">
        <v>30795</v>
      </c>
      <c r="AS119" s="258" t="n">
        <v>30244</v>
      </c>
      <c r="AT119" s="258" t="n">
        <v>32610</v>
      </c>
      <c r="AU119" s="258" t="n">
        <v>29635</v>
      </c>
      <c r="AV119" s="258" t="n">
        <v>0</v>
      </c>
      <c r="AX119" s="357" t="inlineStr">
        <is>
          <t>12</t>
        </is>
      </c>
      <c r="AY119" s="131">
        <f>+AY103+AY87+AY71+AY55</f>
        <v/>
      </c>
      <c r="AZ119" s="258" t="n">
        <v>12361</v>
      </c>
      <c r="BA119" s="258" t="n">
        <v>13070</v>
      </c>
      <c r="BB119" s="258" t="n">
        <v>13858</v>
      </c>
      <c r="BC119" s="258" t="n">
        <v>13221</v>
      </c>
      <c r="BD119" s="258" t="n"/>
      <c r="BE119" s="258" t="n"/>
      <c r="BF119" s="357" t="inlineStr">
        <is>
          <t>12</t>
        </is>
      </c>
      <c r="BG119" s="131">
        <f>+BG103+BG87+BG71+BG55</f>
        <v/>
      </c>
      <c r="BH119" s="258" t="n">
        <v>12886</v>
      </c>
      <c r="BI119" s="258" t="n">
        <v>13415</v>
      </c>
      <c r="BJ119" s="258" t="n"/>
      <c r="BK119" s="258" t="n"/>
      <c r="BL119" s="258" t="n"/>
      <c r="BM119" s="258" t="n"/>
      <c r="BN119" s="357" t="inlineStr">
        <is>
          <t>12</t>
        </is>
      </c>
      <c r="BO119" s="131">
        <f>+BO103+BO87+BO71+BO55</f>
        <v/>
      </c>
      <c r="BP119" s="258" t="n">
        <v>21449</v>
      </c>
      <c r="BQ119" s="258" t="n">
        <v>20636</v>
      </c>
      <c r="BR119" s="258" t="n">
        <v>20866</v>
      </c>
      <c r="BS119" s="258" t="n">
        <v>22155</v>
      </c>
      <c r="BT119" s="258" t="n">
        <v>13126</v>
      </c>
      <c r="BV119" s="357" t="inlineStr">
        <is>
          <t>12</t>
        </is>
      </c>
      <c r="BW119" s="131">
        <f>+BW103+BW87+BW71+BW55</f>
        <v/>
      </c>
      <c r="BX119" s="258" t="n">
        <v>13648</v>
      </c>
      <c r="BY119" s="258" t="n">
        <v>13183</v>
      </c>
      <c r="BZ119" s="258" t="n">
        <v>13816</v>
      </c>
      <c r="CA119" s="258" t="n">
        <v>14159</v>
      </c>
      <c r="CB119" s="258" t="n">
        <v>10233</v>
      </c>
      <c r="CC119" s="258" t="n"/>
      <c r="CD119" s="357" t="inlineStr">
        <is>
          <t>12</t>
        </is>
      </c>
      <c r="CE119" s="131">
        <f>+CE103+CE87+CE71+CE55</f>
        <v/>
      </c>
      <c r="CF119" s="258" t="n">
        <v>20581</v>
      </c>
      <c r="CG119" s="258" t="n">
        <v>21798</v>
      </c>
      <c r="CH119" s="258" t="n">
        <v>20364</v>
      </c>
      <c r="CI119" s="258" t="n">
        <v>21649</v>
      </c>
      <c r="CJ119" s="258" t="n">
        <v>14272</v>
      </c>
      <c r="CL119" s="357" t="inlineStr">
        <is>
          <t>12</t>
        </is>
      </c>
      <c r="CM119" s="131">
        <f>+CM103+CM87+CM71+CM55</f>
        <v/>
      </c>
      <c r="CN119" s="258" t="n">
        <v>22967</v>
      </c>
      <c r="CO119" s="258" t="n">
        <v>23658</v>
      </c>
      <c r="CP119" s="258" t="n">
        <v>27918</v>
      </c>
      <c r="CQ119" s="258" t="n">
        <v>27781</v>
      </c>
      <c r="CR119" s="258" t="n">
        <v>18639</v>
      </c>
      <c r="CT119" s="357" t="inlineStr">
        <is>
          <t>12</t>
        </is>
      </c>
      <c r="CU119" s="131">
        <f>+CU103+CU87+CU71+CU55</f>
        <v/>
      </c>
      <c r="CV119" s="258" t="n">
        <v>28304</v>
      </c>
      <c r="CW119" s="258" t="n">
        <v>0</v>
      </c>
      <c r="CX119" s="258" t="n"/>
      <c r="CY119" s="258" t="n"/>
      <c r="CZ119" s="258" t="n"/>
      <c r="DB119" s="357" t="inlineStr">
        <is>
          <t>12</t>
        </is>
      </c>
      <c r="DC119" s="131">
        <f>+DC103+DC87+DC71+DC55</f>
        <v/>
      </c>
      <c r="DD119" s="258" t="n">
        <v>30878</v>
      </c>
      <c r="DE119" s="258" t="n">
        <v>0</v>
      </c>
      <c r="DF119" s="258" t="n"/>
      <c r="DG119" s="258" t="n"/>
      <c r="DH119" s="258" t="n"/>
      <c r="DI119" s="258" t="n"/>
      <c r="DJ119" s="357" t="inlineStr">
        <is>
          <t>12</t>
        </is>
      </c>
      <c r="DK119" s="131">
        <f>+DK103+DK87+DK71+DK55</f>
        <v/>
      </c>
      <c r="DL119" s="258" t="n">
        <v>17643</v>
      </c>
      <c r="DM119" s="258" t="n">
        <v>0</v>
      </c>
      <c r="DN119" s="258" t="n"/>
      <c r="DO119" s="258" t="n"/>
      <c r="DP119" s="258" t="n"/>
      <c r="DR119" s="357" t="inlineStr">
        <is>
          <t>12</t>
        </is>
      </c>
      <c r="DS119" s="131">
        <f>+DS103+DS87+DS71+DS55</f>
        <v/>
      </c>
      <c r="DT119" s="258" t="n">
        <v>20001</v>
      </c>
      <c r="DU119" s="258" t="n">
        <v>0</v>
      </c>
      <c r="DV119" s="258" t="n"/>
      <c r="DW119" s="258" t="n"/>
      <c r="DX119" s="258" t="n"/>
      <c r="DZ119" s="357" t="inlineStr">
        <is>
          <t>12</t>
        </is>
      </c>
      <c r="EA119" s="131">
        <f>+EA103+EA87+EA71+EA55</f>
        <v/>
      </c>
      <c r="EB119" s="258" t="n">
        <v>11905</v>
      </c>
      <c r="EC119" s="258" t="n">
        <v>0</v>
      </c>
      <c r="ED119" s="258" t="n"/>
      <c r="EE119" s="258" t="n"/>
      <c r="EF119" s="258" t="n"/>
    </row>
    <row r="121" ht="15.75" customHeight="1" s="161">
      <c r="B121" s="355" t="inlineStr">
        <is>
          <t>Global</t>
        </is>
      </c>
      <c r="J121" s="355" t="inlineStr">
        <is>
          <t>GLR5</t>
        </is>
      </c>
      <c r="R121" s="355" t="inlineStr">
        <is>
          <t>HTR8</t>
        </is>
      </c>
      <c r="Z121" s="355" t="inlineStr">
        <is>
          <t>TIRR</t>
        </is>
      </c>
      <c r="AH121" s="355" t="inlineStr">
        <is>
          <t>VR7</t>
        </is>
      </c>
      <c r="AP121" s="355" t="inlineStr">
        <is>
          <t>TURVILLA</t>
        </is>
      </c>
      <c r="AX121" s="355" t="inlineStr">
        <is>
          <t>HART</t>
        </is>
      </c>
      <c r="BF121" s="355" t="inlineStr">
        <is>
          <t>VICTOIRE</t>
        </is>
      </c>
      <c r="BN121" s="355" t="inlineStr">
        <is>
          <t>TH4</t>
        </is>
      </c>
      <c r="BV121" s="355" t="inlineStr">
        <is>
          <t>TL DIVES</t>
        </is>
      </c>
      <c r="CD121" s="355" t="inlineStr">
        <is>
          <t>R3 14</t>
        </is>
      </c>
      <c r="CL121" s="355" t="inlineStr">
        <is>
          <t>LYSE</t>
        </is>
      </c>
      <c r="CT121" s="355" t="inlineStr">
        <is>
          <t>ARTHUR</t>
        </is>
      </c>
      <c r="DB121" s="355" t="inlineStr">
        <is>
          <t>HUGO</t>
        </is>
      </c>
      <c r="DJ121" s="355" t="inlineStr">
        <is>
          <t>JEANCLO</t>
        </is>
      </c>
      <c r="DR121" s="355" t="inlineStr">
        <is>
          <t>THOMAS</t>
        </is>
      </c>
      <c r="DZ121" s="355" t="inlineStr">
        <is>
          <t>CATALINA</t>
        </is>
      </c>
    </row>
    <row r="123" ht="18.6" customFormat="1" customHeight="1" s="188">
      <c r="A123" s="356" t="inlineStr">
        <is>
          <t>Transactions sur place cumulées</t>
        </is>
      </c>
      <c r="B123" s="186" t="inlineStr">
        <is>
          <t>MOIS</t>
        </is>
      </c>
      <c r="C123" s="187" t="inlineStr">
        <is>
          <t>2024</t>
        </is>
      </c>
      <c r="D123" s="187" t="inlineStr">
        <is>
          <t>2023</t>
        </is>
      </c>
      <c r="E123" s="187" t="inlineStr">
        <is>
          <t>2022</t>
        </is>
      </c>
      <c r="F123" s="187" t="inlineStr">
        <is>
          <t>2021</t>
        </is>
      </c>
      <c r="G123" s="187" t="inlineStr">
        <is>
          <t>2020</t>
        </is>
      </c>
      <c r="H123" s="187" t="inlineStr">
        <is>
          <t>2019</t>
        </is>
      </c>
      <c r="I123" s="187" t="n"/>
      <c r="J123" s="186" t="inlineStr">
        <is>
          <t>MOIS</t>
        </is>
      </c>
      <c r="K123" s="186" t="inlineStr">
        <is>
          <t>2025</t>
        </is>
      </c>
      <c r="L123" s="186" t="inlineStr">
        <is>
          <t>2024</t>
        </is>
      </c>
      <c r="M123" s="186" t="inlineStr">
        <is>
          <t>2023</t>
        </is>
      </c>
      <c r="N123" s="186" t="inlineStr">
        <is>
          <t>2022</t>
        </is>
      </c>
      <c r="O123" s="186" t="inlineStr">
        <is>
          <t>2021</t>
        </is>
      </c>
      <c r="P123" s="186" t="inlineStr">
        <is>
          <t>2020</t>
        </is>
      </c>
      <c r="R123" s="186" t="inlineStr">
        <is>
          <t>MOIS</t>
        </is>
      </c>
      <c r="S123" s="186" t="inlineStr">
        <is>
          <t>2025</t>
        </is>
      </c>
      <c r="T123" s="186" t="inlineStr">
        <is>
          <t>2024</t>
        </is>
      </c>
      <c r="U123" s="186" t="inlineStr">
        <is>
          <t>2023</t>
        </is>
      </c>
      <c r="V123" s="186" t="inlineStr">
        <is>
          <t>2022</t>
        </is>
      </c>
      <c r="W123" s="186" t="inlineStr">
        <is>
          <t>2021</t>
        </is>
      </c>
      <c r="X123" s="186" t="inlineStr">
        <is>
          <t>2020</t>
        </is>
      </c>
      <c r="Z123" s="186" t="inlineStr">
        <is>
          <t>MOIS</t>
        </is>
      </c>
      <c r="AA123" s="186" t="inlineStr">
        <is>
          <t>2025</t>
        </is>
      </c>
      <c r="AB123" s="186" t="inlineStr">
        <is>
          <t>2024</t>
        </is>
      </c>
      <c r="AC123" s="186" t="inlineStr">
        <is>
          <t>2023</t>
        </is>
      </c>
      <c r="AD123" s="186" t="inlineStr">
        <is>
          <t>2022</t>
        </is>
      </c>
      <c r="AE123" s="186" t="inlineStr">
        <is>
          <t>2021</t>
        </is>
      </c>
      <c r="AF123" s="186" t="inlineStr">
        <is>
          <t>2020</t>
        </is>
      </c>
      <c r="AH123" s="186" t="inlineStr">
        <is>
          <t>MOIS</t>
        </is>
      </c>
      <c r="AI123" s="186" t="inlineStr">
        <is>
          <t>2025</t>
        </is>
      </c>
      <c r="AJ123" s="186" t="inlineStr">
        <is>
          <t>2024</t>
        </is>
      </c>
      <c r="AK123" s="186" t="inlineStr">
        <is>
          <t>2023</t>
        </is>
      </c>
      <c r="AL123" s="186" t="inlineStr">
        <is>
          <t>2022</t>
        </is>
      </c>
      <c r="AM123" s="186" t="inlineStr">
        <is>
          <t>2021</t>
        </is>
      </c>
      <c r="AN123" s="186" t="inlineStr">
        <is>
          <t>2020</t>
        </is>
      </c>
      <c r="AP123" s="186" t="inlineStr">
        <is>
          <t>MOIS</t>
        </is>
      </c>
      <c r="AQ123" s="186" t="inlineStr">
        <is>
          <t>2025</t>
        </is>
      </c>
      <c r="AR123" s="186" t="inlineStr">
        <is>
          <t>2024</t>
        </is>
      </c>
      <c r="AS123" s="186" t="inlineStr">
        <is>
          <t>2023</t>
        </is>
      </c>
      <c r="AT123" s="186" t="inlineStr">
        <is>
          <t>2022</t>
        </is>
      </c>
      <c r="AU123" s="186" t="inlineStr">
        <is>
          <t>2021</t>
        </is>
      </c>
      <c r="AV123" s="186" t="inlineStr">
        <is>
          <t>2020</t>
        </is>
      </c>
      <c r="AX123" s="186" t="inlineStr">
        <is>
          <t>MOIS</t>
        </is>
      </c>
      <c r="AY123" s="186" t="inlineStr">
        <is>
          <t>2025</t>
        </is>
      </c>
      <c r="AZ123" s="186" t="inlineStr">
        <is>
          <t>2024</t>
        </is>
      </c>
      <c r="BA123" s="186" t="inlineStr">
        <is>
          <t>2023</t>
        </is>
      </c>
      <c r="BB123" s="186" t="inlineStr">
        <is>
          <t>2022</t>
        </is>
      </c>
      <c r="BC123" s="186" t="inlineStr">
        <is>
          <t>2021</t>
        </is>
      </c>
      <c r="BD123" s="186" t="inlineStr">
        <is>
          <t>2020</t>
        </is>
      </c>
      <c r="BE123" s="187" t="n"/>
      <c r="BF123" s="186" t="inlineStr">
        <is>
          <t>MOIS</t>
        </is>
      </c>
      <c r="BG123" s="186" t="inlineStr">
        <is>
          <t>2025</t>
        </is>
      </c>
      <c r="BH123" s="186" t="inlineStr">
        <is>
          <t>2024</t>
        </is>
      </c>
      <c r="BI123" s="186" t="inlineStr">
        <is>
          <t>2023</t>
        </is>
      </c>
      <c r="BJ123" s="186" t="inlineStr">
        <is>
          <t>2022</t>
        </is>
      </c>
      <c r="BK123" s="186" t="inlineStr">
        <is>
          <t>2021</t>
        </is>
      </c>
      <c r="BL123" s="186" t="inlineStr">
        <is>
          <t>2020</t>
        </is>
      </c>
      <c r="BM123" s="186" t="n"/>
      <c r="BN123" s="186" t="inlineStr">
        <is>
          <t>MOIS</t>
        </is>
      </c>
      <c r="BO123" s="187" t="inlineStr">
        <is>
          <t>2025</t>
        </is>
      </c>
      <c r="BP123" s="187" t="inlineStr">
        <is>
          <t>2024</t>
        </is>
      </c>
      <c r="BQ123" s="187" t="inlineStr">
        <is>
          <t>2023</t>
        </is>
      </c>
      <c r="BR123" s="187" t="inlineStr">
        <is>
          <t>2022</t>
        </is>
      </c>
      <c r="BS123" s="187" t="inlineStr">
        <is>
          <t>2021</t>
        </is>
      </c>
      <c r="BT123" s="187" t="inlineStr">
        <is>
          <t>2020</t>
        </is>
      </c>
      <c r="BV123" s="186" t="inlineStr">
        <is>
          <t>MOIS</t>
        </is>
      </c>
      <c r="BW123" s="187" t="inlineStr">
        <is>
          <t>2025</t>
        </is>
      </c>
      <c r="BX123" s="187" t="inlineStr">
        <is>
          <t>2024</t>
        </is>
      </c>
      <c r="BY123" s="187" t="inlineStr">
        <is>
          <t>2023</t>
        </is>
      </c>
      <c r="BZ123" s="187" t="inlineStr">
        <is>
          <t>2022</t>
        </is>
      </c>
      <c r="CA123" s="187" t="inlineStr">
        <is>
          <t>2021</t>
        </is>
      </c>
      <c r="CB123" s="187" t="inlineStr">
        <is>
          <t>2020</t>
        </is>
      </c>
      <c r="CC123" s="187" t="n"/>
      <c r="CD123" s="186" t="inlineStr">
        <is>
          <t>MOIS</t>
        </is>
      </c>
      <c r="CE123" s="187" t="inlineStr">
        <is>
          <t>2025</t>
        </is>
      </c>
      <c r="CF123" s="187" t="inlineStr">
        <is>
          <t>2024</t>
        </is>
      </c>
      <c r="CG123" s="187" t="inlineStr">
        <is>
          <t>2023</t>
        </is>
      </c>
      <c r="CH123" s="187" t="inlineStr">
        <is>
          <t>2022</t>
        </is>
      </c>
      <c r="CI123" s="187" t="inlineStr">
        <is>
          <t>2021</t>
        </is>
      </c>
      <c r="CJ123" s="187" t="inlineStr">
        <is>
          <t>2020</t>
        </is>
      </c>
      <c r="CL123" s="186" t="inlineStr">
        <is>
          <t>MOIS</t>
        </is>
      </c>
      <c r="CM123" s="187" t="inlineStr">
        <is>
          <t>2025</t>
        </is>
      </c>
      <c r="CN123" s="187" t="inlineStr">
        <is>
          <t>2024</t>
        </is>
      </c>
      <c r="CO123" s="187" t="inlineStr">
        <is>
          <t>2023</t>
        </is>
      </c>
      <c r="CP123" s="187" t="inlineStr">
        <is>
          <t>2022</t>
        </is>
      </c>
      <c r="CQ123" s="187" t="inlineStr">
        <is>
          <t>2021</t>
        </is>
      </c>
      <c r="CR123" s="187" t="inlineStr">
        <is>
          <t>2020</t>
        </is>
      </c>
      <c r="CT123" s="186" t="inlineStr">
        <is>
          <t>MOIS</t>
        </is>
      </c>
      <c r="CU123" s="187" t="inlineStr">
        <is>
          <t>2025</t>
        </is>
      </c>
      <c r="CV123" s="187" t="inlineStr">
        <is>
          <t>2024</t>
        </is>
      </c>
      <c r="CW123" s="187" t="inlineStr">
        <is>
          <t>2023</t>
        </is>
      </c>
      <c r="CX123" s="187" t="inlineStr">
        <is>
          <t>2022</t>
        </is>
      </c>
      <c r="CY123" s="187" t="inlineStr">
        <is>
          <t>2021</t>
        </is>
      </c>
      <c r="CZ123" s="187" t="inlineStr">
        <is>
          <t>2020</t>
        </is>
      </c>
      <c r="DB123" s="186" t="inlineStr">
        <is>
          <t>MOIS</t>
        </is>
      </c>
      <c r="DC123" s="187" t="inlineStr">
        <is>
          <t>2025</t>
        </is>
      </c>
      <c r="DD123" s="187" t="inlineStr">
        <is>
          <t>2024</t>
        </is>
      </c>
      <c r="DE123" s="187" t="inlineStr">
        <is>
          <t>2023</t>
        </is>
      </c>
      <c r="DF123" s="187" t="inlineStr">
        <is>
          <t>2022</t>
        </is>
      </c>
      <c r="DG123" s="187" t="inlineStr">
        <is>
          <t>2021</t>
        </is>
      </c>
      <c r="DH123" s="187" t="inlineStr">
        <is>
          <t>2020</t>
        </is>
      </c>
      <c r="DI123" s="187" t="n"/>
      <c r="DJ123" s="186" t="inlineStr">
        <is>
          <t>MOIS</t>
        </is>
      </c>
      <c r="DK123" s="187" t="inlineStr">
        <is>
          <t>2025</t>
        </is>
      </c>
      <c r="DL123" s="187" t="inlineStr">
        <is>
          <t>2024</t>
        </is>
      </c>
      <c r="DM123" s="187" t="inlineStr">
        <is>
          <t>2023</t>
        </is>
      </c>
      <c r="DN123" s="187" t="inlineStr">
        <is>
          <t>2022</t>
        </is>
      </c>
      <c r="DO123" s="187" t="inlineStr">
        <is>
          <t>2021</t>
        </is>
      </c>
      <c r="DP123" s="187" t="inlineStr">
        <is>
          <t>2020</t>
        </is>
      </c>
      <c r="DR123" s="186" t="inlineStr">
        <is>
          <t>MOIS</t>
        </is>
      </c>
      <c r="DS123" s="187" t="inlineStr">
        <is>
          <t>2025</t>
        </is>
      </c>
      <c r="DT123" s="187" t="inlineStr">
        <is>
          <t>2024</t>
        </is>
      </c>
      <c r="DU123" s="187" t="inlineStr">
        <is>
          <t>2023</t>
        </is>
      </c>
      <c r="DV123" s="187" t="inlineStr">
        <is>
          <t>2022</t>
        </is>
      </c>
      <c r="DW123" s="187" t="inlineStr">
        <is>
          <t>2021</t>
        </is>
      </c>
      <c r="DX123" s="187" t="inlineStr">
        <is>
          <t>2020</t>
        </is>
      </c>
      <c r="DZ123" s="186" t="inlineStr">
        <is>
          <t>MOIS</t>
        </is>
      </c>
      <c r="EA123" s="187" t="inlineStr">
        <is>
          <t>2025</t>
        </is>
      </c>
      <c r="EB123" s="187" t="inlineStr">
        <is>
          <t>2024</t>
        </is>
      </c>
      <c r="EC123" s="187" t="inlineStr">
        <is>
          <t>2023</t>
        </is>
      </c>
      <c r="ED123" s="187" t="inlineStr">
        <is>
          <t>2022</t>
        </is>
      </c>
      <c r="EE123" s="187" t="inlineStr">
        <is>
          <t>2021</t>
        </is>
      </c>
      <c r="EF123" s="187" t="inlineStr">
        <is>
          <t>2020</t>
        </is>
      </c>
    </row>
    <row r="124">
      <c r="B124" s="357" t="inlineStr">
        <is>
          <t>01</t>
        </is>
      </c>
      <c r="C124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24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24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24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24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24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24" s="258" t="n"/>
      <c r="J124" s="357" t="inlineStr">
        <is>
          <t>01</t>
        </is>
      </c>
      <c r="K124" s="131">
        <f>+K44</f>
        <v/>
      </c>
      <c r="L124" s="258" t="n">
        <v>3045</v>
      </c>
      <c r="M124" s="258" t="n">
        <v>3175</v>
      </c>
      <c r="N124" s="258" t="n">
        <v>2116</v>
      </c>
      <c r="O124" s="258" t="n">
        <v>39</v>
      </c>
      <c r="P124" s="258" t="n">
        <v>4939</v>
      </c>
      <c r="R124" s="357" t="inlineStr">
        <is>
          <t>01</t>
        </is>
      </c>
      <c r="S124" s="131">
        <f>+S44</f>
        <v/>
      </c>
      <c r="T124" s="258" t="n">
        <v>1028</v>
      </c>
      <c r="U124" s="258" t="n">
        <v>1304</v>
      </c>
      <c r="V124" s="258" t="n">
        <v>755</v>
      </c>
      <c r="W124" s="258" t="n">
        <v>20</v>
      </c>
      <c r="X124" s="258" t="n">
        <v>2582</v>
      </c>
      <c r="Z124" s="357" t="inlineStr">
        <is>
          <t>01</t>
        </is>
      </c>
      <c r="AA124" s="131">
        <f>+AA44</f>
        <v/>
      </c>
      <c r="AB124" s="258" t="n">
        <v>1973</v>
      </c>
      <c r="AC124" s="258" t="n">
        <v>2718</v>
      </c>
      <c r="AD124" s="258" t="n">
        <v>1534</v>
      </c>
      <c r="AE124" s="258" t="n">
        <v>30</v>
      </c>
      <c r="AF124" s="258" t="n">
        <v>3470</v>
      </c>
      <c r="AH124" s="357" t="inlineStr">
        <is>
          <t>01</t>
        </is>
      </c>
      <c r="AI124" s="131">
        <f>+AI44</f>
        <v/>
      </c>
      <c r="AJ124" s="258" t="n">
        <v>2269</v>
      </c>
      <c r="AK124" s="258" t="n">
        <v>2317</v>
      </c>
      <c r="AL124" s="258" t="n">
        <v>1544</v>
      </c>
      <c r="AM124" s="258" t="n">
        <v>92</v>
      </c>
      <c r="AN124" s="258" t="n">
        <v>3787</v>
      </c>
      <c r="AP124" s="357" t="inlineStr">
        <is>
          <t>01</t>
        </is>
      </c>
      <c r="AQ124" s="131">
        <f>+AQ44</f>
        <v/>
      </c>
      <c r="AR124" s="258" t="n">
        <v>4468</v>
      </c>
      <c r="AS124" s="258" t="n">
        <v>4511</v>
      </c>
      <c r="AT124" s="258" t="n">
        <v>2975</v>
      </c>
      <c r="AU124" s="258" t="n">
        <v>74</v>
      </c>
      <c r="AV124" s="258" t="n">
        <v>0</v>
      </c>
      <c r="AX124" s="357" t="inlineStr">
        <is>
          <t>01</t>
        </is>
      </c>
      <c r="AY124" s="131">
        <f>+AY44</f>
        <v/>
      </c>
      <c r="AZ124" s="258" t="n">
        <v>1252</v>
      </c>
      <c r="BA124" s="258" t="n">
        <v>1336</v>
      </c>
      <c r="BB124" s="258" t="n">
        <v>997</v>
      </c>
      <c r="BC124" s="258" t="n"/>
      <c r="BD124" s="258" t="n"/>
      <c r="BE124" s="258" t="n"/>
      <c r="BF124" s="357" t="inlineStr">
        <is>
          <t>01</t>
        </is>
      </c>
      <c r="BG124" s="131">
        <f>+BG44</f>
        <v/>
      </c>
      <c r="BH124" s="258" t="n">
        <v>1750</v>
      </c>
      <c r="BI124" s="258" t="n">
        <v>1647</v>
      </c>
      <c r="BJ124" s="258" t="n"/>
      <c r="BK124" s="258" t="n"/>
      <c r="BL124" s="258" t="n"/>
      <c r="BM124" s="258" t="n"/>
      <c r="BN124" s="357" t="inlineStr">
        <is>
          <t>01</t>
        </is>
      </c>
      <c r="BO124" s="131">
        <f>+BO44</f>
        <v/>
      </c>
      <c r="BP124" s="258" t="n">
        <v>3584</v>
      </c>
      <c r="BQ124" s="258" t="n">
        <v>3874</v>
      </c>
      <c r="BR124" s="258" t="n">
        <v>3522</v>
      </c>
      <c r="BS124" s="258" t="n">
        <v>41</v>
      </c>
      <c r="BT124" s="258" t="n">
        <v>6811</v>
      </c>
      <c r="BV124" s="357" t="inlineStr">
        <is>
          <t>01</t>
        </is>
      </c>
      <c r="BW124" s="131">
        <f>+BW44</f>
        <v/>
      </c>
      <c r="BX124" s="258" t="n">
        <v>1611</v>
      </c>
      <c r="BY124" s="258" t="n">
        <v>1921</v>
      </c>
      <c r="BZ124" s="258" t="n">
        <v>1108</v>
      </c>
      <c r="CA124" s="258" t="n">
        <v>3</v>
      </c>
      <c r="CB124" s="258" t="n">
        <v>2805</v>
      </c>
      <c r="CC124" s="258" t="n"/>
      <c r="CD124" s="357" t="inlineStr">
        <is>
          <t>01</t>
        </is>
      </c>
      <c r="CE124" s="131">
        <f>+CE44</f>
        <v/>
      </c>
      <c r="CF124" s="258" t="n">
        <v>3635</v>
      </c>
      <c r="CG124" s="258" t="n">
        <v>3236</v>
      </c>
      <c r="CH124" s="258" t="n">
        <v>2824</v>
      </c>
      <c r="CI124" s="258" t="n">
        <v>1</v>
      </c>
      <c r="CJ124" s="258" t="n">
        <v>6019</v>
      </c>
      <c r="CL124" s="357" t="inlineStr">
        <is>
          <t>01</t>
        </is>
      </c>
      <c r="CM124" s="131">
        <f>+CM44</f>
        <v/>
      </c>
      <c r="CN124" s="258" t="n">
        <v>2225</v>
      </c>
      <c r="CO124" s="258" t="n">
        <v>3169</v>
      </c>
      <c r="CP124" s="258" t="n">
        <v>1797</v>
      </c>
      <c r="CQ124" s="258" t="n">
        <v>84</v>
      </c>
      <c r="CR124" s="258" t="n">
        <v>5012</v>
      </c>
      <c r="CT124" s="357" t="inlineStr">
        <is>
          <t>01</t>
        </is>
      </c>
      <c r="CU124" s="131">
        <f>+CU44</f>
        <v/>
      </c>
      <c r="CV124" s="258" t="n">
        <v>3956</v>
      </c>
      <c r="CW124" s="258" t="n">
        <v>0</v>
      </c>
      <c r="CX124" s="258" t="n"/>
      <c r="CY124" s="258" t="n"/>
      <c r="CZ124" s="258" t="n"/>
      <c r="DB124" s="357" t="inlineStr">
        <is>
          <t>01</t>
        </is>
      </c>
      <c r="DC124" s="131">
        <f>+DC44</f>
        <v/>
      </c>
      <c r="DD124" s="258" t="n">
        <v>2624</v>
      </c>
      <c r="DE124" s="258" t="n">
        <v>0</v>
      </c>
      <c r="DF124" s="258" t="n"/>
      <c r="DG124" s="258" t="n"/>
      <c r="DH124" s="258" t="n"/>
      <c r="DI124" s="258" t="n"/>
      <c r="DJ124" s="357" t="inlineStr">
        <is>
          <t>01</t>
        </is>
      </c>
      <c r="DK124" s="131">
        <f>+DK44</f>
        <v/>
      </c>
      <c r="DL124" s="258" t="n">
        <v>2747</v>
      </c>
      <c r="DM124" s="258" t="n">
        <v>0</v>
      </c>
      <c r="DN124" s="258" t="n"/>
      <c r="DO124" s="258" t="n"/>
      <c r="DP124" s="258" t="n"/>
      <c r="DR124" s="357" t="inlineStr">
        <is>
          <t>01</t>
        </is>
      </c>
      <c r="DS124" s="131">
        <f>+DS44</f>
        <v/>
      </c>
      <c r="DT124" s="258" t="n">
        <v>1384</v>
      </c>
      <c r="DU124" s="258" t="n">
        <v>0</v>
      </c>
      <c r="DV124" s="258" t="n"/>
      <c r="DW124" s="258" t="n"/>
      <c r="DX124" s="258" t="n"/>
      <c r="DZ124" s="357" t="inlineStr">
        <is>
          <t>01</t>
        </is>
      </c>
      <c r="EA124" s="131">
        <f>EA44</f>
        <v/>
      </c>
      <c r="EB124" s="258" t="n"/>
      <c r="EC124" s="258" t="n">
        <v>0</v>
      </c>
      <c r="ED124" s="258" t="n"/>
      <c r="EE124" s="258" t="n"/>
      <c r="EF124" s="258" t="n"/>
    </row>
    <row r="125">
      <c r="B125" s="357" t="inlineStr">
        <is>
          <t>02</t>
        </is>
      </c>
      <c r="C125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25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25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25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25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25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25" s="258" t="n"/>
      <c r="J125" s="357" t="inlineStr">
        <is>
          <t>02</t>
        </is>
      </c>
      <c r="K125" s="131">
        <f>K44+K45</f>
        <v/>
      </c>
      <c r="L125" s="258" t="n">
        <v>5723</v>
      </c>
      <c r="M125" s="258" t="n">
        <v>6498</v>
      </c>
      <c r="N125" s="258" t="n">
        <v>4685</v>
      </c>
      <c r="O125" s="258" t="n">
        <v>118</v>
      </c>
      <c r="P125" s="258" t="n">
        <v>9573</v>
      </c>
      <c r="R125" s="357" t="inlineStr">
        <is>
          <t>02</t>
        </is>
      </c>
      <c r="S125" s="131">
        <f>S44+S45</f>
        <v/>
      </c>
      <c r="T125" s="258" t="n">
        <v>2247</v>
      </c>
      <c r="U125" s="258" t="n">
        <v>2623</v>
      </c>
      <c r="V125" s="258" t="n">
        <v>1655</v>
      </c>
      <c r="W125" s="258" t="n">
        <v>66</v>
      </c>
      <c r="X125" s="258" t="n">
        <v>4626</v>
      </c>
      <c r="Z125" s="357" t="inlineStr">
        <is>
          <t>02</t>
        </is>
      </c>
      <c r="AA125" s="131">
        <f>AA124+AA45</f>
        <v/>
      </c>
      <c r="AB125" s="258" t="n">
        <v>4103</v>
      </c>
      <c r="AC125" s="258" t="n">
        <v>5235</v>
      </c>
      <c r="AD125" s="258" t="n">
        <v>3237</v>
      </c>
      <c r="AE125" s="258" t="n">
        <v>69</v>
      </c>
      <c r="AF125" s="258" t="n">
        <v>7135</v>
      </c>
      <c r="AH125" s="357" t="inlineStr">
        <is>
          <t>02</t>
        </is>
      </c>
      <c r="AI125" s="131">
        <f>AI124+AI45</f>
        <v/>
      </c>
      <c r="AJ125" s="258" t="n">
        <v>4868</v>
      </c>
      <c r="AK125" s="258" t="n">
        <v>4510</v>
      </c>
      <c r="AL125" s="258" t="n">
        <v>3535</v>
      </c>
      <c r="AM125" s="258" t="n">
        <v>195</v>
      </c>
      <c r="AN125" s="258" t="n">
        <v>7526</v>
      </c>
      <c r="AP125" s="357" t="inlineStr">
        <is>
          <t>02</t>
        </is>
      </c>
      <c r="AQ125" s="131">
        <f>AQ124+AQ45</f>
        <v/>
      </c>
      <c r="AR125" s="258" t="n">
        <v>8823</v>
      </c>
      <c r="AS125" s="258" t="n">
        <v>8938</v>
      </c>
      <c r="AT125" s="258" t="n">
        <v>6871</v>
      </c>
      <c r="AU125" s="258" t="n">
        <v>148</v>
      </c>
      <c r="AV125" s="258" t="n">
        <v>0</v>
      </c>
      <c r="AX125" s="357" t="inlineStr">
        <is>
          <t>02</t>
        </is>
      </c>
      <c r="AY125" s="131">
        <f>AY124+AY45</f>
        <v/>
      </c>
      <c r="AZ125" s="258" t="n">
        <v>2659</v>
      </c>
      <c r="BA125" s="258" t="n">
        <v>2752</v>
      </c>
      <c r="BB125" s="258" t="n">
        <v>2229</v>
      </c>
      <c r="BC125" s="258" t="n"/>
      <c r="BD125" s="258" t="n"/>
      <c r="BE125" s="258" t="n"/>
      <c r="BF125" s="357" t="inlineStr">
        <is>
          <t>02</t>
        </is>
      </c>
      <c r="BG125" s="131">
        <f>BG124+BG45</f>
        <v/>
      </c>
      <c r="BH125" s="258" t="n">
        <v>3510</v>
      </c>
      <c r="BI125" s="258" t="n">
        <v>3384</v>
      </c>
      <c r="BJ125" s="258" t="n"/>
      <c r="BK125" s="258" t="n"/>
      <c r="BL125" s="258" t="n"/>
      <c r="BM125" s="258" t="n"/>
      <c r="BN125" s="357" t="inlineStr">
        <is>
          <t>02</t>
        </is>
      </c>
      <c r="BO125" s="131">
        <f>BO124+BO45</f>
        <v/>
      </c>
      <c r="BP125" s="258" t="n">
        <v>7089</v>
      </c>
      <c r="BQ125" s="258" t="n">
        <v>7249</v>
      </c>
      <c r="BR125" s="258" t="n">
        <v>6471</v>
      </c>
      <c r="BS125" s="258" t="n">
        <v>136</v>
      </c>
      <c r="BT125" s="258" t="n">
        <v>11828</v>
      </c>
      <c r="BV125" s="357" t="inlineStr">
        <is>
          <t>02</t>
        </is>
      </c>
      <c r="BW125" s="131">
        <f>BW124+BW45</f>
        <v/>
      </c>
      <c r="BX125" s="258" t="n">
        <v>3383</v>
      </c>
      <c r="BY125" s="258" t="n">
        <v>4139</v>
      </c>
      <c r="BZ125" s="258" t="n">
        <v>2560</v>
      </c>
      <c r="CA125" s="258" t="n">
        <v>15</v>
      </c>
      <c r="CB125" s="258" t="n">
        <v>5638</v>
      </c>
      <c r="CC125" s="258" t="n"/>
      <c r="CD125" s="357" t="inlineStr">
        <is>
          <t>02</t>
        </is>
      </c>
      <c r="CE125" s="131">
        <f>CE124+CE45</f>
        <v/>
      </c>
      <c r="CF125" s="258" t="n">
        <v>7471</v>
      </c>
      <c r="CG125" s="258" t="n">
        <v>6820</v>
      </c>
      <c r="CH125" s="258" t="n">
        <v>5737</v>
      </c>
      <c r="CI125" s="258" t="n">
        <v>22</v>
      </c>
      <c r="CJ125" s="258" t="n">
        <v>12485</v>
      </c>
      <c r="CL125" s="357" t="inlineStr">
        <is>
          <t>02</t>
        </is>
      </c>
      <c r="CM125" s="131">
        <f>CM124+CM45</f>
        <v/>
      </c>
      <c r="CN125" s="258" t="n">
        <v>4830</v>
      </c>
      <c r="CO125" s="258" t="n">
        <v>6232</v>
      </c>
      <c r="CP125" s="258" t="n">
        <v>3794</v>
      </c>
      <c r="CQ125" s="258" t="n">
        <v>153</v>
      </c>
      <c r="CR125" s="258" t="n">
        <v>9807</v>
      </c>
      <c r="CT125" s="357" t="inlineStr">
        <is>
          <t>02</t>
        </is>
      </c>
      <c r="CU125" s="131">
        <f>CU124+CU45</f>
        <v/>
      </c>
      <c r="CV125" s="258" t="n">
        <v>7572</v>
      </c>
      <c r="CW125" s="258" t="n">
        <v>0</v>
      </c>
      <c r="CX125" s="258" t="n"/>
      <c r="CY125" s="258" t="n"/>
      <c r="CZ125" s="258" t="n"/>
      <c r="DB125" s="357" t="inlineStr">
        <is>
          <t>02</t>
        </is>
      </c>
      <c r="DC125" s="131">
        <f>DC124+DC45</f>
        <v/>
      </c>
      <c r="DD125" s="258" t="n">
        <v>6033</v>
      </c>
      <c r="DE125" s="258" t="n">
        <v>0</v>
      </c>
      <c r="DF125" s="258" t="n"/>
      <c r="DG125" s="258" t="n"/>
      <c r="DH125" s="258" t="n"/>
      <c r="DI125" s="258" t="n"/>
      <c r="DJ125" s="357" t="inlineStr">
        <is>
          <t>02</t>
        </is>
      </c>
      <c r="DK125" s="131">
        <f>DK124+DK45</f>
        <v/>
      </c>
      <c r="DL125" s="258" t="n">
        <v>5814</v>
      </c>
      <c r="DM125" s="258" t="n">
        <v>0</v>
      </c>
      <c r="DN125" s="258" t="n"/>
      <c r="DO125" s="258" t="n"/>
      <c r="DP125" s="258" t="n"/>
      <c r="DR125" s="357" t="inlineStr">
        <is>
          <t>02</t>
        </is>
      </c>
      <c r="DS125" s="131">
        <f>DS124+DS45</f>
        <v/>
      </c>
      <c r="DT125" s="258" t="n">
        <v>2715</v>
      </c>
      <c r="DU125" s="258" t="n">
        <v>0</v>
      </c>
      <c r="DV125" s="258" t="n"/>
      <c r="DW125" s="258" t="n"/>
      <c r="DX125" s="258" t="n"/>
      <c r="DZ125" s="357" t="inlineStr">
        <is>
          <t>02</t>
        </is>
      </c>
      <c r="EA125" s="131">
        <f>EA124+EA45</f>
        <v/>
      </c>
      <c r="EB125" s="258" t="n"/>
      <c r="EC125" s="258" t="n">
        <v>0</v>
      </c>
      <c r="ED125" s="258" t="n"/>
      <c r="EE125" s="258" t="n"/>
      <c r="EF125" s="258" t="n"/>
    </row>
    <row r="126">
      <c r="B126" s="357" t="inlineStr">
        <is>
          <t>03</t>
        </is>
      </c>
      <c r="C126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26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26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26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26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26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26" s="258" t="n"/>
      <c r="J126" s="357" t="inlineStr">
        <is>
          <t>03</t>
        </is>
      </c>
      <c r="K126" s="131">
        <f>K125+K46</f>
        <v/>
      </c>
      <c r="L126" s="258" t="n">
        <v>8107</v>
      </c>
      <c r="M126" s="258" t="n">
        <v>9387</v>
      </c>
      <c r="N126" s="258" t="n">
        <v>7502</v>
      </c>
      <c r="O126" s="258" t="n">
        <v>228</v>
      </c>
      <c r="P126" s="258" t="n">
        <v>11357</v>
      </c>
      <c r="R126" s="357" t="inlineStr">
        <is>
          <t>03</t>
        </is>
      </c>
      <c r="S126" s="131">
        <f>S125+S46</f>
        <v/>
      </c>
      <c r="T126" s="258" t="n">
        <v>3564</v>
      </c>
      <c r="U126" s="258" t="n">
        <v>3851</v>
      </c>
      <c r="V126" s="258" t="n">
        <v>2617</v>
      </c>
      <c r="W126" s="258" t="n">
        <v>100</v>
      </c>
      <c r="X126" s="258" t="n">
        <v>5501</v>
      </c>
      <c r="Z126" s="357" t="inlineStr">
        <is>
          <t>03</t>
        </is>
      </c>
      <c r="AA126" s="131">
        <f>AA125+AA46</f>
        <v/>
      </c>
      <c r="AB126" s="258" t="n">
        <v>6357</v>
      </c>
      <c r="AC126" s="258" t="n">
        <v>7706</v>
      </c>
      <c r="AD126" s="258" t="n">
        <v>5646</v>
      </c>
      <c r="AE126" s="258" t="n">
        <v>120</v>
      </c>
      <c r="AF126" s="258" t="n">
        <v>8792</v>
      </c>
      <c r="AH126" s="357" t="inlineStr">
        <is>
          <t>03</t>
        </is>
      </c>
      <c r="AI126" s="131">
        <f>AI125+AI46</f>
        <v/>
      </c>
      <c r="AJ126" s="258" t="n">
        <v>7081</v>
      </c>
      <c r="AK126" s="258" t="n">
        <v>6601</v>
      </c>
      <c r="AL126" s="258" t="n">
        <v>5367</v>
      </c>
      <c r="AM126" s="258" t="n">
        <v>279</v>
      </c>
      <c r="AN126" s="258" t="n">
        <v>7638</v>
      </c>
      <c r="AP126" s="357" t="inlineStr">
        <is>
          <t>03</t>
        </is>
      </c>
      <c r="AQ126" s="131">
        <f>AQ125+AQ46</f>
        <v/>
      </c>
      <c r="AR126" s="258" t="n">
        <v>13651</v>
      </c>
      <c r="AS126" s="258" t="n">
        <v>12910</v>
      </c>
      <c r="AT126" s="258" t="n">
        <v>10764</v>
      </c>
      <c r="AU126" s="258" t="n">
        <v>253</v>
      </c>
      <c r="AV126" s="258" t="n">
        <v>0</v>
      </c>
      <c r="AX126" s="357" t="inlineStr">
        <is>
          <t>03</t>
        </is>
      </c>
      <c r="AY126" s="131">
        <f>AY125+AY46</f>
        <v/>
      </c>
      <c r="AZ126" s="258" t="n">
        <v>4337</v>
      </c>
      <c r="BA126" s="258" t="n">
        <v>4007</v>
      </c>
      <c r="BB126" s="258" t="n">
        <v>3457</v>
      </c>
      <c r="BC126" s="258" t="n"/>
      <c r="BD126" s="258" t="n"/>
      <c r="BE126" s="258" t="n"/>
      <c r="BF126" s="357" t="inlineStr">
        <is>
          <t>03</t>
        </is>
      </c>
      <c r="BG126" s="131">
        <f>BG125+BG46</f>
        <v/>
      </c>
      <c r="BH126" s="258" t="n">
        <v>5284</v>
      </c>
      <c r="BI126" s="258" t="n">
        <v>4694</v>
      </c>
      <c r="BJ126" s="258" t="n"/>
      <c r="BK126" s="258" t="n"/>
      <c r="BL126" s="258" t="n"/>
      <c r="BM126" s="258" t="n"/>
      <c r="BN126" s="357" t="inlineStr">
        <is>
          <t>03</t>
        </is>
      </c>
      <c r="BO126" s="131">
        <f>BO125+BO46</f>
        <v/>
      </c>
      <c r="BP126" s="258" t="n">
        <v>10476</v>
      </c>
      <c r="BQ126" s="258" t="n">
        <v>10749</v>
      </c>
      <c r="BR126" s="258" t="n">
        <v>10707</v>
      </c>
      <c r="BS126" s="258" t="n">
        <v>228</v>
      </c>
      <c r="BT126" s="258" t="n">
        <v>14519</v>
      </c>
      <c r="BV126" s="357" t="inlineStr">
        <is>
          <t>03</t>
        </is>
      </c>
      <c r="BW126" s="131">
        <f>BW125+BW46</f>
        <v/>
      </c>
      <c r="BX126" s="258" t="n">
        <v>5427</v>
      </c>
      <c r="BY126" s="258" t="n">
        <v>6269</v>
      </c>
      <c r="BZ126" s="258" t="n">
        <v>4253</v>
      </c>
      <c r="CA126" s="258" t="n">
        <v>61</v>
      </c>
      <c r="CB126" s="258" t="n">
        <v>6679</v>
      </c>
      <c r="CC126" s="258" t="n"/>
      <c r="CD126" s="357" t="inlineStr">
        <is>
          <t>03</t>
        </is>
      </c>
      <c r="CE126" s="131">
        <f>CE125+CE46</f>
        <v/>
      </c>
      <c r="CF126" s="258" t="n">
        <v>11466</v>
      </c>
      <c r="CG126" s="258" t="n">
        <v>10281</v>
      </c>
      <c r="CH126" s="258" t="n">
        <v>9147</v>
      </c>
      <c r="CI126" s="258" t="n">
        <v>67</v>
      </c>
      <c r="CJ126" s="258" t="n">
        <v>15099</v>
      </c>
      <c r="CL126" s="357" t="inlineStr">
        <is>
          <t>03</t>
        </is>
      </c>
      <c r="CM126" s="131">
        <f>CM125+CM46</f>
        <v/>
      </c>
      <c r="CN126" s="258" t="n">
        <v>7885</v>
      </c>
      <c r="CO126" s="258" t="n">
        <v>8973</v>
      </c>
      <c r="CP126" s="258" t="n">
        <v>5999</v>
      </c>
      <c r="CQ126" s="258" t="n">
        <v>208</v>
      </c>
      <c r="CR126" s="258" t="n">
        <v>11845</v>
      </c>
      <c r="CT126" s="357" t="inlineStr">
        <is>
          <t>03</t>
        </is>
      </c>
      <c r="CU126" s="131">
        <f>CU125+CU46</f>
        <v/>
      </c>
      <c r="CV126" s="258" t="n">
        <v>11265</v>
      </c>
      <c r="CW126" s="258" t="n">
        <v>0</v>
      </c>
      <c r="CX126" s="258" t="n"/>
      <c r="CY126" s="258" t="n"/>
      <c r="CZ126" s="258" t="n"/>
      <c r="DB126" s="357" t="inlineStr">
        <is>
          <t>03</t>
        </is>
      </c>
      <c r="DC126" s="131">
        <f>DC125+DC46</f>
        <v/>
      </c>
      <c r="DD126" s="258" t="n">
        <v>9369</v>
      </c>
      <c r="DE126" s="258" t="n">
        <v>0</v>
      </c>
      <c r="DF126" s="258" t="n"/>
      <c r="DG126" s="258" t="n"/>
      <c r="DH126" s="258" t="n"/>
      <c r="DI126" s="258" t="n"/>
      <c r="DJ126" s="357" t="inlineStr">
        <is>
          <t>03</t>
        </is>
      </c>
      <c r="DK126" s="131">
        <f>DK125+DK46</f>
        <v/>
      </c>
      <c r="DL126" s="258" t="n">
        <v>8303</v>
      </c>
      <c r="DM126" s="258" t="n">
        <v>0</v>
      </c>
      <c r="DN126" s="258" t="n"/>
      <c r="DO126" s="258" t="n"/>
      <c r="DP126" s="258" t="n"/>
      <c r="DR126" s="357" t="inlineStr">
        <is>
          <t>03</t>
        </is>
      </c>
      <c r="DS126" s="131">
        <f>DS125+DS46</f>
        <v/>
      </c>
      <c r="DT126" s="258" t="n">
        <v>4031</v>
      </c>
      <c r="DU126" s="258" t="n">
        <v>0</v>
      </c>
      <c r="DV126" s="258" t="n"/>
      <c r="DW126" s="258" t="n"/>
      <c r="DX126" s="258" t="n"/>
      <c r="DZ126" s="357" t="inlineStr">
        <is>
          <t>03</t>
        </is>
      </c>
      <c r="EA126" s="131">
        <f>EA125+EA46</f>
        <v/>
      </c>
      <c r="EB126" s="258" t="n"/>
      <c r="EC126" s="258" t="n">
        <v>0</v>
      </c>
      <c r="ED126" s="258" t="n"/>
      <c r="EE126" s="258" t="n"/>
      <c r="EF126" s="258" t="n"/>
    </row>
    <row r="127">
      <c r="B127" s="357" t="inlineStr">
        <is>
          <t>04</t>
        </is>
      </c>
      <c r="C127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27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27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27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27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27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27" s="258" t="n"/>
      <c r="J127" s="357" t="inlineStr">
        <is>
          <t>04</t>
        </is>
      </c>
      <c r="K127" s="131">
        <f>K126+K47</f>
        <v/>
      </c>
      <c r="L127" s="258" t="n">
        <v>10655</v>
      </c>
      <c r="M127" s="258" t="n">
        <v>12219</v>
      </c>
      <c r="N127" s="258" t="n">
        <v>10418</v>
      </c>
      <c r="O127" s="258" t="n">
        <v>302</v>
      </c>
      <c r="P127" s="258" t="n">
        <v>11357.00000001</v>
      </c>
      <c r="R127" s="357" t="inlineStr">
        <is>
          <t>04</t>
        </is>
      </c>
      <c r="S127" s="131">
        <f>S126+S47</f>
        <v/>
      </c>
      <c r="T127" s="258" t="n">
        <v>4985</v>
      </c>
      <c r="U127" s="258" t="n">
        <v>5239</v>
      </c>
      <c r="V127" s="258" t="n">
        <v>3746</v>
      </c>
      <c r="W127" s="258" t="n">
        <v>120</v>
      </c>
      <c r="X127" s="258" t="n">
        <v>5501</v>
      </c>
      <c r="Z127" s="357" t="inlineStr">
        <is>
          <t>04</t>
        </is>
      </c>
      <c r="AA127" s="131">
        <f>AA126+AA47</f>
        <v/>
      </c>
      <c r="AB127" s="258" t="n">
        <v>8918</v>
      </c>
      <c r="AC127" s="258" t="n">
        <v>10396</v>
      </c>
      <c r="AD127" s="258" t="n">
        <v>7439</v>
      </c>
      <c r="AE127" s="258" t="n">
        <v>191</v>
      </c>
      <c r="AF127" s="258" t="n">
        <v>8792</v>
      </c>
      <c r="AH127" s="357" t="inlineStr">
        <is>
          <t>04</t>
        </is>
      </c>
      <c r="AI127" s="131">
        <f>AI126+AI47</f>
        <v/>
      </c>
      <c r="AJ127" s="258" t="n">
        <v>10210</v>
      </c>
      <c r="AK127" s="258" t="n">
        <v>9229</v>
      </c>
      <c r="AL127" s="258" t="n">
        <v>7484</v>
      </c>
      <c r="AM127" s="258" t="n">
        <v>367</v>
      </c>
      <c r="AN127" s="258" t="n">
        <v>7638</v>
      </c>
      <c r="AP127" s="357" t="inlineStr">
        <is>
          <t>04</t>
        </is>
      </c>
      <c r="AQ127" s="131">
        <f>AQ126+AQ47</f>
        <v/>
      </c>
      <c r="AR127" s="258" t="n">
        <v>18418</v>
      </c>
      <c r="AS127" s="258" t="n">
        <v>17998</v>
      </c>
      <c r="AT127" s="258" t="n">
        <v>15065</v>
      </c>
      <c r="AU127" s="258" t="n">
        <v>298</v>
      </c>
      <c r="AV127" s="258" t="n">
        <v>0</v>
      </c>
      <c r="AX127" s="357" t="inlineStr">
        <is>
          <t>04</t>
        </is>
      </c>
      <c r="AY127" s="131">
        <f>AY126+AY47</f>
        <v/>
      </c>
      <c r="AZ127" s="258" t="n">
        <v>5934</v>
      </c>
      <c r="BA127" s="258" t="n">
        <v>5656</v>
      </c>
      <c r="BB127" s="258" t="n">
        <v>4889</v>
      </c>
      <c r="BC127" s="258" t="n"/>
      <c r="BD127" s="258" t="n"/>
      <c r="BE127" s="258" t="n"/>
      <c r="BF127" s="357" t="inlineStr">
        <is>
          <t>04</t>
        </is>
      </c>
      <c r="BG127" s="131">
        <f>BG126+BG47</f>
        <v/>
      </c>
      <c r="BH127" s="258" t="n">
        <v>7099</v>
      </c>
      <c r="BI127" s="258" t="n">
        <v>6598</v>
      </c>
      <c r="BJ127" s="258" t="n"/>
      <c r="BK127" s="258" t="n"/>
      <c r="BL127" s="258" t="n"/>
      <c r="BM127" s="258" t="n"/>
      <c r="BN127" s="357" t="inlineStr">
        <is>
          <t>04</t>
        </is>
      </c>
      <c r="BO127" s="131">
        <f>BO126+BO47</f>
        <v/>
      </c>
      <c r="BP127" s="258" t="n">
        <v>13887</v>
      </c>
      <c r="BQ127" s="258" t="n">
        <v>14092</v>
      </c>
      <c r="BR127" s="258" t="n">
        <v>15205</v>
      </c>
      <c r="BS127" s="258" t="n">
        <v>270</v>
      </c>
      <c r="BT127" s="258" t="n">
        <v>14519</v>
      </c>
      <c r="BV127" s="357" t="inlineStr">
        <is>
          <t>04</t>
        </is>
      </c>
      <c r="BW127" s="131">
        <f>BW126+BW47</f>
        <v/>
      </c>
      <c r="BX127" s="258" t="n">
        <v>7645</v>
      </c>
      <c r="BY127" s="258" t="n">
        <v>8336</v>
      </c>
      <c r="BZ127" s="258" t="n">
        <v>6211</v>
      </c>
      <c r="CA127" s="258" t="n">
        <v>91</v>
      </c>
      <c r="CB127" s="258" t="n">
        <v>6679</v>
      </c>
      <c r="CC127" s="258" t="n"/>
      <c r="CD127" s="357" t="inlineStr">
        <is>
          <t>04</t>
        </is>
      </c>
      <c r="CE127" s="131">
        <f>CE126+CE47</f>
        <v/>
      </c>
      <c r="CF127" s="258" t="n">
        <v>15817</v>
      </c>
      <c r="CG127" s="258" t="n">
        <v>14009</v>
      </c>
      <c r="CH127" s="258" t="n">
        <v>12815</v>
      </c>
      <c r="CI127" s="258" t="n">
        <v>118</v>
      </c>
      <c r="CJ127" s="258" t="n">
        <v>15100</v>
      </c>
      <c r="CL127" s="357" t="inlineStr">
        <is>
          <t>04</t>
        </is>
      </c>
      <c r="CM127" s="131">
        <f>CM126+CM47</f>
        <v/>
      </c>
      <c r="CN127" s="258" t="n">
        <v>10652</v>
      </c>
      <c r="CO127" s="258" t="n">
        <v>12290</v>
      </c>
      <c r="CP127" s="258" t="n">
        <v>8954</v>
      </c>
      <c r="CQ127" s="258" t="n">
        <v>248</v>
      </c>
      <c r="CR127" s="258" t="n">
        <v>11845</v>
      </c>
      <c r="CT127" s="357" t="inlineStr">
        <is>
          <t>04</t>
        </is>
      </c>
      <c r="CU127" s="131">
        <f>CU126+CU47</f>
        <v/>
      </c>
      <c r="CV127" s="258" t="n">
        <v>15330</v>
      </c>
      <c r="CW127" s="258" t="n">
        <v>0</v>
      </c>
      <c r="CX127" s="258" t="n"/>
      <c r="CY127" s="258" t="n"/>
      <c r="CZ127" s="258" t="n"/>
      <c r="DB127" s="357" t="inlineStr">
        <is>
          <t>04</t>
        </is>
      </c>
      <c r="DC127" s="131">
        <f>DC126+DC47</f>
        <v/>
      </c>
      <c r="DD127" s="258" t="n">
        <v>12361</v>
      </c>
      <c r="DE127" s="258" t="n">
        <v>0</v>
      </c>
      <c r="DF127" s="258" t="n"/>
      <c r="DG127" s="258" t="n"/>
      <c r="DH127" s="258" t="n"/>
      <c r="DI127" s="258" t="n"/>
      <c r="DJ127" s="357" t="inlineStr">
        <is>
          <t>04</t>
        </is>
      </c>
      <c r="DK127" s="131">
        <f>DK126+DK47</f>
        <v/>
      </c>
      <c r="DL127" s="258" t="n">
        <v>11208</v>
      </c>
      <c r="DM127" s="258" t="n">
        <v>0</v>
      </c>
      <c r="DN127" s="258" t="n"/>
      <c r="DO127" s="258" t="n"/>
      <c r="DP127" s="258" t="n"/>
      <c r="DR127" s="357" t="inlineStr">
        <is>
          <t>04</t>
        </is>
      </c>
      <c r="DS127" s="131">
        <f>DS126+DS47</f>
        <v/>
      </c>
      <c r="DT127" s="258" t="n">
        <v>5739</v>
      </c>
      <c r="DU127" s="258" t="n">
        <v>0</v>
      </c>
      <c r="DV127" s="258" t="n"/>
      <c r="DW127" s="258" t="n"/>
      <c r="DX127" s="258" t="n"/>
      <c r="DZ127" s="357" t="inlineStr">
        <is>
          <t>04</t>
        </is>
      </c>
      <c r="EA127" s="131">
        <f>EA126+EA47</f>
        <v/>
      </c>
      <c r="EB127" s="258" t="n"/>
      <c r="EC127" s="258" t="n">
        <v>0</v>
      </c>
      <c r="ED127" s="258" t="n"/>
      <c r="EE127" s="258" t="n"/>
      <c r="EF127" s="258" t="n"/>
    </row>
    <row r="128">
      <c r="B128" s="357" t="inlineStr">
        <is>
          <t>05</t>
        </is>
      </c>
      <c r="C128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28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28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28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28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28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28" s="258" t="n"/>
      <c r="J128" s="357" t="inlineStr">
        <is>
          <t>05</t>
        </is>
      </c>
      <c r="K128" s="131">
        <f>K127+K48</f>
        <v/>
      </c>
      <c r="L128" s="258" t="n">
        <v>13499</v>
      </c>
      <c r="M128" s="258" t="n">
        <v>15245</v>
      </c>
      <c r="N128" s="258" t="n">
        <v>13967</v>
      </c>
      <c r="O128" s="258" t="n">
        <v>884</v>
      </c>
      <c r="P128" s="258" t="n">
        <v>11357.00000011</v>
      </c>
      <c r="R128" s="357" t="inlineStr">
        <is>
          <t>05</t>
        </is>
      </c>
      <c r="S128" s="131">
        <f>S127+S48</f>
        <v/>
      </c>
      <c r="T128" s="258" t="n">
        <v>6540</v>
      </c>
      <c r="U128" s="258" t="n">
        <v>6801</v>
      </c>
      <c r="V128" s="258" t="n">
        <v>5142</v>
      </c>
      <c r="W128" s="258" t="n">
        <v>273</v>
      </c>
      <c r="X128" s="258" t="n">
        <v>5501</v>
      </c>
      <c r="Z128" s="357" t="inlineStr">
        <is>
          <t>05</t>
        </is>
      </c>
      <c r="AA128" s="131">
        <f>AA127+AA48</f>
        <v/>
      </c>
      <c r="AB128" s="258" t="n">
        <v>10855</v>
      </c>
      <c r="AC128" s="258" t="n">
        <v>12628</v>
      </c>
      <c r="AD128" s="258" t="n">
        <v>9890</v>
      </c>
      <c r="AE128" s="258" t="n">
        <v>500</v>
      </c>
      <c r="AF128" s="258" t="n">
        <v>8792</v>
      </c>
      <c r="AH128" s="357" t="inlineStr">
        <is>
          <t>05</t>
        </is>
      </c>
      <c r="AI128" s="131">
        <f>AI127+AI48</f>
        <v/>
      </c>
      <c r="AJ128" s="258" t="n">
        <v>12816</v>
      </c>
      <c r="AK128" s="258" t="n">
        <v>11720</v>
      </c>
      <c r="AL128" s="258" t="n">
        <v>10066</v>
      </c>
      <c r="AM128" s="258" t="n">
        <v>715</v>
      </c>
      <c r="AN128" s="258" t="n">
        <v>7638</v>
      </c>
      <c r="AP128" s="357" t="inlineStr">
        <is>
          <t>05</t>
        </is>
      </c>
      <c r="AQ128" s="131">
        <f>AQ127+AQ48</f>
        <v/>
      </c>
      <c r="AR128" s="258" t="n">
        <v>22821</v>
      </c>
      <c r="AS128" s="258" t="n">
        <v>22675</v>
      </c>
      <c r="AT128" s="258" t="n">
        <v>19808</v>
      </c>
      <c r="AU128" s="258" t="n">
        <v>1008</v>
      </c>
      <c r="AV128" s="258" t="n">
        <v>0</v>
      </c>
      <c r="AX128" s="357" t="inlineStr">
        <is>
          <t>05</t>
        </is>
      </c>
      <c r="AY128" s="131">
        <f>AY127+AY48</f>
        <v/>
      </c>
      <c r="AZ128" s="258" t="n">
        <v>7605</v>
      </c>
      <c r="BA128" s="258" t="n">
        <v>7257</v>
      </c>
      <c r="BB128" s="258" t="n">
        <v>6337</v>
      </c>
      <c r="BC128" s="258" t="n"/>
      <c r="BD128" s="258" t="n"/>
      <c r="BE128" s="258" t="n"/>
      <c r="BF128" s="357" t="inlineStr">
        <is>
          <t>05</t>
        </is>
      </c>
      <c r="BG128" s="131">
        <f>BG127+BG48</f>
        <v/>
      </c>
      <c r="BH128" s="258" t="n">
        <v>9227</v>
      </c>
      <c r="BI128" s="258" t="n">
        <v>8554</v>
      </c>
      <c r="BJ128" s="258" t="n"/>
      <c r="BK128" s="258" t="n"/>
      <c r="BL128" s="258" t="n"/>
      <c r="BM128" s="258" t="n"/>
      <c r="BN128" s="357" t="inlineStr">
        <is>
          <t>05</t>
        </is>
      </c>
      <c r="BO128" s="131">
        <f>BO127+BO48</f>
        <v/>
      </c>
      <c r="BP128" s="258" t="n">
        <v>17271</v>
      </c>
      <c r="BQ128" s="258" t="n">
        <v>17418</v>
      </c>
      <c r="BR128" s="258" t="n">
        <v>19831</v>
      </c>
      <c r="BS128" s="258" t="n">
        <v>515</v>
      </c>
      <c r="BT128" s="258" t="n">
        <v>14523</v>
      </c>
      <c r="BV128" s="357" t="inlineStr">
        <is>
          <t>05</t>
        </is>
      </c>
      <c r="BW128" s="131">
        <f>BW127+BW48</f>
        <v/>
      </c>
      <c r="BX128" s="258" t="n">
        <v>10052</v>
      </c>
      <c r="BY128" s="258" t="n">
        <v>10665</v>
      </c>
      <c r="BZ128" s="258" t="n">
        <v>8330</v>
      </c>
      <c r="CA128" s="258" t="n">
        <v>419</v>
      </c>
      <c r="CB128" s="258" t="n">
        <v>6683</v>
      </c>
      <c r="CC128" s="258" t="n"/>
      <c r="CD128" s="357" t="inlineStr">
        <is>
          <t>05</t>
        </is>
      </c>
      <c r="CE128" s="131">
        <f>CE127+CE48</f>
        <v/>
      </c>
      <c r="CF128" s="258" t="n">
        <v>20465</v>
      </c>
      <c r="CG128" s="258" t="n">
        <v>18426</v>
      </c>
      <c r="CH128" s="258" t="n">
        <v>17450</v>
      </c>
      <c r="CI128" s="258" t="n">
        <v>702</v>
      </c>
      <c r="CJ128" s="258" t="n">
        <v>15125</v>
      </c>
      <c r="CL128" s="357" t="inlineStr">
        <is>
          <t>05</t>
        </is>
      </c>
      <c r="CM128" s="131">
        <f>CM127+CM48</f>
        <v/>
      </c>
      <c r="CN128" s="258" t="n">
        <v>13672</v>
      </c>
      <c r="CO128" s="258" t="n">
        <v>15785</v>
      </c>
      <c r="CP128" s="258" t="n">
        <v>12759</v>
      </c>
      <c r="CQ128" s="258" t="n">
        <v>606</v>
      </c>
      <c r="CR128" s="258" t="n">
        <v>11846</v>
      </c>
      <c r="CT128" s="357" t="inlineStr">
        <is>
          <t>05</t>
        </is>
      </c>
      <c r="CU128" s="131">
        <f>CU127+CU48</f>
        <v/>
      </c>
      <c r="CV128" s="258" t="n">
        <v>19139</v>
      </c>
      <c r="CW128" s="258" t="n">
        <v>0</v>
      </c>
      <c r="CX128" s="258" t="n"/>
      <c r="CY128" s="258" t="n"/>
      <c r="CZ128" s="258" t="n"/>
      <c r="DB128" s="357" t="inlineStr">
        <is>
          <t>05</t>
        </is>
      </c>
      <c r="DC128" s="131">
        <f>DC127+DC48</f>
        <v/>
      </c>
      <c r="DD128" s="258" t="n">
        <v>15228</v>
      </c>
      <c r="DE128" s="258" t="n">
        <v>0</v>
      </c>
      <c r="DF128" s="258" t="n"/>
      <c r="DG128" s="258" t="n"/>
      <c r="DH128" s="258" t="n"/>
      <c r="DI128" s="258" t="n"/>
      <c r="DJ128" s="357" t="inlineStr">
        <is>
          <t>05</t>
        </is>
      </c>
      <c r="DK128" s="131">
        <f>DK127+DK48</f>
        <v/>
      </c>
      <c r="DL128" s="258" t="n">
        <v>14075</v>
      </c>
      <c r="DM128" s="258" t="n">
        <v>0</v>
      </c>
      <c r="DN128" s="258" t="n"/>
      <c r="DO128" s="258" t="n"/>
      <c r="DP128" s="258" t="n"/>
      <c r="DR128" s="357" t="inlineStr">
        <is>
          <t>05</t>
        </is>
      </c>
      <c r="DS128" s="131">
        <f>DS127+DS48</f>
        <v/>
      </c>
      <c r="DT128" s="258" t="n">
        <v>7442</v>
      </c>
      <c r="DU128" s="258" t="n">
        <v>0</v>
      </c>
      <c r="DV128" s="258" t="n"/>
      <c r="DW128" s="258" t="n"/>
      <c r="DX128" s="258" t="n"/>
      <c r="DZ128" s="357" t="inlineStr">
        <is>
          <t>05</t>
        </is>
      </c>
      <c r="EA128" s="131">
        <f>EA127+EA48</f>
        <v/>
      </c>
      <c r="EB128" s="258" t="n"/>
      <c r="EC128" s="258" t="n">
        <v>0</v>
      </c>
      <c r="ED128" s="258" t="n"/>
      <c r="EE128" s="258" t="n"/>
      <c r="EF128" s="258" t="n"/>
    </row>
    <row r="129">
      <c r="B129" s="357" t="inlineStr">
        <is>
          <t>06</t>
        </is>
      </c>
      <c r="C129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29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29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29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29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29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29" s="258" t="n"/>
      <c r="J129" s="357" t="inlineStr">
        <is>
          <t>06</t>
        </is>
      </c>
      <c r="K129" s="131">
        <f>K128+K49</f>
        <v/>
      </c>
      <c r="L129" s="258" t="n">
        <v>16389</v>
      </c>
      <c r="M129" s="258" t="n">
        <v>18194</v>
      </c>
      <c r="N129" s="258" t="n">
        <v>17357</v>
      </c>
      <c r="O129" s="258" t="n">
        <v>3501</v>
      </c>
      <c r="P129" s="258" t="n">
        <v>13259.00000011</v>
      </c>
      <c r="R129" s="357" t="inlineStr">
        <is>
          <t>06</t>
        </is>
      </c>
      <c r="S129" s="131">
        <f>S128+S49</f>
        <v/>
      </c>
      <c r="T129" s="258" t="n">
        <v>8024</v>
      </c>
      <c r="U129" s="258" t="n">
        <v>8397</v>
      </c>
      <c r="V129" s="258" t="n">
        <v>6518</v>
      </c>
      <c r="W129" s="258" t="n">
        <v>1376</v>
      </c>
      <c r="X129" s="258" t="n">
        <v>6283</v>
      </c>
      <c r="Z129" s="357" t="inlineStr">
        <is>
          <t>06</t>
        </is>
      </c>
      <c r="AA129" s="131">
        <f>AA128+AA49</f>
        <v/>
      </c>
      <c r="AB129" s="258" t="n">
        <v>12954</v>
      </c>
      <c r="AC129" s="258" t="n">
        <v>14831</v>
      </c>
      <c r="AD129" s="258" t="n">
        <v>11924</v>
      </c>
      <c r="AE129" s="258" t="n">
        <v>1788</v>
      </c>
      <c r="AF129" s="258" t="n">
        <v>9917</v>
      </c>
      <c r="AH129" s="357" t="inlineStr">
        <is>
          <t>06</t>
        </is>
      </c>
      <c r="AI129" s="131">
        <f>AI128+AI49</f>
        <v/>
      </c>
      <c r="AJ129" s="258" t="n">
        <v>15128</v>
      </c>
      <c r="AK129" s="258" t="n">
        <v>14238</v>
      </c>
      <c r="AL129" s="258" t="n">
        <v>12532</v>
      </c>
      <c r="AM129" s="258" t="n">
        <v>2860</v>
      </c>
      <c r="AN129" s="258" t="n">
        <v>9544</v>
      </c>
      <c r="AP129" s="357" t="inlineStr">
        <is>
          <t>06</t>
        </is>
      </c>
      <c r="AQ129" s="131">
        <f>AQ128+AQ49</f>
        <v/>
      </c>
      <c r="AR129" s="258" t="n">
        <v>26691</v>
      </c>
      <c r="AS129" s="258" t="n">
        <v>27035</v>
      </c>
      <c r="AT129" s="258" t="n">
        <v>25104</v>
      </c>
      <c r="AU129" s="258" t="n">
        <v>2069</v>
      </c>
      <c r="AV129" s="258" t="n">
        <v>0</v>
      </c>
      <c r="AX129" s="357" t="inlineStr">
        <is>
          <t>06</t>
        </is>
      </c>
      <c r="AY129" s="131">
        <f>AY128+AY49</f>
        <v/>
      </c>
      <c r="AZ129" s="258" t="n">
        <v>9211</v>
      </c>
      <c r="BA129" s="258" t="n">
        <v>8820</v>
      </c>
      <c r="BB129" s="258" t="n">
        <v>7973</v>
      </c>
      <c r="BC129" s="258" t="n"/>
      <c r="BD129" s="258" t="n"/>
      <c r="BE129" s="258" t="n"/>
      <c r="BF129" s="357" t="inlineStr">
        <is>
          <t>06</t>
        </is>
      </c>
      <c r="BG129" s="131">
        <f>BG128+BG49</f>
        <v/>
      </c>
      <c r="BH129" s="258" t="n">
        <v>11304</v>
      </c>
      <c r="BI129" s="258" t="n">
        <v>10583</v>
      </c>
      <c r="BJ129" s="258" t="n"/>
      <c r="BK129" s="258" t="n"/>
      <c r="BL129" s="258" t="n"/>
      <c r="BM129" s="258" t="n"/>
      <c r="BN129" s="357" t="inlineStr">
        <is>
          <t>06</t>
        </is>
      </c>
      <c r="BO129" s="131">
        <f>BO128+BO49</f>
        <v/>
      </c>
      <c r="BP129" s="258" t="n">
        <v>20183</v>
      </c>
      <c r="BQ129" s="258" t="n">
        <v>20326</v>
      </c>
      <c r="BR129" s="258" t="n">
        <v>23291</v>
      </c>
      <c r="BS129" s="258" t="n">
        <v>2514</v>
      </c>
      <c r="BT129" s="258" t="n">
        <v>16337</v>
      </c>
      <c r="BV129" s="357" t="inlineStr">
        <is>
          <t>06</t>
        </is>
      </c>
      <c r="BW129" s="131">
        <f>BW128+BW49</f>
        <v/>
      </c>
      <c r="BX129" s="258" t="n">
        <v>12338</v>
      </c>
      <c r="BY129" s="258" t="n">
        <v>12768</v>
      </c>
      <c r="BZ129" s="258" t="n">
        <v>10783</v>
      </c>
      <c r="CA129" s="258" t="n">
        <v>2055</v>
      </c>
      <c r="CB129" s="258" t="n">
        <v>8478</v>
      </c>
      <c r="CC129" s="258" t="n"/>
      <c r="CD129" s="357" t="inlineStr">
        <is>
          <t>06</t>
        </is>
      </c>
      <c r="CE129" s="131">
        <f>CE128+CE49</f>
        <v/>
      </c>
      <c r="CF129" s="258" t="n">
        <v>24568</v>
      </c>
      <c r="CG129" s="258" t="n">
        <v>22782</v>
      </c>
      <c r="CH129" s="258" t="n">
        <v>22002</v>
      </c>
      <c r="CI129" s="258" t="n">
        <v>3978</v>
      </c>
      <c r="CJ129" s="258" t="n">
        <v>19243</v>
      </c>
      <c r="CL129" s="357" t="inlineStr">
        <is>
          <t>06</t>
        </is>
      </c>
      <c r="CM129" s="131">
        <f>CM128+CM49</f>
        <v/>
      </c>
      <c r="CN129" s="258" t="n">
        <v>17045</v>
      </c>
      <c r="CO129" s="258" t="n">
        <v>18879</v>
      </c>
      <c r="CP129" s="258" t="n">
        <v>16751</v>
      </c>
      <c r="CQ129" s="258" t="n">
        <v>2860</v>
      </c>
      <c r="CR129" s="258" t="n">
        <v>13788</v>
      </c>
      <c r="CT129" s="357" t="inlineStr">
        <is>
          <t>06</t>
        </is>
      </c>
      <c r="CU129" s="131">
        <f>CU128+CU49</f>
        <v/>
      </c>
      <c r="CV129" s="258" t="n">
        <v>22691</v>
      </c>
      <c r="CW129" s="258" t="n">
        <v>0</v>
      </c>
      <c r="CX129" s="258" t="n"/>
      <c r="CY129" s="258" t="n"/>
      <c r="CZ129" s="258" t="n"/>
      <c r="DB129" s="357" t="inlineStr">
        <is>
          <t>06</t>
        </is>
      </c>
      <c r="DC129" s="131">
        <f>DC128+DC49</f>
        <v/>
      </c>
      <c r="DD129" s="258" t="n">
        <v>17825</v>
      </c>
      <c r="DE129" s="258" t="n">
        <v>0</v>
      </c>
      <c r="DF129" s="258" t="n"/>
      <c r="DG129" s="258" t="n"/>
      <c r="DH129" s="258" t="n"/>
      <c r="DI129" s="258" t="n"/>
      <c r="DJ129" s="357" t="inlineStr">
        <is>
          <t>06</t>
        </is>
      </c>
      <c r="DK129" s="131">
        <f>DK128+DK49</f>
        <v/>
      </c>
      <c r="DL129" s="258" t="n">
        <v>16599</v>
      </c>
      <c r="DM129" s="258" t="n">
        <v>0</v>
      </c>
      <c r="DN129" s="258" t="n"/>
      <c r="DO129" s="258" t="n"/>
      <c r="DP129" s="258" t="n"/>
      <c r="DR129" s="357" t="inlineStr">
        <is>
          <t>06</t>
        </is>
      </c>
      <c r="DS129" s="131">
        <f>DS128+DS49</f>
        <v/>
      </c>
      <c r="DT129" s="258" t="n">
        <v>9090</v>
      </c>
      <c r="DU129" s="258" t="n">
        <v>0</v>
      </c>
      <c r="DV129" s="258" t="n"/>
      <c r="DW129" s="258" t="n"/>
      <c r="DX129" s="258" t="n"/>
      <c r="DZ129" s="357" t="inlineStr">
        <is>
          <t>06</t>
        </is>
      </c>
      <c r="EA129" s="131">
        <f>EA128+EA49</f>
        <v/>
      </c>
      <c r="EB129" s="258" t="n"/>
      <c r="EC129" s="258" t="n">
        <v>0</v>
      </c>
      <c r="ED129" s="258" t="n"/>
      <c r="EE129" s="258" t="n"/>
      <c r="EF129" s="258" t="n"/>
    </row>
    <row r="130">
      <c r="B130" s="357" t="inlineStr">
        <is>
          <t>07</t>
        </is>
      </c>
      <c r="C130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30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30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30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30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30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30" s="258" t="n"/>
      <c r="J130" s="357" t="inlineStr">
        <is>
          <t>07</t>
        </is>
      </c>
      <c r="K130" s="131">
        <f>K129+K50</f>
        <v/>
      </c>
      <c r="L130" s="258" t="n">
        <v>20000</v>
      </c>
      <c r="M130" s="258" t="n">
        <v>21351</v>
      </c>
      <c r="N130" s="258" t="n">
        <v>21170</v>
      </c>
      <c r="O130" s="258" t="n">
        <v>6596</v>
      </c>
      <c r="P130" s="258" t="n">
        <v>16172.00000011</v>
      </c>
      <c r="R130" s="357" t="inlineStr">
        <is>
          <t>07</t>
        </is>
      </c>
      <c r="S130" s="131">
        <f>S129+S50</f>
        <v/>
      </c>
      <c r="T130" s="258" t="n">
        <v>9617</v>
      </c>
      <c r="U130" s="258" t="n">
        <v>9880</v>
      </c>
      <c r="V130" s="258" t="n">
        <v>8000</v>
      </c>
      <c r="W130" s="258" t="n">
        <v>2789</v>
      </c>
      <c r="X130" s="258" t="n">
        <v>7820</v>
      </c>
      <c r="Z130" s="357" t="inlineStr">
        <is>
          <t>07</t>
        </is>
      </c>
      <c r="AA130" s="131">
        <f>AA129+AA50</f>
        <v/>
      </c>
      <c r="AB130" s="258" t="n">
        <v>14865</v>
      </c>
      <c r="AC130" s="258" t="n">
        <v>16759</v>
      </c>
      <c r="AD130" s="258" t="n">
        <v>13834</v>
      </c>
      <c r="AE130" s="258" t="n">
        <v>3702</v>
      </c>
      <c r="AF130" s="258" t="n">
        <v>11571</v>
      </c>
      <c r="AH130" s="357" t="inlineStr">
        <is>
          <t>07</t>
        </is>
      </c>
      <c r="AI130" s="131">
        <f>AI129+AI50</f>
        <v/>
      </c>
      <c r="AJ130" s="258" t="n">
        <v>17333</v>
      </c>
      <c r="AK130" s="258" t="n">
        <v>16940</v>
      </c>
      <c r="AL130" s="258" t="n">
        <v>14952</v>
      </c>
      <c r="AM130" s="258" t="n">
        <v>5006</v>
      </c>
      <c r="AN130" s="258" t="n">
        <v>12041</v>
      </c>
      <c r="AP130" s="357" t="inlineStr">
        <is>
          <t>07</t>
        </is>
      </c>
      <c r="AQ130" s="131">
        <f>AQ129+AQ50</f>
        <v/>
      </c>
      <c r="AR130" s="258" t="n">
        <v>31054</v>
      </c>
      <c r="AS130" s="258" t="n">
        <v>31794</v>
      </c>
      <c r="AT130" s="258" t="n">
        <v>30867</v>
      </c>
      <c r="AU130" s="258" t="n">
        <v>3125</v>
      </c>
      <c r="AV130" s="258" t="n">
        <v>0</v>
      </c>
      <c r="AX130" s="357" t="inlineStr">
        <is>
          <t>07</t>
        </is>
      </c>
      <c r="AY130" s="131">
        <f>AY129+AY50</f>
        <v/>
      </c>
      <c r="AZ130" s="258" t="n">
        <v>10683</v>
      </c>
      <c r="BA130" s="258" t="n">
        <v>10538</v>
      </c>
      <c r="BB130" s="258" t="n">
        <v>9626</v>
      </c>
      <c r="BC130" s="258" t="n">
        <v>422</v>
      </c>
      <c r="BD130" s="258" t="n"/>
      <c r="BE130" s="258" t="n"/>
      <c r="BF130" s="357" t="inlineStr">
        <is>
          <t>07</t>
        </is>
      </c>
      <c r="BG130" s="131">
        <f>BG129+BG50</f>
        <v/>
      </c>
      <c r="BH130" s="258" t="n">
        <v>13782</v>
      </c>
      <c r="BI130" s="258" t="n">
        <v>13268</v>
      </c>
      <c r="BJ130" s="258" t="n"/>
      <c r="BK130" s="258" t="n"/>
      <c r="BL130" s="258" t="n"/>
      <c r="BM130" s="258" t="n"/>
      <c r="BN130" s="357" t="inlineStr">
        <is>
          <t>07</t>
        </is>
      </c>
      <c r="BO130" s="131">
        <f>BO129+BO50</f>
        <v/>
      </c>
      <c r="BP130" s="258" t="n">
        <v>22861</v>
      </c>
      <c r="BQ130" s="258" t="n">
        <v>23074</v>
      </c>
      <c r="BR130" s="258" t="n">
        <v>26673</v>
      </c>
      <c r="BS130" s="258" t="n">
        <v>5067</v>
      </c>
      <c r="BT130" s="258" t="n">
        <v>18772</v>
      </c>
      <c r="BV130" s="357" t="inlineStr">
        <is>
          <t>07</t>
        </is>
      </c>
      <c r="BW130" s="131">
        <f>BW129+BW50</f>
        <v/>
      </c>
      <c r="BX130" s="258" t="n">
        <v>15602</v>
      </c>
      <c r="BY130" s="258" t="n">
        <v>15890</v>
      </c>
      <c r="BZ130" s="258" t="n">
        <v>14286</v>
      </c>
      <c r="CA130" s="258" t="n">
        <v>5038</v>
      </c>
      <c r="CB130" s="258" t="n">
        <v>11534</v>
      </c>
      <c r="CC130" s="258" t="n"/>
      <c r="CD130" s="357" t="inlineStr">
        <is>
          <t>07</t>
        </is>
      </c>
      <c r="CE130" s="131">
        <f>CE129+CE50</f>
        <v/>
      </c>
      <c r="CF130" s="258" t="n">
        <v>30235</v>
      </c>
      <c r="CG130" s="258" t="n">
        <v>28551</v>
      </c>
      <c r="CH130" s="258" t="n">
        <v>28419</v>
      </c>
      <c r="CI130" s="258" t="n">
        <v>8866</v>
      </c>
      <c r="CJ130" s="258" t="n">
        <v>26282</v>
      </c>
      <c r="CL130" s="357" t="inlineStr">
        <is>
          <t>07</t>
        </is>
      </c>
      <c r="CM130" s="131">
        <f>CM129+CM50</f>
        <v/>
      </c>
      <c r="CN130" s="258" t="n">
        <v>21335</v>
      </c>
      <c r="CO130" s="258" t="n">
        <v>22704</v>
      </c>
      <c r="CP130" s="258" t="n">
        <v>21117</v>
      </c>
      <c r="CQ130" s="258" t="n">
        <v>6229</v>
      </c>
      <c r="CR130" s="258" t="n">
        <v>17193</v>
      </c>
      <c r="CT130" s="357" t="inlineStr">
        <is>
          <t>07</t>
        </is>
      </c>
      <c r="CU130" s="131">
        <f>CU129+CU50</f>
        <v/>
      </c>
      <c r="CV130" s="258" t="n">
        <v>26560</v>
      </c>
      <c r="CW130" s="258" t="n">
        <v>0</v>
      </c>
      <c r="CX130" s="258" t="n"/>
      <c r="CY130" s="258" t="n"/>
      <c r="CZ130" s="258" t="n"/>
      <c r="DB130" s="357" t="inlineStr">
        <is>
          <t>07</t>
        </is>
      </c>
      <c r="DC130" s="131">
        <f>DC129+DC50</f>
        <v/>
      </c>
      <c r="DD130" s="258" t="n">
        <v>20709</v>
      </c>
      <c r="DE130" s="258" t="n">
        <v>0</v>
      </c>
      <c r="DF130" s="258" t="n"/>
      <c r="DG130" s="258" t="n"/>
      <c r="DH130" s="258" t="n"/>
      <c r="DI130" s="258" t="n"/>
      <c r="DJ130" s="357" t="inlineStr">
        <is>
          <t>07</t>
        </is>
      </c>
      <c r="DK130" s="131">
        <f>DK129+DK50</f>
        <v/>
      </c>
      <c r="DL130" s="258" t="n">
        <v>19282</v>
      </c>
      <c r="DM130" s="258" t="n">
        <v>0</v>
      </c>
      <c r="DN130" s="258" t="n"/>
      <c r="DO130" s="258" t="n"/>
      <c r="DP130" s="258" t="n"/>
      <c r="DR130" s="357" t="inlineStr">
        <is>
          <t>07</t>
        </is>
      </c>
      <c r="DS130" s="131">
        <f>DS129+DS50</f>
        <v/>
      </c>
      <c r="DT130" s="258" t="n">
        <v>10681</v>
      </c>
      <c r="DU130" s="258" t="n">
        <v>0</v>
      </c>
      <c r="DV130" s="258" t="n"/>
      <c r="DW130" s="258" t="n"/>
      <c r="DX130" s="258" t="n"/>
      <c r="DZ130" s="357" t="inlineStr">
        <is>
          <t>07</t>
        </is>
      </c>
      <c r="EA130" s="131">
        <f>EA129+EA50</f>
        <v/>
      </c>
      <c r="EB130" s="258" t="n"/>
      <c r="EC130" s="258" t="n">
        <v>0</v>
      </c>
      <c r="ED130" s="258" t="n"/>
      <c r="EE130" s="258" t="n"/>
      <c r="EF130" s="258" t="n"/>
    </row>
    <row r="131">
      <c r="B131" s="357" t="inlineStr">
        <is>
          <t>08</t>
        </is>
      </c>
      <c r="C131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31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31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31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31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31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31" s="258" t="n"/>
      <c r="J131" s="357" t="inlineStr">
        <is>
          <t>08</t>
        </is>
      </c>
      <c r="K131" s="131">
        <f>K130+K51</f>
        <v/>
      </c>
      <c r="L131" s="258" t="n">
        <v>23825</v>
      </c>
      <c r="M131" s="258" t="n">
        <v>24595</v>
      </c>
      <c r="N131" s="258" t="n">
        <v>25060</v>
      </c>
      <c r="O131" s="258" t="n">
        <v>8689</v>
      </c>
      <c r="P131" s="258" t="n">
        <v>19559.00000011</v>
      </c>
      <c r="R131" s="357" t="inlineStr">
        <is>
          <t>08</t>
        </is>
      </c>
      <c r="S131" s="131">
        <f>S130+S51</f>
        <v/>
      </c>
      <c r="T131" s="258" t="n">
        <v>11132</v>
      </c>
      <c r="U131" s="258" t="n">
        <v>11323</v>
      </c>
      <c r="V131" s="258" t="n">
        <v>9433</v>
      </c>
      <c r="W131" s="258" t="n">
        <v>3778</v>
      </c>
      <c r="X131" s="258" t="n">
        <v>9424</v>
      </c>
      <c r="Z131" s="357" t="inlineStr">
        <is>
          <t>08</t>
        </is>
      </c>
      <c r="AA131" s="131">
        <f>AA130+AA51</f>
        <v/>
      </c>
      <c r="AB131" s="258" t="n">
        <v>16530</v>
      </c>
      <c r="AC131" s="258" t="n">
        <v>19060</v>
      </c>
      <c r="AD131" s="258" t="n">
        <v>15754</v>
      </c>
      <c r="AE131" s="258" t="n">
        <v>5043</v>
      </c>
      <c r="AF131" s="258" t="n">
        <v>13233</v>
      </c>
      <c r="AH131" s="357" t="inlineStr">
        <is>
          <t>08</t>
        </is>
      </c>
      <c r="AI131" s="131">
        <f>AI130+AI51</f>
        <v/>
      </c>
      <c r="AJ131" s="258" t="n">
        <v>19574</v>
      </c>
      <c r="AK131" s="258" t="n">
        <v>19889</v>
      </c>
      <c r="AL131" s="258" t="n">
        <v>17441</v>
      </c>
      <c r="AM131" s="258" t="n">
        <v>6694</v>
      </c>
      <c r="AN131" s="258" t="n">
        <v>14792</v>
      </c>
      <c r="AP131" s="357" t="inlineStr">
        <is>
          <t>08</t>
        </is>
      </c>
      <c r="AQ131" s="131">
        <f>AQ130+AQ51</f>
        <v/>
      </c>
      <c r="AR131" s="258" t="n">
        <v>35751</v>
      </c>
      <c r="AS131" s="258" t="n">
        <v>36780</v>
      </c>
      <c r="AT131" s="258" t="n">
        <v>36770</v>
      </c>
      <c r="AU131" s="258" t="n">
        <v>6177</v>
      </c>
      <c r="AV131" s="258" t="n">
        <v>0</v>
      </c>
      <c r="AX131" s="357" t="inlineStr">
        <is>
          <t>08</t>
        </is>
      </c>
      <c r="AY131" s="131">
        <f>AY130+AY51</f>
        <v/>
      </c>
      <c r="AZ131" s="258" t="n">
        <v>12403</v>
      </c>
      <c r="BA131" s="258" t="n">
        <v>12412</v>
      </c>
      <c r="BB131" s="258" t="n">
        <v>11469</v>
      </c>
      <c r="BC131" s="258" t="n">
        <v>2248</v>
      </c>
      <c r="BD131" s="258" t="n"/>
      <c r="BE131" s="258" t="n"/>
      <c r="BF131" s="357" t="inlineStr">
        <is>
          <t>08</t>
        </is>
      </c>
      <c r="BG131" s="131">
        <f>BG130+BG51</f>
        <v/>
      </c>
      <c r="BH131" s="258" t="n">
        <v>16735</v>
      </c>
      <c r="BI131" s="258" t="n">
        <v>16143</v>
      </c>
      <c r="BJ131" s="258" t="n"/>
      <c r="BK131" s="258" t="n"/>
      <c r="BL131" s="258" t="n"/>
      <c r="BM131" s="258" t="n"/>
      <c r="BN131" s="357" t="inlineStr">
        <is>
          <t>08</t>
        </is>
      </c>
      <c r="BO131" s="131">
        <f>BO130+BO51</f>
        <v/>
      </c>
      <c r="BP131" s="258" t="n">
        <v>25612</v>
      </c>
      <c r="BQ131" s="258" t="n">
        <v>25725</v>
      </c>
      <c r="BR131" s="258" t="n">
        <v>29745</v>
      </c>
      <c r="BS131" s="258" t="n">
        <v>6861</v>
      </c>
      <c r="BT131" s="258" t="n">
        <v>21665</v>
      </c>
      <c r="BV131" s="357" t="inlineStr">
        <is>
          <t>08</t>
        </is>
      </c>
      <c r="BW131" s="131">
        <f>BW130+BW51</f>
        <v/>
      </c>
      <c r="BX131" s="258" t="n">
        <v>19116</v>
      </c>
      <c r="BY131" s="258" t="n">
        <v>19223</v>
      </c>
      <c r="BZ131" s="258" t="n">
        <v>18141</v>
      </c>
      <c r="CA131" s="258" t="n">
        <v>7410</v>
      </c>
      <c r="CB131" s="258" t="n">
        <v>15191</v>
      </c>
      <c r="CC131" s="258" t="n"/>
      <c r="CD131" s="357" t="inlineStr">
        <is>
          <t>08</t>
        </is>
      </c>
      <c r="CE131" s="131">
        <f>CE130+CE51</f>
        <v/>
      </c>
      <c r="CF131" s="258" t="n">
        <v>36902</v>
      </c>
      <c r="CG131" s="258" t="n">
        <v>35244</v>
      </c>
      <c r="CH131" s="258" t="n">
        <v>34937</v>
      </c>
      <c r="CI131" s="258" t="n">
        <v>13484</v>
      </c>
      <c r="CJ131" s="258" t="n">
        <v>33933</v>
      </c>
      <c r="CL131" s="357" t="inlineStr">
        <is>
          <t>08</t>
        </is>
      </c>
      <c r="CM131" s="131">
        <f>CM130+CM51</f>
        <v/>
      </c>
      <c r="CN131" s="258" t="n">
        <v>24997</v>
      </c>
      <c r="CO131" s="258" t="n">
        <v>27224</v>
      </c>
      <c r="CP131" s="258" t="n">
        <v>25808</v>
      </c>
      <c r="CQ131" s="258" t="n">
        <v>8993</v>
      </c>
      <c r="CR131" s="258" t="n">
        <v>21386</v>
      </c>
      <c r="CT131" s="357" t="inlineStr">
        <is>
          <t>08</t>
        </is>
      </c>
      <c r="CU131" s="131">
        <f>CU130+CU51</f>
        <v/>
      </c>
      <c r="CV131" s="258" t="n">
        <v>31128</v>
      </c>
      <c r="CW131" s="258" t="n">
        <v>0</v>
      </c>
      <c r="CX131" s="258" t="n"/>
      <c r="CY131" s="258" t="n"/>
      <c r="CZ131" s="258" t="n"/>
      <c r="DB131" s="357" t="inlineStr">
        <is>
          <t>08</t>
        </is>
      </c>
      <c r="DC131" s="131">
        <f>DC130+DC51</f>
        <v/>
      </c>
      <c r="DD131" s="258" t="n">
        <v>23771</v>
      </c>
      <c r="DE131" s="258" t="n">
        <v>0</v>
      </c>
      <c r="DF131" s="258" t="n"/>
      <c r="DG131" s="258" t="n"/>
      <c r="DH131" s="258" t="n"/>
      <c r="DI131" s="258" t="n"/>
      <c r="DJ131" s="357" t="inlineStr">
        <is>
          <t>08</t>
        </is>
      </c>
      <c r="DK131" s="131">
        <f>DK130+DK51</f>
        <v/>
      </c>
      <c r="DL131" s="258" t="n">
        <v>21962</v>
      </c>
      <c r="DM131" s="258" t="n">
        <v>0</v>
      </c>
      <c r="DN131" s="258" t="n"/>
      <c r="DO131" s="258" t="n"/>
      <c r="DP131" s="258" t="n"/>
      <c r="DR131" s="357" t="inlineStr">
        <is>
          <t>08</t>
        </is>
      </c>
      <c r="DS131" s="131">
        <f>DS130+DS51</f>
        <v/>
      </c>
      <c r="DT131" s="258" t="n">
        <v>12375</v>
      </c>
      <c r="DU131" s="258" t="n">
        <v>0</v>
      </c>
      <c r="DV131" s="258" t="n"/>
      <c r="DW131" s="258" t="n"/>
      <c r="DX131" s="258" t="n"/>
      <c r="DZ131" s="357" t="inlineStr">
        <is>
          <t>08</t>
        </is>
      </c>
      <c r="EA131" s="131">
        <f>EA130+EA51</f>
        <v/>
      </c>
      <c r="EB131" s="258" t="n">
        <v>3052</v>
      </c>
      <c r="EC131" s="258" t="n">
        <v>0</v>
      </c>
      <c r="ED131" s="258" t="n"/>
      <c r="EE131" s="258" t="n"/>
      <c r="EF131" s="258" t="n"/>
    </row>
    <row r="132">
      <c r="B132" s="357" t="inlineStr">
        <is>
          <t>09</t>
        </is>
      </c>
      <c r="C132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32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32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32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32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32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32" s="258" t="n"/>
      <c r="J132" s="357" t="inlineStr">
        <is>
          <t>09</t>
        </is>
      </c>
      <c r="K132" s="131">
        <f>K131+K52</f>
        <v/>
      </c>
      <c r="L132" s="258" t="n">
        <v>26458</v>
      </c>
      <c r="M132" s="258" t="n">
        <v>27337</v>
      </c>
      <c r="N132" s="258" t="n">
        <v>28354</v>
      </c>
      <c r="O132" s="258" t="n">
        <v>11019</v>
      </c>
      <c r="P132" s="258" t="n">
        <v>23024.00000011</v>
      </c>
      <c r="R132" s="357" t="inlineStr">
        <is>
          <t>09</t>
        </is>
      </c>
      <c r="S132" s="131">
        <f>S131+S52</f>
        <v/>
      </c>
      <c r="T132" s="258" t="n">
        <v>12293</v>
      </c>
      <c r="U132" s="258" t="n">
        <v>12652</v>
      </c>
      <c r="V132" s="258" t="n">
        <v>10698</v>
      </c>
      <c r="W132" s="258" t="n">
        <v>4536</v>
      </c>
      <c r="X132" s="258" t="n">
        <v>10898</v>
      </c>
      <c r="Z132" s="357" t="inlineStr">
        <is>
          <t>09</t>
        </is>
      </c>
      <c r="AA132" s="131">
        <f>AA131+AA52</f>
        <v/>
      </c>
      <c r="AB132" s="258" t="n">
        <v>18278</v>
      </c>
      <c r="AC132" s="258" t="n">
        <v>21520</v>
      </c>
      <c r="AD132" s="258" t="n">
        <v>18215</v>
      </c>
      <c r="AE132" s="258" t="n">
        <v>6746</v>
      </c>
      <c r="AF132" s="258" t="n">
        <v>15837</v>
      </c>
      <c r="AH132" s="357" t="inlineStr">
        <is>
          <t>09</t>
        </is>
      </c>
      <c r="AI132" s="131">
        <f>AI131+AI52</f>
        <v/>
      </c>
      <c r="AJ132" s="258" t="n">
        <v>21360</v>
      </c>
      <c r="AK132" s="258" t="n">
        <v>22380</v>
      </c>
      <c r="AL132" s="258" t="n">
        <v>19590</v>
      </c>
      <c r="AM132" s="258" t="n">
        <v>8448</v>
      </c>
      <c r="AN132" s="258" t="n">
        <v>18041</v>
      </c>
      <c r="AP132" s="357" t="inlineStr">
        <is>
          <t>09</t>
        </is>
      </c>
      <c r="AQ132" s="131">
        <f>AQ131+AQ52</f>
        <v/>
      </c>
      <c r="AR132" s="258" t="n">
        <v>38833</v>
      </c>
      <c r="AS132" s="258" t="n">
        <v>40800</v>
      </c>
      <c r="AT132" s="258" t="n">
        <v>41073</v>
      </c>
      <c r="AU132" s="258" t="n">
        <v>8478</v>
      </c>
      <c r="AV132" s="258" t="n">
        <v>0</v>
      </c>
      <c r="AX132" s="357" t="inlineStr">
        <is>
          <t>09</t>
        </is>
      </c>
      <c r="AY132" s="131">
        <f>AY131+AY52</f>
        <v/>
      </c>
      <c r="AZ132" s="258" t="n">
        <v>13455</v>
      </c>
      <c r="BA132" s="258" t="n">
        <v>13870</v>
      </c>
      <c r="BB132" s="258" t="n">
        <v>12840</v>
      </c>
      <c r="BC132" s="258" t="n">
        <v>4045</v>
      </c>
      <c r="BD132" s="258" t="n"/>
      <c r="BE132" s="258" t="n"/>
      <c r="BF132" s="357" t="inlineStr">
        <is>
          <t>09</t>
        </is>
      </c>
      <c r="BG132" s="131">
        <f>BG131+BG52</f>
        <v/>
      </c>
      <c r="BH132" s="258" t="n">
        <v>18376</v>
      </c>
      <c r="BI132" s="258" t="n">
        <v>17886</v>
      </c>
      <c r="BJ132" s="258" t="n"/>
      <c r="BK132" s="258" t="n"/>
      <c r="BL132" s="258" t="n"/>
      <c r="BM132" s="258" t="n"/>
      <c r="BN132" s="357" t="inlineStr">
        <is>
          <t>09</t>
        </is>
      </c>
      <c r="BO132" s="131">
        <f>BO131+BO52</f>
        <v/>
      </c>
      <c r="BP132" s="258" t="n">
        <v>29012</v>
      </c>
      <c r="BQ132" s="258" t="n">
        <v>29387</v>
      </c>
      <c r="BR132" s="258" t="n">
        <v>33905</v>
      </c>
      <c r="BS132" s="258" t="n">
        <v>10099</v>
      </c>
      <c r="BT132" s="258" t="n">
        <v>27243</v>
      </c>
      <c r="BV132" s="357" t="inlineStr">
        <is>
          <t>09</t>
        </is>
      </c>
      <c r="BW132" s="131">
        <f>BW131+BW52</f>
        <v/>
      </c>
      <c r="BX132" s="258" t="n">
        <v>21116</v>
      </c>
      <c r="BY132" s="258" t="n">
        <v>21292</v>
      </c>
      <c r="BZ132" s="258" t="n">
        <v>20168</v>
      </c>
      <c r="CA132" s="258" t="n">
        <v>8827</v>
      </c>
      <c r="CB132" s="258" t="n">
        <v>17591</v>
      </c>
      <c r="CC132" s="258" t="n"/>
      <c r="CD132" s="357" t="inlineStr">
        <is>
          <t>09</t>
        </is>
      </c>
      <c r="CE132" s="131">
        <f>CE131+CE52</f>
        <v/>
      </c>
      <c r="CF132" s="258" t="n">
        <v>40488</v>
      </c>
      <c r="CG132" s="258" t="n">
        <v>39328</v>
      </c>
      <c r="CH132" s="258" t="n">
        <v>38215</v>
      </c>
      <c r="CI132" s="258" t="n">
        <v>16311</v>
      </c>
      <c r="CJ132" s="258" t="n">
        <v>38579</v>
      </c>
      <c r="CL132" s="357" t="inlineStr">
        <is>
          <t>09</t>
        </is>
      </c>
      <c r="CM132" s="131">
        <f>CM131+CM52</f>
        <v/>
      </c>
      <c r="CN132" s="258" t="n">
        <v>27366</v>
      </c>
      <c r="CO132" s="258" t="n">
        <v>30167</v>
      </c>
      <c r="CP132" s="258" t="n">
        <v>28764</v>
      </c>
      <c r="CQ132" s="258" t="n">
        <v>11098</v>
      </c>
      <c r="CR132" s="258" t="n">
        <v>24492</v>
      </c>
      <c r="CT132" s="357" t="inlineStr">
        <is>
          <t>09</t>
        </is>
      </c>
      <c r="CU132" s="131">
        <f>CU131+CU52</f>
        <v/>
      </c>
      <c r="CV132" s="258" t="n">
        <v>34940</v>
      </c>
      <c r="CW132" s="258" t="n">
        <v>0</v>
      </c>
      <c r="CX132" s="258" t="n"/>
      <c r="CY132" s="258" t="n"/>
      <c r="CZ132" s="258" t="n"/>
      <c r="DB132" s="357" t="inlineStr">
        <is>
          <t>09</t>
        </is>
      </c>
      <c r="DC132" s="131">
        <f>DC131+DC52</f>
        <v/>
      </c>
      <c r="DD132" s="258" t="n">
        <v>26100</v>
      </c>
      <c r="DE132" s="258" t="n">
        <v>0</v>
      </c>
      <c r="DF132" s="258" t="n"/>
      <c r="DG132" s="258" t="n"/>
      <c r="DH132" s="258" t="n"/>
      <c r="DI132" s="258" t="n"/>
      <c r="DJ132" s="357" t="inlineStr">
        <is>
          <t>09</t>
        </is>
      </c>
      <c r="DK132" s="131">
        <f>DK131+DK52</f>
        <v/>
      </c>
      <c r="DL132" s="258" t="n">
        <v>24440</v>
      </c>
      <c r="DM132" s="258" t="n">
        <v>0</v>
      </c>
      <c r="DN132" s="258" t="n"/>
      <c r="DO132" s="258" t="n"/>
      <c r="DP132" s="258" t="n"/>
      <c r="DR132" s="357" t="inlineStr">
        <is>
          <t>09</t>
        </is>
      </c>
      <c r="DS132" s="131">
        <f>DS131+DS52</f>
        <v/>
      </c>
      <c r="DT132" s="258" t="n">
        <v>13961</v>
      </c>
      <c r="DU132" s="258" t="n">
        <v>0</v>
      </c>
      <c r="DV132" s="258" t="n"/>
      <c r="DW132" s="258" t="n"/>
      <c r="DX132" s="258" t="n"/>
      <c r="DZ132" s="357" t="inlineStr">
        <is>
          <t>09</t>
        </is>
      </c>
      <c r="EA132" s="131">
        <f>EA131+EA116</f>
        <v/>
      </c>
      <c r="EB132" s="258" t="n">
        <v>14883</v>
      </c>
      <c r="EC132" s="258" t="n">
        <v>0</v>
      </c>
      <c r="ED132" s="258" t="n"/>
      <c r="EE132" s="258" t="n"/>
      <c r="EF132" s="258" t="n"/>
    </row>
    <row r="133">
      <c r="B133" s="357" t="inlineStr">
        <is>
          <t>10</t>
        </is>
      </c>
      <c r="C133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33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33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33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33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33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33" s="258" t="n"/>
      <c r="J133" s="357" t="inlineStr">
        <is>
          <t>10</t>
        </is>
      </c>
      <c r="K133" s="131">
        <f>K132+K53</f>
        <v/>
      </c>
      <c r="L133" s="258" t="n">
        <v>29325</v>
      </c>
      <c r="M133" s="258" t="n">
        <v>29862</v>
      </c>
      <c r="N133" s="258" t="n">
        <v>32237</v>
      </c>
      <c r="O133" s="258" t="n">
        <v>13697</v>
      </c>
      <c r="P133" s="258" t="n">
        <v>26672.00000011</v>
      </c>
      <c r="R133" s="357" t="inlineStr">
        <is>
          <t>10</t>
        </is>
      </c>
      <c r="S133" s="131">
        <f>S132+S53</f>
        <v/>
      </c>
      <c r="T133" s="258" t="n">
        <v>13590</v>
      </c>
      <c r="U133" s="258" t="n">
        <v>13839</v>
      </c>
      <c r="V133" s="258" t="n">
        <v>12069</v>
      </c>
      <c r="W133" s="258" t="n">
        <v>5590</v>
      </c>
      <c r="X133" s="258" t="n">
        <v>12686</v>
      </c>
      <c r="Z133" s="357" t="inlineStr">
        <is>
          <t>10</t>
        </is>
      </c>
      <c r="AA133" s="131">
        <f>AA132+AA53</f>
        <v/>
      </c>
      <c r="AB133" s="258" t="n">
        <v>20363</v>
      </c>
      <c r="AC133" s="258" t="n">
        <v>23717</v>
      </c>
      <c r="AD133" s="258" t="n">
        <v>21122</v>
      </c>
      <c r="AE133" s="258" t="n">
        <v>9107</v>
      </c>
      <c r="AF133" s="258" t="n">
        <v>18248</v>
      </c>
      <c r="AH133" s="357" t="inlineStr">
        <is>
          <t>10</t>
        </is>
      </c>
      <c r="AI133" s="131">
        <f>AI132+AI53</f>
        <v/>
      </c>
      <c r="AJ133" s="258" t="n">
        <v>23388</v>
      </c>
      <c r="AK133" s="258" t="n">
        <v>24849</v>
      </c>
      <c r="AL133" s="258" t="n">
        <v>22077</v>
      </c>
      <c r="AM133" s="258" t="n">
        <v>10572</v>
      </c>
      <c r="AN133" s="258" t="n">
        <v>21590</v>
      </c>
      <c r="AP133" s="357" t="inlineStr">
        <is>
          <t>10</t>
        </is>
      </c>
      <c r="AQ133" s="131">
        <f>AQ132+AQ53</f>
        <v/>
      </c>
      <c r="AR133" s="258" t="n">
        <v>42674</v>
      </c>
      <c r="AS133" s="258" t="n">
        <v>44854</v>
      </c>
      <c r="AT133" s="258" t="n">
        <v>46244</v>
      </c>
      <c r="AU133" s="258" t="n">
        <v>11708</v>
      </c>
      <c r="AV133" s="258" t="n">
        <v>0</v>
      </c>
      <c r="AX133" s="357" t="inlineStr">
        <is>
          <t>10</t>
        </is>
      </c>
      <c r="AY133" s="131">
        <f>AY132+AY53</f>
        <v/>
      </c>
      <c r="AZ133" s="258" t="n">
        <v>14681</v>
      </c>
      <c r="BA133" s="258" t="n">
        <v>15195</v>
      </c>
      <c r="BB133" s="258" t="n">
        <v>14387</v>
      </c>
      <c r="BC133" s="258" t="n">
        <v>5522</v>
      </c>
      <c r="BD133" s="258" t="n"/>
      <c r="BE133" s="258" t="n"/>
      <c r="BF133" s="357" t="inlineStr">
        <is>
          <t>10</t>
        </is>
      </c>
      <c r="BG133" s="131">
        <f>BG132+BG53</f>
        <v/>
      </c>
      <c r="BH133" s="258" t="n">
        <v>20176</v>
      </c>
      <c r="BI133" s="258" t="n">
        <v>19648</v>
      </c>
      <c r="BJ133" s="258" t="n"/>
      <c r="BK133" s="258" t="n"/>
      <c r="BL133" s="258" t="n"/>
      <c r="BM133" s="258" t="n"/>
      <c r="BN133" s="357" t="inlineStr">
        <is>
          <t>10</t>
        </is>
      </c>
      <c r="BO133" s="131">
        <f>BO132+BO53</f>
        <v/>
      </c>
      <c r="BP133" s="258" t="n">
        <v>31955</v>
      </c>
      <c r="BQ133" s="258" t="n">
        <v>32655</v>
      </c>
      <c r="BR133" s="258" t="n">
        <v>37818</v>
      </c>
      <c r="BS133" s="258" t="n">
        <v>13872</v>
      </c>
      <c r="BT133" s="258" t="n">
        <v>31131</v>
      </c>
      <c r="BV133" s="357" t="inlineStr">
        <is>
          <t>10</t>
        </is>
      </c>
      <c r="BW133" s="131">
        <f>BW132+BW53</f>
        <v/>
      </c>
      <c r="BX133" s="258" t="n">
        <v>23323</v>
      </c>
      <c r="BY133" s="258" t="n">
        <v>23240</v>
      </c>
      <c r="BZ133" s="258" t="n">
        <v>22245</v>
      </c>
      <c r="CA133" s="258" t="n">
        <v>10680</v>
      </c>
      <c r="CB133" s="258" t="n">
        <v>20116</v>
      </c>
      <c r="CC133" s="258" t="n"/>
      <c r="CD133" s="357" t="inlineStr">
        <is>
          <t>10</t>
        </is>
      </c>
      <c r="CE133" s="131">
        <f>CE132+CE53</f>
        <v/>
      </c>
      <c r="CF133" s="258" t="n">
        <v>44477</v>
      </c>
      <c r="CG133" s="258" t="n">
        <v>43293</v>
      </c>
      <c r="CH133" s="258" t="n">
        <v>41523</v>
      </c>
      <c r="CI133" s="258" t="n">
        <v>19497</v>
      </c>
      <c r="CJ133" s="258" t="n">
        <v>42466</v>
      </c>
      <c r="CL133" s="357" t="inlineStr">
        <is>
          <t>10</t>
        </is>
      </c>
      <c r="CM133" s="131">
        <f>CM132+CM53</f>
        <v/>
      </c>
      <c r="CN133" s="258" t="n">
        <v>29828</v>
      </c>
      <c r="CO133" s="258" t="n">
        <v>33458</v>
      </c>
      <c r="CP133" s="258" t="n">
        <v>31515</v>
      </c>
      <c r="CQ133" s="258" t="n">
        <v>13560</v>
      </c>
      <c r="CR133" s="258" t="n">
        <v>27924</v>
      </c>
      <c r="CT133" s="357" t="inlineStr">
        <is>
          <t>10</t>
        </is>
      </c>
      <c r="CU133" s="131">
        <f>CU132+CU53</f>
        <v/>
      </c>
      <c r="CV133" s="258" t="n">
        <v>38930</v>
      </c>
      <c r="CW133" s="258" t="n">
        <v>0</v>
      </c>
      <c r="CX133" s="258" t="n"/>
      <c r="CY133" s="258" t="n"/>
      <c r="CZ133" s="258" t="n"/>
      <c r="DB133" s="357" t="inlineStr">
        <is>
          <t>10</t>
        </is>
      </c>
      <c r="DC133" s="131">
        <f>DC132+DC53</f>
        <v/>
      </c>
      <c r="DD133" s="258" t="n">
        <v>28678</v>
      </c>
      <c r="DE133" s="258" t="n">
        <v>0</v>
      </c>
      <c r="DF133" s="258" t="n"/>
      <c r="DG133" s="258" t="n"/>
      <c r="DH133" s="258" t="n"/>
      <c r="DI133" s="258" t="n"/>
      <c r="DJ133" s="357" t="inlineStr">
        <is>
          <t>10</t>
        </is>
      </c>
      <c r="DK133" s="131">
        <f>DK132+DK53</f>
        <v/>
      </c>
      <c r="DL133" s="258" t="n">
        <v>27154</v>
      </c>
      <c r="DM133" s="258" t="n">
        <v>0</v>
      </c>
      <c r="DN133" s="258" t="n"/>
      <c r="DO133" s="258" t="n"/>
      <c r="DP133" s="258" t="n"/>
      <c r="DR133" s="357" t="inlineStr">
        <is>
          <t>10</t>
        </is>
      </c>
      <c r="DS133" s="131">
        <f>DS132+DS53</f>
        <v/>
      </c>
      <c r="DT133" s="258" t="n">
        <v>15466</v>
      </c>
      <c r="DU133" s="258" t="n">
        <v>0</v>
      </c>
      <c r="DV133" s="258" t="n"/>
      <c r="DW133" s="258" t="n"/>
      <c r="DX133" s="258" t="n"/>
      <c r="DZ133" s="357" t="inlineStr">
        <is>
          <t>10</t>
        </is>
      </c>
      <c r="EA133" s="131">
        <f>EA132+EA117</f>
        <v/>
      </c>
      <c r="EB133" s="258" t="n">
        <v>27639</v>
      </c>
      <c r="EC133" s="258" t="n">
        <v>0</v>
      </c>
      <c r="ED133" s="258" t="n"/>
      <c r="EE133" s="258" t="n"/>
      <c r="EF133" s="258" t="n"/>
    </row>
    <row r="134">
      <c r="B134" s="357" t="inlineStr">
        <is>
          <t>11</t>
        </is>
      </c>
      <c r="C134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34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34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34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34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34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34" s="258" t="n"/>
      <c r="J134" s="357" t="inlineStr">
        <is>
          <t>11</t>
        </is>
      </c>
      <c r="K134" s="131">
        <f>K133+K54</f>
        <v/>
      </c>
      <c r="L134" s="258" t="n">
        <v>31827</v>
      </c>
      <c r="M134" s="258" t="n">
        <v>32473</v>
      </c>
      <c r="N134" s="258" t="n">
        <v>35538</v>
      </c>
      <c r="O134" s="258" t="n">
        <v>16780</v>
      </c>
      <c r="P134" s="258" t="n">
        <v>26686.00000011</v>
      </c>
      <c r="R134" s="357" t="inlineStr">
        <is>
          <t>11</t>
        </is>
      </c>
      <c r="S134" s="131">
        <f>S133+S54</f>
        <v/>
      </c>
      <c r="T134" s="258" t="n">
        <v>14649</v>
      </c>
      <c r="U134" s="258" t="n">
        <v>15067</v>
      </c>
      <c r="V134" s="258" t="n">
        <v>13230</v>
      </c>
      <c r="W134" s="258" t="n">
        <v>6854</v>
      </c>
      <c r="X134" s="258" t="n">
        <v>12724</v>
      </c>
      <c r="Z134" s="357" t="inlineStr">
        <is>
          <t>11</t>
        </is>
      </c>
      <c r="AA134" s="131">
        <f>AA133+AA54</f>
        <v/>
      </c>
      <c r="AB134" s="258" t="n">
        <v>22373</v>
      </c>
      <c r="AC134" s="258" t="n">
        <v>26105</v>
      </c>
      <c r="AD134" s="258" t="n">
        <v>23970</v>
      </c>
      <c r="AE134" s="258" t="n">
        <v>11455</v>
      </c>
      <c r="AF134" s="258" t="n">
        <v>18290</v>
      </c>
      <c r="AH134" s="357" t="inlineStr">
        <is>
          <t>11</t>
        </is>
      </c>
      <c r="AI134" s="131">
        <f>AI133+AI54</f>
        <v/>
      </c>
      <c r="AJ134" s="258" t="n">
        <v>25235</v>
      </c>
      <c r="AK134" s="258" t="n">
        <v>26964</v>
      </c>
      <c r="AL134" s="258" t="n">
        <v>24093</v>
      </c>
      <c r="AM134" s="258" t="n">
        <v>12892</v>
      </c>
      <c r="AN134" s="258" t="n">
        <v>21606</v>
      </c>
      <c r="AP134" s="357" t="inlineStr">
        <is>
          <t>11</t>
        </is>
      </c>
      <c r="AQ134" s="131">
        <f>AQ133+AQ54</f>
        <v/>
      </c>
      <c r="AR134" s="258" t="n">
        <v>46302</v>
      </c>
      <c r="AS134" s="258" t="n">
        <v>48755</v>
      </c>
      <c r="AT134" s="258" t="n">
        <v>50734</v>
      </c>
      <c r="AU134" s="258" t="n">
        <v>15928</v>
      </c>
      <c r="AV134" s="258" t="n">
        <v>0</v>
      </c>
      <c r="AX134" s="357" t="inlineStr">
        <is>
          <t>11</t>
        </is>
      </c>
      <c r="AY134" s="131">
        <f>AY133+AY54</f>
        <v/>
      </c>
      <c r="AZ134" s="258" t="n">
        <v>15706</v>
      </c>
      <c r="BA134" s="258" t="n">
        <v>16353</v>
      </c>
      <c r="BB134" s="258" t="n">
        <v>15905</v>
      </c>
      <c r="BC134" s="258" t="n">
        <v>6960</v>
      </c>
      <c r="BD134" s="258" t="n"/>
      <c r="BE134" s="258" t="n"/>
      <c r="BF134" s="357" t="inlineStr">
        <is>
          <t>11</t>
        </is>
      </c>
      <c r="BG134" s="131">
        <f>BG133+BG54</f>
        <v/>
      </c>
      <c r="BH134" s="258" t="n">
        <v>21789</v>
      </c>
      <c r="BI134" s="258" t="n">
        <v>21278</v>
      </c>
      <c r="BJ134" s="258" t="n"/>
      <c r="BK134" s="258" t="n"/>
      <c r="BL134" s="258" t="n"/>
      <c r="BM134" s="258" t="n"/>
      <c r="BN134" s="357" t="inlineStr">
        <is>
          <t>11</t>
        </is>
      </c>
      <c r="BO134" s="131">
        <f>BO133+BO54</f>
        <v/>
      </c>
      <c r="BP134" s="258" t="n">
        <v>34932</v>
      </c>
      <c r="BQ134" s="258" t="n">
        <v>36311</v>
      </c>
      <c r="BR134" s="258" t="n">
        <v>41078</v>
      </c>
      <c r="BS134" s="258" t="n">
        <v>18598</v>
      </c>
      <c r="BT134" s="258" t="n">
        <v>31154</v>
      </c>
      <c r="BV134" s="357" t="inlineStr">
        <is>
          <t>11</t>
        </is>
      </c>
      <c r="BW134" s="131">
        <f>BW133+BW54</f>
        <v/>
      </c>
      <c r="BX134" s="258" t="n">
        <v>25174</v>
      </c>
      <c r="BY134" s="258" t="n">
        <v>24942</v>
      </c>
      <c r="BZ134" s="258" t="n">
        <v>24033</v>
      </c>
      <c r="CA134" s="258" t="n">
        <v>12433</v>
      </c>
      <c r="CB134" s="258" t="n">
        <v>20130</v>
      </c>
      <c r="CC134" s="258" t="n"/>
      <c r="CD134" s="357" t="inlineStr">
        <is>
          <t>11</t>
        </is>
      </c>
      <c r="CE134" s="131">
        <f>CE133+CE54</f>
        <v/>
      </c>
      <c r="CF134" s="258" t="n">
        <v>47996</v>
      </c>
      <c r="CG134" s="258" t="n">
        <v>46763</v>
      </c>
      <c r="CH134" s="258" t="n">
        <v>44960</v>
      </c>
      <c r="CI134" s="258" t="n">
        <v>22184</v>
      </c>
      <c r="CJ134" s="258" t="n">
        <v>42485</v>
      </c>
      <c r="CL134" s="357" t="inlineStr">
        <is>
          <t>11</t>
        </is>
      </c>
      <c r="CM134" s="131">
        <f>CM133+CM54</f>
        <v/>
      </c>
      <c r="CN134" s="258" t="n">
        <v>32118</v>
      </c>
      <c r="CO134" s="258" t="n">
        <v>36596</v>
      </c>
      <c r="CP134" s="258" t="n">
        <v>34322</v>
      </c>
      <c r="CQ134" s="258" t="n">
        <v>16209</v>
      </c>
      <c r="CR134" s="258" t="n">
        <v>28025</v>
      </c>
      <c r="CT134" s="357" t="inlineStr">
        <is>
          <t>11</t>
        </is>
      </c>
      <c r="CU134" s="131">
        <f>CU133+CU54</f>
        <v/>
      </c>
      <c r="CV134" s="258" t="n">
        <v>42462</v>
      </c>
      <c r="CW134" s="258" t="n">
        <v>0</v>
      </c>
      <c r="CX134" s="258" t="n"/>
      <c r="CY134" s="258" t="n"/>
      <c r="CZ134" s="258" t="n"/>
      <c r="DB134" s="357" t="inlineStr">
        <is>
          <t>11</t>
        </is>
      </c>
      <c r="DC134" s="131">
        <f>DC133+DC54</f>
        <v/>
      </c>
      <c r="DD134" s="258" t="n">
        <v>31161</v>
      </c>
      <c r="DE134" s="258" t="n">
        <v>0</v>
      </c>
      <c r="DF134" s="258" t="n"/>
      <c r="DG134" s="258" t="n"/>
      <c r="DH134" s="258" t="n"/>
      <c r="DI134" s="258" t="n"/>
      <c r="DJ134" s="357" t="inlineStr">
        <is>
          <t>11</t>
        </is>
      </c>
      <c r="DK134" s="131">
        <f>DK133+DK54</f>
        <v/>
      </c>
      <c r="DL134" s="258" t="n">
        <v>29610</v>
      </c>
      <c r="DM134" s="258" t="n">
        <v>0</v>
      </c>
      <c r="DN134" s="258" t="n"/>
      <c r="DO134" s="258" t="n"/>
      <c r="DP134" s="258" t="n"/>
      <c r="DR134" s="357" t="inlineStr">
        <is>
          <t>11</t>
        </is>
      </c>
      <c r="DS134" s="131">
        <f>DS133+DS54</f>
        <v/>
      </c>
      <c r="DT134" s="258" t="n">
        <v>16880</v>
      </c>
      <c r="DU134" s="258" t="n">
        <v>0</v>
      </c>
      <c r="DV134" s="258" t="n"/>
      <c r="DW134" s="258" t="n"/>
      <c r="DX134" s="258" t="n"/>
      <c r="DZ134" s="357" t="inlineStr">
        <is>
          <t>11</t>
        </is>
      </c>
      <c r="EA134" s="131">
        <f>EA133+EA118</f>
        <v/>
      </c>
      <c r="EB134" s="258" t="n">
        <v>39915</v>
      </c>
      <c r="EC134" s="258" t="n">
        <v>0</v>
      </c>
      <c r="ED134" s="258" t="n"/>
      <c r="EE134" s="258" t="n"/>
      <c r="EF134" s="258" t="n"/>
    </row>
    <row r="135">
      <c r="B135" s="357" t="inlineStr">
        <is>
          <t>12</t>
        </is>
      </c>
      <c r="C135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35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35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35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35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35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35" s="258" t="n"/>
      <c r="J135" s="357" t="inlineStr">
        <is>
          <t>12</t>
        </is>
      </c>
      <c r="K135" s="131">
        <f>K134+K55</f>
        <v/>
      </c>
      <c r="L135" s="258" t="n">
        <v>34354</v>
      </c>
      <c r="M135" s="258" t="n">
        <v>35315</v>
      </c>
      <c r="N135" s="258" t="n">
        <v>38820</v>
      </c>
      <c r="O135" s="258" t="n">
        <v>19540</v>
      </c>
      <c r="P135" s="258" t="n">
        <v>26704.00000011</v>
      </c>
      <c r="R135" s="357" t="inlineStr">
        <is>
          <t>12</t>
        </is>
      </c>
      <c r="S135" s="131">
        <f>S134+S55</f>
        <v/>
      </c>
      <c r="T135" s="258" t="n">
        <v>15661</v>
      </c>
      <c r="U135" s="258" t="n">
        <v>16175</v>
      </c>
      <c r="V135" s="258" t="n">
        <v>14531</v>
      </c>
      <c r="W135" s="258" t="n">
        <v>8022</v>
      </c>
      <c r="X135" s="258" t="n">
        <v>12757</v>
      </c>
      <c r="Z135" s="357" t="inlineStr">
        <is>
          <t>12</t>
        </is>
      </c>
      <c r="AA135" s="131">
        <f>AA134+AA55</f>
        <v/>
      </c>
      <c r="AB135" s="258" t="n">
        <v>24130</v>
      </c>
      <c r="AC135" s="258" t="n">
        <v>27972</v>
      </c>
      <c r="AD135" s="258" t="n">
        <v>26001</v>
      </c>
      <c r="AE135" s="258" t="n">
        <v>13042</v>
      </c>
      <c r="AF135" s="258" t="n">
        <v>18321</v>
      </c>
      <c r="AH135" s="357" t="inlineStr">
        <is>
          <t>12</t>
        </is>
      </c>
      <c r="AI135" s="131">
        <f>AI134+AI55</f>
        <v/>
      </c>
      <c r="AJ135" s="258" t="n">
        <v>26830</v>
      </c>
      <c r="AK135" s="258" t="n">
        <v>28979</v>
      </c>
      <c r="AL135" s="258" t="n">
        <v>26159</v>
      </c>
      <c r="AM135" s="258" t="n">
        <v>14806</v>
      </c>
      <c r="AN135" s="258" t="n">
        <v>21678</v>
      </c>
      <c r="AP135" s="357" t="inlineStr">
        <is>
          <t>12</t>
        </is>
      </c>
      <c r="AQ135" s="131">
        <f>AQ134+AQ55</f>
        <v/>
      </c>
      <c r="AR135" s="258" t="n">
        <v>50347</v>
      </c>
      <c r="AS135" s="258" t="n">
        <v>53021</v>
      </c>
      <c r="AT135" s="258" t="n">
        <v>55802</v>
      </c>
      <c r="AU135" s="258" t="n">
        <v>19869</v>
      </c>
      <c r="AV135" s="258" t="n">
        <v>0</v>
      </c>
      <c r="AX135" s="357" t="inlineStr">
        <is>
          <t>12</t>
        </is>
      </c>
      <c r="AY135" s="131">
        <f>AY134+AY55</f>
        <v/>
      </c>
      <c r="AZ135" s="258" t="n">
        <v>16739</v>
      </c>
      <c r="BA135" s="258" t="n">
        <v>17595</v>
      </c>
      <c r="BB135" s="258" t="n">
        <v>17171</v>
      </c>
      <c r="BC135" s="258" t="n">
        <v>8183</v>
      </c>
      <c r="BD135" s="258" t="n"/>
      <c r="BE135" s="258" t="n"/>
      <c r="BF135" s="357" t="inlineStr">
        <is>
          <t>12</t>
        </is>
      </c>
      <c r="BG135" s="131">
        <f>BG134+BG55</f>
        <v/>
      </c>
      <c r="BH135" s="258" t="n">
        <v>23418</v>
      </c>
      <c r="BI135" s="258" t="n">
        <v>22827</v>
      </c>
      <c r="BJ135" s="258" t="n"/>
      <c r="BK135" s="258" t="n"/>
      <c r="BL135" s="258" t="n"/>
      <c r="BM135" s="258" t="n"/>
      <c r="BN135" s="357" t="inlineStr">
        <is>
          <t>12</t>
        </is>
      </c>
      <c r="BO135" s="131">
        <f>BO134+BO55</f>
        <v/>
      </c>
      <c r="BP135" s="258" t="n">
        <v>38183</v>
      </c>
      <c r="BQ135" s="258" t="n">
        <v>39344</v>
      </c>
      <c r="BR135" s="258" t="n">
        <v>43967</v>
      </c>
      <c r="BS135" s="258" t="n">
        <v>22106</v>
      </c>
      <c r="BT135" s="258" t="n">
        <v>31170</v>
      </c>
      <c r="BV135" s="357" t="inlineStr">
        <is>
          <t>12</t>
        </is>
      </c>
      <c r="BW135" s="131">
        <f>BW134+BW55</f>
        <v/>
      </c>
      <c r="BX135" s="258" t="n">
        <v>26740</v>
      </c>
      <c r="BY135" s="258" t="n">
        <v>26663</v>
      </c>
      <c r="BZ135" s="258" t="n">
        <v>25596</v>
      </c>
      <c r="CA135" s="258" t="n">
        <v>13845</v>
      </c>
      <c r="CB135" s="258" t="n">
        <v>20134</v>
      </c>
      <c r="CC135" s="258" t="n"/>
      <c r="CD135" s="357" t="inlineStr">
        <is>
          <t>12</t>
        </is>
      </c>
      <c r="CE135" s="131">
        <f>CE134+CE55</f>
        <v/>
      </c>
      <c r="CF135" s="258" t="n">
        <v>51341</v>
      </c>
      <c r="CG135" s="258" t="n">
        <v>50237</v>
      </c>
      <c r="CH135" s="258" t="n">
        <v>48036</v>
      </c>
      <c r="CI135" s="258" t="n">
        <v>24937</v>
      </c>
      <c r="CJ135" s="258" t="n">
        <v>42522</v>
      </c>
      <c r="CL135" s="357" t="inlineStr">
        <is>
          <t>12</t>
        </is>
      </c>
      <c r="CM135" s="131">
        <f>CM134+CM55</f>
        <v/>
      </c>
      <c r="CN135" s="258" t="n">
        <v>34663</v>
      </c>
      <c r="CO135" s="258" t="n"/>
      <c r="CP135" s="258" t="n"/>
      <c r="CQ135" s="258" t="n">
        <v>18670</v>
      </c>
      <c r="CR135" s="258" t="n">
        <v>28107</v>
      </c>
      <c r="CT135" s="357" t="inlineStr">
        <is>
          <t>12</t>
        </is>
      </c>
      <c r="CU135" s="131">
        <f>CU134+CU55</f>
        <v/>
      </c>
      <c r="CV135" s="258" t="n">
        <v>45809</v>
      </c>
      <c r="CW135" s="258" t="n">
        <v>0</v>
      </c>
      <c r="CX135" s="258" t="n"/>
      <c r="CY135" s="258" t="n"/>
      <c r="CZ135" s="258" t="n"/>
      <c r="DB135" s="357" t="inlineStr">
        <is>
          <t>12</t>
        </is>
      </c>
      <c r="DC135" s="131">
        <f>DC134+DC55</f>
        <v/>
      </c>
      <c r="DD135" s="258" t="n">
        <v>33805</v>
      </c>
      <c r="DE135" s="258" t="n">
        <v>0</v>
      </c>
      <c r="DF135" s="258" t="n"/>
      <c r="DG135" s="258" t="n"/>
      <c r="DH135" s="258" t="n"/>
      <c r="DI135" s="258" t="n"/>
      <c r="DJ135" s="357" t="inlineStr">
        <is>
          <t>12</t>
        </is>
      </c>
      <c r="DK135" s="131">
        <f>DK134+DK55</f>
        <v/>
      </c>
      <c r="DL135" s="258" t="n">
        <v>32332</v>
      </c>
      <c r="DM135" s="258" t="n">
        <v>0</v>
      </c>
      <c r="DN135" s="258" t="n"/>
      <c r="DO135" s="258" t="n"/>
      <c r="DP135" s="258" t="n"/>
      <c r="DR135" s="357" t="inlineStr">
        <is>
          <t>12</t>
        </is>
      </c>
      <c r="DS135" s="131">
        <f>DS134+DS55</f>
        <v/>
      </c>
      <c r="DT135" s="258" t="n">
        <v>18161</v>
      </c>
      <c r="DU135" s="258" t="n"/>
      <c r="DV135" s="258" t="n"/>
      <c r="DW135" s="258" t="n"/>
      <c r="DX135" s="258" t="n"/>
      <c r="DZ135" s="357" t="inlineStr">
        <is>
          <t>12</t>
        </is>
      </c>
      <c r="EA135" s="131">
        <f>EA134+EA119</f>
        <v/>
      </c>
      <c r="EB135" s="258" t="n">
        <v>51820</v>
      </c>
      <c r="EC135" s="258" t="n"/>
      <c r="ED135" s="258" t="n"/>
      <c r="EE135" s="258" t="n"/>
      <c r="EF135" s="258" t="n"/>
    </row>
    <row r="137" ht="15.75" customHeight="1" s="161">
      <c r="B137" s="355" t="inlineStr">
        <is>
          <t>Global</t>
        </is>
      </c>
      <c r="J137" s="355" t="inlineStr">
        <is>
          <t>GLR5</t>
        </is>
      </c>
      <c r="R137" s="355" t="inlineStr">
        <is>
          <t>HTR8</t>
        </is>
      </c>
      <c r="Z137" s="355" t="inlineStr">
        <is>
          <t>TIRR</t>
        </is>
      </c>
      <c r="AH137" s="355" t="inlineStr">
        <is>
          <t>VR7</t>
        </is>
      </c>
      <c r="AP137" s="355" t="inlineStr">
        <is>
          <t>TURVILLA</t>
        </is>
      </c>
      <c r="AX137" s="355" t="inlineStr">
        <is>
          <t>HART</t>
        </is>
      </c>
      <c r="BF137" s="355" t="inlineStr">
        <is>
          <t>VICTOIRE</t>
        </is>
      </c>
      <c r="BN137" s="355" t="inlineStr">
        <is>
          <t>TH4</t>
        </is>
      </c>
      <c r="BV137" s="355" t="inlineStr">
        <is>
          <t>TL DIVES</t>
        </is>
      </c>
      <c r="CD137" s="355" t="inlineStr">
        <is>
          <t>R3 14</t>
        </is>
      </c>
      <c r="CL137" s="355" t="inlineStr">
        <is>
          <t>LYSE</t>
        </is>
      </c>
      <c r="CT137" s="355" t="inlineStr">
        <is>
          <t>ARTHUR</t>
        </is>
      </c>
      <c r="DB137" s="355" t="inlineStr">
        <is>
          <t>HUGO</t>
        </is>
      </c>
      <c r="DJ137" s="355" t="inlineStr">
        <is>
          <t>JEANCLO</t>
        </is>
      </c>
      <c r="DR137" s="355" t="inlineStr">
        <is>
          <t>THOMAS</t>
        </is>
      </c>
      <c r="DZ137" s="355" t="inlineStr">
        <is>
          <t>CATALINA</t>
        </is>
      </c>
    </row>
    <row r="139" ht="18.6" customFormat="1" customHeight="1" s="188">
      <c r="A139" s="356" t="inlineStr">
        <is>
          <t>Transactions à emporter cumulées</t>
        </is>
      </c>
      <c r="B139" s="186" t="inlineStr">
        <is>
          <t>MOIS</t>
        </is>
      </c>
      <c r="C139" s="187" t="inlineStr">
        <is>
          <t>2024</t>
        </is>
      </c>
      <c r="D139" s="187" t="inlineStr">
        <is>
          <t>2023</t>
        </is>
      </c>
      <c r="E139" s="187" t="inlineStr">
        <is>
          <t>2022</t>
        </is>
      </c>
      <c r="F139" s="187" t="inlineStr">
        <is>
          <t>2021</t>
        </is>
      </c>
      <c r="G139" s="187" t="inlineStr">
        <is>
          <t>2020</t>
        </is>
      </c>
      <c r="H139" s="187" t="inlineStr">
        <is>
          <t>2019</t>
        </is>
      </c>
      <c r="I139" s="187" t="n"/>
      <c r="J139" s="186" t="inlineStr">
        <is>
          <t>MOIS</t>
        </is>
      </c>
      <c r="K139" s="186" t="inlineStr">
        <is>
          <t>2025</t>
        </is>
      </c>
      <c r="L139" s="186" t="inlineStr">
        <is>
          <t>2024</t>
        </is>
      </c>
      <c r="M139" s="186" t="inlineStr">
        <is>
          <t>2023</t>
        </is>
      </c>
      <c r="N139" s="186" t="inlineStr">
        <is>
          <t>2022</t>
        </is>
      </c>
      <c r="O139" s="186" t="inlineStr">
        <is>
          <t>2021</t>
        </is>
      </c>
      <c r="P139" s="186" t="inlineStr">
        <is>
          <t>2020</t>
        </is>
      </c>
      <c r="R139" s="186" t="inlineStr">
        <is>
          <t>MOIS</t>
        </is>
      </c>
      <c r="S139" s="186" t="inlineStr">
        <is>
          <t>2025</t>
        </is>
      </c>
      <c r="T139" s="186" t="inlineStr">
        <is>
          <t>2024</t>
        </is>
      </c>
      <c r="U139" s="186" t="inlineStr">
        <is>
          <t>2023</t>
        </is>
      </c>
      <c r="V139" s="186" t="inlineStr">
        <is>
          <t>2022</t>
        </is>
      </c>
      <c r="W139" s="186" t="inlineStr">
        <is>
          <t>2021</t>
        </is>
      </c>
      <c r="X139" s="186" t="inlineStr">
        <is>
          <t>2020</t>
        </is>
      </c>
      <c r="Z139" s="186" t="inlineStr">
        <is>
          <t>MOIS</t>
        </is>
      </c>
      <c r="AA139" s="186" t="inlineStr">
        <is>
          <t>2025</t>
        </is>
      </c>
      <c r="AB139" s="186" t="inlineStr">
        <is>
          <t>2024</t>
        </is>
      </c>
      <c r="AC139" s="186" t="inlineStr">
        <is>
          <t>2023</t>
        </is>
      </c>
      <c r="AD139" s="186" t="inlineStr">
        <is>
          <t>2022</t>
        </is>
      </c>
      <c r="AE139" s="186" t="inlineStr">
        <is>
          <t>2021</t>
        </is>
      </c>
      <c r="AF139" s="186" t="inlineStr">
        <is>
          <t>2020</t>
        </is>
      </c>
      <c r="AH139" s="186" t="inlineStr">
        <is>
          <t>MOIS</t>
        </is>
      </c>
      <c r="AI139" s="186" t="inlineStr">
        <is>
          <t>2025</t>
        </is>
      </c>
      <c r="AJ139" s="186" t="inlineStr">
        <is>
          <t>2024</t>
        </is>
      </c>
      <c r="AK139" s="186" t="inlineStr">
        <is>
          <t>2023</t>
        </is>
      </c>
      <c r="AL139" s="186" t="inlineStr">
        <is>
          <t>2022</t>
        </is>
      </c>
      <c r="AM139" s="186" t="inlineStr">
        <is>
          <t>2021</t>
        </is>
      </c>
      <c r="AN139" s="186" t="inlineStr">
        <is>
          <t>2020</t>
        </is>
      </c>
      <c r="AP139" s="186" t="inlineStr">
        <is>
          <t>MOIS</t>
        </is>
      </c>
      <c r="AQ139" s="186" t="inlineStr">
        <is>
          <t>2025</t>
        </is>
      </c>
      <c r="AR139" s="186" t="inlineStr">
        <is>
          <t>2024</t>
        </is>
      </c>
      <c r="AS139" s="186" t="inlineStr">
        <is>
          <t>2023</t>
        </is>
      </c>
      <c r="AT139" s="186" t="inlineStr">
        <is>
          <t>2022</t>
        </is>
      </c>
      <c r="AU139" s="186" t="inlineStr">
        <is>
          <t>2021</t>
        </is>
      </c>
      <c r="AV139" s="186" t="inlineStr">
        <is>
          <t>2020</t>
        </is>
      </c>
      <c r="AX139" s="186" t="inlineStr">
        <is>
          <t>MOIS</t>
        </is>
      </c>
      <c r="AY139" s="186" t="inlineStr">
        <is>
          <t>2025</t>
        </is>
      </c>
      <c r="AZ139" s="186" t="inlineStr">
        <is>
          <t>2024</t>
        </is>
      </c>
      <c r="BA139" s="186" t="inlineStr">
        <is>
          <t>2023</t>
        </is>
      </c>
      <c r="BB139" s="186" t="inlineStr">
        <is>
          <t>2022</t>
        </is>
      </c>
      <c r="BC139" s="186" t="inlineStr">
        <is>
          <t>2021</t>
        </is>
      </c>
      <c r="BD139" s="186" t="inlineStr">
        <is>
          <t>2020</t>
        </is>
      </c>
      <c r="BE139" s="187" t="n"/>
      <c r="BF139" s="186" t="inlineStr">
        <is>
          <t>MOIS</t>
        </is>
      </c>
      <c r="BG139" s="186" t="inlineStr">
        <is>
          <t>2025</t>
        </is>
      </c>
      <c r="BH139" s="186" t="inlineStr">
        <is>
          <t>2024</t>
        </is>
      </c>
      <c r="BI139" s="186" t="inlineStr">
        <is>
          <t>2023</t>
        </is>
      </c>
      <c r="BJ139" s="186" t="inlineStr">
        <is>
          <t>2022</t>
        </is>
      </c>
      <c r="BK139" s="186" t="inlineStr">
        <is>
          <t>2021</t>
        </is>
      </c>
      <c r="BL139" s="186" t="inlineStr">
        <is>
          <t>2020</t>
        </is>
      </c>
      <c r="BM139" s="186" t="n"/>
      <c r="BN139" s="186" t="inlineStr">
        <is>
          <t>MOIS</t>
        </is>
      </c>
      <c r="BO139" s="187" t="inlineStr">
        <is>
          <t>2025</t>
        </is>
      </c>
      <c r="BP139" s="187" t="inlineStr">
        <is>
          <t>2024</t>
        </is>
      </c>
      <c r="BQ139" s="187" t="inlineStr">
        <is>
          <t>2023</t>
        </is>
      </c>
      <c r="BR139" s="187" t="inlineStr">
        <is>
          <t>2022</t>
        </is>
      </c>
      <c r="BS139" s="187" t="inlineStr">
        <is>
          <t>2021</t>
        </is>
      </c>
      <c r="BT139" s="187" t="inlineStr">
        <is>
          <t>2020</t>
        </is>
      </c>
      <c r="BV139" s="186" t="inlineStr">
        <is>
          <t>MOIS</t>
        </is>
      </c>
      <c r="BW139" s="187" t="inlineStr">
        <is>
          <t>2025</t>
        </is>
      </c>
      <c r="BX139" s="187" t="inlineStr">
        <is>
          <t>2024</t>
        </is>
      </c>
      <c r="BY139" s="187" t="inlineStr">
        <is>
          <t>2023</t>
        </is>
      </c>
      <c r="BZ139" s="187" t="inlineStr">
        <is>
          <t>2022</t>
        </is>
      </c>
      <c r="CA139" s="187" t="inlineStr">
        <is>
          <t>2021</t>
        </is>
      </c>
      <c r="CB139" s="187" t="inlineStr">
        <is>
          <t>2020</t>
        </is>
      </c>
      <c r="CC139" s="187" t="n"/>
      <c r="CD139" s="186" t="inlineStr">
        <is>
          <t>MOIS</t>
        </is>
      </c>
      <c r="CE139" s="187" t="inlineStr">
        <is>
          <t>2025</t>
        </is>
      </c>
      <c r="CF139" s="187" t="inlineStr">
        <is>
          <t>2024</t>
        </is>
      </c>
      <c r="CG139" s="187" t="inlineStr">
        <is>
          <t>2023</t>
        </is>
      </c>
      <c r="CH139" s="187" t="inlineStr">
        <is>
          <t>2022</t>
        </is>
      </c>
      <c r="CI139" s="187" t="inlineStr">
        <is>
          <t>2021</t>
        </is>
      </c>
      <c r="CJ139" s="187" t="inlineStr">
        <is>
          <t>2020</t>
        </is>
      </c>
      <c r="CL139" s="186" t="inlineStr">
        <is>
          <t>MOIS</t>
        </is>
      </c>
      <c r="CM139" s="187" t="inlineStr">
        <is>
          <t>2025</t>
        </is>
      </c>
      <c r="CN139" s="187" t="inlineStr">
        <is>
          <t>2024</t>
        </is>
      </c>
      <c r="CO139" s="187" t="inlineStr">
        <is>
          <t>2023</t>
        </is>
      </c>
      <c r="CP139" s="187" t="inlineStr">
        <is>
          <t>2022</t>
        </is>
      </c>
      <c r="CQ139" s="187" t="inlineStr">
        <is>
          <t>2021</t>
        </is>
      </c>
      <c r="CR139" s="187" t="inlineStr">
        <is>
          <t>2020</t>
        </is>
      </c>
      <c r="CT139" s="186" t="inlineStr">
        <is>
          <t>MOIS</t>
        </is>
      </c>
      <c r="CU139" s="187" t="inlineStr">
        <is>
          <t>2025</t>
        </is>
      </c>
      <c r="CV139" s="187" t="inlineStr">
        <is>
          <t>2024</t>
        </is>
      </c>
      <c r="CW139" s="187" t="inlineStr">
        <is>
          <t>2023</t>
        </is>
      </c>
      <c r="CX139" s="187" t="inlineStr">
        <is>
          <t>2022</t>
        </is>
      </c>
      <c r="CY139" s="187" t="inlineStr">
        <is>
          <t>2021</t>
        </is>
      </c>
      <c r="CZ139" s="187" t="inlineStr">
        <is>
          <t>2020</t>
        </is>
      </c>
      <c r="DB139" s="186" t="inlineStr">
        <is>
          <t>MOIS</t>
        </is>
      </c>
      <c r="DC139" s="187" t="inlineStr">
        <is>
          <t>2025</t>
        </is>
      </c>
      <c r="DD139" s="187" t="inlineStr">
        <is>
          <t>2024</t>
        </is>
      </c>
      <c r="DE139" s="187" t="inlineStr">
        <is>
          <t>2023</t>
        </is>
      </c>
      <c r="DF139" s="187" t="inlineStr">
        <is>
          <t>2022</t>
        </is>
      </c>
      <c r="DG139" s="187" t="inlineStr">
        <is>
          <t>2021</t>
        </is>
      </c>
      <c r="DH139" s="187" t="inlineStr">
        <is>
          <t>2020</t>
        </is>
      </c>
      <c r="DI139" s="187" t="n"/>
      <c r="DJ139" s="186" t="inlineStr">
        <is>
          <t>MOIS</t>
        </is>
      </c>
      <c r="DK139" s="187" t="inlineStr">
        <is>
          <t>2025</t>
        </is>
      </c>
      <c r="DL139" s="187" t="inlineStr">
        <is>
          <t>2024</t>
        </is>
      </c>
      <c r="DM139" s="187" t="inlineStr">
        <is>
          <t>2023</t>
        </is>
      </c>
      <c r="DN139" s="187" t="inlineStr">
        <is>
          <t>2022</t>
        </is>
      </c>
      <c r="DO139" s="187" t="inlineStr">
        <is>
          <t>2021</t>
        </is>
      </c>
      <c r="DP139" s="187" t="inlineStr">
        <is>
          <t>2020</t>
        </is>
      </c>
      <c r="DR139" s="186" t="inlineStr">
        <is>
          <t>MOIS</t>
        </is>
      </c>
      <c r="DS139" s="187" t="inlineStr">
        <is>
          <t>2025</t>
        </is>
      </c>
      <c r="DT139" s="187" t="inlineStr">
        <is>
          <t>2024</t>
        </is>
      </c>
      <c r="DU139" s="187" t="inlineStr">
        <is>
          <t>2023</t>
        </is>
      </c>
      <c r="DV139" s="187" t="inlineStr">
        <is>
          <t>2022</t>
        </is>
      </c>
      <c r="DW139" s="187" t="inlineStr">
        <is>
          <t>2021</t>
        </is>
      </c>
      <c r="DX139" s="187" t="inlineStr">
        <is>
          <t>2020</t>
        </is>
      </c>
      <c r="DZ139" s="186" t="inlineStr">
        <is>
          <t>MOIS</t>
        </is>
      </c>
      <c r="EA139" s="187" t="inlineStr">
        <is>
          <t>2025</t>
        </is>
      </c>
      <c r="EB139" s="187" t="inlineStr">
        <is>
          <t>2024</t>
        </is>
      </c>
      <c r="EC139" s="187" t="inlineStr">
        <is>
          <t>2023</t>
        </is>
      </c>
      <c r="ED139" s="187" t="inlineStr">
        <is>
          <t>2022</t>
        </is>
      </c>
      <c r="EE139" s="187" t="inlineStr">
        <is>
          <t>2021</t>
        </is>
      </c>
      <c r="EF139" s="187" t="inlineStr">
        <is>
          <t>2020</t>
        </is>
      </c>
    </row>
    <row r="140">
      <c r="B140" s="357" t="inlineStr">
        <is>
          <t>01</t>
        </is>
      </c>
      <c r="C140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40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40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40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40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40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40" s="258" t="n"/>
      <c r="J140" s="357" t="inlineStr">
        <is>
          <t>01</t>
        </is>
      </c>
      <c r="K140" s="131">
        <f>+K60</f>
        <v/>
      </c>
      <c r="L140" s="258" t="n">
        <v>3309</v>
      </c>
      <c r="M140" s="258" t="n">
        <v>3543</v>
      </c>
      <c r="N140" s="258" t="n">
        <v>3627</v>
      </c>
      <c r="O140" s="258" t="n">
        <v>2866</v>
      </c>
      <c r="P140" s="258" t="n">
        <v>3382</v>
      </c>
      <c r="R140" s="357" t="inlineStr">
        <is>
          <t>01</t>
        </is>
      </c>
      <c r="S140" s="131">
        <f>+S60</f>
        <v/>
      </c>
      <c r="T140" s="258" t="n">
        <v>1388</v>
      </c>
      <c r="U140" s="258" t="n">
        <v>2092</v>
      </c>
      <c r="V140" s="258" t="n">
        <v>2868</v>
      </c>
      <c r="W140" s="258" t="n">
        <v>1497</v>
      </c>
      <c r="X140" s="258" t="n">
        <v>1626</v>
      </c>
      <c r="Z140" s="357" t="inlineStr">
        <is>
          <t>01</t>
        </is>
      </c>
      <c r="AA140" s="131">
        <f>+AA60</f>
        <v/>
      </c>
      <c r="AB140" s="258" t="n">
        <v>2716</v>
      </c>
      <c r="AC140" s="258" t="n">
        <v>2872</v>
      </c>
      <c r="AD140" s="258" t="n">
        <v>3424</v>
      </c>
      <c r="AE140" s="258" t="n">
        <v>3122</v>
      </c>
      <c r="AF140" s="258" t="n">
        <v>2472</v>
      </c>
      <c r="AH140" s="357" t="inlineStr">
        <is>
          <t>01</t>
        </is>
      </c>
      <c r="AI140" s="131">
        <f>+AI60</f>
        <v/>
      </c>
      <c r="AJ140" s="258" t="n">
        <v>3632</v>
      </c>
      <c r="AK140" s="258" t="n">
        <v>3155</v>
      </c>
      <c r="AL140" s="258" t="n">
        <v>2214</v>
      </c>
      <c r="AM140" s="258" t="n">
        <v>1258</v>
      </c>
      <c r="AN140" s="258" t="n">
        <v>1651</v>
      </c>
      <c r="AP140" s="357" t="inlineStr">
        <is>
          <t>01</t>
        </is>
      </c>
      <c r="AQ140" s="131">
        <f>+AQ60</f>
        <v/>
      </c>
      <c r="AR140" s="258" t="n">
        <v>2980</v>
      </c>
      <c r="AS140" s="258" t="n">
        <v>2503</v>
      </c>
      <c r="AT140" s="258" t="n">
        <v>2195</v>
      </c>
      <c r="AU140" s="258" t="n">
        <v>1567</v>
      </c>
      <c r="AV140" s="258" t="n">
        <v>0</v>
      </c>
      <c r="AX140" s="357" t="inlineStr">
        <is>
          <t>01</t>
        </is>
      </c>
      <c r="AY140" s="131">
        <f>+AY60</f>
        <v/>
      </c>
      <c r="AZ140" s="258" t="n">
        <v>1649</v>
      </c>
      <c r="BA140" s="258" t="n">
        <v>1083</v>
      </c>
      <c r="BB140" s="258" t="n">
        <v>1246</v>
      </c>
      <c r="BC140" s="258" t="n"/>
      <c r="BD140" s="258" t="n"/>
      <c r="BE140" s="258" t="n"/>
      <c r="BF140" s="357" t="inlineStr">
        <is>
          <t>01</t>
        </is>
      </c>
      <c r="BG140" s="131">
        <f>+BG60</f>
        <v/>
      </c>
      <c r="BH140" s="258" t="n">
        <v>1024</v>
      </c>
      <c r="BI140" s="258" t="n">
        <v>952</v>
      </c>
      <c r="BJ140" s="258" t="n"/>
      <c r="BK140" s="258" t="n"/>
      <c r="BL140" s="258" t="n"/>
      <c r="BM140" s="258" t="n"/>
      <c r="BN140" s="357" t="inlineStr">
        <is>
          <t>01</t>
        </is>
      </c>
      <c r="BO140" s="131">
        <f>+BO60</f>
        <v/>
      </c>
      <c r="BP140" s="258" t="n">
        <v>2735</v>
      </c>
      <c r="BQ140" s="258" t="n">
        <v>2373</v>
      </c>
      <c r="BR140" s="258" t="n">
        <v>2769</v>
      </c>
      <c r="BS140" s="258" t="n">
        <v>2236</v>
      </c>
      <c r="BT140" s="258" t="n">
        <v>2128</v>
      </c>
      <c r="BV140" s="357" t="inlineStr">
        <is>
          <t>01</t>
        </is>
      </c>
      <c r="BW140" s="131">
        <f>+BW60</f>
        <v/>
      </c>
      <c r="BX140" s="258" t="n">
        <v>2195</v>
      </c>
      <c r="BY140" s="258" t="n">
        <v>2356</v>
      </c>
      <c r="BZ140" s="258" t="n">
        <v>2130</v>
      </c>
      <c r="CA140" s="258" t="n">
        <v>1199</v>
      </c>
      <c r="CB140" s="258" t="n">
        <v>1552</v>
      </c>
      <c r="CC140" s="258" t="n"/>
      <c r="CD140" s="357" t="inlineStr">
        <is>
          <t>01</t>
        </is>
      </c>
      <c r="CE140" s="131">
        <f>+CE60</f>
        <v/>
      </c>
      <c r="CF140" s="258" t="n">
        <v>2464</v>
      </c>
      <c r="CG140" s="258" t="n">
        <v>2883</v>
      </c>
      <c r="CH140" s="258" t="n">
        <v>3429</v>
      </c>
      <c r="CI140" s="258" t="n">
        <v>134</v>
      </c>
      <c r="CJ140" s="258" t="n">
        <v>1723</v>
      </c>
      <c r="CL140" s="357" t="inlineStr">
        <is>
          <t>01</t>
        </is>
      </c>
      <c r="CM140" s="131">
        <f>+CM60</f>
        <v/>
      </c>
      <c r="CN140" s="258" t="n">
        <v>2857</v>
      </c>
      <c r="CO140" s="258" t="n">
        <v>3571</v>
      </c>
      <c r="CP140" s="258" t="n">
        <v>3748</v>
      </c>
      <c r="CQ140" s="258" t="n">
        <v>2174</v>
      </c>
      <c r="CR140" s="258" t="n">
        <v>2247</v>
      </c>
      <c r="CT140" s="357" t="inlineStr">
        <is>
          <t>01</t>
        </is>
      </c>
      <c r="CU140" s="131">
        <f>+CU60</f>
        <v/>
      </c>
      <c r="CV140" s="258" t="n">
        <v>5065</v>
      </c>
      <c r="CW140" s="258" t="n">
        <v>0</v>
      </c>
      <c r="CX140" s="258" t="n"/>
      <c r="CY140" s="258" t="n"/>
      <c r="CZ140" s="258" t="n"/>
      <c r="DB140" s="357" t="inlineStr">
        <is>
          <t>01</t>
        </is>
      </c>
      <c r="DC140" s="131">
        <f>+DC60</f>
        <v/>
      </c>
      <c r="DD140" s="258" t="n">
        <v>3573</v>
      </c>
      <c r="DE140" s="258" t="n">
        <v>0</v>
      </c>
      <c r="DF140" s="258" t="n"/>
      <c r="DG140" s="258" t="n"/>
      <c r="DH140" s="258" t="n"/>
      <c r="DI140" s="258" t="n"/>
      <c r="DJ140" s="357" t="inlineStr">
        <is>
          <t>01</t>
        </is>
      </c>
      <c r="DK140" s="131">
        <f>+DK60</f>
        <v/>
      </c>
      <c r="DL140" s="258" t="n">
        <v>5429</v>
      </c>
      <c r="DM140" s="258" t="n">
        <v>0</v>
      </c>
      <c r="DN140" s="258" t="n"/>
      <c r="DO140" s="258" t="n"/>
      <c r="DP140" s="258" t="n"/>
      <c r="DR140" s="357" t="inlineStr">
        <is>
          <t>01</t>
        </is>
      </c>
      <c r="DS140" s="131">
        <f>+DS60</f>
        <v/>
      </c>
      <c r="DT140" s="258" t="n">
        <v>3024</v>
      </c>
      <c r="DU140" s="258" t="n">
        <v>0</v>
      </c>
      <c r="DV140" s="258" t="n"/>
      <c r="DW140" s="258" t="n"/>
      <c r="DX140" s="258" t="n"/>
      <c r="DZ140" s="357" t="inlineStr">
        <is>
          <t>01</t>
        </is>
      </c>
      <c r="EA140" s="131">
        <f>+EA60</f>
        <v/>
      </c>
      <c r="EB140" s="258" t="n"/>
      <c r="EC140" s="258" t="n">
        <v>0</v>
      </c>
      <c r="ED140" s="258" t="n"/>
      <c r="EE140" s="258" t="n"/>
      <c r="EF140" s="258" t="n"/>
    </row>
    <row r="141">
      <c r="B141" s="357" t="inlineStr">
        <is>
          <t>02</t>
        </is>
      </c>
      <c r="C141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41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41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41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41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41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41" s="258" t="n"/>
      <c r="J141" s="357" t="inlineStr">
        <is>
          <t>02</t>
        </is>
      </c>
      <c r="K141" s="131">
        <f>K140+K61</f>
        <v/>
      </c>
      <c r="L141" s="258" t="n">
        <v>6849</v>
      </c>
      <c r="M141" s="258" t="n">
        <v>7107</v>
      </c>
      <c r="N141" s="258" t="n">
        <v>7492</v>
      </c>
      <c r="O141" s="258" t="n">
        <v>5876</v>
      </c>
      <c r="P141" s="258" t="n">
        <v>6604</v>
      </c>
      <c r="R141" s="357" t="inlineStr">
        <is>
          <t>02</t>
        </is>
      </c>
      <c r="S141" s="131">
        <f>S140+S61</f>
        <v/>
      </c>
      <c r="T141" s="258" t="n">
        <v>3086</v>
      </c>
      <c r="U141" s="258" t="n">
        <v>4061</v>
      </c>
      <c r="V141" s="258" t="n">
        <v>5617</v>
      </c>
      <c r="W141" s="258" t="n">
        <v>3083</v>
      </c>
      <c r="X141" s="258" t="n">
        <v>3198</v>
      </c>
      <c r="Z141" s="357" t="inlineStr">
        <is>
          <t>02</t>
        </is>
      </c>
      <c r="AA141" s="131">
        <f>AA140+AA61</f>
        <v/>
      </c>
      <c r="AB141" s="258" t="n">
        <v>5157</v>
      </c>
      <c r="AC141" s="258" t="n">
        <v>5323</v>
      </c>
      <c r="AD141" s="258" t="n">
        <v>6664</v>
      </c>
      <c r="AE141" s="258" t="n">
        <v>6124</v>
      </c>
      <c r="AF141" s="258" t="n">
        <v>4810</v>
      </c>
      <c r="AH141" s="357" t="inlineStr">
        <is>
          <t>02</t>
        </is>
      </c>
      <c r="AI141" s="131">
        <f>AI140+AI61</f>
        <v/>
      </c>
      <c r="AJ141" s="258" t="n">
        <v>7156</v>
      </c>
      <c r="AK141" s="258" t="n">
        <v>5890</v>
      </c>
      <c r="AL141" s="258" t="n">
        <v>4483</v>
      </c>
      <c r="AM141" s="258" t="n">
        <v>3019</v>
      </c>
      <c r="AN141" s="258" t="n">
        <v>3340</v>
      </c>
      <c r="AP141" s="357" t="inlineStr">
        <is>
          <t>02</t>
        </is>
      </c>
      <c r="AQ141" s="131">
        <f>AQ140+AQ61</f>
        <v/>
      </c>
      <c r="AR141" s="258" t="n">
        <v>5833</v>
      </c>
      <c r="AS141" s="258" t="n">
        <v>4716</v>
      </c>
      <c r="AT141" s="258" t="n">
        <v>4729</v>
      </c>
      <c r="AU141" s="258" t="n">
        <v>3233</v>
      </c>
      <c r="AV141" s="258" t="n">
        <v>0</v>
      </c>
      <c r="AX141" s="357" t="inlineStr">
        <is>
          <t>02</t>
        </is>
      </c>
      <c r="AY141" s="131">
        <f>AY140+AY61</f>
        <v/>
      </c>
      <c r="AZ141" s="258" t="n">
        <v>3350</v>
      </c>
      <c r="BA141" s="258" t="n">
        <v>2332</v>
      </c>
      <c r="BB141" s="258" t="n">
        <v>2590</v>
      </c>
      <c r="BC141" s="258" t="n"/>
      <c r="BD141" s="258" t="n"/>
      <c r="BE141" s="258" t="n"/>
      <c r="BF141" s="357" t="inlineStr">
        <is>
          <t>02</t>
        </is>
      </c>
      <c r="BG141" s="131">
        <f>BG140+BG61</f>
        <v/>
      </c>
      <c r="BH141" s="258" t="n">
        <v>1982</v>
      </c>
      <c r="BI141" s="258" t="n">
        <v>1923</v>
      </c>
      <c r="BJ141" s="258" t="n"/>
      <c r="BK141" s="258" t="n"/>
      <c r="BL141" s="258" t="n"/>
      <c r="BM141" s="258" t="n"/>
      <c r="BN141" s="357" t="inlineStr">
        <is>
          <t>02</t>
        </is>
      </c>
      <c r="BO141" s="131">
        <f>BO140+BO61</f>
        <v/>
      </c>
      <c r="BP141" s="258" t="n">
        <v>5300</v>
      </c>
      <c r="BQ141" s="258" t="n">
        <v>4590</v>
      </c>
      <c r="BR141" s="258" t="n">
        <v>5567</v>
      </c>
      <c r="BS141" s="258" t="n">
        <v>5216</v>
      </c>
      <c r="BT141" s="258" t="n">
        <v>3904</v>
      </c>
      <c r="BV141" s="357" t="inlineStr">
        <is>
          <t>02</t>
        </is>
      </c>
      <c r="BW141" s="131">
        <f>BW140+BW61</f>
        <v/>
      </c>
      <c r="BX141" s="258" t="n">
        <v>4306</v>
      </c>
      <c r="BY141" s="258" t="n">
        <v>4472</v>
      </c>
      <c r="BZ141" s="258" t="n">
        <v>4407</v>
      </c>
      <c r="CA141" s="258" t="n">
        <v>2448</v>
      </c>
      <c r="CB141" s="258" t="n">
        <v>3061</v>
      </c>
      <c r="CC141" s="258" t="n"/>
      <c r="CD141" s="357" t="inlineStr">
        <is>
          <t>02</t>
        </is>
      </c>
      <c r="CE141" s="131">
        <f>CE140+CE61</f>
        <v/>
      </c>
      <c r="CF141" s="258" t="n">
        <v>4741</v>
      </c>
      <c r="CG141" s="258" t="n">
        <v>5249</v>
      </c>
      <c r="CH141" s="258" t="n">
        <v>6457</v>
      </c>
      <c r="CI141" s="258" t="n">
        <v>1066</v>
      </c>
      <c r="CJ141" s="258" t="n">
        <v>3331</v>
      </c>
      <c r="CL141" s="357" t="inlineStr">
        <is>
          <t>02</t>
        </is>
      </c>
      <c r="CM141" s="131">
        <f>CM140+CM61</f>
        <v/>
      </c>
      <c r="CN141" s="258" t="n">
        <v>5785</v>
      </c>
      <c r="CO141" s="258" t="n">
        <v>6851</v>
      </c>
      <c r="CP141" s="258" t="n">
        <v>7407</v>
      </c>
      <c r="CQ141" s="258" t="n">
        <v>4698</v>
      </c>
      <c r="CR141" s="258" t="n">
        <v>4337</v>
      </c>
      <c r="CT141" s="357" t="inlineStr">
        <is>
          <t>02</t>
        </is>
      </c>
      <c r="CU141" s="131">
        <f>CU140+CU61</f>
        <v/>
      </c>
      <c r="CV141" s="258" t="n">
        <v>9820</v>
      </c>
      <c r="CW141" s="258" t="n">
        <v>0</v>
      </c>
      <c r="CX141" s="258" t="n"/>
      <c r="CY141" s="258" t="n"/>
      <c r="CZ141" s="258" t="n"/>
      <c r="DB141" s="357" t="inlineStr">
        <is>
          <t>02</t>
        </is>
      </c>
      <c r="DC141" s="131">
        <f>DC140+DC61</f>
        <v/>
      </c>
      <c r="DD141" s="258" t="n">
        <v>7358</v>
      </c>
      <c r="DE141" s="258" t="n">
        <v>0</v>
      </c>
      <c r="DF141" s="258" t="n"/>
      <c r="DG141" s="258" t="n"/>
      <c r="DH141" s="258" t="n"/>
      <c r="DI141" s="258" t="n"/>
      <c r="DJ141" s="357" t="inlineStr">
        <is>
          <t>02</t>
        </is>
      </c>
      <c r="DK141" s="131">
        <f>DK140+DK61</f>
        <v/>
      </c>
      <c r="DL141" s="258" t="n">
        <v>11061</v>
      </c>
      <c r="DM141" s="258" t="n">
        <v>0</v>
      </c>
      <c r="DN141" s="258" t="n"/>
      <c r="DO141" s="258" t="n"/>
      <c r="DP141" s="258" t="n"/>
      <c r="DR141" s="357" t="inlineStr">
        <is>
          <t>02</t>
        </is>
      </c>
      <c r="DS141" s="131">
        <f>DS140+DS61</f>
        <v/>
      </c>
      <c r="DT141" s="258" t="n">
        <v>5708</v>
      </c>
      <c r="DU141" s="258" t="n">
        <v>0</v>
      </c>
      <c r="DV141" s="258" t="n"/>
      <c r="DW141" s="258" t="n"/>
      <c r="DX141" s="258" t="n"/>
      <c r="DZ141" s="357" t="inlineStr">
        <is>
          <t>02</t>
        </is>
      </c>
      <c r="EA141" s="131">
        <f>EA140+EA61</f>
        <v/>
      </c>
      <c r="EB141" s="258" t="n"/>
      <c r="EC141" s="258" t="n">
        <v>0</v>
      </c>
      <c r="ED141" s="258" t="n"/>
      <c r="EE141" s="258" t="n"/>
      <c r="EF141" s="258" t="n"/>
    </row>
    <row r="142">
      <c r="B142" s="357" t="inlineStr">
        <is>
          <t>03</t>
        </is>
      </c>
      <c r="C142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42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42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42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42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42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42" s="258" t="n"/>
      <c r="J142" s="357" t="inlineStr">
        <is>
          <t>03</t>
        </is>
      </c>
      <c r="K142" s="131">
        <f>K141+K62</f>
        <v/>
      </c>
      <c r="L142" s="258" t="n">
        <v>10778</v>
      </c>
      <c r="M142" s="258" t="n">
        <v>10459</v>
      </c>
      <c r="N142" s="258" t="n">
        <v>11289</v>
      </c>
      <c r="O142" s="258" t="n">
        <v>9247</v>
      </c>
      <c r="P142" s="258" t="n">
        <v>8165</v>
      </c>
      <c r="R142" s="357" t="inlineStr">
        <is>
          <t>03</t>
        </is>
      </c>
      <c r="S142" s="131">
        <f>S141+S62</f>
        <v/>
      </c>
      <c r="T142" s="258" t="n">
        <v>5371</v>
      </c>
      <c r="U142" s="258" t="n">
        <v>6012</v>
      </c>
      <c r="V142" s="258" t="n">
        <v>8038</v>
      </c>
      <c r="W142" s="258" t="n">
        <v>4846</v>
      </c>
      <c r="X142" s="258" t="n">
        <v>3962</v>
      </c>
      <c r="Z142" s="357" t="inlineStr">
        <is>
          <t>03</t>
        </is>
      </c>
      <c r="AA142" s="131">
        <f>AA141+AA62</f>
        <v/>
      </c>
      <c r="AB142" s="258" t="n">
        <v>7964</v>
      </c>
      <c r="AC142" s="258" t="n">
        <v>7650</v>
      </c>
      <c r="AD142" s="258" t="n">
        <v>9747</v>
      </c>
      <c r="AE142" s="258" t="n">
        <v>9131</v>
      </c>
      <c r="AF142" s="258" t="n">
        <v>6096</v>
      </c>
      <c r="AH142" s="357" t="inlineStr">
        <is>
          <t>03</t>
        </is>
      </c>
      <c r="AI142" s="131">
        <f>AI141+AI62</f>
        <v/>
      </c>
      <c r="AJ142" s="258" t="n">
        <v>10913</v>
      </c>
      <c r="AK142" s="258" t="n">
        <v>8717</v>
      </c>
      <c r="AL142" s="258" t="n">
        <v>6953</v>
      </c>
      <c r="AM142" s="258" t="n">
        <v>4786</v>
      </c>
      <c r="AN142" s="258" t="n">
        <v>3386</v>
      </c>
      <c r="AP142" s="357" t="inlineStr">
        <is>
          <t>03</t>
        </is>
      </c>
      <c r="AQ142" s="131">
        <f>AQ141+AQ62</f>
        <v/>
      </c>
      <c r="AR142" s="258" t="n">
        <v>9203</v>
      </c>
      <c r="AS142" s="258" t="n">
        <v>6997</v>
      </c>
      <c r="AT142" s="258" t="n">
        <v>7049</v>
      </c>
      <c r="AU142" s="258" t="n">
        <v>5392</v>
      </c>
      <c r="AV142" s="258" t="n">
        <v>0</v>
      </c>
      <c r="AX142" s="357" t="inlineStr">
        <is>
          <t>03</t>
        </is>
      </c>
      <c r="AY142" s="131">
        <f>AY141+AY62</f>
        <v/>
      </c>
      <c r="AZ142" s="258" t="n">
        <v>5320</v>
      </c>
      <c r="BA142" s="258" t="n">
        <v>3594</v>
      </c>
      <c r="BB142" s="258" t="n">
        <v>3751</v>
      </c>
      <c r="BC142" s="258" t="n"/>
      <c r="BD142" s="258" t="n"/>
      <c r="BE142" s="258" t="n"/>
      <c r="BF142" s="357" t="inlineStr">
        <is>
          <t>03</t>
        </is>
      </c>
      <c r="BG142" s="131">
        <f>BG141+BG62</f>
        <v/>
      </c>
      <c r="BH142" s="258" t="n">
        <v>3036</v>
      </c>
      <c r="BI142" s="258" t="n">
        <v>2755</v>
      </c>
      <c r="BJ142" s="258" t="n"/>
      <c r="BK142" s="258" t="n"/>
      <c r="BL142" s="258" t="n"/>
      <c r="BM142" s="258" t="n"/>
      <c r="BN142" s="357" t="inlineStr">
        <is>
          <t>03</t>
        </is>
      </c>
      <c r="BO142" s="131">
        <f>BO141+BO62</f>
        <v/>
      </c>
      <c r="BP142" s="258" t="n">
        <v>8021</v>
      </c>
      <c r="BQ142" s="258" t="n">
        <v>6843</v>
      </c>
      <c r="BR142" s="258" t="n">
        <v>8374</v>
      </c>
      <c r="BS142" s="258" t="n">
        <v>8388</v>
      </c>
      <c r="BT142" s="258" t="n">
        <v>4796</v>
      </c>
      <c r="BV142" s="357" t="inlineStr">
        <is>
          <t>03</t>
        </is>
      </c>
      <c r="BW142" s="131">
        <f>BW141+BW62</f>
        <v/>
      </c>
      <c r="BX142" s="258" t="n">
        <v>6598</v>
      </c>
      <c r="BY142" s="258" t="n">
        <v>6528</v>
      </c>
      <c r="BZ142" s="258" t="n">
        <v>6478</v>
      </c>
      <c r="CA142" s="258" t="n">
        <v>3907</v>
      </c>
      <c r="CB142" s="258" t="n">
        <v>3762</v>
      </c>
      <c r="CC142" s="258" t="n"/>
      <c r="CD142" s="357" t="inlineStr">
        <is>
          <t>03</t>
        </is>
      </c>
      <c r="CE142" s="131">
        <f>CE141+CE62</f>
        <v/>
      </c>
      <c r="CF142" s="258" t="n">
        <v>7235</v>
      </c>
      <c r="CG142" s="258" t="n">
        <v>7482</v>
      </c>
      <c r="CH142" s="258" t="n">
        <v>9342</v>
      </c>
      <c r="CI142" s="258" t="n">
        <v>2521</v>
      </c>
      <c r="CJ142" s="258" t="n">
        <v>4048</v>
      </c>
      <c r="CL142" s="357" t="inlineStr">
        <is>
          <t>03</t>
        </is>
      </c>
      <c r="CM142" s="131">
        <f>CM141+CM62</f>
        <v/>
      </c>
      <c r="CN142" s="258" t="n">
        <v>9266</v>
      </c>
      <c r="CO142" s="258" t="n">
        <v>9916</v>
      </c>
      <c r="CP142" s="258" t="n">
        <v>10773</v>
      </c>
      <c r="CQ142" s="258" t="n">
        <v>7315</v>
      </c>
      <c r="CR142" s="258" t="n">
        <v>5323</v>
      </c>
      <c r="CT142" s="357" t="inlineStr">
        <is>
          <t>03</t>
        </is>
      </c>
      <c r="CU142" s="131">
        <f>CU141+CU62</f>
        <v/>
      </c>
      <c r="CV142" s="258" t="n">
        <v>15298</v>
      </c>
      <c r="CW142" s="258" t="n">
        <v>0</v>
      </c>
      <c r="CX142" s="258" t="n"/>
      <c r="CY142" s="258" t="n"/>
      <c r="CZ142" s="258" t="n"/>
      <c r="DB142" s="357" t="inlineStr">
        <is>
          <t>03</t>
        </is>
      </c>
      <c r="DC142" s="131">
        <f>DC141+DC62</f>
        <v/>
      </c>
      <c r="DD142" s="258" t="n">
        <v>11667</v>
      </c>
      <c r="DE142" s="258" t="n">
        <v>0</v>
      </c>
      <c r="DF142" s="258" t="n"/>
      <c r="DG142" s="258" t="n"/>
      <c r="DH142" s="258" t="n"/>
      <c r="DI142" s="258" t="n"/>
      <c r="DJ142" s="357" t="inlineStr">
        <is>
          <t>03</t>
        </is>
      </c>
      <c r="DK142" s="131">
        <f>DK141+DK62</f>
        <v/>
      </c>
      <c r="DL142" s="258" t="n">
        <v>16695</v>
      </c>
      <c r="DM142" s="258" t="n">
        <v>0</v>
      </c>
      <c r="DN142" s="258" t="n"/>
      <c r="DO142" s="258" t="n"/>
      <c r="DP142" s="258" t="n"/>
      <c r="DR142" s="357" t="inlineStr">
        <is>
          <t>03</t>
        </is>
      </c>
      <c r="DS142" s="131">
        <f>DS141+DS62</f>
        <v/>
      </c>
      <c r="DT142" s="258" t="n">
        <v>8995</v>
      </c>
      <c r="DU142" s="258" t="n">
        <v>0</v>
      </c>
      <c r="DV142" s="258" t="n"/>
      <c r="DW142" s="258" t="n"/>
      <c r="DX142" s="258" t="n"/>
      <c r="DZ142" s="357" t="inlineStr">
        <is>
          <t>03</t>
        </is>
      </c>
      <c r="EA142" s="131">
        <f>EA141+EA62</f>
        <v/>
      </c>
      <c r="EB142" s="258" t="n"/>
      <c r="EC142" s="258" t="n">
        <v>0</v>
      </c>
      <c r="ED142" s="258" t="n"/>
      <c r="EE142" s="258" t="n"/>
      <c r="EF142" s="258" t="n"/>
    </row>
    <row r="143">
      <c r="B143" s="357" t="inlineStr">
        <is>
          <t>04</t>
        </is>
      </c>
      <c r="C143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43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43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43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43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43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43" s="258" t="n"/>
      <c r="J143" s="357" t="inlineStr">
        <is>
          <t>04</t>
        </is>
      </c>
      <c r="K143" s="131">
        <f>K142+K63</f>
        <v/>
      </c>
      <c r="L143" s="258" t="n">
        <v>14936</v>
      </c>
      <c r="M143" s="258" t="n">
        <v>13836</v>
      </c>
      <c r="N143" s="258" t="n">
        <v>14767</v>
      </c>
      <c r="O143" s="258" t="n">
        <v>12881</v>
      </c>
      <c r="P143" s="258" t="n">
        <v>8165.00001</v>
      </c>
      <c r="R143" s="357" t="inlineStr">
        <is>
          <t>04</t>
        </is>
      </c>
      <c r="S143" s="131">
        <f>S142+S63</f>
        <v/>
      </c>
      <c r="T143" s="258" t="n">
        <v>7620</v>
      </c>
      <c r="U143" s="258" t="n">
        <v>7952</v>
      </c>
      <c r="V143" s="258" t="n">
        <v>10268</v>
      </c>
      <c r="W143" s="258" t="n">
        <v>6762</v>
      </c>
      <c r="X143" s="258" t="n">
        <v>3962</v>
      </c>
      <c r="Z143" s="357" t="inlineStr">
        <is>
          <t>04</t>
        </is>
      </c>
      <c r="AA143" s="131">
        <f>AA142+AA63</f>
        <v/>
      </c>
      <c r="AB143" s="258" t="n">
        <v>10853</v>
      </c>
      <c r="AC143" s="258" t="n">
        <v>10136</v>
      </c>
      <c r="AD143" s="258" t="n">
        <v>12287</v>
      </c>
      <c r="AE143" s="258" t="n">
        <v>12608</v>
      </c>
      <c r="AF143" s="258" t="n">
        <v>6096</v>
      </c>
      <c r="AH143" s="357" t="inlineStr">
        <is>
          <t>04</t>
        </is>
      </c>
      <c r="AI143" s="131">
        <f>AI142+AI63</f>
        <v/>
      </c>
      <c r="AJ143" s="258" t="n">
        <v>14958</v>
      </c>
      <c r="AK143" s="258" t="n">
        <v>11898</v>
      </c>
      <c r="AL143" s="258" t="n">
        <v>9007</v>
      </c>
      <c r="AM143" s="258" t="n">
        <v>6928</v>
      </c>
      <c r="AN143" s="258" t="n">
        <v>3386</v>
      </c>
      <c r="AP143" s="357" t="inlineStr">
        <is>
          <t>04</t>
        </is>
      </c>
      <c r="AQ143" s="131">
        <f>AQ142+AQ63</f>
        <v/>
      </c>
      <c r="AR143" s="258" t="n">
        <v>12778</v>
      </c>
      <c r="AS143" s="258" t="n">
        <v>9491</v>
      </c>
      <c r="AT143" s="258" t="n">
        <v>9047</v>
      </c>
      <c r="AU143" s="258" t="n">
        <v>7839</v>
      </c>
      <c r="AV143" s="258" t="n">
        <v>0</v>
      </c>
      <c r="AX143" s="357" t="inlineStr">
        <is>
          <t>04</t>
        </is>
      </c>
      <c r="AY143" s="131">
        <f>AY142+AY63</f>
        <v/>
      </c>
      <c r="AZ143" s="258" t="n">
        <v>7154</v>
      </c>
      <c r="BA143" s="258" t="n">
        <v>5204</v>
      </c>
      <c r="BB143" s="258" t="n">
        <v>4900</v>
      </c>
      <c r="BC143" s="258" t="n"/>
      <c r="BD143" s="258" t="n"/>
      <c r="BE143" s="258" t="n"/>
      <c r="BF143" s="357" t="inlineStr">
        <is>
          <t>04</t>
        </is>
      </c>
      <c r="BG143" s="131">
        <f>BG142+BG63</f>
        <v/>
      </c>
      <c r="BH143" s="258" t="n">
        <v>4229</v>
      </c>
      <c r="BI143" s="258" t="n">
        <v>3817</v>
      </c>
      <c r="BJ143" s="258" t="n"/>
      <c r="BK143" s="258" t="n"/>
      <c r="BL143" s="258" t="n"/>
      <c r="BM143" s="258" t="n"/>
      <c r="BN143" s="357" t="inlineStr">
        <is>
          <t>04</t>
        </is>
      </c>
      <c r="BO143" s="131">
        <f>BO142+BO63</f>
        <v/>
      </c>
      <c r="BP143" s="258" t="n">
        <v>10935</v>
      </c>
      <c r="BQ143" s="258" t="n">
        <v>9316</v>
      </c>
      <c r="BR143" s="258" t="n">
        <v>10934</v>
      </c>
      <c r="BS143" s="258" t="n">
        <v>11217</v>
      </c>
      <c r="BT143" s="258" t="n">
        <v>4796</v>
      </c>
      <c r="BV143" s="357" t="inlineStr">
        <is>
          <t>04</t>
        </is>
      </c>
      <c r="BW143" s="131">
        <f>BW142+BW63</f>
        <v/>
      </c>
      <c r="BX143" s="258" t="n">
        <v>9037</v>
      </c>
      <c r="BY143" s="258" t="n">
        <v>8656</v>
      </c>
      <c r="BZ143" s="258" t="n">
        <v>8663</v>
      </c>
      <c r="CA143" s="258" t="n">
        <v>5675</v>
      </c>
      <c r="CB143" s="258" t="n">
        <v>3762</v>
      </c>
      <c r="CC143" s="258" t="n"/>
      <c r="CD143" s="357" t="inlineStr">
        <is>
          <t>04</t>
        </is>
      </c>
      <c r="CE143" s="131">
        <f>CE142+CE63</f>
        <v/>
      </c>
      <c r="CF143" s="258" t="n">
        <v>9662</v>
      </c>
      <c r="CG143" s="258" t="n">
        <v>9820</v>
      </c>
      <c r="CH143" s="258" t="n">
        <v>12075</v>
      </c>
      <c r="CI143" s="258" t="n">
        <v>4305</v>
      </c>
      <c r="CJ143" s="258" t="n">
        <v>4048</v>
      </c>
      <c r="CL143" s="357" t="inlineStr">
        <is>
          <t>04</t>
        </is>
      </c>
      <c r="CM143" s="131">
        <f>CM142+CM63</f>
        <v/>
      </c>
      <c r="CN143" s="258" t="n">
        <v>12555</v>
      </c>
      <c r="CO143" s="258" t="n">
        <v>13450</v>
      </c>
      <c r="CP143" s="258" t="n">
        <v>14101</v>
      </c>
      <c r="CQ143" s="258" t="n">
        <v>10021</v>
      </c>
      <c r="CR143" s="258" t="n">
        <v>5323</v>
      </c>
      <c r="CT143" s="357" t="inlineStr">
        <is>
          <t>04</t>
        </is>
      </c>
      <c r="CU143" s="131">
        <f>CU142+CU63</f>
        <v/>
      </c>
      <c r="CV143" s="258" t="n">
        <v>20301</v>
      </c>
      <c r="CW143" s="258" t="n">
        <v>0</v>
      </c>
      <c r="CX143" s="258" t="n"/>
      <c r="CY143" s="258" t="n"/>
      <c r="CZ143" s="258" t="n"/>
      <c r="DB143" s="357" t="inlineStr">
        <is>
          <t>04</t>
        </is>
      </c>
      <c r="DC143" s="131">
        <f>DC142+DC63</f>
        <v/>
      </c>
      <c r="DD143" s="258" t="n">
        <v>15703</v>
      </c>
      <c r="DE143" s="258" t="n">
        <v>0</v>
      </c>
      <c r="DF143" s="258" t="n"/>
      <c r="DG143" s="258" t="n"/>
      <c r="DH143" s="258" t="n"/>
      <c r="DI143" s="258" t="n"/>
      <c r="DJ143" s="357" t="inlineStr">
        <is>
          <t>04</t>
        </is>
      </c>
      <c r="DK143" s="131">
        <f>DK142+DK63</f>
        <v/>
      </c>
      <c r="DL143" s="258" t="n">
        <v>22146</v>
      </c>
      <c r="DM143" s="258" t="n">
        <v>0</v>
      </c>
      <c r="DN143" s="258" t="n"/>
      <c r="DO143" s="258" t="n"/>
      <c r="DP143" s="258" t="n"/>
      <c r="DR143" s="357" t="inlineStr">
        <is>
          <t>04</t>
        </is>
      </c>
      <c r="DS143" s="131">
        <f>DS142+DS63</f>
        <v/>
      </c>
      <c r="DT143" s="258" t="n">
        <v>12001</v>
      </c>
      <c r="DU143" s="258" t="n">
        <v>0</v>
      </c>
      <c r="DV143" s="258" t="n"/>
      <c r="DW143" s="258" t="n"/>
      <c r="DX143" s="258" t="n"/>
      <c r="DZ143" s="357" t="inlineStr">
        <is>
          <t>04</t>
        </is>
      </c>
      <c r="EA143" s="131">
        <f>EA142+EA63</f>
        <v/>
      </c>
      <c r="EB143" s="258" t="n"/>
      <c r="EC143" s="258" t="n">
        <v>0</v>
      </c>
      <c r="ED143" s="258" t="n"/>
      <c r="EE143" s="258" t="n"/>
      <c r="EF143" s="258" t="n"/>
    </row>
    <row r="144">
      <c r="B144" s="357" t="inlineStr">
        <is>
          <t>05</t>
        </is>
      </c>
      <c r="C144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44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44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44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44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44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44" s="258" t="n"/>
      <c r="J144" s="357" t="inlineStr">
        <is>
          <t>05</t>
        </is>
      </c>
      <c r="K144" s="131">
        <f>K143+K64</f>
        <v/>
      </c>
      <c r="L144" s="258" t="n">
        <v>19172</v>
      </c>
      <c r="M144" s="258" t="n">
        <v>17347</v>
      </c>
      <c r="N144" s="258" t="n">
        <v>18065</v>
      </c>
      <c r="O144" s="258" t="n">
        <v>17403</v>
      </c>
      <c r="P144" s="258" t="n">
        <v>9372.00001</v>
      </c>
      <c r="R144" s="357" t="inlineStr">
        <is>
          <t>05</t>
        </is>
      </c>
      <c r="S144" s="131">
        <f>S143+S64</f>
        <v/>
      </c>
      <c r="T144" s="258" t="n">
        <v>9810</v>
      </c>
      <c r="U144" s="258" t="n">
        <v>9958</v>
      </c>
      <c r="V144" s="258" t="n">
        <v>12279</v>
      </c>
      <c r="W144" s="258" t="n">
        <v>9276</v>
      </c>
      <c r="X144" s="258" t="n">
        <v>4338</v>
      </c>
      <c r="Z144" s="357" t="inlineStr">
        <is>
          <t>05</t>
        </is>
      </c>
      <c r="AA144" s="131">
        <f>AA143+AA64</f>
        <v/>
      </c>
      <c r="AB144" s="258" t="n">
        <v>13337</v>
      </c>
      <c r="AC144" s="258" t="n">
        <v>12539</v>
      </c>
      <c r="AD144" s="258" t="n">
        <v>15130</v>
      </c>
      <c r="AE144" s="258" t="n">
        <v>16595</v>
      </c>
      <c r="AF144" s="258" t="n">
        <v>7419</v>
      </c>
      <c r="AH144" s="357" t="inlineStr">
        <is>
          <t>05</t>
        </is>
      </c>
      <c r="AI144" s="131">
        <f>AI143+AI64</f>
        <v/>
      </c>
      <c r="AJ144" s="258" t="n">
        <v>19022</v>
      </c>
      <c r="AK144" s="258" t="n">
        <v>15180</v>
      </c>
      <c r="AL144" s="258" t="n">
        <v>11327</v>
      </c>
      <c r="AM144" s="258" t="n">
        <v>10020</v>
      </c>
      <c r="AN144" s="258" t="n">
        <v>3407</v>
      </c>
      <c r="AP144" s="357" t="inlineStr">
        <is>
          <t>05</t>
        </is>
      </c>
      <c r="AQ144" s="131">
        <f>AQ143+AQ64</f>
        <v/>
      </c>
      <c r="AR144" s="258" t="n">
        <v>15981</v>
      </c>
      <c r="AS144" s="258" t="n">
        <v>12260</v>
      </c>
      <c r="AT144" s="258" t="n">
        <v>11362</v>
      </c>
      <c r="AU144" s="258" t="n">
        <v>10671</v>
      </c>
      <c r="AV144" s="258" t="n">
        <v>0</v>
      </c>
      <c r="AX144" s="357" t="inlineStr">
        <is>
          <t>05</t>
        </is>
      </c>
      <c r="AY144" s="131">
        <f>AY143+AY64</f>
        <v/>
      </c>
      <c r="AZ144" s="258" t="n">
        <v>9072</v>
      </c>
      <c r="BA144" s="258" t="n">
        <v>6863</v>
      </c>
      <c r="BB144" s="258" t="n">
        <v>6110</v>
      </c>
      <c r="BC144" s="258" t="n"/>
      <c r="BD144" s="258" t="n"/>
      <c r="BE144" s="258" t="n"/>
      <c r="BF144" s="357" t="inlineStr">
        <is>
          <t>05</t>
        </is>
      </c>
      <c r="BG144" s="131">
        <f>BG143+BG64</f>
        <v/>
      </c>
      <c r="BH144" s="258" t="n">
        <v>5617</v>
      </c>
      <c r="BI144" s="258" t="n">
        <v>4957</v>
      </c>
      <c r="BJ144" s="258" t="n"/>
      <c r="BK144" s="258" t="n"/>
      <c r="BL144" s="258" t="n"/>
      <c r="BM144" s="258" t="n"/>
      <c r="BN144" s="357" t="inlineStr">
        <is>
          <t>05</t>
        </is>
      </c>
      <c r="BO144" s="131">
        <f>BO143+BO64</f>
        <v/>
      </c>
      <c r="BP144" s="258" t="n">
        <v>13951</v>
      </c>
      <c r="BQ144" s="258" t="n">
        <v>12012</v>
      </c>
      <c r="BR144" s="258" t="n">
        <v>13620</v>
      </c>
      <c r="BS144" s="258" t="n">
        <v>15149</v>
      </c>
      <c r="BT144" s="258" t="n">
        <v>4796</v>
      </c>
      <c r="BV144" s="357" t="inlineStr">
        <is>
          <t>05</t>
        </is>
      </c>
      <c r="BW144" s="131">
        <f>BW143+BW64</f>
        <v/>
      </c>
      <c r="BX144" s="258" t="n">
        <v>11512</v>
      </c>
      <c r="BY144" s="258" t="n">
        <v>10959</v>
      </c>
      <c r="BZ144" s="258" t="n">
        <v>10969</v>
      </c>
      <c r="CA144" s="258" t="n">
        <v>8262</v>
      </c>
      <c r="CB144" s="258" t="n">
        <v>4174</v>
      </c>
      <c r="CC144" s="258" t="n"/>
      <c r="CD144" s="357" t="inlineStr">
        <is>
          <t>05</t>
        </is>
      </c>
      <c r="CE144" s="131">
        <f>CE143+CE64</f>
        <v/>
      </c>
      <c r="CF144" s="258" t="n">
        <v>12876</v>
      </c>
      <c r="CG144" s="258" t="n">
        <v>12243</v>
      </c>
      <c r="CH144" s="258" t="n">
        <v>15390</v>
      </c>
      <c r="CI144" s="258" t="n">
        <v>8402</v>
      </c>
      <c r="CJ144" s="258" t="n">
        <v>4056</v>
      </c>
      <c r="CL144" s="357" t="inlineStr">
        <is>
          <t>05</t>
        </is>
      </c>
      <c r="CM144" s="131">
        <f>CM143+CM64</f>
        <v/>
      </c>
      <c r="CN144" s="258" t="n">
        <v>15957</v>
      </c>
      <c r="CO144" s="258" t="n">
        <v>17115</v>
      </c>
      <c r="CP144" s="258" t="n">
        <v>17640</v>
      </c>
      <c r="CQ144" s="258" t="n">
        <v>13975</v>
      </c>
      <c r="CR144" s="258" t="n">
        <v>5584</v>
      </c>
      <c r="CT144" s="357" t="inlineStr">
        <is>
          <t>05</t>
        </is>
      </c>
      <c r="CU144" s="131">
        <f>CU143+CU64</f>
        <v/>
      </c>
      <c r="CV144" s="258" t="n">
        <v>25275</v>
      </c>
      <c r="CW144" s="258" t="n">
        <v>0</v>
      </c>
      <c r="CX144" s="258" t="n"/>
      <c r="CY144" s="258" t="n"/>
      <c r="CZ144" s="258" t="n"/>
      <c r="DB144" s="357" t="inlineStr">
        <is>
          <t>05</t>
        </is>
      </c>
      <c r="DC144" s="131">
        <f>DC143+DC64</f>
        <v/>
      </c>
      <c r="DD144" s="258" t="n">
        <v>19637</v>
      </c>
      <c r="DE144" s="258" t="n">
        <v>0</v>
      </c>
      <c r="DF144" s="258" t="n"/>
      <c r="DG144" s="258" t="n"/>
      <c r="DH144" s="258" t="n"/>
      <c r="DI144" s="258" t="n"/>
      <c r="DJ144" s="357" t="inlineStr">
        <is>
          <t>05</t>
        </is>
      </c>
      <c r="DK144" s="131">
        <f>DK143+DK64</f>
        <v/>
      </c>
      <c r="DL144" s="258" t="n">
        <v>27805</v>
      </c>
      <c r="DM144" s="258" t="n">
        <v>0</v>
      </c>
      <c r="DN144" s="258" t="n"/>
      <c r="DO144" s="258" t="n"/>
      <c r="DP144" s="258" t="n"/>
      <c r="DR144" s="357" t="inlineStr">
        <is>
          <t>05</t>
        </is>
      </c>
      <c r="DS144" s="131">
        <f>DS143+DS64</f>
        <v/>
      </c>
      <c r="DT144" s="258" t="n">
        <v>15114</v>
      </c>
      <c r="DU144" s="258" t="n">
        <v>0</v>
      </c>
      <c r="DV144" s="258" t="n"/>
      <c r="DW144" s="258" t="n"/>
      <c r="DX144" s="258" t="n"/>
      <c r="DZ144" s="357" t="inlineStr">
        <is>
          <t>05</t>
        </is>
      </c>
      <c r="EA144" s="131">
        <f>EA143+EA64</f>
        <v/>
      </c>
      <c r="EB144" s="258" t="n"/>
      <c r="EC144" s="258" t="n">
        <v>0</v>
      </c>
      <c r="ED144" s="258" t="n"/>
      <c r="EE144" s="258" t="n"/>
      <c r="EF144" s="258" t="n"/>
    </row>
    <row r="145">
      <c r="B145" s="357" t="inlineStr">
        <is>
          <t>06</t>
        </is>
      </c>
      <c r="C145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45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45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45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45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45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45" s="258" t="n"/>
      <c r="J145" s="357" t="inlineStr">
        <is>
          <t>06</t>
        </is>
      </c>
      <c r="K145" s="131">
        <f>K144+K65</f>
        <v/>
      </c>
      <c r="L145" s="258" t="n">
        <v>23255</v>
      </c>
      <c r="M145" s="258" t="n">
        <v>20696</v>
      </c>
      <c r="N145" s="258" t="n">
        <v>21250</v>
      </c>
      <c r="O145" s="258" t="n">
        <v>21795</v>
      </c>
      <c r="P145" s="258" t="n">
        <v>11632.00001</v>
      </c>
      <c r="R145" s="357" t="inlineStr">
        <is>
          <t>06</t>
        </is>
      </c>
      <c r="S145" s="131">
        <f>S144+S65</f>
        <v/>
      </c>
      <c r="T145" s="258" t="n">
        <v>11822</v>
      </c>
      <c r="U145" s="258" t="n">
        <v>11906</v>
      </c>
      <c r="V145" s="258" t="n">
        <v>14249</v>
      </c>
      <c r="W145" s="258" t="n">
        <v>11992</v>
      </c>
      <c r="X145" s="258" t="n">
        <v>5623</v>
      </c>
      <c r="Z145" s="357" t="inlineStr">
        <is>
          <t>06</t>
        </is>
      </c>
      <c r="AA145" s="131">
        <f>AA144+AA65</f>
        <v/>
      </c>
      <c r="AB145" s="258" t="n">
        <v>15866</v>
      </c>
      <c r="AC145" s="258" t="n">
        <v>14902</v>
      </c>
      <c r="AD145" s="258" t="n">
        <v>17668</v>
      </c>
      <c r="AE145" s="258" t="n">
        <v>19998</v>
      </c>
      <c r="AF145" s="258" t="n">
        <v>9553</v>
      </c>
      <c r="AH145" s="357" t="inlineStr">
        <is>
          <t>06</t>
        </is>
      </c>
      <c r="AI145" s="131">
        <f>AI144+AI65</f>
        <v/>
      </c>
      <c r="AJ145" s="258" t="n">
        <v>22854</v>
      </c>
      <c r="AK145" s="258" t="n">
        <v>18335</v>
      </c>
      <c r="AL145" s="258" t="n">
        <v>13533</v>
      </c>
      <c r="AM145" s="258" t="n">
        <v>13258</v>
      </c>
      <c r="AN145" s="258" t="n">
        <v>4448</v>
      </c>
      <c r="AP145" s="357" t="inlineStr">
        <is>
          <t>06</t>
        </is>
      </c>
      <c r="AQ145" s="131">
        <f>AQ144+AQ65</f>
        <v/>
      </c>
      <c r="AR145" s="258" t="n">
        <v>18866</v>
      </c>
      <c r="AS145" s="258" t="n">
        <v>14775</v>
      </c>
      <c r="AT145" s="258" t="n">
        <v>13606</v>
      </c>
      <c r="AU145" s="258" t="n">
        <v>11952</v>
      </c>
      <c r="AV145" s="258" t="n">
        <v>0</v>
      </c>
      <c r="AX145" s="357" t="inlineStr">
        <is>
          <t>06</t>
        </is>
      </c>
      <c r="AY145" s="131">
        <f>AY144+AY65</f>
        <v/>
      </c>
      <c r="AZ145" s="258" t="n">
        <v>11031</v>
      </c>
      <c r="BA145" s="258" t="n">
        <v>8414</v>
      </c>
      <c r="BB145" s="258" t="n">
        <v>7235</v>
      </c>
      <c r="BC145" s="258" t="n"/>
      <c r="BD145" s="258" t="n"/>
      <c r="BE145" s="258" t="n"/>
      <c r="BF145" s="357" t="inlineStr">
        <is>
          <t>06</t>
        </is>
      </c>
      <c r="BG145" s="131">
        <f>BG144+BG65</f>
        <v/>
      </c>
      <c r="BH145" s="258" t="n">
        <v>7261</v>
      </c>
      <c r="BI145" s="258" t="n">
        <v>6090</v>
      </c>
      <c r="BJ145" s="258" t="n"/>
      <c r="BK145" s="258" t="n"/>
      <c r="BL145" s="258" t="n"/>
      <c r="BM145" s="258" t="n"/>
      <c r="BN145" s="357" t="inlineStr">
        <is>
          <t>06</t>
        </is>
      </c>
      <c r="BO145" s="131">
        <f>BO144+BO65</f>
        <v/>
      </c>
      <c r="BP145" s="258" t="n">
        <v>16836</v>
      </c>
      <c r="BQ145" s="258" t="n">
        <v>14572</v>
      </c>
      <c r="BR145" s="258" t="n">
        <v>15975</v>
      </c>
      <c r="BS145" s="258" t="n">
        <v>18774</v>
      </c>
      <c r="BT145" s="258" t="n">
        <v>5888</v>
      </c>
      <c r="BV145" s="357" t="inlineStr">
        <is>
          <t>06</t>
        </is>
      </c>
      <c r="BW145" s="131">
        <f>BW144+BW65</f>
        <v/>
      </c>
      <c r="BX145" s="258" t="n">
        <v>13841</v>
      </c>
      <c r="BY145" s="258" t="n">
        <v>13041</v>
      </c>
      <c r="BZ145" s="258" t="n">
        <v>13229</v>
      </c>
      <c r="CA145" s="258" t="n">
        <v>10831</v>
      </c>
      <c r="CB145" s="258" t="n">
        <v>5649</v>
      </c>
      <c r="CC145" s="258" t="n"/>
      <c r="CD145" s="357" t="inlineStr">
        <is>
          <t>06</t>
        </is>
      </c>
      <c r="CE145" s="131">
        <f>CE144+CE65</f>
        <v/>
      </c>
      <c r="CF145" s="258" t="n">
        <v>16274</v>
      </c>
      <c r="CG145" s="258" t="n">
        <v>14302</v>
      </c>
      <c r="CH145" s="258" t="n">
        <v>18471</v>
      </c>
      <c r="CI145" s="258" t="n">
        <v>11898</v>
      </c>
      <c r="CJ145" s="258" t="n">
        <v>5485</v>
      </c>
      <c r="CL145" s="357" t="inlineStr">
        <is>
          <t>06</t>
        </is>
      </c>
      <c r="CM145" s="131">
        <f>CM144+CM65</f>
        <v/>
      </c>
      <c r="CN145" s="258" t="n">
        <v>19642</v>
      </c>
      <c r="CO145" s="258" t="n">
        <v>20610</v>
      </c>
      <c r="CP145" s="258" t="n">
        <v>21248</v>
      </c>
      <c r="CQ145" s="258" t="n">
        <v>17606</v>
      </c>
      <c r="CR145" s="258" t="n">
        <v>6874</v>
      </c>
      <c r="CT145" s="357" t="inlineStr">
        <is>
          <t>06</t>
        </is>
      </c>
      <c r="CU145" s="131">
        <f>CU144+CU65</f>
        <v/>
      </c>
      <c r="CV145" s="258" t="n">
        <v>30154</v>
      </c>
      <c r="CW145" s="258" t="n">
        <v>0</v>
      </c>
      <c r="CX145" s="258" t="n"/>
      <c r="CY145" s="258" t="n"/>
      <c r="CZ145" s="258" t="n"/>
      <c r="DB145" s="357" t="inlineStr">
        <is>
          <t>06</t>
        </is>
      </c>
      <c r="DC145" s="131">
        <f>DC144+DC65</f>
        <v/>
      </c>
      <c r="DD145" s="258" t="n">
        <v>24070</v>
      </c>
      <c r="DE145" s="258" t="n">
        <v>0</v>
      </c>
      <c r="DF145" s="258" t="n"/>
      <c r="DG145" s="258" t="n"/>
      <c r="DH145" s="258" t="n"/>
      <c r="DI145" s="258" t="n"/>
      <c r="DJ145" s="357" t="inlineStr">
        <is>
          <t>06</t>
        </is>
      </c>
      <c r="DK145" s="131">
        <f>DK144+DK65</f>
        <v/>
      </c>
      <c r="DL145" s="258" t="n">
        <v>33310</v>
      </c>
      <c r="DM145" s="258" t="n">
        <v>0</v>
      </c>
      <c r="DN145" s="258" t="n"/>
      <c r="DO145" s="258" t="n"/>
      <c r="DP145" s="258" t="n"/>
      <c r="DR145" s="357" t="inlineStr">
        <is>
          <t>06</t>
        </is>
      </c>
      <c r="DS145" s="131">
        <f>DS144+DS65</f>
        <v/>
      </c>
      <c r="DT145" s="258" t="n">
        <v>18070</v>
      </c>
      <c r="DU145" s="258" t="n">
        <v>0</v>
      </c>
      <c r="DV145" s="258" t="n"/>
      <c r="DW145" s="258" t="n"/>
      <c r="DX145" s="258" t="n"/>
      <c r="DZ145" s="357" t="inlineStr">
        <is>
          <t>06</t>
        </is>
      </c>
      <c r="EA145" s="131">
        <f>EA144+EA65</f>
        <v/>
      </c>
      <c r="EB145" s="258" t="n"/>
      <c r="EC145" s="258" t="n">
        <v>0</v>
      </c>
      <c r="ED145" s="258" t="n"/>
      <c r="EE145" s="258" t="n"/>
      <c r="EF145" s="258" t="n"/>
    </row>
    <row r="146">
      <c r="B146" s="357" t="inlineStr">
        <is>
          <t>07</t>
        </is>
      </c>
      <c r="C146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46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46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46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46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46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46" s="258" t="n"/>
      <c r="J146" s="357" t="inlineStr">
        <is>
          <t>07</t>
        </is>
      </c>
      <c r="K146" s="131">
        <f>K145+K66</f>
        <v/>
      </c>
      <c r="L146" s="258" t="n">
        <v>27398</v>
      </c>
      <c r="M146" s="258" t="n">
        <v>24126</v>
      </c>
      <c r="N146" s="258" t="n">
        <v>24693</v>
      </c>
      <c r="O146" s="258" t="n">
        <v>28320</v>
      </c>
      <c r="P146" s="258" t="n">
        <v>14255.00001</v>
      </c>
      <c r="R146" s="357" t="inlineStr">
        <is>
          <t>07</t>
        </is>
      </c>
      <c r="S146" s="131">
        <f>S145+S66</f>
        <v/>
      </c>
      <c r="T146" s="258" t="n">
        <v>13791</v>
      </c>
      <c r="U146" s="258" t="n">
        <v>13744</v>
      </c>
      <c r="V146" s="258" t="n">
        <v>16226</v>
      </c>
      <c r="W146" s="258" t="n">
        <v>14719</v>
      </c>
      <c r="X146" s="258" t="n">
        <v>7201</v>
      </c>
      <c r="Z146" s="357" t="inlineStr">
        <is>
          <t>07</t>
        </is>
      </c>
      <c r="AA146" s="131">
        <f>AA145+AA66</f>
        <v/>
      </c>
      <c r="AB146" s="258" t="n">
        <v>18325</v>
      </c>
      <c r="AC146" s="258" t="n">
        <v>17173</v>
      </c>
      <c r="AD146" s="258" t="n">
        <v>20220</v>
      </c>
      <c r="AE146" s="258" t="n">
        <v>22889</v>
      </c>
      <c r="AF146" s="258" t="n">
        <v>11579</v>
      </c>
      <c r="AH146" s="357" t="inlineStr">
        <is>
          <t>07</t>
        </is>
      </c>
      <c r="AI146" s="131">
        <f>AI145+AI66</f>
        <v/>
      </c>
      <c r="AJ146" s="258" t="n">
        <v>26806</v>
      </c>
      <c r="AK146" s="258" t="n">
        <v>21909</v>
      </c>
      <c r="AL146" s="258" t="n">
        <v>16138</v>
      </c>
      <c r="AM146" s="258" t="n">
        <v>16071</v>
      </c>
      <c r="AN146" s="258" t="n">
        <v>5717</v>
      </c>
      <c r="AP146" s="357" t="inlineStr">
        <is>
          <t>07</t>
        </is>
      </c>
      <c r="AQ146" s="131">
        <f>AQ145+AQ66</f>
        <v/>
      </c>
      <c r="AR146" s="258" t="n">
        <v>21817</v>
      </c>
      <c r="AS146" s="258" t="n">
        <v>17657</v>
      </c>
      <c r="AT146" s="258" t="n">
        <v>16033</v>
      </c>
      <c r="AU146" s="258" t="n">
        <v>12958</v>
      </c>
      <c r="AV146" s="258" t="n">
        <v>0</v>
      </c>
      <c r="AX146" s="357" t="inlineStr">
        <is>
          <t>07</t>
        </is>
      </c>
      <c r="AY146" s="131">
        <f>AY145+AY66</f>
        <v/>
      </c>
      <c r="AZ146" s="258" t="n">
        <v>12872</v>
      </c>
      <c r="BA146" s="258" t="n">
        <v>10162</v>
      </c>
      <c r="BB146" s="258" t="n">
        <v>8530</v>
      </c>
      <c r="BC146" s="258" t="n">
        <v>375</v>
      </c>
      <c r="BD146" s="258" t="n"/>
      <c r="BE146" s="258" t="n"/>
      <c r="BF146" s="357" t="inlineStr">
        <is>
          <t>07</t>
        </is>
      </c>
      <c r="BG146" s="131">
        <f>BG145+BG66</f>
        <v/>
      </c>
      <c r="BH146" s="258" t="n">
        <v>9206</v>
      </c>
      <c r="BI146" s="258" t="n">
        <v>7468</v>
      </c>
      <c r="BJ146" s="258" t="n"/>
      <c r="BK146" s="258" t="n"/>
      <c r="BL146" s="258" t="n"/>
      <c r="BM146" s="258" t="n"/>
      <c r="BN146" s="357" t="inlineStr">
        <is>
          <t>07</t>
        </is>
      </c>
      <c r="BO146" s="131">
        <f>BO145+BO66</f>
        <v/>
      </c>
      <c r="BP146" s="258" t="n">
        <v>19644</v>
      </c>
      <c r="BQ146" s="258" t="n">
        <v>17099</v>
      </c>
      <c r="BR146" s="258" t="n">
        <v>18304</v>
      </c>
      <c r="BS146" s="258" t="n">
        <v>21694</v>
      </c>
      <c r="BT146" s="258" t="n">
        <v>7279</v>
      </c>
      <c r="BV146" s="357" t="inlineStr">
        <is>
          <t>07</t>
        </is>
      </c>
      <c r="BW146" s="131">
        <f>BW145+BW66</f>
        <v/>
      </c>
      <c r="BX146" s="258" t="n">
        <v>16526</v>
      </c>
      <c r="BY146" s="258" t="n">
        <v>15585</v>
      </c>
      <c r="BZ146" s="258" t="n">
        <v>15961</v>
      </c>
      <c r="CA146" s="258" t="n">
        <v>13517</v>
      </c>
      <c r="CB146" s="258" t="n">
        <v>7507</v>
      </c>
      <c r="CC146" s="258" t="n"/>
      <c r="CD146" s="357" t="inlineStr">
        <is>
          <t>07</t>
        </is>
      </c>
      <c r="CE146" s="131">
        <f>CE145+CE66</f>
        <v/>
      </c>
      <c r="CF146" s="258" t="n">
        <v>20204</v>
      </c>
      <c r="CG146" s="258" t="n">
        <v>16956</v>
      </c>
      <c r="CH146" s="258" t="n">
        <v>22398</v>
      </c>
      <c r="CI146" s="258" t="n">
        <v>15861</v>
      </c>
      <c r="CJ146" s="258" t="n">
        <v>7749</v>
      </c>
      <c r="CL146" s="357" t="inlineStr">
        <is>
          <t>07</t>
        </is>
      </c>
      <c r="CM146" s="131">
        <f>CM145+CM66</f>
        <v/>
      </c>
      <c r="CN146" s="258" t="n">
        <v>23487</v>
      </c>
      <c r="CO146" s="258" t="n">
        <v>24544</v>
      </c>
      <c r="CP146" s="258" t="n">
        <v>24787</v>
      </c>
      <c r="CQ146" s="258" t="n">
        <v>21192</v>
      </c>
      <c r="CR146" s="258" t="n">
        <v>8709</v>
      </c>
      <c r="CT146" s="357" t="inlineStr">
        <is>
          <t>07</t>
        </is>
      </c>
      <c r="CU146" s="131">
        <f>CU145+CU66</f>
        <v/>
      </c>
      <c r="CV146" s="258" t="n">
        <v>35127</v>
      </c>
      <c r="CW146" s="258" t="n">
        <v>0</v>
      </c>
      <c r="CX146" s="258" t="n"/>
      <c r="CY146" s="258" t="n"/>
      <c r="CZ146" s="258" t="n"/>
      <c r="DB146" s="357" t="inlineStr">
        <is>
          <t>07</t>
        </is>
      </c>
      <c r="DC146" s="131">
        <f>DC145+DC66</f>
        <v/>
      </c>
      <c r="DD146" s="258" t="n">
        <v>28809</v>
      </c>
      <c r="DE146" s="258" t="n">
        <v>0</v>
      </c>
      <c r="DF146" s="258" t="n"/>
      <c r="DG146" s="258" t="n"/>
      <c r="DH146" s="258" t="n"/>
      <c r="DI146" s="258" t="n"/>
      <c r="DJ146" s="357" t="inlineStr">
        <is>
          <t>07</t>
        </is>
      </c>
      <c r="DK146" s="131">
        <f>DK145+DK66</f>
        <v/>
      </c>
      <c r="DL146" s="258" t="n">
        <v>38606</v>
      </c>
      <c r="DM146" s="258" t="n">
        <v>0</v>
      </c>
      <c r="DN146" s="258" t="n"/>
      <c r="DO146" s="258" t="n"/>
      <c r="DP146" s="258" t="n"/>
      <c r="DR146" s="357" t="inlineStr">
        <is>
          <t>07</t>
        </is>
      </c>
      <c r="DS146" s="131">
        <f>DS145+DS66</f>
        <v/>
      </c>
      <c r="DT146" s="258" t="n">
        <v>20964</v>
      </c>
      <c r="DU146" s="258" t="n">
        <v>0</v>
      </c>
      <c r="DV146" s="258" t="n"/>
      <c r="DW146" s="258" t="n"/>
      <c r="DX146" s="258" t="n"/>
      <c r="DZ146" s="357" t="inlineStr">
        <is>
          <t>07</t>
        </is>
      </c>
      <c r="EA146" s="131">
        <f>EA145+EA66</f>
        <v/>
      </c>
      <c r="EB146" s="258" t="n"/>
      <c r="EC146" s="258" t="n">
        <v>0</v>
      </c>
      <c r="ED146" s="258" t="n"/>
      <c r="EE146" s="258" t="n"/>
      <c r="EF146" s="258" t="n"/>
    </row>
    <row r="147">
      <c r="B147" s="357" t="inlineStr">
        <is>
          <t>08</t>
        </is>
      </c>
      <c r="C147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47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47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47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47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47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47" s="258" t="n"/>
      <c r="J147" s="357" t="inlineStr">
        <is>
          <t>08</t>
        </is>
      </c>
      <c r="K147" s="131">
        <f>K146+K67</f>
        <v/>
      </c>
      <c r="L147" s="258" t="n">
        <v>31384</v>
      </c>
      <c r="M147" s="258" t="n">
        <v>27389</v>
      </c>
      <c r="N147" s="258" t="n">
        <v>28000</v>
      </c>
      <c r="O147" s="258" t="n">
        <v>32265</v>
      </c>
      <c r="P147" s="258" t="n">
        <v>16857.00001</v>
      </c>
      <c r="R147" s="357" t="inlineStr">
        <is>
          <t>08</t>
        </is>
      </c>
      <c r="S147" s="131">
        <f>S146+S67</f>
        <v/>
      </c>
      <c r="T147" s="258" t="n">
        <v>15723</v>
      </c>
      <c r="U147" s="258" t="n">
        <v>15657</v>
      </c>
      <c r="V147" s="258" t="n">
        <v>18324</v>
      </c>
      <c r="W147" s="258" t="n">
        <v>17452</v>
      </c>
      <c r="X147" s="258" t="n">
        <v>8883</v>
      </c>
      <c r="Z147" s="357" t="inlineStr">
        <is>
          <t>08</t>
        </is>
      </c>
      <c r="AA147" s="131">
        <f>AA146+AA67</f>
        <v/>
      </c>
      <c r="AB147" s="258" t="n">
        <v>20686</v>
      </c>
      <c r="AC147" s="258" t="n">
        <v>19474</v>
      </c>
      <c r="AD147" s="258" t="n">
        <v>22643</v>
      </c>
      <c r="AE147" s="258" t="n">
        <v>25734</v>
      </c>
      <c r="AF147" s="258" t="n">
        <v>13917</v>
      </c>
      <c r="AH147" s="357" t="inlineStr">
        <is>
          <t>08</t>
        </is>
      </c>
      <c r="AI147" s="131">
        <f>AI146+AI67</f>
        <v/>
      </c>
      <c r="AJ147" s="258" t="n">
        <v>30809</v>
      </c>
      <c r="AK147" s="258" t="n">
        <v>25507</v>
      </c>
      <c r="AL147" s="258" t="n">
        <v>18773</v>
      </c>
      <c r="AM147" s="258" t="n">
        <v>19280</v>
      </c>
      <c r="AN147" s="258" t="n">
        <v>7195</v>
      </c>
      <c r="AP147" s="357" t="inlineStr">
        <is>
          <t>08</t>
        </is>
      </c>
      <c r="AQ147" s="131">
        <f>AQ146+AQ67</f>
        <v/>
      </c>
      <c r="AR147" s="258" t="n">
        <v>24770</v>
      </c>
      <c r="AS147" s="258" t="n">
        <v>20442</v>
      </c>
      <c r="AT147" s="258" t="n">
        <v>18409</v>
      </c>
      <c r="AU147" s="258" t="n">
        <v>14858</v>
      </c>
      <c r="AV147" s="258" t="n">
        <v>0</v>
      </c>
      <c r="AX147" s="357" t="inlineStr">
        <is>
          <t>08</t>
        </is>
      </c>
      <c r="AY147" s="131">
        <f>AY146+AY67</f>
        <v/>
      </c>
      <c r="AZ147" s="258" t="n">
        <v>14888</v>
      </c>
      <c r="BA147" s="258" t="n">
        <v>11829</v>
      </c>
      <c r="BB147" s="258" t="n">
        <v>10002</v>
      </c>
      <c r="BC147" s="258" t="n">
        <v>2369</v>
      </c>
      <c r="BD147" s="258" t="n"/>
      <c r="BE147" s="258" t="n"/>
      <c r="BF147" s="357" t="inlineStr">
        <is>
          <t>08</t>
        </is>
      </c>
      <c r="BG147" s="131">
        <f>BG146+BG67</f>
        <v/>
      </c>
      <c r="BH147" s="258" t="n">
        <v>11239</v>
      </c>
      <c r="BI147" s="258" t="n">
        <v>8750</v>
      </c>
      <c r="BJ147" s="258" t="n"/>
      <c r="BK147" s="258" t="n"/>
      <c r="BL147" s="258" t="n"/>
      <c r="BM147" s="258" t="n"/>
      <c r="BN147" s="357" t="inlineStr">
        <is>
          <t>08</t>
        </is>
      </c>
      <c r="BO147" s="131">
        <f>BO146+BO67</f>
        <v/>
      </c>
      <c r="BP147" s="258" t="n">
        <v>22562</v>
      </c>
      <c r="BQ147" s="258" t="n">
        <v>19523</v>
      </c>
      <c r="BR147" s="258" t="n">
        <v>20483</v>
      </c>
      <c r="BS147" s="258" t="n">
        <v>24858</v>
      </c>
      <c r="BT147" s="258" t="n">
        <v>8962</v>
      </c>
      <c r="BV147" s="357" t="inlineStr">
        <is>
          <t>08</t>
        </is>
      </c>
      <c r="BW147" s="131">
        <f>BW146+BW67</f>
        <v/>
      </c>
      <c r="BX147" s="258" t="n">
        <v>19439</v>
      </c>
      <c r="BY147" s="258" t="n">
        <v>18238</v>
      </c>
      <c r="BZ147" s="258" t="n">
        <v>18811</v>
      </c>
      <c r="CA147" s="258" t="n">
        <v>17000</v>
      </c>
      <c r="CB147" s="258" t="n">
        <v>9875</v>
      </c>
      <c r="CC147" s="258" t="n"/>
      <c r="CD147" s="357" t="inlineStr">
        <is>
          <t>08</t>
        </is>
      </c>
      <c r="CE147" s="131">
        <f>CE146+CE67</f>
        <v/>
      </c>
      <c r="CF147" s="258" t="n">
        <v>24999</v>
      </c>
      <c r="CG147" s="258" t="n">
        <v>20134</v>
      </c>
      <c r="CH147" s="258" t="n">
        <v>27140</v>
      </c>
      <c r="CI147" s="258" t="n">
        <v>20586</v>
      </c>
      <c r="CJ147" s="258" t="n">
        <v>10375</v>
      </c>
      <c r="CL147" s="357" t="inlineStr">
        <is>
          <t>08</t>
        </is>
      </c>
      <c r="CM147" s="131">
        <f>CM146+CM67</f>
        <v/>
      </c>
      <c r="CN147" s="258" t="n">
        <v>27218</v>
      </c>
      <c r="CO147" s="258" t="n">
        <v>28705</v>
      </c>
      <c r="CP147" s="258" t="n">
        <v>28388</v>
      </c>
      <c r="CQ147" s="258" t="n">
        <v>25567</v>
      </c>
      <c r="CR147" s="258" t="n">
        <v>11140</v>
      </c>
      <c r="CT147" s="357" t="inlineStr">
        <is>
          <t>08</t>
        </is>
      </c>
      <c r="CU147" s="131">
        <f>CU146+CU67</f>
        <v/>
      </c>
      <c r="CV147" s="258" t="n">
        <v>40277</v>
      </c>
      <c r="CW147" s="258" t="n">
        <v>0</v>
      </c>
      <c r="CX147" s="258" t="n"/>
      <c r="CY147" s="258" t="n"/>
      <c r="CZ147" s="258" t="n"/>
      <c r="DB147" s="357" t="inlineStr">
        <is>
          <t>08</t>
        </is>
      </c>
      <c r="DC147" s="131">
        <f>DC146+DC67</f>
        <v/>
      </c>
      <c r="DD147" s="258" t="n">
        <v>33693</v>
      </c>
      <c r="DE147" s="258" t="n">
        <v>0</v>
      </c>
      <c r="DF147" s="258" t="n"/>
      <c r="DG147" s="258" t="n"/>
      <c r="DH147" s="258" t="n"/>
      <c r="DI147" s="258" t="n"/>
      <c r="DJ147" s="357" t="inlineStr">
        <is>
          <t>08</t>
        </is>
      </c>
      <c r="DK147" s="131">
        <f>DK146+DK67</f>
        <v/>
      </c>
      <c r="DL147" s="258" t="n">
        <v>44040</v>
      </c>
      <c r="DM147" s="258" t="n">
        <v>0</v>
      </c>
      <c r="DN147" s="258" t="n"/>
      <c r="DO147" s="258" t="n"/>
      <c r="DP147" s="258" t="n"/>
      <c r="DR147" s="357" t="inlineStr">
        <is>
          <t>08</t>
        </is>
      </c>
      <c r="DS147" s="131">
        <f>DS146+DS67</f>
        <v/>
      </c>
      <c r="DT147" s="258" t="n">
        <v>23930</v>
      </c>
      <c r="DU147" s="258" t="n">
        <v>0</v>
      </c>
      <c r="DV147" s="258" t="n"/>
      <c r="DW147" s="258" t="n"/>
      <c r="DX147" s="258" t="n"/>
      <c r="DZ147" s="357" t="inlineStr">
        <is>
          <t>08</t>
        </is>
      </c>
      <c r="EA147" s="131">
        <f>EA146+EA67</f>
        <v/>
      </c>
      <c r="EB147" s="258" t="n">
        <v>1891</v>
      </c>
      <c r="EC147" s="258" t="n">
        <v>0</v>
      </c>
      <c r="ED147" s="258" t="n"/>
      <c r="EE147" s="258" t="n"/>
      <c r="EF147" s="258" t="n"/>
    </row>
    <row r="148">
      <c r="B148" s="357" t="inlineStr">
        <is>
          <t>09</t>
        </is>
      </c>
      <c r="C148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48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48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48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48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48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48" s="258" t="n"/>
      <c r="J148" s="357" t="inlineStr">
        <is>
          <t>09</t>
        </is>
      </c>
      <c r="K148" s="131">
        <f>K147+K68</f>
        <v/>
      </c>
      <c r="L148" s="258" t="n">
        <v>35015</v>
      </c>
      <c r="M148" s="258" t="n">
        <v>30750</v>
      </c>
      <c r="N148" s="258" t="n">
        <v>31368</v>
      </c>
      <c r="O148" s="258" t="n">
        <v>35785</v>
      </c>
      <c r="P148" s="258" t="n">
        <v>20071.00001</v>
      </c>
      <c r="R148" s="357" t="inlineStr">
        <is>
          <t>09</t>
        </is>
      </c>
      <c r="S148" s="131">
        <f>S147+S68</f>
        <v/>
      </c>
      <c r="T148" s="258" t="n">
        <v>17607</v>
      </c>
      <c r="U148" s="258" t="n">
        <v>17447</v>
      </c>
      <c r="V148" s="258" t="n">
        <v>20266</v>
      </c>
      <c r="W148" s="258" t="n">
        <v>19985</v>
      </c>
      <c r="X148" s="258" t="n">
        <v>10576</v>
      </c>
      <c r="Z148" s="357" t="inlineStr">
        <is>
          <t>09</t>
        </is>
      </c>
      <c r="AA148" s="131">
        <f>AA147+AA68</f>
        <v/>
      </c>
      <c r="AB148" s="258" t="n">
        <v>23005</v>
      </c>
      <c r="AC148" s="258" t="n">
        <v>21851</v>
      </c>
      <c r="AD148" s="258" t="n">
        <v>25341</v>
      </c>
      <c r="AE148" s="258" t="n">
        <v>28634</v>
      </c>
      <c r="AF148" s="258" t="n">
        <v>16475</v>
      </c>
      <c r="AH148" s="357" t="inlineStr">
        <is>
          <t>09</t>
        </is>
      </c>
      <c r="AI148" s="131">
        <f>AI147+AI68</f>
        <v/>
      </c>
      <c r="AJ148" s="258" t="n">
        <v>34467</v>
      </c>
      <c r="AK148" s="258" t="n">
        <v>28714</v>
      </c>
      <c r="AL148" s="258" t="n">
        <v>21229</v>
      </c>
      <c r="AM148" s="258" t="n">
        <v>21363</v>
      </c>
      <c r="AN148" s="258" t="n">
        <v>8847</v>
      </c>
      <c r="AP148" s="357" t="inlineStr">
        <is>
          <t>09</t>
        </is>
      </c>
      <c r="AQ148" s="131">
        <f>AQ147+AQ68</f>
        <v/>
      </c>
      <c r="AR148" s="258" t="n">
        <v>27578</v>
      </c>
      <c r="AS148" s="258" t="n">
        <v>23029</v>
      </c>
      <c r="AT148" s="258" t="n">
        <v>20591</v>
      </c>
      <c r="AU148" s="258" t="n">
        <v>16749</v>
      </c>
      <c r="AV148" s="258" t="n">
        <v>0</v>
      </c>
      <c r="AX148" s="357" t="inlineStr">
        <is>
          <t>09</t>
        </is>
      </c>
      <c r="AY148" s="131">
        <f>AY147+AY68</f>
        <v/>
      </c>
      <c r="AZ148" s="258" t="n">
        <v>16665</v>
      </c>
      <c r="BA148" s="258" t="n">
        <v>13637</v>
      </c>
      <c r="BB148" s="258" t="n">
        <v>11228</v>
      </c>
      <c r="BC148" s="258" t="n">
        <v>3922</v>
      </c>
      <c r="BD148" s="258" t="n"/>
      <c r="BE148" s="258" t="n"/>
      <c r="BF148" s="357" t="inlineStr">
        <is>
          <t>09</t>
        </is>
      </c>
      <c r="BG148" s="131">
        <f>BG147+BG68</f>
        <v/>
      </c>
      <c r="BH148" s="258" t="n">
        <v>12866</v>
      </c>
      <c r="BI148" s="258" t="n">
        <v>9968</v>
      </c>
      <c r="BJ148" s="258" t="n"/>
      <c r="BK148" s="258" t="n"/>
      <c r="BL148" s="258" t="n"/>
      <c r="BM148" s="258" t="n"/>
      <c r="BN148" s="357" t="inlineStr">
        <is>
          <t>09</t>
        </is>
      </c>
      <c r="BO148" s="131">
        <f>BO147+BO68</f>
        <v/>
      </c>
      <c r="BP148" s="258" t="n">
        <v>25337</v>
      </c>
      <c r="BQ148" s="258" t="n">
        <v>22103</v>
      </c>
      <c r="BR148" s="258" t="n">
        <v>22689</v>
      </c>
      <c r="BS148" s="258" t="n">
        <v>28006</v>
      </c>
      <c r="BT148" s="258" t="n">
        <v>11442</v>
      </c>
      <c r="BV148" s="357" t="inlineStr">
        <is>
          <t>09</t>
        </is>
      </c>
      <c r="BW148" s="131">
        <f>BW147+BW68</f>
        <v/>
      </c>
      <c r="BX148" s="258" t="n">
        <v>21816</v>
      </c>
      <c r="BY148" s="258" t="n">
        <v>20950</v>
      </c>
      <c r="BZ148" s="258" t="n">
        <v>20923</v>
      </c>
      <c r="CA148" s="258" t="n">
        <v>19305</v>
      </c>
      <c r="CB148" s="258" t="n">
        <v>11937</v>
      </c>
      <c r="CC148" s="258" t="n"/>
      <c r="CD148" s="357" t="inlineStr">
        <is>
          <t>09</t>
        </is>
      </c>
      <c r="CE148" s="131">
        <f>CE147+CE68</f>
        <v/>
      </c>
      <c r="CF148" s="258" t="n">
        <v>27910</v>
      </c>
      <c r="CG148" s="258" t="n">
        <v>22281</v>
      </c>
      <c r="CH148" s="258" t="n">
        <v>30640</v>
      </c>
      <c r="CI148" s="258" t="n">
        <v>23335</v>
      </c>
      <c r="CJ148" s="258" t="n">
        <v>11930</v>
      </c>
      <c r="CL148" s="357" t="inlineStr">
        <is>
          <t>09</t>
        </is>
      </c>
      <c r="CM148" s="131">
        <f>CM147+CM68</f>
        <v/>
      </c>
      <c r="CN148" s="258" t="n">
        <v>30485</v>
      </c>
      <c r="CO148" s="258" t="n">
        <v>32190</v>
      </c>
      <c r="CP148" s="258" t="n">
        <v>31717</v>
      </c>
      <c r="CQ148" s="258" t="n">
        <v>28978</v>
      </c>
      <c r="CR148" s="258" t="n">
        <v>13310</v>
      </c>
      <c r="CT148" s="357" t="inlineStr">
        <is>
          <t>09</t>
        </is>
      </c>
      <c r="CU148" s="131">
        <f>CU147+CU68</f>
        <v/>
      </c>
      <c r="CV148" s="258" t="n">
        <v>45217</v>
      </c>
      <c r="CW148" s="258" t="n">
        <v>0</v>
      </c>
      <c r="CX148" s="258" t="n"/>
      <c r="CY148" s="258" t="n"/>
      <c r="CZ148" s="258" t="n"/>
      <c r="DB148" s="357" t="inlineStr">
        <is>
          <t>09</t>
        </is>
      </c>
      <c r="DC148" s="131">
        <f>DC147+DC68</f>
        <v/>
      </c>
      <c r="DD148" s="258" t="n">
        <v>38314</v>
      </c>
      <c r="DE148" s="258" t="n">
        <v>0</v>
      </c>
      <c r="DF148" s="258" t="n"/>
      <c r="DG148" s="258" t="n"/>
      <c r="DH148" s="258" t="n"/>
      <c r="DI148" s="258" t="n"/>
      <c r="DJ148" s="357" t="inlineStr">
        <is>
          <t>09</t>
        </is>
      </c>
      <c r="DK148" s="131">
        <f>DK147+DK68</f>
        <v/>
      </c>
      <c r="DL148" s="258" t="n">
        <v>49860</v>
      </c>
      <c r="DM148" s="258" t="n">
        <v>0</v>
      </c>
      <c r="DN148" s="258" t="n"/>
      <c r="DO148" s="258" t="n"/>
      <c r="DP148" s="258" t="n"/>
      <c r="DR148" s="357" t="inlineStr">
        <is>
          <t>09</t>
        </is>
      </c>
      <c r="DS148" s="131">
        <f>DS147+DS68</f>
        <v/>
      </c>
      <c r="DT148" s="258" t="n">
        <v>26709</v>
      </c>
      <c r="DU148" s="258" t="n">
        <v>0</v>
      </c>
      <c r="DV148" s="258" t="n"/>
      <c r="DW148" s="258" t="n"/>
      <c r="DX148" s="258" t="n"/>
      <c r="DZ148" s="357" t="inlineStr">
        <is>
          <t>09</t>
        </is>
      </c>
      <c r="EA148" s="131">
        <f>EA147+EA68</f>
        <v/>
      </c>
      <c r="EB148" s="258" t="n">
        <v>3470</v>
      </c>
      <c r="EC148" s="258" t="n">
        <v>0</v>
      </c>
      <c r="ED148" s="258" t="n"/>
      <c r="EE148" s="258" t="n"/>
      <c r="EF148" s="258" t="n"/>
    </row>
    <row r="149">
      <c r="B149" s="357" t="inlineStr">
        <is>
          <t>10</t>
        </is>
      </c>
      <c r="C149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49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49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49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49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49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49" s="258" t="n"/>
      <c r="J149" s="357" t="inlineStr">
        <is>
          <t>10</t>
        </is>
      </c>
      <c r="K149" s="131">
        <f>K148+K69</f>
        <v/>
      </c>
      <c r="L149" s="258" t="n">
        <v>39218</v>
      </c>
      <c r="M149" s="258" t="n">
        <v>34030</v>
      </c>
      <c r="N149" s="258" t="n">
        <v>35538</v>
      </c>
      <c r="O149" s="258" t="n">
        <v>39895</v>
      </c>
      <c r="P149" s="258" t="n">
        <v>23564.00001</v>
      </c>
      <c r="R149" s="357" t="inlineStr">
        <is>
          <t>10</t>
        </is>
      </c>
      <c r="S149" s="131">
        <f>S148+S69</f>
        <v/>
      </c>
      <c r="T149" s="258" t="n">
        <v>19464</v>
      </c>
      <c r="U149" s="258" t="n">
        <v>19272</v>
      </c>
      <c r="V149" s="258" t="n">
        <v>22513</v>
      </c>
      <c r="W149" s="258" t="n">
        <v>22925</v>
      </c>
      <c r="X149" s="258" t="n">
        <v>12614</v>
      </c>
      <c r="Z149" s="357" t="inlineStr">
        <is>
          <t>10</t>
        </is>
      </c>
      <c r="AA149" s="131">
        <f>AA148+AA69</f>
        <v/>
      </c>
      <c r="AB149" s="258" t="n">
        <v>25128</v>
      </c>
      <c r="AC149" s="258" t="n">
        <v>24180</v>
      </c>
      <c r="AD149" s="258" t="n">
        <v>28310</v>
      </c>
      <c r="AE149" s="258" t="n">
        <v>32282</v>
      </c>
      <c r="AF149" s="258" t="n">
        <v>19352</v>
      </c>
      <c r="AH149" s="357" t="inlineStr">
        <is>
          <t>10</t>
        </is>
      </c>
      <c r="AI149" s="131">
        <f>AI148+AI69</f>
        <v/>
      </c>
      <c r="AJ149" s="258" t="n">
        <v>38332</v>
      </c>
      <c r="AK149" s="258" t="n">
        <v>32117</v>
      </c>
      <c r="AL149" s="258" t="n">
        <v>24028</v>
      </c>
      <c r="AM149" s="258" t="n">
        <v>23907</v>
      </c>
      <c r="AN149" s="258" t="n">
        <v>10513</v>
      </c>
      <c r="AP149" s="357" t="inlineStr">
        <is>
          <t>10</t>
        </is>
      </c>
      <c r="AQ149" s="131">
        <f>AQ148+AQ69</f>
        <v/>
      </c>
      <c r="AR149" s="258" t="n">
        <v>30580</v>
      </c>
      <c r="AS149" s="258" t="n">
        <v>25779</v>
      </c>
      <c r="AT149" s="258" t="n">
        <v>23108</v>
      </c>
      <c r="AU149" s="258" t="n">
        <v>19498</v>
      </c>
      <c r="AV149" s="258" t="n">
        <v>0</v>
      </c>
      <c r="AX149" s="357" t="inlineStr">
        <is>
          <t>10</t>
        </is>
      </c>
      <c r="AY149" s="131">
        <f>AY148+AY69</f>
        <v/>
      </c>
      <c r="AZ149" s="258" t="n">
        <v>18494</v>
      </c>
      <c r="BA149" s="258" t="n">
        <v>15381</v>
      </c>
      <c r="BB149" s="258" t="n">
        <v>12660</v>
      </c>
      <c r="BC149" s="258" t="n">
        <v>5431</v>
      </c>
      <c r="BD149" s="258" t="n"/>
      <c r="BE149" s="258" t="n"/>
      <c r="BF149" s="357" t="inlineStr">
        <is>
          <t>10</t>
        </is>
      </c>
      <c r="BG149" s="131">
        <f>BG148+BG69</f>
        <v/>
      </c>
      <c r="BH149" s="258" t="n">
        <v>14498</v>
      </c>
      <c r="BI149" s="258" t="n">
        <v>10934</v>
      </c>
      <c r="BJ149" s="258" t="n"/>
      <c r="BK149" s="258" t="n"/>
      <c r="BL149" s="258" t="n"/>
      <c r="BM149" s="258" t="n"/>
      <c r="BN149" s="357" t="inlineStr">
        <is>
          <t>10</t>
        </is>
      </c>
      <c r="BO149" s="131">
        <f>BO148+BO69</f>
        <v/>
      </c>
      <c r="BP149" s="258" t="n">
        <v>28208</v>
      </c>
      <c r="BQ149" s="258" t="n">
        <v>24718</v>
      </c>
      <c r="BR149" s="258" t="n">
        <v>25184</v>
      </c>
      <c r="BS149" s="258" t="n">
        <v>31430</v>
      </c>
      <c r="BT149" s="258" t="n">
        <v>13245</v>
      </c>
      <c r="BV149" s="357" t="inlineStr">
        <is>
          <t>10</t>
        </is>
      </c>
      <c r="BW149" s="131">
        <f>BW148+BW69</f>
        <v/>
      </c>
      <c r="BX149" s="258" t="n">
        <v>24184</v>
      </c>
      <c r="BY149" s="258" t="n">
        <v>23177</v>
      </c>
      <c r="BZ149" s="258" t="n">
        <v>23141</v>
      </c>
      <c r="CA149" s="258" t="n">
        <v>22191</v>
      </c>
      <c r="CB149" s="258" t="n">
        <v>13764</v>
      </c>
      <c r="CC149" s="258" t="n"/>
      <c r="CD149" s="357" t="inlineStr">
        <is>
          <t>10</t>
        </is>
      </c>
      <c r="CE149" s="131">
        <f>CE148+CE69</f>
        <v/>
      </c>
      <c r="CF149" s="258" t="n">
        <v>30950</v>
      </c>
      <c r="CG149" s="258" t="n">
        <v>24381</v>
      </c>
      <c r="CH149" s="258" t="n">
        <v>33927</v>
      </c>
      <c r="CI149" s="258" t="n">
        <v>26576</v>
      </c>
      <c r="CJ149" s="258" t="n">
        <v>13173</v>
      </c>
      <c r="CL149" s="357" t="inlineStr">
        <is>
          <t>10</t>
        </is>
      </c>
      <c r="CM149" s="131">
        <f>CM148+CM69</f>
        <v/>
      </c>
      <c r="CN149" s="258" t="n">
        <v>33940</v>
      </c>
      <c r="CO149" s="258" t="n">
        <v>35892</v>
      </c>
      <c r="CP149" s="258" t="n">
        <v>35006</v>
      </c>
      <c r="CQ149" s="258" t="n">
        <v>33016</v>
      </c>
      <c r="CR149" s="258" t="n">
        <v>15338</v>
      </c>
      <c r="CT149" s="357" t="inlineStr">
        <is>
          <t>10</t>
        </is>
      </c>
      <c r="CU149" s="131">
        <f>CU148+CU69</f>
        <v/>
      </c>
      <c r="CV149" s="258" t="n">
        <v>49844</v>
      </c>
      <c r="CW149" s="258" t="n">
        <v>0</v>
      </c>
      <c r="CX149" s="258" t="n"/>
      <c r="CY149" s="258" t="n"/>
      <c r="CZ149" s="258" t="n"/>
      <c r="DB149" s="357" t="inlineStr">
        <is>
          <t>10</t>
        </is>
      </c>
      <c r="DC149" s="131">
        <f>DC148+DC69</f>
        <v/>
      </c>
      <c r="DD149" s="258" t="n">
        <v>42868</v>
      </c>
      <c r="DE149" s="258" t="n">
        <v>0</v>
      </c>
      <c r="DF149" s="258" t="n"/>
      <c r="DG149" s="258" t="n"/>
      <c r="DH149" s="258" t="n"/>
      <c r="DI149" s="258" t="n"/>
      <c r="DJ149" s="357" t="inlineStr">
        <is>
          <t>10</t>
        </is>
      </c>
      <c r="DK149" s="131">
        <f>DK148+DK69</f>
        <v/>
      </c>
      <c r="DL149" s="258" t="n">
        <v>55618</v>
      </c>
      <c r="DM149" s="258" t="n">
        <v>0</v>
      </c>
      <c r="DN149" s="258" t="n"/>
      <c r="DO149" s="258" t="n"/>
      <c r="DP149" s="258" t="n"/>
      <c r="DR149" s="357" t="inlineStr">
        <is>
          <t>10</t>
        </is>
      </c>
      <c r="DS149" s="131">
        <f>DS148+DS69</f>
        <v/>
      </c>
      <c r="DT149" s="258" t="n">
        <v>29900</v>
      </c>
      <c r="DU149" s="258" t="n">
        <v>0</v>
      </c>
      <c r="DV149" s="258" t="n"/>
      <c r="DW149" s="258" t="n"/>
      <c r="DX149" s="258" t="n"/>
      <c r="DZ149" s="357" t="inlineStr">
        <is>
          <t>10</t>
        </is>
      </c>
      <c r="EA149" s="131">
        <f>EA148+EA69</f>
        <v/>
      </c>
      <c r="EB149" s="258" t="n">
        <v>5279</v>
      </c>
      <c r="EC149" s="258" t="n">
        <v>0</v>
      </c>
      <c r="ED149" s="258" t="n"/>
      <c r="EE149" s="258" t="n"/>
      <c r="EF149" s="258" t="n"/>
    </row>
    <row r="150">
      <c r="B150" s="357" t="inlineStr">
        <is>
          <t>11</t>
        </is>
      </c>
      <c r="C150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50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50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50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50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50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50" s="258" t="n"/>
      <c r="J150" s="357" t="inlineStr">
        <is>
          <t>11</t>
        </is>
      </c>
      <c r="K150" s="131">
        <f>K149+K70</f>
        <v/>
      </c>
      <c r="L150" s="258" t="n">
        <v>44029</v>
      </c>
      <c r="M150" s="258" t="n">
        <v>37605</v>
      </c>
      <c r="N150" s="258" t="n">
        <v>39224</v>
      </c>
      <c r="O150" s="258" t="n">
        <v>44564</v>
      </c>
      <c r="P150" s="258" t="n">
        <v>25508.00001</v>
      </c>
      <c r="R150" s="357" t="inlineStr">
        <is>
          <t>11</t>
        </is>
      </c>
      <c r="S150" s="131">
        <f>S149+S70</f>
        <v/>
      </c>
      <c r="T150" s="258" t="n">
        <v>21294</v>
      </c>
      <c r="U150" s="258" t="n">
        <v>21208</v>
      </c>
      <c r="V150" s="258" t="n">
        <v>24542</v>
      </c>
      <c r="W150" s="258" t="n">
        <v>26263</v>
      </c>
      <c r="X150" s="258" t="n">
        <v>14257</v>
      </c>
      <c r="Z150" s="357" t="inlineStr">
        <is>
          <t>11</t>
        </is>
      </c>
      <c r="AA150" s="131">
        <f>AA149+AA70</f>
        <v/>
      </c>
      <c r="AB150" s="258" t="n">
        <v>27751</v>
      </c>
      <c r="AC150" s="258" t="n">
        <v>26691</v>
      </c>
      <c r="AD150" s="258" t="n">
        <v>30987</v>
      </c>
      <c r="AE150" s="258" t="n">
        <v>35888</v>
      </c>
      <c r="AF150" s="258" t="n">
        <v>21675</v>
      </c>
      <c r="AH150" s="357" t="inlineStr">
        <is>
          <t>11</t>
        </is>
      </c>
      <c r="AI150" s="131">
        <f>AI149+AI70</f>
        <v/>
      </c>
      <c r="AJ150" s="258" t="n">
        <v>42572</v>
      </c>
      <c r="AK150" s="258" t="n">
        <v>35648</v>
      </c>
      <c r="AL150" s="258" t="n">
        <v>26867</v>
      </c>
      <c r="AM150" s="258" t="n">
        <v>27084</v>
      </c>
      <c r="AN150" s="258" t="n">
        <v>10570</v>
      </c>
      <c r="AP150" s="357" t="inlineStr">
        <is>
          <t>11</t>
        </is>
      </c>
      <c r="AQ150" s="131">
        <f>AQ149+AQ70</f>
        <v/>
      </c>
      <c r="AR150" s="258" t="n">
        <v>33877</v>
      </c>
      <c r="AS150" s="258" t="n">
        <v>28745</v>
      </c>
      <c r="AT150" s="258" t="n">
        <v>25440</v>
      </c>
      <c r="AU150" s="258" t="n">
        <v>22860</v>
      </c>
      <c r="AV150" s="258" t="n">
        <v>0</v>
      </c>
      <c r="AX150" s="357" t="inlineStr">
        <is>
          <t>11</t>
        </is>
      </c>
      <c r="AY150" s="131">
        <f>AY149+AY70</f>
        <v/>
      </c>
      <c r="AZ150" s="258" t="n">
        <v>20359</v>
      </c>
      <c r="BA150" s="258" t="n">
        <v>17321</v>
      </c>
      <c r="BB150" s="258" t="n">
        <v>13960</v>
      </c>
      <c r="BC150" s="258" t="n">
        <v>7246</v>
      </c>
      <c r="BD150" s="258" t="n"/>
      <c r="BE150" s="258" t="n"/>
      <c r="BF150" s="357" t="inlineStr">
        <is>
          <t>11</t>
        </is>
      </c>
      <c r="BG150" s="131">
        <f>BG149+BG70</f>
        <v/>
      </c>
      <c r="BH150" s="258" t="n">
        <v>16151</v>
      </c>
      <c r="BI150" s="258" t="n">
        <v>11983</v>
      </c>
      <c r="BJ150" s="258" t="n"/>
      <c r="BK150" s="258" t="n"/>
      <c r="BL150" s="258" t="n"/>
      <c r="BM150" s="258" t="n"/>
      <c r="BN150" s="357" t="inlineStr">
        <is>
          <t>11</t>
        </is>
      </c>
      <c r="BO150" s="131">
        <f>BO149+BO70</f>
        <v/>
      </c>
      <c r="BP150" s="258" t="n">
        <v>31324</v>
      </c>
      <c r="BQ150" s="258" t="n">
        <v>27584</v>
      </c>
      <c r="BR150" s="258" t="n">
        <v>27374</v>
      </c>
      <c r="BS150" s="258" t="n">
        <v>35218</v>
      </c>
      <c r="BT150" s="258" t="n">
        <v>13434</v>
      </c>
      <c r="BV150" s="357" t="inlineStr">
        <is>
          <t>11</t>
        </is>
      </c>
      <c r="BW150" s="131">
        <f>BW149+BW70</f>
        <v/>
      </c>
      <c r="BX150" s="258" t="n">
        <v>26586</v>
      </c>
      <c r="BY150" s="258" t="n">
        <v>25428</v>
      </c>
      <c r="BZ150" s="258" t="n">
        <v>25070</v>
      </c>
      <c r="CA150" s="258" t="n">
        <v>25088</v>
      </c>
      <c r="CB150" s="258" t="n">
        <v>14922</v>
      </c>
      <c r="CC150" s="258" t="n"/>
      <c r="CD150" s="357" t="inlineStr">
        <is>
          <t>11</t>
        </is>
      </c>
      <c r="CE150" s="131">
        <f>CE149+CE70</f>
        <v/>
      </c>
      <c r="CF150" s="258" t="n">
        <v>33800</v>
      </c>
      <c r="CG150" s="258" t="n">
        <v>26594</v>
      </c>
      <c r="CH150" s="258" t="n">
        <v>37167</v>
      </c>
      <c r="CI150" s="258" t="n">
        <v>29946</v>
      </c>
      <c r="CJ150" s="258" t="n">
        <v>13260</v>
      </c>
      <c r="CL150" s="357" t="inlineStr">
        <is>
          <t>11</t>
        </is>
      </c>
      <c r="CM150" s="131">
        <f>CM149+CM70</f>
        <v/>
      </c>
      <c r="CN150" s="258" t="n">
        <v>38013</v>
      </c>
      <c r="CO150" s="258" t="n">
        <v>39797</v>
      </c>
      <c r="CP150" s="258" t="n">
        <v>38202</v>
      </c>
      <c r="CQ150" s="258" t="n">
        <v>37428</v>
      </c>
      <c r="CR150" s="258" t="n">
        <v>16247</v>
      </c>
      <c r="CT150" s="357" t="inlineStr">
        <is>
          <t>11</t>
        </is>
      </c>
      <c r="CU150" s="131">
        <f>CU149+CU70</f>
        <v/>
      </c>
      <c r="CV150" s="258" t="n">
        <v>55128</v>
      </c>
      <c r="CW150" s="258" t="n">
        <v>0</v>
      </c>
      <c r="CX150" s="258" t="n"/>
      <c r="CY150" s="258" t="n"/>
      <c r="CZ150" s="258" t="n"/>
      <c r="DB150" s="357" t="inlineStr">
        <is>
          <t>11</t>
        </is>
      </c>
      <c r="DC150" s="131">
        <f>DC149+DC70</f>
        <v/>
      </c>
      <c r="DD150" s="258" t="n">
        <v>47885</v>
      </c>
      <c r="DE150" s="258" t="n">
        <v>0</v>
      </c>
      <c r="DF150" s="258" t="n"/>
      <c r="DG150" s="258" t="n"/>
      <c r="DH150" s="258" t="n"/>
      <c r="DI150" s="258" t="n"/>
      <c r="DJ150" s="357" t="inlineStr">
        <is>
          <t>11</t>
        </is>
      </c>
      <c r="DK150" s="131">
        <f>DK149+DK70</f>
        <v/>
      </c>
      <c r="DL150" s="258" t="n">
        <v>61490</v>
      </c>
      <c r="DM150" s="258" t="n">
        <v>0</v>
      </c>
      <c r="DN150" s="258" t="n"/>
      <c r="DO150" s="258" t="n"/>
      <c r="DP150" s="258" t="n"/>
      <c r="DR150" s="357" t="inlineStr">
        <is>
          <t>11</t>
        </is>
      </c>
      <c r="DS150" s="131">
        <f>DS149+DS70</f>
        <v/>
      </c>
      <c r="DT150" s="258" t="n">
        <v>33208</v>
      </c>
      <c r="DU150" s="258" t="n">
        <v>0</v>
      </c>
      <c r="DV150" s="258" t="n"/>
      <c r="DW150" s="258" t="n"/>
      <c r="DX150" s="258" t="n"/>
      <c r="DZ150" s="357" t="inlineStr">
        <is>
          <t>11</t>
        </is>
      </c>
      <c r="EA150" s="131">
        <f>EA149+EA70</f>
        <v/>
      </c>
      <c r="EB150" s="258" t="n">
        <v>7071</v>
      </c>
      <c r="EC150" s="258" t="n">
        <v>0</v>
      </c>
      <c r="ED150" s="258" t="n"/>
      <c r="EE150" s="258" t="n"/>
      <c r="EF150" s="258" t="n"/>
    </row>
    <row r="151">
      <c r="B151" s="357" t="inlineStr">
        <is>
          <t>12</t>
        </is>
      </c>
      <c r="C151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51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51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51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51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51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51" s="258" t="n"/>
      <c r="J151" s="357" t="inlineStr">
        <is>
          <t>12</t>
        </is>
      </c>
      <c r="K151" s="131">
        <f>K150+K71</f>
        <v/>
      </c>
      <c r="L151" s="258" t="n">
        <v>48936</v>
      </c>
      <c r="M151" s="258" t="n">
        <v>41076</v>
      </c>
      <c r="N151" s="258" t="n">
        <v>42758</v>
      </c>
      <c r="O151" s="258" t="n">
        <v>48635</v>
      </c>
      <c r="P151" s="258" t="n">
        <v>27796.00001</v>
      </c>
      <c r="R151" s="357" t="inlineStr">
        <is>
          <t>12</t>
        </is>
      </c>
      <c r="S151" s="131">
        <f>S150+S71</f>
        <v/>
      </c>
      <c r="T151" s="258" t="n">
        <v>23224</v>
      </c>
      <c r="U151" s="258" t="n">
        <v>22925</v>
      </c>
      <c r="V151" s="258" t="n">
        <v>26575</v>
      </c>
      <c r="W151" s="258" t="n">
        <v>29122</v>
      </c>
      <c r="X151" s="258" t="n">
        <v>16134</v>
      </c>
      <c r="Z151" s="357" t="inlineStr">
        <is>
          <t>12</t>
        </is>
      </c>
      <c r="AA151" s="131">
        <f>AA150+AA71</f>
        <v/>
      </c>
      <c r="AB151" s="258" t="n">
        <v>30303</v>
      </c>
      <c r="AC151" s="258" t="n">
        <v>28868</v>
      </c>
      <c r="AD151" s="258" t="n">
        <v>33574</v>
      </c>
      <c r="AE151" s="258" t="n">
        <v>39071</v>
      </c>
      <c r="AF151" s="258" t="n">
        <v>23872</v>
      </c>
      <c r="AH151" s="357" t="inlineStr">
        <is>
          <t>12</t>
        </is>
      </c>
      <c r="AI151" s="131">
        <f>AI150+AI71</f>
        <v/>
      </c>
      <c r="AJ151" s="258" t="n">
        <v>46964</v>
      </c>
      <c r="AK151" s="258" t="n">
        <v>39079</v>
      </c>
      <c r="AL151" s="258" t="n">
        <v>29801</v>
      </c>
      <c r="AM151" s="258" t="n">
        <v>29554</v>
      </c>
      <c r="AN151" s="258" t="n">
        <v>11415</v>
      </c>
      <c r="AP151" s="357" t="inlineStr">
        <is>
          <t>12</t>
        </is>
      </c>
      <c r="AQ151" s="131">
        <f>AQ150+AQ71</f>
        <v/>
      </c>
      <c r="AR151" s="258" t="n">
        <v>37361</v>
      </c>
      <c r="AS151" s="258" t="n">
        <v>31860</v>
      </c>
      <c r="AT151" s="258" t="n">
        <v>27900</v>
      </c>
      <c r="AU151" s="258" t="n">
        <v>25645</v>
      </c>
      <c r="AV151" s="258" t="n">
        <v>0</v>
      </c>
      <c r="AX151" s="357" t="inlineStr">
        <is>
          <t>12</t>
        </is>
      </c>
      <c r="AY151" s="131">
        <f>AY150+AY71</f>
        <v/>
      </c>
      <c r="AZ151" s="258" t="n">
        <v>22268</v>
      </c>
      <c r="BA151" s="258" t="n">
        <v>19165</v>
      </c>
      <c r="BB151" s="258" t="n">
        <v>15344</v>
      </c>
      <c r="BC151" s="258" t="n">
        <v>8657</v>
      </c>
      <c r="BD151" s="258" t="n"/>
      <c r="BE151" s="258" t="n"/>
      <c r="BF151" s="357" t="inlineStr">
        <is>
          <t>12</t>
        </is>
      </c>
      <c r="BG151" s="131">
        <f>BG150+BG71</f>
        <v/>
      </c>
      <c r="BH151" s="258" t="n">
        <v>17880</v>
      </c>
      <c r="BI151" s="258" t="n">
        <v>12966</v>
      </c>
      <c r="BJ151" s="258" t="n"/>
      <c r="BK151" s="258" t="n"/>
      <c r="BL151" s="258" t="n"/>
      <c r="BM151" s="258" t="n"/>
      <c r="BN151" s="357" t="inlineStr">
        <is>
          <t>12</t>
        </is>
      </c>
      <c r="BO151" s="131">
        <f>BO150+BO71</f>
        <v/>
      </c>
      <c r="BP151" s="258" t="n">
        <v>34612</v>
      </c>
      <c r="BQ151" s="258" t="n">
        <v>30349</v>
      </c>
      <c r="BR151" s="258" t="n">
        <v>29408</v>
      </c>
      <c r="BS151" s="258" t="n">
        <v>38208</v>
      </c>
      <c r="BT151" s="258" t="n">
        <v>14465</v>
      </c>
      <c r="BV151" s="357" t="inlineStr">
        <is>
          <t>12</t>
        </is>
      </c>
      <c r="BW151" s="131">
        <f>BW150+BW71</f>
        <v/>
      </c>
      <c r="BX151" s="258" t="n">
        <v>29104</v>
      </c>
      <c r="BY151" s="258" t="n">
        <v>27580</v>
      </c>
      <c r="BZ151" s="258" t="n">
        <v>27120</v>
      </c>
      <c r="CA151" s="258" t="n">
        <v>27498</v>
      </c>
      <c r="CB151" s="258" t="n">
        <v>16135</v>
      </c>
      <c r="CC151" s="258" t="n"/>
      <c r="CD151" s="357" t="inlineStr">
        <is>
          <t>12</t>
        </is>
      </c>
      <c r="CE151" s="131">
        <f>CE150+CE71</f>
        <v/>
      </c>
      <c r="CF151" s="258" t="n">
        <v>36585</v>
      </c>
      <c r="CG151" s="258" t="n">
        <v>28851</v>
      </c>
      <c r="CH151" s="258" t="n">
        <v>39887</v>
      </c>
      <c r="CI151" s="258" t="n">
        <v>33275</v>
      </c>
      <c r="CJ151" s="258" t="n">
        <v>13975</v>
      </c>
      <c r="CL151" s="357" t="inlineStr">
        <is>
          <t>12</t>
        </is>
      </c>
      <c r="CM151" s="131">
        <f>CM150+CM71</f>
        <v/>
      </c>
      <c r="CN151" s="258" t="n">
        <v>42279</v>
      </c>
      <c r="CO151" s="258" t="n">
        <v>42854</v>
      </c>
      <c r="CP151" s="258" t="n">
        <v>41309</v>
      </c>
      <c r="CQ151" s="258" t="n">
        <v>41468</v>
      </c>
      <c r="CR151" s="258" t="n">
        <v>17992</v>
      </c>
      <c r="CT151" s="357" t="inlineStr">
        <is>
          <t>12</t>
        </is>
      </c>
      <c r="CU151" s="131">
        <f>CU150+CU71</f>
        <v/>
      </c>
      <c r="CV151" s="258" t="n">
        <v>60357</v>
      </c>
      <c r="CW151" s="258" t="n">
        <v>0</v>
      </c>
      <c r="CX151" s="258" t="n"/>
      <c r="CY151" s="258" t="n"/>
      <c r="CZ151" s="258" t="n"/>
      <c r="DB151" s="357" t="inlineStr">
        <is>
          <t>12</t>
        </is>
      </c>
      <c r="DC151" s="131">
        <f>DC150+DC71</f>
        <v/>
      </c>
      <c r="DD151" s="258" t="n">
        <v>53589</v>
      </c>
      <c r="DE151" s="258" t="n">
        <v>0</v>
      </c>
      <c r="DF151" s="258" t="n"/>
      <c r="DG151" s="258" t="n"/>
      <c r="DH151" s="258" t="n"/>
      <c r="DI151" s="258" t="n"/>
      <c r="DJ151" s="357" t="inlineStr">
        <is>
          <t>12</t>
        </is>
      </c>
      <c r="DK151" s="131">
        <f>DK150+DK71</f>
        <v/>
      </c>
      <c r="DL151" s="258" t="n">
        <v>67615</v>
      </c>
      <c r="DM151" s="258" t="n">
        <v>0</v>
      </c>
      <c r="DN151" s="258" t="n"/>
      <c r="DO151" s="258" t="n"/>
      <c r="DP151" s="258" t="n"/>
      <c r="DR151" s="357" t="inlineStr">
        <is>
          <t>12</t>
        </is>
      </c>
      <c r="DS151" s="131">
        <f>DS150+DS71</f>
        <v/>
      </c>
      <c r="DT151" s="258" t="n">
        <v>36835</v>
      </c>
      <c r="DU151" s="258" t="n">
        <v>0</v>
      </c>
      <c r="DV151" s="258" t="n"/>
      <c r="DW151" s="258" t="n"/>
      <c r="DX151" s="258" t="n"/>
      <c r="DZ151" s="357" t="inlineStr">
        <is>
          <t>12</t>
        </is>
      </c>
      <c r="EA151" s="131">
        <f>EA150+EA71</f>
        <v/>
      </c>
      <c r="EB151" s="258" t="n">
        <v>8912</v>
      </c>
      <c r="EC151" s="258" t="n">
        <v>0</v>
      </c>
      <c r="ED151" s="258" t="n"/>
      <c r="EE151" s="258" t="n"/>
      <c r="EF151" s="258" t="n"/>
    </row>
    <row r="153" ht="15.75" customHeight="1" s="161">
      <c r="B153" s="355" t="inlineStr">
        <is>
          <t>Global</t>
        </is>
      </c>
      <c r="J153" s="355" t="inlineStr">
        <is>
          <t>GLR5</t>
        </is>
      </c>
      <c r="R153" s="355" t="inlineStr">
        <is>
          <t>HTR8</t>
        </is>
      </c>
      <c r="Z153" s="355" t="inlineStr">
        <is>
          <t>TIRR</t>
        </is>
      </c>
      <c r="AH153" s="355" t="inlineStr">
        <is>
          <t>VR7</t>
        </is>
      </c>
      <c r="AP153" s="355" t="inlineStr">
        <is>
          <t>TURVILLA</t>
        </is>
      </c>
      <c r="AX153" s="355" t="inlineStr">
        <is>
          <t>HART</t>
        </is>
      </c>
      <c r="BF153" s="355" t="inlineStr">
        <is>
          <t>VICTOIRE</t>
        </is>
      </c>
      <c r="BN153" s="355" t="inlineStr">
        <is>
          <t>TH4</t>
        </is>
      </c>
      <c r="BV153" s="355" t="inlineStr">
        <is>
          <t>TL DIVES</t>
        </is>
      </c>
      <c r="CD153" s="355" t="inlineStr">
        <is>
          <t>R3 14</t>
        </is>
      </c>
      <c r="CL153" s="355" t="inlineStr">
        <is>
          <t>LYSE</t>
        </is>
      </c>
      <c r="CT153" s="355" t="inlineStr">
        <is>
          <t>ARTHUR</t>
        </is>
      </c>
      <c r="DB153" s="355" t="inlineStr">
        <is>
          <t>HUGO</t>
        </is>
      </c>
      <c r="DJ153" s="355" t="inlineStr">
        <is>
          <t>JEANCLO</t>
        </is>
      </c>
      <c r="DR153" s="355" t="inlineStr">
        <is>
          <t>THOMAS</t>
        </is>
      </c>
      <c r="DZ153" s="355" t="inlineStr">
        <is>
          <t>CATALINA</t>
        </is>
      </c>
    </row>
    <row r="155" ht="18.6" customFormat="1" customHeight="1" s="188">
      <c r="A155" s="356" t="inlineStr">
        <is>
          <t>Transactions Mc Drive cumulées</t>
        </is>
      </c>
      <c r="B155" s="186" t="inlineStr">
        <is>
          <t>MOIS</t>
        </is>
      </c>
      <c r="C155" s="187" t="inlineStr">
        <is>
          <t>2024</t>
        </is>
      </c>
      <c r="D155" s="187" t="inlineStr">
        <is>
          <t>2023</t>
        </is>
      </c>
      <c r="E155" s="187" t="inlineStr">
        <is>
          <t>2022</t>
        </is>
      </c>
      <c r="F155" s="187" t="inlineStr">
        <is>
          <t>2021</t>
        </is>
      </c>
      <c r="G155" s="187" t="inlineStr">
        <is>
          <t>2020</t>
        </is>
      </c>
      <c r="H155" s="187" t="inlineStr">
        <is>
          <t>2019</t>
        </is>
      </c>
      <c r="I155" s="187" t="n"/>
      <c r="J155" s="186" t="inlineStr">
        <is>
          <t>MOIS</t>
        </is>
      </c>
      <c r="K155" s="186" t="inlineStr">
        <is>
          <t>2025</t>
        </is>
      </c>
      <c r="L155" s="186" t="inlineStr">
        <is>
          <t>2024</t>
        </is>
      </c>
      <c r="M155" s="186" t="inlineStr">
        <is>
          <t>2023</t>
        </is>
      </c>
      <c r="N155" s="186" t="inlineStr">
        <is>
          <t>2022</t>
        </is>
      </c>
      <c r="O155" s="186" t="inlineStr">
        <is>
          <t>2021</t>
        </is>
      </c>
      <c r="P155" s="186" t="inlineStr">
        <is>
          <t>2020</t>
        </is>
      </c>
      <c r="R155" s="186" t="inlineStr">
        <is>
          <t>MOIS</t>
        </is>
      </c>
      <c r="S155" s="186" t="inlineStr">
        <is>
          <t>2025</t>
        </is>
      </c>
      <c r="T155" s="186" t="inlineStr">
        <is>
          <t>2024</t>
        </is>
      </c>
      <c r="U155" s="186" t="inlineStr">
        <is>
          <t>2023</t>
        </is>
      </c>
      <c r="V155" s="186" t="inlineStr">
        <is>
          <t>2022</t>
        </is>
      </c>
      <c r="W155" s="186" t="inlineStr">
        <is>
          <t>2021</t>
        </is>
      </c>
      <c r="X155" s="186" t="inlineStr">
        <is>
          <t>2020</t>
        </is>
      </c>
      <c r="Z155" s="186" t="inlineStr">
        <is>
          <t>MOIS</t>
        </is>
      </c>
      <c r="AA155" s="186" t="inlineStr">
        <is>
          <t>2025</t>
        </is>
      </c>
      <c r="AB155" s="186" t="inlineStr">
        <is>
          <t>2024</t>
        </is>
      </c>
      <c r="AC155" s="186" t="inlineStr">
        <is>
          <t>2023</t>
        </is>
      </c>
      <c r="AD155" s="186" t="inlineStr">
        <is>
          <t>2022</t>
        </is>
      </c>
      <c r="AE155" s="186" t="inlineStr">
        <is>
          <t>2021</t>
        </is>
      </c>
      <c r="AF155" s="186" t="inlineStr">
        <is>
          <t>2020</t>
        </is>
      </c>
      <c r="AH155" s="186" t="inlineStr">
        <is>
          <t>MOIS</t>
        </is>
      </c>
      <c r="AI155" s="186" t="inlineStr">
        <is>
          <t>2025</t>
        </is>
      </c>
      <c r="AJ155" s="186" t="inlineStr">
        <is>
          <t>2024</t>
        </is>
      </c>
      <c r="AK155" s="186" t="inlineStr">
        <is>
          <t>2023</t>
        </is>
      </c>
      <c r="AL155" s="186" t="inlineStr">
        <is>
          <t>2022</t>
        </is>
      </c>
      <c r="AM155" s="186" t="inlineStr">
        <is>
          <t>2021</t>
        </is>
      </c>
      <c r="AN155" s="186" t="inlineStr">
        <is>
          <t>2020</t>
        </is>
      </c>
      <c r="AP155" s="186" t="inlineStr">
        <is>
          <t>MOIS</t>
        </is>
      </c>
      <c r="AQ155" s="186" t="inlineStr">
        <is>
          <t>2025</t>
        </is>
      </c>
      <c r="AR155" s="186" t="inlineStr">
        <is>
          <t>2024</t>
        </is>
      </c>
      <c r="AS155" s="186" t="inlineStr">
        <is>
          <t>2023</t>
        </is>
      </c>
      <c r="AT155" s="186" t="inlineStr">
        <is>
          <t>2022</t>
        </is>
      </c>
      <c r="AU155" s="186" t="inlineStr">
        <is>
          <t>2021</t>
        </is>
      </c>
      <c r="AV155" s="186" t="inlineStr">
        <is>
          <t>2020</t>
        </is>
      </c>
      <c r="AX155" s="186" t="inlineStr">
        <is>
          <t>MOIS</t>
        </is>
      </c>
      <c r="AY155" s="186" t="inlineStr">
        <is>
          <t>2025</t>
        </is>
      </c>
      <c r="AZ155" s="186" t="inlineStr">
        <is>
          <t>2024</t>
        </is>
      </c>
      <c r="BA155" s="186" t="inlineStr">
        <is>
          <t>2023</t>
        </is>
      </c>
      <c r="BB155" s="186" t="inlineStr">
        <is>
          <t>2022</t>
        </is>
      </c>
      <c r="BC155" s="186" t="inlineStr">
        <is>
          <t>2021</t>
        </is>
      </c>
      <c r="BD155" s="186" t="inlineStr">
        <is>
          <t>2020</t>
        </is>
      </c>
      <c r="BE155" s="187" t="n"/>
      <c r="BF155" s="186" t="inlineStr">
        <is>
          <t>MOIS</t>
        </is>
      </c>
      <c r="BG155" s="186" t="inlineStr">
        <is>
          <t>2025</t>
        </is>
      </c>
      <c r="BH155" s="186" t="inlineStr">
        <is>
          <t>2024</t>
        </is>
      </c>
      <c r="BI155" s="186" t="inlineStr">
        <is>
          <t>2023</t>
        </is>
      </c>
      <c r="BJ155" s="186" t="inlineStr">
        <is>
          <t>2022</t>
        </is>
      </c>
      <c r="BK155" s="186" t="inlineStr">
        <is>
          <t>2021</t>
        </is>
      </c>
      <c r="BL155" s="186" t="inlineStr">
        <is>
          <t>2020</t>
        </is>
      </c>
      <c r="BM155" s="186" t="n"/>
      <c r="BN155" s="186" t="inlineStr">
        <is>
          <t>MOIS</t>
        </is>
      </c>
      <c r="BO155" s="187" t="inlineStr">
        <is>
          <t>2025</t>
        </is>
      </c>
      <c r="BP155" s="187" t="inlineStr">
        <is>
          <t>2024</t>
        </is>
      </c>
      <c r="BQ155" s="187" t="inlineStr">
        <is>
          <t>2023</t>
        </is>
      </c>
      <c r="BR155" s="187" t="inlineStr">
        <is>
          <t>2022</t>
        </is>
      </c>
      <c r="BS155" s="187" t="inlineStr">
        <is>
          <t>2021</t>
        </is>
      </c>
      <c r="BT155" s="187" t="inlineStr">
        <is>
          <t>2020</t>
        </is>
      </c>
      <c r="BV155" s="186" t="inlineStr">
        <is>
          <t>MOIS</t>
        </is>
      </c>
      <c r="BW155" s="187" t="inlineStr">
        <is>
          <t>2025</t>
        </is>
      </c>
      <c r="BX155" s="187" t="inlineStr">
        <is>
          <t>2024</t>
        </is>
      </c>
      <c r="BY155" s="187" t="inlineStr">
        <is>
          <t>2023</t>
        </is>
      </c>
      <c r="BZ155" s="187" t="inlineStr">
        <is>
          <t>2022</t>
        </is>
      </c>
      <c r="CA155" s="187" t="inlineStr">
        <is>
          <t>2021</t>
        </is>
      </c>
      <c r="CB155" s="187" t="inlineStr">
        <is>
          <t>2020</t>
        </is>
      </c>
      <c r="CC155" s="187" t="n"/>
      <c r="CD155" s="186" t="inlineStr">
        <is>
          <t>MOIS</t>
        </is>
      </c>
      <c r="CE155" s="187" t="inlineStr">
        <is>
          <t>2025</t>
        </is>
      </c>
      <c r="CF155" s="187" t="inlineStr">
        <is>
          <t>2024</t>
        </is>
      </c>
      <c r="CG155" s="187" t="inlineStr">
        <is>
          <t>2023</t>
        </is>
      </c>
      <c r="CH155" s="187" t="inlineStr">
        <is>
          <t>2022</t>
        </is>
      </c>
      <c r="CI155" s="187" t="inlineStr">
        <is>
          <t>2021</t>
        </is>
      </c>
      <c r="CJ155" s="187" t="inlineStr">
        <is>
          <t>2020</t>
        </is>
      </c>
      <c r="CL155" s="186" t="inlineStr">
        <is>
          <t>MOIS</t>
        </is>
      </c>
      <c r="CM155" s="187" t="inlineStr">
        <is>
          <t>2025</t>
        </is>
      </c>
      <c r="CN155" s="187" t="inlineStr">
        <is>
          <t>2024</t>
        </is>
      </c>
      <c r="CO155" s="187" t="inlineStr">
        <is>
          <t>2023</t>
        </is>
      </c>
      <c r="CP155" s="187" t="inlineStr">
        <is>
          <t>2022</t>
        </is>
      </c>
      <c r="CQ155" s="187" t="inlineStr">
        <is>
          <t>2021</t>
        </is>
      </c>
      <c r="CR155" s="187" t="inlineStr">
        <is>
          <t>2020</t>
        </is>
      </c>
      <c r="CT155" s="186" t="inlineStr">
        <is>
          <t>MOIS</t>
        </is>
      </c>
      <c r="CU155" s="187" t="inlineStr">
        <is>
          <t>2025</t>
        </is>
      </c>
      <c r="CV155" s="187" t="inlineStr">
        <is>
          <t>2024</t>
        </is>
      </c>
      <c r="CW155" s="187" t="inlineStr">
        <is>
          <t>2023</t>
        </is>
      </c>
      <c r="CX155" s="187" t="inlineStr">
        <is>
          <t>2022</t>
        </is>
      </c>
      <c r="CY155" s="187" t="inlineStr">
        <is>
          <t>2021</t>
        </is>
      </c>
      <c r="CZ155" s="187" t="inlineStr">
        <is>
          <t>2020</t>
        </is>
      </c>
      <c r="DB155" s="186" t="inlineStr">
        <is>
          <t>MOIS</t>
        </is>
      </c>
      <c r="DC155" s="187" t="inlineStr">
        <is>
          <t>2025</t>
        </is>
      </c>
      <c r="DD155" s="187" t="inlineStr">
        <is>
          <t>2024</t>
        </is>
      </c>
      <c r="DE155" s="187" t="inlineStr">
        <is>
          <t>2023</t>
        </is>
      </c>
      <c r="DF155" s="187" t="inlineStr">
        <is>
          <t>2022</t>
        </is>
      </c>
      <c r="DG155" s="187" t="inlineStr">
        <is>
          <t>2021</t>
        </is>
      </c>
      <c r="DH155" s="187" t="inlineStr">
        <is>
          <t>2020</t>
        </is>
      </c>
      <c r="DI155" s="187" t="n"/>
      <c r="DJ155" s="186" t="inlineStr">
        <is>
          <t>MOIS</t>
        </is>
      </c>
      <c r="DK155" s="187" t="inlineStr">
        <is>
          <t>2025</t>
        </is>
      </c>
      <c r="DL155" s="187" t="inlineStr">
        <is>
          <t>2024</t>
        </is>
      </c>
      <c r="DM155" s="187" t="inlineStr">
        <is>
          <t>2023</t>
        </is>
      </c>
      <c r="DN155" s="187" t="inlineStr">
        <is>
          <t>2022</t>
        </is>
      </c>
      <c r="DO155" s="187" t="inlineStr">
        <is>
          <t>2021</t>
        </is>
      </c>
      <c r="DP155" s="187" t="inlineStr">
        <is>
          <t>2020</t>
        </is>
      </c>
      <c r="DR155" s="186" t="inlineStr">
        <is>
          <t>MOIS</t>
        </is>
      </c>
      <c r="DS155" s="187" t="inlineStr">
        <is>
          <t>2025</t>
        </is>
      </c>
      <c r="DT155" s="187" t="inlineStr">
        <is>
          <t>2024</t>
        </is>
      </c>
      <c r="DU155" s="187" t="inlineStr">
        <is>
          <t>2023</t>
        </is>
      </c>
      <c r="DV155" s="187" t="inlineStr">
        <is>
          <t>2022</t>
        </is>
      </c>
      <c r="DW155" s="187" t="inlineStr">
        <is>
          <t>2021</t>
        </is>
      </c>
      <c r="DX155" s="187" t="inlineStr">
        <is>
          <t>2020</t>
        </is>
      </c>
      <c r="DZ155" s="186" t="inlineStr">
        <is>
          <t>MOIS</t>
        </is>
      </c>
      <c r="EA155" s="187" t="inlineStr">
        <is>
          <t>2025</t>
        </is>
      </c>
      <c r="EB155" s="187" t="inlineStr">
        <is>
          <t>2024</t>
        </is>
      </c>
      <c r="EC155" s="187" t="inlineStr">
        <is>
          <t>2023</t>
        </is>
      </c>
      <c r="ED155" s="187" t="inlineStr">
        <is>
          <t>2022</t>
        </is>
      </c>
      <c r="EE155" s="187" t="inlineStr">
        <is>
          <t>2021</t>
        </is>
      </c>
      <c r="EF155" s="187" t="inlineStr">
        <is>
          <t>2020</t>
        </is>
      </c>
    </row>
    <row r="156">
      <c r="B156" s="357" t="inlineStr">
        <is>
          <t>01</t>
        </is>
      </c>
      <c r="C156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56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56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56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56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56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56" s="258" t="n"/>
      <c r="J156" s="357" t="inlineStr">
        <is>
          <t>01</t>
        </is>
      </c>
      <c r="K156" s="131">
        <f>+K76</f>
        <v/>
      </c>
      <c r="L156" s="258" t="n">
        <v>9713</v>
      </c>
      <c r="M156" s="258" t="n">
        <v>12388</v>
      </c>
      <c r="N156" s="258" t="n">
        <v>13745</v>
      </c>
      <c r="O156" s="258" t="n">
        <v>13088</v>
      </c>
      <c r="P156" s="258" t="n">
        <v>13793</v>
      </c>
      <c r="R156" s="357" t="inlineStr">
        <is>
          <t>01</t>
        </is>
      </c>
      <c r="S156" s="131">
        <f>+S76</f>
        <v/>
      </c>
      <c r="T156" s="258" t="n">
        <v>4668</v>
      </c>
      <c r="U156" s="258" t="n">
        <v>6255</v>
      </c>
      <c r="V156" s="258" t="n">
        <v>7205</v>
      </c>
      <c r="W156" s="258" t="n">
        <v>8097</v>
      </c>
      <c r="X156" s="258" t="n">
        <v>6611</v>
      </c>
      <c r="Z156" s="357" t="inlineStr">
        <is>
          <t>01</t>
        </is>
      </c>
      <c r="AA156" s="131">
        <f>+AA76</f>
        <v/>
      </c>
      <c r="AB156" s="258" t="n">
        <v>5314</v>
      </c>
      <c r="AC156" s="258" t="n">
        <v>6897</v>
      </c>
      <c r="AD156" s="258" t="n">
        <v>8124</v>
      </c>
      <c r="AE156" s="258" t="n">
        <v>8187</v>
      </c>
      <c r="AF156" s="258" t="n">
        <v>6856</v>
      </c>
      <c r="AH156" s="357" t="inlineStr">
        <is>
          <t>01</t>
        </is>
      </c>
      <c r="AI156" s="131">
        <f>+AI76</f>
        <v/>
      </c>
      <c r="AJ156" s="258" t="n">
        <v>8173</v>
      </c>
      <c r="AK156" s="258" t="n">
        <v>9368</v>
      </c>
      <c r="AL156" s="258" t="n">
        <v>11421</v>
      </c>
      <c r="AM156" s="258" t="n">
        <v>11763</v>
      </c>
      <c r="AN156" s="258" t="n">
        <v>9914</v>
      </c>
      <c r="AP156" s="357" t="inlineStr">
        <is>
          <t>01</t>
        </is>
      </c>
      <c r="AQ156" s="131">
        <f>+AQ76</f>
        <v/>
      </c>
      <c r="AR156" s="258" t="n">
        <v>9679</v>
      </c>
      <c r="AS156" s="258" t="n">
        <v>11124</v>
      </c>
      <c r="AT156" s="258" t="n">
        <v>13184</v>
      </c>
      <c r="AU156" s="258" t="n">
        <v>15667</v>
      </c>
      <c r="AV156" s="258" t="n">
        <v>0</v>
      </c>
      <c r="AX156" s="357" t="inlineStr">
        <is>
          <t>01</t>
        </is>
      </c>
      <c r="AY156" s="131">
        <f>+AY76</f>
        <v/>
      </c>
      <c r="AZ156" s="258" t="n">
        <v>4342</v>
      </c>
      <c r="BA156" s="258" t="n">
        <v>5870</v>
      </c>
      <c r="BB156" s="258" t="n">
        <v>6719</v>
      </c>
      <c r="BC156" s="258" t="n"/>
      <c r="BD156" s="258" t="n"/>
      <c r="BE156" s="258" t="n"/>
      <c r="BF156" s="357" t="inlineStr">
        <is>
          <t>01</t>
        </is>
      </c>
      <c r="BG156" s="131">
        <f>+BG76</f>
        <v/>
      </c>
      <c r="BH156" s="258" t="n">
        <v>5031</v>
      </c>
      <c r="BI156" s="258" t="n">
        <v>5369</v>
      </c>
      <c r="BJ156" s="258" t="n"/>
      <c r="BK156" s="258" t="n"/>
      <c r="BL156" s="258" t="n"/>
      <c r="BM156" s="258" t="n"/>
      <c r="BN156" s="357" t="inlineStr">
        <is>
          <t>01</t>
        </is>
      </c>
      <c r="BO156" s="131">
        <f>+BO76</f>
        <v/>
      </c>
      <c r="BP156" s="258" t="n">
        <v>6466</v>
      </c>
      <c r="BQ156" s="258" t="n">
        <v>7493</v>
      </c>
      <c r="BR156" s="258" t="n">
        <v>8780</v>
      </c>
      <c r="BS156" s="258" t="n">
        <v>9353</v>
      </c>
      <c r="BT156" s="258" t="n">
        <v>7647</v>
      </c>
      <c r="BV156" s="357" t="inlineStr">
        <is>
          <t>01</t>
        </is>
      </c>
      <c r="BW156" s="131">
        <f>+BW76</f>
        <v/>
      </c>
      <c r="BX156" s="258" t="n">
        <v>4058</v>
      </c>
      <c r="BY156" s="258" t="n">
        <v>5089</v>
      </c>
      <c r="BZ156" s="258" t="n">
        <v>6465</v>
      </c>
      <c r="CA156" s="258" t="n">
        <v>8077</v>
      </c>
      <c r="CB156" s="258" t="n">
        <v>4997</v>
      </c>
      <c r="CC156" s="258" t="n"/>
      <c r="CD156" s="357" t="inlineStr">
        <is>
          <t>01</t>
        </is>
      </c>
      <c r="CE156" s="131">
        <f>+CE76</f>
        <v/>
      </c>
      <c r="CF156" s="258" t="n">
        <v>7536</v>
      </c>
      <c r="CG156" s="258" t="n">
        <v>6994</v>
      </c>
      <c r="CH156" s="258" t="n">
        <v>10048</v>
      </c>
      <c r="CI156" s="258" t="n">
        <v>9379</v>
      </c>
      <c r="CJ156" s="258" t="n">
        <v>8669</v>
      </c>
      <c r="CL156" s="357" t="inlineStr">
        <is>
          <t>01</t>
        </is>
      </c>
      <c r="CM156" s="131">
        <f>+CM76</f>
        <v/>
      </c>
      <c r="CN156" s="258" t="n">
        <v>6607</v>
      </c>
      <c r="CO156" s="258" t="n">
        <v>10372</v>
      </c>
      <c r="CP156" s="258" t="n">
        <v>12941</v>
      </c>
      <c r="CQ156" s="258" t="n">
        <v>12843</v>
      </c>
      <c r="CR156" s="258" t="n">
        <v>10540</v>
      </c>
      <c r="CT156" s="357" t="inlineStr">
        <is>
          <t>01</t>
        </is>
      </c>
      <c r="CU156" s="131">
        <f>+CU76</f>
        <v/>
      </c>
      <c r="CV156" s="258" t="n">
        <v>8205</v>
      </c>
      <c r="CW156" s="258" t="n">
        <v>0</v>
      </c>
      <c r="CX156" s="258" t="n"/>
      <c r="CY156" s="258" t="n"/>
      <c r="CZ156" s="258" t="n"/>
      <c r="DB156" s="357" t="inlineStr">
        <is>
          <t>01</t>
        </is>
      </c>
      <c r="DC156" s="131">
        <f>+DC76</f>
        <v/>
      </c>
      <c r="DD156" s="258" t="n">
        <v>11542</v>
      </c>
      <c r="DE156" s="258" t="n">
        <v>0</v>
      </c>
      <c r="DF156" s="258" t="n"/>
      <c r="DG156" s="258" t="n"/>
      <c r="DH156" s="258" t="n"/>
      <c r="DI156" s="258" t="n"/>
      <c r="DJ156" s="357" t="inlineStr">
        <is>
          <t>01</t>
        </is>
      </c>
      <c r="DK156" s="131">
        <f>+DK76</f>
        <v/>
      </c>
      <c r="DL156" s="258" t="n">
        <v>0</v>
      </c>
      <c r="DM156" s="258" t="n">
        <v>0</v>
      </c>
      <c r="DN156" s="258" t="n"/>
      <c r="DO156" s="258" t="n"/>
      <c r="DP156" s="258" t="n"/>
      <c r="DR156" s="357" t="inlineStr">
        <is>
          <t>01</t>
        </is>
      </c>
      <c r="DS156" s="131">
        <f>+DS76</f>
        <v/>
      </c>
      <c r="DT156" s="258" t="n">
        <v>8928</v>
      </c>
      <c r="DU156" s="258" t="n">
        <v>0</v>
      </c>
      <c r="DV156" s="258" t="n"/>
      <c r="DW156" s="258" t="n"/>
      <c r="DX156" s="258" t="n"/>
      <c r="DZ156" s="357" t="inlineStr">
        <is>
          <t>01</t>
        </is>
      </c>
      <c r="EA156" s="131">
        <f>EA76</f>
        <v/>
      </c>
      <c r="EB156" s="258" t="n"/>
      <c r="EC156" s="258" t="n">
        <v>0</v>
      </c>
      <c r="ED156" s="258" t="n"/>
      <c r="EE156" s="258" t="n"/>
      <c r="EF156" s="258" t="n"/>
    </row>
    <row r="157">
      <c r="B157" s="357" t="inlineStr">
        <is>
          <t>02</t>
        </is>
      </c>
      <c r="C157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57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57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57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57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57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57" s="258" t="n"/>
      <c r="J157" s="357" t="inlineStr">
        <is>
          <t>02</t>
        </is>
      </c>
      <c r="K157" s="131">
        <f>K156+K77</f>
        <v/>
      </c>
      <c r="L157" s="258" t="n">
        <v>18651</v>
      </c>
      <c r="M157" s="258" t="n">
        <v>23248</v>
      </c>
      <c r="N157" s="258" t="n">
        <v>27022</v>
      </c>
      <c r="O157" s="258" t="n">
        <v>24343</v>
      </c>
      <c r="P157" s="258" t="n">
        <v>26613</v>
      </c>
      <c r="R157" s="357" t="inlineStr">
        <is>
          <t>02</t>
        </is>
      </c>
      <c r="S157" s="131">
        <f>S156+S77</f>
        <v/>
      </c>
      <c r="T157" s="258" t="n">
        <v>9031</v>
      </c>
      <c r="U157" s="258" t="n">
        <v>11762</v>
      </c>
      <c r="V157" s="258" t="n">
        <v>14153</v>
      </c>
      <c r="W157" s="258" t="n">
        <v>15289</v>
      </c>
      <c r="X157" s="258" t="n">
        <v>12845</v>
      </c>
      <c r="Z157" s="357" t="inlineStr">
        <is>
          <t>02</t>
        </is>
      </c>
      <c r="AA157" s="131">
        <f>AA156+AA77</f>
        <v/>
      </c>
      <c r="AB157" s="258" t="n">
        <v>10591</v>
      </c>
      <c r="AC157" s="258" t="n">
        <v>13324</v>
      </c>
      <c r="AD157" s="258" t="n">
        <v>16171</v>
      </c>
      <c r="AE157" s="258" t="n">
        <v>15173</v>
      </c>
      <c r="AF157" s="258" t="n">
        <v>13334</v>
      </c>
      <c r="AH157" s="357" t="inlineStr">
        <is>
          <t>02</t>
        </is>
      </c>
      <c r="AI157" s="131">
        <f>AI156+AI77</f>
        <v/>
      </c>
      <c r="AJ157" s="258" t="n">
        <v>16003</v>
      </c>
      <c r="AK157" s="258" t="n">
        <v>17865</v>
      </c>
      <c r="AL157" s="258" t="n">
        <v>22716</v>
      </c>
      <c r="AM157" s="258" t="n">
        <v>21592</v>
      </c>
      <c r="AN157" s="258" t="n">
        <v>19074</v>
      </c>
      <c r="AP157" s="357" t="inlineStr">
        <is>
          <t>02</t>
        </is>
      </c>
      <c r="AQ157" s="131">
        <f>AQ156+AQ77</f>
        <v/>
      </c>
      <c r="AR157" s="258" t="n">
        <v>18861</v>
      </c>
      <c r="AS157" s="258" t="n">
        <v>21566</v>
      </c>
      <c r="AT157" s="258" t="n">
        <v>26317</v>
      </c>
      <c r="AU157" s="258" t="n">
        <v>29217</v>
      </c>
      <c r="AV157" s="258" t="n">
        <v>0</v>
      </c>
      <c r="AX157" s="357" t="inlineStr">
        <is>
          <t>02</t>
        </is>
      </c>
      <c r="AY157" s="131">
        <f>AY156+AY77</f>
        <v/>
      </c>
      <c r="AZ157" s="258" t="n">
        <v>8582</v>
      </c>
      <c r="BA157" s="258" t="n">
        <v>10828</v>
      </c>
      <c r="BB157" s="258" t="n">
        <v>12956</v>
      </c>
      <c r="BC157" s="258" t="n"/>
      <c r="BD157" s="258" t="n"/>
      <c r="BE157" s="258" t="n"/>
      <c r="BF157" s="357" t="inlineStr">
        <is>
          <t>02</t>
        </is>
      </c>
      <c r="BG157" s="131">
        <f>BG156+BG77</f>
        <v/>
      </c>
      <c r="BH157" s="258" t="n">
        <v>9962</v>
      </c>
      <c r="BI157" s="258" t="n">
        <v>10277</v>
      </c>
      <c r="BJ157" s="258" t="n"/>
      <c r="BK157" s="258" t="n"/>
      <c r="BL157" s="258" t="n"/>
      <c r="BM157" s="258" t="n"/>
      <c r="BN157" s="357" t="inlineStr">
        <is>
          <t>02</t>
        </is>
      </c>
      <c r="BO157" s="131">
        <f>BO156+BO77</f>
        <v/>
      </c>
      <c r="BP157" s="258" t="n">
        <v>12633</v>
      </c>
      <c r="BQ157" s="258" t="n">
        <v>14304</v>
      </c>
      <c r="BR157" s="258" t="n">
        <v>16860</v>
      </c>
      <c r="BS157" s="258" t="n">
        <v>16868</v>
      </c>
      <c r="BT157" s="258" t="n">
        <v>14980</v>
      </c>
      <c r="BV157" s="357" t="inlineStr">
        <is>
          <t>02</t>
        </is>
      </c>
      <c r="BW157" s="131">
        <f>BW77+BW156</f>
        <v/>
      </c>
      <c r="BX157" s="258" t="n">
        <v>7982</v>
      </c>
      <c r="BY157" s="258" t="n">
        <v>9927</v>
      </c>
      <c r="BZ157" s="258" t="n">
        <v>12625</v>
      </c>
      <c r="CA157" s="258" t="n">
        <v>15753</v>
      </c>
      <c r="CB157" s="258" t="n">
        <v>9917</v>
      </c>
      <c r="CC157" s="258" t="n"/>
      <c r="CD157" s="357" t="inlineStr">
        <is>
          <t>02</t>
        </is>
      </c>
      <c r="CE157" s="131">
        <f>CE156+CE77</f>
        <v/>
      </c>
      <c r="CF157" s="258" t="n">
        <v>14481</v>
      </c>
      <c r="CG157" s="258" t="n">
        <v>14224</v>
      </c>
      <c r="CH157" s="258" t="n">
        <v>19630</v>
      </c>
      <c r="CI157" s="258" t="n">
        <v>19811</v>
      </c>
      <c r="CJ157" s="258" t="n">
        <v>17143</v>
      </c>
      <c r="CL157" s="357" t="inlineStr">
        <is>
          <t>02</t>
        </is>
      </c>
      <c r="CM157" s="131">
        <f>CM156+CM77</f>
        <v/>
      </c>
      <c r="CN157" s="258" t="n">
        <v>13272</v>
      </c>
      <c r="CO157" s="258" t="n">
        <v>20079</v>
      </c>
      <c r="CP157" s="258" t="n">
        <v>25156</v>
      </c>
      <c r="CQ157" s="258" t="n">
        <v>23934</v>
      </c>
      <c r="CR157" s="258" t="n">
        <v>20434</v>
      </c>
      <c r="CT157" s="357" t="inlineStr">
        <is>
          <t>02</t>
        </is>
      </c>
      <c r="CU157" s="131">
        <f>CU156+CU77</f>
        <v/>
      </c>
      <c r="CV157" s="258" t="n">
        <v>15884</v>
      </c>
      <c r="CW157" s="258" t="n">
        <v>0</v>
      </c>
      <c r="CX157" s="258" t="n"/>
      <c r="CY157" s="258" t="n"/>
      <c r="CZ157" s="258" t="n"/>
      <c r="DB157" s="357" t="inlineStr">
        <is>
          <t>02</t>
        </is>
      </c>
      <c r="DC157" s="131">
        <f>DC156+DC77</f>
        <v/>
      </c>
      <c r="DD157" s="258" t="n">
        <v>22095</v>
      </c>
      <c r="DE157" s="258" t="n">
        <v>0</v>
      </c>
      <c r="DF157" s="258" t="n"/>
      <c r="DG157" s="258" t="n"/>
      <c r="DH157" s="258" t="n"/>
      <c r="DI157" s="258" t="n"/>
      <c r="DJ157" s="357" t="inlineStr">
        <is>
          <t>02</t>
        </is>
      </c>
      <c r="DK157" s="131">
        <f>DK156+DK77</f>
        <v/>
      </c>
      <c r="DL157" s="258" t="n">
        <v>0</v>
      </c>
      <c r="DM157" s="258" t="n">
        <v>0</v>
      </c>
      <c r="DN157" s="258" t="n"/>
      <c r="DO157" s="258" t="n"/>
      <c r="DP157" s="258" t="n"/>
      <c r="DR157" s="357" t="inlineStr">
        <is>
          <t>02</t>
        </is>
      </c>
      <c r="DS157" s="131">
        <f>DS156+DS77</f>
        <v/>
      </c>
      <c r="DT157" s="258" t="n">
        <v>17354</v>
      </c>
      <c r="DU157" s="258" t="n">
        <v>0</v>
      </c>
      <c r="DV157" s="258" t="n"/>
      <c r="DW157" s="258" t="n"/>
      <c r="DX157" s="258" t="n"/>
      <c r="DZ157" s="357" t="inlineStr">
        <is>
          <t>02</t>
        </is>
      </c>
      <c r="EA157" s="131">
        <f>EA156+EA77</f>
        <v/>
      </c>
      <c r="EB157" s="258" t="n"/>
      <c r="EC157" s="258" t="n">
        <v>0</v>
      </c>
      <c r="ED157" s="258" t="n"/>
      <c r="EE157" s="258" t="n"/>
      <c r="EF157" s="258" t="n"/>
    </row>
    <row r="158">
      <c r="B158" s="357" t="inlineStr">
        <is>
          <t>03</t>
        </is>
      </c>
      <c r="C158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58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58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58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58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58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58" s="258" t="n"/>
      <c r="J158" s="357" t="inlineStr">
        <is>
          <t>03</t>
        </is>
      </c>
      <c r="K158" s="131">
        <f>K157+K78</f>
        <v/>
      </c>
      <c r="L158" s="258" t="n">
        <v>28490</v>
      </c>
      <c r="M158" s="258" t="n">
        <v>34910</v>
      </c>
      <c r="N158" s="258" t="n">
        <v>40818</v>
      </c>
      <c r="O158" s="258" t="n">
        <v>37128</v>
      </c>
      <c r="P158" s="258" t="n">
        <v>33138</v>
      </c>
      <c r="R158" s="357" t="inlineStr">
        <is>
          <t>03</t>
        </is>
      </c>
      <c r="S158" s="131">
        <f>S157+S78</f>
        <v/>
      </c>
      <c r="T158" s="258" t="n">
        <v>13732</v>
      </c>
      <c r="U158" s="258" t="n">
        <v>17535</v>
      </c>
      <c r="V158" s="258" t="n">
        <v>21270</v>
      </c>
      <c r="W158" s="258" t="n">
        <v>22441</v>
      </c>
      <c r="X158" s="258" t="n">
        <v>16238</v>
      </c>
      <c r="Z158" s="357" t="inlineStr">
        <is>
          <t>03</t>
        </is>
      </c>
      <c r="AA158" s="131">
        <f>AA157+AA78</f>
        <v/>
      </c>
      <c r="AB158" s="258" t="n">
        <v>16422</v>
      </c>
      <c r="AC158" s="258" t="n">
        <v>20289</v>
      </c>
      <c r="AD158" s="258" t="n">
        <v>24749</v>
      </c>
      <c r="AE158" s="258" t="n">
        <v>22885</v>
      </c>
      <c r="AF158" s="258" t="n">
        <v>16895</v>
      </c>
      <c r="AH158" s="357" t="inlineStr">
        <is>
          <t>03</t>
        </is>
      </c>
      <c r="AI158" s="131">
        <f>AI157+AI78</f>
        <v/>
      </c>
      <c r="AJ158" s="258" t="n">
        <v>24227</v>
      </c>
      <c r="AK158" s="258" t="n">
        <v>27119</v>
      </c>
      <c r="AL158" s="258" t="n">
        <v>33697</v>
      </c>
      <c r="AM158" s="258" t="n">
        <v>32245</v>
      </c>
      <c r="AN158" s="258" t="n">
        <v>21601</v>
      </c>
      <c r="AP158" s="357" t="inlineStr">
        <is>
          <t>03</t>
        </is>
      </c>
      <c r="AQ158" s="131">
        <f>AQ157+AQ78</f>
        <v/>
      </c>
      <c r="AR158" s="258" t="n">
        <v>28559</v>
      </c>
      <c r="AS158" s="258" t="n">
        <v>32458</v>
      </c>
      <c r="AT158" s="258" t="n">
        <v>39129</v>
      </c>
      <c r="AU158" s="258" t="n">
        <v>43024</v>
      </c>
      <c r="AV158" s="258" t="n">
        <v>0</v>
      </c>
      <c r="AX158" s="357" t="inlineStr">
        <is>
          <t>03</t>
        </is>
      </c>
      <c r="AY158" s="131">
        <f>AY157+AY78</f>
        <v/>
      </c>
      <c r="AZ158" s="258" t="n">
        <v>13178</v>
      </c>
      <c r="BA158" s="258" t="n">
        <v>16301</v>
      </c>
      <c r="BB158" s="258" t="n">
        <v>19433</v>
      </c>
      <c r="BC158" s="258" t="n"/>
      <c r="BD158" s="258" t="n"/>
      <c r="BE158" s="258" t="n"/>
      <c r="BF158" s="357" t="inlineStr">
        <is>
          <t>03</t>
        </is>
      </c>
      <c r="BG158" s="131">
        <f>BG157+BG78</f>
        <v/>
      </c>
      <c r="BH158" s="258" t="n">
        <v>15002</v>
      </c>
      <c r="BI158" s="258" t="n">
        <v>15335</v>
      </c>
      <c r="BJ158" s="258" t="n"/>
      <c r="BK158" s="258" t="n"/>
      <c r="BL158" s="258" t="n"/>
      <c r="BM158" s="258" t="n"/>
      <c r="BN158" s="357" t="inlineStr">
        <is>
          <t>03</t>
        </is>
      </c>
      <c r="BO158" s="131">
        <f>BO157+BO78</f>
        <v/>
      </c>
      <c r="BP158" s="258" t="n">
        <v>19305</v>
      </c>
      <c r="BQ158" s="258" t="n">
        <v>21642</v>
      </c>
      <c r="BR158" s="258" t="n">
        <v>25217</v>
      </c>
      <c r="BS158" s="258" t="n">
        <v>24844</v>
      </c>
      <c r="BT158" s="258" t="n">
        <v>18785</v>
      </c>
      <c r="BV158" s="357" t="inlineStr">
        <is>
          <t>03</t>
        </is>
      </c>
      <c r="BW158" s="131">
        <f>BW78+BW157</f>
        <v/>
      </c>
      <c r="BX158" s="258" t="n">
        <v>12463</v>
      </c>
      <c r="BY158" s="258" t="n">
        <v>15020</v>
      </c>
      <c r="BZ158" s="258" t="n">
        <v>18757</v>
      </c>
      <c r="CA158" s="258" t="n">
        <v>23082</v>
      </c>
      <c r="CB158" s="258" t="n">
        <v>12241</v>
      </c>
      <c r="CC158" s="258" t="n"/>
      <c r="CD158" s="357" t="inlineStr">
        <is>
          <t>03</t>
        </is>
      </c>
      <c r="CE158" s="131">
        <f>CE157+CE78</f>
        <v/>
      </c>
      <c r="CF158" s="258" t="n">
        <v>21938</v>
      </c>
      <c r="CG158" s="258" t="n">
        <v>21931</v>
      </c>
      <c r="CH158" s="258" t="n">
        <v>29503</v>
      </c>
      <c r="CI158" s="258" t="n">
        <v>30629</v>
      </c>
      <c r="CJ158" s="258" t="n">
        <v>21432</v>
      </c>
      <c r="CL158" s="357" t="inlineStr">
        <is>
          <t>03</t>
        </is>
      </c>
      <c r="CM158" s="131">
        <f>CM157+CM78</f>
        <v/>
      </c>
      <c r="CN158" s="258" t="n">
        <v>20793</v>
      </c>
      <c r="CO158" s="258" t="n">
        <v>30354</v>
      </c>
      <c r="CP158" s="258" t="n">
        <v>37407</v>
      </c>
      <c r="CQ158" s="258" t="n">
        <v>36580</v>
      </c>
      <c r="CR158" s="258" t="n">
        <v>25777</v>
      </c>
      <c r="CT158" s="357" t="inlineStr">
        <is>
          <t>03</t>
        </is>
      </c>
      <c r="CU158" s="131">
        <f>CU157+CU78</f>
        <v/>
      </c>
      <c r="CV158" s="258" t="n">
        <v>24199</v>
      </c>
      <c r="CW158" s="258" t="n">
        <v>0</v>
      </c>
      <c r="CX158" s="258" t="n"/>
      <c r="CY158" s="258" t="n"/>
      <c r="CZ158" s="258" t="n"/>
      <c r="DB158" s="357" t="inlineStr">
        <is>
          <t>03</t>
        </is>
      </c>
      <c r="DC158" s="131">
        <f>DC157+DC78</f>
        <v/>
      </c>
      <c r="DD158" s="258" t="n">
        <v>34069</v>
      </c>
      <c r="DE158" s="258" t="n">
        <v>0</v>
      </c>
      <c r="DF158" s="258" t="n"/>
      <c r="DG158" s="258" t="n"/>
      <c r="DH158" s="258" t="n"/>
      <c r="DI158" s="258" t="n"/>
      <c r="DJ158" s="357" t="inlineStr">
        <is>
          <t>03</t>
        </is>
      </c>
      <c r="DK158" s="131">
        <f>DK157+DK78</f>
        <v/>
      </c>
      <c r="DL158" s="258" t="n">
        <v>0</v>
      </c>
      <c r="DM158" s="258" t="n">
        <v>0</v>
      </c>
      <c r="DN158" s="258" t="n"/>
      <c r="DO158" s="258" t="n"/>
      <c r="DP158" s="258" t="n"/>
      <c r="DR158" s="357" t="inlineStr">
        <is>
          <t>03</t>
        </is>
      </c>
      <c r="DS158" s="131">
        <f>DS157+DS78</f>
        <v/>
      </c>
      <c r="DT158" s="258" t="n">
        <v>26143</v>
      </c>
      <c r="DU158" s="258" t="n">
        <v>0</v>
      </c>
      <c r="DV158" s="258" t="n"/>
      <c r="DW158" s="258" t="n"/>
      <c r="DX158" s="258" t="n"/>
      <c r="DZ158" s="357" t="inlineStr">
        <is>
          <t>03</t>
        </is>
      </c>
      <c r="EA158" s="131">
        <f>EA157+EA78</f>
        <v/>
      </c>
      <c r="EB158" s="258" t="n"/>
      <c r="EC158" s="258" t="n">
        <v>0</v>
      </c>
      <c r="ED158" s="258" t="n"/>
      <c r="EE158" s="258" t="n"/>
      <c r="EF158" s="258" t="n"/>
    </row>
    <row r="159">
      <c r="B159" s="357" t="inlineStr">
        <is>
          <t>04</t>
        </is>
      </c>
      <c r="C159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59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59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59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59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59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59" s="258" t="n"/>
      <c r="J159" s="357" t="inlineStr">
        <is>
          <t>04</t>
        </is>
      </c>
      <c r="K159" s="131">
        <f>K158+K79</f>
        <v/>
      </c>
      <c r="L159" s="258" t="n">
        <v>38026</v>
      </c>
      <c r="M159" s="258" t="n">
        <v>46446</v>
      </c>
      <c r="N159" s="258" t="n">
        <v>53971</v>
      </c>
      <c r="O159" s="258" t="n">
        <v>50006</v>
      </c>
      <c r="P159" s="258" t="n">
        <v>33138.00001</v>
      </c>
      <c r="R159" s="357" t="inlineStr">
        <is>
          <t>04</t>
        </is>
      </c>
      <c r="S159" s="131">
        <f>S158+S79</f>
        <v/>
      </c>
      <c r="T159" s="258" t="n">
        <v>18549</v>
      </c>
      <c r="U159" s="258" t="n">
        <v>23072</v>
      </c>
      <c r="V159" s="258" t="n">
        <v>27845</v>
      </c>
      <c r="W159" s="258" t="n">
        <v>29744</v>
      </c>
      <c r="X159" s="258" t="n">
        <v>16238</v>
      </c>
      <c r="Z159" s="357" t="inlineStr">
        <is>
          <t>04</t>
        </is>
      </c>
      <c r="AA159" s="131">
        <f>AA158+AA79</f>
        <v/>
      </c>
      <c r="AB159" s="258" t="n">
        <v>22179</v>
      </c>
      <c r="AC159" s="258" t="n">
        <v>26876</v>
      </c>
      <c r="AD159" s="258" t="n">
        <v>32327</v>
      </c>
      <c r="AE159" s="258" t="n">
        <v>30814</v>
      </c>
      <c r="AF159" s="258" t="n">
        <v>16895</v>
      </c>
      <c r="AH159" s="357" t="inlineStr">
        <is>
          <t>04</t>
        </is>
      </c>
      <c r="AI159" s="131">
        <f>AI158+AI79</f>
        <v/>
      </c>
      <c r="AJ159" s="258" t="n">
        <v>32902</v>
      </c>
      <c r="AK159" s="258" t="n">
        <v>36567</v>
      </c>
      <c r="AL159" s="258" t="n">
        <v>44490</v>
      </c>
      <c r="AM159" s="258" t="n">
        <v>43474</v>
      </c>
      <c r="AN159" s="258" t="n">
        <v>21601</v>
      </c>
      <c r="AP159" s="357" t="inlineStr">
        <is>
          <t>04</t>
        </is>
      </c>
      <c r="AQ159" s="131">
        <f>AQ158+AQ79</f>
        <v/>
      </c>
      <c r="AR159" s="258" t="n">
        <v>38550</v>
      </c>
      <c r="AS159" s="258" t="n">
        <v>43667</v>
      </c>
      <c r="AT159" s="258" t="n">
        <v>51470</v>
      </c>
      <c r="AU159" s="258" t="n">
        <v>55857</v>
      </c>
      <c r="AV159" s="258" t="n">
        <v>0</v>
      </c>
      <c r="AX159" s="357" t="inlineStr">
        <is>
          <t>04</t>
        </is>
      </c>
      <c r="AY159" s="131">
        <f>AY158+AY79</f>
        <v/>
      </c>
      <c r="AZ159" s="258" t="n">
        <v>17729</v>
      </c>
      <c r="BA159" s="258" t="n">
        <v>21632</v>
      </c>
      <c r="BB159" s="258" t="n">
        <v>25607</v>
      </c>
      <c r="BC159" s="258" t="n"/>
      <c r="BD159" s="258" t="n"/>
      <c r="BE159" s="258" t="n"/>
      <c r="BF159" s="357" t="inlineStr">
        <is>
          <t>04</t>
        </is>
      </c>
      <c r="BG159" s="131">
        <f>BG158+BG79</f>
        <v/>
      </c>
      <c r="BH159" s="258" t="n">
        <v>20400</v>
      </c>
      <c r="BI159" s="258" t="n">
        <v>21052</v>
      </c>
      <c r="BJ159" s="258" t="n"/>
      <c r="BK159" s="258" t="n"/>
      <c r="BL159" s="258" t="n"/>
      <c r="BM159" s="258" t="n"/>
      <c r="BN159" s="357" t="inlineStr">
        <is>
          <t>04</t>
        </is>
      </c>
      <c r="BO159" s="131">
        <f>BO158+BO79</f>
        <v/>
      </c>
      <c r="BP159" s="258" t="n">
        <v>25819</v>
      </c>
      <c r="BQ159" s="258" t="n">
        <v>28893</v>
      </c>
      <c r="BR159" s="258" t="n">
        <v>33347</v>
      </c>
      <c r="BS159" s="258" t="n">
        <v>33720</v>
      </c>
      <c r="BT159" s="258" t="n">
        <v>18785</v>
      </c>
      <c r="BV159" s="357" t="inlineStr">
        <is>
          <t>04</t>
        </is>
      </c>
      <c r="BW159" s="131">
        <f>BW79+BW158</f>
        <v/>
      </c>
      <c r="BX159" s="258" t="n">
        <v>17067</v>
      </c>
      <c r="BY159" s="258" t="n">
        <v>20062</v>
      </c>
      <c r="BZ159" s="258" t="n">
        <v>25155</v>
      </c>
      <c r="CA159" s="258" t="n">
        <v>30136</v>
      </c>
      <c r="CB159" s="258" t="n">
        <v>12241</v>
      </c>
      <c r="CC159" s="258" t="n"/>
      <c r="CD159" s="357" t="inlineStr">
        <is>
          <t>04</t>
        </is>
      </c>
      <c r="CE159" s="131">
        <f>CE158+CE79</f>
        <v/>
      </c>
      <c r="CF159" s="258" t="n">
        <v>29947</v>
      </c>
      <c r="CG159" s="258" t="n">
        <v>30029</v>
      </c>
      <c r="CH159" s="258" t="n">
        <v>39185</v>
      </c>
      <c r="CI159" s="258" t="n">
        <v>41260</v>
      </c>
      <c r="CJ159" s="258" t="n">
        <v>21432</v>
      </c>
      <c r="CL159" s="357" t="inlineStr">
        <is>
          <t>04</t>
        </is>
      </c>
      <c r="CM159" s="131">
        <f>CM158+CM79</f>
        <v/>
      </c>
      <c r="CN159" s="258" t="n">
        <v>28201</v>
      </c>
      <c r="CO159" s="258" t="n">
        <v>40704</v>
      </c>
      <c r="CP159" s="258" t="n">
        <v>49543</v>
      </c>
      <c r="CQ159" s="258" t="n">
        <v>49007</v>
      </c>
      <c r="CR159" s="258" t="n">
        <v>25777</v>
      </c>
      <c r="CT159" s="357" t="inlineStr">
        <is>
          <t>04</t>
        </is>
      </c>
      <c r="CU159" s="131">
        <f>CU158+CU79</f>
        <v/>
      </c>
      <c r="CV159" s="258" t="n">
        <v>32601</v>
      </c>
      <c r="CW159" s="258" t="n">
        <v>0</v>
      </c>
      <c r="CX159" s="258" t="n"/>
      <c r="CY159" s="258" t="n"/>
      <c r="CZ159" s="258" t="n"/>
      <c r="DB159" s="357" t="inlineStr">
        <is>
          <t>04</t>
        </is>
      </c>
      <c r="DC159" s="131">
        <f>DC158+DC79</f>
        <v/>
      </c>
      <c r="DD159" s="258" t="n">
        <v>46015</v>
      </c>
      <c r="DE159" s="258" t="n">
        <v>0</v>
      </c>
      <c r="DF159" s="258" t="n"/>
      <c r="DG159" s="258" t="n"/>
      <c r="DH159" s="258" t="n"/>
      <c r="DI159" s="258" t="n"/>
      <c r="DJ159" s="357" t="inlineStr">
        <is>
          <t>04</t>
        </is>
      </c>
      <c r="DK159" s="131">
        <f>DK158+DK79</f>
        <v/>
      </c>
      <c r="DL159" s="258" t="n">
        <v>0</v>
      </c>
      <c r="DM159" s="258" t="n">
        <v>0</v>
      </c>
      <c r="DN159" s="258" t="n"/>
      <c r="DO159" s="258" t="n"/>
      <c r="DP159" s="258" t="n"/>
      <c r="DR159" s="357" t="inlineStr">
        <is>
          <t>04</t>
        </is>
      </c>
      <c r="DS159" s="131">
        <f>DS158+DS79</f>
        <v/>
      </c>
      <c r="DT159" s="258" t="n">
        <v>35077</v>
      </c>
      <c r="DU159" s="258" t="n">
        <v>0</v>
      </c>
      <c r="DV159" s="258" t="n"/>
      <c r="DW159" s="258" t="n"/>
      <c r="DX159" s="258" t="n"/>
      <c r="DZ159" s="357" t="inlineStr">
        <is>
          <t>04</t>
        </is>
      </c>
      <c r="EA159" s="131">
        <f>EA158+EA79</f>
        <v/>
      </c>
      <c r="EB159" s="258" t="n"/>
      <c r="EC159" s="258" t="n">
        <v>0</v>
      </c>
      <c r="ED159" s="258" t="n"/>
      <c r="EE159" s="258" t="n"/>
      <c r="EF159" s="258" t="n"/>
    </row>
    <row r="160">
      <c r="B160" s="357" t="inlineStr">
        <is>
          <t>05</t>
        </is>
      </c>
      <c r="C160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60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60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60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60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60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60" s="258" t="n"/>
      <c r="J160" s="357" t="inlineStr">
        <is>
          <t>05</t>
        </is>
      </c>
      <c r="K160" s="131">
        <f>K159+K80</f>
        <v/>
      </c>
      <c r="L160" s="258" t="n">
        <v>47824</v>
      </c>
      <c r="M160" s="258" t="n">
        <v>58009</v>
      </c>
      <c r="N160" s="258" t="n">
        <v>67365</v>
      </c>
      <c r="O160" s="258" t="n">
        <v>64576</v>
      </c>
      <c r="P160" s="258" t="n">
        <v>44226.00001</v>
      </c>
      <c r="R160" s="357" t="inlineStr">
        <is>
          <t>05</t>
        </is>
      </c>
      <c r="S160" s="131">
        <f>S159+S80</f>
        <v/>
      </c>
      <c r="T160" s="258" t="n">
        <v>23419</v>
      </c>
      <c r="U160" s="258" t="n">
        <v>28677</v>
      </c>
      <c r="V160" s="258" t="n">
        <v>34293</v>
      </c>
      <c r="W160" s="258" t="n">
        <v>38193</v>
      </c>
      <c r="X160" s="258" t="n">
        <v>19830</v>
      </c>
      <c r="Z160" s="357" t="inlineStr">
        <is>
          <t>05</t>
        </is>
      </c>
      <c r="AA160" s="131">
        <f>AA159+AA80</f>
        <v/>
      </c>
      <c r="AB160" s="258" t="n">
        <v>27404</v>
      </c>
      <c r="AC160" s="258" t="n">
        <v>33541</v>
      </c>
      <c r="AD160" s="258" t="n">
        <v>40540</v>
      </c>
      <c r="AE160" s="258" t="n">
        <v>40117</v>
      </c>
      <c r="AF160" s="258" t="n">
        <v>22354</v>
      </c>
      <c r="AH160" s="357" t="inlineStr">
        <is>
          <t>05</t>
        </is>
      </c>
      <c r="AI160" s="131">
        <f>AI159+AI80</f>
        <v/>
      </c>
      <c r="AJ160" s="258" t="n">
        <v>41328</v>
      </c>
      <c r="AK160" s="258" t="n">
        <v>45960</v>
      </c>
      <c r="AL160" s="258" t="n">
        <v>55437</v>
      </c>
      <c r="AM160" s="258" t="n">
        <v>56477</v>
      </c>
      <c r="AN160" s="258" t="n">
        <v>32480</v>
      </c>
      <c r="AP160" s="357" t="inlineStr">
        <is>
          <t>05</t>
        </is>
      </c>
      <c r="AQ160" s="131">
        <f>AQ159+AQ80</f>
        <v/>
      </c>
      <c r="AR160" s="258" t="n">
        <v>48620</v>
      </c>
      <c r="AS160" s="258" t="n">
        <v>55206</v>
      </c>
      <c r="AT160" s="258" t="n">
        <v>64015</v>
      </c>
      <c r="AU160" s="258" t="n">
        <v>72422</v>
      </c>
      <c r="AV160" s="258" t="n">
        <v>0</v>
      </c>
      <c r="AX160" s="357" t="inlineStr">
        <is>
          <t>05</t>
        </is>
      </c>
      <c r="AY160" s="131">
        <f>AY159+AY80</f>
        <v/>
      </c>
      <c r="AZ160" s="258" t="n">
        <v>22492</v>
      </c>
      <c r="BA160" s="258" t="n">
        <v>27013</v>
      </c>
      <c r="BB160" s="258" t="n">
        <v>32071</v>
      </c>
      <c r="BC160" s="258" t="n"/>
      <c r="BD160" s="258" t="n"/>
      <c r="BE160" s="258" t="n"/>
      <c r="BF160" s="357" t="inlineStr">
        <is>
          <t>05</t>
        </is>
      </c>
      <c r="BG160" s="131">
        <f>BG159+BG80</f>
        <v/>
      </c>
      <c r="BH160" s="258" t="n">
        <v>25680</v>
      </c>
      <c r="BI160" s="258" t="n">
        <v>26891</v>
      </c>
      <c r="BJ160" s="258" t="n"/>
      <c r="BK160" s="258" t="n"/>
      <c r="BL160" s="258" t="n"/>
      <c r="BM160" s="258" t="n"/>
      <c r="BN160" s="357" t="inlineStr">
        <is>
          <t>05</t>
        </is>
      </c>
      <c r="BO160" s="131">
        <f>BO159+BO80</f>
        <v/>
      </c>
      <c r="BP160" s="258" t="n">
        <v>32628</v>
      </c>
      <c r="BQ160" s="258" t="n">
        <v>36117</v>
      </c>
      <c r="BR160" s="258" t="n">
        <v>41902</v>
      </c>
      <c r="BS160" s="258" t="n">
        <v>44236</v>
      </c>
      <c r="BT160" s="258" t="n">
        <v>25854</v>
      </c>
      <c r="BV160" s="357" t="inlineStr">
        <is>
          <t>05</t>
        </is>
      </c>
      <c r="BW160" s="131">
        <f>BW80+BW159</f>
        <v/>
      </c>
      <c r="BX160" s="258" t="n">
        <v>22087</v>
      </c>
      <c r="BY160" s="258" t="n">
        <v>25607</v>
      </c>
      <c r="BZ160" s="258" t="n">
        <v>31840</v>
      </c>
      <c r="CA160" s="258" t="n">
        <v>38939</v>
      </c>
      <c r="CB160" s="258" t="n">
        <v>16205</v>
      </c>
      <c r="CC160" s="258" t="n"/>
      <c r="CD160" s="357" t="inlineStr">
        <is>
          <t>05</t>
        </is>
      </c>
      <c r="CE160" s="131">
        <f>CE159+CE80</f>
        <v/>
      </c>
      <c r="CF160" s="258" t="n">
        <v>38343</v>
      </c>
      <c r="CG160" s="258" t="n">
        <v>39145</v>
      </c>
      <c r="CH160" s="258" t="n">
        <v>49699</v>
      </c>
      <c r="CI160" s="258" t="n">
        <v>54023</v>
      </c>
      <c r="CJ160" s="258" t="n">
        <v>33551</v>
      </c>
      <c r="CL160" s="357" t="inlineStr">
        <is>
          <t>05</t>
        </is>
      </c>
      <c r="CM160" s="131">
        <f>CM159+CM80</f>
        <v/>
      </c>
      <c r="CN160" s="258" t="n">
        <v>35968</v>
      </c>
      <c r="CO160" s="258" t="n">
        <v>51241</v>
      </c>
      <c r="CP160" s="258" t="n">
        <v>61884</v>
      </c>
      <c r="CQ160" s="258" t="n">
        <v>63900</v>
      </c>
      <c r="CR160" s="258" t="n">
        <v>36730</v>
      </c>
      <c r="CT160" s="357" t="inlineStr">
        <is>
          <t>05</t>
        </is>
      </c>
      <c r="CU160" s="131">
        <f>CU159+CU80</f>
        <v/>
      </c>
      <c r="CV160" s="258" t="n">
        <v>41358</v>
      </c>
      <c r="CW160" s="258" t="n">
        <v>0</v>
      </c>
      <c r="CX160" s="258" t="n"/>
      <c r="CY160" s="258" t="n"/>
      <c r="CZ160" s="258" t="n"/>
      <c r="DB160" s="357" t="inlineStr">
        <is>
          <t>05</t>
        </is>
      </c>
      <c r="DC160" s="131">
        <f>DC159+DC80</f>
        <v/>
      </c>
      <c r="DD160" s="258" t="n">
        <v>58420</v>
      </c>
      <c r="DE160" s="258" t="n">
        <v>0</v>
      </c>
      <c r="DF160" s="258" t="n"/>
      <c r="DG160" s="258" t="n"/>
      <c r="DH160" s="258" t="n"/>
      <c r="DI160" s="258" t="n"/>
      <c r="DJ160" s="357" t="inlineStr">
        <is>
          <t>05</t>
        </is>
      </c>
      <c r="DK160" s="131">
        <f>DK159+DK80</f>
        <v/>
      </c>
      <c r="DL160" s="258" t="n">
        <v>0</v>
      </c>
      <c r="DM160" s="258" t="n">
        <v>0</v>
      </c>
      <c r="DN160" s="258" t="n"/>
      <c r="DO160" s="258" t="n"/>
      <c r="DP160" s="258" t="n"/>
      <c r="DR160" s="357" t="inlineStr">
        <is>
          <t>05</t>
        </is>
      </c>
      <c r="DS160" s="131">
        <f>DS159+DS80</f>
        <v/>
      </c>
      <c r="DT160" s="258" t="n">
        <v>44171</v>
      </c>
      <c r="DU160" s="258" t="n">
        <v>0</v>
      </c>
      <c r="DV160" s="258" t="n"/>
      <c r="DW160" s="258" t="n"/>
      <c r="DX160" s="258" t="n"/>
      <c r="DZ160" s="357" t="inlineStr">
        <is>
          <t>05</t>
        </is>
      </c>
      <c r="EA160" s="131">
        <f>EA159+EA80</f>
        <v/>
      </c>
      <c r="EB160" s="258" t="n"/>
      <c r="EC160" s="258" t="n">
        <v>0</v>
      </c>
      <c r="ED160" s="258" t="n"/>
      <c r="EE160" s="258" t="n"/>
      <c r="EF160" s="258" t="n"/>
    </row>
    <row r="161">
      <c r="B161" s="357" t="inlineStr">
        <is>
          <t>06</t>
        </is>
      </c>
      <c r="C161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61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61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61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61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61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61" s="258" t="n"/>
      <c r="J161" s="357" t="inlineStr">
        <is>
          <t>06</t>
        </is>
      </c>
      <c r="K161" s="131">
        <f>K160+K81</f>
        <v/>
      </c>
      <c r="L161" s="258" t="n">
        <v>57377</v>
      </c>
      <c r="M161" s="258" t="n">
        <v>69213</v>
      </c>
      <c r="N161" s="258" t="n">
        <v>80335</v>
      </c>
      <c r="O161" s="258" t="n">
        <v>80006</v>
      </c>
      <c r="P161" s="258" t="n">
        <v>59308.00001</v>
      </c>
      <c r="R161" s="357" t="inlineStr">
        <is>
          <t>06</t>
        </is>
      </c>
      <c r="S161" s="131">
        <f>S160+S81</f>
        <v/>
      </c>
      <c r="T161" s="258" t="n">
        <v>28249</v>
      </c>
      <c r="U161" s="258" t="n">
        <v>34108</v>
      </c>
      <c r="V161" s="258" t="n">
        <v>40437</v>
      </c>
      <c r="W161" s="258" t="n">
        <v>46776</v>
      </c>
      <c r="X161" s="258" t="n">
        <v>27382</v>
      </c>
      <c r="Z161" s="357" t="inlineStr">
        <is>
          <t>06</t>
        </is>
      </c>
      <c r="AA161" s="131">
        <f>AA160+AA81</f>
        <v/>
      </c>
      <c r="AB161" s="258" t="n">
        <v>32912</v>
      </c>
      <c r="AC161" s="258" t="n">
        <v>39974</v>
      </c>
      <c r="AD161" s="258" t="n">
        <v>48290</v>
      </c>
      <c r="AE161" s="258" t="n">
        <v>49216</v>
      </c>
      <c r="AF161" s="258" t="n">
        <v>30442</v>
      </c>
      <c r="AH161" s="357" t="inlineStr">
        <is>
          <t>06</t>
        </is>
      </c>
      <c r="AI161" s="131">
        <f>AI160+AI81</f>
        <v/>
      </c>
      <c r="AJ161" s="258" t="n">
        <v>49763</v>
      </c>
      <c r="AK161" s="258" t="n">
        <v>55361</v>
      </c>
      <c r="AL161" s="258" t="n">
        <v>65676</v>
      </c>
      <c r="AM161" s="258" t="n">
        <v>69612</v>
      </c>
      <c r="AN161" s="258" t="n">
        <v>45677</v>
      </c>
      <c r="AP161" s="357" t="inlineStr">
        <is>
          <t>06</t>
        </is>
      </c>
      <c r="AQ161" s="131">
        <f>AQ160+AQ81</f>
        <v/>
      </c>
      <c r="AR161" s="258" t="n">
        <v>58844</v>
      </c>
      <c r="AS161" s="258" t="n">
        <v>66241</v>
      </c>
      <c r="AT161" s="258" t="n">
        <v>76475</v>
      </c>
      <c r="AU161" s="258" t="n">
        <v>79665</v>
      </c>
      <c r="AV161" s="258" t="n">
        <v>0</v>
      </c>
      <c r="AX161" s="357" t="inlineStr">
        <is>
          <t>06</t>
        </is>
      </c>
      <c r="AY161" s="131">
        <f>AY160+AY81</f>
        <v/>
      </c>
      <c r="AZ161" s="258" t="n">
        <v>27233</v>
      </c>
      <c r="BA161" s="258" t="n">
        <v>32136</v>
      </c>
      <c r="BB161" s="258" t="n">
        <v>38329</v>
      </c>
      <c r="BC161" s="258" t="n"/>
      <c r="BD161" s="258" t="n"/>
      <c r="BE161" s="258" t="n"/>
      <c r="BF161" s="357" t="inlineStr">
        <is>
          <t>06</t>
        </is>
      </c>
      <c r="BG161" s="131">
        <f>BG160+BG81</f>
        <v/>
      </c>
      <c r="BH161" s="258" t="n">
        <v>30484</v>
      </c>
      <c r="BI161" s="258" t="n">
        <v>32562</v>
      </c>
      <c r="BJ161" s="258" t="n"/>
      <c r="BK161" s="258" t="n"/>
      <c r="BL161" s="258" t="n"/>
      <c r="BM161" s="258" t="n"/>
      <c r="BN161" s="357" t="inlineStr">
        <is>
          <t>06</t>
        </is>
      </c>
      <c r="BO161" s="131">
        <f>BO160+BO81</f>
        <v/>
      </c>
      <c r="BP161" s="258" t="n">
        <v>39437</v>
      </c>
      <c r="BQ161" s="258" t="n">
        <v>43146</v>
      </c>
      <c r="BR161" s="258" t="n">
        <v>50141</v>
      </c>
      <c r="BS161" s="258" t="n">
        <v>54213</v>
      </c>
      <c r="BT161" s="258" t="n">
        <v>35941</v>
      </c>
      <c r="BV161" s="357" t="inlineStr">
        <is>
          <t>06</t>
        </is>
      </c>
      <c r="BW161" s="131">
        <f>BW81+BW160</f>
        <v/>
      </c>
      <c r="BX161" s="258" t="n">
        <v>26898</v>
      </c>
      <c r="BY161" s="258" t="n">
        <v>30848</v>
      </c>
      <c r="BZ161" s="258" t="n">
        <v>38239</v>
      </c>
      <c r="CA161" s="258" t="n">
        <v>46772</v>
      </c>
      <c r="CB161" s="258" t="n">
        <v>23729</v>
      </c>
      <c r="CC161" s="258" t="n"/>
      <c r="CD161" s="357" t="inlineStr">
        <is>
          <t>06</t>
        </is>
      </c>
      <c r="CE161" s="131">
        <f>CE160+CE81</f>
        <v/>
      </c>
      <c r="CF161" s="258" t="n">
        <v>46343</v>
      </c>
      <c r="CG161" s="258" t="n">
        <v>47662</v>
      </c>
      <c r="CH161" s="258" t="n">
        <v>59838</v>
      </c>
      <c r="CI161" s="258" t="n">
        <v>66511</v>
      </c>
      <c r="CJ161" s="258" t="n">
        <v>47135</v>
      </c>
      <c r="CL161" s="357" t="inlineStr">
        <is>
          <t>06</t>
        </is>
      </c>
      <c r="CM161" s="131">
        <f>CM160+CM81</f>
        <v/>
      </c>
      <c r="CN161" s="258" t="n">
        <v>43692</v>
      </c>
      <c r="CO161" s="258" t="n">
        <v>61064</v>
      </c>
      <c r="CP161" s="258" t="n">
        <v>73387</v>
      </c>
      <c r="CQ161" s="258" t="n">
        <v>78096</v>
      </c>
      <c r="CR161" s="258" t="n">
        <v>50780</v>
      </c>
      <c r="CT161" s="357" t="inlineStr">
        <is>
          <t>06</t>
        </is>
      </c>
      <c r="CU161" s="131">
        <f>CU160+CU81</f>
        <v/>
      </c>
      <c r="CV161" s="258" t="n">
        <v>50118</v>
      </c>
      <c r="CW161" s="258" t="n">
        <v>0</v>
      </c>
      <c r="CX161" s="258" t="n"/>
      <c r="CY161" s="258" t="n"/>
      <c r="CZ161" s="258" t="n"/>
      <c r="DB161" s="357" t="inlineStr">
        <is>
          <t>06</t>
        </is>
      </c>
      <c r="DC161" s="131">
        <f>DC160+DC81</f>
        <v/>
      </c>
      <c r="DD161" s="258" t="n">
        <v>70411</v>
      </c>
      <c r="DE161" s="258" t="n">
        <v>0</v>
      </c>
      <c r="DF161" s="258" t="n"/>
      <c r="DG161" s="258" t="n"/>
      <c r="DH161" s="258" t="n"/>
      <c r="DI161" s="258" t="n"/>
      <c r="DJ161" s="357" t="inlineStr">
        <is>
          <t>06</t>
        </is>
      </c>
      <c r="DK161" s="131">
        <f>DK160+DK81</f>
        <v/>
      </c>
      <c r="DL161" s="258" t="n">
        <v>0</v>
      </c>
      <c r="DM161" s="258" t="n">
        <v>0</v>
      </c>
      <c r="DN161" s="258" t="n"/>
      <c r="DO161" s="258" t="n"/>
      <c r="DP161" s="258" t="n"/>
      <c r="DR161" s="357" t="inlineStr">
        <is>
          <t>06</t>
        </is>
      </c>
      <c r="DS161" s="131">
        <f>DS160+DS81</f>
        <v/>
      </c>
      <c r="DT161" s="258" t="n">
        <v>53237</v>
      </c>
      <c r="DU161" s="258" t="n">
        <v>0</v>
      </c>
      <c r="DV161" s="258" t="n"/>
      <c r="DW161" s="258" t="n"/>
      <c r="DX161" s="258" t="n"/>
      <c r="DZ161" s="357" t="inlineStr">
        <is>
          <t>06</t>
        </is>
      </c>
      <c r="EA161" s="131">
        <f>EA160+EA81</f>
        <v/>
      </c>
      <c r="EB161" s="258" t="n"/>
      <c r="EC161" s="258" t="n">
        <v>0</v>
      </c>
      <c r="ED161" s="258" t="n"/>
      <c r="EE161" s="258" t="n"/>
      <c r="EF161" s="258" t="n"/>
    </row>
    <row r="162">
      <c r="B162" s="357" t="inlineStr">
        <is>
          <t>07</t>
        </is>
      </c>
      <c r="C162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62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62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62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62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62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62" s="258" t="n"/>
      <c r="J162" s="357" t="inlineStr">
        <is>
          <t>07</t>
        </is>
      </c>
      <c r="K162" s="131">
        <f>K161+K82</f>
        <v/>
      </c>
      <c r="L162" s="258" t="n">
        <v>67082</v>
      </c>
      <c r="M162" s="258" t="n">
        <v>80454</v>
      </c>
      <c r="N162" s="258" t="n">
        <v>92756</v>
      </c>
      <c r="O162" s="258" t="n">
        <v>95214</v>
      </c>
      <c r="P162" s="258" t="n">
        <v>74138.00001</v>
      </c>
      <c r="R162" s="357" t="inlineStr">
        <is>
          <t>07</t>
        </is>
      </c>
      <c r="S162" s="131">
        <f>S161+S82</f>
        <v/>
      </c>
      <c r="T162" s="258" t="n">
        <v>32701</v>
      </c>
      <c r="U162" s="258" t="n">
        <v>39234</v>
      </c>
      <c r="V162" s="258" t="n">
        <v>46052</v>
      </c>
      <c r="W162" s="258" t="n">
        <v>54831</v>
      </c>
      <c r="X162" s="258" t="n">
        <v>34916</v>
      </c>
      <c r="Z162" s="357" t="inlineStr">
        <is>
          <t>07</t>
        </is>
      </c>
      <c r="AA162" s="131">
        <f>AA161+AA82</f>
        <v/>
      </c>
      <c r="AB162" s="258" t="n">
        <v>37727</v>
      </c>
      <c r="AC162" s="258" t="n">
        <v>45972</v>
      </c>
      <c r="AD162" s="258" t="n">
        <v>55335</v>
      </c>
      <c r="AE162" s="258" t="n">
        <v>57777</v>
      </c>
      <c r="AF162" s="258" t="n">
        <v>38048</v>
      </c>
      <c r="AH162" s="357" t="inlineStr">
        <is>
          <t>07</t>
        </is>
      </c>
      <c r="AI162" s="131">
        <f>AI161+AI82</f>
        <v/>
      </c>
      <c r="AJ162" s="258" t="n">
        <v>57865</v>
      </c>
      <c r="AK162" s="258" t="n">
        <v>64903</v>
      </c>
      <c r="AL162" s="258" t="n">
        <v>75859</v>
      </c>
      <c r="AM162" s="258" t="n">
        <v>81992</v>
      </c>
      <c r="AN162" s="258" t="n">
        <v>58761</v>
      </c>
      <c r="AP162" s="357" t="inlineStr">
        <is>
          <t>07</t>
        </is>
      </c>
      <c r="AQ162" s="131">
        <f>AQ161+AQ82</f>
        <v/>
      </c>
      <c r="AR162" s="258" t="n">
        <v>69011</v>
      </c>
      <c r="AS162" s="258" t="n">
        <v>77524</v>
      </c>
      <c r="AT162" s="258" t="n">
        <v>88950</v>
      </c>
      <c r="AU162" s="258" t="n">
        <v>95209</v>
      </c>
      <c r="AV162" s="258" t="n">
        <v>0</v>
      </c>
      <c r="AX162" s="357" t="inlineStr">
        <is>
          <t>07</t>
        </is>
      </c>
      <c r="AY162" s="131">
        <f>AY161+AY82</f>
        <v/>
      </c>
      <c r="AZ162" s="258" t="n">
        <v>31729</v>
      </c>
      <c r="BA162" s="258" t="n">
        <v>37366</v>
      </c>
      <c r="BB162" s="258" t="n">
        <v>44490</v>
      </c>
      <c r="BC162" s="258" t="n">
        <v>1658</v>
      </c>
      <c r="BD162" s="258" t="n"/>
      <c r="BE162" s="258" t="n"/>
      <c r="BF162" s="357" t="inlineStr">
        <is>
          <t>07</t>
        </is>
      </c>
      <c r="BG162" s="131">
        <f>BG161+BG82</f>
        <v/>
      </c>
      <c r="BH162" s="258" t="n">
        <v>35570</v>
      </c>
      <c r="BI162" s="258" t="n">
        <v>39094</v>
      </c>
      <c r="BJ162" s="258" t="n"/>
      <c r="BK162" s="258" t="n"/>
      <c r="BL162" s="258" t="n"/>
      <c r="BM162" s="258" t="n"/>
      <c r="BN162" s="357" t="inlineStr">
        <is>
          <t>07</t>
        </is>
      </c>
      <c r="BO162" s="131">
        <f>BO161+BO82</f>
        <v/>
      </c>
      <c r="BP162" s="258" t="n">
        <v>45676</v>
      </c>
      <c r="BQ162" s="258" t="n">
        <v>50345</v>
      </c>
      <c r="BR162" s="258" t="n">
        <v>58321</v>
      </c>
      <c r="BS162" s="258" t="n">
        <v>64149</v>
      </c>
      <c r="BT162" s="258" t="n">
        <v>45875</v>
      </c>
      <c r="BV162" s="357" t="inlineStr">
        <is>
          <t>07</t>
        </is>
      </c>
      <c r="BW162" s="131">
        <f>BW161+BW82</f>
        <v/>
      </c>
      <c r="BX162" s="258" t="n">
        <v>32588</v>
      </c>
      <c r="BY162" s="258" t="n">
        <v>37444</v>
      </c>
      <c r="BZ162" s="258" t="n">
        <v>46077</v>
      </c>
      <c r="CA162" s="258" t="n">
        <v>55839</v>
      </c>
      <c r="CB162" s="258" t="n">
        <v>32301</v>
      </c>
      <c r="CC162" s="258" t="n"/>
      <c r="CD162" s="357" t="inlineStr">
        <is>
          <t>07</t>
        </is>
      </c>
      <c r="CE162" s="131">
        <f>CE161+CE82</f>
        <v/>
      </c>
      <c r="CF162" s="258" t="n">
        <v>55082</v>
      </c>
      <c r="CG162" s="258" t="n">
        <v>58107</v>
      </c>
      <c r="CH162" s="258" t="n">
        <v>71236</v>
      </c>
      <c r="CI162" s="258" t="n">
        <v>81878</v>
      </c>
      <c r="CJ162" s="258" t="n">
        <v>62522</v>
      </c>
      <c r="CL162" s="357" t="inlineStr">
        <is>
          <t>07</t>
        </is>
      </c>
      <c r="CM162" s="131">
        <f>CM161+CM82</f>
        <v/>
      </c>
      <c r="CN162" s="258" t="n">
        <v>51390</v>
      </c>
      <c r="CO162" s="258" t="n">
        <v>71657</v>
      </c>
      <c r="CP162" s="258" t="n">
        <v>85451</v>
      </c>
      <c r="CQ162" s="258" t="n">
        <v>92154</v>
      </c>
      <c r="CR162" s="258" t="n">
        <v>65114</v>
      </c>
      <c r="CT162" s="357" t="inlineStr">
        <is>
          <t>07</t>
        </is>
      </c>
      <c r="CU162" s="131">
        <f>CU161+CU82</f>
        <v/>
      </c>
      <c r="CV162" s="258" t="n">
        <v>58273</v>
      </c>
      <c r="CW162" s="258" t="n">
        <v>0</v>
      </c>
      <c r="CX162" s="258" t="n"/>
      <c r="CY162" s="258" t="n"/>
      <c r="CZ162" s="258" t="n"/>
      <c r="DB162" s="357" t="inlineStr">
        <is>
          <t>07</t>
        </is>
      </c>
      <c r="DC162" s="131">
        <f>DC161+DC82</f>
        <v/>
      </c>
      <c r="DD162" s="258" t="n">
        <v>81554</v>
      </c>
      <c r="DE162" s="258" t="n">
        <v>0</v>
      </c>
      <c r="DF162" s="258" t="n"/>
      <c r="DG162" s="258" t="n"/>
      <c r="DH162" s="258" t="n"/>
      <c r="DI162" s="258" t="n"/>
      <c r="DJ162" s="357" t="inlineStr">
        <is>
          <t>07</t>
        </is>
      </c>
      <c r="DK162" s="131">
        <f>DK161+DK82</f>
        <v/>
      </c>
      <c r="DL162" s="258" t="n">
        <v>0</v>
      </c>
      <c r="DM162" s="258" t="n">
        <v>0</v>
      </c>
      <c r="DN162" s="258" t="n"/>
      <c r="DO162" s="258" t="n"/>
      <c r="DP162" s="258" t="n"/>
      <c r="DR162" s="357" t="inlineStr">
        <is>
          <t>07</t>
        </is>
      </c>
      <c r="DS162" s="131">
        <f>DS161+DS82</f>
        <v/>
      </c>
      <c r="DT162" s="258" t="n">
        <v>61665</v>
      </c>
      <c r="DU162" s="258" t="n">
        <v>0</v>
      </c>
      <c r="DV162" s="258" t="n"/>
      <c r="DW162" s="258" t="n"/>
      <c r="DX162" s="258" t="n"/>
      <c r="DZ162" s="357" t="inlineStr">
        <is>
          <t>07</t>
        </is>
      </c>
      <c r="EA162" s="131">
        <f>EA161+EA82</f>
        <v/>
      </c>
      <c r="EB162" s="258" t="n"/>
      <c r="EC162" s="258" t="n">
        <v>0</v>
      </c>
      <c r="ED162" s="258" t="n"/>
      <c r="EE162" s="258" t="n"/>
      <c r="EF162" s="258" t="n"/>
    </row>
    <row r="163">
      <c r="B163" s="357" t="inlineStr">
        <is>
          <t>08</t>
        </is>
      </c>
      <c r="C163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63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63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63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63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63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63" s="258" t="n"/>
      <c r="J163" s="357" t="inlineStr">
        <is>
          <t>08</t>
        </is>
      </c>
      <c r="K163" s="131">
        <f>K162+K83</f>
        <v/>
      </c>
      <c r="L163" s="258" t="n">
        <v>76487</v>
      </c>
      <c r="M163" s="258" t="n">
        <v>91082</v>
      </c>
      <c r="N163" s="258" t="n">
        <v>104044</v>
      </c>
      <c r="O163" s="258" t="n">
        <v>110080</v>
      </c>
      <c r="P163" s="258" t="n">
        <v>88477.00001</v>
      </c>
      <c r="R163" s="357" t="inlineStr">
        <is>
          <t>08</t>
        </is>
      </c>
      <c r="S163" s="131">
        <f>S162+S83</f>
        <v/>
      </c>
      <c r="T163" s="258" t="n">
        <v>36847</v>
      </c>
      <c r="U163" s="258" t="n">
        <v>44117</v>
      </c>
      <c r="V163" s="258" t="n">
        <v>51379</v>
      </c>
      <c r="W163" s="258" t="n">
        <v>63306</v>
      </c>
      <c r="X163" s="258" t="n">
        <v>42194</v>
      </c>
      <c r="Z163" s="357" t="inlineStr">
        <is>
          <t>08</t>
        </is>
      </c>
      <c r="AA163" s="131">
        <f>AA162+AA83</f>
        <v/>
      </c>
      <c r="AB163" s="258" t="n">
        <v>42291</v>
      </c>
      <c r="AC163" s="258" t="n">
        <v>51547</v>
      </c>
      <c r="AD163" s="258" t="n">
        <v>61863</v>
      </c>
      <c r="AE163" s="258" t="n">
        <v>66988</v>
      </c>
      <c r="AF163" s="258" t="n">
        <v>45310</v>
      </c>
      <c r="AH163" s="357" t="inlineStr">
        <is>
          <t>08</t>
        </is>
      </c>
      <c r="AI163" s="131">
        <f>AI162+AI83</f>
        <v/>
      </c>
      <c r="AJ163" s="258" t="n">
        <v>65526</v>
      </c>
      <c r="AK163" s="258" t="n">
        <v>73914</v>
      </c>
      <c r="AL163" s="258" t="n">
        <v>85670</v>
      </c>
      <c r="AM163" s="258" t="n">
        <v>95316</v>
      </c>
      <c r="AN163" s="258" t="n">
        <v>71289</v>
      </c>
      <c r="AP163" s="357" t="inlineStr">
        <is>
          <t>08</t>
        </is>
      </c>
      <c r="AQ163" s="131">
        <f>AQ162+AQ83</f>
        <v/>
      </c>
      <c r="AR163" s="258" t="n">
        <v>78953</v>
      </c>
      <c r="AS163" s="258" t="n">
        <v>88325</v>
      </c>
      <c r="AT163" s="258" t="n">
        <v>101103</v>
      </c>
      <c r="AU163" s="258" t="n">
        <v>111287</v>
      </c>
      <c r="AV163" s="258" t="n">
        <v>0</v>
      </c>
      <c r="AX163" s="357" t="inlineStr">
        <is>
          <t>08</t>
        </is>
      </c>
      <c r="AY163" s="131">
        <f>AY162+AY83</f>
        <v/>
      </c>
      <c r="AZ163" s="258" t="n">
        <v>36106</v>
      </c>
      <c r="BA163" s="258" t="n">
        <v>42287</v>
      </c>
      <c r="BB163" s="258" t="n">
        <v>50325</v>
      </c>
      <c r="BC163" s="258" t="n">
        <v>10037</v>
      </c>
      <c r="BD163" s="258" t="n"/>
      <c r="BE163" s="258" t="n"/>
      <c r="BF163" s="357" t="inlineStr">
        <is>
          <t>08</t>
        </is>
      </c>
      <c r="BG163" s="131">
        <f>BG162+BG83</f>
        <v/>
      </c>
      <c r="BH163" s="258" t="n">
        <v>40788</v>
      </c>
      <c r="BI163" s="258" t="n">
        <v>45130</v>
      </c>
      <c r="BJ163" s="258" t="n"/>
      <c r="BK163" s="258" t="n"/>
      <c r="BL163" s="258" t="n"/>
      <c r="BM163" s="258" t="n"/>
      <c r="BN163" s="357" t="inlineStr">
        <is>
          <t>08</t>
        </is>
      </c>
      <c r="BO163" s="131">
        <f>BO162+BO83</f>
        <v/>
      </c>
      <c r="BP163" s="258" t="n">
        <v>51731</v>
      </c>
      <c r="BQ163" s="258" t="n">
        <v>57188</v>
      </c>
      <c r="BR163" s="258" t="n">
        <v>65784</v>
      </c>
      <c r="BS163" s="258" t="n">
        <v>74417</v>
      </c>
      <c r="BT163" s="258" t="n">
        <v>55502</v>
      </c>
      <c r="BV163" s="357" t="inlineStr">
        <is>
          <t>08</t>
        </is>
      </c>
      <c r="BW163" s="131">
        <f>BW162+BW83</f>
        <v/>
      </c>
      <c r="BX163" s="258" t="n">
        <v>38455</v>
      </c>
      <c r="BY163" s="258" t="n">
        <v>43919</v>
      </c>
      <c r="BZ163" s="258" t="n">
        <v>54162</v>
      </c>
      <c r="CA163" s="258" t="n">
        <v>66158</v>
      </c>
      <c r="CB163" s="258" t="n">
        <v>41148</v>
      </c>
      <c r="CC163" s="258" t="n"/>
      <c r="CD163" s="357" t="inlineStr">
        <is>
          <t>08</t>
        </is>
      </c>
      <c r="CE163" s="131">
        <f>CE162+CE83</f>
        <v/>
      </c>
      <c r="CF163" s="258" t="n">
        <v>65257</v>
      </c>
      <c r="CG163" s="258" t="n">
        <v>69355</v>
      </c>
      <c r="CH163" s="258" t="n">
        <v>81397</v>
      </c>
      <c r="CI163" s="258" t="n">
        <v>99288</v>
      </c>
      <c r="CJ163" s="258" t="n">
        <v>78194</v>
      </c>
      <c r="CL163" s="357" t="inlineStr">
        <is>
          <t>08</t>
        </is>
      </c>
      <c r="CM163" s="131">
        <f>CM162+CM83</f>
        <v/>
      </c>
      <c r="CN163" s="258" t="n">
        <v>59150</v>
      </c>
      <c r="CO163" s="258" t="n">
        <v>82206</v>
      </c>
      <c r="CP163" s="258" t="n">
        <v>97314</v>
      </c>
      <c r="CQ163" s="258" t="n">
        <v>108281</v>
      </c>
      <c r="CR163" s="258" t="n">
        <v>79011</v>
      </c>
      <c r="CT163" s="357" t="inlineStr">
        <is>
          <t>08</t>
        </is>
      </c>
      <c r="CU163" s="131">
        <f>CU162+CU83</f>
        <v/>
      </c>
      <c r="CV163" s="258" t="n">
        <v>67408</v>
      </c>
      <c r="CW163" s="258" t="n">
        <v>0</v>
      </c>
      <c r="CX163" s="258" t="n"/>
      <c r="CY163" s="258" t="n"/>
      <c r="CZ163" s="258" t="n"/>
      <c r="DB163" s="357" t="inlineStr">
        <is>
          <t>08</t>
        </is>
      </c>
      <c r="DC163" s="131">
        <f>DC162+DC83</f>
        <v/>
      </c>
      <c r="DD163" s="258" t="n">
        <v>93115</v>
      </c>
      <c r="DE163" s="258" t="n">
        <v>0</v>
      </c>
      <c r="DF163" s="258" t="n"/>
      <c r="DG163" s="258" t="n"/>
      <c r="DH163" s="258" t="n"/>
      <c r="DI163" s="258" t="n"/>
      <c r="DJ163" s="357" t="inlineStr">
        <is>
          <t>08</t>
        </is>
      </c>
      <c r="DK163" s="131">
        <f>DK162+DK83</f>
        <v/>
      </c>
      <c r="DL163" s="258" t="n">
        <v>0</v>
      </c>
      <c r="DM163" s="258" t="n">
        <v>0</v>
      </c>
      <c r="DN163" s="258" t="n"/>
      <c r="DO163" s="258" t="n"/>
      <c r="DP163" s="258" t="n"/>
      <c r="DR163" s="357" t="inlineStr">
        <is>
          <t>08</t>
        </is>
      </c>
      <c r="DS163" s="131">
        <f>DS162+DS83</f>
        <v/>
      </c>
      <c r="DT163" s="258" t="n">
        <v>70070</v>
      </c>
      <c r="DU163" s="258" t="n">
        <v>0</v>
      </c>
      <c r="DV163" s="258" t="n"/>
      <c r="DW163" s="258" t="n"/>
      <c r="DX163" s="258" t="n"/>
      <c r="DZ163" s="357" t="inlineStr">
        <is>
          <t>08</t>
        </is>
      </c>
      <c r="EA163" s="131">
        <f>EA162+EA83</f>
        <v/>
      </c>
      <c r="EB163" s="258" t="n">
        <v>5052</v>
      </c>
      <c r="EC163" s="258" t="n">
        <v>0</v>
      </c>
      <c r="ED163" s="258" t="n"/>
      <c r="EE163" s="258" t="n"/>
      <c r="EF163" s="258" t="n"/>
    </row>
    <row r="164">
      <c r="B164" s="357" t="inlineStr">
        <is>
          <t>09</t>
        </is>
      </c>
      <c r="C164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64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64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64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64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64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64" s="258" t="n"/>
      <c r="J164" s="357" t="inlineStr">
        <is>
          <t>09</t>
        </is>
      </c>
      <c r="K164" s="131">
        <f>K163+K84</f>
        <v/>
      </c>
      <c r="L164" s="258" t="n">
        <v>85524</v>
      </c>
      <c r="M164" s="258" t="n">
        <v>101376</v>
      </c>
      <c r="N164" s="258" t="n">
        <v>115408</v>
      </c>
      <c r="O164" s="258" t="n">
        <v>124075</v>
      </c>
      <c r="P164" s="258" t="n">
        <v>102263.00001</v>
      </c>
      <c r="R164" s="357" t="inlineStr">
        <is>
          <t>09</t>
        </is>
      </c>
      <c r="S164" s="131">
        <f>S163+S84</f>
        <v/>
      </c>
      <c r="T164" s="258" t="n">
        <v>41264</v>
      </c>
      <c r="U164" s="258" t="n">
        <v>48867</v>
      </c>
      <c r="V164" s="258" t="n">
        <v>57060</v>
      </c>
      <c r="W164" s="258" t="n">
        <v>71164</v>
      </c>
      <c r="X164" s="258" t="n">
        <v>49336</v>
      </c>
      <c r="Z164" s="357" t="inlineStr">
        <is>
          <t>09</t>
        </is>
      </c>
      <c r="AA164" s="131">
        <f>AA163+AA84</f>
        <v/>
      </c>
      <c r="AB164" s="258" t="n">
        <v>47189</v>
      </c>
      <c r="AC164" s="258" t="n">
        <v>57791</v>
      </c>
      <c r="AD164" s="258" t="n">
        <v>68668</v>
      </c>
      <c r="AE164" s="258" t="n">
        <v>76099</v>
      </c>
      <c r="AF164" s="258" t="n">
        <v>53072</v>
      </c>
      <c r="AH164" s="357" t="inlineStr">
        <is>
          <t>09</t>
        </is>
      </c>
      <c r="AI164" s="131">
        <f>AI163+AI84</f>
        <v/>
      </c>
      <c r="AJ164" s="258" t="n">
        <v>73109</v>
      </c>
      <c r="AK164" s="258" t="n">
        <v>82889</v>
      </c>
      <c r="AL164" s="258" t="n">
        <v>95350</v>
      </c>
      <c r="AM164" s="258" t="n">
        <v>107422</v>
      </c>
      <c r="AN164" s="258" t="n">
        <v>83081</v>
      </c>
      <c r="AP164" s="357" t="inlineStr">
        <is>
          <t>09</t>
        </is>
      </c>
      <c r="AQ164" s="131">
        <f>AQ163+AQ84</f>
        <v/>
      </c>
      <c r="AR164" s="258" t="n">
        <v>88168</v>
      </c>
      <c r="AS164" s="258" t="n">
        <v>98583</v>
      </c>
      <c r="AT164" s="258" t="n">
        <v>112591</v>
      </c>
      <c r="AU164" s="258" t="n">
        <v>125025</v>
      </c>
      <c r="AV164" s="258" t="n">
        <v>0</v>
      </c>
      <c r="AX164" s="357" t="inlineStr">
        <is>
          <t>09</t>
        </is>
      </c>
      <c r="AY164" s="131">
        <f>AY163+AY84</f>
        <v/>
      </c>
      <c r="AZ164" s="258" t="n">
        <v>40236</v>
      </c>
      <c r="BA164" s="258" t="n">
        <v>46112</v>
      </c>
      <c r="BB164" s="258" t="n">
        <v>56132</v>
      </c>
      <c r="BC164" s="258" t="n">
        <v>16717</v>
      </c>
      <c r="BD164" s="258" t="n"/>
      <c r="BE164" s="258" t="n"/>
      <c r="BF164" s="357" t="inlineStr">
        <is>
          <t>09</t>
        </is>
      </c>
      <c r="BG164" s="131">
        <f>BG163+BG84</f>
        <v/>
      </c>
      <c r="BH164" s="258" t="n">
        <v>44908</v>
      </c>
      <c r="BI164" s="258" t="n">
        <v>49814</v>
      </c>
      <c r="BJ164" s="258" t="n"/>
      <c r="BK164" s="258" t="n"/>
      <c r="BL164" s="258" t="n"/>
      <c r="BM164" s="258" t="n"/>
      <c r="BN164" s="357" t="inlineStr">
        <is>
          <t>09</t>
        </is>
      </c>
      <c r="BO164" s="131">
        <f>BO163+BO84</f>
        <v/>
      </c>
      <c r="BP164" s="258" t="n">
        <v>57822</v>
      </c>
      <c r="BQ164" s="258" t="n">
        <v>64045</v>
      </c>
      <c r="BR164" s="258" t="n">
        <v>73285</v>
      </c>
      <c r="BS164" s="258" t="n">
        <v>83669</v>
      </c>
      <c r="BT164" s="258" t="n">
        <v>64045</v>
      </c>
      <c r="BV164" s="357" t="inlineStr">
        <is>
          <t>09</t>
        </is>
      </c>
      <c r="BW164" s="131">
        <f>BW163+BW84</f>
        <v/>
      </c>
      <c r="BX164" s="258" t="n">
        <v>42295</v>
      </c>
      <c r="BY164" s="258" t="n">
        <v>47046</v>
      </c>
      <c r="BZ164" s="258" t="n">
        <v>60024</v>
      </c>
      <c r="CA164" s="258" t="n">
        <v>73446</v>
      </c>
      <c r="CB164" s="258" t="n">
        <v>47566</v>
      </c>
      <c r="CC164" s="258" t="n"/>
      <c r="CD164" s="357" t="inlineStr">
        <is>
          <t>09</t>
        </is>
      </c>
      <c r="CE164" s="131">
        <f>CE163+CE84</f>
        <v/>
      </c>
      <c r="CF164" s="258" t="n">
        <v>71893</v>
      </c>
      <c r="CG164" s="258" t="n">
        <v>77031</v>
      </c>
      <c r="CH164" s="258" t="n">
        <v>87248</v>
      </c>
      <c r="CI164" s="258" t="n">
        <v>110865</v>
      </c>
      <c r="CJ164" s="258" t="n">
        <v>89376</v>
      </c>
      <c r="CL164" s="357" t="inlineStr">
        <is>
          <t>09</t>
        </is>
      </c>
      <c r="CM164" s="131">
        <f>CM163+CM84</f>
        <v/>
      </c>
      <c r="CN164" s="258" t="n">
        <v>66478</v>
      </c>
      <c r="CO164" s="258" t="n">
        <v>91525</v>
      </c>
      <c r="CP164" s="258" t="n">
        <v>106592</v>
      </c>
      <c r="CQ164" s="258" t="n">
        <v>122031</v>
      </c>
      <c r="CR164" s="258" t="n">
        <v>91144</v>
      </c>
      <c r="CT164" s="357" t="inlineStr">
        <is>
          <t>09</t>
        </is>
      </c>
      <c r="CU164" s="131">
        <f>CU163+CU84</f>
        <v/>
      </c>
      <c r="CV164" s="258" t="n">
        <v>76163</v>
      </c>
      <c r="CW164" s="258" t="n">
        <v>0</v>
      </c>
      <c r="CX164" s="258" t="n"/>
      <c r="CY164" s="258" t="n"/>
      <c r="CZ164" s="258" t="n"/>
      <c r="DB164" s="357" t="inlineStr">
        <is>
          <t>09</t>
        </is>
      </c>
      <c r="DC164" s="131">
        <f>DC163+DC84</f>
        <v/>
      </c>
      <c r="DD164" s="258" t="n">
        <v>103837</v>
      </c>
      <c r="DE164" s="258" t="n">
        <v>0</v>
      </c>
      <c r="DF164" s="258" t="n"/>
      <c r="DG164" s="258" t="n"/>
      <c r="DH164" s="258" t="n"/>
      <c r="DI164" s="258" t="n"/>
      <c r="DJ164" s="357" t="inlineStr">
        <is>
          <t>09</t>
        </is>
      </c>
      <c r="DK164" s="131">
        <f>DK163+DK84</f>
        <v/>
      </c>
      <c r="DL164" s="258" t="n">
        <v>0</v>
      </c>
      <c r="DM164" s="258" t="n">
        <v>0</v>
      </c>
      <c r="DN164" s="258" t="n"/>
      <c r="DO164" s="258" t="n"/>
      <c r="DP164" s="258" t="n"/>
      <c r="DR164" s="357" t="inlineStr">
        <is>
          <t>09</t>
        </is>
      </c>
      <c r="DS164" s="131">
        <f>DS163+DS84</f>
        <v/>
      </c>
      <c r="DT164" s="258" t="n">
        <v>78784</v>
      </c>
      <c r="DU164" s="258" t="n">
        <v>0</v>
      </c>
      <c r="DV164" s="258" t="n"/>
      <c r="DW164" s="258" t="n"/>
      <c r="DX164" s="258" t="n"/>
      <c r="DZ164" s="357" t="inlineStr">
        <is>
          <t>09</t>
        </is>
      </c>
      <c r="EA164" s="131">
        <f>EA163+EA84</f>
        <v/>
      </c>
      <c r="EB164" s="258" t="n">
        <v>8879</v>
      </c>
      <c r="EC164" s="258" t="n">
        <v>0</v>
      </c>
      <c r="ED164" s="258" t="n"/>
      <c r="EE164" s="258" t="n"/>
      <c r="EF164" s="258" t="n"/>
    </row>
    <row r="165">
      <c r="B165" s="357" t="inlineStr">
        <is>
          <t>10</t>
        </is>
      </c>
      <c r="C165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65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65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65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65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65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65" s="258" t="n"/>
      <c r="J165" s="357" t="inlineStr">
        <is>
          <t>10</t>
        </is>
      </c>
      <c r="K165" s="131">
        <f>K164+K85</f>
        <v/>
      </c>
      <c r="L165" s="258" t="n">
        <v>95270</v>
      </c>
      <c r="M165" s="258" t="n">
        <v>111876</v>
      </c>
      <c r="N165" s="258" t="n">
        <v>127768</v>
      </c>
      <c r="O165" s="258" t="n">
        <v>139119</v>
      </c>
      <c r="P165" s="258" t="n">
        <v>116432.00001</v>
      </c>
      <c r="R165" s="357" t="inlineStr">
        <is>
          <t>10</t>
        </is>
      </c>
      <c r="S165" s="131">
        <f>S164+S85</f>
        <v/>
      </c>
      <c r="T165" s="258" t="n">
        <v>45913</v>
      </c>
      <c r="U165" s="258" t="n">
        <v>53758</v>
      </c>
      <c r="V165" s="258" t="n">
        <v>63232</v>
      </c>
      <c r="W165" s="258" t="n">
        <v>79167</v>
      </c>
      <c r="X165" s="258" t="n">
        <v>57055</v>
      </c>
      <c r="Z165" s="357" t="inlineStr">
        <is>
          <t>10</t>
        </is>
      </c>
      <c r="AA165" s="131">
        <f>AA164+AA85</f>
        <v/>
      </c>
      <c r="AB165" s="258" t="n">
        <v>52378</v>
      </c>
      <c r="AC165" s="258" t="n">
        <v>63751</v>
      </c>
      <c r="AD165" s="258" t="n">
        <v>76295</v>
      </c>
      <c r="AE165" s="258" t="n">
        <v>85394</v>
      </c>
      <c r="AF165" s="258" t="n">
        <v>60924</v>
      </c>
      <c r="AH165" s="357" t="inlineStr">
        <is>
          <t>10</t>
        </is>
      </c>
      <c r="AI165" s="131">
        <f>AI164+AI85</f>
        <v/>
      </c>
      <c r="AJ165" s="258" t="n">
        <v>81050</v>
      </c>
      <c r="AK165" s="258" t="n">
        <v>92144</v>
      </c>
      <c r="AL165" s="258" t="n">
        <v>105796</v>
      </c>
      <c r="AM165" s="258" t="n">
        <v>119758</v>
      </c>
      <c r="AN165" s="258" t="n">
        <v>95707</v>
      </c>
      <c r="AP165" s="357" t="inlineStr">
        <is>
          <t>10</t>
        </is>
      </c>
      <c r="AQ165" s="131">
        <f>AQ164+AQ85</f>
        <v/>
      </c>
      <c r="AR165" s="258" t="n">
        <v>98043</v>
      </c>
      <c r="AS165" s="258" t="n">
        <v>108999</v>
      </c>
      <c r="AT165" s="258" t="n">
        <v>124789</v>
      </c>
      <c r="AU165" s="258" t="n">
        <v>138938</v>
      </c>
      <c r="AV165" s="258" t="n">
        <v>0</v>
      </c>
      <c r="AX165" s="357" t="inlineStr">
        <is>
          <t>10</t>
        </is>
      </c>
      <c r="AY165" s="131">
        <f>AY164+AY85</f>
        <v/>
      </c>
      <c r="AZ165" s="258" t="n">
        <v>44518</v>
      </c>
      <c r="BA165" s="258" t="n">
        <v>50183</v>
      </c>
      <c r="BB165" s="258" t="n">
        <v>62171</v>
      </c>
      <c r="BC165" s="258" t="n">
        <v>24017</v>
      </c>
      <c r="BD165" s="258" t="n"/>
      <c r="BE165" s="258" t="n"/>
      <c r="BF165" s="357" t="inlineStr">
        <is>
          <t>10</t>
        </is>
      </c>
      <c r="BG165" s="131">
        <f>BG164+BG85</f>
        <v/>
      </c>
      <c r="BH165" s="258" t="n">
        <v>49080</v>
      </c>
      <c r="BI165" s="258" t="n">
        <v>55282</v>
      </c>
      <c r="BJ165" s="258" t="n"/>
      <c r="BK165" s="258" t="n"/>
      <c r="BL165" s="258" t="n"/>
      <c r="BM165" s="258" t="n"/>
      <c r="BN165" s="357" t="inlineStr">
        <is>
          <t>10</t>
        </is>
      </c>
      <c r="BO165" s="131">
        <f>BO164+BO85</f>
        <v/>
      </c>
      <c r="BP165" s="258" t="n">
        <v>64187</v>
      </c>
      <c r="BQ165" s="258" t="n">
        <v>71059</v>
      </c>
      <c r="BR165" s="258" t="n">
        <v>81189</v>
      </c>
      <c r="BS165" s="258" t="n">
        <v>93072</v>
      </c>
      <c r="BT165" s="258" t="n">
        <v>73247</v>
      </c>
      <c r="BV165" s="357" t="inlineStr">
        <is>
          <t>10</t>
        </is>
      </c>
      <c r="BW165" s="131">
        <f>BW164+BW85</f>
        <v/>
      </c>
      <c r="BX165" s="258" t="n">
        <v>46747</v>
      </c>
      <c r="BY165" s="258" t="n">
        <v>51745</v>
      </c>
      <c r="BZ165" s="258" t="n">
        <v>65951</v>
      </c>
      <c r="CA165" s="258" t="n">
        <v>80553</v>
      </c>
      <c r="CB165" s="258" t="n">
        <v>54257</v>
      </c>
      <c r="CC165" s="258" t="n"/>
      <c r="CD165" s="357" t="inlineStr">
        <is>
          <t>10</t>
        </is>
      </c>
      <c r="CE165" s="131">
        <f>CE164+CE85</f>
        <v/>
      </c>
      <c r="CF165" s="258" t="n">
        <v>78832</v>
      </c>
      <c r="CG165" s="258" t="n">
        <v>85579</v>
      </c>
      <c r="CH165" s="258" t="n">
        <v>94285</v>
      </c>
      <c r="CI165" s="258" t="n">
        <v>122128</v>
      </c>
      <c r="CJ165" s="258" t="n">
        <v>100629</v>
      </c>
      <c r="CL165" s="357" t="inlineStr">
        <is>
          <t>10</t>
        </is>
      </c>
      <c r="CM165" s="131">
        <f>CM164+CM85</f>
        <v/>
      </c>
      <c r="CN165" s="258" t="n">
        <v>73943</v>
      </c>
      <c r="CO165" s="258" t="n">
        <v>101416</v>
      </c>
      <c r="CP165" s="258" t="n">
        <v>114908</v>
      </c>
      <c r="CQ165" s="258" t="n">
        <v>135445</v>
      </c>
      <c r="CR165" s="258" t="n">
        <v>103918</v>
      </c>
      <c r="CT165" s="357" t="inlineStr">
        <is>
          <t>10</t>
        </is>
      </c>
      <c r="CU165" s="131">
        <f>CU164+CU85</f>
        <v/>
      </c>
      <c r="CV165" s="258" t="n">
        <v>85395</v>
      </c>
      <c r="CW165" s="258" t="n">
        <v>0</v>
      </c>
      <c r="CX165" s="258" t="n"/>
      <c r="CY165" s="258" t="n"/>
      <c r="CZ165" s="258" t="n"/>
      <c r="DB165" s="357" t="inlineStr">
        <is>
          <t>10</t>
        </is>
      </c>
      <c r="DC165" s="131">
        <f>DC164+DC85</f>
        <v/>
      </c>
      <c r="DD165" s="258" t="n">
        <v>115232</v>
      </c>
      <c r="DE165" s="258" t="n">
        <v>0</v>
      </c>
      <c r="DF165" s="258" t="n"/>
      <c r="DG165" s="258" t="n"/>
      <c r="DH165" s="258" t="n"/>
      <c r="DI165" s="258" t="n"/>
      <c r="DJ165" s="357" t="inlineStr">
        <is>
          <t>10</t>
        </is>
      </c>
      <c r="DK165" s="131">
        <f>DK164+DK85</f>
        <v/>
      </c>
      <c r="DL165" s="258" t="n">
        <v>0</v>
      </c>
      <c r="DM165" s="258" t="n">
        <v>0</v>
      </c>
      <c r="DN165" s="258" t="n"/>
      <c r="DO165" s="258" t="n"/>
      <c r="DP165" s="258" t="n"/>
      <c r="DR165" s="357" t="inlineStr">
        <is>
          <t>10</t>
        </is>
      </c>
      <c r="DS165" s="131">
        <f>DS164+DS85</f>
        <v/>
      </c>
      <c r="DT165" s="258" t="n">
        <v>87791</v>
      </c>
      <c r="DU165" s="258" t="n">
        <v>0</v>
      </c>
      <c r="DV165" s="258" t="n"/>
      <c r="DW165" s="258" t="n"/>
      <c r="DX165" s="258" t="n"/>
      <c r="DZ165" s="357" t="inlineStr">
        <is>
          <t>10</t>
        </is>
      </c>
      <c r="EA165" s="131">
        <f>EA164+EA85</f>
        <v/>
      </c>
      <c r="EB165" s="258" t="n">
        <v>12884</v>
      </c>
      <c r="EC165" s="258" t="n">
        <v>0</v>
      </c>
      <c r="ED165" s="258" t="n"/>
      <c r="EE165" s="258" t="n"/>
      <c r="EF165" s="258" t="n"/>
    </row>
    <row r="166">
      <c r="B166" s="357" t="inlineStr">
        <is>
          <t>11</t>
        </is>
      </c>
      <c r="C166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66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66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66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66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66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66" s="258" t="n"/>
      <c r="J166" s="357" t="inlineStr">
        <is>
          <t>11</t>
        </is>
      </c>
      <c r="K166" s="131">
        <f>K165+K86</f>
        <v/>
      </c>
      <c r="L166" s="258" t="n">
        <v>105077</v>
      </c>
      <c r="M166" s="258" t="n">
        <v>121810</v>
      </c>
      <c r="N166" s="258" t="n">
        <v>139728</v>
      </c>
      <c r="O166" s="258" t="n">
        <v>152788</v>
      </c>
      <c r="P166" s="258" t="n">
        <v>131546.00001</v>
      </c>
      <c r="R166" s="357" t="inlineStr">
        <is>
          <t>11</t>
        </is>
      </c>
      <c r="S166" s="131">
        <f>S165+S86</f>
        <v/>
      </c>
      <c r="T166" s="258" t="n">
        <v>50362</v>
      </c>
      <c r="U166" s="258" t="n">
        <v>58563</v>
      </c>
      <c r="V166" s="258" t="n">
        <v>69309</v>
      </c>
      <c r="W166" s="258" t="n">
        <v>86416</v>
      </c>
      <c r="X166" s="258" t="n">
        <v>65796</v>
      </c>
      <c r="Z166" s="357" t="inlineStr">
        <is>
          <t>11</t>
        </is>
      </c>
      <c r="AA166" s="131">
        <f>AA165+AA86</f>
        <v/>
      </c>
      <c r="AB166" s="258" t="n">
        <v>57306</v>
      </c>
      <c r="AC166" s="258" t="n">
        <v>69746</v>
      </c>
      <c r="AD166" s="258" t="n">
        <v>83600</v>
      </c>
      <c r="AE166" s="258" t="n">
        <v>93873</v>
      </c>
      <c r="AF166" s="258" t="n">
        <v>69993</v>
      </c>
      <c r="AH166" s="357" t="inlineStr">
        <is>
          <t>11</t>
        </is>
      </c>
      <c r="AI166" s="131">
        <f>AI165+AI86</f>
        <v/>
      </c>
      <c r="AJ166" s="258" t="n">
        <v>88350</v>
      </c>
      <c r="AK166" s="258" t="n">
        <v>100569</v>
      </c>
      <c r="AL166" s="258" t="n">
        <v>115484</v>
      </c>
      <c r="AM166" s="258" t="n">
        <v>131320</v>
      </c>
      <c r="AN166" s="258" t="n">
        <v>109899</v>
      </c>
      <c r="AP166" s="357" t="inlineStr">
        <is>
          <t>11</t>
        </is>
      </c>
      <c r="AQ166" s="131">
        <f>AQ165+AQ86</f>
        <v/>
      </c>
      <c r="AR166" s="258" t="n">
        <v>107893</v>
      </c>
      <c r="AS166" s="258" t="n">
        <v>118799</v>
      </c>
      <c r="AT166" s="258" t="n">
        <v>136118</v>
      </c>
      <c r="AU166" s="258" t="n">
        <v>151868</v>
      </c>
      <c r="AV166" s="258" t="n">
        <v>0</v>
      </c>
      <c r="AX166" s="357" t="inlineStr">
        <is>
          <t>11</t>
        </is>
      </c>
      <c r="AY166" s="131">
        <f>AY165+AY86</f>
        <v/>
      </c>
      <c r="AZ166" s="258" t="n">
        <v>48790</v>
      </c>
      <c r="BA166" s="258" t="n">
        <v>54224</v>
      </c>
      <c r="BB166" s="258" t="n">
        <v>67928</v>
      </c>
      <c r="BC166" s="258" t="n">
        <v>30757</v>
      </c>
      <c r="BD166" s="258" t="n"/>
      <c r="BE166" s="258" t="n"/>
      <c r="BF166" s="357" t="inlineStr">
        <is>
          <t>11</t>
        </is>
      </c>
      <c r="BG166" s="131">
        <f>BG165+BG86</f>
        <v/>
      </c>
      <c r="BH166" s="258" t="n">
        <v>53124</v>
      </c>
      <c r="BI166" s="258" t="n">
        <v>60604</v>
      </c>
      <c r="BJ166" s="258" t="n"/>
      <c r="BK166" s="258" t="n"/>
      <c r="BL166" s="258" t="n"/>
      <c r="BM166" s="258" t="n"/>
      <c r="BN166" s="357" t="inlineStr">
        <is>
          <t>11</t>
        </is>
      </c>
      <c r="BO166" s="131">
        <f>BO165+BO86</f>
        <v/>
      </c>
      <c r="BP166" s="258" t="n">
        <v>70419</v>
      </c>
      <c r="BQ166" s="258" t="n">
        <v>77726</v>
      </c>
      <c r="BR166" s="258" t="n">
        <v>88544</v>
      </c>
      <c r="BS166" s="258" t="n">
        <v>101804</v>
      </c>
      <c r="BT166" s="258" t="n">
        <v>84210</v>
      </c>
      <c r="BV166" s="357" t="inlineStr">
        <is>
          <t>11</t>
        </is>
      </c>
      <c r="BW166" s="131">
        <f>BW165+BW86</f>
        <v/>
      </c>
      <c r="BX166" s="258" t="n">
        <v>50905</v>
      </c>
      <c r="BY166" s="258" t="n">
        <v>56097</v>
      </c>
      <c r="BZ166" s="258" t="n">
        <v>71268</v>
      </c>
      <c r="CA166" s="258" t="n">
        <v>87144</v>
      </c>
      <c r="CB166" s="258" t="n">
        <v>61363</v>
      </c>
      <c r="CC166" s="258" t="n"/>
      <c r="CD166" s="357" t="inlineStr">
        <is>
          <t>11</t>
        </is>
      </c>
      <c r="CE166" s="131">
        <f>CE165+CE86</f>
        <v/>
      </c>
      <c r="CF166" s="258" t="n">
        <v>85504</v>
      </c>
      <c r="CG166" s="258" t="n">
        <v>93426</v>
      </c>
      <c r="CH166" s="258" t="n">
        <v>100644</v>
      </c>
      <c r="CI166" s="258" t="n">
        <v>133158</v>
      </c>
      <c r="CJ166" s="258" t="n">
        <v>112118</v>
      </c>
      <c r="CL166" s="357" t="inlineStr">
        <is>
          <t>11</t>
        </is>
      </c>
      <c r="CM166" s="131">
        <f>CM165+CM86</f>
        <v/>
      </c>
      <c r="CN166" s="258" t="n">
        <v>81051</v>
      </c>
      <c r="CO166" s="258" t="n">
        <v>110629</v>
      </c>
      <c r="CP166" s="258" t="n">
        <v>125199</v>
      </c>
      <c r="CQ166" s="258" t="n">
        <v>148055</v>
      </c>
      <c r="CR166" s="258" t="n">
        <v>118025</v>
      </c>
      <c r="CT166" s="357" t="inlineStr">
        <is>
          <t>11</t>
        </is>
      </c>
      <c r="CU166" s="131">
        <f>CU165+CU86</f>
        <v/>
      </c>
      <c r="CV166" s="258" t="n">
        <v>94386</v>
      </c>
      <c r="CW166" s="258" t="n">
        <v>0</v>
      </c>
      <c r="CX166" s="258" t="n"/>
      <c r="CY166" s="258" t="n"/>
      <c r="CZ166" s="258" t="n"/>
      <c r="DB166" s="357" t="inlineStr">
        <is>
          <t>11</t>
        </is>
      </c>
      <c r="DC166" s="131">
        <f>DC165+DC86</f>
        <v/>
      </c>
      <c r="DD166" s="258" t="n">
        <v>126249</v>
      </c>
      <c r="DE166" s="258" t="n">
        <v>0</v>
      </c>
      <c r="DF166" s="258" t="n"/>
      <c r="DG166" s="258" t="n"/>
      <c r="DH166" s="258" t="n"/>
      <c r="DI166" s="258" t="n"/>
      <c r="DJ166" s="357" t="inlineStr">
        <is>
          <t>11</t>
        </is>
      </c>
      <c r="DK166" s="131">
        <f>DK165+DK86</f>
        <v/>
      </c>
      <c r="DL166" s="258" t="n">
        <v>0</v>
      </c>
      <c r="DM166" s="258" t="n">
        <v>0</v>
      </c>
      <c r="DN166" s="258" t="n"/>
      <c r="DO166" s="258" t="n"/>
      <c r="DP166" s="258" t="n"/>
      <c r="DR166" s="357" t="inlineStr">
        <is>
          <t>11</t>
        </is>
      </c>
      <c r="DS166" s="131">
        <f>DS165+DS86</f>
        <v/>
      </c>
      <c r="DT166" s="258" t="n">
        <v>96621</v>
      </c>
      <c r="DU166" s="258" t="n">
        <v>0</v>
      </c>
      <c r="DV166" s="258" t="n"/>
      <c r="DW166" s="258" t="n"/>
      <c r="DX166" s="258" t="n"/>
      <c r="DZ166" s="357" t="inlineStr">
        <is>
          <t>11</t>
        </is>
      </c>
      <c r="EA166" s="131">
        <f>EA165+EA86</f>
        <v/>
      </c>
      <c r="EB166" s="258" t="n">
        <v>16737</v>
      </c>
      <c r="EC166" s="258" t="n">
        <v>0</v>
      </c>
      <c r="ED166" s="258" t="n"/>
      <c r="EE166" s="258" t="n"/>
      <c r="EF166" s="258" t="n"/>
    </row>
    <row r="167">
      <c r="B167" s="357" t="inlineStr">
        <is>
          <t>12</t>
        </is>
      </c>
      <c r="C167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67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67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67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67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67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67" s="258" t="n"/>
      <c r="J167" s="357" t="inlineStr">
        <is>
          <t>12</t>
        </is>
      </c>
      <c r="K167" s="131">
        <f>K166+K87</f>
        <v/>
      </c>
      <c r="L167" s="258" t="n">
        <v>114711</v>
      </c>
      <c r="M167" s="258" t="n">
        <v>131884</v>
      </c>
      <c r="N167" s="258" t="n">
        <v>152080</v>
      </c>
      <c r="O167" s="258" t="n">
        <v>166730</v>
      </c>
      <c r="P167" s="258" t="n">
        <v>148333.00001</v>
      </c>
      <c r="R167" s="357" t="inlineStr">
        <is>
          <t>12</t>
        </is>
      </c>
      <c r="S167" s="131">
        <f>S166+S87</f>
        <v/>
      </c>
      <c r="T167" s="258" t="n">
        <v>54786</v>
      </c>
      <c r="U167" s="258" t="n">
        <v>63386</v>
      </c>
      <c r="V167" s="258" t="n">
        <v>75478</v>
      </c>
      <c r="W167" s="258" t="n">
        <v>93846</v>
      </c>
      <c r="X167" s="258" t="n">
        <v>76071</v>
      </c>
      <c r="Z167" s="357" t="inlineStr">
        <is>
          <t>12</t>
        </is>
      </c>
      <c r="AA167" s="131">
        <f>AA166+AA87</f>
        <v/>
      </c>
      <c r="AB167" s="258" t="n">
        <v>62328</v>
      </c>
      <c r="AC167" s="258" t="n">
        <v>75207</v>
      </c>
      <c r="AD167" s="258" t="n">
        <v>90533</v>
      </c>
      <c r="AE167" s="258" t="n">
        <v>102142</v>
      </c>
      <c r="AF167" s="258" t="n">
        <v>79961</v>
      </c>
      <c r="AH167" s="357" t="inlineStr">
        <is>
          <t>12</t>
        </is>
      </c>
      <c r="AI167" s="131">
        <f>AI166+AI87</f>
        <v/>
      </c>
      <c r="AJ167" s="258" t="n">
        <v>95564</v>
      </c>
      <c r="AK167" s="258" t="n">
        <v>108863</v>
      </c>
      <c r="AL167" s="258" t="n">
        <v>124875</v>
      </c>
      <c r="AM167" s="258" t="n">
        <v>143144</v>
      </c>
      <c r="AN167" s="258" t="n">
        <v>125128</v>
      </c>
      <c r="AP167" s="357" t="inlineStr">
        <is>
          <t>12</t>
        </is>
      </c>
      <c r="AQ167" s="131">
        <f>AQ166+AQ87</f>
        <v/>
      </c>
      <c r="AR167" s="258" t="n">
        <v>118157</v>
      </c>
      <c r="AS167" s="258" t="n">
        <v>129392</v>
      </c>
      <c r="AT167" s="258" t="n">
        <v>148286</v>
      </c>
      <c r="AU167" s="258" t="n">
        <v>165543</v>
      </c>
      <c r="AV167" s="258" t="n">
        <v>0</v>
      </c>
      <c r="AX167" s="357" t="inlineStr">
        <is>
          <t>12</t>
        </is>
      </c>
      <c r="AY167" s="131">
        <f>AY166+AY87</f>
        <v/>
      </c>
      <c r="AZ167" s="258" t="n">
        <v>53039</v>
      </c>
      <c r="BA167" s="258" t="n">
        <v>58632</v>
      </c>
      <c r="BB167" s="258" t="n">
        <v>73766</v>
      </c>
      <c r="BC167" s="258" t="n">
        <v>37508</v>
      </c>
      <c r="BD167" s="258" t="n"/>
      <c r="BE167" s="258" t="n"/>
      <c r="BF167" s="357" t="inlineStr">
        <is>
          <t>12</t>
        </is>
      </c>
      <c r="BG167" s="131">
        <f>BG166+BG87</f>
        <v/>
      </c>
      <c r="BH167" s="258" t="n">
        <v>57246</v>
      </c>
      <c r="BI167" s="258" t="n">
        <v>65776</v>
      </c>
      <c r="BJ167" s="258" t="n"/>
      <c r="BK167" s="258" t="n"/>
      <c r="BL167" s="258" t="n"/>
      <c r="BM167" s="258" t="n"/>
      <c r="BN167" s="357" t="inlineStr">
        <is>
          <t>12</t>
        </is>
      </c>
      <c r="BO167" s="131">
        <f>BO166+BO87</f>
        <v/>
      </c>
      <c r="BP167" s="258" t="n">
        <v>76631</v>
      </c>
      <c r="BQ167" s="258" t="n">
        <v>84478</v>
      </c>
      <c r="BR167" s="258" t="n">
        <v>96221</v>
      </c>
      <c r="BS167" s="258" t="n">
        <v>110763</v>
      </c>
      <c r="BT167" s="258" t="n">
        <v>96289</v>
      </c>
      <c r="BV167" s="357" t="inlineStr">
        <is>
          <t>12</t>
        </is>
      </c>
      <c r="BW167" s="131">
        <f>BW166+BW87</f>
        <v/>
      </c>
      <c r="BX167" s="258" t="n">
        <v>55135</v>
      </c>
      <c r="BY167" s="258" t="n">
        <v>60349</v>
      </c>
      <c r="BZ167" s="258" t="n">
        <v>76385</v>
      </c>
      <c r="CA167" s="258" t="n">
        <v>93735</v>
      </c>
      <c r="CB167" s="258" t="n">
        <v>70379</v>
      </c>
      <c r="CC167" s="258" t="n"/>
      <c r="CD167" s="357" t="inlineStr">
        <is>
          <t>12</t>
        </is>
      </c>
      <c r="CE167" s="131">
        <f>CE166+CE87</f>
        <v/>
      </c>
      <c r="CF167" s="258" t="n">
        <v>91796</v>
      </c>
      <c r="CG167" s="258" t="n">
        <v>100992</v>
      </c>
      <c r="CH167" s="258" t="n">
        <v>107536</v>
      </c>
      <c r="CI167" s="258" t="n">
        <v>143127</v>
      </c>
      <c r="CJ167" s="258" t="n">
        <v>125638</v>
      </c>
      <c r="CL167" s="357" t="inlineStr">
        <is>
          <t>12</t>
        </is>
      </c>
      <c r="CM167" s="131">
        <f>CM166+CM87</f>
        <v/>
      </c>
      <c r="CN167" s="258" t="n">
        <v>88512</v>
      </c>
      <c r="CO167" s="258" t="n">
        <v>118710</v>
      </c>
      <c r="CP167" s="258" t="n">
        <v>135870</v>
      </c>
      <c r="CQ167" s="258" t="n">
        <v>160969</v>
      </c>
      <c r="CR167" s="258" t="n">
        <v>134472</v>
      </c>
      <c r="CT167" s="357" t="inlineStr">
        <is>
          <t>12</t>
        </is>
      </c>
      <c r="CU167" s="131">
        <f>CU166+CU87</f>
        <v/>
      </c>
      <c r="CV167" s="258" t="n">
        <v>103223</v>
      </c>
      <c r="CW167" s="258" t="n">
        <v>0</v>
      </c>
      <c r="CX167" s="258" t="n"/>
      <c r="CY167" s="258" t="n"/>
      <c r="CZ167" s="258" t="n"/>
      <c r="DB167" s="357" t="inlineStr">
        <is>
          <t>12</t>
        </is>
      </c>
      <c r="DC167" s="131">
        <f>DC166+DC87</f>
        <v/>
      </c>
      <c r="DD167" s="258" t="n">
        <v>137807</v>
      </c>
      <c r="DE167" s="258" t="n">
        <v>0</v>
      </c>
      <c r="DF167" s="258" t="n"/>
      <c r="DG167" s="258" t="n"/>
      <c r="DH167" s="258" t="n"/>
      <c r="DI167" s="258" t="n"/>
      <c r="DJ167" s="357" t="inlineStr">
        <is>
          <t>12</t>
        </is>
      </c>
      <c r="DK167" s="131">
        <f>DK166+DK87</f>
        <v/>
      </c>
      <c r="DL167" s="258" t="n">
        <v>0</v>
      </c>
      <c r="DM167" s="258" t="n">
        <v>0</v>
      </c>
      <c r="DN167" s="258" t="n"/>
      <c r="DO167" s="258" t="n"/>
      <c r="DP167" s="258" t="n"/>
      <c r="DR167" s="357" t="inlineStr">
        <is>
          <t>12</t>
        </is>
      </c>
      <c r="DS167" s="131">
        <f>DS166+DS87</f>
        <v/>
      </c>
      <c r="DT167" s="258" t="n">
        <v>105588</v>
      </c>
      <c r="DU167" s="258" t="n">
        <v>0</v>
      </c>
      <c r="DV167" s="258" t="n"/>
      <c r="DW167" s="258" t="n"/>
      <c r="DX167" s="258" t="n"/>
      <c r="DZ167" s="357" t="inlineStr">
        <is>
          <t>12</t>
        </is>
      </c>
      <c r="EA167" s="131">
        <f>EA166+EA87</f>
        <v/>
      </c>
      <c r="EB167" s="258" t="n">
        <v>20618</v>
      </c>
      <c r="EC167" s="258" t="n">
        <v>0</v>
      </c>
      <c r="ED167" s="258" t="n"/>
      <c r="EE167" s="258" t="n"/>
      <c r="EF167" s="258" t="n"/>
    </row>
    <row r="168">
      <c r="CV168" s="358" t="n"/>
    </row>
    <row r="169" ht="15.75" customHeight="1" s="161">
      <c r="B169" s="355" t="inlineStr">
        <is>
          <t>Global</t>
        </is>
      </c>
      <c r="J169" s="355" t="inlineStr">
        <is>
          <t>GLR5</t>
        </is>
      </c>
      <c r="R169" s="355" t="inlineStr">
        <is>
          <t>HTR8</t>
        </is>
      </c>
      <c r="Z169" s="355" t="inlineStr">
        <is>
          <t>TIRR</t>
        </is>
      </c>
      <c r="AH169" s="355" t="inlineStr">
        <is>
          <t>VR7</t>
        </is>
      </c>
      <c r="AP169" s="355" t="inlineStr">
        <is>
          <t>TURVILLA</t>
        </is>
      </c>
      <c r="AX169" s="355" t="inlineStr">
        <is>
          <t>HART</t>
        </is>
      </c>
      <c r="BF169" s="355" t="inlineStr">
        <is>
          <t>VICTOIRE</t>
        </is>
      </c>
      <c r="BN169" s="355" t="inlineStr">
        <is>
          <t>TH4</t>
        </is>
      </c>
      <c r="BV169" s="355" t="inlineStr">
        <is>
          <t>TL DIVES</t>
        </is>
      </c>
      <c r="CD169" s="355" t="inlineStr">
        <is>
          <t>R3 14</t>
        </is>
      </c>
      <c r="CL169" s="355" t="inlineStr">
        <is>
          <t>LYSE</t>
        </is>
      </c>
      <c r="CT169" s="355" t="inlineStr">
        <is>
          <t>ARTHUR</t>
        </is>
      </c>
      <c r="CV169" s="358" t="n"/>
      <c r="DB169" s="355" t="inlineStr">
        <is>
          <t>HUGO</t>
        </is>
      </c>
      <c r="DJ169" s="355" t="inlineStr">
        <is>
          <t>JEANCLO</t>
        </is>
      </c>
      <c r="DR169" s="355" t="inlineStr">
        <is>
          <t>THOMAS</t>
        </is>
      </c>
      <c r="DZ169" s="355" t="inlineStr">
        <is>
          <t>CATALINA</t>
        </is>
      </c>
    </row>
    <row r="171" ht="18.6" customFormat="1" customHeight="1" s="188">
      <c r="A171" s="356" t="inlineStr">
        <is>
          <t>Transactions kiosque cumulées</t>
        </is>
      </c>
      <c r="B171" s="186" t="inlineStr">
        <is>
          <t>MOIS</t>
        </is>
      </c>
      <c r="C171" s="187" t="inlineStr">
        <is>
          <t>2024</t>
        </is>
      </c>
      <c r="D171" s="187" t="inlineStr">
        <is>
          <t>2023</t>
        </is>
      </c>
      <c r="E171" s="187" t="inlineStr">
        <is>
          <t>2022</t>
        </is>
      </c>
      <c r="F171" s="187" t="inlineStr">
        <is>
          <t>2021</t>
        </is>
      </c>
      <c r="G171" s="187" t="inlineStr">
        <is>
          <t>2020</t>
        </is>
      </c>
      <c r="H171" s="187" t="inlineStr">
        <is>
          <t>2019</t>
        </is>
      </c>
      <c r="I171" s="187" t="n"/>
      <c r="J171" s="186" t="inlineStr">
        <is>
          <t>MOIS</t>
        </is>
      </c>
      <c r="K171" s="186" t="inlineStr">
        <is>
          <t>2025</t>
        </is>
      </c>
      <c r="L171" s="186" t="inlineStr">
        <is>
          <t>2024</t>
        </is>
      </c>
      <c r="M171" s="186" t="inlineStr">
        <is>
          <t>2023</t>
        </is>
      </c>
      <c r="N171" s="186" t="inlineStr">
        <is>
          <t>2022</t>
        </is>
      </c>
      <c r="O171" s="186" t="inlineStr">
        <is>
          <t>2021</t>
        </is>
      </c>
      <c r="P171" s="186" t="inlineStr">
        <is>
          <t>2020</t>
        </is>
      </c>
      <c r="R171" s="186" t="inlineStr">
        <is>
          <t>MOIS</t>
        </is>
      </c>
      <c r="S171" s="186" t="inlineStr">
        <is>
          <t>2025</t>
        </is>
      </c>
      <c r="T171" s="186" t="inlineStr">
        <is>
          <t>2024</t>
        </is>
      </c>
      <c r="U171" s="186" t="inlineStr">
        <is>
          <t>2023</t>
        </is>
      </c>
      <c r="V171" s="186" t="inlineStr">
        <is>
          <t>2022</t>
        </is>
      </c>
      <c r="W171" s="186" t="inlineStr">
        <is>
          <t>2021</t>
        </is>
      </c>
      <c r="X171" s="186" t="inlineStr">
        <is>
          <t>2020</t>
        </is>
      </c>
      <c r="Z171" s="186" t="inlineStr">
        <is>
          <t>MOIS</t>
        </is>
      </c>
      <c r="AA171" s="186" t="inlineStr">
        <is>
          <t>2025</t>
        </is>
      </c>
      <c r="AB171" s="186" t="inlineStr">
        <is>
          <t>2024</t>
        </is>
      </c>
      <c r="AC171" s="186" t="inlineStr">
        <is>
          <t>2023</t>
        </is>
      </c>
      <c r="AD171" s="186" t="inlineStr">
        <is>
          <t>2022</t>
        </is>
      </c>
      <c r="AE171" s="186" t="inlineStr">
        <is>
          <t>2021</t>
        </is>
      </c>
      <c r="AF171" s="186" t="inlineStr">
        <is>
          <t>2020</t>
        </is>
      </c>
      <c r="AH171" s="186" t="inlineStr">
        <is>
          <t>MOIS</t>
        </is>
      </c>
      <c r="AI171" s="186" t="inlineStr">
        <is>
          <t>2025</t>
        </is>
      </c>
      <c r="AJ171" s="186" t="inlineStr">
        <is>
          <t>2024</t>
        </is>
      </c>
      <c r="AK171" s="186" t="inlineStr">
        <is>
          <t>2023</t>
        </is>
      </c>
      <c r="AL171" s="186" t="inlineStr">
        <is>
          <t>2022</t>
        </is>
      </c>
      <c r="AM171" s="186" t="inlineStr">
        <is>
          <t>2021</t>
        </is>
      </c>
      <c r="AN171" s="186" t="inlineStr">
        <is>
          <t>2020</t>
        </is>
      </c>
      <c r="AP171" s="186" t="inlineStr">
        <is>
          <t>MOIS</t>
        </is>
      </c>
      <c r="AQ171" s="186" t="inlineStr">
        <is>
          <t>2025</t>
        </is>
      </c>
      <c r="AR171" s="186" t="inlineStr">
        <is>
          <t>2024</t>
        </is>
      </c>
      <c r="AS171" s="186" t="inlineStr">
        <is>
          <t>2023</t>
        </is>
      </c>
      <c r="AT171" s="186" t="inlineStr">
        <is>
          <t>2022</t>
        </is>
      </c>
      <c r="AU171" s="186" t="inlineStr">
        <is>
          <t>2021</t>
        </is>
      </c>
      <c r="AV171" s="186" t="inlineStr">
        <is>
          <t>2020</t>
        </is>
      </c>
      <c r="AX171" s="186" t="inlineStr">
        <is>
          <t>MOIS</t>
        </is>
      </c>
      <c r="AY171" s="186" t="inlineStr">
        <is>
          <t>2025</t>
        </is>
      </c>
      <c r="AZ171" s="186" t="inlineStr">
        <is>
          <t>2024</t>
        </is>
      </c>
      <c r="BA171" s="186" t="inlineStr">
        <is>
          <t>2023</t>
        </is>
      </c>
      <c r="BB171" s="186" t="inlineStr">
        <is>
          <t>2022</t>
        </is>
      </c>
      <c r="BC171" s="186" t="inlineStr">
        <is>
          <t>2021</t>
        </is>
      </c>
      <c r="BD171" s="186" t="inlineStr">
        <is>
          <t>2020</t>
        </is>
      </c>
      <c r="BE171" s="187" t="n"/>
      <c r="BF171" s="186" t="inlineStr">
        <is>
          <t>MOIS</t>
        </is>
      </c>
      <c r="BG171" s="186" t="inlineStr">
        <is>
          <t>2025</t>
        </is>
      </c>
      <c r="BH171" s="186" t="inlineStr">
        <is>
          <t>2024</t>
        </is>
      </c>
      <c r="BI171" s="186" t="inlineStr">
        <is>
          <t>2023</t>
        </is>
      </c>
      <c r="BJ171" s="186" t="inlineStr">
        <is>
          <t>2022</t>
        </is>
      </c>
      <c r="BK171" s="186" t="inlineStr">
        <is>
          <t>2021</t>
        </is>
      </c>
      <c r="BL171" s="186" t="inlineStr">
        <is>
          <t>2020</t>
        </is>
      </c>
      <c r="BM171" s="186" t="n"/>
      <c r="BN171" s="186" t="inlineStr">
        <is>
          <t>MOIS</t>
        </is>
      </c>
      <c r="BO171" s="187" t="inlineStr">
        <is>
          <t>2025</t>
        </is>
      </c>
      <c r="BP171" s="187" t="inlineStr">
        <is>
          <t>2024</t>
        </is>
      </c>
      <c r="BQ171" s="187" t="inlineStr">
        <is>
          <t>2023</t>
        </is>
      </c>
      <c r="BR171" s="187" t="inlineStr">
        <is>
          <t>2022</t>
        </is>
      </c>
      <c r="BS171" s="187" t="inlineStr">
        <is>
          <t>2021</t>
        </is>
      </c>
      <c r="BT171" s="187" t="inlineStr">
        <is>
          <t>2020</t>
        </is>
      </c>
      <c r="BV171" s="186" t="inlineStr">
        <is>
          <t>MOIS</t>
        </is>
      </c>
      <c r="BW171" s="187" t="inlineStr">
        <is>
          <t>2025</t>
        </is>
      </c>
      <c r="BX171" s="187" t="inlineStr">
        <is>
          <t>2024</t>
        </is>
      </c>
      <c r="BY171" s="187" t="inlineStr">
        <is>
          <t>2023</t>
        </is>
      </c>
      <c r="BZ171" s="187" t="inlineStr">
        <is>
          <t>2022</t>
        </is>
      </c>
      <c r="CA171" s="187" t="inlineStr">
        <is>
          <t>2021</t>
        </is>
      </c>
      <c r="CB171" s="187" t="inlineStr">
        <is>
          <t>2020</t>
        </is>
      </c>
      <c r="CC171" s="187" t="n"/>
      <c r="CD171" s="186" t="inlineStr">
        <is>
          <t>MOIS</t>
        </is>
      </c>
      <c r="CE171" s="187" t="inlineStr">
        <is>
          <t>2025</t>
        </is>
      </c>
      <c r="CF171" s="187" t="inlineStr">
        <is>
          <t>2024</t>
        </is>
      </c>
      <c r="CG171" s="187" t="inlineStr">
        <is>
          <t>2023</t>
        </is>
      </c>
      <c r="CH171" s="187" t="inlineStr">
        <is>
          <t>2022</t>
        </is>
      </c>
      <c r="CI171" s="187" t="inlineStr">
        <is>
          <t>2021</t>
        </is>
      </c>
      <c r="CJ171" s="187" t="inlineStr">
        <is>
          <t>2020</t>
        </is>
      </c>
      <c r="CL171" s="186" t="inlineStr">
        <is>
          <t>MOIS</t>
        </is>
      </c>
      <c r="CM171" s="187" t="inlineStr">
        <is>
          <t>2025</t>
        </is>
      </c>
      <c r="CN171" s="187" t="inlineStr">
        <is>
          <t>2024</t>
        </is>
      </c>
      <c r="CO171" s="187" t="inlineStr">
        <is>
          <t>2023</t>
        </is>
      </c>
      <c r="CP171" s="187" t="inlineStr">
        <is>
          <t>2022</t>
        </is>
      </c>
      <c r="CQ171" s="187" t="inlineStr">
        <is>
          <t>2021</t>
        </is>
      </c>
      <c r="CR171" s="187" t="inlineStr">
        <is>
          <t>2020</t>
        </is>
      </c>
      <c r="CT171" s="186" t="inlineStr">
        <is>
          <t>MOIS</t>
        </is>
      </c>
      <c r="CU171" s="187" t="inlineStr">
        <is>
          <t>2025</t>
        </is>
      </c>
      <c r="CV171" s="187" t="inlineStr">
        <is>
          <t>2024</t>
        </is>
      </c>
      <c r="CW171" s="187" t="inlineStr">
        <is>
          <t>2023</t>
        </is>
      </c>
      <c r="CX171" s="187" t="inlineStr">
        <is>
          <t>2022</t>
        </is>
      </c>
      <c r="CY171" s="187" t="inlineStr">
        <is>
          <t>2021</t>
        </is>
      </c>
      <c r="CZ171" s="187" t="inlineStr">
        <is>
          <t>2020</t>
        </is>
      </c>
      <c r="DB171" s="186" t="inlineStr">
        <is>
          <t>MOIS</t>
        </is>
      </c>
      <c r="DC171" s="187" t="inlineStr">
        <is>
          <t>2025</t>
        </is>
      </c>
      <c r="DD171" s="187" t="inlineStr">
        <is>
          <t>2024</t>
        </is>
      </c>
      <c r="DE171" s="187" t="inlineStr">
        <is>
          <t>2023</t>
        </is>
      </c>
      <c r="DF171" s="187" t="inlineStr">
        <is>
          <t>2022</t>
        </is>
      </c>
      <c r="DG171" s="187" t="inlineStr">
        <is>
          <t>2021</t>
        </is>
      </c>
      <c r="DH171" s="187" t="inlineStr">
        <is>
          <t>2020</t>
        </is>
      </c>
      <c r="DI171" s="187" t="n"/>
      <c r="DJ171" s="186" t="inlineStr">
        <is>
          <t>MOIS</t>
        </is>
      </c>
      <c r="DK171" s="187" t="inlineStr">
        <is>
          <t>2025</t>
        </is>
      </c>
      <c r="DL171" s="187" t="inlineStr">
        <is>
          <t>2024</t>
        </is>
      </c>
      <c r="DM171" s="187" t="inlineStr">
        <is>
          <t>2023</t>
        </is>
      </c>
      <c r="DN171" s="187" t="inlineStr">
        <is>
          <t>2022</t>
        </is>
      </c>
      <c r="DO171" s="187" t="inlineStr">
        <is>
          <t>2021</t>
        </is>
      </c>
      <c r="DP171" s="187" t="inlineStr">
        <is>
          <t>2020</t>
        </is>
      </c>
      <c r="DR171" s="186" t="inlineStr">
        <is>
          <t>MOIS</t>
        </is>
      </c>
      <c r="DS171" s="187" t="inlineStr">
        <is>
          <t>2025</t>
        </is>
      </c>
      <c r="DT171" s="187" t="inlineStr">
        <is>
          <t>2024</t>
        </is>
      </c>
      <c r="DU171" s="187" t="inlineStr">
        <is>
          <t>2023</t>
        </is>
      </c>
      <c r="DV171" s="187" t="inlineStr">
        <is>
          <t>2022</t>
        </is>
      </c>
      <c r="DW171" s="187" t="inlineStr">
        <is>
          <t>2021</t>
        </is>
      </c>
      <c r="DX171" s="187" t="inlineStr">
        <is>
          <t>2020</t>
        </is>
      </c>
      <c r="DZ171" s="186" t="inlineStr">
        <is>
          <t>MOIS</t>
        </is>
      </c>
      <c r="EA171" s="187" t="inlineStr">
        <is>
          <t>2025</t>
        </is>
      </c>
      <c r="EB171" s="187" t="inlineStr">
        <is>
          <t>2024</t>
        </is>
      </c>
      <c r="EC171" s="187" t="inlineStr">
        <is>
          <t>2023</t>
        </is>
      </c>
      <c r="ED171" s="187" t="inlineStr">
        <is>
          <t>2022</t>
        </is>
      </c>
      <c r="EE171" s="187" t="inlineStr">
        <is>
          <t>2021</t>
        </is>
      </c>
      <c r="EF171" s="187" t="inlineStr">
        <is>
          <t>2020</t>
        </is>
      </c>
    </row>
    <row r="172">
      <c r="B172" s="357" t="inlineStr">
        <is>
          <t>01</t>
        </is>
      </c>
      <c r="C172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72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72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72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72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72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72" s="258" t="n"/>
      <c r="J172" s="357" t="inlineStr">
        <is>
          <t>01</t>
        </is>
      </c>
      <c r="K172" s="131">
        <f>+K92</f>
        <v/>
      </c>
      <c r="L172" s="258" t="n">
        <v>7485</v>
      </c>
      <c r="M172" s="258" t="n">
        <v>9254</v>
      </c>
      <c r="N172" s="258" t="n">
        <v>7238</v>
      </c>
      <c r="O172" s="258" t="n">
        <v>824</v>
      </c>
      <c r="P172" s="258" t="n">
        <v>10543</v>
      </c>
      <c r="R172" s="357" t="inlineStr">
        <is>
          <t>01</t>
        </is>
      </c>
      <c r="S172" s="131">
        <f>+S92</f>
        <v/>
      </c>
      <c r="T172" s="258" t="n">
        <v>4875</v>
      </c>
      <c r="U172" s="258" t="n">
        <v>5191</v>
      </c>
      <c r="V172" s="258" t="n">
        <v>3991</v>
      </c>
      <c r="W172" s="258" t="n">
        <v>673</v>
      </c>
      <c r="X172" s="258" t="n">
        <v>6587</v>
      </c>
      <c r="Z172" s="357" t="inlineStr">
        <is>
          <t>01</t>
        </is>
      </c>
      <c r="AA172" s="131">
        <f>+AA92</f>
        <v/>
      </c>
      <c r="AB172" s="258" t="n">
        <v>6099</v>
      </c>
      <c r="AC172" s="258" t="n">
        <v>7803</v>
      </c>
      <c r="AD172" s="258" t="n">
        <v>5033</v>
      </c>
      <c r="AE172" s="258" t="n">
        <v>680</v>
      </c>
      <c r="AF172" s="258" t="n">
        <v>8554</v>
      </c>
      <c r="AH172" s="357" t="inlineStr">
        <is>
          <t>01</t>
        </is>
      </c>
      <c r="AI172" s="131">
        <f>+AI92</f>
        <v/>
      </c>
      <c r="AJ172" s="258" t="n">
        <v>7144</v>
      </c>
      <c r="AK172" s="258" t="n">
        <v>8031</v>
      </c>
      <c r="AL172" s="258" t="n">
        <v>5683</v>
      </c>
      <c r="AM172" s="258" t="n">
        <v>885</v>
      </c>
      <c r="AN172" s="258" t="n">
        <v>8685</v>
      </c>
      <c r="AP172" s="357" t="inlineStr">
        <is>
          <t>01</t>
        </is>
      </c>
      <c r="AQ172" s="131">
        <f>+AQ92</f>
        <v/>
      </c>
      <c r="AR172" s="258" t="n">
        <v>10022</v>
      </c>
      <c r="AS172" s="258" t="n">
        <v>10797</v>
      </c>
      <c r="AT172" s="258" t="n">
        <v>7429</v>
      </c>
      <c r="AU172" s="258" t="n">
        <v>1627</v>
      </c>
      <c r="AV172" s="258" t="n">
        <v>0</v>
      </c>
      <c r="AX172" s="357" t="inlineStr">
        <is>
          <t>01</t>
        </is>
      </c>
      <c r="AY172" s="131">
        <f>+AY92</f>
        <v/>
      </c>
      <c r="AZ172" s="258" t="n">
        <v>5224</v>
      </c>
      <c r="BA172" s="258" t="n">
        <v>5225</v>
      </c>
      <c r="BB172" s="258" t="n">
        <v>3486</v>
      </c>
      <c r="BC172" s="258" t="n"/>
      <c r="BD172" s="258" t="n"/>
      <c r="BE172" s="258" t="n"/>
      <c r="BF172" s="357" t="inlineStr">
        <is>
          <t>01</t>
        </is>
      </c>
      <c r="BG172" s="131">
        <f>+BG92</f>
        <v/>
      </c>
      <c r="BH172" s="258" t="n">
        <v>5793</v>
      </c>
      <c r="BI172" s="258" t="n">
        <v>5269</v>
      </c>
      <c r="BJ172" s="258" t="n"/>
      <c r="BK172" s="258" t="n"/>
      <c r="BL172" s="258" t="n"/>
      <c r="BM172" s="258" t="n"/>
      <c r="BN172" s="357" t="inlineStr">
        <is>
          <t>01</t>
        </is>
      </c>
      <c r="BO172" s="131">
        <f>+BO92</f>
        <v/>
      </c>
      <c r="BP172" s="258" t="n">
        <v>7477</v>
      </c>
      <c r="BQ172" s="258" t="n">
        <v>8445</v>
      </c>
      <c r="BR172" s="258" t="n">
        <v>6571</v>
      </c>
      <c r="BS172" s="258" t="n">
        <v>742</v>
      </c>
      <c r="BT172" s="258" t="n">
        <v>9699</v>
      </c>
      <c r="BV172" s="357" t="inlineStr">
        <is>
          <t>01</t>
        </is>
      </c>
      <c r="BW172" s="131">
        <f>+BW92</f>
        <v/>
      </c>
      <c r="BX172" s="258" t="n">
        <v>4922</v>
      </c>
      <c r="BY172" s="258" t="n">
        <v>4871</v>
      </c>
      <c r="BZ172" s="258" t="n">
        <v>3583</v>
      </c>
      <c r="CA172" s="258" t="n">
        <v>0</v>
      </c>
      <c r="CB172" s="258" t="n">
        <v>5751</v>
      </c>
      <c r="CC172" s="258" t="n"/>
      <c r="CD172" s="357" t="inlineStr">
        <is>
          <t>01</t>
        </is>
      </c>
      <c r="CE172" s="131">
        <f>+CE92</f>
        <v/>
      </c>
      <c r="CF172" s="258" t="n">
        <v>8152</v>
      </c>
      <c r="CG172" s="258" t="n">
        <v>7787</v>
      </c>
      <c r="CH172" s="258" t="n">
        <v>5476</v>
      </c>
      <c r="CI172" s="258" t="n">
        <v>0</v>
      </c>
      <c r="CJ172" s="258" t="n">
        <v>7984</v>
      </c>
      <c r="CL172" s="357" t="inlineStr">
        <is>
          <t>01</t>
        </is>
      </c>
      <c r="CM172" s="131">
        <f>+CM92</f>
        <v/>
      </c>
      <c r="CN172" s="258" t="n">
        <v>7000</v>
      </c>
      <c r="CO172" s="258" t="n">
        <v>10190</v>
      </c>
      <c r="CP172" s="258" t="n">
        <v>7082</v>
      </c>
      <c r="CQ172" s="258" t="n">
        <v>666</v>
      </c>
      <c r="CR172" s="258" t="n">
        <v>11901</v>
      </c>
      <c r="CT172" s="357" t="inlineStr">
        <is>
          <t>01</t>
        </is>
      </c>
      <c r="CU172" s="131">
        <f>+CU92</f>
        <v/>
      </c>
      <c r="CV172" s="258" t="n">
        <v>8451</v>
      </c>
      <c r="CW172" s="258" t="n">
        <v>0</v>
      </c>
      <c r="CX172" s="258" t="n"/>
      <c r="CY172" s="258" t="n"/>
      <c r="CZ172" s="258" t="n"/>
      <c r="DB172" s="357" t="inlineStr">
        <is>
          <t>01</t>
        </is>
      </c>
      <c r="DC172" s="131">
        <f>+DC92</f>
        <v/>
      </c>
      <c r="DD172" s="258" t="n">
        <v>9427</v>
      </c>
      <c r="DE172" s="258" t="n">
        <v>0</v>
      </c>
      <c r="DF172" s="258" t="n"/>
      <c r="DG172" s="258" t="n"/>
      <c r="DH172" s="258" t="n"/>
      <c r="DI172" s="258" t="n"/>
      <c r="DJ172" s="357" t="inlineStr">
        <is>
          <t>01</t>
        </is>
      </c>
      <c r="DK172" s="131">
        <f>+DK92</f>
        <v/>
      </c>
      <c r="DL172" s="258" t="n">
        <v>7114</v>
      </c>
      <c r="DM172" s="258" t="n">
        <v>0</v>
      </c>
      <c r="DN172" s="258" t="n"/>
      <c r="DO172" s="258" t="n"/>
      <c r="DP172" s="258" t="n"/>
      <c r="DR172" s="357" t="inlineStr">
        <is>
          <t>01</t>
        </is>
      </c>
      <c r="DS172" s="131">
        <f>+DS92</f>
        <v/>
      </c>
      <c r="DT172" s="258" t="n">
        <v>5597</v>
      </c>
      <c r="DU172" s="258" t="n">
        <v>0</v>
      </c>
      <c r="DV172" s="258" t="n"/>
      <c r="DW172" s="258" t="n"/>
      <c r="DX172" s="258" t="n"/>
      <c r="DZ172" s="357" t="inlineStr">
        <is>
          <t>01</t>
        </is>
      </c>
      <c r="EA172" s="131">
        <f>EA92</f>
        <v/>
      </c>
      <c r="EB172" s="258" t="n"/>
      <c r="EC172" s="258" t="n">
        <v>0</v>
      </c>
      <c r="ED172" s="258" t="n"/>
      <c r="EE172" s="258" t="n"/>
      <c r="EF172" s="258" t="n"/>
    </row>
    <row r="173">
      <c r="B173" s="357" t="inlineStr">
        <is>
          <t>02</t>
        </is>
      </c>
      <c r="C173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73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73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73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73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73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73" s="258" t="n"/>
      <c r="J173" s="357" t="inlineStr">
        <is>
          <t>02</t>
        </is>
      </c>
      <c r="K173" s="131">
        <f>K172+K93</f>
        <v/>
      </c>
      <c r="L173" s="258" t="n">
        <v>14952</v>
      </c>
      <c r="M173" s="258" t="n">
        <v>18463</v>
      </c>
      <c r="N173" s="258" t="n">
        <v>15520</v>
      </c>
      <c r="O173" s="258" t="n">
        <v>2267</v>
      </c>
      <c r="P173" s="258" t="n">
        <v>22039</v>
      </c>
      <c r="R173" s="357" t="inlineStr">
        <is>
          <t>02</t>
        </is>
      </c>
      <c r="S173" s="131">
        <f>S172+S93</f>
        <v/>
      </c>
      <c r="T173" s="258" t="n">
        <v>9880</v>
      </c>
      <c r="U173" s="258" t="n">
        <v>10339</v>
      </c>
      <c r="V173" s="258" t="n">
        <v>8544</v>
      </c>
      <c r="W173" s="258" t="n">
        <v>1820</v>
      </c>
      <c r="X173" s="258" t="n">
        <v>13541</v>
      </c>
      <c r="Z173" s="357" t="inlineStr">
        <is>
          <t>02</t>
        </is>
      </c>
      <c r="AA173" s="131">
        <f>AA172+AA93</f>
        <v/>
      </c>
      <c r="AB173" s="258" t="n">
        <v>13357</v>
      </c>
      <c r="AC173" s="258" t="n">
        <v>15895</v>
      </c>
      <c r="AD173" s="258" t="n">
        <v>10957</v>
      </c>
      <c r="AE173" s="258" t="n">
        <v>1660</v>
      </c>
      <c r="AF173" s="258" t="n">
        <v>17060</v>
      </c>
      <c r="AH173" s="357" t="inlineStr">
        <is>
          <t>02</t>
        </is>
      </c>
      <c r="AI173" s="131">
        <f>AI93+AI172</f>
        <v/>
      </c>
      <c r="AJ173" s="258" t="n">
        <v>13911</v>
      </c>
      <c r="AK173" s="258" t="n">
        <v>15772</v>
      </c>
      <c r="AL173" s="258" t="n">
        <v>12439</v>
      </c>
      <c r="AM173" s="258" t="n">
        <v>2477</v>
      </c>
      <c r="AN173" s="258" t="n">
        <v>17175</v>
      </c>
      <c r="AP173" s="357" t="inlineStr">
        <is>
          <t>02</t>
        </is>
      </c>
      <c r="AQ173" s="131">
        <f>AQ172+AQ93</f>
        <v/>
      </c>
      <c r="AR173" s="258" t="n">
        <v>20224</v>
      </c>
      <c r="AS173" s="258" t="n">
        <v>21846</v>
      </c>
      <c r="AT173" s="258" t="n">
        <v>15951</v>
      </c>
      <c r="AU173" s="258" t="n">
        <v>3376</v>
      </c>
      <c r="AV173" s="258" t="n">
        <v>0</v>
      </c>
      <c r="AX173" s="357" t="inlineStr">
        <is>
          <t>02</t>
        </is>
      </c>
      <c r="AY173" s="131">
        <f>AY172+AY93</f>
        <v/>
      </c>
      <c r="AZ173" s="258" t="n">
        <v>10138</v>
      </c>
      <c r="BA173" s="258" t="n">
        <v>10460</v>
      </c>
      <c r="BB173" s="258" t="n">
        <v>7089</v>
      </c>
      <c r="BC173" s="258" t="n"/>
      <c r="BD173" s="258" t="n"/>
      <c r="BE173" s="258" t="n"/>
      <c r="BF173" s="357" t="inlineStr">
        <is>
          <t>02</t>
        </is>
      </c>
      <c r="BG173" s="131">
        <f>BG172+BG93</f>
        <v/>
      </c>
      <c r="BH173" s="258" t="n">
        <v>11482</v>
      </c>
      <c r="BI173" s="258" t="n">
        <v>11080</v>
      </c>
      <c r="BJ173" s="258" t="n"/>
      <c r="BK173" s="258" t="n"/>
      <c r="BL173" s="258" t="n"/>
      <c r="BM173" s="258" t="n"/>
      <c r="BN173" s="357" t="inlineStr">
        <is>
          <t>02</t>
        </is>
      </c>
      <c r="BO173" s="131">
        <f>BO172+BO93</f>
        <v/>
      </c>
      <c r="BP173" s="258" t="n">
        <v>15109</v>
      </c>
      <c r="BQ173" s="258" t="n">
        <v>16393</v>
      </c>
      <c r="BR173" s="258" t="n">
        <v>13033</v>
      </c>
      <c r="BS173" s="258" t="n">
        <v>2255</v>
      </c>
      <c r="BT173" s="258" t="n">
        <v>18581</v>
      </c>
      <c r="BV173" s="357" t="inlineStr">
        <is>
          <t>02</t>
        </is>
      </c>
      <c r="BW173" s="131">
        <f>BW172+BW93</f>
        <v/>
      </c>
      <c r="BX173" s="258" t="n">
        <v>10070</v>
      </c>
      <c r="BY173" s="258" t="n">
        <v>10092</v>
      </c>
      <c r="BZ173" s="258" t="n">
        <v>8287</v>
      </c>
      <c r="CA173" s="258" t="n">
        <v>31</v>
      </c>
      <c r="CB173" s="258" t="n">
        <v>11849</v>
      </c>
      <c r="CC173" s="258" t="n"/>
      <c r="CD173" s="357" t="inlineStr">
        <is>
          <t>02</t>
        </is>
      </c>
      <c r="CE173" s="131">
        <f>CE172+CE93</f>
        <v/>
      </c>
      <c r="CF173" s="258" t="n">
        <v>16931</v>
      </c>
      <c r="CG173" s="258" t="n">
        <v>16050</v>
      </c>
      <c r="CH173" s="258" t="n">
        <v>12036</v>
      </c>
      <c r="CI173" s="258" t="n">
        <v>346</v>
      </c>
      <c r="CJ173" s="258" t="n">
        <v>17288</v>
      </c>
      <c r="CL173" s="357" t="inlineStr">
        <is>
          <t>02</t>
        </is>
      </c>
      <c r="CM173" s="131">
        <f>CM172+CM93</f>
        <v/>
      </c>
      <c r="CN173" s="258" t="n">
        <v>14251</v>
      </c>
      <c r="CO173" s="258" t="n">
        <v>20682</v>
      </c>
      <c r="CP173" s="258" t="n">
        <v>15180</v>
      </c>
      <c r="CQ173" s="258" t="n">
        <v>1556</v>
      </c>
      <c r="CR173" s="258" t="n">
        <v>24364</v>
      </c>
      <c r="CT173" s="357" t="inlineStr">
        <is>
          <t>02</t>
        </is>
      </c>
      <c r="CU173" s="131">
        <f>CU93+CU172</f>
        <v/>
      </c>
      <c r="CV173" s="258" t="n">
        <v>17515</v>
      </c>
      <c r="CW173" s="258" t="n">
        <v>0</v>
      </c>
      <c r="CX173" s="258" t="n"/>
      <c r="CY173" s="258" t="n"/>
      <c r="CZ173" s="258" t="n"/>
      <c r="DB173" s="357" t="inlineStr">
        <is>
          <t>02</t>
        </is>
      </c>
      <c r="DC173" s="131">
        <f>DC172+DC93</f>
        <v/>
      </c>
      <c r="DD173" s="258" t="n">
        <v>17174</v>
      </c>
      <c r="DE173" s="258" t="n">
        <v>0</v>
      </c>
      <c r="DF173" s="258" t="n"/>
      <c r="DG173" s="258" t="n"/>
      <c r="DH173" s="258" t="n"/>
      <c r="DI173" s="258" t="n"/>
      <c r="DJ173" s="357" t="inlineStr">
        <is>
          <t>02</t>
        </is>
      </c>
      <c r="DK173" s="131">
        <f>DK172+DK93</f>
        <v/>
      </c>
      <c r="DL173" s="258" t="n">
        <v>13271</v>
      </c>
      <c r="DM173" s="258" t="n">
        <v>0</v>
      </c>
      <c r="DN173" s="258" t="n"/>
      <c r="DO173" s="258" t="n"/>
      <c r="DP173" s="258" t="n"/>
      <c r="DR173" s="357" t="inlineStr">
        <is>
          <t>02</t>
        </is>
      </c>
      <c r="DS173" s="131">
        <f>DS172+DS93</f>
        <v/>
      </c>
      <c r="DT173" s="258" t="n">
        <v>11611</v>
      </c>
      <c r="DU173" s="258" t="n">
        <v>0</v>
      </c>
      <c r="DV173" s="258" t="n"/>
      <c r="DW173" s="258" t="n"/>
      <c r="DX173" s="258" t="n"/>
      <c r="DZ173" s="357" t="inlineStr">
        <is>
          <t>02</t>
        </is>
      </c>
      <c r="EA173" s="131">
        <f>EA172+EA93</f>
        <v/>
      </c>
      <c r="EB173" s="258" t="n"/>
      <c r="EC173" s="258" t="n">
        <v>0</v>
      </c>
      <c r="ED173" s="258" t="n"/>
      <c r="EE173" s="258" t="n"/>
      <c r="EF173" s="258" t="n"/>
    </row>
    <row r="174">
      <c r="B174" s="357" t="inlineStr">
        <is>
          <t>03</t>
        </is>
      </c>
      <c r="C174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74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74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74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74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74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74" s="258" t="n"/>
      <c r="J174" s="357" t="inlineStr">
        <is>
          <t>03</t>
        </is>
      </c>
      <c r="K174" s="131">
        <f>K173+K94</f>
        <v/>
      </c>
      <c r="L174" s="258" t="n">
        <v>24116</v>
      </c>
      <c r="M174" s="258" t="n">
        <v>27673</v>
      </c>
      <c r="N174" s="258" t="n">
        <v>24157</v>
      </c>
      <c r="O174" s="258" t="n">
        <v>3794</v>
      </c>
      <c r="P174" s="258" t="n">
        <v>27212</v>
      </c>
      <c r="R174" s="357" t="inlineStr">
        <is>
          <t>03</t>
        </is>
      </c>
      <c r="S174" s="131">
        <f>S173+S94</f>
        <v/>
      </c>
      <c r="T174" s="258" t="n">
        <v>14950</v>
      </c>
      <c r="U174" s="258" t="n">
        <v>15554</v>
      </c>
      <c r="V174" s="258" t="n">
        <v>13365</v>
      </c>
      <c r="W174" s="258" t="n">
        <v>3273</v>
      </c>
      <c r="X174" s="258" t="n">
        <v>16637</v>
      </c>
      <c r="Z174" s="357" t="inlineStr">
        <is>
          <t>03</t>
        </is>
      </c>
      <c r="AA174" s="131">
        <f>AA173+AA94</f>
        <v/>
      </c>
      <c r="AB174" s="258" t="n">
        <v>22154</v>
      </c>
      <c r="AC174" s="258" t="n">
        <v>24683</v>
      </c>
      <c r="AD174" s="258" t="n">
        <v>17959</v>
      </c>
      <c r="AE174" s="258" t="n">
        <v>2903</v>
      </c>
      <c r="AF174" s="258" t="n">
        <v>21107</v>
      </c>
      <c r="AH174" s="357" t="inlineStr">
        <is>
          <t>03</t>
        </is>
      </c>
      <c r="AI174" s="131">
        <f>AI94+AI173</f>
        <v/>
      </c>
      <c r="AJ174" s="258" t="n">
        <v>22161</v>
      </c>
      <c r="AK174" s="258" t="n">
        <v>23927</v>
      </c>
      <c r="AL174" s="258" t="n">
        <v>18945</v>
      </c>
      <c r="AM174" s="258" t="n">
        <v>4113</v>
      </c>
      <c r="AN174" s="258" t="n">
        <v>17435</v>
      </c>
      <c r="AP174" s="357" t="inlineStr">
        <is>
          <t>03</t>
        </is>
      </c>
      <c r="AQ174" s="131">
        <f>AQ173+AQ94</f>
        <v/>
      </c>
      <c r="AR174" s="258" t="n">
        <v>30748</v>
      </c>
      <c r="AS174" s="258" t="n">
        <v>32798</v>
      </c>
      <c r="AT174" s="258" t="n">
        <v>24392</v>
      </c>
      <c r="AU174" s="258" t="n">
        <v>4885</v>
      </c>
      <c r="AV174" s="258" t="n">
        <v>0</v>
      </c>
      <c r="AX174" s="357" t="inlineStr">
        <is>
          <t>03</t>
        </is>
      </c>
      <c r="AY174" s="131">
        <f>AY173+AY94</f>
        <v/>
      </c>
      <c r="AZ174" s="258" t="n">
        <v>15462</v>
      </c>
      <c r="BA174" s="258" t="n">
        <v>16041</v>
      </c>
      <c r="BB174" s="258" t="n">
        <v>11077</v>
      </c>
      <c r="BC174" s="258" t="n"/>
      <c r="BD174" s="258" t="n"/>
      <c r="BE174" s="258" t="n"/>
      <c r="BF174" s="357" t="inlineStr">
        <is>
          <t>03</t>
        </is>
      </c>
      <c r="BG174" s="131">
        <f>BG173+BG94</f>
        <v/>
      </c>
      <c r="BH174" s="258" t="n">
        <v>17752</v>
      </c>
      <c r="BI174" s="258" t="n">
        <v>16282</v>
      </c>
      <c r="BJ174" s="258" t="n"/>
      <c r="BK174" s="258" t="n"/>
      <c r="BL174" s="258" t="n"/>
      <c r="BM174" s="258" t="n"/>
      <c r="BN174" s="357" t="inlineStr">
        <is>
          <t>03</t>
        </is>
      </c>
      <c r="BO174" s="131">
        <f>BO173+BO94</f>
        <v/>
      </c>
      <c r="BP174" s="258" t="n">
        <v>23912</v>
      </c>
      <c r="BQ174" s="258" t="n">
        <v>24897</v>
      </c>
      <c r="BR174" s="258" t="n">
        <v>20006</v>
      </c>
      <c r="BS174" s="258" t="n">
        <v>3733</v>
      </c>
      <c r="BT174" s="258" t="n">
        <v>23139</v>
      </c>
      <c r="BV174" s="357" t="inlineStr">
        <is>
          <t>03</t>
        </is>
      </c>
      <c r="BW174" s="131">
        <f>BW173+BW94</f>
        <v/>
      </c>
      <c r="BX174" s="258" t="n">
        <v>16137</v>
      </c>
      <c r="BY174" s="258" t="n">
        <v>15069</v>
      </c>
      <c r="BZ174" s="258" t="n">
        <v>12970</v>
      </c>
      <c r="CA174" s="258" t="n">
        <v>728</v>
      </c>
      <c r="CB174" s="258" t="n">
        <v>14423</v>
      </c>
      <c r="CC174" s="258" t="n"/>
      <c r="CD174" s="357" t="inlineStr">
        <is>
          <t>03</t>
        </is>
      </c>
      <c r="CE174" s="131">
        <f>CE173+CE94</f>
        <v/>
      </c>
      <c r="CF174" s="258" t="n">
        <v>26158</v>
      </c>
      <c r="CG174" s="258" t="n">
        <v>23841</v>
      </c>
      <c r="CH174" s="258" t="n">
        <v>18878</v>
      </c>
      <c r="CI174" s="258" t="n">
        <v>1216</v>
      </c>
      <c r="CJ174" s="258" t="n">
        <v>21054</v>
      </c>
      <c r="CL174" s="357" t="inlineStr">
        <is>
          <t>03</t>
        </is>
      </c>
      <c r="CM174" s="131">
        <f>CM173+CM94</f>
        <v/>
      </c>
      <c r="CN174" s="258" t="n">
        <v>22731</v>
      </c>
      <c r="CO174" s="258" t="n">
        <v>31143</v>
      </c>
      <c r="CP174" s="258" t="n">
        <v>23726</v>
      </c>
      <c r="CQ174" s="258" t="n">
        <v>2774</v>
      </c>
      <c r="CR174" s="258" t="n">
        <v>29817</v>
      </c>
      <c r="CT174" s="357" t="inlineStr">
        <is>
          <t>03</t>
        </is>
      </c>
      <c r="CU174" s="131">
        <f>CU94+CU173</f>
        <v/>
      </c>
      <c r="CV174" s="258" t="n">
        <v>27816</v>
      </c>
      <c r="CW174" s="258" t="n">
        <v>0</v>
      </c>
      <c r="CX174" s="258" t="n"/>
      <c r="CY174" s="258" t="n"/>
      <c r="CZ174" s="258" t="n"/>
      <c r="DB174" s="357" t="inlineStr">
        <is>
          <t>03</t>
        </is>
      </c>
      <c r="DC174" s="131">
        <f>DC173+DC94</f>
        <v/>
      </c>
      <c r="DD174" s="258" t="n">
        <v>26945</v>
      </c>
      <c r="DE174" s="258" t="n">
        <v>0</v>
      </c>
      <c r="DF174" s="258" t="n"/>
      <c r="DG174" s="258" t="n"/>
      <c r="DH174" s="258" t="n"/>
      <c r="DI174" s="258" t="n"/>
      <c r="DJ174" s="357" t="inlineStr">
        <is>
          <t>03</t>
        </is>
      </c>
      <c r="DK174" s="131">
        <f>DK173+DK94</f>
        <v/>
      </c>
      <c r="DL174" s="258" t="n">
        <v>19761</v>
      </c>
      <c r="DM174" s="258" t="n">
        <v>0</v>
      </c>
      <c r="DN174" s="258" t="n"/>
      <c r="DO174" s="258" t="n"/>
      <c r="DP174" s="258" t="n"/>
      <c r="DR174" s="357" t="inlineStr">
        <is>
          <t>03</t>
        </is>
      </c>
      <c r="DS174" s="131">
        <f>DS173+DS94</f>
        <v/>
      </c>
      <c r="DT174" s="258" t="n">
        <v>18153</v>
      </c>
      <c r="DU174" s="258" t="n">
        <v>0</v>
      </c>
      <c r="DV174" s="258" t="n"/>
      <c r="DW174" s="258" t="n"/>
      <c r="DX174" s="258" t="n"/>
      <c r="DZ174" s="357" t="inlineStr">
        <is>
          <t>03</t>
        </is>
      </c>
      <c r="EA174" s="131">
        <f>EA173+EA94</f>
        <v/>
      </c>
      <c r="EB174" s="258" t="n"/>
      <c r="EC174" s="258" t="n">
        <v>0</v>
      </c>
      <c r="ED174" s="258" t="n"/>
      <c r="EE174" s="258" t="n"/>
      <c r="EF174" s="258" t="n"/>
    </row>
    <row r="175">
      <c r="B175" s="357" t="inlineStr">
        <is>
          <t>04</t>
        </is>
      </c>
      <c r="C175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75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75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75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75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75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75" s="258" t="n"/>
      <c r="J175" s="357" t="inlineStr">
        <is>
          <t>04</t>
        </is>
      </c>
      <c r="K175" s="131">
        <f>K174+K95</f>
        <v/>
      </c>
      <c r="L175" s="258" t="n">
        <v>33003</v>
      </c>
      <c r="M175" s="258" t="n">
        <v>38300</v>
      </c>
      <c r="N175" s="258" t="n">
        <v>32693</v>
      </c>
      <c r="O175" s="258" t="n">
        <v>5495</v>
      </c>
      <c r="P175" s="258" t="n">
        <v>27212.00001</v>
      </c>
      <c r="R175" s="357" t="inlineStr">
        <is>
          <t>04</t>
        </is>
      </c>
      <c r="S175" s="131">
        <f>S174+S95</f>
        <v/>
      </c>
      <c r="T175" s="258" t="n">
        <v>20410</v>
      </c>
      <c r="U175" s="258" t="n">
        <v>21135</v>
      </c>
      <c r="V175" s="258" t="n">
        <v>18680</v>
      </c>
      <c r="W175" s="258" t="n">
        <v>4729</v>
      </c>
      <c r="X175" s="258" t="n">
        <v>16637</v>
      </c>
      <c r="Z175" s="357" t="inlineStr">
        <is>
          <t>04</t>
        </is>
      </c>
      <c r="AA175" s="131">
        <f>AA174+AA95</f>
        <v/>
      </c>
      <c r="AB175" s="258" t="n">
        <v>30423</v>
      </c>
      <c r="AC175" s="258" t="n">
        <v>32367</v>
      </c>
      <c r="AD175" s="258" t="n">
        <v>25042</v>
      </c>
      <c r="AE175" s="258" t="n">
        <v>4179</v>
      </c>
      <c r="AF175" s="258" t="n">
        <v>21107</v>
      </c>
      <c r="AH175" s="357" t="inlineStr">
        <is>
          <t>04</t>
        </is>
      </c>
      <c r="AI175" s="131">
        <f>AI95+AI174</f>
        <v/>
      </c>
      <c r="AJ175" s="258" t="n">
        <v>29868</v>
      </c>
      <c r="AK175" s="258" t="n">
        <v>32357</v>
      </c>
      <c r="AL175" s="258" t="n">
        <v>26165</v>
      </c>
      <c r="AM175" s="258" t="n">
        <v>5718</v>
      </c>
      <c r="AN175" s="258" t="n">
        <v>17435</v>
      </c>
      <c r="AP175" s="357" t="inlineStr">
        <is>
          <t>04</t>
        </is>
      </c>
      <c r="AQ175" s="131">
        <f>AQ174+AQ95</f>
        <v/>
      </c>
      <c r="AR175" s="258" t="n">
        <v>42149</v>
      </c>
      <c r="AS175" s="258" t="n">
        <v>44913</v>
      </c>
      <c r="AT175" s="258" t="n">
        <v>34368</v>
      </c>
      <c r="AU175" s="258" t="n">
        <v>6014</v>
      </c>
      <c r="AV175" s="258" t="n">
        <v>0</v>
      </c>
      <c r="AX175" s="357" t="inlineStr">
        <is>
          <t>04</t>
        </is>
      </c>
      <c r="AY175" s="131">
        <f>AY174+AY95</f>
        <v/>
      </c>
      <c r="AZ175" s="258" t="n">
        <v>21509</v>
      </c>
      <c r="BA175" s="258" t="n">
        <v>22163</v>
      </c>
      <c r="BB175" s="258" t="n">
        <v>16008</v>
      </c>
      <c r="BC175" s="258" t="n"/>
      <c r="BD175" s="258" t="n"/>
      <c r="BE175" s="258" t="n"/>
      <c r="BF175" s="357" t="inlineStr">
        <is>
          <t>04</t>
        </is>
      </c>
      <c r="BG175" s="131">
        <f>BG174+BG95</f>
        <v/>
      </c>
      <c r="BH175" s="258" t="n">
        <v>24801</v>
      </c>
      <c r="BI175" s="258" t="n">
        <v>23394</v>
      </c>
      <c r="BJ175" s="258" t="n"/>
      <c r="BK175" s="258" t="n"/>
      <c r="BL175" s="258" t="n"/>
      <c r="BM175" s="258" t="n"/>
      <c r="BN175" s="357" t="inlineStr">
        <is>
          <t>04</t>
        </is>
      </c>
      <c r="BO175" s="131">
        <f>BO174+BO95</f>
        <v/>
      </c>
      <c r="BP175" s="258" t="n">
        <v>32434</v>
      </c>
      <c r="BQ175" s="258" t="n">
        <v>32567</v>
      </c>
      <c r="BR175" s="258" t="n">
        <v>27014</v>
      </c>
      <c r="BS175" s="258" t="n">
        <v>4916</v>
      </c>
      <c r="BT175" s="258" t="n">
        <v>23139</v>
      </c>
      <c r="BV175" s="357" t="inlineStr">
        <is>
          <t>04</t>
        </is>
      </c>
      <c r="BW175" s="131">
        <f>BW174+BW95</f>
        <v/>
      </c>
      <c r="BX175" s="258" t="n">
        <v>23015</v>
      </c>
      <c r="BY175" s="258" t="n">
        <v>21736</v>
      </c>
      <c r="BZ175" s="258" t="n">
        <v>18983</v>
      </c>
      <c r="CA175" s="258" t="n">
        <v>1444</v>
      </c>
      <c r="CB175" s="258" t="n">
        <v>14423</v>
      </c>
      <c r="CC175" s="258" t="n"/>
      <c r="CD175" s="357" t="inlineStr">
        <is>
          <t>04</t>
        </is>
      </c>
      <c r="CE175" s="131">
        <f>CE174+CE95</f>
        <v/>
      </c>
      <c r="CF175" s="258" t="n">
        <v>36638</v>
      </c>
      <c r="CG175" s="258" t="n">
        <v>33547</v>
      </c>
      <c r="CH175" s="258" t="n">
        <v>26639</v>
      </c>
      <c r="CI175" s="258" t="n">
        <v>2042</v>
      </c>
      <c r="CJ175" s="258" t="n">
        <v>21054</v>
      </c>
      <c r="CL175" s="357" t="inlineStr">
        <is>
          <t>04</t>
        </is>
      </c>
      <c r="CM175" s="131">
        <f>CM174+CM95</f>
        <v/>
      </c>
      <c r="CN175" s="258" t="n">
        <v>31518</v>
      </c>
      <c r="CO175" s="258" t="n">
        <v>42801</v>
      </c>
      <c r="CP175" s="258" t="n">
        <v>33690</v>
      </c>
      <c r="CQ175" s="258" t="n">
        <v>3873</v>
      </c>
      <c r="CR175" s="258" t="n">
        <v>29817</v>
      </c>
      <c r="CT175" s="357" t="inlineStr">
        <is>
          <t>04</t>
        </is>
      </c>
      <c r="CU175" s="131">
        <f>CU95+CU174</f>
        <v/>
      </c>
      <c r="CV175" s="258" t="n">
        <v>37771</v>
      </c>
      <c r="CW175" s="258" t="n">
        <v>0</v>
      </c>
      <c r="CX175" s="258" t="n"/>
      <c r="CY175" s="258" t="n"/>
      <c r="CZ175" s="258" t="n"/>
      <c r="DB175" s="357" t="inlineStr">
        <is>
          <t>04</t>
        </is>
      </c>
      <c r="DC175" s="131">
        <f>DC174+DC95</f>
        <v/>
      </c>
      <c r="DD175" s="258" t="n">
        <v>36491</v>
      </c>
      <c r="DE175" s="258" t="n">
        <v>0</v>
      </c>
      <c r="DF175" s="258" t="n"/>
      <c r="DG175" s="258" t="n"/>
      <c r="DH175" s="258" t="n"/>
      <c r="DI175" s="258" t="n"/>
      <c r="DJ175" s="357" t="inlineStr">
        <is>
          <t>04</t>
        </is>
      </c>
      <c r="DK175" s="131">
        <f>DK174+DK95</f>
        <v/>
      </c>
      <c r="DL175" s="258" t="n">
        <v>26373</v>
      </c>
      <c r="DM175" s="258" t="n">
        <v>0</v>
      </c>
      <c r="DN175" s="258" t="n"/>
      <c r="DO175" s="258" t="n"/>
      <c r="DP175" s="258" t="n"/>
      <c r="DR175" s="357" t="inlineStr">
        <is>
          <t>04</t>
        </is>
      </c>
      <c r="DS175" s="131">
        <f>DS174+DS95</f>
        <v/>
      </c>
      <c r="DT175" s="258" t="n">
        <v>24378</v>
      </c>
      <c r="DU175" s="258" t="n">
        <v>0</v>
      </c>
      <c r="DV175" s="258" t="n"/>
      <c r="DW175" s="258" t="n"/>
      <c r="DX175" s="258" t="n"/>
      <c r="DZ175" s="357" t="inlineStr">
        <is>
          <t>04</t>
        </is>
      </c>
      <c r="EA175" s="131">
        <f>EA174+EA95</f>
        <v/>
      </c>
      <c r="EB175" s="258" t="n"/>
      <c r="EC175" s="258" t="n">
        <v>0</v>
      </c>
      <c r="ED175" s="258" t="n"/>
      <c r="EE175" s="258" t="n"/>
      <c r="EF175" s="258" t="n"/>
    </row>
    <row r="176">
      <c r="B176" s="357" t="inlineStr">
        <is>
          <t>05</t>
        </is>
      </c>
      <c r="C176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76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76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76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76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76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76" s="258" t="n"/>
      <c r="J176" s="357" t="inlineStr">
        <is>
          <t>05</t>
        </is>
      </c>
      <c r="K176" s="131">
        <f>K175+K96</f>
        <v/>
      </c>
      <c r="L176" s="258" t="n">
        <v>42361</v>
      </c>
      <c r="M176" s="258" t="n">
        <v>49023</v>
      </c>
      <c r="N176" s="258" t="n">
        <v>42275</v>
      </c>
      <c r="O176" s="258" t="n">
        <v>9037</v>
      </c>
      <c r="P176" s="258" t="n">
        <v>27212.00002</v>
      </c>
      <c r="R176" s="357" t="inlineStr">
        <is>
          <t>05</t>
        </is>
      </c>
      <c r="S176" s="131">
        <f>S175+S96</f>
        <v/>
      </c>
      <c r="T176" s="258" t="n">
        <v>25850</v>
      </c>
      <c r="U176" s="258" t="n">
        <v>26812</v>
      </c>
      <c r="V176" s="258" t="n">
        <v>24499</v>
      </c>
      <c r="W176" s="258" t="n">
        <v>6962</v>
      </c>
      <c r="X176" s="258" t="n">
        <v>16637</v>
      </c>
      <c r="Z176" s="357" t="inlineStr">
        <is>
          <t>05</t>
        </is>
      </c>
      <c r="AA176" s="131">
        <f>AA175+AA96</f>
        <v/>
      </c>
      <c r="AB176" s="258" t="n">
        <v>36549</v>
      </c>
      <c r="AC176" s="258" t="n">
        <v>40189</v>
      </c>
      <c r="AD176" s="258" t="n">
        <v>32970</v>
      </c>
      <c r="AE176" s="258" t="n">
        <v>6358</v>
      </c>
      <c r="AF176" s="258" t="n">
        <v>21107</v>
      </c>
      <c r="AH176" s="357" t="inlineStr">
        <is>
          <t>05</t>
        </is>
      </c>
      <c r="AI176" s="131">
        <f>AI96+AI175</f>
        <v/>
      </c>
      <c r="AJ176" s="258" t="n">
        <v>37881</v>
      </c>
      <c r="AK176" s="258" t="n">
        <v>41667</v>
      </c>
      <c r="AL176" s="258" t="n">
        <v>34177</v>
      </c>
      <c r="AM176" s="258" t="n">
        <v>8428</v>
      </c>
      <c r="AN176" s="258" t="n">
        <v>17435</v>
      </c>
      <c r="AP176" s="357" t="inlineStr">
        <is>
          <t>05</t>
        </is>
      </c>
      <c r="AQ176" s="131">
        <f>AQ175+AQ96</f>
        <v/>
      </c>
      <c r="AR176" s="258" t="n">
        <v>54095</v>
      </c>
      <c r="AS176" s="258" t="n">
        <v>57226</v>
      </c>
      <c r="AT176" s="258" t="n">
        <v>45144</v>
      </c>
      <c r="AU176" s="258" t="n">
        <v>9923</v>
      </c>
      <c r="AV176" s="258" t="n">
        <v>0</v>
      </c>
      <c r="AX176" s="357" t="inlineStr">
        <is>
          <t>05</t>
        </is>
      </c>
      <c r="AY176" s="131">
        <f>AY175+AY96</f>
        <v/>
      </c>
      <c r="AZ176" s="258" t="n">
        <v>28092</v>
      </c>
      <c r="BA176" s="258" t="n">
        <v>28720</v>
      </c>
      <c r="BB176" s="258" t="n">
        <v>21376</v>
      </c>
      <c r="BC176" s="258" t="n"/>
      <c r="BD176" s="258" t="n"/>
      <c r="BE176" s="258" t="n"/>
      <c r="BF176" s="357" t="inlineStr">
        <is>
          <t>05</t>
        </is>
      </c>
      <c r="BG176" s="131">
        <f>BG175+BG96</f>
        <v/>
      </c>
      <c r="BH176" s="258" t="n">
        <v>32281</v>
      </c>
      <c r="BI176" s="258" t="n">
        <v>30813</v>
      </c>
      <c r="BJ176" s="258" t="n"/>
      <c r="BK176" s="258" t="n"/>
      <c r="BL176" s="258" t="n"/>
      <c r="BM176" s="258" t="n"/>
      <c r="BN176" s="357" t="inlineStr">
        <is>
          <t>05</t>
        </is>
      </c>
      <c r="BO176" s="131">
        <f>BO175+BO96</f>
        <v/>
      </c>
      <c r="BP176" s="258" t="n">
        <v>41996</v>
      </c>
      <c r="BQ176" s="258" t="n">
        <v>41619</v>
      </c>
      <c r="BR176" s="258" t="n">
        <v>35489</v>
      </c>
      <c r="BS176" s="258" t="n">
        <v>7392</v>
      </c>
      <c r="BT176" s="258" t="n">
        <v>23139</v>
      </c>
      <c r="BV176" s="357" t="inlineStr">
        <is>
          <t>05</t>
        </is>
      </c>
      <c r="BW176" s="131">
        <f>BW175+BW96</f>
        <v/>
      </c>
      <c r="BX176" s="258" t="n">
        <v>30351</v>
      </c>
      <c r="BY176" s="258" t="n">
        <v>29320</v>
      </c>
      <c r="BZ176" s="258" t="n">
        <v>25541</v>
      </c>
      <c r="CA176" s="258" t="n">
        <v>3660</v>
      </c>
      <c r="CB176" s="258" t="n">
        <v>14423</v>
      </c>
      <c r="CC176" s="258" t="n"/>
      <c r="CD176" s="357" t="inlineStr">
        <is>
          <t>05</t>
        </is>
      </c>
      <c r="CE176" s="131">
        <f>CE175+CE96</f>
        <v/>
      </c>
      <c r="CF176" s="258" t="n">
        <v>48431</v>
      </c>
      <c r="CG176" s="258" t="n">
        <v>45027</v>
      </c>
      <c r="CH176" s="258" t="n">
        <v>35478</v>
      </c>
      <c r="CI176" s="258" t="n">
        <v>4900</v>
      </c>
      <c r="CJ176" s="258" t="n">
        <v>21054</v>
      </c>
      <c r="CL176" s="357" t="inlineStr">
        <is>
          <t>05</t>
        </is>
      </c>
      <c r="CM176" s="131">
        <f>CM175+CM96</f>
        <v/>
      </c>
      <c r="CN176" s="258" t="n">
        <v>40737</v>
      </c>
      <c r="CO176" s="258" t="n">
        <v>54899</v>
      </c>
      <c r="CP176" s="258" t="n">
        <v>43508</v>
      </c>
      <c r="CQ176" s="258" t="n">
        <v>6464</v>
      </c>
      <c r="CR176" s="258" t="n">
        <v>29817</v>
      </c>
      <c r="CT176" s="357" t="inlineStr">
        <is>
          <t>05</t>
        </is>
      </c>
      <c r="CU176" s="131">
        <f>CU96+CU175</f>
        <v/>
      </c>
      <c r="CV176" s="258" t="n">
        <v>48621</v>
      </c>
      <c r="CW176" s="258" t="n">
        <v>0</v>
      </c>
      <c r="CX176" s="258" t="n"/>
      <c r="CY176" s="258" t="n"/>
      <c r="CZ176" s="258" t="n"/>
      <c r="DB176" s="357" t="inlineStr">
        <is>
          <t>05</t>
        </is>
      </c>
      <c r="DC176" s="131">
        <f>DC175+DC96</f>
        <v/>
      </c>
      <c r="DD176" s="258" t="n">
        <v>46733</v>
      </c>
      <c r="DE176" s="258" t="n">
        <v>0</v>
      </c>
      <c r="DF176" s="258" t="n"/>
      <c r="DG176" s="258" t="n"/>
      <c r="DH176" s="258" t="n"/>
      <c r="DI176" s="258" t="n"/>
      <c r="DJ176" s="357" t="inlineStr">
        <is>
          <t>05</t>
        </is>
      </c>
      <c r="DK176" s="131">
        <f>DK175+DK96</f>
        <v/>
      </c>
      <c r="DL176" s="258" t="n">
        <v>33138</v>
      </c>
      <c r="DM176" s="258" t="n">
        <v>0</v>
      </c>
      <c r="DN176" s="258" t="n"/>
      <c r="DO176" s="258" t="n"/>
      <c r="DP176" s="258" t="n"/>
      <c r="DR176" s="357" t="inlineStr">
        <is>
          <t>05</t>
        </is>
      </c>
      <c r="DS176" s="131">
        <f>DS175+DS96</f>
        <v/>
      </c>
      <c r="DT176" s="258" t="n">
        <v>30833</v>
      </c>
      <c r="DU176" s="258" t="n">
        <v>0</v>
      </c>
      <c r="DV176" s="258" t="n"/>
      <c r="DW176" s="258" t="n"/>
      <c r="DX176" s="258" t="n"/>
      <c r="DZ176" s="357" t="inlineStr">
        <is>
          <t>05</t>
        </is>
      </c>
      <c r="EA176" s="131">
        <f>EA175+EA96</f>
        <v/>
      </c>
      <c r="EB176" s="258" t="n"/>
      <c r="EC176" s="258" t="n">
        <v>0</v>
      </c>
      <c r="ED176" s="258" t="n"/>
      <c r="EE176" s="258" t="n"/>
      <c r="EF176" s="258" t="n"/>
    </row>
    <row r="177">
      <c r="B177" s="357" t="inlineStr">
        <is>
          <t>06</t>
        </is>
      </c>
      <c r="C177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77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77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77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77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77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77" s="258" t="n"/>
      <c r="J177" s="357" t="inlineStr">
        <is>
          <t>06</t>
        </is>
      </c>
      <c r="K177" s="131">
        <f>K176+K97</f>
        <v/>
      </c>
      <c r="L177" s="258" t="n">
        <v>50464</v>
      </c>
      <c r="M177" s="258" t="n">
        <v>59921</v>
      </c>
      <c r="N177" s="258" t="n">
        <v>51477</v>
      </c>
      <c r="O177" s="258" t="n">
        <v>15597</v>
      </c>
      <c r="P177" s="258" t="n">
        <v>32123.00002</v>
      </c>
      <c r="R177" s="357" t="inlineStr">
        <is>
          <t>06</t>
        </is>
      </c>
      <c r="S177" s="131">
        <f>S176+S97</f>
        <v/>
      </c>
      <c r="T177" s="258" t="n">
        <v>31639</v>
      </c>
      <c r="U177" s="258" t="n">
        <v>32508</v>
      </c>
      <c r="V177" s="258" t="n">
        <v>30287</v>
      </c>
      <c r="W177" s="258" t="n">
        <v>11330</v>
      </c>
      <c r="X177" s="258" t="n">
        <v>19759</v>
      </c>
      <c r="Z177" s="357" t="inlineStr">
        <is>
          <t>06</t>
        </is>
      </c>
      <c r="AA177" s="131">
        <f>AA176+AA97</f>
        <v/>
      </c>
      <c r="AB177" s="258" t="n">
        <v>43393</v>
      </c>
      <c r="AC177" s="258" t="n">
        <v>48024</v>
      </c>
      <c r="AD177" s="258" t="n">
        <v>39876</v>
      </c>
      <c r="AE177" s="258" t="n">
        <v>10377</v>
      </c>
      <c r="AF177" s="258" t="n">
        <v>23967</v>
      </c>
      <c r="AH177" s="357" t="inlineStr">
        <is>
          <t>06</t>
        </is>
      </c>
      <c r="AI177" s="131">
        <f>AI97+AI176</f>
        <v/>
      </c>
      <c r="AJ177" s="258" t="n">
        <v>47150</v>
      </c>
      <c r="AK177" s="258" t="n">
        <v>50315</v>
      </c>
      <c r="AL177" s="258" t="n">
        <v>42806</v>
      </c>
      <c r="AM177" s="258" t="n">
        <v>13661</v>
      </c>
      <c r="AN177" s="258" t="n">
        <v>22425</v>
      </c>
      <c r="AP177" s="357" t="inlineStr">
        <is>
          <t>06</t>
        </is>
      </c>
      <c r="AQ177" s="131">
        <f>AQ176+AQ97</f>
        <v/>
      </c>
      <c r="AR177" s="258" t="n">
        <v>66010</v>
      </c>
      <c r="AS177" s="258" t="n">
        <v>69355</v>
      </c>
      <c r="AT177" s="258" t="n">
        <v>56843</v>
      </c>
      <c r="AU177" s="258" t="n">
        <v>13493</v>
      </c>
      <c r="AV177" s="258" t="n">
        <v>0</v>
      </c>
      <c r="AX177" s="357" t="inlineStr">
        <is>
          <t>06</t>
        </is>
      </c>
      <c r="AY177" s="131">
        <f>AY176+AY97</f>
        <v/>
      </c>
      <c r="AZ177" s="258" t="n">
        <v>34761</v>
      </c>
      <c r="BA177" s="258" t="n">
        <v>35211</v>
      </c>
      <c r="BB177" s="258" t="n">
        <v>27241</v>
      </c>
      <c r="BC177" s="258" t="n"/>
      <c r="BD177" s="258" t="n"/>
      <c r="BE177" s="258" t="n"/>
      <c r="BF177" s="357" t="inlineStr">
        <is>
          <t>06</t>
        </is>
      </c>
      <c r="BG177" s="131">
        <f>BG176+BG97</f>
        <v/>
      </c>
      <c r="BH177" s="258" t="n">
        <v>39353</v>
      </c>
      <c r="BI177" s="258" t="n">
        <v>37545</v>
      </c>
      <c r="BJ177" s="258" t="n"/>
      <c r="BK177" s="258" t="n"/>
      <c r="BL177" s="258" t="n"/>
      <c r="BM177" s="258" t="n"/>
      <c r="BN177" s="357" t="inlineStr">
        <is>
          <t>06</t>
        </is>
      </c>
      <c r="BO177" s="131">
        <f>BO176+BO97</f>
        <v/>
      </c>
      <c r="BP177" s="258" t="n">
        <v>51026</v>
      </c>
      <c r="BQ177" s="258" t="n">
        <v>49516</v>
      </c>
      <c r="BR177" s="258" t="n">
        <v>44050</v>
      </c>
      <c r="BS177" s="258" t="n">
        <v>12917</v>
      </c>
      <c r="BT177" s="258" t="n">
        <v>27311</v>
      </c>
      <c r="BV177" s="357" t="inlineStr">
        <is>
          <t>06</t>
        </is>
      </c>
      <c r="BW177" s="131">
        <f>BW176+BW97</f>
        <v/>
      </c>
      <c r="BX177" s="258" t="n">
        <v>37114</v>
      </c>
      <c r="BY177" s="258" t="n">
        <v>35765</v>
      </c>
      <c r="BZ177" s="258" t="n">
        <v>32011</v>
      </c>
      <c r="CA177" s="258" t="n">
        <v>8113</v>
      </c>
      <c r="CB177" s="258" t="n">
        <v>18459</v>
      </c>
      <c r="CC177" s="258" t="n"/>
      <c r="CD177" s="357" t="inlineStr">
        <is>
          <t>06</t>
        </is>
      </c>
      <c r="CE177" s="131">
        <f>CE176+CE97</f>
        <v/>
      </c>
      <c r="CF177" s="258" t="n">
        <v>60114</v>
      </c>
      <c r="CG177" s="258" t="n">
        <v>55753</v>
      </c>
      <c r="CH177" s="258" t="n">
        <v>44130</v>
      </c>
      <c r="CI177" s="258" t="n">
        <v>11838</v>
      </c>
      <c r="CJ177" s="258" t="n">
        <v>28084</v>
      </c>
      <c r="CL177" s="357" t="inlineStr">
        <is>
          <t>06</t>
        </is>
      </c>
      <c r="CM177" s="131">
        <f>CM176+CM97</f>
        <v/>
      </c>
      <c r="CN177" s="258" t="n">
        <v>48638</v>
      </c>
      <c r="CO177" s="258" t="n">
        <v>66258</v>
      </c>
      <c r="CP177" s="258" t="n">
        <v>54143</v>
      </c>
      <c r="CQ177" s="258" t="n">
        <v>12902</v>
      </c>
      <c r="CR177" s="258" t="n">
        <v>35591</v>
      </c>
      <c r="CT177" s="357" t="inlineStr">
        <is>
          <t>06</t>
        </is>
      </c>
      <c r="CU177" s="131">
        <f>CU97+CU176</f>
        <v/>
      </c>
      <c r="CV177" s="258" t="n">
        <v>58877</v>
      </c>
      <c r="CW177" s="258" t="n">
        <v>0</v>
      </c>
      <c r="CX177" s="258" t="n"/>
      <c r="CY177" s="258" t="n"/>
      <c r="CZ177" s="258" t="n"/>
      <c r="DB177" s="357" t="inlineStr">
        <is>
          <t>06</t>
        </is>
      </c>
      <c r="DC177" s="131">
        <f>DC176+DC97</f>
        <v/>
      </c>
      <c r="DD177" s="258" t="n">
        <v>56951</v>
      </c>
      <c r="DE177" s="258" t="n">
        <v>0</v>
      </c>
      <c r="DF177" s="258" t="n"/>
      <c r="DG177" s="258" t="n"/>
      <c r="DH177" s="258" t="n"/>
      <c r="DI177" s="258" t="n"/>
      <c r="DJ177" s="357" t="inlineStr">
        <is>
          <t>06</t>
        </is>
      </c>
      <c r="DK177" s="131">
        <f>DK176+DK97</f>
        <v/>
      </c>
      <c r="DL177" s="258" t="n">
        <v>40428</v>
      </c>
      <c r="DM177" s="258" t="n">
        <v>0</v>
      </c>
      <c r="DN177" s="258" t="n"/>
      <c r="DO177" s="258" t="n"/>
      <c r="DP177" s="258" t="n"/>
      <c r="DR177" s="357" t="inlineStr">
        <is>
          <t>06</t>
        </is>
      </c>
      <c r="DS177" s="131">
        <f>DS176+DS97</f>
        <v/>
      </c>
      <c r="DT177" s="258" t="n">
        <v>37237</v>
      </c>
      <c r="DU177" s="258" t="n">
        <v>0</v>
      </c>
      <c r="DV177" s="258" t="n"/>
      <c r="DW177" s="258" t="n"/>
      <c r="DX177" s="258" t="n"/>
      <c r="DZ177" s="357" t="inlineStr">
        <is>
          <t>06</t>
        </is>
      </c>
      <c r="EA177" s="131">
        <f>EA176+EA97</f>
        <v/>
      </c>
      <c r="EB177" s="258" t="n"/>
      <c r="EC177" s="258" t="n">
        <v>0</v>
      </c>
      <c r="ED177" s="258" t="n"/>
      <c r="EE177" s="258" t="n"/>
      <c r="EF177" s="258" t="n"/>
    </row>
    <row r="178">
      <c r="B178" s="357" t="inlineStr">
        <is>
          <t>07</t>
        </is>
      </c>
      <c r="C178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78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78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78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78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78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78" s="258" t="n"/>
      <c r="J178" s="357" t="inlineStr">
        <is>
          <t>07</t>
        </is>
      </c>
      <c r="K178" s="131">
        <f>K177+K98</f>
        <v/>
      </c>
      <c r="L178" s="258" t="n">
        <v>58868</v>
      </c>
      <c r="M178" s="258" t="n">
        <v>71840</v>
      </c>
      <c r="N178" s="258" t="n">
        <v>61585</v>
      </c>
      <c r="O178" s="258" t="n">
        <v>24266</v>
      </c>
      <c r="P178" s="258" t="n">
        <v>39505.00002</v>
      </c>
      <c r="R178" s="357" t="inlineStr">
        <is>
          <t>07</t>
        </is>
      </c>
      <c r="S178" s="131">
        <f>S177+S98</f>
        <v/>
      </c>
      <c r="T178" s="258" t="n">
        <v>37624</v>
      </c>
      <c r="U178" s="258" t="n">
        <v>38491</v>
      </c>
      <c r="V178" s="258" t="n">
        <v>35807</v>
      </c>
      <c r="W178" s="258" t="n">
        <v>17392</v>
      </c>
      <c r="X178" s="258" t="n">
        <v>25246</v>
      </c>
      <c r="Z178" s="357" t="inlineStr">
        <is>
          <t>07</t>
        </is>
      </c>
      <c r="AA178" s="131">
        <f>AA177+AA98</f>
        <v/>
      </c>
      <c r="AB178" s="258" t="n">
        <v>49320</v>
      </c>
      <c r="AC178" s="258" t="n">
        <v>54725</v>
      </c>
      <c r="AD178" s="258" t="n">
        <v>46124</v>
      </c>
      <c r="AE178" s="258" t="n">
        <v>15118</v>
      </c>
      <c r="AF178" s="258" t="n">
        <v>28266</v>
      </c>
      <c r="AH178" s="357" t="inlineStr">
        <is>
          <t>07</t>
        </is>
      </c>
      <c r="AI178" s="131">
        <f>AI98+AI177</f>
        <v/>
      </c>
      <c r="AJ178" s="258" t="n">
        <v>56260</v>
      </c>
      <c r="AK178" s="258" t="n">
        <v>59355</v>
      </c>
      <c r="AL178" s="258" t="n">
        <v>51782</v>
      </c>
      <c r="AM178" s="258" t="n">
        <v>20655</v>
      </c>
      <c r="AN178" s="258" t="n">
        <v>29188</v>
      </c>
      <c r="AP178" s="357" t="inlineStr">
        <is>
          <t>07</t>
        </is>
      </c>
      <c r="AQ178" s="131">
        <f>AQ177+AQ98</f>
        <v/>
      </c>
      <c r="AR178" s="258" t="n">
        <v>78831</v>
      </c>
      <c r="AS178" s="258" t="n">
        <v>83471</v>
      </c>
      <c r="AT178" s="258" t="n">
        <v>69499</v>
      </c>
      <c r="AU178" s="258" t="n">
        <v>15986</v>
      </c>
      <c r="AV178" s="258" t="n">
        <v>0</v>
      </c>
      <c r="AX178" s="357" t="inlineStr">
        <is>
          <t>07</t>
        </is>
      </c>
      <c r="AY178" s="131">
        <f>AY177+AY98</f>
        <v/>
      </c>
      <c r="AZ178" s="258" t="n">
        <v>41986</v>
      </c>
      <c r="BA178" s="258" t="n">
        <v>42801</v>
      </c>
      <c r="BB178" s="258" t="n">
        <v>33960</v>
      </c>
      <c r="BC178" s="258" t="n">
        <v>1073</v>
      </c>
      <c r="BD178" s="258" t="n"/>
      <c r="BE178" s="258" t="n"/>
      <c r="BF178" s="357" t="inlineStr">
        <is>
          <t>07</t>
        </is>
      </c>
      <c r="BG178" s="131">
        <f>BG177+BG98</f>
        <v/>
      </c>
      <c r="BH178" s="258" t="n">
        <v>48332</v>
      </c>
      <c r="BI178" s="258" t="n">
        <v>46929</v>
      </c>
      <c r="BJ178" s="258" t="n"/>
      <c r="BK178" s="258" t="n"/>
      <c r="BL178" s="258" t="n"/>
      <c r="BM178" s="258" t="n"/>
      <c r="BN178" s="357" t="inlineStr">
        <is>
          <t>07</t>
        </is>
      </c>
      <c r="BO178" s="131">
        <f>BO177+BO98</f>
        <v/>
      </c>
      <c r="BP178" s="258" t="n">
        <v>59610</v>
      </c>
      <c r="BQ178" s="258" t="n">
        <v>58449</v>
      </c>
      <c r="BR178" s="258" t="n">
        <v>52517</v>
      </c>
      <c r="BS178" s="258" t="n">
        <v>20309</v>
      </c>
      <c r="BT178" s="258" t="n">
        <v>33963</v>
      </c>
      <c r="BV178" s="357" t="inlineStr">
        <is>
          <t>07</t>
        </is>
      </c>
      <c r="BW178" s="131">
        <f>BW177+BW98</f>
        <v/>
      </c>
      <c r="BX178" s="258" t="n">
        <v>47208</v>
      </c>
      <c r="BY178" s="258" t="n">
        <v>45534</v>
      </c>
      <c r="BZ178" s="258" t="n">
        <v>42400</v>
      </c>
      <c r="CA178" s="258" t="n">
        <v>15251</v>
      </c>
      <c r="CB178" s="258" t="n">
        <v>26848</v>
      </c>
      <c r="CC178" s="258" t="n"/>
      <c r="CD178" s="357" t="inlineStr">
        <is>
          <t>07</t>
        </is>
      </c>
      <c r="CE178" s="131">
        <f>CE177+CE98</f>
        <v/>
      </c>
      <c r="CF178" s="258" t="n">
        <v>74411</v>
      </c>
      <c r="CG178" s="258" t="n">
        <v>70588</v>
      </c>
      <c r="CH178" s="258" t="n">
        <v>57884</v>
      </c>
      <c r="CI178" s="258" t="n">
        <v>21714</v>
      </c>
      <c r="CJ178" s="258" t="n">
        <v>40689</v>
      </c>
      <c r="CL178" s="357" t="inlineStr">
        <is>
          <t>07</t>
        </is>
      </c>
      <c r="CM178" s="131">
        <f>CM177+CM98</f>
        <v/>
      </c>
      <c r="CN178" s="258" t="n">
        <v>57552</v>
      </c>
      <c r="CO178" s="258" t="n">
        <v>80051</v>
      </c>
      <c r="CP178" s="258" t="n">
        <v>67261</v>
      </c>
      <c r="CQ178" s="258" t="n">
        <v>22225</v>
      </c>
      <c r="CR178" s="258" t="n">
        <v>45911</v>
      </c>
      <c r="CT178" s="357" t="inlineStr">
        <is>
          <t>07</t>
        </is>
      </c>
      <c r="CU178" s="131">
        <f>CU177+CU98</f>
        <v/>
      </c>
      <c r="CV178" s="258" t="n">
        <v>69611</v>
      </c>
      <c r="CW178" s="258" t="n">
        <v>0</v>
      </c>
      <c r="CX178" s="258" t="n"/>
      <c r="CY178" s="258" t="n"/>
      <c r="CZ178" s="258" t="n"/>
      <c r="DB178" s="357" t="inlineStr">
        <is>
          <t>07</t>
        </is>
      </c>
      <c r="DC178" s="131">
        <f>DC177+DC98</f>
        <v/>
      </c>
      <c r="DD178" s="258" t="n">
        <v>67109</v>
      </c>
      <c r="DE178" s="258" t="n">
        <v>0</v>
      </c>
      <c r="DF178" s="258" t="n"/>
      <c r="DG178" s="258" t="n"/>
      <c r="DH178" s="258" t="n"/>
      <c r="DI178" s="258" t="n"/>
      <c r="DJ178" s="357" t="inlineStr">
        <is>
          <t>07</t>
        </is>
      </c>
      <c r="DK178" s="131">
        <f>DK177+DK98</f>
        <v/>
      </c>
      <c r="DL178" s="258" t="n">
        <v>47574</v>
      </c>
      <c r="DM178" s="258" t="n">
        <v>0</v>
      </c>
      <c r="DN178" s="258" t="n"/>
      <c r="DO178" s="258" t="n"/>
      <c r="DP178" s="258" t="n"/>
      <c r="DR178" s="357" t="inlineStr">
        <is>
          <t>07</t>
        </is>
      </c>
      <c r="DS178" s="131">
        <f>DS177+DS98</f>
        <v/>
      </c>
      <c r="DT178" s="258" t="n">
        <v>43322</v>
      </c>
      <c r="DU178" s="258" t="n">
        <v>0</v>
      </c>
      <c r="DV178" s="258" t="n"/>
      <c r="DW178" s="258" t="n"/>
      <c r="DX178" s="258" t="n"/>
      <c r="DZ178" s="357" t="inlineStr">
        <is>
          <t>07</t>
        </is>
      </c>
      <c r="EA178" s="131">
        <f>EA177+EA98</f>
        <v/>
      </c>
      <c r="EB178" s="258" t="n"/>
      <c r="EC178" s="258" t="n">
        <v>0</v>
      </c>
      <c r="ED178" s="258" t="n"/>
      <c r="EE178" s="258" t="n"/>
      <c r="EF178" s="258" t="n"/>
    </row>
    <row r="179">
      <c r="B179" s="357" t="inlineStr">
        <is>
          <t>08</t>
        </is>
      </c>
      <c r="C179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79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79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79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79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79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79" s="258" t="n"/>
      <c r="J179" s="357" t="inlineStr">
        <is>
          <t>08</t>
        </is>
      </c>
      <c r="K179" s="131">
        <f>K178+K99</f>
        <v/>
      </c>
      <c r="L179" s="258" t="n">
        <v>67460</v>
      </c>
      <c r="M179" s="258" t="n">
        <v>83328</v>
      </c>
      <c r="N179" s="258" t="n">
        <v>70682</v>
      </c>
      <c r="O179" s="258" t="n">
        <v>31636</v>
      </c>
      <c r="P179" s="258" t="n">
        <v>48839.00002</v>
      </c>
      <c r="R179" s="357" t="inlineStr">
        <is>
          <t>08</t>
        </is>
      </c>
      <c r="S179" s="131">
        <f>S178+S99</f>
        <v/>
      </c>
      <c r="T179" s="258" t="n">
        <v>44104</v>
      </c>
      <c r="U179" s="258" t="n">
        <v>44792</v>
      </c>
      <c r="V179" s="258" t="n">
        <v>41371</v>
      </c>
      <c r="W179" s="258" t="n">
        <v>22492</v>
      </c>
      <c r="X179" s="258" t="n">
        <v>31646</v>
      </c>
      <c r="Z179" s="357" t="inlineStr">
        <is>
          <t>08</t>
        </is>
      </c>
      <c r="AA179" s="131">
        <f>AA178+AA99</f>
        <v/>
      </c>
      <c r="AB179" s="258" t="n">
        <v>55706</v>
      </c>
      <c r="AC179" s="258" t="n">
        <v>60904</v>
      </c>
      <c r="AD179" s="258" t="n">
        <v>52380</v>
      </c>
      <c r="AE179" s="258" t="n">
        <v>18480</v>
      </c>
      <c r="AF179" s="258" t="n">
        <v>32880</v>
      </c>
      <c r="AH179" s="357" t="inlineStr">
        <is>
          <t>08</t>
        </is>
      </c>
      <c r="AI179" s="131">
        <f>AI99+AI178</f>
        <v/>
      </c>
      <c r="AJ179" s="258" t="n">
        <v>65373</v>
      </c>
      <c r="AK179" s="258" t="n">
        <v>67679</v>
      </c>
      <c r="AL179" s="258" t="n">
        <v>60135</v>
      </c>
      <c r="AM179" s="258" t="n">
        <v>25393</v>
      </c>
      <c r="AN179" s="258" t="n">
        <v>36797</v>
      </c>
      <c r="AP179" s="357" t="inlineStr">
        <is>
          <t>08</t>
        </is>
      </c>
      <c r="AQ179" s="131">
        <f>AQ178+AQ99</f>
        <v/>
      </c>
      <c r="AR179" s="258" t="n">
        <v>92484</v>
      </c>
      <c r="AS179" s="258" t="n">
        <v>97866</v>
      </c>
      <c r="AT179" s="258" t="n">
        <v>83088</v>
      </c>
      <c r="AU179" s="258" t="n">
        <v>24467</v>
      </c>
      <c r="AV179" s="258" t="n">
        <v>0</v>
      </c>
      <c r="AX179" s="357" t="inlineStr">
        <is>
          <t>08</t>
        </is>
      </c>
      <c r="AY179" s="131">
        <f>AY178+AY99</f>
        <v/>
      </c>
      <c r="AZ179" s="258" t="n">
        <v>49493</v>
      </c>
      <c r="BA179" s="258" t="n">
        <v>50211</v>
      </c>
      <c r="BB179" s="258" t="n">
        <v>40845</v>
      </c>
      <c r="BC179" s="258" t="n">
        <v>5157</v>
      </c>
      <c r="BD179" s="258" t="n"/>
      <c r="BE179" s="258" t="n"/>
      <c r="BF179" s="357" t="inlineStr">
        <is>
          <t>08</t>
        </is>
      </c>
      <c r="BG179" s="131">
        <f>BG178+BG99</f>
        <v/>
      </c>
      <c r="BH179" s="258" t="n">
        <v>58555</v>
      </c>
      <c r="BI179" s="258" t="n">
        <v>57185</v>
      </c>
      <c r="BJ179" s="258" t="n"/>
      <c r="BK179" s="258" t="n"/>
      <c r="BL179" s="258" t="n"/>
      <c r="BM179" s="258" t="n"/>
      <c r="BN179" s="357" t="inlineStr">
        <is>
          <t>08</t>
        </is>
      </c>
      <c r="BO179" s="131">
        <f>BO178+BO99</f>
        <v/>
      </c>
      <c r="BP179" s="258" t="n">
        <v>68318</v>
      </c>
      <c r="BQ179" s="258" t="n">
        <v>66834</v>
      </c>
      <c r="BR179" s="258" t="n">
        <v>60422</v>
      </c>
      <c r="BS179" s="258" t="n">
        <v>25937</v>
      </c>
      <c r="BT179" s="258" t="n">
        <v>42231</v>
      </c>
      <c r="BV179" s="357" t="inlineStr">
        <is>
          <t>08</t>
        </is>
      </c>
      <c r="BW179" s="131">
        <f>BW178+BW99</f>
        <v/>
      </c>
      <c r="BX179" s="258" t="n">
        <v>58230</v>
      </c>
      <c r="BY179" s="258" t="n">
        <v>55852</v>
      </c>
      <c r="BZ179" s="258" t="n">
        <v>53701</v>
      </c>
      <c r="CA179" s="258" t="n">
        <v>23015</v>
      </c>
      <c r="CB179" s="258" t="n">
        <v>36674</v>
      </c>
      <c r="CC179" s="258" t="n"/>
      <c r="CD179" s="357" t="inlineStr">
        <is>
          <t>08</t>
        </is>
      </c>
      <c r="CE179" s="131">
        <f>CE178+CE99</f>
        <v/>
      </c>
      <c r="CF179" s="258" t="n">
        <v>91773</v>
      </c>
      <c r="CG179" s="258" t="n">
        <v>86995</v>
      </c>
      <c r="CH179" s="258" t="n">
        <v>71540</v>
      </c>
      <c r="CI179" s="258" t="n">
        <v>32635</v>
      </c>
      <c r="CJ179" s="258" t="n">
        <v>55192</v>
      </c>
      <c r="CL179" s="357" t="inlineStr">
        <is>
          <t>08</t>
        </is>
      </c>
      <c r="CM179" s="131">
        <f>CM178+CM99</f>
        <v/>
      </c>
      <c r="CN179" s="258" t="n">
        <v>68956</v>
      </c>
      <c r="CO179" s="258" t="n">
        <v>94888</v>
      </c>
      <c r="CP179" s="258" t="n">
        <v>81797</v>
      </c>
      <c r="CQ179" s="258" t="n">
        <v>30342</v>
      </c>
      <c r="CR179" s="258" t="n">
        <v>59190</v>
      </c>
      <c r="CT179" s="357" t="inlineStr">
        <is>
          <t>08</t>
        </is>
      </c>
      <c r="CU179" s="131">
        <f>CU178+CU99</f>
        <v/>
      </c>
      <c r="CV179" s="258" t="n">
        <v>82427</v>
      </c>
      <c r="CW179" s="258" t="n">
        <v>0</v>
      </c>
      <c r="CX179" s="258" t="n"/>
      <c r="CY179" s="258" t="n"/>
      <c r="CZ179" s="258" t="n"/>
      <c r="DB179" s="357" t="inlineStr">
        <is>
          <t>08</t>
        </is>
      </c>
      <c r="DC179" s="131">
        <f>DC178+DC99</f>
        <v/>
      </c>
      <c r="DD179" s="258" t="n">
        <v>78085</v>
      </c>
      <c r="DE179" s="258" t="n">
        <v>0</v>
      </c>
      <c r="DF179" s="258" t="n"/>
      <c r="DG179" s="258" t="n"/>
      <c r="DH179" s="258" t="n"/>
      <c r="DI179" s="258" t="n"/>
      <c r="DJ179" s="357" t="inlineStr">
        <is>
          <t>08</t>
        </is>
      </c>
      <c r="DK179" s="131">
        <f>DK178+DK99</f>
        <v/>
      </c>
      <c r="DL179" s="258" t="n">
        <v>55275</v>
      </c>
      <c r="DM179" s="258" t="n">
        <v>0</v>
      </c>
      <c r="DN179" s="258" t="n"/>
      <c r="DO179" s="258" t="n"/>
      <c r="DP179" s="258" t="n"/>
      <c r="DR179" s="357" t="inlineStr">
        <is>
          <t>08</t>
        </is>
      </c>
      <c r="DS179" s="131">
        <f>DS178+DS99</f>
        <v/>
      </c>
      <c r="DT179" s="258" t="n">
        <v>49728</v>
      </c>
      <c r="DU179" s="258" t="n">
        <v>0</v>
      </c>
      <c r="DV179" s="258" t="n"/>
      <c r="DW179" s="258" t="n"/>
      <c r="DX179" s="258" t="n"/>
      <c r="DZ179" s="357" t="inlineStr">
        <is>
          <t>08</t>
        </is>
      </c>
      <c r="EA179" s="131">
        <f>EA178+EA99</f>
        <v/>
      </c>
      <c r="EB179" s="258" t="n">
        <v>8518</v>
      </c>
      <c r="EC179" s="258" t="n">
        <v>0</v>
      </c>
      <c r="ED179" s="258" t="n"/>
      <c r="EE179" s="258" t="n"/>
      <c r="EF179" s="258" t="n"/>
    </row>
    <row r="180">
      <c r="B180" s="357" t="inlineStr">
        <is>
          <t>09</t>
        </is>
      </c>
      <c r="C180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80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80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80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80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80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80" s="258" t="n"/>
      <c r="J180" s="357" t="inlineStr">
        <is>
          <t>09</t>
        </is>
      </c>
      <c r="K180" s="131">
        <f>K179+K100</f>
        <v/>
      </c>
      <c r="L180" s="258" t="n">
        <v>74932</v>
      </c>
      <c r="M180" s="258" t="n">
        <v>93759</v>
      </c>
      <c r="N180" s="258" t="n">
        <v>79009</v>
      </c>
      <c r="O180" s="258" t="n">
        <v>38549</v>
      </c>
      <c r="P180" s="258" t="n">
        <v>56687.00002</v>
      </c>
      <c r="R180" s="357" t="inlineStr">
        <is>
          <t>09</t>
        </is>
      </c>
      <c r="S180" s="131">
        <f>S179+S100</f>
        <v/>
      </c>
      <c r="T180" s="258" t="n">
        <v>49282</v>
      </c>
      <c r="U180" s="258" t="n">
        <v>50308</v>
      </c>
      <c r="V180" s="258" t="n">
        <v>46532</v>
      </c>
      <c r="W180" s="258" t="n">
        <v>26975</v>
      </c>
      <c r="X180" s="258" t="n">
        <v>36847</v>
      </c>
      <c r="Z180" s="357" t="inlineStr">
        <is>
          <t>09</t>
        </is>
      </c>
      <c r="AA180" s="131">
        <f>AA179+AA100</f>
        <v/>
      </c>
      <c r="AB180" s="258" t="n">
        <v>62390</v>
      </c>
      <c r="AC180" s="258" t="n">
        <v>69261</v>
      </c>
      <c r="AD180" s="258" t="n">
        <v>60197</v>
      </c>
      <c r="AE180" s="258" t="n">
        <v>23528</v>
      </c>
      <c r="AF180" s="258" t="n">
        <v>38924</v>
      </c>
      <c r="AH180" s="357" t="inlineStr">
        <is>
          <t>09</t>
        </is>
      </c>
      <c r="AI180" s="131">
        <f>AI100+AI179</f>
        <v/>
      </c>
      <c r="AJ180" s="258" t="n">
        <v>73136</v>
      </c>
      <c r="AK180" s="258" t="n">
        <v>76063</v>
      </c>
      <c r="AL180" s="258" t="n">
        <v>67597</v>
      </c>
      <c r="AM180" s="258" t="n">
        <v>29686</v>
      </c>
      <c r="AN180" s="258" t="n">
        <v>44279</v>
      </c>
      <c r="AP180" s="357" t="inlineStr">
        <is>
          <t>09</t>
        </is>
      </c>
      <c r="AQ180" s="131">
        <f>AQ179+AQ100</f>
        <v/>
      </c>
      <c r="AR180" s="258" t="n">
        <v>102925</v>
      </c>
      <c r="AS180" s="258" t="n">
        <v>111380</v>
      </c>
      <c r="AT180" s="258" t="n">
        <v>93611</v>
      </c>
      <c r="AU180" s="258" t="n">
        <v>31515</v>
      </c>
      <c r="AV180" s="258" t="n">
        <v>0</v>
      </c>
      <c r="AX180" s="357" t="inlineStr">
        <is>
          <t>09</t>
        </is>
      </c>
      <c r="AY180" s="131">
        <f>AY179+AY100</f>
        <v/>
      </c>
      <c r="AZ180" s="258" t="n">
        <v>54790</v>
      </c>
      <c r="BA180" s="258" t="n">
        <v>56149</v>
      </c>
      <c r="BB180" s="258" t="n">
        <v>45927</v>
      </c>
      <c r="BC180" s="258" t="n">
        <v>7762</v>
      </c>
      <c r="BD180" s="258" t="n"/>
      <c r="BE180" s="258" t="n"/>
      <c r="BF180" s="357" t="inlineStr">
        <is>
          <t>09</t>
        </is>
      </c>
      <c r="BG180" s="131">
        <f>BG179+BG100</f>
        <v/>
      </c>
      <c r="BH180" s="258" t="n">
        <v>64117</v>
      </c>
      <c r="BI180" s="258" t="n">
        <v>64014</v>
      </c>
      <c r="BJ180" s="258" t="n"/>
      <c r="BK180" s="258" t="n"/>
      <c r="BL180" s="258" t="n"/>
      <c r="BM180" s="258" t="n"/>
      <c r="BN180" s="357" t="inlineStr">
        <is>
          <t>09</t>
        </is>
      </c>
      <c r="BO180" s="131">
        <f>BO179+BO100</f>
        <v/>
      </c>
      <c r="BP180" s="258" t="n">
        <v>77084</v>
      </c>
      <c r="BQ180" s="258" t="n">
        <v>75363</v>
      </c>
      <c r="BR180" s="258" t="n">
        <v>68566</v>
      </c>
      <c r="BS180" s="258" t="n">
        <v>32097</v>
      </c>
      <c r="BT180" s="258" t="n">
        <v>50691</v>
      </c>
      <c r="BV180" s="357" t="inlineStr">
        <is>
          <t>09</t>
        </is>
      </c>
      <c r="BW180" s="131">
        <f>BW179+BW100</f>
        <v/>
      </c>
      <c r="BX180" s="258" t="n">
        <v>64193</v>
      </c>
      <c r="BY180" s="258" t="n">
        <v>62920</v>
      </c>
      <c r="BZ180" s="258" t="n">
        <v>59386</v>
      </c>
      <c r="CA180" s="258" t="n">
        <v>26863</v>
      </c>
      <c r="CB180" s="258" t="n">
        <v>41868</v>
      </c>
      <c r="CC180" s="258" t="n"/>
      <c r="CD180" s="357" t="inlineStr">
        <is>
          <t>09</t>
        </is>
      </c>
      <c r="CE180" s="131">
        <f>CE179+CE100</f>
        <v/>
      </c>
      <c r="CF180" s="258" t="n">
        <v>100580</v>
      </c>
      <c r="CG180" s="258" t="n">
        <v>97575</v>
      </c>
      <c r="CH180" s="258" t="n">
        <v>80153</v>
      </c>
      <c r="CI180" s="258" t="n">
        <v>38658</v>
      </c>
      <c r="CJ180" s="258" t="n">
        <v>63507</v>
      </c>
      <c r="CL180" s="357" t="inlineStr">
        <is>
          <t>09</t>
        </is>
      </c>
      <c r="CM180" s="131">
        <f>CM179+CM100</f>
        <v/>
      </c>
      <c r="CN180" s="258" t="n">
        <v>77379</v>
      </c>
      <c r="CO180" s="258" t="n">
        <v>106345</v>
      </c>
      <c r="CP180" s="258" t="n">
        <v>92604</v>
      </c>
      <c r="CQ180" s="258" t="n">
        <v>36938</v>
      </c>
      <c r="CR180" s="258" t="n">
        <v>69051</v>
      </c>
      <c r="CT180" s="357" t="inlineStr">
        <is>
          <t>09</t>
        </is>
      </c>
      <c r="CU180" s="131">
        <f>CU179+CU100</f>
        <v/>
      </c>
      <c r="CV180" s="258" t="n">
        <v>93598</v>
      </c>
      <c r="CW180" s="258" t="n">
        <v>0</v>
      </c>
      <c r="CX180" s="258" t="n"/>
      <c r="CY180" s="258" t="n"/>
      <c r="CZ180" s="258" t="n"/>
      <c r="DB180" s="357" t="inlineStr">
        <is>
          <t>09</t>
        </is>
      </c>
      <c r="DC180" s="131">
        <f>DC179+DC100</f>
        <v/>
      </c>
      <c r="DD180" s="258" t="n">
        <v>87218</v>
      </c>
      <c r="DE180" s="258" t="n">
        <v>0</v>
      </c>
      <c r="DF180" s="258" t="n"/>
      <c r="DG180" s="258" t="n"/>
      <c r="DH180" s="258" t="n"/>
      <c r="DI180" s="258" t="n"/>
      <c r="DJ180" s="357" t="inlineStr">
        <is>
          <t>09</t>
        </is>
      </c>
      <c r="DK180" s="131">
        <f>DK179+DK100</f>
        <v/>
      </c>
      <c r="DL180" s="258" t="n">
        <v>62906</v>
      </c>
      <c r="DM180" s="258" t="n">
        <v>0</v>
      </c>
      <c r="DN180" s="258" t="n"/>
      <c r="DO180" s="258" t="n"/>
      <c r="DP180" s="258" t="n"/>
      <c r="DR180" s="357" t="inlineStr">
        <is>
          <t>09</t>
        </is>
      </c>
      <c r="DS180" s="131">
        <f>DS179+DS100</f>
        <v/>
      </c>
      <c r="DT180" s="258" t="n">
        <v>55746</v>
      </c>
      <c r="DU180" s="258" t="n">
        <v>0</v>
      </c>
      <c r="DV180" s="258" t="n"/>
      <c r="DW180" s="258" t="n"/>
      <c r="DX180" s="258" t="n"/>
      <c r="DZ180" s="357" t="inlineStr">
        <is>
          <t>09</t>
        </is>
      </c>
      <c r="EA180" s="131">
        <f>EA179+EA100</f>
        <v/>
      </c>
      <c r="EB180" s="258" t="n">
        <v>13107</v>
      </c>
      <c r="EC180" s="258" t="n">
        <v>0</v>
      </c>
      <c r="ED180" s="258" t="n"/>
      <c r="EE180" s="258" t="n"/>
      <c r="EF180" s="258" t="n"/>
    </row>
    <row r="181">
      <c r="B181" s="357" t="inlineStr">
        <is>
          <t>10</t>
        </is>
      </c>
      <c r="C181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81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81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81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81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81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81" s="258" t="n"/>
      <c r="J181" s="357" t="inlineStr">
        <is>
          <t>10</t>
        </is>
      </c>
      <c r="K181" s="131">
        <f>K180+K101</f>
        <v/>
      </c>
      <c r="L181" s="258" t="n">
        <v>83839</v>
      </c>
      <c r="M181" s="258" t="n">
        <v>103386</v>
      </c>
      <c r="N181" s="258" t="n">
        <v>88690</v>
      </c>
      <c r="O181" s="258" t="n">
        <v>46605</v>
      </c>
      <c r="P181" s="258" t="n">
        <v>64120.00002</v>
      </c>
      <c r="R181" s="357" t="inlineStr">
        <is>
          <t>10</t>
        </is>
      </c>
      <c r="S181" s="131">
        <f>S180+S101</f>
        <v/>
      </c>
      <c r="T181" s="258" t="n">
        <v>54989</v>
      </c>
      <c r="U181" s="258" t="n">
        <v>55703</v>
      </c>
      <c r="V181" s="258" t="n">
        <v>52189</v>
      </c>
      <c r="W181" s="258" t="n">
        <v>32257</v>
      </c>
      <c r="X181" s="258" t="n">
        <v>42182</v>
      </c>
      <c r="Z181" s="357" t="inlineStr">
        <is>
          <t>10</t>
        </is>
      </c>
      <c r="AA181" s="131">
        <f>AA180+AA101</f>
        <v/>
      </c>
      <c r="AB181" s="258" t="n">
        <v>69674</v>
      </c>
      <c r="AC181" s="258" t="n">
        <v>76692</v>
      </c>
      <c r="AD181" s="258" t="n">
        <v>69359</v>
      </c>
      <c r="AE181" s="258" t="n">
        <v>29388</v>
      </c>
      <c r="AF181" s="258" t="n">
        <v>44470</v>
      </c>
      <c r="AH181" s="357" t="inlineStr">
        <is>
          <t>10</t>
        </is>
      </c>
      <c r="AI181" s="131">
        <f>AI101+AI180</f>
        <v/>
      </c>
      <c r="AJ181" s="258" t="n">
        <v>81551</v>
      </c>
      <c r="AK181" s="258" t="n">
        <v>84601</v>
      </c>
      <c r="AL181" s="258" t="n">
        <v>76278</v>
      </c>
      <c r="AM181" s="258" t="n">
        <v>35475</v>
      </c>
      <c r="AN181" s="258" t="n">
        <v>52005</v>
      </c>
      <c r="AP181" s="357" t="inlineStr">
        <is>
          <t>10</t>
        </is>
      </c>
      <c r="AQ181" s="131">
        <f>AQ180+AQ101</f>
        <v/>
      </c>
      <c r="AR181" s="258" t="n">
        <v>115051</v>
      </c>
      <c r="AS181" s="258" t="n">
        <v>123129</v>
      </c>
      <c r="AT181" s="258" t="n">
        <v>105608</v>
      </c>
      <c r="AU181" s="258" t="n">
        <v>39925</v>
      </c>
      <c r="AV181" s="258" t="n">
        <v>0</v>
      </c>
      <c r="AX181" s="357" t="inlineStr">
        <is>
          <t>10</t>
        </is>
      </c>
      <c r="AY181" s="131">
        <f>AY180+AY101</f>
        <v/>
      </c>
      <c r="AZ181" s="258" t="n">
        <v>60268</v>
      </c>
      <c r="BA181" s="258" t="n">
        <v>62340</v>
      </c>
      <c r="BB181" s="258" t="n">
        <v>51602</v>
      </c>
      <c r="BC181" s="258" t="n">
        <v>11814</v>
      </c>
      <c r="BD181" s="258" t="n"/>
      <c r="BE181" s="258" t="n"/>
      <c r="BF181" s="357" t="inlineStr">
        <is>
          <t>10</t>
        </is>
      </c>
      <c r="BG181" s="131">
        <f>BG180+BG101</f>
        <v/>
      </c>
      <c r="BH181" s="258" t="n">
        <v>70422</v>
      </c>
      <c r="BI181" s="258" t="n">
        <v>70410</v>
      </c>
      <c r="BJ181" s="258" t="n"/>
      <c r="BK181" s="258" t="n"/>
      <c r="BL181" s="258" t="n"/>
      <c r="BM181" s="258" t="n"/>
      <c r="BN181" s="357" t="inlineStr">
        <is>
          <t>10</t>
        </is>
      </c>
      <c r="BO181" s="131">
        <f>BO180+BO101</f>
        <v/>
      </c>
      <c r="BP181" s="258" t="n">
        <v>85613</v>
      </c>
      <c r="BQ181" s="258" t="n">
        <v>83198</v>
      </c>
      <c r="BR181" s="258" t="n">
        <v>77292</v>
      </c>
      <c r="BS181" s="258" t="n">
        <v>38865</v>
      </c>
      <c r="BT181" s="258" t="n">
        <v>59496</v>
      </c>
      <c r="BV181" s="357" t="inlineStr">
        <is>
          <t>10</t>
        </is>
      </c>
      <c r="BW181" s="131">
        <f>BW180+BW101</f>
        <v/>
      </c>
      <c r="BX181" s="258" t="n">
        <v>70463</v>
      </c>
      <c r="BY181" s="258" t="n">
        <v>69133</v>
      </c>
      <c r="BZ181" s="258" t="n">
        <v>65740</v>
      </c>
      <c r="CA181" s="258" t="n">
        <v>31351</v>
      </c>
      <c r="CB181" s="258" t="n">
        <v>47191</v>
      </c>
      <c r="CC181" s="258" t="n"/>
      <c r="CD181" s="357" t="inlineStr">
        <is>
          <t>10</t>
        </is>
      </c>
      <c r="CE181" s="131">
        <f>CE180+CE101</f>
        <v/>
      </c>
      <c r="CF181" s="258" t="n">
        <v>109768</v>
      </c>
      <c r="CG181" s="258" t="n">
        <v>107231</v>
      </c>
      <c r="CH181" s="258" t="n">
        <v>88885</v>
      </c>
      <c r="CI181" s="258" t="n">
        <v>45113</v>
      </c>
      <c r="CJ181" s="258" t="n">
        <v>71431</v>
      </c>
      <c r="CL181" s="357" t="inlineStr">
        <is>
          <t>10</t>
        </is>
      </c>
      <c r="CM181" s="131">
        <f>CM180+CM101</f>
        <v/>
      </c>
      <c r="CN181" s="258" t="n">
        <v>86282</v>
      </c>
      <c r="CO181" s="258" t="n">
        <v>117087</v>
      </c>
      <c r="CP181" s="258" t="n">
        <v>102825</v>
      </c>
      <c r="CQ181" s="258" t="n">
        <v>45215</v>
      </c>
      <c r="CR181" s="258" t="n">
        <v>78517</v>
      </c>
      <c r="CT181" s="357" t="inlineStr">
        <is>
          <t>10</t>
        </is>
      </c>
      <c r="CU181" s="131">
        <f>CU180+CU101</f>
        <v/>
      </c>
      <c r="CV181" s="258" t="n">
        <v>105774</v>
      </c>
      <c r="CW181" s="258" t="n">
        <v>0</v>
      </c>
      <c r="CX181" s="258" t="n"/>
      <c r="CY181" s="258" t="n"/>
      <c r="CZ181" s="258" t="n"/>
      <c r="DB181" s="357" t="inlineStr">
        <is>
          <t>10</t>
        </is>
      </c>
      <c r="DC181" s="131">
        <f>DC180+DC101</f>
        <v/>
      </c>
      <c r="DD181" s="258" t="n">
        <v>97341</v>
      </c>
      <c r="DE181" s="258" t="n">
        <v>0</v>
      </c>
      <c r="DF181" s="258" t="n"/>
      <c r="DG181" s="258" t="n"/>
      <c r="DH181" s="258" t="n"/>
      <c r="DI181" s="258" t="n"/>
      <c r="DJ181" s="357" t="inlineStr">
        <is>
          <t>10</t>
        </is>
      </c>
      <c r="DK181" s="131">
        <f>DK180+DK101</f>
        <v/>
      </c>
      <c r="DL181" s="258" t="n">
        <v>70635</v>
      </c>
      <c r="DM181" s="258" t="n">
        <v>0</v>
      </c>
      <c r="DN181" s="258" t="n"/>
      <c r="DO181" s="258" t="n"/>
      <c r="DP181" s="258" t="n"/>
      <c r="DR181" s="357" t="inlineStr">
        <is>
          <t>10</t>
        </is>
      </c>
      <c r="DS181" s="131">
        <f>DS180+DS101</f>
        <v/>
      </c>
      <c r="DT181" s="258" t="n">
        <v>62000</v>
      </c>
      <c r="DU181" s="258" t="n">
        <v>0</v>
      </c>
      <c r="DV181" s="258" t="n"/>
      <c r="DW181" s="258" t="n"/>
      <c r="DX181" s="258" t="n"/>
      <c r="DZ181" s="357" t="inlineStr">
        <is>
          <t>10</t>
        </is>
      </c>
      <c r="EA181" s="131">
        <f>EA180+EA101</f>
        <v/>
      </c>
      <c r="EB181" s="258" t="n">
        <v>17744</v>
      </c>
      <c r="EC181" s="258" t="n">
        <v>0</v>
      </c>
      <c r="ED181" s="258" t="n"/>
      <c r="EE181" s="258" t="n"/>
      <c r="EF181" s="258" t="n"/>
    </row>
    <row r="182">
      <c r="B182" s="357" t="inlineStr">
        <is>
          <t>11</t>
        </is>
      </c>
      <c r="C182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82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82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82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82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82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82" s="258" t="n"/>
      <c r="J182" s="357" t="inlineStr">
        <is>
          <t>11</t>
        </is>
      </c>
      <c r="K182" s="131">
        <f>K181+K102</f>
        <v/>
      </c>
      <c r="L182" s="258" t="n">
        <v>92973</v>
      </c>
      <c r="M182" s="258" t="n">
        <v>112360</v>
      </c>
      <c r="N182" s="258" t="n">
        <v>98206</v>
      </c>
      <c r="O182" s="258" t="n">
        <v>54579</v>
      </c>
      <c r="P182" s="258" t="n">
        <v>64120.00002</v>
      </c>
      <c r="R182" s="357" t="inlineStr">
        <is>
          <t>11</t>
        </is>
      </c>
      <c r="S182" s="131">
        <f>S181+S102</f>
        <v/>
      </c>
      <c r="T182" s="258" t="n">
        <v>60549</v>
      </c>
      <c r="U182" s="258" t="n">
        <v>60900</v>
      </c>
      <c r="V182" s="258" t="n">
        <v>57455</v>
      </c>
      <c r="W182" s="258" t="n">
        <v>36936</v>
      </c>
      <c r="X182" s="258" t="n">
        <v>42182</v>
      </c>
      <c r="Z182" s="357" t="inlineStr">
        <is>
          <t>11</t>
        </is>
      </c>
      <c r="AA182" s="131">
        <f>AA181+AA102</f>
        <v/>
      </c>
      <c r="AB182" s="258" t="n">
        <v>77808</v>
      </c>
      <c r="AC182" s="258" t="n">
        <v>85551</v>
      </c>
      <c r="AD182" s="258" t="n">
        <v>78229</v>
      </c>
      <c r="AE182" s="258" t="n">
        <v>35361</v>
      </c>
      <c r="AF182" s="258" t="n">
        <v>44470</v>
      </c>
      <c r="AH182" s="357" t="inlineStr">
        <is>
          <t>11</t>
        </is>
      </c>
      <c r="AI182" s="131">
        <f>AI102+AI181</f>
        <v/>
      </c>
      <c r="AJ182" s="258" t="n">
        <v>89939</v>
      </c>
      <c r="AK182" s="258" t="n">
        <v>92609</v>
      </c>
      <c r="AL182" s="258" t="n">
        <v>84313</v>
      </c>
      <c r="AM182" s="258" t="n">
        <v>41450</v>
      </c>
      <c r="AN182" s="258" t="n">
        <v>52006</v>
      </c>
      <c r="AP182" s="357" t="inlineStr">
        <is>
          <t>11</t>
        </is>
      </c>
      <c r="AQ182" s="131">
        <f>AQ181+AQ102</f>
        <v/>
      </c>
      <c r="AR182" s="258" t="n">
        <v>126810</v>
      </c>
      <c r="AS182" s="258" t="n">
        <v>134199</v>
      </c>
      <c r="AT182" s="258" t="n">
        <v>116951</v>
      </c>
      <c r="AU182" s="258" t="n">
        <v>48186</v>
      </c>
      <c r="AV182" s="258" t="n">
        <v>0</v>
      </c>
      <c r="AX182" s="357" t="inlineStr">
        <is>
          <t>11</t>
        </is>
      </c>
      <c r="AY182" s="131">
        <f>AY181+AY102</f>
        <v/>
      </c>
      <c r="AZ182" s="258" t="n">
        <v>65332</v>
      </c>
      <c r="BA182" s="258" t="n">
        <v>67880</v>
      </c>
      <c r="BB182" s="258" t="n">
        <v>56750</v>
      </c>
      <c r="BC182" s="258" t="n">
        <v>15619</v>
      </c>
      <c r="BD182" s="258" t="n"/>
      <c r="BE182" s="258" t="n"/>
      <c r="BF182" s="357" t="inlineStr">
        <is>
          <t>11</t>
        </is>
      </c>
      <c r="BG182" s="131">
        <f>BG181+BG102</f>
        <v/>
      </c>
      <c r="BH182" s="258" t="n">
        <v>76050</v>
      </c>
      <c r="BI182" s="258" t="n">
        <v>76134</v>
      </c>
      <c r="BJ182" s="258" t="n"/>
      <c r="BK182" s="258" t="n"/>
      <c r="BL182" s="258" t="n"/>
      <c r="BM182" s="258" t="n"/>
      <c r="BN182" s="357" t="inlineStr">
        <is>
          <t>11</t>
        </is>
      </c>
      <c r="BO182" s="131">
        <f>BO181+BO102</f>
        <v/>
      </c>
      <c r="BP182" s="258" t="n">
        <v>94084</v>
      </c>
      <c r="BQ182" s="258" t="n">
        <v>91297</v>
      </c>
      <c r="BR182" s="258" t="n">
        <v>85088</v>
      </c>
      <c r="BS182" s="258" t="n">
        <v>45514</v>
      </c>
      <c r="BT182" s="258" t="n">
        <v>59661</v>
      </c>
      <c r="BV182" s="357" t="inlineStr">
        <is>
          <t>11</t>
        </is>
      </c>
      <c r="BW182" s="131">
        <f>BW181+BW102</f>
        <v/>
      </c>
      <c r="BX182" s="258" t="n">
        <v>75772</v>
      </c>
      <c r="BY182" s="258" t="n">
        <v>74373</v>
      </c>
      <c r="BZ182" s="258" t="n">
        <v>71378</v>
      </c>
      <c r="CA182" s="258" t="n">
        <v>35486</v>
      </c>
      <c r="CB182" s="258" t="n">
        <v>47228</v>
      </c>
      <c r="CC182" s="258" t="n"/>
      <c r="CD182" s="357" t="inlineStr">
        <is>
          <t>11</t>
        </is>
      </c>
      <c r="CE182" s="131">
        <f>CE181+CE102</f>
        <v/>
      </c>
      <c r="CF182" s="258" t="n">
        <v>118723</v>
      </c>
      <c r="CG182" s="258" t="n">
        <v>115725</v>
      </c>
      <c r="CH182" s="258" t="n">
        <v>97235</v>
      </c>
      <c r="CI182" s="258" t="n">
        <v>49922</v>
      </c>
      <c r="CJ182" s="258" t="n">
        <v>71431</v>
      </c>
      <c r="CL182" s="357" t="inlineStr">
        <is>
          <t>11</t>
        </is>
      </c>
      <c r="CM182" s="131">
        <f>CM181+CM102</f>
        <v/>
      </c>
      <c r="CN182" s="258" t="n">
        <v>94992</v>
      </c>
      <c r="CO182" s="258" t="n">
        <v>128456</v>
      </c>
      <c r="CP182" s="258" t="n">
        <v>113274</v>
      </c>
      <c r="CQ182" s="258" t="n">
        <v>53352</v>
      </c>
      <c r="CR182" s="258" t="n">
        <v>78792</v>
      </c>
      <c r="CT182" s="357" t="inlineStr">
        <is>
          <t>11</t>
        </is>
      </c>
      <c r="CU182" s="131">
        <f>CU181+CU102</f>
        <v/>
      </c>
      <c r="CV182" s="258" t="n">
        <v>117849</v>
      </c>
      <c r="CW182" s="258" t="n">
        <v>0</v>
      </c>
      <c r="CX182" s="258" t="n"/>
      <c r="CY182" s="258" t="n"/>
      <c r="CZ182" s="258" t="n"/>
      <c r="DB182" s="357" t="inlineStr">
        <is>
          <t>11</t>
        </is>
      </c>
      <c r="DC182" s="131">
        <f>DC181+DC102</f>
        <v/>
      </c>
      <c r="DD182" s="258" t="n">
        <v>107742</v>
      </c>
      <c r="DE182" s="258" t="n">
        <v>0</v>
      </c>
      <c r="DF182" s="258" t="n"/>
      <c r="DG182" s="258" t="n"/>
      <c r="DH182" s="258" t="n"/>
      <c r="DI182" s="258" t="n"/>
      <c r="DJ182" s="357" t="inlineStr">
        <is>
          <t>11</t>
        </is>
      </c>
      <c r="DK182" s="131">
        <f>DK181+DK102</f>
        <v/>
      </c>
      <c r="DL182" s="258" t="n">
        <v>78697</v>
      </c>
      <c r="DM182" s="258" t="n">
        <v>0</v>
      </c>
      <c r="DN182" s="258" t="n"/>
      <c r="DO182" s="258" t="n"/>
      <c r="DP182" s="258" t="n"/>
      <c r="DR182" s="357" t="inlineStr">
        <is>
          <t>11</t>
        </is>
      </c>
      <c r="DS182" s="131">
        <f>DS181+DS102</f>
        <v/>
      </c>
      <c r="DT182" s="258" t="n">
        <v>68136</v>
      </c>
      <c r="DU182" s="258" t="n">
        <v>0</v>
      </c>
      <c r="DV182" s="258" t="n"/>
      <c r="DW182" s="258" t="n"/>
      <c r="DX182" s="258" t="n"/>
      <c r="DZ182" s="357" t="inlineStr">
        <is>
          <t>11</t>
        </is>
      </c>
      <c r="EA182" s="131">
        <f>EA181+EA102</f>
        <v/>
      </c>
      <c r="EB182" s="258" t="n">
        <v>22334</v>
      </c>
      <c r="EC182" s="258" t="n">
        <v>0</v>
      </c>
      <c r="ED182" s="258" t="n"/>
      <c r="EE182" s="258" t="n"/>
      <c r="EF182" s="258" t="n"/>
    </row>
    <row r="183">
      <c r="B183" s="357" t="inlineStr">
        <is>
          <t>12</t>
        </is>
      </c>
      <c r="C183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83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83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83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83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83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83" s="258" t="n"/>
      <c r="J183" s="357" t="inlineStr">
        <is>
          <t>12</t>
        </is>
      </c>
      <c r="K183" s="131">
        <f>K182+K103</f>
        <v/>
      </c>
      <c r="L183" s="258" t="n">
        <v>101753</v>
      </c>
      <c r="M183" s="258" t="n">
        <v>120553</v>
      </c>
      <c r="N183" s="258" t="n">
        <v>107914</v>
      </c>
      <c r="O183" s="258" t="n">
        <v>63449</v>
      </c>
      <c r="P183" s="258" t="n">
        <v>64122.00002</v>
      </c>
      <c r="R183" s="357" t="inlineStr">
        <is>
          <t>12</t>
        </is>
      </c>
      <c r="S183" s="131">
        <f>S182+S103</f>
        <v/>
      </c>
      <c r="T183" s="258" t="n">
        <v>66256</v>
      </c>
      <c r="U183" s="258" t="n">
        <v>66184</v>
      </c>
      <c r="V183" s="258" t="n">
        <v>62842</v>
      </c>
      <c r="W183" s="258" t="n">
        <v>41633</v>
      </c>
      <c r="X183" s="258" t="n">
        <v>42182</v>
      </c>
      <c r="Z183" s="357" t="inlineStr">
        <is>
          <t>12</t>
        </is>
      </c>
      <c r="AA183" s="131">
        <f>AA182+AA103</f>
        <v/>
      </c>
      <c r="AB183" s="258" t="n">
        <v>84531</v>
      </c>
      <c r="AC183" s="258" t="n">
        <v>92192</v>
      </c>
      <c r="AD183" s="258" t="n">
        <v>85572</v>
      </c>
      <c r="AE183" s="258" t="n">
        <v>40504</v>
      </c>
      <c r="AF183" s="258" t="n">
        <v>44470</v>
      </c>
      <c r="AH183" s="357" t="inlineStr">
        <is>
          <t>12</t>
        </is>
      </c>
      <c r="AI183" s="131">
        <f>AI103+AI182</f>
        <v/>
      </c>
      <c r="AJ183" s="258" t="n">
        <v>97835</v>
      </c>
      <c r="AK183" s="258" t="n">
        <v>100681</v>
      </c>
      <c r="AL183" s="258" t="n">
        <v>92238</v>
      </c>
      <c r="AM183" s="258" t="n">
        <v>47408</v>
      </c>
      <c r="AN183" s="258" t="n">
        <v>52006</v>
      </c>
      <c r="AP183" s="357" t="inlineStr">
        <is>
          <t>12</t>
        </is>
      </c>
      <c r="AQ183" s="131">
        <f>AQ182+AQ103</f>
        <v/>
      </c>
      <c r="AR183" s="258" t="n">
        <v>139812</v>
      </c>
      <c r="AS183" s="258" t="n">
        <v>146469</v>
      </c>
      <c r="AT183" s="258" t="n">
        <v>129865</v>
      </c>
      <c r="AU183" s="258" t="n">
        <v>57420</v>
      </c>
      <c r="AV183" s="258" t="n">
        <v>0</v>
      </c>
      <c r="AX183" s="357" t="inlineStr">
        <is>
          <t>12</t>
        </is>
      </c>
      <c r="AY183" s="131">
        <f>AY182+AY103</f>
        <v/>
      </c>
      <c r="AZ183" s="258" t="n">
        <v>70502</v>
      </c>
      <c r="BA183" s="258" t="n">
        <v>73456</v>
      </c>
      <c r="BB183" s="258" t="n">
        <v>62120</v>
      </c>
      <c r="BC183" s="258" t="n">
        <v>19455</v>
      </c>
      <c r="BD183" s="258" t="n"/>
      <c r="BE183" s="258" t="n"/>
      <c r="BF183" s="357" t="inlineStr">
        <is>
          <t>12</t>
        </is>
      </c>
      <c r="BG183" s="131">
        <f>BG182+BG103</f>
        <v/>
      </c>
      <c r="BH183" s="258" t="n">
        <v>81456</v>
      </c>
      <c r="BI183" s="258" t="n">
        <v>81845</v>
      </c>
      <c r="BJ183" s="258" t="n"/>
      <c r="BK183" s="258" t="n"/>
      <c r="BL183" s="258" t="n"/>
      <c r="BM183" s="258" t="n"/>
      <c r="BN183" s="357" t="inlineStr">
        <is>
          <t>12</t>
        </is>
      </c>
      <c r="BO183" s="131">
        <f>BO182+BO103</f>
        <v/>
      </c>
      <c r="BP183" s="258" t="n">
        <v>102782</v>
      </c>
      <c r="BQ183" s="258" t="n">
        <v>99383</v>
      </c>
      <c r="BR183" s="258" t="n">
        <v>93354</v>
      </c>
      <c r="BS183" s="258" t="n">
        <v>52212</v>
      </c>
      <c r="BT183" s="258" t="n">
        <v>59661</v>
      </c>
      <c r="BV183" s="357" t="inlineStr">
        <is>
          <t>12</t>
        </is>
      </c>
      <c r="BW183" s="131">
        <f>BW182+BW103</f>
        <v/>
      </c>
      <c r="BX183" s="258" t="n">
        <v>81106</v>
      </c>
      <c r="BY183" s="258" t="n">
        <v>79431</v>
      </c>
      <c r="BZ183" s="258" t="n">
        <v>76464</v>
      </c>
      <c r="CA183" s="258" t="n">
        <v>39232</v>
      </c>
      <c r="CB183" s="258" t="n">
        <v>47228</v>
      </c>
      <c r="CC183" s="258" t="n"/>
      <c r="CD183" s="357" t="inlineStr">
        <is>
          <t>12</t>
        </is>
      </c>
      <c r="CE183" s="131">
        <f>CE182+CE103</f>
        <v/>
      </c>
      <c r="CF183" s="258" t="n">
        <v>126882</v>
      </c>
      <c r="CG183" s="258" t="n">
        <v>124226</v>
      </c>
      <c r="CH183" s="258" t="n">
        <v>104911</v>
      </c>
      <c r="CI183" s="258" t="n">
        <v>55520</v>
      </c>
      <c r="CJ183" s="258" t="n">
        <v>71431</v>
      </c>
      <c r="CL183" s="357" t="inlineStr">
        <is>
          <t>12</t>
        </is>
      </c>
      <c r="CM183" s="131">
        <f>CM182+CM103</f>
        <v/>
      </c>
      <c r="CN183" s="258" t="n">
        <v>103687</v>
      </c>
      <c r="CO183" s="258" t="n">
        <v>138086</v>
      </c>
      <c r="CP183" s="258" t="n">
        <v>124526</v>
      </c>
      <c r="CQ183" s="258" t="n">
        <v>61718</v>
      </c>
      <c r="CR183" s="258" t="n">
        <v>79157</v>
      </c>
      <c r="CT183" s="357" t="inlineStr">
        <is>
          <t>12</t>
        </is>
      </c>
      <c r="CU183" s="131">
        <f>CU182+CU103</f>
        <v/>
      </c>
      <c r="CV183" s="258" t="n">
        <v>128740</v>
      </c>
      <c r="CW183" s="258" t="n">
        <v>0</v>
      </c>
      <c r="CX183" s="258" t="n"/>
      <c r="CY183" s="258" t="n"/>
      <c r="CZ183" s="258" t="n"/>
      <c r="DB183" s="357" t="inlineStr">
        <is>
          <t>12</t>
        </is>
      </c>
      <c r="DC183" s="131">
        <f>DC182+DC103</f>
        <v/>
      </c>
      <c r="DD183" s="258" t="n">
        <v>118714</v>
      </c>
      <c r="DE183" s="258" t="n">
        <v>0</v>
      </c>
      <c r="DF183" s="258" t="n"/>
      <c r="DG183" s="258" t="n"/>
      <c r="DH183" s="258" t="n"/>
      <c r="DI183" s="258" t="n"/>
      <c r="DJ183" s="357" t="inlineStr">
        <is>
          <t>12</t>
        </is>
      </c>
      <c r="DK183" s="131">
        <f>DK182+DK103</f>
        <v/>
      </c>
      <c r="DL183" s="258" t="n">
        <v>87493</v>
      </c>
      <c r="DM183" s="258" t="n">
        <v>0</v>
      </c>
      <c r="DN183" s="258" t="n"/>
      <c r="DO183" s="258" t="n"/>
      <c r="DP183" s="258" t="n"/>
      <c r="DR183" s="357" t="inlineStr">
        <is>
          <t>12</t>
        </is>
      </c>
      <c r="DS183" s="131">
        <f>DS182+DS103</f>
        <v/>
      </c>
      <c r="DT183" s="258" t="n">
        <v>74262</v>
      </c>
      <c r="DU183" s="258" t="n">
        <v>0</v>
      </c>
      <c r="DV183" s="258" t="n"/>
      <c r="DW183" s="258" t="n"/>
      <c r="DX183" s="258" t="n"/>
      <c r="DZ183" s="357" t="inlineStr">
        <is>
          <t>12</t>
        </is>
      </c>
      <c r="EA183" s="131">
        <f>EA182+EA103</f>
        <v/>
      </c>
      <c r="EB183" s="258" t="n">
        <v>26531</v>
      </c>
      <c r="EC183" s="258" t="n">
        <v>0</v>
      </c>
      <c r="ED183" s="258" t="n"/>
      <c r="EE183" s="258" t="n"/>
      <c r="EF183" s="258" t="n"/>
    </row>
    <row r="184">
      <c r="S184" s="358" t="n"/>
      <c r="CV184" s="358" t="n"/>
    </row>
    <row r="185" ht="15.75" customHeight="1" s="161">
      <c r="B185" s="355" t="inlineStr">
        <is>
          <t>Global</t>
        </is>
      </c>
      <c r="J185" s="355" t="inlineStr">
        <is>
          <t>GLR5</t>
        </is>
      </c>
      <c r="R185" s="355" t="inlineStr">
        <is>
          <t>HTR8</t>
        </is>
      </c>
      <c r="Z185" s="355" t="inlineStr">
        <is>
          <t>TIRR</t>
        </is>
      </c>
      <c r="AH185" s="355" t="inlineStr">
        <is>
          <t>VR7</t>
        </is>
      </c>
      <c r="AP185" s="355" t="inlineStr">
        <is>
          <t>TURVILLA</t>
        </is>
      </c>
      <c r="AX185" s="355" t="inlineStr">
        <is>
          <t>HART</t>
        </is>
      </c>
      <c r="BF185" s="355" t="inlineStr">
        <is>
          <t>VICTOIRE</t>
        </is>
      </c>
      <c r="BN185" s="355" t="inlineStr">
        <is>
          <t>TH4</t>
        </is>
      </c>
      <c r="BV185" s="355" t="inlineStr">
        <is>
          <t>TL DIVES</t>
        </is>
      </c>
      <c r="CD185" s="355" t="inlineStr">
        <is>
          <t>R3 14</t>
        </is>
      </c>
      <c r="CL185" s="355" t="inlineStr">
        <is>
          <t>LYSE</t>
        </is>
      </c>
      <c r="CT185" s="355" t="inlineStr">
        <is>
          <t>ARTHUR</t>
        </is>
      </c>
      <c r="CV185" s="358" t="n"/>
      <c r="DB185" s="355" t="inlineStr">
        <is>
          <t>HUGO</t>
        </is>
      </c>
      <c r="DJ185" s="355" t="inlineStr">
        <is>
          <t>JEANCLO</t>
        </is>
      </c>
      <c r="DR185" s="355" t="inlineStr">
        <is>
          <t>THOMAS</t>
        </is>
      </c>
      <c r="DZ185" s="355" t="inlineStr">
        <is>
          <t>CATALINA</t>
        </is>
      </c>
    </row>
    <row r="187" ht="18.6" customFormat="1" customHeight="1" s="188">
      <c r="A187" s="356" t="inlineStr">
        <is>
          <t>Transactions totales cumulées</t>
        </is>
      </c>
      <c r="B187" s="186" t="inlineStr">
        <is>
          <t>MOIS</t>
        </is>
      </c>
      <c r="C187" s="187" t="inlineStr">
        <is>
          <t>2024</t>
        </is>
      </c>
      <c r="D187" s="187" t="inlineStr">
        <is>
          <t>2023</t>
        </is>
      </c>
      <c r="E187" s="187" t="inlineStr">
        <is>
          <t>2022</t>
        </is>
      </c>
      <c r="F187" s="187" t="inlineStr">
        <is>
          <t>2021</t>
        </is>
      </c>
      <c r="G187" s="187" t="inlineStr">
        <is>
          <t>2020</t>
        </is>
      </c>
      <c r="H187" s="187" t="inlineStr">
        <is>
          <t>2019</t>
        </is>
      </c>
      <c r="I187" s="187" t="n"/>
      <c r="J187" s="186" t="inlineStr">
        <is>
          <t>MOIS</t>
        </is>
      </c>
      <c r="K187" s="186" t="inlineStr">
        <is>
          <t>2025</t>
        </is>
      </c>
      <c r="L187" s="186" t="inlineStr">
        <is>
          <t>2024</t>
        </is>
      </c>
      <c r="M187" s="186" t="inlineStr">
        <is>
          <t>2023</t>
        </is>
      </c>
      <c r="N187" s="186" t="inlineStr">
        <is>
          <t>2022</t>
        </is>
      </c>
      <c r="O187" s="186" t="inlineStr">
        <is>
          <t>2021</t>
        </is>
      </c>
      <c r="P187" s="186" t="inlineStr">
        <is>
          <t>2020</t>
        </is>
      </c>
      <c r="R187" s="186" t="inlineStr">
        <is>
          <t>MOIS</t>
        </is>
      </c>
      <c r="S187" s="186" t="inlineStr">
        <is>
          <t>2025</t>
        </is>
      </c>
      <c r="T187" s="186" t="inlineStr">
        <is>
          <t>2024</t>
        </is>
      </c>
      <c r="U187" s="186" t="inlineStr">
        <is>
          <t>2023</t>
        </is>
      </c>
      <c r="V187" s="186" t="inlineStr">
        <is>
          <t>2022</t>
        </is>
      </c>
      <c r="W187" s="186" t="inlineStr">
        <is>
          <t>2021</t>
        </is>
      </c>
      <c r="X187" s="186" t="inlineStr">
        <is>
          <t>2020</t>
        </is>
      </c>
      <c r="Z187" s="186" t="inlineStr">
        <is>
          <t>MOIS</t>
        </is>
      </c>
      <c r="AA187" s="186" t="inlineStr">
        <is>
          <t>2025</t>
        </is>
      </c>
      <c r="AB187" s="186" t="inlineStr">
        <is>
          <t>2024</t>
        </is>
      </c>
      <c r="AC187" s="186" t="inlineStr">
        <is>
          <t>2023</t>
        </is>
      </c>
      <c r="AD187" s="186" t="inlineStr">
        <is>
          <t>2022</t>
        </is>
      </c>
      <c r="AE187" s="186" t="inlineStr">
        <is>
          <t>2021</t>
        </is>
      </c>
      <c r="AF187" s="186" t="inlineStr">
        <is>
          <t>2020</t>
        </is>
      </c>
      <c r="AH187" s="186" t="inlineStr">
        <is>
          <t>MOIS</t>
        </is>
      </c>
      <c r="AI187" s="186" t="inlineStr">
        <is>
          <t>2025</t>
        </is>
      </c>
      <c r="AJ187" s="186" t="inlineStr">
        <is>
          <t>2024</t>
        </is>
      </c>
      <c r="AK187" s="186" t="inlineStr">
        <is>
          <t>2023</t>
        </is>
      </c>
      <c r="AL187" s="186" t="inlineStr">
        <is>
          <t>2022</t>
        </is>
      </c>
      <c r="AM187" s="186" t="inlineStr">
        <is>
          <t>2021</t>
        </is>
      </c>
      <c r="AN187" s="186" t="inlineStr">
        <is>
          <t>2020</t>
        </is>
      </c>
      <c r="AP187" s="186" t="inlineStr">
        <is>
          <t>MOIS</t>
        </is>
      </c>
      <c r="AQ187" s="186" t="inlineStr">
        <is>
          <t>2025</t>
        </is>
      </c>
      <c r="AR187" s="186" t="inlineStr">
        <is>
          <t>2024</t>
        </is>
      </c>
      <c r="AS187" s="186" t="inlineStr">
        <is>
          <t>2023</t>
        </is>
      </c>
      <c r="AT187" s="186" t="inlineStr">
        <is>
          <t>2022</t>
        </is>
      </c>
      <c r="AU187" s="186" t="inlineStr">
        <is>
          <t>2021</t>
        </is>
      </c>
      <c r="AV187" s="186" t="inlineStr">
        <is>
          <t>2020</t>
        </is>
      </c>
      <c r="AX187" s="186" t="inlineStr">
        <is>
          <t>MOIS</t>
        </is>
      </c>
      <c r="AY187" s="186" t="inlineStr">
        <is>
          <t>2025</t>
        </is>
      </c>
      <c r="AZ187" s="186" t="inlineStr">
        <is>
          <t>2024</t>
        </is>
      </c>
      <c r="BA187" s="186" t="inlineStr">
        <is>
          <t>2023</t>
        </is>
      </c>
      <c r="BB187" s="186" t="inlineStr">
        <is>
          <t>2022</t>
        </is>
      </c>
      <c r="BC187" s="186" t="inlineStr">
        <is>
          <t>2021</t>
        </is>
      </c>
      <c r="BD187" s="186" t="inlineStr">
        <is>
          <t>2020</t>
        </is>
      </c>
      <c r="BE187" s="187" t="n"/>
      <c r="BF187" s="186" t="inlineStr">
        <is>
          <t>MOIS</t>
        </is>
      </c>
      <c r="BG187" s="186" t="inlineStr">
        <is>
          <t>2025</t>
        </is>
      </c>
      <c r="BH187" s="186" t="inlineStr">
        <is>
          <t>2024</t>
        </is>
      </c>
      <c r="BI187" s="186" t="inlineStr">
        <is>
          <t>2023</t>
        </is>
      </c>
      <c r="BJ187" s="186" t="inlineStr">
        <is>
          <t>2022</t>
        </is>
      </c>
      <c r="BK187" s="186" t="inlineStr">
        <is>
          <t>2021</t>
        </is>
      </c>
      <c r="BL187" s="186" t="inlineStr">
        <is>
          <t>2020</t>
        </is>
      </c>
      <c r="BM187" s="186" t="n"/>
      <c r="BN187" s="186" t="inlineStr">
        <is>
          <t>MOIS</t>
        </is>
      </c>
      <c r="BO187" s="187" t="inlineStr">
        <is>
          <t>2025</t>
        </is>
      </c>
      <c r="BP187" s="187" t="inlineStr">
        <is>
          <t>2024</t>
        </is>
      </c>
      <c r="BQ187" s="187" t="inlineStr">
        <is>
          <t>2023</t>
        </is>
      </c>
      <c r="BR187" s="187" t="inlineStr">
        <is>
          <t>2022</t>
        </is>
      </c>
      <c r="BS187" s="187" t="inlineStr">
        <is>
          <t>2021</t>
        </is>
      </c>
      <c r="BT187" s="187" t="inlineStr">
        <is>
          <t>2020</t>
        </is>
      </c>
      <c r="BV187" s="186" t="inlineStr">
        <is>
          <t>MOIS</t>
        </is>
      </c>
      <c r="BW187" s="187" t="inlineStr">
        <is>
          <t>2025</t>
        </is>
      </c>
      <c r="BX187" s="187" t="inlineStr">
        <is>
          <t>2024</t>
        </is>
      </c>
      <c r="BY187" s="187" t="inlineStr">
        <is>
          <t>2023</t>
        </is>
      </c>
      <c r="BZ187" s="187" t="inlineStr">
        <is>
          <t>2022</t>
        </is>
      </c>
      <c r="CA187" s="187" t="inlineStr">
        <is>
          <t>2021</t>
        </is>
      </c>
      <c r="CB187" s="187" t="inlineStr">
        <is>
          <t>2020</t>
        </is>
      </c>
      <c r="CC187" s="187" t="n"/>
      <c r="CD187" s="186" t="inlineStr">
        <is>
          <t>MOIS</t>
        </is>
      </c>
      <c r="CE187" s="187" t="inlineStr">
        <is>
          <t>2025</t>
        </is>
      </c>
      <c r="CF187" s="187" t="inlineStr">
        <is>
          <t>2024</t>
        </is>
      </c>
      <c r="CG187" s="187" t="inlineStr">
        <is>
          <t>2023</t>
        </is>
      </c>
      <c r="CH187" s="187" t="inlineStr">
        <is>
          <t>2022</t>
        </is>
      </c>
      <c r="CI187" s="187" t="inlineStr">
        <is>
          <t>2021</t>
        </is>
      </c>
      <c r="CJ187" s="187" t="inlineStr">
        <is>
          <t>2020</t>
        </is>
      </c>
      <c r="CL187" s="186" t="inlineStr">
        <is>
          <t>MOIS</t>
        </is>
      </c>
      <c r="CM187" s="187" t="inlineStr">
        <is>
          <t>2025</t>
        </is>
      </c>
      <c r="CN187" s="187" t="inlineStr">
        <is>
          <t>2024</t>
        </is>
      </c>
      <c r="CO187" s="187" t="inlineStr">
        <is>
          <t>2023</t>
        </is>
      </c>
      <c r="CP187" s="187" t="inlineStr">
        <is>
          <t>2022</t>
        </is>
      </c>
      <c r="CQ187" s="187" t="inlineStr">
        <is>
          <t>2021</t>
        </is>
      </c>
      <c r="CR187" s="187" t="inlineStr">
        <is>
          <t>2020</t>
        </is>
      </c>
      <c r="CT187" s="186" t="inlineStr">
        <is>
          <t>MOIS</t>
        </is>
      </c>
      <c r="CU187" s="187" t="inlineStr">
        <is>
          <t>2025</t>
        </is>
      </c>
      <c r="CV187" s="187" t="inlineStr">
        <is>
          <t>2024</t>
        </is>
      </c>
      <c r="CW187" s="187" t="inlineStr">
        <is>
          <t>2023</t>
        </is>
      </c>
      <c r="CX187" s="187" t="inlineStr">
        <is>
          <t>2022</t>
        </is>
      </c>
      <c r="CY187" s="187" t="inlineStr">
        <is>
          <t>2021</t>
        </is>
      </c>
      <c r="CZ187" s="187" t="inlineStr">
        <is>
          <t>2020</t>
        </is>
      </c>
      <c r="DB187" s="186" t="inlineStr">
        <is>
          <t>MOIS</t>
        </is>
      </c>
      <c r="DC187" s="187" t="inlineStr">
        <is>
          <t>2025</t>
        </is>
      </c>
      <c r="DD187" s="187" t="inlineStr">
        <is>
          <t>2024</t>
        </is>
      </c>
      <c r="DE187" s="187" t="inlineStr">
        <is>
          <t>2023</t>
        </is>
      </c>
      <c r="DF187" s="187" t="inlineStr">
        <is>
          <t>2022</t>
        </is>
      </c>
      <c r="DG187" s="187" t="inlineStr">
        <is>
          <t>2021</t>
        </is>
      </c>
      <c r="DH187" s="187" t="inlineStr">
        <is>
          <t>2020</t>
        </is>
      </c>
      <c r="DI187" s="187" t="n"/>
      <c r="DJ187" s="186" t="inlineStr">
        <is>
          <t>MOIS</t>
        </is>
      </c>
      <c r="DK187" s="187" t="inlineStr">
        <is>
          <t>2025</t>
        </is>
      </c>
      <c r="DL187" s="187" t="inlineStr">
        <is>
          <t>2024</t>
        </is>
      </c>
      <c r="DM187" s="187" t="inlineStr">
        <is>
          <t>2023</t>
        </is>
      </c>
      <c r="DN187" s="187" t="inlineStr">
        <is>
          <t>2022</t>
        </is>
      </c>
      <c r="DO187" s="187" t="inlineStr">
        <is>
          <t>2021</t>
        </is>
      </c>
      <c r="DP187" s="187" t="inlineStr">
        <is>
          <t>2020</t>
        </is>
      </c>
      <c r="DR187" s="186" t="inlineStr">
        <is>
          <t>MOIS</t>
        </is>
      </c>
      <c r="DS187" s="187" t="inlineStr">
        <is>
          <t>2025</t>
        </is>
      </c>
      <c r="DT187" s="187" t="inlineStr">
        <is>
          <t>2024</t>
        </is>
      </c>
      <c r="DU187" s="187" t="inlineStr">
        <is>
          <t>2023</t>
        </is>
      </c>
      <c r="DV187" s="187" t="inlineStr">
        <is>
          <t>2022</t>
        </is>
      </c>
      <c r="DW187" s="187" t="inlineStr">
        <is>
          <t>2021</t>
        </is>
      </c>
      <c r="DX187" s="187" t="inlineStr">
        <is>
          <t>2020</t>
        </is>
      </c>
      <c r="DZ187" s="186" t="inlineStr">
        <is>
          <t>MOIS</t>
        </is>
      </c>
      <c r="EA187" s="187" t="inlineStr">
        <is>
          <t>2025</t>
        </is>
      </c>
      <c r="EB187" s="187" t="inlineStr">
        <is>
          <t>2024</t>
        </is>
      </c>
      <c r="EC187" s="187" t="inlineStr">
        <is>
          <t>2023</t>
        </is>
      </c>
      <c r="ED187" s="187" t="inlineStr">
        <is>
          <t>2022</t>
        </is>
      </c>
      <c r="EE187" s="187" t="inlineStr">
        <is>
          <t>2021</t>
        </is>
      </c>
      <c r="EF187" s="187" t="inlineStr">
        <is>
          <t>2020</t>
        </is>
      </c>
    </row>
    <row r="188">
      <c r="B188" s="357" t="inlineStr">
        <is>
          <t>01</t>
        </is>
      </c>
      <c r="C188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88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88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88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88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88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88" s="258" t="n"/>
      <c r="J188" s="357" t="inlineStr">
        <is>
          <t>01</t>
        </is>
      </c>
      <c r="K188" s="131">
        <f>+K108</f>
        <v/>
      </c>
      <c r="L188" s="258" t="n">
        <v>23552</v>
      </c>
      <c r="M188" s="258" t="n">
        <v>28360</v>
      </c>
      <c r="N188" s="258" t="n">
        <v>26726</v>
      </c>
      <c r="O188" s="258" t="n">
        <v>16817</v>
      </c>
      <c r="P188" s="258" t="n">
        <v>32657</v>
      </c>
      <c r="R188" s="357" t="inlineStr">
        <is>
          <t>01</t>
        </is>
      </c>
      <c r="S188" s="131">
        <f>+S108</f>
        <v/>
      </c>
      <c r="T188" s="258" t="n">
        <v>11959</v>
      </c>
      <c r="U188" s="258" t="n">
        <v>14842</v>
      </c>
      <c r="V188" s="258" t="n">
        <v>14819</v>
      </c>
      <c r="W188" s="258" t="n">
        <v>10287</v>
      </c>
      <c r="X188" s="258" t="n">
        <v>17406</v>
      </c>
      <c r="Z188" s="357" t="inlineStr">
        <is>
          <t>01</t>
        </is>
      </c>
      <c r="AA188" s="131">
        <f>+AA108</f>
        <v/>
      </c>
      <c r="AB188" s="258" t="n">
        <v>16102</v>
      </c>
      <c r="AC188" s="258" t="n">
        <v>20290</v>
      </c>
      <c r="AD188" s="258" t="n">
        <v>18115</v>
      </c>
      <c r="AE188" s="258" t="n">
        <v>12019</v>
      </c>
      <c r="AF188" s="258" t="n">
        <v>21352</v>
      </c>
      <c r="AH188" s="357" t="inlineStr">
        <is>
          <t>01</t>
        </is>
      </c>
      <c r="AI188" s="131">
        <f>+AI108</f>
        <v/>
      </c>
      <c r="AJ188" s="258" t="n">
        <v>21218</v>
      </c>
      <c r="AK188" s="258" t="n">
        <v>22871</v>
      </c>
      <c r="AL188" s="258" t="n">
        <v>20862</v>
      </c>
      <c r="AM188" s="258" t="n">
        <v>13998</v>
      </c>
      <c r="AN188" s="258" t="n">
        <v>24037</v>
      </c>
      <c r="AP188" s="357" t="inlineStr">
        <is>
          <t>01</t>
        </is>
      </c>
      <c r="AQ188" s="131">
        <f>+AQ108</f>
        <v/>
      </c>
      <c r="AR188" s="258" t="n">
        <v>27149</v>
      </c>
      <c r="AS188" s="258" t="n">
        <v>28935</v>
      </c>
      <c r="AT188" s="258" t="n">
        <v>25783</v>
      </c>
      <c r="AU188" s="258" t="n">
        <v>18935</v>
      </c>
      <c r="AV188" s="258" t="n">
        <v>0</v>
      </c>
      <c r="AX188" s="357" t="inlineStr">
        <is>
          <t>01</t>
        </is>
      </c>
      <c r="AY188" s="131">
        <f>+AY108</f>
        <v/>
      </c>
      <c r="AZ188" s="258" t="n">
        <v>12467</v>
      </c>
      <c r="BA188" s="258" t="n">
        <v>13514</v>
      </c>
      <c r="BB188" s="258" t="n">
        <v>12448</v>
      </c>
      <c r="BC188" s="258" t="n"/>
      <c r="BD188" s="258" t="n"/>
      <c r="BE188" s="258" t="n"/>
      <c r="BF188" s="357" t="inlineStr">
        <is>
          <t>01</t>
        </is>
      </c>
      <c r="BG188" s="131">
        <f>+BG108</f>
        <v/>
      </c>
      <c r="BH188" s="258" t="n">
        <v>13598</v>
      </c>
      <c r="BI188" s="258" t="n">
        <v>13237</v>
      </c>
      <c r="BJ188" s="258" t="n"/>
      <c r="BK188" s="258" t="n"/>
      <c r="BL188" s="258" t="n"/>
      <c r="BM188" s="258" t="n"/>
      <c r="BN188" s="357" t="inlineStr">
        <is>
          <t>01</t>
        </is>
      </c>
      <c r="BO188" s="131">
        <f>+BO108</f>
        <v/>
      </c>
      <c r="BP188" s="258" t="n">
        <v>20262</v>
      </c>
      <c r="BQ188" s="258" t="n">
        <v>22185</v>
      </c>
      <c r="BR188" s="258" t="n">
        <v>21642</v>
      </c>
      <c r="BS188" s="258" t="n">
        <v>12372</v>
      </c>
      <c r="BT188" s="258" t="n">
        <v>26285</v>
      </c>
      <c r="BV188" s="357" t="inlineStr">
        <is>
          <t>01</t>
        </is>
      </c>
      <c r="BW188" s="131">
        <f>+BW108</f>
        <v/>
      </c>
      <c r="BX188" s="258" t="n">
        <v>12786</v>
      </c>
      <c r="BY188" s="258" t="n">
        <v>14237</v>
      </c>
      <c r="BZ188" s="258" t="n">
        <v>13286</v>
      </c>
      <c r="CA188" s="258" t="n">
        <v>9279</v>
      </c>
      <c r="CB188" s="258" t="n">
        <v>15105</v>
      </c>
      <c r="CC188" s="258" t="n"/>
      <c r="CD188" s="357" t="inlineStr">
        <is>
          <t>01</t>
        </is>
      </c>
      <c r="CE188" s="131">
        <f>+CE108</f>
        <v/>
      </c>
      <c r="CF188" s="258" t="n">
        <v>21787</v>
      </c>
      <c r="CG188" s="258" t="n">
        <v>20900</v>
      </c>
      <c r="CH188" s="258" t="n">
        <v>21777</v>
      </c>
      <c r="CI188" s="258" t="n">
        <v>9514</v>
      </c>
      <c r="CJ188" s="258" t="n">
        <v>24395</v>
      </c>
      <c r="CL188" s="357" t="inlineStr">
        <is>
          <t>01</t>
        </is>
      </c>
      <c r="CM188" s="131">
        <f>+CM108</f>
        <v/>
      </c>
      <c r="CN188" s="258" t="n">
        <v>18689</v>
      </c>
      <c r="CO188" s="258" t="n">
        <v>27302</v>
      </c>
      <c r="CP188" s="258" t="n">
        <v>25568</v>
      </c>
      <c r="CQ188" s="258" t="n">
        <v>15767</v>
      </c>
      <c r="CR188" s="258" t="n">
        <v>29700</v>
      </c>
      <c r="CT188" s="357" t="inlineStr">
        <is>
          <t>01</t>
        </is>
      </c>
      <c r="CU188" s="131">
        <f>+CU108</f>
        <v/>
      </c>
      <c r="CV188" s="258" t="n">
        <v>25677</v>
      </c>
      <c r="CW188" s="258" t="n">
        <v>0</v>
      </c>
      <c r="CX188" s="258" t="n"/>
      <c r="CY188" s="258" t="n"/>
      <c r="CZ188" s="258" t="n"/>
      <c r="DB188" s="357" t="inlineStr">
        <is>
          <t>01</t>
        </is>
      </c>
      <c r="DC188" s="131">
        <f>+DC108</f>
        <v/>
      </c>
      <c r="DD188" s="258" t="n">
        <v>27166</v>
      </c>
      <c r="DE188" s="258" t="n">
        <v>0</v>
      </c>
      <c r="DF188" s="258" t="n"/>
      <c r="DG188" s="258" t="n"/>
      <c r="DH188" s="258" t="n"/>
      <c r="DI188" s="258" t="n"/>
      <c r="DJ188" s="357" t="inlineStr">
        <is>
          <t>01</t>
        </is>
      </c>
      <c r="DK188" s="131">
        <f>+DK108</f>
        <v/>
      </c>
      <c r="DL188" s="258" t="n">
        <v>15290</v>
      </c>
      <c r="DM188" s="258" t="n">
        <v>0</v>
      </c>
      <c r="DN188" s="258" t="n"/>
      <c r="DO188" s="258" t="n"/>
      <c r="DP188" s="258" t="n"/>
      <c r="DR188" s="357" t="inlineStr">
        <is>
          <t>01</t>
        </is>
      </c>
      <c r="DS188" s="131">
        <f>+DS108</f>
        <v/>
      </c>
      <c r="DT188" s="258" t="n">
        <v>18933</v>
      </c>
      <c r="DU188" s="258" t="n">
        <v>0</v>
      </c>
      <c r="DV188" s="258" t="n"/>
      <c r="DW188" s="258" t="n"/>
      <c r="DX188" s="258" t="n"/>
      <c r="DZ188" s="357" t="inlineStr">
        <is>
          <t>01</t>
        </is>
      </c>
      <c r="EA188" s="131">
        <f>EA108</f>
        <v/>
      </c>
      <c r="EB188" s="258" t="n"/>
      <c r="EC188" s="258" t="n">
        <v>0</v>
      </c>
      <c r="ED188" s="258" t="n"/>
      <c r="EE188" s="258" t="n"/>
      <c r="EF188" s="258" t="n"/>
    </row>
    <row r="189">
      <c r="B189" s="357" t="inlineStr">
        <is>
          <t>02</t>
        </is>
      </c>
      <c r="C189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89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89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89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89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89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89" s="258" t="n"/>
      <c r="J189" s="357" t="inlineStr">
        <is>
          <t>02</t>
        </is>
      </c>
      <c r="K189" s="131">
        <f>K188+K109</f>
        <v/>
      </c>
      <c r="L189" s="258" t="n">
        <v>46175</v>
      </c>
      <c r="M189" s="258" t="n">
        <v>55316</v>
      </c>
      <c r="N189" s="258" t="n">
        <v>54719</v>
      </c>
      <c r="O189" s="258" t="n">
        <v>32604</v>
      </c>
      <c r="P189" s="258" t="n">
        <v>64829</v>
      </c>
      <c r="R189" s="357" t="inlineStr">
        <is>
          <t>02</t>
        </is>
      </c>
      <c r="S189" s="131">
        <f>S188+S109</f>
        <v/>
      </c>
      <c r="T189" s="258" t="n">
        <v>24244</v>
      </c>
      <c r="U189" s="258" t="n">
        <v>28785</v>
      </c>
      <c r="V189" s="258" t="n">
        <v>29969</v>
      </c>
      <c r="W189" s="258" t="n">
        <v>20258</v>
      </c>
      <c r="X189" s="258" t="n">
        <v>34210</v>
      </c>
      <c r="Z189" s="357" t="inlineStr">
        <is>
          <t>02</t>
        </is>
      </c>
      <c r="AA189" s="131">
        <f>AA188+AA109</f>
        <v/>
      </c>
      <c r="AB189" s="258" t="n">
        <v>33208</v>
      </c>
      <c r="AC189" s="258" t="n">
        <v>39777</v>
      </c>
      <c r="AD189" s="258" t="n">
        <v>37029</v>
      </c>
      <c r="AE189" s="258" t="n">
        <v>23026</v>
      </c>
      <c r="AF189" s="258" t="n">
        <v>42339</v>
      </c>
      <c r="AH189" s="357" t="inlineStr">
        <is>
          <t>02</t>
        </is>
      </c>
      <c r="AI189" s="131">
        <f>AI188+AI109</f>
        <v/>
      </c>
      <c r="AJ189" s="258" t="n">
        <v>41938</v>
      </c>
      <c r="AK189" s="258" t="n">
        <v>44037</v>
      </c>
      <c r="AL189" s="258" t="n">
        <v>43173</v>
      </c>
      <c r="AM189" s="258" t="n">
        <v>27283</v>
      </c>
      <c r="AN189" s="258" t="n">
        <v>47115</v>
      </c>
      <c r="AP189" s="357" t="inlineStr">
        <is>
          <t>02</t>
        </is>
      </c>
      <c r="AQ189" s="131">
        <f>AQ188+AQ109</f>
        <v/>
      </c>
      <c r="AR189" s="258" t="n">
        <v>53741</v>
      </c>
      <c r="AS189" s="258" t="n">
        <v>57356</v>
      </c>
      <c r="AT189" s="258" t="n">
        <v>53868</v>
      </c>
      <c r="AU189" s="258" t="n">
        <v>35974</v>
      </c>
      <c r="AV189" s="258" t="n">
        <v>0</v>
      </c>
      <c r="AX189" s="357" t="inlineStr">
        <is>
          <t>02</t>
        </is>
      </c>
      <c r="AY189" s="131">
        <f>AY188+AY109</f>
        <v/>
      </c>
      <c r="AZ189" s="258" t="n">
        <v>24729</v>
      </c>
      <c r="BA189" s="258" t="n">
        <v>26372</v>
      </c>
      <c r="BB189" s="258" t="n">
        <v>24864</v>
      </c>
      <c r="BC189" s="258" t="n"/>
      <c r="BD189" s="258" t="n"/>
      <c r="BE189" s="258" t="n"/>
      <c r="BF189" s="357" t="inlineStr">
        <is>
          <t>02</t>
        </is>
      </c>
      <c r="BG189" s="131">
        <f>BG188+BG109</f>
        <v/>
      </c>
      <c r="BH189" s="258" t="n">
        <v>26936</v>
      </c>
      <c r="BI189" s="258" t="n">
        <v>26664</v>
      </c>
      <c r="BJ189" s="258" t="n"/>
      <c r="BK189" s="258" t="n"/>
      <c r="BL189" s="258" t="n"/>
      <c r="BM189" s="258" t="n"/>
      <c r="BN189" s="357" t="inlineStr">
        <is>
          <t>02</t>
        </is>
      </c>
      <c r="BO189" s="131">
        <f>BO188+BO109</f>
        <v/>
      </c>
      <c r="BP189" s="258" t="n">
        <v>40131</v>
      </c>
      <c r="BQ189" s="258" t="n">
        <v>42536</v>
      </c>
      <c r="BR189" s="258" t="n">
        <v>41931</v>
      </c>
      <c r="BS189" s="258" t="n">
        <v>24475</v>
      </c>
      <c r="BT189" s="258" t="n">
        <v>49293</v>
      </c>
      <c r="BV189" s="357" t="inlineStr">
        <is>
          <t>02</t>
        </is>
      </c>
      <c r="BW189" s="131">
        <f>BW188+BW109</f>
        <v/>
      </c>
      <c r="BX189" s="258" t="n">
        <v>25741</v>
      </c>
      <c r="BY189" s="258" t="n">
        <v>28630</v>
      </c>
      <c r="BZ189" s="258" t="n">
        <v>27879</v>
      </c>
      <c r="CA189" s="258" t="n">
        <v>18247</v>
      </c>
      <c r="CB189" s="258" t="n">
        <v>30465</v>
      </c>
      <c r="CC189" s="258" t="n"/>
      <c r="CD189" s="357" t="inlineStr">
        <is>
          <t>02</t>
        </is>
      </c>
      <c r="CE189" s="131">
        <f>CE188+CE109</f>
        <v/>
      </c>
      <c r="CF189" s="258" t="n">
        <v>43624</v>
      </c>
      <c r="CG189" s="258" t="n">
        <v>42343</v>
      </c>
      <c r="CH189" s="258" t="n">
        <v>43860</v>
      </c>
      <c r="CI189" s="258" t="n">
        <v>21245</v>
      </c>
      <c r="CJ189" s="258" t="n">
        <v>50247</v>
      </c>
      <c r="CL189" s="357" t="inlineStr">
        <is>
          <t>02</t>
        </is>
      </c>
      <c r="CM189" s="131">
        <f>CM188+CM109</f>
        <v/>
      </c>
      <c r="CN189" s="258" t="n">
        <v>38138</v>
      </c>
      <c r="CO189" s="258" t="n">
        <v>53844</v>
      </c>
      <c r="CP189" s="258" t="n">
        <v>51537</v>
      </c>
      <c r="CQ189" s="258" t="n">
        <v>30341</v>
      </c>
      <c r="CR189" s="258" t="n">
        <v>58942</v>
      </c>
      <c r="CT189" s="357" t="inlineStr">
        <is>
          <t>02</t>
        </is>
      </c>
      <c r="CU189" s="131">
        <f>CU188+CU109</f>
        <v/>
      </c>
      <c r="CV189" s="258" t="n">
        <v>50791</v>
      </c>
      <c r="CW189" s="258" t="n">
        <v>0</v>
      </c>
      <c r="CX189" s="258" t="n"/>
      <c r="CY189" s="258" t="n"/>
      <c r="CZ189" s="258" t="n"/>
      <c r="DB189" s="357" t="inlineStr">
        <is>
          <t>02</t>
        </is>
      </c>
      <c r="DC189" s="131">
        <f>DC188+DC109</f>
        <v/>
      </c>
      <c r="DD189" s="258" t="n">
        <v>52660</v>
      </c>
      <c r="DE189" s="258" t="n">
        <v>0</v>
      </c>
      <c r="DF189" s="258" t="n"/>
      <c r="DG189" s="258" t="n"/>
      <c r="DH189" s="258" t="n"/>
      <c r="DI189" s="258" t="n"/>
      <c r="DJ189" s="357" t="inlineStr">
        <is>
          <t>02</t>
        </is>
      </c>
      <c r="DK189" s="131">
        <f>DK188+DK109</f>
        <v/>
      </c>
      <c r="DL189" s="258" t="n">
        <v>30146</v>
      </c>
      <c r="DM189" s="258" t="n">
        <v>0</v>
      </c>
      <c r="DN189" s="258" t="n"/>
      <c r="DO189" s="258" t="n"/>
      <c r="DP189" s="258" t="n"/>
      <c r="DR189" s="357" t="inlineStr">
        <is>
          <t>02</t>
        </is>
      </c>
      <c r="DS189" s="131">
        <f>DS188+DS109</f>
        <v/>
      </c>
      <c r="DT189" s="258" t="n">
        <v>37388</v>
      </c>
      <c r="DU189" s="258" t="n">
        <v>0</v>
      </c>
      <c r="DV189" s="258" t="n"/>
      <c r="DW189" s="258" t="n"/>
      <c r="DX189" s="258" t="n"/>
      <c r="DZ189" s="357" t="inlineStr">
        <is>
          <t>02</t>
        </is>
      </c>
      <c r="EA189" s="131">
        <f>+EA188+EA109</f>
        <v/>
      </c>
      <c r="EB189" s="258" t="n"/>
      <c r="EC189" s="258" t="n">
        <v>0</v>
      </c>
      <c r="ED189" s="258" t="n"/>
      <c r="EE189" s="258" t="n"/>
      <c r="EF189" s="258" t="n"/>
    </row>
    <row r="190">
      <c r="B190" s="357" t="inlineStr">
        <is>
          <t>03</t>
        </is>
      </c>
      <c r="C190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90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90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90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90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90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90" s="258" t="n"/>
      <c r="J190" s="357" t="inlineStr">
        <is>
          <t>03</t>
        </is>
      </c>
      <c r="K190" s="131">
        <f>K189+K110</f>
        <v/>
      </c>
      <c r="L190" s="258" t="n">
        <v>71491</v>
      </c>
      <c r="M190" s="258" t="n">
        <v>82429</v>
      </c>
      <c r="N190" s="258" t="n">
        <v>83766</v>
      </c>
      <c r="O190" s="258" t="n">
        <v>50397</v>
      </c>
      <c r="P190" s="258" t="n">
        <v>79872</v>
      </c>
      <c r="R190" s="357" t="inlineStr">
        <is>
          <t>03</t>
        </is>
      </c>
      <c r="S190" s="131">
        <f>S189+S110</f>
        <v/>
      </c>
      <c r="T190" s="258" t="n">
        <v>37617</v>
      </c>
      <c r="U190" s="258" t="n">
        <v>42952</v>
      </c>
      <c r="V190" s="258" t="n">
        <v>45290</v>
      </c>
      <c r="W190" s="258" t="n">
        <v>30660</v>
      </c>
      <c r="X190" s="258" t="n">
        <v>42338</v>
      </c>
      <c r="Z190" s="357" t="inlineStr">
        <is>
          <t>03</t>
        </is>
      </c>
      <c r="AA190" s="131">
        <f>AA189+AA110</f>
        <v/>
      </c>
      <c r="AB190" s="258" t="n">
        <v>52897</v>
      </c>
      <c r="AC190" s="258" t="n">
        <v>60328</v>
      </c>
      <c r="AD190" s="258" t="n">
        <v>58101</v>
      </c>
      <c r="AE190" s="258" t="n">
        <v>35039</v>
      </c>
      <c r="AF190" s="258" t="n">
        <v>52890</v>
      </c>
      <c r="AH190" s="357" t="inlineStr">
        <is>
          <t>03</t>
        </is>
      </c>
      <c r="AI190" s="131">
        <f>AI189+AI110</f>
        <v/>
      </c>
      <c r="AJ190" s="258" t="n">
        <v>64382</v>
      </c>
      <c r="AK190" s="258" t="n">
        <v>66364</v>
      </c>
      <c r="AL190" s="258" t="n">
        <v>64962</v>
      </c>
      <c r="AM190" s="258" t="n">
        <v>41423</v>
      </c>
      <c r="AN190" s="258" t="n">
        <v>50060</v>
      </c>
      <c r="AP190" s="357" t="inlineStr">
        <is>
          <t>03</t>
        </is>
      </c>
      <c r="AQ190" s="131">
        <f>AQ189+AQ110</f>
        <v/>
      </c>
      <c r="AR190" s="258" t="n">
        <v>82161</v>
      </c>
      <c r="AS190" s="258" t="n">
        <v>85453</v>
      </c>
      <c r="AT190" s="258" t="n">
        <v>81334</v>
      </c>
      <c r="AU190" s="258" t="n">
        <v>53554</v>
      </c>
      <c r="AV190" s="258" t="n">
        <v>0</v>
      </c>
      <c r="AX190" s="357" t="inlineStr">
        <is>
          <t>03</t>
        </is>
      </c>
      <c r="AY190" s="131">
        <f>AY189+AY110</f>
        <v/>
      </c>
      <c r="AZ190" s="258" t="n">
        <v>38297</v>
      </c>
      <c r="BA190" s="258" t="n">
        <v>39943</v>
      </c>
      <c r="BB190" s="258" t="n">
        <v>37718</v>
      </c>
      <c r="BC190" s="258" t="n"/>
      <c r="BD190" s="258" t="n"/>
      <c r="BE190" s="258" t="n"/>
      <c r="BF190" s="357" t="inlineStr">
        <is>
          <t>03</t>
        </is>
      </c>
      <c r="BG190" s="131">
        <f>BG189+BG110</f>
        <v/>
      </c>
      <c r="BH190" s="258" t="n">
        <v>41074</v>
      </c>
      <c r="BI190" s="258" t="n">
        <v>39066</v>
      </c>
      <c r="BJ190" s="258" t="n"/>
      <c r="BK190" s="258" t="n"/>
      <c r="BL190" s="258" t="n"/>
      <c r="BM190" s="258" t="n"/>
      <c r="BN190" s="357" t="inlineStr">
        <is>
          <t>03</t>
        </is>
      </c>
      <c r="BO190" s="131">
        <f>BO189+BO110</f>
        <v/>
      </c>
      <c r="BP190" s="258" t="n">
        <v>61714</v>
      </c>
      <c r="BQ190" s="258" t="n">
        <v>64131</v>
      </c>
      <c r="BR190" s="258" t="n">
        <v>64304</v>
      </c>
      <c r="BS190" s="258" t="n">
        <v>37193</v>
      </c>
      <c r="BT190" s="258" t="n">
        <v>61239</v>
      </c>
      <c r="BV190" s="357" t="inlineStr">
        <is>
          <t>03</t>
        </is>
      </c>
      <c r="BW190" s="131">
        <f>BW189+BW110</f>
        <v/>
      </c>
      <c r="BX190" s="258" t="n">
        <v>40625</v>
      </c>
      <c r="BY190" s="258" t="n">
        <v>42886</v>
      </c>
      <c r="BZ190" s="258" t="n">
        <v>42458</v>
      </c>
      <c r="CA190" s="258" t="n">
        <v>27778</v>
      </c>
      <c r="CB190" s="258" t="n">
        <v>37105</v>
      </c>
      <c r="CC190" s="258" t="n"/>
      <c r="CD190" s="357" t="inlineStr">
        <is>
          <t>03</t>
        </is>
      </c>
      <c r="CE190" s="131">
        <f>CE189+CE110</f>
        <v/>
      </c>
      <c r="CF190" s="258" t="n">
        <v>66797</v>
      </c>
      <c r="CG190" s="258" t="n">
        <v>63535</v>
      </c>
      <c r="CH190" s="258" t="n">
        <v>66870</v>
      </c>
      <c r="CI190" s="258" t="n">
        <v>34433</v>
      </c>
      <c r="CJ190" s="258" t="n">
        <v>61633</v>
      </c>
      <c r="CL190" s="357" t="inlineStr">
        <is>
          <t>03</t>
        </is>
      </c>
      <c r="CM190" s="131">
        <f>CM189+CM110</f>
        <v/>
      </c>
      <c r="CN190" s="258" t="n">
        <v>60675</v>
      </c>
      <c r="CO190" s="258" t="n">
        <v>80386</v>
      </c>
      <c r="CP190" s="258" t="n">
        <v>77905</v>
      </c>
      <c r="CQ190" s="258" t="n">
        <v>46877</v>
      </c>
      <c r="CR190" s="258" t="n">
        <v>72762</v>
      </c>
      <c r="CT190" s="357" t="inlineStr">
        <is>
          <t>03</t>
        </is>
      </c>
      <c r="CU190" s="131">
        <f>CU189+CU110</f>
        <v/>
      </c>
      <c r="CV190" s="258" t="n">
        <v>78578</v>
      </c>
      <c r="CW190" s="258" t="n">
        <v>0</v>
      </c>
      <c r="CX190" s="258" t="n"/>
      <c r="CY190" s="258" t="n"/>
      <c r="CZ190" s="258" t="n"/>
      <c r="DB190" s="357" t="inlineStr">
        <is>
          <t>03</t>
        </is>
      </c>
      <c r="DC190" s="131">
        <f>DC189+DC110</f>
        <v/>
      </c>
      <c r="DD190" s="258" t="n">
        <v>82050</v>
      </c>
      <c r="DE190" s="258" t="n">
        <v>0</v>
      </c>
      <c r="DF190" s="258" t="n"/>
      <c r="DG190" s="258" t="n"/>
      <c r="DH190" s="258" t="n"/>
      <c r="DI190" s="258" t="n"/>
      <c r="DJ190" s="357" t="inlineStr">
        <is>
          <t>03</t>
        </is>
      </c>
      <c r="DK190" s="131">
        <f>DK189+DK110</f>
        <v/>
      </c>
      <c r="DL190" s="258" t="n">
        <v>44759</v>
      </c>
      <c r="DM190" s="258" t="n">
        <v>0</v>
      </c>
      <c r="DN190" s="258" t="n"/>
      <c r="DO190" s="258" t="n"/>
      <c r="DP190" s="258" t="n"/>
      <c r="DR190" s="357" t="inlineStr">
        <is>
          <t>03</t>
        </is>
      </c>
      <c r="DS190" s="131">
        <f>DS189+DS110</f>
        <v/>
      </c>
      <c r="DT190" s="258" t="n">
        <v>57322</v>
      </c>
      <c r="DU190" s="258" t="n">
        <v>0</v>
      </c>
      <c r="DV190" s="258" t="n"/>
      <c r="DW190" s="258" t="n"/>
      <c r="DX190" s="258" t="n"/>
      <c r="DZ190" s="357" t="inlineStr">
        <is>
          <t>03</t>
        </is>
      </c>
      <c r="EA190" s="131">
        <f>+EA189+EA110</f>
        <v/>
      </c>
      <c r="EB190" s="258" t="n"/>
      <c r="EC190" s="258" t="n">
        <v>0</v>
      </c>
      <c r="ED190" s="258" t="n"/>
      <c r="EE190" s="258" t="n"/>
      <c r="EF190" s="258" t="n"/>
    </row>
    <row r="191">
      <c r="B191" s="357" t="inlineStr">
        <is>
          <t>04</t>
        </is>
      </c>
      <c r="C191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91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91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91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91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91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91" s="258" t="n"/>
      <c r="J191" s="357" t="inlineStr">
        <is>
          <t>04</t>
        </is>
      </c>
      <c r="K191" s="131">
        <f>K190+K111</f>
        <v/>
      </c>
      <c r="L191" s="258" t="n">
        <v>96620</v>
      </c>
      <c r="M191" s="258" t="n">
        <v>110801</v>
      </c>
      <c r="N191" s="258" t="n">
        <v>111849</v>
      </c>
      <c r="O191" s="258" t="n">
        <v>68684</v>
      </c>
      <c r="P191" s="258" t="n">
        <v>79872.00003000999</v>
      </c>
      <c r="R191" s="357" t="inlineStr">
        <is>
          <t>04</t>
        </is>
      </c>
      <c r="S191" s="131">
        <f>S190+S111</f>
        <v/>
      </c>
      <c r="T191" s="258" t="n">
        <v>51564</v>
      </c>
      <c r="U191" s="258" t="n">
        <v>57398</v>
      </c>
      <c r="V191" s="258" t="n">
        <v>60539</v>
      </c>
      <c r="W191" s="258" t="n">
        <v>41355</v>
      </c>
      <c r="X191" s="258" t="n">
        <v>42338</v>
      </c>
      <c r="Z191" s="357" t="inlineStr">
        <is>
          <t>04</t>
        </is>
      </c>
      <c r="AA191" s="131">
        <f>AA190+AA111</f>
        <v/>
      </c>
      <c r="AB191" s="258" t="n">
        <v>72373</v>
      </c>
      <c r="AC191" s="258" t="n">
        <v>79775</v>
      </c>
      <c r="AD191" s="258" t="n">
        <v>77095</v>
      </c>
      <c r="AE191" s="258" t="n">
        <v>47792</v>
      </c>
      <c r="AF191" s="258" t="n">
        <v>52890</v>
      </c>
      <c r="AH191" s="357" t="inlineStr">
        <is>
          <t>04</t>
        </is>
      </c>
      <c r="AI191" s="131">
        <f>AI190+AI111</f>
        <v/>
      </c>
      <c r="AJ191" s="258" t="n">
        <v>87938</v>
      </c>
      <c r="AK191" s="258" t="n">
        <v>90051</v>
      </c>
      <c r="AL191" s="258" t="n">
        <v>87146</v>
      </c>
      <c r="AM191" s="258" t="n">
        <v>56487</v>
      </c>
      <c r="AN191" s="258" t="n">
        <v>50060</v>
      </c>
      <c r="AP191" s="357" t="inlineStr">
        <is>
          <t>04</t>
        </is>
      </c>
      <c r="AQ191" s="131">
        <f>AQ190+AQ111</f>
        <v/>
      </c>
      <c r="AR191" s="258" t="n">
        <v>111895</v>
      </c>
      <c r="AS191" s="258" t="n">
        <v>116359</v>
      </c>
      <c r="AT191" s="258" t="n">
        <v>109950</v>
      </c>
      <c r="AU191" s="258" t="n">
        <v>70008</v>
      </c>
      <c r="AV191" s="258" t="n">
        <v>0</v>
      </c>
      <c r="AX191" s="357" t="inlineStr">
        <is>
          <t>04</t>
        </is>
      </c>
      <c r="AY191" s="131">
        <f>AY190+AY111</f>
        <v/>
      </c>
      <c r="AZ191" s="258" t="n">
        <v>52326</v>
      </c>
      <c r="BA191" s="258" t="n">
        <v>54655</v>
      </c>
      <c r="BB191" s="258" t="n">
        <v>51404</v>
      </c>
      <c r="BC191" s="258" t="n"/>
      <c r="BD191" s="258" t="n"/>
      <c r="BE191" s="258" t="n"/>
      <c r="BF191" s="357" t="inlineStr">
        <is>
          <t>04</t>
        </is>
      </c>
      <c r="BG191" s="131">
        <f>BG190+BG111</f>
        <v/>
      </c>
      <c r="BH191" s="258" t="n">
        <v>56529</v>
      </c>
      <c r="BI191" s="258" t="n">
        <v>54861</v>
      </c>
      <c r="BJ191" s="258" t="n"/>
      <c r="BK191" s="258" t="n"/>
      <c r="BL191" s="258" t="n"/>
      <c r="BM191" s="258" t="n"/>
      <c r="BN191" s="357" t="inlineStr">
        <is>
          <t>04</t>
        </is>
      </c>
      <c r="BO191" s="131">
        <f>BO190+BO111</f>
        <v/>
      </c>
      <c r="BP191" s="258" t="n">
        <v>83075</v>
      </c>
      <c r="BQ191" s="258" t="n">
        <v>84868</v>
      </c>
      <c r="BR191" s="258" t="n">
        <v>86500</v>
      </c>
      <c r="BS191" s="258" t="n">
        <v>50123</v>
      </c>
      <c r="BT191" s="258" t="n">
        <v>61239</v>
      </c>
      <c r="BV191" s="357" t="inlineStr">
        <is>
          <t>04</t>
        </is>
      </c>
      <c r="BW191" s="131">
        <f>BW190+BW111</f>
        <v/>
      </c>
      <c r="BX191" s="258" t="n">
        <v>56764</v>
      </c>
      <c r="BY191" s="258" t="n">
        <v>58790</v>
      </c>
      <c r="BZ191" s="258" t="n">
        <v>59012</v>
      </c>
      <c r="CA191" s="258" t="n">
        <v>37346</v>
      </c>
      <c r="CB191" s="258" t="n">
        <v>37105</v>
      </c>
      <c r="CC191" s="258" t="n"/>
      <c r="CD191" s="357" t="inlineStr">
        <is>
          <t>04</t>
        </is>
      </c>
      <c r="CE191" s="131">
        <f>CE190+CE111</f>
        <v/>
      </c>
      <c r="CF191" s="258" t="n">
        <v>92064</v>
      </c>
      <c r="CG191" s="258" t="n">
        <v>87405</v>
      </c>
      <c r="CH191" s="258" t="n">
        <v>90714</v>
      </c>
      <c r="CI191" s="258" t="n">
        <v>47725</v>
      </c>
      <c r="CJ191" s="258" t="n">
        <v>61634</v>
      </c>
      <c r="CL191" s="357" t="inlineStr">
        <is>
          <t>04</t>
        </is>
      </c>
      <c r="CM191" s="131">
        <f>CM190+CM111</f>
        <v/>
      </c>
      <c r="CN191" s="258" t="n">
        <v>82926</v>
      </c>
      <c r="CO191" s="258" t="n">
        <v>109245</v>
      </c>
      <c r="CP191" s="258" t="n">
        <v>106288</v>
      </c>
      <c r="CQ191" s="258" t="n">
        <v>63149</v>
      </c>
      <c r="CR191" s="258" t="n">
        <v>72762</v>
      </c>
      <c r="CT191" s="357" t="inlineStr">
        <is>
          <t>04</t>
        </is>
      </c>
      <c r="CU191" s="131">
        <f>CU190+CU111</f>
        <v/>
      </c>
      <c r="CV191" s="258" t="n">
        <v>106003</v>
      </c>
      <c r="CW191" s="258" t="n">
        <v>0</v>
      </c>
      <c r="CX191" s="258" t="n"/>
      <c r="CY191" s="258" t="n"/>
      <c r="CZ191" s="258" t="n"/>
      <c r="DB191" s="357" t="inlineStr">
        <is>
          <t>04</t>
        </is>
      </c>
      <c r="DC191" s="131">
        <f>DC190+DC111</f>
        <v/>
      </c>
      <c r="DD191" s="258" t="n">
        <v>110570</v>
      </c>
      <c r="DE191" s="258" t="n">
        <v>0</v>
      </c>
      <c r="DF191" s="258" t="n"/>
      <c r="DG191" s="258" t="n"/>
      <c r="DH191" s="258" t="n"/>
      <c r="DI191" s="258" t="n"/>
      <c r="DJ191" s="357" t="inlineStr">
        <is>
          <t>04</t>
        </is>
      </c>
      <c r="DK191" s="131">
        <f>DK190+DK111</f>
        <v/>
      </c>
      <c r="DL191" s="258" t="n">
        <v>59727</v>
      </c>
      <c r="DM191" s="258" t="n">
        <v>0</v>
      </c>
      <c r="DN191" s="258" t="n"/>
      <c r="DO191" s="258" t="n"/>
      <c r="DP191" s="258" t="n"/>
      <c r="DR191" s="357" t="inlineStr">
        <is>
          <t>04</t>
        </is>
      </c>
      <c r="DS191" s="131">
        <f>DS190+DS111</f>
        <v/>
      </c>
      <c r="DT191" s="258" t="n">
        <v>77195</v>
      </c>
      <c r="DU191" s="258" t="n">
        <v>0</v>
      </c>
      <c r="DV191" s="258" t="n"/>
      <c r="DW191" s="258" t="n"/>
      <c r="DX191" s="258" t="n"/>
      <c r="DZ191" s="357" t="inlineStr">
        <is>
          <t>04</t>
        </is>
      </c>
      <c r="EA191" s="131">
        <f>+EA190+EA111</f>
        <v/>
      </c>
      <c r="EB191" s="258" t="n"/>
      <c r="EC191" s="258" t="n">
        <v>0</v>
      </c>
      <c r="ED191" s="258" t="n"/>
      <c r="EE191" s="258" t="n"/>
      <c r="EF191" s="258" t="n"/>
    </row>
    <row r="192">
      <c r="B192" s="357" t="inlineStr">
        <is>
          <t>05</t>
        </is>
      </c>
      <c r="C192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92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92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92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92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92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92" s="258" t="n"/>
      <c r="J192" s="357" t="inlineStr">
        <is>
          <t>05</t>
        </is>
      </c>
      <c r="K192" s="131">
        <f>K191+K112</f>
        <v/>
      </c>
      <c r="L192" s="258" t="n">
        <v>122856</v>
      </c>
      <c r="M192" s="258" t="n">
        <v>139624</v>
      </c>
      <c r="N192" s="258" t="n">
        <v>141672</v>
      </c>
      <c r="O192" s="258" t="n">
        <v>91900</v>
      </c>
      <c r="P192" s="258" t="n">
        <v>92167.00004011</v>
      </c>
      <c r="R192" s="357" t="inlineStr">
        <is>
          <t>05</t>
        </is>
      </c>
      <c r="S192" s="131">
        <f>S191+S112</f>
        <v/>
      </c>
      <c r="T192" s="258" t="n">
        <v>65619</v>
      </c>
      <c r="U192" s="258" t="n">
        <v>72248</v>
      </c>
      <c r="V192" s="258" t="n">
        <v>76213</v>
      </c>
      <c r="W192" s="258" t="n">
        <v>54704</v>
      </c>
      <c r="X192" s="258" t="n">
        <v>46306</v>
      </c>
      <c r="Z192" s="357" t="inlineStr">
        <is>
          <t>05</t>
        </is>
      </c>
      <c r="AA192" s="131">
        <f>AA191+AA112</f>
        <v/>
      </c>
      <c r="AB192" s="258" t="n">
        <v>88145</v>
      </c>
      <c r="AC192" s="258" t="n">
        <v>98897</v>
      </c>
      <c r="AD192" s="258" t="n">
        <v>98530</v>
      </c>
      <c r="AE192" s="258" t="n">
        <v>63570</v>
      </c>
      <c r="AF192" s="258" t="n">
        <v>59672</v>
      </c>
      <c r="AH192" s="357" t="inlineStr">
        <is>
          <t>05</t>
        </is>
      </c>
      <c r="AI192" s="131">
        <f>AI191+AI112</f>
        <v/>
      </c>
      <c r="AJ192" s="258" t="n">
        <v>111047</v>
      </c>
      <c r="AK192" s="258" t="n">
        <v>114527</v>
      </c>
      <c r="AL192" s="258" t="n">
        <v>111007</v>
      </c>
      <c r="AM192" s="258" t="n">
        <v>75640</v>
      </c>
      <c r="AN192" s="258" t="n">
        <v>60960</v>
      </c>
      <c r="AP192" s="357" t="inlineStr">
        <is>
          <t>05</t>
        </is>
      </c>
      <c r="AQ192" s="131">
        <f>AQ191+AQ112</f>
        <v/>
      </c>
      <c r="AR192" s="258" t="n">
        <v>141517</v>
      </c>
      <c r="AS192" s="258" t="n">
        <v>147657</v>
      </c>
      <c r="AT192" s="258" t="n">
        <v>140329</v>
      </c>
      <c r="AU192" s="258" t="n">
        <v>94024</v>
      </c>
      <c r="AV192" s="258" t="n">
        <v>0</v>
      </c>
      <c r="AX192" s="357" t="inlineStr">
        <is>
          <t>05</t>
        </is>
      </c>
      <c r="AY192" s="131">
        <f>AY191+AY112</f>
        <v/>
      </c>
      <c r="AZ192" s="258" t="n">
        <v>67261</v>
      </c>
      <c r="BA192" s="258" t="n">
        <v>69853</v>
      </c>
      <c r="BB192" s="258" t="n">
        <v>65894</v>
      </c>
      <c r="BC192" s="258" t="n"/>
      <c r="BD192" s="258" t="n"/>
      <c r="BE192" s="258" t="n"/>
      <c r="BF192" s="357" t="inlineStr">
        <is>
          <t>05</t>
        </is>
      </c>
      <c r="BG192" s="131">
        <f>BG191+BG112</f>
        <v/>
      </c>
      <c r="BH192" s="258" t="n">
        <v>72805</v>
      </c>
      <c r="BI192" s="258" t="n">
        <v>71215</v>
      </c>
      <c r="BJ192" s="258" t="n"/>
      <c r="BK192" s="258" t="n"/>
      <c r="BL192" s="258" t="n"/>
      <c r="BM192" s="258" t="n"/>
      <c r="BN192" s="357" t="inlineStr">
        <is>
          <t>05</t>
        </is>
      </c>
      <c r="BO192" s="131">
        <f>BO191+BO112</f>
        <v/>
      </c>
      <c r="BP192" s="258" t="n">
        <v>105846</v>
      </c>
      <c r="BQ192" s="258" t="n">
        <v>107166</v>
      </c>
      <c r="BR192" s="258" t="n">
        <v>110842</v>
      </c>
      <c r="BS192" s="258" t="n">
        <v>67292</v>
      </c>
      <c r="BT192" s="258" t="n">
        <v>68312</v>
      </c>
      <c r="BV192" s="357" t="inlineStr">
        <is>
          <t>05</t>
        </is>
      </c>
      <c r="BW192" s="131">
        <f>BW191+BW112</f>
        <v/>
      </c>
      <c r="BX192" s="258" t="n">
        <v>74002</v>
      </c>
      <c r="BY192" s="258" t="n">
        <v>76551</v>
      </c>
      <c r="BZ192" s="258" t="n">
        <v>76680</v>
      </c>
      <c r="CA192" s="258" t="n">
        <v>51280</v>
      </c>
      <c r="CB192" s="258" t="n">
        <v>41485</v>
      </c>
      <c r="CC192" s="258" t="n"/>
      <c r="CD192" s="357" t="inlineStr">
        <is>
          <t>05</t>
        </is>
      </c>
      <c r="CE192" s="131">
        <f>CE191+CE112</f>
        <v/>
      </c>
      <c r="CF192" s="258" t="n">
        <v>120115</v>
      </c>
      <c r="CG192" s="258" t="n">
        <v>114841</v>
      </c>
      <c r="CH192" s="258" t="n">
        <v>118017</v>
      </c>
      <c r="CI192" s="258" t="n">
        <v>68027</v>
      </c>
      <c r="CJ192" s="258" t="n">
        <v>73786</v>
      </c>
      <c r="CL192" s="357" t="inlineStr">
        <is>
          <t>05</t>
        </is>
      </c>
      <c r="CM192" s="131">
        <f>CM191+CM112</f>
        <v/>
      </c>
      <c r="CN192" s="258" t="n">
        <v>106334</v>
      </c>
      <c r="CO192" s="258" t="n">
        <v>139040</v>
      </c>
      <c r="CP192" s="258" t="n">
        <v>135791</v>
      </c>
      <c r="CQ192" s="258" t="n">
        <v>84945</v>
      </c>
      <c r="CR192" s="258" t="n">
        <v>83977</v>
      </c>
      <c r="CT192" s="357" t="inlineStr">
        <is>
          <t>05</t>
        </is>
      </c>
      <c r="CU192" s="131">
        <f>CU191+CU112</f>
        <v/>
      </c>
      <c r="CV192" s="258" t="n">
        <v>134393</v>
      </c>
      <c r="CW192" s="258" t="n">
        <v>0</v>
      </c>
      <c r="CX192" s="258" t="n"/>
      <c r="CY192" s="258" t="n"/>
      <c r="CZ192" s="258" t="n"/>
      <c r="DB192" s="357" t="inlineStr">
        <is>
          <t>05</t>
        </is>
      </c>
      <c r="DC192" s="131">
        <f>DC191+DC112</f>
        <v/>
      </c>
      <c r="DD192" s="258" t="n">
        <v>140018</v>
      </c>
      <c r="DE192" s="258" t="n">
        <v>0</v>
      </c>
      <c r="DF192" s="258" t="n"/>
      <c r="DG192" s="258" t="n"/>
      <c r="DH192" s="258" t="n"/>
      <c r="DI192" s="258" t="n"/>
      <c r="DJ192" s="357" t="inlineStr">
        <is>
          <t>05</t>
        </is>
      </c>
      <c r="DK192" s="131">
        <f>DK191+DK112</f>
        <v/>
      </c>
      <c r="DL192" s="258" t="n">
        <v>75018</v>
      </c>
      <c r="DM192" s="258" t="n">
        <v>0</v>
      </c>
      <c r="DN192" s="258" t="n"/>
      <c r="DO192" s="258" t="n"/>
      <c r="DP192" s="258" t="n"/>
      <c r="DR192" s="357" t="inlineStr">
        <is>
          <t>05</t>
        </is>
      </c>
      <c r="DS192" s="131">
        <f>DS191+DS112</f>
        <v/>
      </c>
      <c r="DT192" s="258" t="n">
        <v>97560</v>
      </c>
      <c r="DU192" s="258" t="n">
        <v>0</v>
      </c>
      <c r="DV192" s="258" t="n"/>
      <c r="DW192" s="258" t="n"/>
      <c r="DX192" s="258" t="n"/>
      <c r="DZ192" s="357" t="inlineStr">
        <is>
          <t>05</t>
        </is>
      </c>
      <c r="EA192" s="131">
        <f>+EA191+EA112</f>
        <v/>
      </c>
      <c r="EB192" s="258" t="n"/>
      <c r="EC192" s="258" t="n">
        <v>0</v>
      </c>
      <c r="ED192" s="258" t="n"/>
      <c r="EE192" s="258" t="n"/>
      <c r="EF192" s="258" t="n"/>
    </row>
    <row r="193">
      <c r="B193" s="357" t="inlineStr">
        <is>
          <t>06</t>
        </is>
      </c>
      <c r="C193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93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93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93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93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93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93" s="258" t="n"/>
      <c r="J193" s="357" t="inlineStr">
        <is>
          <t>06</t>
        </is>
      </c>
      <c r="K193" s="131">
        <f>K192+K113</f>
        <v/>
      </c>
      <c r="L193" s="258" t="n">
        <v>147485</v>
      </c>
      <c r="M193" s="258" t="n">
        <v>168024</v>
      </c>
      <c r="N193" s="258" t="n">
        <v>170419</v>
      </c>
      <c r="O193" s="258" t="n">
        <v>120899</v>
      </c>
      <c r="P193" s="258" t="n">
        <v>116322.00004011</v>
      </c>
      <c r="R193" s="357" t="inlineStr">
        <is>
          <t>06</t>
        </is>
      </c>
      <c r="S193" s="131">
        <f>S192+S113</f>
        <v/>
      </c>
      <c r="T193" s="258" t="n">
        <v>79734</v>
      </c>
      <c r="U193" s="258" t="n">
        <v>86919</v>
      </c>
      <c r="V193" s="258" t="n">
        <v>91491</v>
      </c>
      <c r="W193" s="258" t="n">
        <v>71474</v>
      </c>
      <c r="X193" s="258" t="n">
        <v>59047</v>
      </c>
      <c r="Z193" s="357" t="inlineStr">
        <is>
          <t>06</t>
        </is>
      </c>
      <c r="AA193" s="131">
        <f>AA192+AA113</f>
        <v/>
      </c>
      <c r="AB193" s="258" t="n">
        <v>105125</v>
      </c>
      <c r="AC193" s="258" t="n">
        <v>117731</v>
      </c>
      <c r="AD193" s="258" t="n">
        <v>117758</v>
      </c>
      <c r="AE193" s="258" t="n">
        <v>81379</v>
      </c>
      <c r="AF193" s="258" t="n">
        <v>73879</v>
      </c>
      <c r="AH193" s="357" t="inlineStr">
        <is>
          <t>06</t>
        </is>
      </c>
      <c r="AI193" s="131">
        <f>AI192+AI113</f>
        <v/>
      </c>
      <c r="AJ193" s="258" t="n">
        <v>134895</v>
      </c>
      <c r="AK193" s="258" t="n">
        <v>138249</v>
      </c>
      <c r="AL193" s="258" t="n">
        <v>134547</v>
      </c>
      <c r="AM193" s="258" t="n">
        <v>99391</v>
      </c>
      <c r="AN193" s="258" t="n">
        <v>82094</v>
      </c>
      <c r="AP193" s="357" t="inlineStr">
        <is>
          <t>06</t>
        </is>
      </c>
      <c r="AQ193" s="131">
        <f>AQ192+AQ113</f>
        <v/>
      </c>
      <c r="AR193" s="258" t="n">
        <v>170411</v>
      </c>
      <c r="AS193" s="258" t="n">
        <v>177696</v>
      </c>
      <c r="AT193" s="258" t="n">
        <v>172028</v>
      </c>
      <c r="AU193" s="258" t="n">
        <v>107179</v>
      </c>
      <c r="AV193" s="258" t="n">
        <v>0</v>
      </c>
      <c r="AX193" s="357" t="inlineStr">
        <is>
          <t>06</t>
        </is>
      </c>
      <c r="AY193" s="131">
        <f>AY192+AY113</f>
        <v/>
      </c>
      <c r="AZ193" s="258" t="n">
        <v>82236</v>
      </c>
      <c r="BA193" s="258" t="n">
        <v>84581</v>
      </c>
      <c r="BB193" s="258" t="n">
        <v>80778</v>
      </c>
      <c r="BC193" s="258" t="n"/>
      <c r="BD193" s="258" t="n"/>
      <c r="BE193" s="258" t="n"/>
      <c r="BF193" s="357" t="inlineStr">
        <is>
          <t>06</t>
        </is>
      </c>
      <c r="BG193" s="131">
        <f>BG192+BG113</f>
        <v/>
      </c>
      <c r="BH193" s="258" t="n">
        <v>88402</v>
      </c>
      <c r="BI193" s="258" t="n">
        <v>86780</v>
      </c>
      <c r="BJ193" s="258" t="n"/>
      <c r="BK193" s="258" t="n"/>
      <c r="BL193" s="258" t="n"/>
      <c r="BM193" s="258" t="n"/>
      <c r="BN193" s="357" t="inlineStr">
        <is>
          <t>06</t>
        </is>
      </c>
      <c r="BO193" s="131">
        <f>BO192+BO113</f>
        <v/>
      </c>
      <c r="BP193" s="258" t="n">
        <v>127482</v>
      </c>
      <c r="BQ193" s="258" t="n">
        <v>127560</v>
      </c>
      <c r="BR193" s="258" t="n">
        <v>133457</v>
      </c>
      <c r="BS193" s="258" t="n">
        <v>88418</v>
      </c>
      <c r="BT193" s="258" t="n">
        <v>85477</v>
      </c>
      <c r="BV193" s="357" t="inlineStr">
        <is>
          <t>06</t>
        </is>
      </c>
      <c r="BW193" s="131">
        <f>BW192+BW113</f>
        <v/>
      </c>
      <c r="BX193" s="258" t="n">
        <v>90191</v>
      </c>
      <c r="BY193" s="258" t="n">
        <v>92422</v>
      </c>
      <c r="BZ193" s="258" t="n">
        <v>94262</v>
      </c>
      <c r="CA193" s="258" t="n">
        <v>67771</v>
      </c>
      <c r="CB193" s="258" t="n">
        <v>56315</v>
      </c>
      <c r="CC193" s="258" t="n"/>
      <c r="CD193" s="357" t="inlineStr">
        <is>
          <t>06</t>
        </is>
      </c>
      <c r="CE193" s="131">
        <f>CE192+CE113</f>
        <v/>
      </c>
      <c r="CF193" s="258" t="n">
        <v>147299</v>
      </c>
      <c r="CG193" s="258" t="n">
        <v>140499</v>
      </c>
      <c r="CH193" s="258" t="n">
        <v>144441</v>
      </c>
      <c r="CI193" s="258" t="n">
        <v>94225</v>
      </c>
      <c r="CJ193" s="258" t="n">
        <v>99947</v>
      </c>
      <c r="CL193" s="357" t="inlineStr">
        <is>
          <t>06</t>
        </is>
      </c>
      <c r="CM193" s="131">
        <f>CM192+CM113</f>
        <v/>
      </c>
      <c r="CN193" s="258" t="n">
        <v>129017</v>
      </c>
      <c r="CO193" s="258" t="n">
        <v>166811</v>
      </c>
      <c r="CP193" s="258" t="n">
        <v>165529</v>
      </c>
      <c r="CQ193" s="258" t="n">
        <v>111464</v>
      </c>
      <c r="CR193" s="258" t="n">
        <v>107033</v>
      </c>
      <c r="CT193" s="357" t="inlineStr">
        <is>
          <t>06</t>
        </is>
      </c>
      <c r="CU193" s="131">
        <f>CU192+CU113</f>
        <v/>
      </c>
      <c r="CV193" s="258" t="n">
        <v>161840</v>
      </c>
      <c r="CW193" s="258" t="n">
        <v>0</v>
      </c>
      <c r="CX193" s="258" t="n"/>
      <c r="CY193" s="258" t="n"/>
      <c r="CZ193" s="258" t="n"/>
      <c r="DB193" s="357" t="inlineStr">
        <is>
          <t>06</t>
        </is>
      </c>
      <c r="DC193" s="131">
        <f>DC192+DC113</f>
        <v/>
      </c>
      <c r="DD193" s="258" t="n">
        <v>169257</v>
      </c>
      <c r="DE193" s="258" t="n">
        <v>0</v>
      </c>
      <c r="DF193" s="258" t="n"/>
      <c r="DG193" s="258" t="n"/>
      <c r="DH193" s="258" t="n"/>
      <c r="DI193" s="258" t="n"/>
      <c r="DJ193" s="357" t="inlineStr">
        <is>
          <t>06</t>
        </is>
      </c>
      <c r="DK193" s="131">
        <f>DK192+DK113</f>
        <v/>
      </c>
      <c r="DL193" s="258" t="n">
        <v>90337</v>
      </c>
      <c r="DM193" s="258" t="n">
        <v>0</v>
      </c>
      <c r="DN193" s="258" t="n"/>
      <c r="DO193" s="258" t="n"/>
      <c r="DP193" s="258" t="n"/>
      <c r="DR193" s="357" t="inlineStr">
        <is>
          <t>06</t>
        </is>
      </c>
      <c r="DS193" s="131">
        <f>DS192+DS113</f>
        <v/>
      </c>
      <c r="DT193" s="258" t="n">
        <v>117634</v>
      </c>
      <c r="DU193" s="258" t="n">
        <v>0</v>
      </c>
      <c r="DV193" s="258" t="n"/>
      <c r="DW193" s="258" t="n"/>
      <c r="DX193" s="258" t="n"/>
      <c r="DZ193" s="357" t="inlineStr">
        <is>
          <t>06</t>
        </is>
      </c>
      <c r="EA193" s="131">
        <f>+EA192+EA113</f>
        <v/>
      </c>
      <c r="EB193" s="258" t="n"/>
      <c r="EC193" s="258" t="n">
        <v>0</v>
      </c>
      <c r="ED193" s="258" t="n"/>
      <c r="EE193" s="258" t="n"/>
      <c r="EF193" s="258" t="n"/>
    </row>
    <row r="194">
      <c r="B194" s="357" t="inlineStr">
        <is>
          <t>07</t>
        </is>
      </c>
      <c r="C194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94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94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94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94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94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94" s="258" t="n"/>
      <c r="J194" s="357" t="inlineStr">
        <is>
          <t>07</t>
        </is>
      </c>
      <c r="K194" s="131">
        <f>K193+K114</f>
        <v/>
      </c>
      <c r="L194" s="258" t="n">
        <v>173348</v>
      </c>
      <c r="M194" s="258" t="n">
        <v>197771</v>
      </c>
      <c r="N194" s="258" t="n">
        <v>200204</v>
      </c>
      <c r="O194" s="258" t="n">
        <v>154396</v>
      </c>
      <c r="P194" s="258" t="n">
        <v>144070.00004011</v>
      </c>
      <c r="R194" s="357" t="inlineStr">
        <is>
          <t>07</t>
        </is>
      </c>
      <c r="S194" s="131">
        <f>S193+S114</f>
        <v/>
      </c>
      <c r="T194" s="258" t="n">
        <v>93733</v>
      </c>
      <c r="U194" s="258" t="n">
        <v>101349</v>
      </c>
      <c r="V194" s="258" t="n">
        <v>106085</v>
      </c>
      <c r="W194" s="258" t="n">
        <v>89731</v>
      </c>
      <c r="X194" s="258" t="n">
        <v>75183</v>
      </c>
      <c r="Z194" s="357" t="inlineStr">
        <is>
          <t>07</t>
        </is>
      </c>
      <c r="AA194" s="131">
        <f>AA193+AA114</f>
        <v/>
      </c>
      <c r="AB194" s="258" t="n">
        <v>120237</v>
      </c>
      <c r="AC194" s="258" t="n">
        <v>134629</v>
      </c>
      <c r="AD194" s="258" t="n">
        <v>135513</v>
      </c>
      <c r="AE194" s="258" t="n">
        <v>99486</v>
      </c>
      <c r="AF194" s="258" t="n">
        <v>89464</v>
      </c>
      <c r="AH194" s="357" t="inlineStr">
        <is>
          <t>07</t>
        </is>
      </c>
      <c r="AI194" s="131">
        <f>AI193+AI114</f>
        <v/>
      </c>
      <c r="AJ194" s="258" t="n">
        <v>158264</v>
      </c>
      <c r="AK194" s="258" t="n">
        <v>163107</v>
      </c>
      <c r="AL194" s="258" t="n">
        <v>158731</v>
      </c>
      <c r="AM194" s="258" t="n">
        <v>123724</v>
      </c>
      <c r="AN194" s="258" t="n">
        <v>105707</v>
      </c>
      <c r="AP194" s="357" t="inlineStr">
        <is>
          <t>07</t>
        </is>
      </c>
      <c r="AQ194" s="131">
        <f>AQ193+AQ114</f>
        <v/>
      </c>
      <c r="AR194" s="258" t="n">
        <v>200713</v>
      </c>
      <c r="AS194" s="258" t="n">
        <v>210736</v>
      </c>
      <c r="AT194" s="258" t="n">
        <v>205349</v>
      </c>
      <c r="AU194" s="258" t="n">
        <v>127278</v>
      </c>
      <c r="AV194" s="258" t="n">
        <v>0</v>
      </c>
      <c r="AX194" s="357" t="inlineStr">
        <is>
          <t>07</t>
        </is>
      </c>
      <c r="AY194" s="131">
        <f>AY193+AY114</f>
        <v/>
      </c>
      <c r="AZ194" s="258" t="n">
        <v>97270</v>
      </c>
      <c r="BA194" s="258" t="n">
        <v>100867</v>
      </c>
      <c r="BB194" s="258" t="n">
        <v>96606</v>
      </c>
      <c r="BC194" s="258" t="n">
        <v>3528</v>
      </c>
      <c r="BD194" s="258" t="n"/>
      <c r="BE194" s="258" t="n"/>
      <c r="BF194" s="357" t="inlineStr">
        <is>
          <t>07</t>
        </is>
      </c>
      <c r="BG194" s="131">
        <f>BG193+BG114</f>
        <v/>
      </c>
      <c r="BH194" s="258" t="n">
        <v>106890</v>
      </c>
      <c r="BI194" s="258" t="n">
        <v>106759</v>
      </c>
      <c r="BJ194" s="258" t="n"/>
      <c r="BK194" s="258" t="n"/>
      <c r="BL194" s="258" t="n"/>
      <c r="BM194" s="258" t="n"/>
      <c r="BN194" s="357" t="inlineStr">
        <is>
          <t>07</t>
        </is>
      </c>
      <c r="BO194" s="131">
        <f>BO193+BO114</f>
        <v/>
      </c>
      <c r="BP194" s="258" t="n">
        <v>147791</v>
      </c>
      <c r="BQ194" s="258" t="n">
        <v>148967</v>
      </c>
      <c r="BR194" s="258" t="n">
        <v>155815</v>
      </c>
      <c r="BS194" s="258" t="n">
        <v>111219</v>
      </c>
      <c r="BT194" s="258" t="n">
        <v>105889</v>
      </c>
      <c r="BV194" s="357" t="inlineStr">
        <is>
          <t>07</t>
        </is>
      </c>
      <c r="BW194" s="131">
        <f>BW193+BW114</f>
        <v/>
      </c>
      <c r="BX194" s="258" t="n">
        <v>111924</v>
      </c>
      <c r="BY194" s="258" t="n">
        <v>114453</v>
      </c>
      <c r="BZ194" s="258" t="n">
        <v>118724</v>
      </c>
      <c r="CA194" s="258" t="n">
        <v>89645</v>
      </c>
      <c r="CB194" s="258" t="n">
        <v>78190</v>
      </c>
      <c r="CC194" s="258" t="n"/>
      <c r="CD194" s="357" t="inlineStr">
        <is>
          <t>07</t>
        </is>
      </c>
      <c r="CE194" s="131">
        <f>CE193+CE114</f>
        <v/>
      </c>
      <c r="CF194" s="258" t="n">
        <v>179932</v>
      </c>
      <c r="CG194" s="258" t="n">
        <v>174202</v>
      </c>
      <c r="CH194" s="258" t="n">
        <v>179937</v>
      </c>
      <c r="CI194" s="258" t="n">
        <v>128319</v>
      </c>
      <c r="CJ194" s="258" t="n">
        <v>137242</v>
      </c>
      <c r="CL194" s="357" t="inlineStr">
        <is>
          <t>07</t>
        </is>
      </c>
      <c r="CM194" s="131">
        <f>CM193+CM114</f>
        <v/>
      </c>
      <c r="CN194" s="258" t="n">
        <v>153764</v>
      </c>
      <c r="CO194" s="258" t="n">
        <v>198956</v>
      </c>
      <c r="CP194" s="258" t="n">
        <v>198616</v>
      </c>
      <c r="CQ194" s="258" t="n">
        <v>141800</v>
      </c>
      <c r="CR194" s="258" t="n">
        <v>136927</v>
      </c>
      <c r="CT194" s="357" t="inlineStr">
        <is>
          <t>07</t>
        </is>
      </c>
      <c r="CU194" s="131">
        <f>CU193+CU114</f>
        <v/>
      </c>
      <c r="CV194" s="258" t="n">
        <v>189571</v>
      </c>
      <c r="CW194" s="258" t="n">
        <v>0</v>
      </c>
      <c r="CX194" s="258" t="n"/>
      <c r="CY194" s="258" t="n"/>
      <c r="CZ194" s="258" t="n"/>
      <c r="DB194" s="357" t="inlineStr">
        <is>
          <t>07</t>
        </is>
      </c>
      <c r="DC194" s="131">
        <f>DC193+DC114</f>
        <v/>
      </c>
      <c r="DD194" s="258" t="n">
        <v>198181</v>
      </c>
      <c r="DE194" s="258" t="n">
        <v>0</v>
      </c>
      <c r="DF194" s="258" t="n"/>
      <c r="DG194" s="258" t="n"/>
      <c r="DH194" s="258" t="n"/>
      <c r="DI194" s="258" t="n"/>
      <c r="DJ194" s="357" t="inlineStr">
        <is>
          <t>07</t>
        </is>
      </c>
      <c r="DK194" s="131">
        <f>DK193+DK114</f>
        <v/>
      </c>
      <c r="DL194" s="258" t="n">
        <v>105462</v>
      </c>
      <c r="DM194" s="258" t="n">
        <v>0</v>
      </c>
      <c r="DN194" s="258" t="n"/>
      <c r="DO194" s="258" t="n"/>
      <c r="DP194" s="258" t="n"/>
      <c r="DR194" s="357" t="inlineStr">
        <is>
          <t>07</t>
        </is>
      </c>
      <c r="DS194" s="131">
        <f>DS193+DS114</f>
        <v/>
      </c>
      <c r="DT194" s="258" t="n">
        <v>136632</v>
      </c>
      <c r="DU194" s="258" t="n">
        <v>0</v>
      </c>
      <c r="DV194" s="258" t="n"/>
      <c r="DW194" s="258" t="n"/>
      <c r="DX194" s="258" t="n"/>
      <c r="DZ194" s="357" t="inlineStr">
        <is>
          <t>07</t>
        </is>
      </c>
      <c r="EA194" s="131">
        <f>+EA193+EA114</f>
        <v/>
      </c>
      <c r="EB194" s="258" t="n"/>
      <c r="EC194" s="258" t="n">
        <v>0</v>
      </c>
      <c r="ED194" s="258" t="n"/>
      <c r="EE194" s="258" t="n"/>
      <c r="EF194" s="258" t="n"/>
    </row>
    <row r="195">
      <c r="B195" s="357" t="inlineStr">
        <is>
          <t>08</t>
        </is>
      </c>
      <c r="C195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95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95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95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95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95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95" s="258" t="n"/>
      <c r="J195" s="357" t="inlineStr">
        <is>
          <t>08</t>
        </is>
      </c>
      <c r="K195" s="131">
        <f>K194+K115</f>
        <v/>
      </c>
      <c r="L195" s="258" t="n">
        <v>199156</v>
      </c>
      <c r="M195" s="258" t="n">
        <v>226394</v>
      </c>
      <c r="N195" s="258" t="n">
        <v>227786</v>
      </c>
      <c r="O195" s="258" t="n">
        <v>182670</v>
      </c>
      <c r="P195" s="258" t="n">
        <v>173732.00004011</v>
      </c>
      <c r="R195" s="357" t="inlineStr">
        <is>
          <t>08</t>
        </is>
      </c>
      <c r="S195" s="131">
        <f>S194+S115</f>
        <v/>
      </c>
      <c r="T195" s="258" t="n">
        <v>107806</v>
      </c>
      <c r="U195" s="258" t="n">
        <v>115889</v>
      </c>
      <c r="V195" s="258" t="n">
        <v>120507</v>
      </c>
      <c r="W195" s="258" t="n">
        <v>107028</v>
      </c>
      <c r="X195" s="258" t="n">
        <v>92147</v>
      </c>
      <c r="Z195" s="357" t="inlineStr">
        <is>
          <t>08</t>
        </is>
      </c>
      <c r="AA195" s="131">
        <f>AA194+AA115</f>
        <v/>
      </c>
      <c r="AB195" s="258" t="n">
        <v>135213</v>
      </c>
      <c r="AC195" s="258" t="n">
        <v>150985</v>
      </c>
      <c r="AD195" s="258" t="n">
        <v>152640</v>
      </c>
      <c r="AE195" s="258" t="n">
        <v>116245</v>
      </c>
      <c r="AF195" s="258" t="n">
        <v>105340</v>
      </c>
      <c r="AH195" s="357" t="inlineStr">
        <is>
          <t>08</t>
        </is>
      </c>
      <c r="AI195" s="131">
        <f>AI194+AI115</f>
        <v/>
      </c>
      <c r="AJ195" s="258" t="n">
        <v>181282</v>
      </c>
      <c r="AK195" s="258" t="n">
        <v>186989</v>
      </c>
      <c r="AL195" s="258" t="n">
        <v>182019</v>
      </c>
      <c r="AM195" s="258" t="n">
        <v>146683</v>
      </c>
      <c r="AN195" s="258" t="n">
        <v>130073</v>
      </c>
      <c r="AP195" s="357" t="inlineStr">
        <is>
          <t>08</t>
        </is>
      </c>
      <c r="AQ195" s="131">
        <f>AQ194+AQ115</f>
        <v/>
      </c>
      <c r="AR195" s="258" t="n">
        <v>231958</v>
      </c>
      <c r="AS195" s="258" t="n">
        <v>243703</v>
      </c>
      <c r="AT195" s="258" t="n">
        <v>239370</v>
      </c>
      <c r="AU195" s="258" t="n">
        <v>156789</v>
      </c>
      <c r="AV195" s="258" t="n">
        <v>0</v>
      </c>
      <c r="AX195" s="357" t="inlineStr">
        <is>
          <t>08</t>
        </is>
      </c>
      <c r="AY195" s="131">
        <f>AY194+AY115</f>
        <v/>
      </c>
      <c r="AZ195" s="258" t="n">
        <v>112890</v>
      </c>
      <c r="BA195" s="258" t="n">
        <v>116739</v>
      </c>
      <c r="BB195" s="258" t="n">
        <v>112641</v>
      </c>
      <c r="BC195" s="258" t="n">
        <v>19811</v>
      </c>
      <c r="BD195" s="258" t="n"/>
      <c r="BE195" s="258" t="n"/>
      <c r="BF195" s="357" t="inlineStr">
        <is>
          <t>08</t>
        </is>
      </c>
      <c r="BG195" s="131">
        <f>BG194+BG115</f>
        <v/>
      </c>
      <c r="BH195" s="258" t="n">
        <v>127317</v>
      </c>
      <c r="BI195" s="258" t="n">
        <v>127208</v>
      </c>
      <c r="BJ195" s="258" t="n"/>
      <c r="BK195" s="258" t="n"/>
      <c r="BL195" s="258" t="n"/>
      <c r="BM195" s="258" t="n"/>
      <c r="BN195" s="357" t="inlineStr">
        <is>
          <t>08</t>
        </is>
      </c>
      <c r="BO195" s="131">
        <f>BO194+BO115</f>
        <v/>
      </c>
      <c r="BP195" s="258" t="n">
        <v>168223</v>
      </c>
      <c r="BQ195" s="258" t="n">
        <v>169270</v>
      </c>
      <c r="BR195" s="258" t="n">
        <v>176434</v>
      </c>
      <c r="BS195" s="258" t="n">
        <v>132073</v>
      </c>
      <c r="BT195" s="258" t="n">
        <v>128360</v>
      </c>
      <c r="BV195" s="357" t="inlineStr">
        <is>
          <t>08</t>
        </is>
      </c>
      <c r="BW195" s="131">
        <f>BW194+BW115</f>
        <v/>
      </c>
      <c r="BX195" s="258" t="n">
        <v>135240</v>
      </c>
      <c r="BY195" s="258" t="n">
        <v>137232</v>
      </c>
      <c r="BZ195" s="258" t="n">
        <v>144815</v>
      </c>
      <c r="CA195" s="258" t="n">
        <v>113583</v>
      </c>
      <c r="CB195" s="258" t="n">
        <v>102888</v>
      </c>
      <c r="CC195" s="258" t="n"/>
      <c r="CD195" s="357" t="inlineStr">
        <is>
          <t>08</t>
        </is>
      </c>
      <c r="CE195" s="131">
        <f>CE194+CE115</f>
        <v/>
      </c>
      <c r="CF195" s="258" t="n">
        <v>218931</v>
      </c>
      <c r="CG195" s="258" t="n">
        <v>211728</v>
      </c>
      <c r="CH195" s="258" t="n">
        <v>215014</v>
      </c>
      <c r="CI195" s="258" t="n">
        <v>165993</v>
      </c>
      <c r="CJ195" s="258" t="n">
        <v>177694</v>
      </c>
      <c r="CL195" s="357" t="inlineStr">
        <is>
          <t>08</t>
        </is>
      </c>
      <c r="CM195" s="131">
        <f>CM194+CM115</f>
        <v/>
      </c>
      <c r="CN195" s="258" t="n">
        <v>180321</v>
      </c>
      <c r="CO195" s="258" t="n">
        <v>233023</v>
      </c>
      <c r="CP195" s="258" t="n">
        <v>233307</v>
      </c>
      <c r="CQ195" s="258" t="n">
        <v>173183</v>
      </c>
      <c r="CR195" s="258" t="n">
        <v>170727</v>
      </c>
      <c r="CT195" s="357" t="inlineStr">
        <is>
          <t>08</t>
        </is>
      </c>
      <c r="CU195" s="131">
        <f>CU194+CU115</f>
        <v/>
      </c>
      <c r="CV195" s="258" t="n">
        <v>221240</v>
      </c>
      <c r="CW195" s="258" t="n">
        <v>0</v>
      </c>
      <c r="CX195" s="258" t="n"/>
      <c r="CY195" s="258" t="n"/>
      <c r="CZ195" s="258" t="n"/>
      <c r="DB195" s="357" t="inlineStr">
        <is>
          <t>08</t>
        </is>
      </c>
      <c r="DC195" s="131">
        <f>DC194+DC115</f>
        <v/>
      </c>
      <c r="DD195" s="258" t="n">
        <v>228664</v>
      </c>
      <c r="DE195" s="258" t="n">
        <v>0</v>
      </c>
      <c r="DF195" s="258" t="n"/>
      <c r="DG195" s="258" t="n"/>
      <c r="DH195" s="258" t="n"/>
      <c r="DI195" s="258" t="n"/>
      <c r="DJ195" s="357" t="inlineStr">
        <is>
          <t>08</t>
        </is>
      </c>
      <c r="DK195" s="131">
        <f>DK194+DK115</f>
        <v/>
      </c>
      <c r="DL195" s="258" t="n">
        <v>121277</v>
      </c>
      <c r="DM195" s="258" t="n">
        <v>0</v>
      </c>
      <c r="DN195" s="258" t="n"/>
      <c r="DO195" s="258" t="n"/>
      <c r="DP195" s="258" t="n"/>
      <c r="DR195" s="357" t="inlineStr">
        <is>
          <t>08</t>
        </is>
      </c>
      <c r="DS195" s="131">
        <f>DS194+DS115</f>
        <v/>
      </c>
      <c r="DT195" s="258" t="n">
        <v>156103</v>
      </c>
      <c r="DU195" s="258" t="n">
        <v>0</v>
      </c>
      <c r="DV195" s="258" t="n"/>
      <c r="DW195" s="258" t="n"/>
      <c r="DX195" s="258" t="n"/>
      <c r="DZ195" s="357" t="inlineStr">
        <is>
          <t>08</t>
        </is>
      </c>
      <c r="EA195" s="131">
        <f>+EA194+EA115</f>
        <v/>
      </c>
      <c r="EB195" s="258" t="n">
        <v>18513</v>
      </c>
      <c r="EC195" s="258" t="n">
        <v>0</v>
      </c>
      <c r="ED195" s="258" t="n"/>
      <c r="EE195" s="258" t="n"/>
      <c r="EF195" s="258" t="n"/>
    </row>
    <row r="196">
      <c r="B196" s="357" t="inlineStr">
        <is>
          <t>09</t>
        </is>
      </c>
      <c r="C196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96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96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96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96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96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96" s="258" t="n"/>
      <c r="J196" s="357" t="inlineStr">
        <is>
          <t>09</t>
        </is>
      </c>
      <c r="K196" s="131">
        <f>K195+K116</f>
        <v/>
      </c>
      <c r="L196" s="258" t="n">
        <v>221929</v>
      </c>
      <c r="M196" s="258" t="n">
        <v>253222</v>
      </c>
      <c r="N196" s="258" t="n">
        <v>254139</v>
      </c>
      <c r="O196" s="258" t="n">
        <v>209428</v>
      </c>
      <c r="P196" s="258" t="n">
        <v>202045.00004011</v>
      </c>
      <c r="R196" s="357" t="inlineStr">
        <is>
          <t>09</t>
        </is>
      </c>
      <c r="S196" s="131">
        <f>S195+S116</f>
        <v/>
      </c>
      <c r="T196" s="258" t="n">
        <v>120446</v>
      </c>
      <c r="U196" s="258" t="n">
        <v>129274</v>
      </c>
      <c r="V196" s="258" t="n">
        <v>134556</v>
      </c>
      <c r="W196" s="258" t="n">
        <v>122660</v>
      </c>
      <c r="X196" s="258" t="n">
        <v>107657</v>
      </c>
      <c r="Z196" s="357" t="inlineStr">
        <is>
          <t>09</t>
        </is>
      </c>
      <c r="AA196" s="131">
        <f>AA195+AA116</f>
        <v/>
      </c>
      <c r="AB196" s="258" t="n">
        <v>150862</v>
      </c>
      <c r="AC196" s="258" t="n">
        <v>170423</v>
      </c>
      <c r="AD196" s="258" t="n">
        <v>172421</v>
      </c>
      <c r="AE196" s="258" t="n">
        <v>135007</v>
      </c>
      <c r="AF196" s="258" t="n">
        <v>124308</v>
      </c>
      <c r="AH196" s="357" t="inlineStr">
        <is>
          <t>09</t>
        </is>
      </c>
      <c r="AI196" s="131">
        <f>AI195+AI116</f>
        <v/>
      </c>
      <c r="AJ196" s="258" t="n">
        <v>202072</v>
      </c>
      <c r="AK196" s="258" t="n">
        <v>210046</v>
      </c>
      <c r="AL196" s="258" t="n">
        <v>203766</v>
      </c>
      <c r="AM196" s="258" t="n">
        <v>166919</v>
      </c>
      <c r="AN196" s="258" t="n">
        <v>154248</v>
      </c>
      <c r="AP196" s="357" t="inlineStr">
        <is>
          <t>09</t>
        </is>
      </c>
      <c r="AQ196" s="131">
        <f>AQ195+AQ116</f>
        <v/>
      </c>
      <c r="AR196" s="258" t="n">
        <v>257504</v>
      </c>
      <c r="AS196" s="258" t="n">
        <v>274082</v>
      </c>
      <c r="AT196" s="258" t="n">
        <v>267866</v>
      </c>
      <c r="AU196" s="258" t="n">
        <v>181767</v>
      </c>
      <c r="AV196" s="258" t="n">
        <v>0</v>
      </c>
      <c r="AX196" s="357" t="inlineStr">
        <is>
          <t>09</t>
        </is>
      </c>
      <c r="AY196" s="131">
        <f>AY195+AY116</f>
        <v/>
      </c>
      <c r="AZ196" s="258" t="n">
        <v>125146</v>
      </c>
      <c r="BA196" s="258" t="n">
        <v>129768</v>
      </c>
      <c r="BB196" s="258" t="n">
        <v>126127</v>
      </c>
      <c r="BC196" s="258" t="n">
        <v>32446</v>
      </c>
      <c r="BD196" s="258" t="n"/>
      <c r="BE196" s="258" t="n"/>
      <c r="BF196" s="357" t="inlineStr">
        <is>
          <t>09</t>
        </is>
      </c>
      <c r="BG196" s="131">
        <f>BG195+BG116</f>
        <v/>
      </c>
      <c r="BH196" s="258" t="n">
        <v>140267</v>
      </c>
      <c r="BI196" s="258" t="n">
        <v>141682</v>
      </c>
      <c r="BJ196" s="258" t="n"/>
      <c r="BK196" s="258" t="n"/>
      <c r="BL196" s="258" t="n"/>
      <c r="BM196" s="258" t="n"/>
      <c r="BN196" s="357" t="inlineStr">
        <is>
          <t>09</t>
        </is>
      </c>
      <c r="BO196" s="131">
        <f>BO195+BO116</f>
        <v/>
      </c>
      <c r="BP196" s="258" t="n">
        <v>189255</v>
      </c>
      <c r="BQ196" s="258" t="n">
        <v>190898</v>
      </c>
      <c r="BR196" s="258" t="n">
        <v>198445</v>
      </c>
      <c r="BS196" s="258" t="n">
        <v>153871</v>
      </c>
      <c r="BT196" s="258" t="n">
        <v>153421</v>
      </c>
      <c r="BV196" s="357" t="inlineStr">
        <is>
          <t>09</t>
        </is>
      </c>
      <c r="BW196" s="131">
        <f>BW195+BW116</f>
        <v/>
      </c>
      <c r="BX196" s="258" t="n">
        <v>149420</v>
      </c>
      <c r="BY196" s="258" t="n">
        <v>152208</v>
      </c>
      <c r="BZ196" s="258" t="n">
        <v>160501</v>
      </c>
      <c r="CA196" s="258" t="n">
        <v>128441</v>
      </c>
      <c r="CB196" s="258" t="n">
        <v>118962</v>
      </c>
      <c r="CC196" s="258" t="n"/>
      <c r="CD196" s="357" t="inlineStr">
        <is>
          <t>09</t>
        </is>
      </c>
      <c r="CE196" s="131">
        <f>CE195+CE116</f>
        <v/>
      </c>
      <c r="CF196" s="258" t="n">
        <v>240871</v>
      </c>
      <c r="CG196" s="258" t="n">
        <v>236215</v>
      </c>
      <c r="CH196" s="258" t="n">
        <v>236256</v>
      </c>
      <c r="CI196" s="258" t="n">
        <v>189169</v>
      </c>
      <c r="CJ196" s="258" t="n">
        <v>203392</v>
      </c>
      <c r="CL196" s="357" t="inlineStr">
        <is>
          <t>09</t>
        </is>
      </c>
      <c r="CM196" s="131">
        <f>CM195+CM116</f>
        <v/>
      </c>
      <c r="CN196" s="258" t="n">
        <v>201708</v>
      </c>
      <c r="CO196" s="258" t="n">
        <v>260227</v>
      </c>
      <c r="CP196" s="258" t="n">
        <v>259677</v>
      </c>
      <c r="CQ196" s="258" t="n">
        <v>199045</v>
      </c>
      <c r="CR196" s="258" t="n">
        <v>197997</v>
      </c>
      <c r="CT196" s="357" t="inlineStr">
        <is>
          <t>09</t>
        </is>
      </c>
      <c r="CU196" s="131">
        <f>CU195+CU116</f>
        <v/>
      </c>
      <c r="CV196" s="258" t="n">
        <v>249918</v>
      </c>
      <c r="CW196" s="258" t="n">
        <v>0</v>
      </c>
      <c r="CX196" s="258" t="n"/>
      <c r="CY196" s="258" t="n"/>
      <c r="CZ196" s="258" t="n"/>
      <c r="DB196" s="357" t="inlineStr">
        <is>
          <t>09</t>
        </is>
      </c>
      <c r="DC196" s="131">
        <f>DC195+DC116</f>
        <v/>
      </c>
      <c r="DD196" s="258" t="n">
        <v>255469</v>
      </c>
      <c r="DE196" s="258" t="n">
        <v>0</v>
      </c>
      <c r="DF196" s="258" t="n"/>
      <c r="DG196" s="258" t="n"/>
      <c r="DH196" s="258" t="n"/>
      <c r="DI196" s="258" t="n"/>
      <c r="DJ196" s="357" t="inlineStr">
        <is>
          <t>09</t>
        </is>
      </c>
      <c r="DK196" s="131">
        <f>DK195+DK116</f>
        <v/>
      </c>
      <c r="DL196" s="258" t="n">
        <v>137206</v>
      </c>
      <c r="DM196" s="258" t="n">
        <v>0</v>
      </c>
      <c r="DN196" s="258" t="n"/>
      <c r="DO196" s="258" t="n"/>
      <c r="DP196" s="258" t="n"/>
      <c r="DR196" s="357" t="inlineStr">
        <is>
          <t>09</t>
        </is>
      </c>
      <c r="DS196" s="131">
        <f>DS195+DS116</f>
        <v/>
      </c>
      <c r="DT196" s="258" t="n">
        <v>175200</v>
      </c>
      <c r="DU196" s="258" t="n">
        <v>0</v>
      </c>
      <c r="DV196" s="258" t="n"/>
      <c r="DW196" s="258" t="n"/>
      <c r="DX196" s="258" t="n"/>
      <c r="DZ196" s="357" t="inlineStr">
        <is>
          <t>09</t>
        </is>
      </c>
      <c r="EA196" s="131">
        <f>+EA195+EA116</f>
        <v/>
      </c>
      <c r="EB196" s="258" t="n">
        <v>30344</v>
      </c>
      <c r="EC196" s="258" t="n">
        <v>0</v>
      </c>
      <c r="ED196" s="258" t="n"/>
      <c r="EE196" s="258" t="n"/>
      <c r="EF196" s="258" t="n"/>
    </row>
    <row r="197">
      <c r="B197" s="357" t="inlineStr">
        <is>
          <t>10</t>
        </is>
      </c>
      <c r="C197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97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97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97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97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97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97" s="258" t="n"/>
      <c r="J197" s="357" t="inlineStr">
        <is>
          <t>10</t>
        </is>
      </c>
      <c r="K197" s="131">
        <f>K196+K117</f>
        <v/>
      </c>
      <c r="L197" s="258" t="n">
        <v>247652</v>
      </c>
      <c r="M197" s="258" t="n">
        <v>279154</v>
      </c>
      <c r="N197" s="258" t="n">
        <v>284233</v>
      </c>
      <c r="O197" s="258" t="n">
        <v>239316</v>
      </c>
      <c r="P197" s="258" t="n">
        <v>230788.00004011</v>
      </c>
      <c r="R197" s="357" t="inlineStr">
        <is>
          <t>10</t>
        </is>
      </c>
      <c r="S197" s="131">
        <f>S196+S117</f>
        <v/>
      </c>
      <c r="T197" s="258" t="n">
        <v>133956</v>
      </c>
      <c r="U197" s="258" t="n">
        <v>142572</v>
      </c>
      <c r="V197" s="258" t="n">
        <v>150003</v>
      </c>
      <c r="W197" s="258" t="n">
        <v>139939</v>
      </c>
      <c r="X197" s="258" t="n">
        <v>124537</v>
      </c>
      <c r="Z197" s="357" t="inlineStr">
        <is>
          <t>10</t>
        </is>
      </c>
      <c r="AA197" s="131">
        <f>AA196+AA117</f>
        <v/>
      </c>
      <c r="AB197" s="258" t="n">
        <v>167543</v>
      </c>
      <c r="AC197" s="258" t="n">
        <v>188340</v>
      </c>
      <c r="AD197" s="258" t="n">
        <v>195086</v>
      </c>
      <c r="AE197" s="258" t="n">
        <v>156171</v>
      </c>
      <c r="AF197" s="258" t="n">
        <v>142994</v>
      </c>
      <c r="AH197" s="357" t="inlineStr">
        <is>
          <t>10</t>
        </is>
      </c>
      <c r="AI197" s="131">
        <f>AI196+AI117</f>
        <v/>
      </c>
      <c r="AJ197" s="258" t="n">
        <v>224321</v>
      </c>
      <c r="AK197" s="258" t="n">
        <v>233711</v>
      </c>
      <c r="AL197" s="258" t="n">
        <v>228179</v>
      </c>
      <c r="AM197" s="258" t="n">
        <v>189712</v>
      </c>
      <c r="AN197" s="258" t="n">
        <v>179815</v>
      </c>
      <c r="AP197" s="357" t="inlineStr">
        <is>
          <t>10</t>
        </is>
      </c>
      <c r="AQ197" s="131">
        <f>AQ196+AQ117</f>
        <v/>
      </c>
      <c r="AR197" s="258" t="n">
        <v>286348</v>
      </c>
      <c r="AS197" s="258" t="n">
        <v>303051</v>
      </c>
      <c r="AT197" s="258" t="n">
        <v>299749</v>
      </c>
      <c r="AU197" s="258" t="n">
        <v>210069</v>
      </c>
      <c r="AV197" s="258" t="n">
        <v>0</v>
      </c>
      <c r="AX197" s="357" t="inlineStr">
        <is>
          <t>10</t>
        </is>
      </c>
      <c r="AY197" s="131">
        <f>AY196+AY117</f>
        <v/>
      </c>
      <c r="AZ197" s="258" t="n">
        <v>137961</v>
      </c>
      <c r="BA197" s="258" t="n">
        <v>143099</v>
      </c>
      <c r="BB197" s="258" t="n">
        <v>140820</v>
      </c>
      <c r="BC197" s="258" t="n">
        <v>46784</v>
      </c>
      <c r="BD197" s="258" t="n"/>
      <c r="BE197" s="258" t="n"/>
      <c r="BF197" s="357" t="inlineStr">
        <is>
          <t>10</t>
        </is>
      </c>
      <c r="BG197" s="131">
        <f>BG196+BG117</f>
        <v/>
      </c>
      <c r="BH197" s="258" t="n">
        <v>154176</v>
      </c>
      <c r="BI197" s="258" t="n">
        <v>156274</v>
      </c>
      <c r="BJ197" s="258" t="n"/>
      <c r="BK197" s="258" t="n"/>
      <c r="BL197" s="258" t="n"/>
      <c r="BM197" s="258" t="n"/>
      <c r="BN197" s="357" t="inlineStr">
        <is>
          <t>10</t>
        </is>
      </c>
      <c r="BO197" s="131">
        <f>BO196+BO117</f>
        <v/>
      </c>
      <c r="BP197" s="258" t="n">
        <v>209963</v>
      </c>
      <c r="BQ197" s="258" t="n">
        <v>211630</v>
      </c>
      <c r="BR197" s="258" t="n">
        <v>221483</v>
      </c>
      <c r="BS197" s="258" t="n">
        <v>177239</v>
      </c>
      <c r="BT197" s="258" t="n">
        <v>177119</v>
      </c>
      <c r="BV197" s="357" t="inlineStr">
        <is>
          <t>10</t>
        </is>
      </c>
      <c r="BW197" s="131">
        <f>BW196+BW117</f>
        <v/>
      </c>
      <c r="BX197" s="258" t="n">
        <v>164717</v>
      </c>
      <c r="BY197" s="258" t="n">
        <v>167295</v>
      </c>
      <c r="BZ197" s="258" t="n">
        <v>177077</v>
      </c>
      <c r="CA197" s="258" t="n">
        <v>144775</v>
      </c>
      <c r="CB197" s="258" t="n">
        <v>135328</v>
      </c>
      <c r="CC197" s="258" t="n"/>
      <c r="CD197" s="357" t="inlineStr">
        <is>
          <t>10</t>
        </is>
      </c>
      <c r="CE197" s="131">
        <f>CE196+CE117</f>
        <v/>
      </c>
      <c r="CF197" s="258" t="n">
        <v>264027</v>
      </c>
      <c r="CG197" s="258" t="n">
        <v>260484</v>
      </c>
      <c r="CH197" s="258" t="n">
        <v>258620</v>
      </c>
      <c r="CI197" s="258" t="n">
        <v>213314</v>
      </c>
      <c r="CJ197" s="258" t="n">
        <v>227699</v>
      </c>
      <c r="CL197" s="357" t="inlineStr">
        <is>
          <t>10</t>
        </is>
      </c>
      <c r="CM197" s="131">
        <f>CM196+CM117</f>
        <v/>
      </c>
      <c r="CN197" s="258" t="n">
        <v>223993</v>
      </c>
      <c r="CO197" s="258" t="n">
        <v>287853</v>
      </c>
      <c r="CP197" s="258" t="n">
        <v>284254</v>
      </c>
      <c r="CQ197" s="258" t="n">
        <v>227236</v>
      </c>
      <c r="CR197" s="258" t="n">
        <v>225697</v>
      </c>
      <c r="CT197" s="357" t="inlineStr">
        <is>
          <t>10</t>
        </is>
      </c>
      <c r="CU197" s="131">
        <f>CU196+CU117</f>
        <v/>
      </c>
      <c r="CV197" s="258" t="n">
        <v>279943</v>
      </c>
      <c r="CW197" s="258" t="n">
        <v>0</v>
      </c>
      <c r="CX197" s="258" t="n"/>
      <c r="CY197" s="258" t="n"/>
      <c r="CZ197" s="258" t="n"/>
      <c r="DB197" s="357" t="inlineStr">
        <is>
          <t>10</t>
        </is>
      </c>
      <c r="DC197" s="131">
        <f>DC196+DC117</f>
        <v/>
      </c>
      <c r="DD197" s="258" t="n">
        <v>284119</v>
      </c>
      <c r="DE197" s="258" t="n">
        <v>0</v>
      </c>
      <c r="DF197" s="258" t="n"/>
      <c r="DG197" s="258" t="n"/>
      <c r="DH197" s="258" t="n"/>
      <c r="DI197" s="258" t="n"/>
      <c r="DJ197" s="357" t="inlineStr">
        <is>
          <t>10</t>
        </is>
      </c>
      <c r="DK197" s="131">
        <f>DK196+DK117</f>
        <v/>
      </c>
      <c r="DL197" s="258" t="n">
        <v>153407</v>
      </c>
      <c r="DM197" s="258" t="n">
        <v>0</v>
      </c>
      <c r="DN197" s="258" t="n"/>
      <c r="DO197" s="258" t="n"/>
      <c r="DP197" s="258" t="n"/>
      <c r="DR197" s="357" t="inlineStr">
        <is>
          <t>10</t>
        </is>
      </c>
      <c r="DS197" s="131">
        <f>DS196+DS117</f>
        <v/>
      </c>
      <c r="DT197" s="258" t="n">
        <v>195157</v>
      </c>
      <c r="DU197" s="258" t="n">
        <v>0</v>
      </c>
      <c r="DV197" s="258" t="n"/>
      <c r="DW197" s="258" t="n"/>
      <c r="DX197" s="258" t="n"/>
      <c r="DZ197" s="357" t="inlineStr">
        <is>
          <t>10</t>
        </is>
      </c>
      <c r="EA197" s="131">
        <f>+EA196+EA117</f>
        <v/>
      </c>
      <c r="EB197" s="258" t="n">
        <v>43100</v>
      </c>
      <c r="EC197" s="258" t="n">
        <v>0</v>
      </c>
      <c r="ED197" s="258" t="n"/>
      <c r="EE197" s="258" t="n"/>
      <c r="EF197" s="258" t="n"/>
    </row>
    <row r="198">
      <c r="B198" s="357" t="inlineStr">
        <is>
          <t>11</t>
        </is>
      </c>
      <c r="C198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98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98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98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98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98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98" s="258" t="n"/>
      <c r="J198" s="357" t="inlineStr">
        <is>
          <t>11</t>
        </is>
      </c>
      <c r="K198" s="131">
        <f>K197+K118</f>
        <v/>
      </c>
      <c r="L198" s="258" t="n">
        <v>273906</v>
      </c>
      <c r="M198" s="258" t="n">
        <v>304248</v>
      </c>
      <c r="N198" s="258" t="n">
        <v>312696</v>
      </c>
      <c r="O198" s="258" t="n">
        <v>268711</v>
      </c>
      <c r="P198" s="258" t="n">
        <v>247860.00004011</v>
      </c>
      <c r="R198" s="357" t="inlineStr">
        <is>
          <t>11</t>
        </is>
      </c>
      <c r="S198" s="131">
        <f>S197+S118</f>
        <v/>
      </c>
      <c r="T198" s="258" t="n">
        <v>146854</v>
      </c>
      <c r="U198" s="258" t="n">
        <v>155738</v>
      </c>
      <c r="V198" s="258" t="n">
        <v>164536</v>
      </c>
      <c r="W198" s="258" t="n">
        <v>156469</v>
      </c>
      <c r="X198" s="258" t="n">
        <v>134959</v>
      </c>
      <c r="Z198" s="357" t="inlineStr">
        <is>
          <t>11</t>
        </is>
      </c>
      <c r="AA198" s="131">
        <f>AA197+AA118</f>
        <v/>
      </c>
      <c r="AB198" s="258" t="n">
        <v>185238</v>
      </c>
      <c r="AC198" s="258" t="n">
        <v>208093</v>
      </c>
      <c r="AD198" s="258" t="n">
        <v>216786</v>
      </c>
      <c r="AE198" s="258" t="n">
        <v>176577</v>
      </c>
      <c r="AF198" s="258" t="n">
        <v>154428</v>
      </c>
      <c r="AH198" s="357" t="inlineStr">
        <is>
          <t>11</t>
        </is>
      </c>
      <c r="AI198" s="131">
        <f>AI197+AI118</f>
        <v/>
      </c>
      <c r="AJ198" s="258" t="n">
        <v>246096</v>
      </c>
      <c r="AK198" s="258" t="n">
        <v>255790</v>
      </c>
      <c r="AL198" s="258" t="n">
        <v>250757</v>
      </c>
      <c r="AM198" s="258" t="n">
        <v>212746</v>
      </c>
      <c r="AN198" s="258" t="n">
        <v>194081</v>
      </c>
      <c r="AP198" s="357" t="inlineStr">
        <is>
          <t>11</t>
        </is>
      </c>
      <c r="AQ198" s="131">
        <f>AQ197+AQ118</f>
        <v/>
      </c>
      <c r="AR198" s="258" t="n">
        <v>314882</v>
      </c>
      <c r="AS198" s="258" t="n">
        <v>330788</v>
      </c>
      <c r="AT198" s="258" t="n">
        <v>329243</v>
      </c>
      <c r="AU198" s="258" t="n">
        <v>238842</v>
      </c>
      <c r="AV198" s="258" t="n">
        <v>0</v>
      </c>
      <c r="AX198" s="357" t="inlineStr">
        <is>
          <t>11</t>
        </is>
      </c>
      <c r="AY198" s="131">
        <f>AY197+AY118</f>
        <v/>
      </c>
      <c r="AZ198" s="258" t="n">
        <v>150187</v>
      </c>
      <c r="BA198" s="258" t="n">
        <v>155778</v>
      </c>
      <c r="BB198" s="258" t="n">
        <v>154543</v>
      </c>
      <c r="BC198" s="258" t="n">
        <v>60582</v>
      </c>
      <c r="BD198" s="258" t="n"/>
      <c r="BE198" s="258" t="n"/>
      <c r="BF198" s="357" t="inlineStr">
        <is>
          <t>11</t>
        </is>
      </c>
      <c r="BG198" s="131">
        <f>BG197+BG118</f>
        <v/>
      </c>
      <c r="BH198" s="258" t="n">
        <v>167114</v>
      </c>
      <c r="BI198" s="258" t="n">
        <v>169999</v>
      </c>
      <c r="BJ198" s="258" t="n"/>
      <c r="BK198" s="258" t="n"/>
      <c r="BL198" s="258" t="n"/>
      <c r="BM198" s="258" t="n"/>
      <c r="BN198" s="357" t="inlineStr">
        <is>
          <t>11</t>
        </is>
      </c>
      <c r="BO198" s="131">
        <f>BO197+BO118</f>
        <v/>
      </c>
      <c r="BP198" s="258" t="n">
        <v>230759</v>
      </c>
      <c r="BQ198" s="258" t="n">
        <v>232918</v>
      </c>
      <c r="BR198" s="258" t="n">
        <v>242084</v>
      </c>
      <c r="BS198" s="258" t="n">
        <v>201134</v>
      </c>
      <c r="BT198" s="258" t="n">
        <v>188459</v>
      </c>
      <c r="BV198" s="357" t="inlineStr">
        <is>
          <t>11</t>
        </is>
      </c>
      <c r="BW198" s="131">
        <f>BW197+BW118</f>
        <v/>
      </c>
      <c r="BX198" s="258" t="n">
        <v>178437</v>
      </c>
      <c r="BY198" s="258" t="n">
        <v>180840</v>
      </c>
      <c r="BZ198" s="258" t="n">
        <v>191749</v>
      </c>
      <c r="CA198" s="258" t="n">
        <v>160151</v>
      </c>
      <c r="CB198" s="258" t="n">
        <v>143643</v>
      </c>
      <c r="CC198" s="258" t="n"/>
      <c r="CD198" s="357" t="inlineStr">
        <is>
          <t>11</t>
        </is>
      </c>
      <c r="CE198" s="131">
        <f>CE197+CE118</f>
        <v/>
      </c>
      <c r="CF198" s="258" t="n">
        <v>286023</v>
      </c>
      <c r="CG198" s="258" t="n">
        <v>282508</v>
      </c>
      <c r="CH198" s="258" t="n">
        <v>280006</v>
      </c>
      <c r="CI198" s="258" t="n">
        <v>235210</v>
      </c>
      <c r="CJ198" s="258" t="n">
        <v>239294</v>
      </c>
      <c r="CL198" s="357" t="inlineStr">
        <is>
          <t>11</t>
        </is>
      </c>
      <c r="CM198" s="131">
        <f>CM197+CM118</f>
        <v/>
      </c>
      <c r="CN198" s="258" t="n">
        <v>246174</v>
      </c>
      <c r="CO198" s="258" t="n">
        <v>315478</v>
      </c>
      <c r="CP198" s="258" t="n">
        <v>310997</v>
      </c>
      <c r="CQ198" s="258" t="n">
        <v>255044</v>
      </c>
      <c r="CR198" s="258" t="n">
        <v>241089</v>
      </c>
      <c r="CT198" s="357" t="inlineStr">
        <is>
          <t>11</t>
        </is>
      </c>
      <c r="CU198" s="131">
        <f>CU197+CU118</f>
        <v/>
      </c>
      <c r="CV198" s="258" t="n">
        <v>309825</v>
      </c>
      <c r="CW198" s="258" t="n">
        <v>0</v>
      </c>
      <c r="CX198" s="258" t="n"/>
      <c r="CY198" s="258" t="n"/>
      <c r="CZ198" s="258" t="n"/>
      <c r="DB198" s="357" t="inlineStr">
        <is>
          <t>11</t>
        </is>
      </c>
      <c r="DC198" s="131">
        <f>DC197+DC118</f>
        <v/>
      </c>
      <c r="DD198" s="258" t="n">
        <v>313037</v>
      </c>
      <c r="DE198" s="258" t="n">
        <v>0</v>
      </c>
      <c r="DF198" s="258" t="n"/>
      <c r="DG198" s="258" t="n"/>
      <c r="DH198" s="258" t="n"/>
      <c r="DI198" s="258" t="n"/>
      <c r="DJ198" s="357" t="inlineStr">
        <is>
          <t>11</t>
        </is>
      </c>
      <c r="DK198" s="131">
        <f>DK197+DK118</f>
        <v/>
      </c>
      <c r="DL198" s="258" t="n">
        <v>169797</v>
      </c>
      <c r="DM198" s="258" t="n">
        <v>0</v>
      </c>
      <c r="DN198" s="258" t="n"/>
      <c r="DO198" s="258" t="n"/>
      <c r="DP198" s="258" t="n"/>
      <c r="DR198" s="357" t="inlineStr">
        <is>
          <t>11</t>
        </is>
      </c>
      <c r="DS198" s="131">
        <f>DS197+DS118</f>
        <v/>
      </c>
      <c r="DT198" s="258" t="n">
        <v>214845</v>
      </c>
      <c r="DU198" s="258" t="n">
        <v>0</v>
      </c>
      <c r="DV198" s="258" t="n"/>
      <c r="DW198" s="258" t="n"/>
      <c r="DX198" s="258" t="n"/>
      <c r="DZ198" s="357" t="inlineStr">
        <is>
          <t>11</t>
        </is>
      </c>
      <c r="EA198" s="131">
        <f>+EA197+EA118</f>
        <v/>
      </c>
      <c r="EB198" s="258" t="n">
        <v>55376</v>
      </c>
      <c r="EC198" s="258" t="n">
        <v>0</v>
      </c>
      <c r="ED198" s="258" t="n"/>
      <c r="EE198" s="258" t="n"/>
      <c r="EF198" s="258" t="n"/>
    </row>
    <row r="199">
      <c r="B199" s="357" t="inlineStr">
        <is>
          <t>12</t>
        </is>
      </c>
      <c r="C199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99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99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99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99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99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99" s="258" t="n"/>
      <c r="J199" s="357" t="inlineStr">
        <is>
          <t>12</t>
        </is>
      </c>
      <c r="K199" s="131">
        <f>K198+K119</f>
        <v/>
      </c>
      <c r="L199" s="258" t="n">
        <v>299754</v>
      </c>
      <c r="M199" s="258" t="n">
        <v>328828</v>
      </c>
      <c r="N199" s="258" t="n">
        <v>341572</v>
      </c>
      <c r="O199" s="258" t="n">
        <v>298354</v>
      </c>
      <c r="P199" s="258" t="n">
        <v>266955.00004011</v>
      </c>
      <c r="R199" s="357" t="inlineStr">
        <is>
          <t>12</t>
        </is>
      </c>
      <c r="S199" s="131">
        <f>S198+S119</f>
        <v/>
      </c>
      <c r="T199" s="258" t="n">
        <v>159927</v>
      </c>
      <c r="U199" s="258" t="n">
        <v>168670</v>
      </c>
      <c r="V199" s="258" t="n">
        <v>179426</v>
      </c>
      <c r="W199" s="258" t="n">
        <v>172623</v>
      </c>
      <c r="X199" s="258" t="n">
        <v>147144</v>
      </c>
      <c r="Z199" s="357" t="inlineStr">
        <is>
          <t>12</t>
        </is>
      </c>
      <c r="AA199" s="131">
        <f>AA198+AA119</f>
        <v/>
      </c>
      <c r="AB199" s="258" t="n">
        <v>201292</v>
      </c>
      <c r="AC199" s="258" t="n">
        <v>224239</v>
      </c>
      <c r="AD199" s="258" t="n">
        <v>235680</v>
      </c>
      <c r="AE199" s="258" t="n">
        <v>194759</v>
      </c>
      <c r="AF199" s="258" t="n">
        <v>166624</v>
      </c>
      <c r="AH199" s="357" t="inlineStr">
        <is>
          <t>12</t>
        </is>
      </c>
      <c r="AI199" s="131">
        <f>AI198+AI119</f>
        <v/>
      </c>
      <c r="AJ199" s="258" t="n">
        <v>267193</v>
      </c>
      <c r="AK199" s="258" t="n">
        <v>277602</v>
      </c>
      <c r="AL199" s="258" t="n">
        <v>273073</v>
      </c>
      <c r="AM199" s="258" t="n">
        <v>234912</v>
      </c>
      <c r="AN199" s="258" t="n">
        <v>210227</v>
      </c>
      <c r="AP199" s="357" t="inlineStr">
        <is>
          <t>12</t>
        </is>
      </c>
      <c r="AQ199" s="131">
        <f>AQ198+AQ119</f>
        <v/>
      </c>
      <c r="AR199" s="258" t="n">
        <v>345677</v>
      </c>
      <c r="AS199" s="258" t="n">
        <v>361032</v>
      </c>
      <c r="AT199" s="258" t="n">
        <v>361853</v>
      </c>
      <c r="AU199" s="258" t="n">
        <v>268477</v>
      </c>
      <c r="AV199" s="258" t="n">
        <v>0</v>
      </c>
      <c r="AX199" s="357" t="inlineStr">
        <is>
          <t>12</t>
        </is>
      </c>
      <c r="AY199" s="131">
        <f>AY198+AY119</f>
        <v/>
      </c>
      <c r="AZ199" s="258" t="n">
        <v>162548</v>
      </c>
      <c r="BA199" s="258" t="n">
        <v>168848</v>
      </c>
      <c r="BB199" s="258" t="n">
        <v>168401</v>
      </c>
      <c r="BC199" s="258" t="n">
        <v>73803</v>
      </c>
      <c r="BD199" s="258" t="n"/>
      <c r="BE199" s="258" t="n"/>
      <c r="BF199" s="357" t="inlineStr">
        <is>
          <t>12</t>
        </is>
      </c>
      <c r="BG199" s="131">
        <f>BG198+BG119</f>
        <v/>
      </c>
      <c r="BH199" s="258" t="n">
        <v>180000</v>
      </c>
      <c r="BI199" s="258" t="n">
        <v>183414</v>
      </c>
      <c r="BJ199" s="258" t="n"/>
      <c r="BK199" s="258" t="n"/>
      <c r="BL199" s="258" t="n"/>
      <c r="BM199" s="258" t="n"/>
      <c r="BN199" s="357" t="inlineStr">
        <is>
          <t>12</t>
        </is>
      </c>
      <c r="BO199" s="131">
        <f>BO198+BO119</f>
        <v/>
      </c>
      <c r="BP199" s="258" t="n">
        <v>252208</v>
      </c>
      <c r="BQ199" s="258" t="n">
        <v>253554</v>
      </c>
      <c r="BR199" s="258" t="n">
        <v>262950</v>
      </c>
      <c r="BS199" s="258" t="n">
        <v>223289</v>
      </c>
      <c r="BT199" s="258" t="n">
        <v>201585</v>
      </c>
      <c r="BV199" s="357" t="inlineStr">
        <is>
          <t>12</t>
        </is>
      </c>
      <c r="BW199" s="131">
        <f>BW198+BW119</f>
        <v/>
      </c>
      <c r="BX199" s="258" t="n">
        <v>192085</v>
      </c>
      <c r="BY199" s="258" t="n">
        <v>194023</v>
      </c>
      <c r="BZ199" s="258" t="n">
        <v>205565</v>
      </c>
      <c r="CA199" s="258" t="n">
        <v>174310</v>
      </c>
      <c r="CB199" s="258" t="n">
        <v>153876</v>
      </c>
      <c r="CC199" s="258" t="n"/>
      <c r="CD199" s="357" t="inlineStr">
        <is>
          <t>12</t>
        </is>
      </c>
      <c r="CE199" s="131">
        <f>CE198+CE119</f>
        <v/>
      </c>
      <c r="CF199" s="258" t="n">
        <v>306604</v>
      </c>
      <c r="CG199" s="258" t="n">
        <v>304306</v>
      </c>
      <c r="CH199" s="258" t="n">
        <v>300370</v>
      </c>
      <c r="CI199" s="258" t="n">
        <v>256859</v>
      </c>
      <c r="CJ199" s="258" t="n">
        <v>253566</v>
      </c>
      <c r="CL199" s="357" t="inlineStr">
        <is>
          <t>12</t>
        </is>
      </c>
      <c r="CM199" s="131">
        <f>CM198+CM119</f>
        <v/>
      </c>
      <c r="CN199" s="258" t="n">
        <v>269141</v>
      </c>
      <c r="CO199" s="258" t="n">
        <v>339136</v>
      </c>
      <c r="CP199" s="258" t="n">
        <v>338915</v>
      </c>
      <c r="CQ199" s="258" t="n">
        <v>282825</v>
      </c>
      <c r="CR199" s="258" t="n">
        <v>259728</v>
      </c>
      <c r="CT199" s="357" t="inlineStr">
        <is>
          <t>12</t>
        </is>
      </c>
      <c r="CU199" s="131">
        <f>CU198+CU119</f>
        <v/>
      </c>
      <c r="CV199" s="258" t="n">
        <v>338129</v>
      </c>
      <c r="CW199" s="258" t="n">
        <v>0</v>
      </c>
      <c r="CX199" s="258" t="n"/>
      <c r="CY199" s="258" t="n"/>
      <c r="CZ199" s="258" t="n"/>
      <c r="DB199" s="357" t="inlineStr">
        <is>
          <t>12</t>
        </is>
      </c>
      <c r="DC199" s="131">
        <f>DC198+DC119</f>
        <v/>
      </c>
      <c r="DD199" s="258" t="n">
        <v>343915</v>
      </c>
      <c r="DE199" s="258" t="n">
        <v>0</v>
      </c>
      <c r="DF199" s="258" t="n"/>
      <c r="DG199" s="258" t="n"/>
      <c r="DH199" s="258" t="n"/>
      <c r="DI199" s="258" t="n"/>
      <c r="DJ199" s="357" t="inlineStr">
        <is>
          <t>12</t>
        </is>
      </c>
      <c r="DK199" s="131">
        <f>DK198+DK119</f>
        <v/>
      </c>
      <c r="DL199" s="258" t="n">
        <v>187440</v>
      </c>
      <c r="DM199" s="258" t="n">
        <v>0</v>
      </c>
      <c r="DN199" s="258" t="n"/>
      <c r="DO199" s="258" t="n"/>
      <c r="DP199" s="258" t="n"/>
      <c r="DR199" s="357" t="inlineStr">
        <is>
          <t>12</t>
        </is>
      </c>
      <c r="DS199" s="131">
        <f>DS198+DS119</f>
        <v/>
      </c>
      <c r="DT199" s="258" t="n">
        <v>234846</v>
      </c>
      <c r="DU199" s="258" t="n">
        <v>0</v>
      </c>
      <c r="DV199" s="258" t="n"/>
      <c r="DW199" s="258" t="n"/>
      <c r="DX199" s="258" t="n"/>
      <c r="DZ199" s="357" t="inlineStr">
        <is>
          <t>12</t>
        </is>
      </c>
      <c r="EA199" s="131">
        <f>+EA198+EA119</f>
        <v/>
      </c>
      <c r="EB199" s="258" t="n">
        <v>67281</v>
      </c>
      <c r="EC199" s="258" t="n">
        <v>0</v>
      </c>
      <c r="ED199" s="258" t="n"/>
      <c r="EE199" s="258" t="n"/>
      <c r="EF199" s="258" t="n"/>
    </row>
    <row r="200">
      <c r="CV200" s="358" t="n"/>
    </row>
    <row r="201" ht="15.75" customHeight="1" s="161">
      <c r="B201" s="355" t="inlineStr">
        <is>
          <t>Global</t>
        </is>
      </c>
      <c r="J201" s="355" t="inlineStr">
        <is>
          <t>GLR5</t>
        </is>
      </c>
      <c r="R201" s="355" t="inlineStr">
        <is>
          <t>HTR8</t>
        </is>
      </c>
      <c r="Z201" s="355" t="inlineStr">
        <is>
          <t>TIRR</t>
        </is>
      </c>
      <c r="AH201" s="355" t="inlineStr">
        <is>
          <t>VR7</t>
        </is>
      </c>
      <c r="AP201" s="355" t="inlineStr">
        <is>
          <t>TURVILLA</t>
        </is>
      </c>
      <c r="AX201" s="355" t="inlineStr">
        <is>
          <t>HART</t>
        </is>
      </c>
      <c r="BF201" s="355" t="inlineStr">
        <is>
          <t>VICTOIRE</t>
        </is>
      </c>
      <c r="BN201" s="355" t="inlineStr">
        <is>
          <t>TH4</t>
        </is>
      </c>
      <c r="BV201" s="355" t="inlineStr">
        <is>
          <t>TL DIVES</t>
        </is>
      </c>
      <c r="CD201" s="355" t="inlineStr">
        <is>
          <t>R3 14</t>
        </is>
      </c>
      <c r="CL201" s="355" t="inlineStr">
        <is>
          <t>LYSE</t>
        </is>
      </c>
      <c r="CT201" s="355" t="inlineStr">
        <is>
          <t>ARTHUR</t>
        </is>
      </c>
      <c r="CV201" s="358" t="n"/>
      <c r="DB201" s="355" t="inlineStr">
        <is>
          <t>HUGO</t>
        </is>
      </c>
      <c r="DJ201" s="355" t="inlineStr">
        <is>
          <t>JEANCLO</t>
        </is>
      </c>
      <c r="DR201" s="355" t="inlineStr">
        <is>
          <t>THOMAS</t>
        </is>
      </c>
      <c r="DZ201" s="355" t="inlineStr">
        <is>
          <t>CATALINA</t>
        </is>
      </c>
    </row>
    <row r="203" ht="18.6" customFormat="1" customHeight="1" s="188">
      <c r="A203" s="356" t="inlineStr">
        <is>
          <t>Paniers moyens sur place</t>
        </is>
      </c>
      <c r="B203" s="186" t="inlineStr">
        <is>
          <t>MOIS</t>
        </is>
      </c>
      <c r="C203" s="187" t="inlineStr">
        <is>
          <t>2024</t>
        </is>
      </c>
      <c r="D203" s="187" t="inlineStr">
        <is>
          <t>2023</t>
        </is>
      </c>
      <c r="E203" s="187" t="inlineStr">
        <is>
          <t>2022</t>
        </is>
      </c>
      <c r="F203" s="187" t="inlineStr">
        <is>
          <t>2021</t>
        </is>
      </c>
      <c r="G203" s="187" t="inlineStr">
        <is>
          <t>2020</t>
        </is>
      </c>
      <c r="H203" s="187" t="inlineStr">
        <is>
          <t>2019</t>
        </is>
      </c>
      <c r="I203" s="187" t="n"/>
      <c r="J203" s="186" t="inlineStr">
        <is>
          <t>MOIS</t>
        </is>
      </c>
      <c r="K203" s="186" t="inlineStr">
        <is>
          <t>2025</t>
        </is>
      </c>
      <c r="L203" s="186" t="inlineStr">
        <is>
          <t>2024</t>
        </is>
      </c>
      <c r="M203" s="186" t="inlineStr">
        <is>
          <t>2023</t>
        </is>
      </c>
      <c r="N203" s="186" t="inlineStr">
        <is>
          <t>2022</t>
        </is>
      </c>
      <c r="O203" s="186" t="inlineStr">
        <is>
          <t>2021</t>
        </is>
      </c>
      <c r="P203" s="186" t="inlineStr">
        <is>
          <t>2020</t>
        </is>
      </c>
      <c r="R203" s="186" t="inlineStr">
        <is>
          <t>MOIS</t>
        </is>
      </c>
      <c r="S203" s="186" t="inlineStr">
        <is>
          <t>2025</t>
        </is>
      </c>
      <c r="T203" s="186" t="inlineStr">
        <is>
          <t>2024</t>
        </is>
      </c>
      <c r="U203" s="186" t="inlineStr">
        <is>
          <t>2023</t>
        </is>
      </c>
      <c r="V203" s="186" t="inlineStr">
        <is>
          <t>2022</t>
        </is>
      </c>
      <c r="W203" s="186" t="inlineStr">
        <is>
          <t>2021</t>
        </is>
      </c>
      <c r="X203" s="186" t="inlineStr">
        <is>
          <t>2020</t>
        </is>
      </c>
      <c r="Z203" s="186" t="inlineStr">
        <is>
          <t>MOIS</t>
        </is>
      </c>
      <c r="AA203" s="186" t="inlineStr">
        <is>
          <t>2025</t>
        </is>
      </c>
      <c r="AB203" s="186" t="inlineStr">
        <is>
          <t>2024</t>
        </is>
      </c>
      <c r="AC203" s="186" t="inlineStr">
        <is>
          <t>2023</t>
        </is>
      </c>
      <c r="AD203" s="186" t="inlineStr">
        <is>
          <t>2022</t>
        </is>
      </c>
      <c r="AE203" s="186" t="inlineStr">
        <is>
          <t>2021</t>
        </is>
      </c>
      <c r="AF203" s="186" t="inlineStr">
        <is>
          <t>2020</t>
        </is>
      </c>
      <c r="AH203" s="186" t="inlineStr">
        <is>
          <t>MOIS</t>
        </is>
      </c>
      <c r="AI203" s="186" t="inlineStr">
        <is>
          <t>2025</t>
        </is>
      </c>
      <c r="AJ203" s="186" t="inlineStr">
        <is>
          <t>2024</t>
        </is>
      </c>
      <c r="AK203" s="186" t="inlineStr">
        <is>
          <t>2023</t>
        </is>
      </c>
      <c r="AL203" s="186" t="inlineStr">
        <is>
          <t>2022</t>
        </is>
      </c>
      <c r="AM203" s="186" t="inlineStr">
        <is>
          <t>2021</t>
        </is>
      </c>
      <c r="AN203" s="186" t="inlineStr">
        <is>
          <t>2020</t>
        </is>
      </c>
      <c r="AP203" s="186" t="inlineStr">
        <is>
          <t>MOIS</t>
        </is>
      </c>
      <c r="AQ203" s="186" t="inlineStr">
        <is>
          <t>2025</t>
        </is>
      </c>
      <c r="AR203" s="186" t="inlineStr">
        <is>
          <t>2024</t>
        </is>
      </c>
      <c r="AS203" s="186" t="inlineStr">
        <is>
          <t>2023</t>
        </is>
      </c>
      <c r="AT203" s="186" t="inlineStr">
        <is>
          <t>2022</t>
        </is>
      </c>
      <c r="AU203" s="186" t="inlineStr">
        <is>
          <t>2021</t>
        </is>
      </c>
      <c r="AV203" s="186" t="inlineStr">
        <is>
          <t>2020</t>
        </is>
      </c>
      <c r="AX203" s="186" t="inlineStr">
        <is>
          <t>MOIS</t>
        </is>
      </c>
      <c r="AY203" s="186" t="inlineStr">
        <is>
          <t>2025</t>
        </is>
      </c>
      <c r="AZ203" s="186" t="inlineStr">
        <is>
          <t>2024</t>
        </is>
      </c>
      <c r="BA203" s="186" t="inlineStr">
        <is>
          <t>2023</t>
        </is>
      </c>
      <c r="BB203" s="186" t="inlineStr">
        <is>
          <t>2022</t>
        </is>
      </c>
      <c r="BC203" s="186" t="inlineStr">
        <is>
          <t>2021</t>
        </is>
      </c>
      <c r="BD203" s="186" t="inlineStr">
        <is>
          <t>2020</t>
        </is>
      </c>
      <c r="BE203" s="187" t="n"/>
      <c r="BF203" s="186" t="inlineStr">
        <is>
          <t>MOIS</t>
        </is>
      </c>
      <c r="BG203" s="186" t="inlineStr">
        <is>
          <t>2025</t>
        </is>
      </c>
      <c r="BH203" s="186" t="inlineStr">
        <is>
          <t>2024</t>
        </is>
      </c>
      <c r="BI203" s="186" t="inlineStr">
        <is>
          <t>2023</t>
        </is>
      </c>
      <c r="BJ203" s="186" t="inlineStr">
        <is>
          <t>2022</t>
        </is>
      </c>
      <c r="BK203" s="186" t="inlineStr">
        <is>
          <t>2021</t>
        </is>
      </c>
      <c r="BL203" s="186" t="inlineStr">
        <is>
          <t>2020</t>
        </is>
      </c>
      <c r="BM203" s="186" t="n"/>
      <c r="BN203" s="186" t="inlineStr">
        <is>
          <t>MOIS</t>
        </is>
      </c>
      <c r="BO203" s="187" t="inlineStr">
        <is>
          <t>2025</t>
        </is>
      </c>
      <c r="BP203" s="187" t="inlineStr">
        <is>
          <t>2024</t>
        </is>
      </c>
      <c r="BQ203" s="187" t="inlineStr">
        <is>
          <t>2023</t>
        </is>
      </c>
      <c r="BR203" s="187" t="inlineStr">
        <is>
          <t>2022</t>
        </is>
      </c>
      <c r="BS203" s="187" t="inlineStr">
        <is>
          <t>2021</t>
        </is>
      </c>
      <c r="BT203" s="187" t="inlineStr">
        <is>
          <t>2020</t>
        </is>
      </c>
      <c r="BV203" s="186" t="inlineStr">
        <is>
          <t>MOIS</t>
        </is>
      </c>
      <c r="BW203" s="187" t="inlineStr">
        <is>
          <t>2025</t>
        </is>
      </c>
      <c r="BX203" s="187" t="inlineStr">
        <is>
          <t>2024</t>
        </is>
      </c>
      <c r="BY203" s="187" t="inlineStr">
        <is>
          <t>2023</t>
        </is>
      </c>
      <c r="BZ203" s="187" t="inlineStr">
        <is>
          <t>2022</t>
        </is>
      </c>
      <c r="CA203" s="187" t="inlineStr">
        <is>
          <t>2021</t>
        </is>
      </c>
      <c r="CB203" s="187" t="inlineStr">
        <is>
          <t>2020</t>
        </is>
      </c>
      <c r="CC203" s="187" t="n"/>
      <c r="CD203" s="186" t="inlineStr">
        <is>
          <t>MOIS</t>
        </is>
      </c>
      <c r="CE203" s="187" t="inlineStr">
        <is>
          <t>2025</t>
        </is>
      </c>
      <c r="CF203" s="187" t="inlineStr">
        <is>
          <t>2024</t>
        </is>
      </c>
      <c r="CG203" s="187" t="inlineStr">
        <is>
          <t>2023</t>
        </is>
      </c>
      <c r="CH203" s="187" t="inlineStr">
        <is>
          <t>2022</t>
        </is>
      </c>
      <c r="CI203" s="187" t="inlineStr">
        <is>
          <t>2021</t>
        </is>
      </c>
      <c r="CJ203" s="187" t="inlineStr">
        <is>
          <t>2020</t>
        </is>
      </c>
      <c r="CL203" s="186" t="inlineStr">
        <is>
          <t>MOIS</t>
        </is>
      </c>
      <c r="CM203" s="187" t="inlineStr">
        <is>
          <t>2025</t>
        </is>
      </c>
      <c r="CN203" s="187" t="inlineStr">
        <is>
          <t>2024</t>
        </is>
      </c>
      <c r="CO203" s="187" t="inlineStr">
        <is>
          <t>2023</t>
        </is>
      </c>
      <c r="CP203" s="187" t="inlineStr">
        <is>
          <t>2022</t>
        </is>
      </c>
      <c r="CQ203" s="187" t="inlineStr">
        <is>
          <t>2021</t>
        </is>
      </c>
      <c r="CR203" s="187" t="inlineStr">
        <is>
          <t>2020</t>
        </is>
      </c>
      <c r="CT203" s="186" t="inlineStr">
        <is>
          <t>MOIS</t>
        </is>
      </c>
      <c r="CU203" s="187" t="inlineStr">
        <is>
          <t>2025</t>
        </is>
      </c>
      <c r="CV203" s="187" t="inlineStr">
        <is>
          <t>2024</t>
        </is>
      </c>
      <c r="CW203" s="187" t="inlineStr">
        <is>
          <t>2023</t>
        </is>
      </c>
      <c r="CX203" s="187" t="inlineStr">
        <is>
          <t>2022</t>
        </is>
      </c>
      <c r="CY203" s="187" t="inlineStr">
        <is>
          <t>2021</t>
        </is>
      </c>
      <c r="CZ203" s="187" t="inlineStr">
        <is>
          <t>2020</t>
        </is>
      </c>
      <c r="DB203" s="186" t="inlineStr">
        <is>
          <t>MOIS</t>
        </is>
      </c>
      <c r="DC203" s="187" t="inlineStr">
        <is>
          <t>2025</t>
        </is>
      </c>
      <c r="DD203" s="187" t="inlineStr">
        <is>
          <t>2024</t>
        </is>
      </c>
      <c r="DE203" s="187" t="inlineStr">
        <is>
          <t>2023</t>
        </is>
      </c>
      <c r="DF203" s="187" t="inlineStr">
        <is>
          <t>2022</t>
        </is>
      </c>
      <c r="DG203" s="187" t="inlineStr">
        <is>
          <t>2021</t>
        </is>
      </c>
      <c r="DH203" s="187" t="inlineStr">
        <is>
          <t>2020</t>
        </is>
      </c>
      <c r="DI203" s="187" t="n"/>
      <c r="DJ203" s="186" t="inlineStr">
        <is>
          <t>MOIS</t>
        </is>
      </c>
      <c r="DK203" s="187" t="inlineStr">
        <is>
          <t>2025</t>
        </is>
      </c>
      <c r="DL203" s="187" t="inlineStr">
        <is>
          <t>2024</t>
        </is>
      </c>
      <c r="DM203" s="187" t="inlineStr">
        <is>
          <t>2023</t>
        </is>
      </c>
      <c r="DN203" s="187" t="inlineStr">
        <is>
          <t>2022</t>
        </is>
      </c>
      <c r="DO203" s="187" t="inlineStr">
        <is>
          <t>2021</t>
        </is>
      </c>
      <c r="DP203" s="187" t="inlineStr">
        <is>
          <t>2020</t>
        </is>
      </c>
      <c r="DR203" s="186" t="inlineStr">
        <is>
          <t>MOIS</t>
        </is>
      </c>
      <c r="DS203" s="187" t="inlineStr">
        <is>
          <t>2025</t>
        </is>
      </c>
      <c r="DT203" s="187" t="inlineStr">
        <is>
          <t>2024</t>
        </is>
      </c>
      <c r="DU203" s="187" t="inlineStr">
        <is>
          <t>2023</t>
        </is>
      </c>
      <c r="DV203" s="187" t="inlineStr">
        <is>
          <t>2022</t>
        </is>
      </c>
      <c r="DW203" s="187" t="inlineStr">
        <is>
          <t>2021</t>
        </is>
      </c>
      <c r="DX203" s="187" t="inlineStr">
        <is>
          <t>2020</t>
        </is>
      </c>
      <c r="DZ203" s="186" t="inlineStr">
        <is>
          <t>MOIS</t>
        </is>
      </c>
      <c r="EA203" s="187" t="inlineStr">
        <is>
          <t>2025</t>
        </is>
      </c>
      <c r="EB203" s="187" t="inlineStr">
        <is>
          <t>2024</t>
        </is>
      </c>
      <c r="EC203" s="187" t="inlineStr">
        <is>
          <t>2023</t>
        </is>
      </c>
      <c r="ED203" s="187" t="inlineStr">
        <is>
          <t>2022</t>
        </is>
      </c>
      <c r="EE203" s="187" t="inlineStr">
        <is>
          <t>2021</t>
        </is>
      </c>
      <c r="EF203" s="187" t="inlineStr">
        <is>
          <t>2020</t>
        </is>
      </c>
    </row>
    <row r="204" customFormat="1" s="359">
      <c r="B204" s="357" t="inlineStr">
        <is>
          <t>01</t>
        </is>
      </c>
      <c r="C204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04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04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04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04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04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04" s="361" t="n"/>
      <c r="J204" s="357" t="inlineStr">
        <is>
          <t>01</t>
        </is>
      </c>
      <c r="K204" s="360" t="n">
        <v>15.88</v>
      </c>
      <c r="L204" s="361" t="n">
        <v>15.44</v>
      </c>
      <c r="M204" s="361" t="n">
        <v>15.4</v>
      </c>
      <c r="N204" s="361" t="n">
        <v>13.83</v>
      </c>
      <c r="O204" s="361" t="n">
        <v>6.54</v>
      </c>
      <c r="P204" s="361" t="n">
        <v>12.76</v>
      </c>
      <c r="R204" s="357" t="inlineStr">
        <is>
          <t>01</t>
        </is>
      </c>
      <c r="S204" s="360" t="n">
        <v>15.34</v>
      </c>
      <c r="T204" s="361" t="n">
        <v>15.79</v>
      </c>
      <c r="U204" s="361" t="n">
        <v>14.09</v>
      </c>
      <c r="V204" s="361" t="n">
        <v>14.14</v>
      </c>
      <c r="W204" s="361" t="n">
        <v>6.75</v>
      </c>
      <c r="X204" s="361" t="n">
        <v>12.45</v>
      </c>
      <c r="Z204" s="357" t="inlineStr">
        <is>
          <t>01</t>
        </is>
      </c>
      <c r="AA204" s="360" t="n">
        <v>13.27</v>
      </c>
      <c r="AB204" s="361" t="n">
        <v>13.77</v>
      </c>
      <c r="AC204" s="361" t="n">
        <v>12.66</v>
      </c>
      <c r="AD204" s="361" t="n">
        <v>11.75</v>
      </c>
      <c r="AE204" s="361" t="n">
        <v>6.01</v>
      </c>
      <c r="AF204" s="361" t="n">
        <v>11.41</v>
      </c>
      <c r="AH204" s="357" t="inlineStr">
        <is>
          <t>01</t>
        </is>
      </c>
      <c r="AI204" s="360" t="n"/>
      <c r="AJ204" s="360" t="n">
        <v>16.19</v>
      </c>
      <c r="AK204" s="361" t="n">
        <v>15.57</v>
      </c>
      <c r="AL204" s="361" t="n">
        <v>14.09</v>
      </c>
      <c r="AM204" s="361" t="n">
        <v>3.41</v>
      </c>
      <c r="AN204" s="361" t="n">
        <v>12.33</v>
      </c>
      <c r="AP204" s="357" t="inlineStr">
        <is>
          <t>01</t>
        </is>
      </c>
      <c r="AQ204" s="360" t="n">
        <v>16.44</v>
      </c>
      <c r="AR204" s="360" t="n">
        <v>16.11</v>
      </c>
      <c r="AS204" s="361" t="n">
        <v>15.55</v>
      </c>
      <c r="AT204" s="361" t="n">
        <v>14.66</v>
      </c>
      <c r="AU204" s="361" t="n">
        <v>9.1</v>
      </c>
      <c r="AV204" s="361" t="n"/>
      <c r="AX204" s="357" t="inlineStr">
        <is>
          <t>01</t>
        </is>
      </c>
      <c r="AY204" s="360" t="n"/>
      <c r="AZ204" s="360" t="n">
        <v>18.01</v>
      </c>
      <c r="BA204" s="361" t="n">
        <v>16.74</v>
      </c>
      <c r="BB204" s="361" t="n">
        <v>15.3</v>
      </c>
      <c r="BC204" s="361" t="n"/>
      <c r="BD204" s="361" t="n"/>
      <c r="BE204" s="361" t="n"/>
      <c r="BF204" s="357" t="inlineStr">
        <is>
          <t>01</t>
        </is>
      </c>
      <c r="BG204" s="360" t="n">
        <v>15.93</v>
      </c>
      <c r="BH204" s="361" t="n">
        <v>16.33</v>
      </c>
      <c r="BI204" s="361" t="n">
        <v>16.46</v>
      </c>
      <c r="BJ204" s="361" t="n"/>
      <c r="BK204" s="361" t="n"/>
      <c r="BL204" s="361" t="n"/>
      <c r="BM204" s="361" t="n"/>
      <c r="BN204" s="357" t="inlineStr">
        <is>
          <t>01</t>
        </is>
      </c>
      <c r="BO204" s="360" t="n">
        <v>12.74</v>
      </c>
      <c r="BP204" s="361" t="n">
        <v>13.48</v>
      </c>
      <c r="BQ204" s="361" t="n">
        <v>12.93</v>
      </c>
      <c r="BR204" s="361" t="n">
        <v>11.37</v>
      </c>
      <c r="BS204" s="361" t="n">
        <v>7.11</v>
      </c>
      <c r="BT204" s="361" t="n">
        <v>10.1</v>
      </c>
      <c r="BV204" s="357" t="inlineStr">
        <is>
          <t>01</t>
        </is>
      </c>
      <c r="BW204" s="360" t="n">
        <v>14.71</v>
      </c>
      <c r="BX204" s="361" t="n">
        <v>15.36</v>
      </c>
      <c r="BY204" s="361" t="n">
        <v>15.38</v>
      </c>
      <c r="BZ204" s="361" t="n">
        <v>14.43</v>
      </c>
      <c r="CA204" s="361" t="n">
        <v>2.67</v>
      </c>
      <c r="CB204" s="361" t="n">
        <v>12.52</v>
      </c>
      <c r="CC204" s="361" t="n"/>
      <c r="CD204" s="357" t="inlineStr">
        <is>
          <t>01</t>
        </is>
      </c>
      <c r="CE204" s="360" t="n">
        <v>13.1</v>
      </c>
      <c r="CF204" s="361" t="n">
        <v>14.14</v>
      </c>
      <c r="CG204" s="361" t="n">
        <v>13.71</v>
      </c>
      <c r="CH204" s="361" t="n">
        <v>12.81</v>
      </c>
      <c r="CI204" s="361" t="n">
        <v>0.36</v>
      </c>
      <c r="CJ204" s="361" t="n">
        <v>10.71</v>
      </c>
      <c r="CL204" s="357" t="inlineStr">
        <is>
          <t>01</t>
        </is>
      </c>
      <c r="CM204" s="360" t="n">
        <v>15.93</v>
      </c>
      <c r="CN204" s="361" t="n">
        <v>15.57</v>
      </c>
      <c r="CO204" s="361" t="n">
        <v>16.63</v>
      </c>
      <c r="CP204" s="361" t="n">
        <v>15.48</v>
      </c>
      <c r="CQ204" s="361" t="n">
        <v>5.39</v>
      </c>
      <c r="CR204" s="361" t="n">
        <v>13.31</v>
      </c>
      <c r="CT204" s="357" t="inlineStr">
        <is>
          <t>01</t>
        </is>
      </c>
      <c r="CU204" s="360" t="n">
        <v>13.76</v>
      </c>
      <c r="CV204" s="360" t="n">
        <v>13.37</v>
      </c>
      <c r="CW204" s="361" t="n"/>
      <c r="CX204" s="361" t="n"/>
      <c r="CY204" s="361" t="n"/>
      <c r="CZ204" s="361" t="n"/>
      <c r="DB204" s="357" t="inlineStr">
        <is>
          <t>01</t>
        </is>
      </c>
      <c r="DC204" s="360" t="n">
        <v>16.71</v>
      </c>
      <c r="DD204" s="361" t="n">
        <v>16.79</v>
      </c>
      <c r="DE204" s="361" t="n"/>
      <c r="DF204" s="361" t="n"/>
      <c r="DG204" s="361" t="n"/>
      <c r="DH204" s="361" t="n"/>
      <c r="DI204" s="361" t="n"/>
      <c r="DJ204" s="357" t="inlineStr">
        <is>
          <t>01</t>
        </is>
      </c>
      <c r="DK204" s="360" t="n">
        <v>10.25</v>
      </c>
      <c r="DL204" s="361" t="n">
        <v>10.57</v>
      </c>
      <c r="DM204" s="361" t="n"/>
      <c r="DN204" s="361" t="n"/>
      <c r="DO204" s="361" t="n"/>
      <c r="DP204" s="361" t="n"/>
      <c r="DR204" s="357" t="inlineStr">
        <is>
          <t>01</t>
        </is>
      </c>
      <c r="DS204" s="360" t="n">
        <v>14.76</v>
      </c>
      <c r="DT204" s="361" t="n">
        <v>14.77</v>
      </c>
      <c r="DU204" s="361" t="n"/>
      <c r="DV204" s="361" t="n"/>
      <c r="DW204" s="361" t="n"/>
      <c r="DX204" s="361" t="n"/>
      <c r="DZ204" s="357" t="inlineStr">
        <is>
          <t>01</t>
        </is>
      </c>
      <c r="EA204" s="360" t="n">
        <v>16.22</v>
      </c>
      <c r="EB204" s="361" t="n"/>
      <c r="EC204" s="361" t="n"/>
      <c r="ED204" s="361" t="n"/>
      <c r="EE204" s="361" t="n"/>
      <c r="EF204" s="361" t="n"/>
    </row>
    <row r="205" customFormat="1" s="359">
      <c r="B205" s="357" t="inlineStr">
        <is>
          <t>02</t>
        </is>
      </c>
      <c r="C205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05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05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05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05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05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05" s="361" t="n"/>
      <c r="J205" s="357" t="inlineStr">
        <is>
          <t>02</t>
        </is>
      </c>
      <c r="K205" s="360" t="n"/>
      <c r="L205" s="361" t="n">
        <v>15.37</v>
      </c>
      <c r="M205" s="361" t="n">
        <v>15.99</v>
      </c>
      <c r="N205" s="361" t="n">
        <v>14.52</v>
      </c>
      <c r="O205" s="361" t="n">
        <v>5.41</v>
      </c>
      <c r="P205" s="361" t="n">
        <v>14.12</v>
      </c>
      <c r="R205" s="357" t="inlineStr">
        <is>
          <t>02</t>
        </is>
      </c>
      <c r="S205" s="360" t="n"/>
      <c r="T205" s="361" t="n">
        <v>14.81</v>
      </c>
      <c r="U205" s="361" t="n">
        <v>15.25</v>
      </c>
      <c r="V205" s="361" t="n">
        <v>14.46</v>
      </c>
      <c r="W205" s="361" t="n">
        <v>7.85</v>
      </c>
      <c r="X205" s="361" t="n">
        <v>12.98</v>
      </c>
      <c r="Z205" s="357" t="inlineStr">
        <is>
          <t>02</t>
        </is>
      </c>
      <c r="AA205" s="360" t="n"/>
      <c r="AB205" s="361" t="n">
        <v>13.93</v>
      </c>
      <c r="AC205" s="361" t="n">
        <v>14.35</v>
      </c>
      <c r="AD205" s="361" t="n">
        <v>12.1</v>
      </c>
      <c r="AE205" s="361" t="n">
        <v>5.59</v>
      </c>
      <c r="AF205" s="361" t="n">
        <v>12.44</v>
      </c>
      <c r="AH205" s="357" t="inlineStr">
        <is>
          <t>02</t>
        </is>
      </c>
      <c r="AI205" s="360" t="n"/>
      <c r="AJ205" s="360" t="n">
        <v>16.26</v>
      </c>
      <c r="AK205" s="361" t="n">
        <v>16.31</v>
      </c>
      <c r="AL205" s="361" t="n">
        <v>14.27</v>
      </c>
      <c r="AM205" s="361" t="n">
        <v>5.33</v>
      </c>
      <c r="AN205" s="361" t="n">
        <v>12.32</v>
      </c>
      <c r="AP205" s="357" t="inlineStr">
        <is>
          <t>02</t>
        </is>
      </c>
      <c r="AQ205" s="360" t="n"/>
      <c r="AR205" s="360" t="n">
        <v>15.56</v>
      </c>
      <c r="AS205" s="361" t="n">
        <v>16.36</v>
      </c>
      <c r="AT205" s="361" t="n">
        <v>14.55</v>
      </c>
      <c r="AU205" s="361" t="n">
        <v>8.06</v>
      </c>
      <c r="AV205" s="361" t="n"/>
      <c r="AX205" s="357" t="inlineStr">
        <is>
          <t>02</t>
        </is>
      </c>
      <c r="AY205" s="360" t="n"/>
      <c r="AZ205" s="360" t="n">
        <v>17.56</v>
      </c>
      <c r="BA205" s="361" t="n">
        <v>17.79</v>
      </c>
      <c r="BB205" s="361" t="n">
        <v>16.14</v>
      </c>
      <c r="BC205" s="361" t="n"/>
      <c r="BD205" s="361" t="n"/>
      <c r="BE205" s="361" t="n"/>
      <c r="BF205" s="357" t="inlineStr">
        <is>
          <t>02</t>
        </is>
      </c>
      <c r="BG205" s="360" t="n"/>
      <c r="BH205" s="361" t="n">
        <v>16.08</v>
      </c>
      <c r="BI205" s="361" t="n">
        <v>17.93</v>
      </c>
      <c r="BJ205" s="361" t="n"/>
      <c r="BK205" s="361" t="n"/>
      <c r="BL205" s="361" t="n"/>
      <c r="BM205" s="361" t="n"/>
      <c r="BN205" s="357" t="inlineStr">
        <is>
          <t>02</t>
        </is>
      </c>
      <c r="BO205" s="360" t="n"/>
      <c r="BP205" s="361" t="n">
        <v>13.67</v>
      </c>
      <c r="BQ205" s="361" t="n">
        <v>15.1</v>
      </c>
      <c r="BR205" s="361" t="n">
        <v>12.68</v>
      </c>
      <c r="BS205" s="361" t="n">
        <v>9.140000000000001</v>
      </c>
      <c r="BT205" s="361" t="n">
        <v>11.96</v>
      </c>
      <c r="BV205" s="357" t="inlineStr">
        <is>
          <t>02</t>
        </is>
      </c>
      <c r="BW205" s="360" t="n"/>
      <c r="BX205" s="361" t="n">
        <v>15.97</v>
      </c>
      <c r="BY205" s="361" t="n">
        <v>17.06</v>
      </c>
      <c r="BZ205" s="361" t="n">
        <v>15.97</v>
      </c>
      <c r="CA205" s="361" t="n">
        <v>18.87</v>
      </c>
      <c r="CB205" s="361" t="n">
        <v>13.66</v>
      </c>
      <c r="CC205" s="361" t="n"/>
      <c r="CD205" s="357" t="inlineStr">
        <is>
          <t>02</t>
        </is>
      </c>
      <c r="CE205" s="360" t="n"/>
      <c r="CF205" s="361" t="n">
        <v>14.47</v>
      </c>
      <c r="CG205" s="361" t="n">
        <v>15.07</v>
      </c>
      <c r="CH205" s="361" t="n">
        <v>14.31</v>
      </c>
      <c r="CI205" s="361" t="n">
        <v>13.9</v>
      </c>
      <c r="CJ205" s="361" t="n">
        <v>11.66</v>
      </c>
      <c r="CL205" s="357" t="inlineStr">
        <is>
          <t>02</t>
        </is>
      </c>
      <c r="CM205" s="360" t="n"/>
      <c r="CN205" s="361" t="n">
        <v>15.17</v>
      </c>
      <c r="CO205" s="361" t="n">
        <v>17.13</v>
      </c>
      <c r="CP205" s="361" t="n">
        <v>16.05</v>
      </c>
      <c r="CQ205" s="361" t="n">
        <v>7.63</v>
      </c>
      <c r="CR205" s="361" t="n">
        <v>14.06</v>
      </c>
      <c r="CT205" s="357" t="inlineStr">
        <is>
          <t>02</t>
        </is>
      </c>
      <c r="CU205" s="360" t="n"/>
      <c r="CV205" s="360" t="n">
        <v>13.41</v>
      </c>
      <c r="CW205" s="361" t="n"/>
      <c r="CX205" s="361" t="n"/>
      <c r="CY205" s="361" t="n"/>
      <c r="CZ205" s="361" t="n"/>
      <c r="DB205" s="357" t="inlineStr">
        <is>
          <t>02</t>
        </is>
      </c>
      <c r="DC205" s="360" t="n"/>
      <c r="DD205" s="361" t="n">
        <v>16.52</v>
      </c>
      <c r="DE205" s="361" t="n"/>
      <c r="DF205" s="361" t="n"/>
      <c r="DG205" s="361" t="n"/>
      <c r="DH205" s="361" t="n"/>
      <c r="DI205" s="361" t="n"/>
      <c r="DJ205" s="357" t="inlineStr">
        <is>
          <t>02</t>
        </is>
      </c>
      <c r="DK205" s="360" t="n"/>
      <c r="DL205" s="361" t="n">
        <v>10.33</v>
      </c>
      <c r="DM205" s="361" t="n"/>
      <c r="DN205" s="361" t="n"/>
      <c r="DO205" s="361" t="n"/>
      <c r="DP205" s="361" t="n"/>
      <c r="DR205" s="357" t="inlineStr">
        <is>
          <t>02</t>
        </is>
      </c>
      <c r="DS205" s="360" t="n"/>
      <c r="DT205" s="361" t="n">
        <v>14.78</v>
      </c>
      <c r="DU205" s="361" t="n"/>
      <c r="DV205" s="361" t="n"/>
      <c r="DW205" s="361" t="n"/>
      <c r="DX205" s="361" t="n"/>
      <c r="DZ205" s="357" t="inlineStr">
        <is>
          <t>02</t>
        </is>
      </c>
      <c r="EA205" s="360" t="n"/>
      <c r="EB205" s="361" t="n"/>
      <c r="EC205" s="361" t="n"/>
      <c r="ED205" s="361" t="n"/>
      <c r="EE205" s="361" t="n"/>
      <c r="EF205" s="361" t="n"/>
    </row>
    <row r="206" customFormat="1" s="359">
      <c r="B206" s="357" t="inlineStr">
        <is>
          <t>03</t>
        </is>
      </c>
      <c r="C206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06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06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06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06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06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06" s="361" t="n"/>
      <c r="J206" s="357" t="inlineStr">
        <is>
          <t>03</t>
        </is>
      </c>
      <c r="K206" s="360" t="n"/>
      <c r="L206" s="361" t="n">
        <v>15.59</v>
      </c>
      <c r="M206" s="361" t="n">
        <v>15.69</v>
      </c>
      <c r="N206" s="361" t="n">
        <v>13.9</v>
      </c>
      <c r="O206" s="361" t="n">
        <v>6.92</v>
      </c>
      <c r="P206" s="361" t="n">
        <v>12.79</v>
      </c>
      <c r="R206" s="357" t="inlineStr">
        <is>
          <t>03</t>
        </is>
      </c>
      <c r="S206" s="360" t="n"/>
      <c r="T206" s="361" t="n">
        <v>15.7</v>
      </c>
      <c r="U206" s="361" t="n">
        <v>14.83</v>
      </c>
      <c r="V206" s="361" t="n">
        <v>13.6</v>
      </c>
      <c r="W206" s="361" t="n">
        <v>8.57</v>
      </c>
      <c r="X206" s="361" t="n">
        <v>12.48</v>
      </c>
      <c r="Z206" s="357" t="inlineStr">
        <is>
          <t>03</t>
        </is>
      </c>
      <c r="AA206" s="360" t="n"/>
      <c r="AB206" s="361" t="n">
        <v>14.44</v>
      </c>
      <c r="AC206" s="361" t="n">
        <v>13.67</v>
      </c>
      <c r="AD206" s="361" t="n">
        <v>12.12</v>
      </c>
      <c r="AE206" s="361" t="n">
        <v>6.43</v>
      </c>
      <c r="AF206" s="361" t="n">
        <v>10.99</v>
      </c>
      <c r="AH206" s="357" t="inlineStr">
        <is>
          <t>03</t>
        </is>
      </c>
      <c r="AI206" s="360" t="n"/>
      <c r="AJ206" s="360" t="n">
        <v>16.52</v>
      </c>
      <c r="AK206" s="361" t="n">
        <v>16.3</v>
      </c>
      <c r="AL206" s="361" t="n">
        <v>14.91</v>
      </c>
      <c r="AM206" s="361" t="n">
        <v>3.98</v>
      </c>
      <c r="AN206" s="361" t="n">
        <v>13.08</v>
      </c>
      <c r="AP206" s="357" t="inlineStr">
        <is>
          <t>03</t>
        </is>
      </c>
      <c r="AQ206" s="360" t="n"/>
      <c r="AR206" s="360" t="n">
        <v>16.34</v>
      </c>
      <c r="AS206" s="361" t="n">
        <v>15.69</v>
      </c>
      <c r="AT206" s="361" t="n">
        <v>13.97</v>
      </c>
      <c r="AU206" s="361" t="n">
        <v>6.51</v>
      </c>
      <c r="AV206" s="361" t="n"/>
      <c r="AX206" s="357" t="inlineStr">
        <is>
          <t>03</t>
        </is>
      </c>
      <c r="AY206" s="360" t="n"/>
      <c r="AZ206" s="360" t="n">
        <v>18.23</v>
      </c>
      <c r="BA206" s="361" t="n">
        <v>17.61</v>
      </c>
      <c r="BB206" s="361" t="n">
        <v>15.33</v>
      </c>
      <c r="BC206" s="361" t="n"/>
      <c r="BD206" s="361" t="n"/>
      <c r="BE206" s="361" t="n"/>
      <c r="BF206" s="357" t="inlineStr">
        <is>
          <t>03</t>
        </is>
      </c>
      <c r="BG206" s="360" t="n"/>
      <c r="BH206" s="361" t="n">
        <v>16.69</v>
      </c>
      <c r="BI206" s="361" t="n">
        <v>16.68</v>
      </c>
      <c r="BJ206" s="361" t="n"/>
      <c r="BK206" s="361" t="n"/>
      <c r="BL206" s="361" t="n"/>
      <c r="BM206" s="361" t="n"/>
      <c r="BN206" s="357" t="inlineStr">
        <is>
          <t>03</t>
        </is>
      </c>
      <c r="BO206" s="360" t="n"/>
      <c r="BP206" s="361" t="n">
        <v>14.08</v>
      </c>
      <c r="BQ206" s="361" t="n">
        <v>13.45</v>
      </c>
      <c r="BR206" s="361" t="n">
        <v>11.76</v>
      </c>
      <c r="BS206" s="361" t="n">
        <v>8.17</v>
      </c>
      <c r="BT206" s="361" t="n">
        <v>10.09</v>
      </c>
      <c r="BV206" s="357" t="inlineStr">
        <is>
          <t>03</t>
        </is>
      </c>
      <c r="BW206" s="360" t="n"/>
      <c r="BX206" s="361" t="n">
        <v>15.62</v>
      </c>
      <c r="BY206" s="361" t="n">
        <v>15.95</v>
      </c>
      <c r="BZ206" s="361" t="n">
        <v>15.15</v>
      </c>
      <c r="CA206" s="361" t="n">
        <v>10.04</v>
      </c>
      <c r="CB206" s="361" t="n">
        <v>12.32</v>
      </c>
      <c r="CC206" s="361" t="n"/>
      <c r="CD206" s="357" t="inlineStr">
        <is>
          <t>03</t>
        </is>
      </c>
      <c r="CE206" s="360" t="n"/>
      <c r="CF206" s="361" t="n">
        <v>14.15</v>
      </c>
      <c r="CG206" s="361" t="n">
        <v>14.22</v>
      </c>
      <c r="CH206" s="361" t="n">
        <v>13.3</v>
      </c>
      <c r="CI206" s="361" t="n">
        <v>11.24</v>
      </c>
      <c r="CJ206" s="361" t="n">
        <v>10.52</v>
      </c>
      <c r="CL206" s="357" t="inlineStr">
        <is>
          <t>03</t>
        </is>
      </c>
      <c r="CM206" s="360" t="n"/>
      <c r="CN206" s="361" t="n">
        <v>15.87</v>
      </c>
      <c r="CO206" s="361" t="n">
        <v>16.98</v>
      </c>
      <c r="CP206" s="361" t="n">
        <v>15.49</v>
      </c>
      <c r="CQ206" s="361" t="n">
        <v>7.6</v>
      </c>
      <c r="CR206" s="361" t="n">
        <v>13.22</v>
      </c>
      <c r="CT206" s="357" t="inlineStr">
        <is>
          <t>03</t>
        </is>
      </c>
      <c r="CU206" s="360" t="n"/>
      <c r="CV206" s="360" t="n">
        <v>14</v>
      </c>
      <c r="CW206" s="361" t="n"/>
      <c r="CX206" s="361" t="n"/>
      <c r="CY206" s="361" t="n"/>
      <c r="CZ206" s="361" t="n"/>
      <c r="DB206" s="357" t="inlineStr">
        <is>
          <t>03</t>
        </is>
      </c>
      <c r="DC206" s="360" t="n"/>
      <c r="DD206" s="361" t="n">
        <v>16.83</v>
      </c>
      <c r="DE206" s="361" t="n"/>
      <c r="DF206" s="361" t="n"/>
      <c r="DG206" s="361" t="n"/>
      <c r="DH206" s="361" t="n"/>
      <c r="DI206" s="361" t="n"/>
      <c r="DJ206" s="357" t="inlineStr">
        <is>
          <t>03</t>
        </is>
      </c>
      <c r="DK206" s="360" t="n"/>
      <c r="DL206" s="361" t="n">
        <v>10.83</v>
      </c>
      <c r="DM206" s="361" t="n"/>
      <c r="DN206" s="361" t="n"/>
      <c r="DO206" s="361" t="n"/>
      <c r="DP206" s="361" t="n"/>
      <c r="DR206" s="357" t="inlineStr">
        <is>
          <t>03</t>
        </is>
      </c>
      <c r="DS206" s="360" t="n"/>
      <c r="DT206" s="361" t="n">
        <v>15.43</v>
      </c>
      <c r="DU206" s="361" t="n"/>
      <c r="DV206" s="361" t="n"/>
      <c r="DW206" s="361" t="n"/>
      <c r="DX206" s="361" t="n"/>
      <c r="DZ206" s="357" t="inlineStr">
        <is>
          <t>03</t>
        </is>
      </c>
      <c r="EA206" s="360" t="n"/>
      <c r="EB206" s="361" t="n"/>
      <c r="EC206" s="361" t="n"/>
      <c r="ED206" s="361" t="n"/>
      <c r="EE206" s="361" t="n"/>
      <c r="EF206" s="361" t="n"/>
    </row>
    <row r="207" customFormat="1" s="359">
      <c r="B207" s="357" t="inlineStr">
        <is>
          <t>04</t>
        </is>
      </c>
      <c r="C207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07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07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07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07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07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07" s="361" t="n"/>
      <c r="J207" s="357" t="inlineStr">
        <is>
          <t>04</t>
        </is>
      </c>
      <c r="K207" s="360" t="n"/>
      <c r="L207" s="361" t="n">
        <v>15.15</v>
      </c>
      <c r="M207" s="361" t="n">
        <v>16.96</v>
      </c>
      <c r="N207" s="361" t="n">
        <v>15.46</v>
      </c>
      <c r="O207" s="361" t="n">
        <v>4.66</v>
      </c>
      <c r="P207" s="361" t="n">
        <v>1e-06</v>
      </c>
      <c r="R207" s="357" t="inlineStr">
        <is>
          <t>04</t>
        </is>
      </c>
      <c r="S207" s="360" t="n"/>
      <c r="T207" s="361" t="n">
        <v>16.02</v>
      </c>
      <c r="U207" s="361" t="n">
        <v>16.74</v>
      </c>
      <c r="V207" s="361" t="n">
        <v>15.66</v>
      </c>
      <c r="W207" s="361" t="n">
        <v>7</v>
      </c>
      <c r="X207" s="361" t="n">
        <v>0</v>
      </c>
      <c r="Z207" s="357" t="inlineStr">
        <is>
          <t>04</t>
        </is>
      </c>
      <c r="AA207" s="360" t="n"/>
      <c r="AB207" s="361" t="n">
        <v>14.03</v>
      </c>
      <c r="AC207" s="361" t="n">
        <v>15.4</v>
      </c>
      <c r="AD207" s="361" t="n">
        <v>13.61</v>
      </c>
      <c r="AE207" s="361" t="n">
        <v>5</v>
      </c>
      <c r="AF207" s="361" t="n">
        <v>0</v>
      </c>
      <c r="AH207" s="357" t="inlineStr">
        <is>
          <t>04</t>
        </is>
      </c>
      <c r="AI207" s="360" t="n"/>
      <c r="AJ207" s="360" t="n">
        <v>16.43</v>
      </c>
      <c r="AK207" s="361" t="n">
        <v>17.25</v>
      </c>
      <c r="AL207" s="361" t="n">
        <v>15.95</v>
      </c>
      <c r="AM207" s="361" t="n">
        <v>3.94</v>
      </c>
      <c r="AN207" s="361" t="n">
        <v>0</v>
      </c>
      <c r="AP207" s="357" t="inlineStr">
        <is>
          <t>04</t>
        </is>
      </c>
      <c r="AQ207" s="360" t="n"/>
      <c r="AR207" s="360" t="n">
        <v>15.76</v>
      </c>
      <c r="AS207" s="361" t="n">
        <v>16.66</v>
      </c>
      <c r="AT207" s="361" t="n">
        <v>15.47</v>
      </c>
      <c r="AU207" s="361" t="n">
        <v>7.34</v>
      </c>
      <c r="AV207" s="361" t="n"/>
      <c r="AX207" s="357" t="inlineStr">
        <is>
          <t>04</t>
        </is>
      </c>
      <c r="AY207" s="360" t="n"/>
      <c r="AZ207" s="360" t="n">
        <v>18.71</v>
      </c>
      <c r="BA207" s="361" t="n">
        <v>19.24</v>
      </c>
      <c r="BB207" s="361" t="n">
        <v>16.65</v>
      </c>
      <c r="BC207" s="361" t="n"/>
      <c r="BD207" s="361" t="n"/>
      <c r="BE207" s="361" t="n"/>
      <c r="BF207" s="357" t="inlineStr">
        <is>
          <t>04</t>
        </is>
      </c>
      <c r="BG207" s="360" t="n"/>
      <c r="BH207" s="361" t="n">
        <v>16.86</v>
      </c>
      <c r="BI207" s="361" t="n">
        <v>19.33</v>
      </c>
      <c r="BJ207" s="361" t="n"/>
      <c r="BK207" s="361" t="n"/>
      <c r="BL207" s="361" t="n"/>
      <c r="BM207" s="361" t="n"/>
      <c r="BN207" s="357" t="inlineStr">
        <is>
          <t>04</t>
        </is>
      </c>
      <c r="BO207" s="360" t="n"/>
      <c r="BP207" s="361" t="n">
        <v>13.91</v>
      </c>
      <c r="BQ207" s="361" t="n">
        <v>16.09</v>
      </c>
      <c r="BR207" s="361" t="n">
        <v>13.6</v>
      </c>
      <c r="BS207" s="361" t="n">
        <v>8.460000000000001</v>
      </c>
      <c r="BT207" s="361" t="n">
        <v>0</v>
      </c>
      <c r="BV207" s="357" t="inlineStr">
        <is>
          <t>04</t>
        </is>
      </c>
      <c r="BW207" s="360" t="n"/>
      <c r="BX207" s="361" t="n">
        <v>16.57</v>
      </c>
      <c r="BY207" s="361" t="n">
        <v>18.32</v>
      </c>
      <c r="BZ207" s="361" t="n">
        <v>17.4</v>
      </c>
      <c r="CA207" s="361" t="n">
        <v>10.42</v>
      </c>
      <c r="CB207" s="361" t="n">
        <v>0</v>
      </c>
      <c r="CC207" s="361" t="n"/>
      <c r="CD207" s="357" t="inlineStr">
        <is>
          <t>04</t>
        </is>
      </c>
      <c r="CE207" s="360" t="n"/>
      <c r="CF207" s="361" t="n">
        <v>14.93</v>
      </c>
      <c r="CG207" s="361" t="n">
        <v>15.74</v>
      </c>
      <c r="CH207" s="361" t="n">
        <v>14.51</v>
      </c>
      <c r="CI207" s="361" t="n">
        <v>5.91</v>
      </c>
      <c r="CJ207" s="361" t="n">
        <v>0.91</v>
      </c>
      <c r="CL207" s="357" t="inlineStr">
        <is>
          <t>04</t>
        </is>
      </c>
      <c r="CM207" s="360" t="n"/>
      <c r="CN207" s="361" t="n">
        <v>15.71</v>
      </c>
      <c r="CO207" s="361" t="n">
        <v>17.63</v>
      </c>
      <c r="CP207" s="361" t="n">
        <v>16.65</v>
      </c>
      <c r="CQ207" s="361" t="n">
        <v>7.05</v>
      </c>
      <c r="CR207" s="361" t="n">
        <v>0</v>
      </c>
      <c r="CT207" s="357" t="inlineStr">
        <is>
          <t>04</t>
        </is>
      </c>
      <c r="CU207" s="360" t="n"/>
      <c r="CV207" s="360" t="n">
        <v>13.42</v>
      </c>
      <c r="CW207" s="361" t="n"/>
      <c r="CX207" s="361" t="n"/>
      <c r="CY207" s="361" t="n"/>
      <c r="CZ207" s="361" t="n"/>
      <c r="DB207" s="357" t="inlineStr">
        <is>
          <t>04</t>
        </is>
      </c>
      <c r="DC207" s="360" t="n"/>
      <c r="DD207" s="361" t="n">
        <v>16.57</v>
      </c>
      <c r="DE207" s="361" t="n"/>
      <c r="DF207" s="361" t="n"/>
      <c r="DG207" s="361" t="n"/>
      <c r="DH207" s="361" t="n"/>
      <c r="DI207" s="361" t="n"/>
      <c r="DJ207" s="357" t="inlineStr">
        <is>
          <t>04</t>
        </is>
      </c>
      <c r="DK207" s="360" t="n"/>
      <c r="DL207" s="361" t="n">
        <v>10.42</v>
      </c>
      <c r="DM207" s="361" t="n"/>
      <c r="DN207" s="361" t="n"/>
      <c r="DO207" s="361" t="n"/>
      <c r="DP207" s="361" t="n"/>
      <c r="DR207" s="357" t="inlineStr">
        <is>
          <t>04</t>
        </is>
      </c>
      <c r="DS207" s="360" t="n"/>
      <c r="DT207" s="361" t="n">
        <v>14.65</v>
      </c>
      <c r="DU207" s="361" t="n"/>
      <c r="DV207" s="361" t="n"/>
      <c r="DW207" s="361" t="n"/>
      <c r="DX207" s="361" t="n"/>
      <c r="DZ207" s="357" t="inlineStr">
        <is>
          <t>04</t>
        </is>
      </c>
      <c r="EA207" s="360" t="n"/>
      <c r="EB207" s="361" t="n"/>
      <c r="EC207" s="361" t="n"/>
      <c r="ED207" s="361" t="n"/>
      <c r="EE207" s="361" t="n"/>
      <c r="EF207" s="361" t="n"/>
    </row>
    <row r="208" customFormat="1" s="359">
      <c r="B208" s="357" t="inlineStr">
        <is>
          <t>05</t>
        </is>
      </c>
      <c r="C208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08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08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08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08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08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08" s="361" t="n"/>
      <c r="J208" s="357" t="inlineStr">
        <is>
          <t>05</t>
        </is>
      </c>
      <c r="K208" s="360" t="n"/>
      <c r="L208" s="361" t="n">
        <v>15.77</v>
      </c>
      <c r="M208" s="361" t="n">
        <v>16.15</v>
      </c>
      <c r="N208" s="361" t="n">
        <v>14.63</v>
      </c>
      <c r="O208" s="361" t="n">
        <v>12.9</v>
      </c>
      <c r="P208" s="361" t="n">
        <v>1e-06</v>
      </c>
      <c r="R208" s="357" t="inlineStr">
        <is>
          <t>05</t>
        </is>
      </c>
      <c r="S208" s="360" t="n"/>
      <c r="T208" s="361" t="n">
        <v>16.3</v>
      </c>
      <c r="U208" s="361" t="n">
        <v>16.21</v>
      </c>
      <c r="V208" s="361" t="n">
        <v>14.56</v>
      </c>
      <c r="W208" s="361" t="n">
        <v>14.02</v>
      </c>
      <c r="X208" s="361" t="n">
        <v>0</v>
      </c>
      <c r="Z208" s="357" t="inlineStr">
        <is>
          <t>05</t>
        </is>
      </c>
      <c r="AA208" s="360" t="n"/>
      <c r="AB208" s="361" t="n">
        <v>13.44</v>
      </c>
      <c r="AC208" s="361" t="n">
        <v>13.56</v>
      </c>
      <c r="AD208" s="361" t="n">
        <v>12.54</v>
      </c>
      <c r="AE208" s="361" t="n">
        <v>10.37</v>
      </c>
      <c r="AF208" s="361" t="n">
        <v>0</v>
      </c>
      <c r="AH208" s="357" t="inlineStr">
        <is>
          <t>05</t>
        </is>
      </c>
      <c r="AI208" s="360" t="n"/>
      <c r="AJ208" s="360" t="n">
        <v>16.81</v>
      </c>
      <c r="AK208" s="361" t="n">
        <v>16.55</v>
      </c>
      <c r="AL208" s="361" t="n">
        <v>15.04</v>
      </c>
      <c r="AM208" s="361" t="n">
        <v>12.82</v>
      </c>
      <c r="AN208" s="361" t="n">
        <v>0</v>
      </c>
      <c r="AP208" s="357" t="inlineStr">
        <is>
          <t>05</t>
        </is>
      </c>
      <c r="AQ208" s="360" t="n"/>
      <c r="AR208" s="360" t="n">
        <v>15.87</v>
      </c>
      <c r="AS208" s="361" t="n">
        <v>16.36</v>
      </c>
      <c r="AT208" s="361" t="n">
        <v>14.85</v>
      </c>
      <c r="AU208" s="361" t="n">
        <v>14.05</v>
      </c>
      <c r="AV208" s="361" t="n"/>
      <c r="AX208" s="357" t="inlineStr">
        <is>
          <t>05</t>
        </is>
      </c>
      <c r="AY208" s="360" t="n"/>
      <c r="AZ208" s="360" t="n">
        <v>18.13</v>
      </c>
      <c r="BA208" s="361" t="n">
        <v>19.36</v>
      </c>
      <c r="BB208" s="361" t="n">
        <v>17.2</v>
      </c>
      <c r="BC208" s="361" t="n"/>
      <c r="BD208" s="361" t="n"/>
      <c r="BE208" s="361" t="n"/>
      <c r="BF208" s="357" t="inlineStr">
        <is>
          <t>05</t>
        </is>
      </c>
      <c r="BG208" s="360" t="n"/>
      <c r="BH208" s="361" t="n">
        <v>17.38</v>
      </c>
      <c r="BI208" s="361" t="n">
        <v>18.63</v>
      </c>
      <c r="BJ208" s="361" t="n"/>
      <c r="BK208" s="361" t="n"/>
      <c r="BL208" s="361" t="n"/>
      <c r="BM208" s="361" t="n"/>
      <c r="BN208" s="357" t="inlineStr">
        <is>
          <t>05</t>
        </is>
      </c>
      <c r="BO208" s="360" t="n"/>
      <c r="BP208" s="361" t="n">
        <v>13.93</v>
      </c>
      <c r="BQ208" s="361" t="n">
        <v>14.69</v>
      </c>
      <c r="BR208" s="361" t="n">
        <v>13</v>
      </c>
      <c r="BS208" s="361" t="n">
        <v>13.4</v>
      </c>
      <c r="BT208" s="361" t="n">
        <v>0</v>
      </c>
      <c r="BV208" s="357" t="inlineStr">
        <is>
          <t>05</t>
        </is>
      </c>
      <c r="BW208" s="360" t="n"/>
      <c r="BX208" s="361" t="n">
        <v>16.86</v>
      </c>
      <c r="BY208" s="361" t="n">
        <v>18.32</v>
      </c>
      <c r="BZ208" s="361" t="n">
        <v>17.09</v>
      </c>
      <c r="CA208" s="361" t="n">
        <v>17.11</v>
      </c>
      <c r="CB208" s="361" t="n">
        <v>0.68</v>
      </c>
      <c r="CC208" s="361" t="n"/>
      <c r="CD208" s="357" t="inlineStr">
        <is>
          <t>05</t>
        </is>
      </c>
      <c r="CE208" s="360" t="n"/>
      <c r="CF208" s="361" t="n">
        <v>14.81</v>
      </c>
      <c r="CG208" s="361" t="n">
        <v>16.14</v>
      </c>
      <c r="CH208" s="361" t="n">
        <v>14.36</v>
      </c>
      <c r="CI208" s="361" t="n">
        <v>15.26</v>
      </c>
      <c r="CJ208" s="361" t="n">
        <v>0.6899999999999999</v>
      </c>
      <c r="CL208" s="357" t="inlineStr">
        <is>
          <t>05</t>
        </is>
      </c>
      <c r="CM208" s="360" t="n"/>
      <c r="CN208" s="361" t="n">
        <v>15.74</v>
      </c>
      <c r="CO208" s="361" t="n">
        <v>17.48</v>
      </c>
      <c r="CP208" s="361" t="n">
        <v>16.16</v>
      </c>
      <c r="CQ208" s="361" t="n">
        <v>15.6</v>
      </c>
      <c r="CR208" s="361" t="n">
        <v>0</v>
      </c>
      <c r="CT208" s="357" t="inlineStr">
        <is>
          <t>05</t>
        </is>
      </c>
      <c r="CU208" s="360" t="n"/>
      <c r="CV208" s="360" t="n">
        <v>13.64</v>
      </c>
      <c r="CW208" s="361" t="n"/>
      <c r="CX208" s="361" t="n"/>
      <c r="CY208" s="361" t="n"/>
      <c r="CZ208" s="361" t="n"/>
      <c r="DB208" s="357" t="inlineStr">
        <is>
          <t>05</t>
        </is>
      </c>
      <c r="DC208" s="360" t="n"/>
      <c r="DD208" s="361" t="n">
        <v>16.72</v>
      </c>
      <c r="DE208" s="361" t="n"/>
      <c r="DF208" s="361" t="n"/>
      <c r="DG208" s="361" t="n"/>
      <c r="DH208" s="361" t="n"/>
      <c r="DI208" s="361" t="n"/>
      <c r="DJ208" s="357" t="inlineStr">
        <is>
          <t>05</t>
        </is>
      </c>
      <c r="DK208" s="360" t="n"/>
      <c r="DL208" s="361" t="n">
        <v>10.44</v>
      </c>
      <c r="DM208" s="361" t="n"/>
      <c r="DN208" s="361" t="n"/>
      <c r="DO208" s="361" t="n"/>
      <c r="DP208" s="361" t="n"/>
      <c r="DR208" s="357" t="inlineStr">
        <is>
          <t>05</t>
        </is>
      </c>
      <c r="DS208" s="360" t="n"/>
      <c r="DT208" s="361" t="n">
        <v>14.77</v>
      </c>
      <c r="DU208" s="361" t="n"/>
      <c r="DV208" s="361" t="n"/>
      <c r="DW208" s="361" t="n"/>
      <c r="DX208" s="361" t="n"/>
      <c r="DZ208" s="357" t="inlineStr">
        <is>
          <t>05</t>
        </is>
      </c>
      <c r="EA208" s="360" t="n"/>
      <c r="EB208" s="361" t="n"/>
      <c r="EC208" s="361" t="n"/>
      <c r="ED208" s="361" t="n"/>
      <c r="EE208" s="361" t="n"/>
      <c r="EF208" s="361" t="n"/>
    </row>
    <row r="209" customFormat="1" s="359">
      <c r="B209" s="357" t="inlineStr">
        <is>
          <t>06</t>
        </is>
      </c>
      <c r="C209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09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09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09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09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09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09" s="361" t="n"/>
      <c r="J209" s="357" t="inlineStr">
        <is>
          <t>06</t>
        </is>
      </c>
      <c r="K209" s="360" t="n"/>
      <c r="L209" s="361" t="n">
        <v>15.63</v>
      </c>
      <c r="M209" s="361" t="n">
        <v>15.59</v>
      </c>
      <c r="N209" s="361" t="n">
        <v>14.7</v>
      </c>
      <c r="O209" s="361" t="n">
        <v>13.48</v>
      </c>
      <c r="P209" s="361" t="n">
        <v>12.94</v>
      </c>
      <c r="R209" s="357" t="inlineStr">
        <is>
          <t>06</t>
        </is>
      </c>
      <c r="S209" s="360" t="n"/>
      <c r="T209" s="361" t="n">
        <v>15.27</v>
      </c>
      <c r="U209" s="361" t="n">
        <v>15.71</v>
      </c>
      <c r="V209" s="361" t="n">
        <v>14.59</v>
      </c>
      <c r="W209" s="361" t="n">
        <v>13.85</v>
      </c>
      <c r="X209" s="361" t="n">
        <v>13.22</v>
      </c>
      <c r="Z209" s="357" t="inlineStr">
        <is>
          <t>06</t>
        </is>
      </c>
      <c r="AA209" s="360" t="n"/>
      <c r="AB209" s="361" t="n">
        <v>13.6</v>
      </c>
      <c r="AC209" s="361" t="n">
        <v>14.08</v>
      </c>
      <c r="AD209" s="361" t="n">
        <v>12.41</v>
      </c>
      <c r="AE209" s="361" t="n">
        <v>12</v>
      </c>
      <c r="AF209" s="361" t="n">
        <v>11.26</v>
      </c>
      <c r="AH209" s="357" t="inlineStr">
        <is>
          <t>06</t>
        </is>
      </c>
      <c r="AI209" s="360" t="n"/>
      <c r="AJ209" s="360" t="n">
        <v>16.13</v>
      </c>
      <c r="AK209" s="361" t="n">
        <v>15.99</v>
      </c>
      <c r="AL209" s="361" t="n">
        <v>14.96</v>
      </c>
      <c r="AM209" s="361" t="n">
        <v>13.99</v>
      </c>
      <c r="AN209" s="361" t="n">
        <v>13.12</v>
      </c>
      <c r="AP209" s="357" t="inlineStr">
        <is>
          <t>06</t>
        </is>
      </c>
      <c r="AQ209" s="360" t="n"/>
      <c r="AR209" s="360" t="n">
        <v>15.91</v>
      </c>
      <c r="AS209" s="361" t="n">
        <v>15.64</v>
      </c>
      <c r="AT209" s="361" t="n">
        <v>14.52</v>
      </c>
      <c r="AU209" s="361" t="n">
        <v>14.57</v>
      </c>
      <c r="AV209" s="361" t="n"/>
      <c r="AX209" s="357" t="inlineStr">
        <is>
          <t>06</t>
        </is>
      </c>
      <c r="AY209" s="360" t="n"/>
      <c r="AZ209" s="360" t="n">
        <v>17.56</v>
      </c>
      <c r="BA209" s="361" t="n">
        <v>18.06</v>
      </c>
      <c r="BB209" s="361" t="n">
        <v>16.81</v>
      </c>
      <c r="BC209" s="361" t="n"/>
      <c r="BD209" s="361" t="n"/>
      <c r="BE209" s="361" t="n"/>
      <c r="BF209" s="357" t="inlineStr">
        <is>
          <t>06</t>
        </is>
      </c>
      <c r="BG209" s="360" t="n"/>
      <c r="BH209" s="361" t="n">
        <v>16.33</v>
      </c>
      <c r="BI209" s="361" t="n">
        <v>17.13</v>
      </c>
      <c r="BJ209" s="361" t="n"/>
      <c r="BK209" s="361" t="n"/>
      <c r="BL209" s="361" t="n"/>
      <c r="BM209" s="361" t="n"/>
      <c r="BN209" s="357" t="inlineStr">
        <is>
          <t>06</t>
        </is>
      </c>
      <c r="BO209" s="360" t="n"/>
      <c r="BP209" s="361" t="n">
        <v>14.49</v>
      </c>
      <c r="BQ209" s="361" t="n">
        <v>14.95</v>
      </c>
      <c r="BR209" s="361" t="n">
        <v>14.04</v>
      </c>
      <c r="BS209" s="361" t="n">
        <v>14.19</v>
      </c>
      <c r="BT209" s="361" t="n">
        <v>13.21</v>
      </c>
      <c r="BV209" s="357" t="inlineStr">
        <is>
          <t>06</t>
        </is>
      </c>
      <c r="BW209" s="360" t="n"/>
      <c r="BX209" s="361" t="n">
        <v>15.72</v>
      </c>
      <c r="BY209" s="361" t="n">
        <v>16.88</v>
      </c>
      <c r="BZ209" s="361" t="n">
        <v>16.13</v>
      </c>
      <c r="CA209" s="361" t="n">
        <v>15.83</v>
      </c>
      <c r="CB209" s="361" t="n">
        <v>13.96</v>
      </c>
      <c r="CC209" s="361" t="n"/>
      <c r="CD209" s="357" t="inlineStr">
        <is>
          <t>06</t>
        </is>
      </c>
      <c r="CE209" s="360" t="n"/>
      <c r="CF209" s="361" t="n">
        <v>14.37</v>
      </c>
      <c r="CG209" s="361" t="n">
        <v>14.92</v>
      </c>
      <c r="CH209" s="361" t="n">
        <v>13.9</v>
      </c>
      <c r="CI209" s="361" t="n">
        <v>13.95</v>
      </c>
      <c r="CJ209" s="361" t="n">
        <v>12.78</v>
      </c>
      <c r="CL209" s="357" t="inlineStr">
        <is>
          <t>06</t>
        </is>
      </c>
      <c r="CM209" s="360" t="n"/>
      <c r="CN209" s="361" t="n">
        <v>15.96</v>
      </c>
      <c r="CO209" s="361" t="n">
        <v>17.16</v>
      </c>
      <c r="CP209" s="361" t="n">
        <v>16</v>
      </c>
      <c r="CQ209" s="361" t="n">
        <v>15.34</v>
      </c>
      <c r="CR209" s="361" t="n">
        <v>14.36</v>
      </c>
      <c r="CT209" s="357" t="inlineStr">
        <is>
          <t>06</t>
        </is>
      </c>
      <c r="CU209" s="360" t="n"/>
      <c r="CV209" s="360" t="n">
        <v>13.72</v>
      </c>
      <c r="CW209" s="361" t="n"/>
      <c r="CX209" s="361" t="n"/>
      <c r="CY209" s="361" t="n"/>
      <c r="CZ209" s="361" t="n"/>
      <c r="DB209" s="357" t="inlineStr">
        <is>
          <t>06</t>
        </is>
      </c>
      <c r="DC209" s="360" t="n"/>
      <c r="DD209" s="361" t="n">
        <v>16.48</v>
      </c>
      <c r="DE209" s="361" t="n"/>
      <c r="DF209" s="361" t="n"/>
      <c r="DG209" s="361" t="n"/>
      <c r="DH209" s="361" t="n"/>
      <c r="DI209" s="361" t="n"/>
      <c r="DJ209" s="357" t="inlineStr">
        <is>
          <t>06</t>
        </is>
      </c>
      <c r="DK209" s="360" t="n"/>
      <c r="DL209" s="361" t="n">
        <v>10.53</v>
      </c>
      <c r="DM209" s="361" t="n"/>
      <c r="DN209" s="361" t="n"/>
      <c r="DO209" s="361" t="n"/>
      <c r="DP209" s="361" t="n"/>
      <c r="DR209" s="357" t="inlineStr">
        <is>
          <t>06</t>
        </is>
      </c>
      <c r="DS209" s="360" t="n"/>
      <c r="DT209" s="361" t="n">
        <v>14.68</v>
      </c>
      <c r="DU209" s="361" t="n"/>
      <c r="DV209" s="361" t="n"/>
      <c r="DW209" s="361" t="n"/>
      <c r="DX209" s="361" t="n"/>
      <c r="DZ209" s="357" t="inlineStr">
        <is>
          <t>06</t>
        </is>
      </c>
      <c r="EA209" s="360" t="n"/>
      <c r="EB209" s="361" t="n"/>
      <c r="EC209" s="361" t="n"/>
      <c r="ED209" s="361" t="n"/>
      <c r="EE209" s="361" t="n"/>
      <c r="EF209" s="361" t="n"/>
    </row>
    <row r="210" customFormat="1" s="359">
      <c r="B210" s="357" t="inlineStr">
        <is>
          <t>07</t>
        </is>
      </c>
      <c r="C210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10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10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10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10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10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10" s="361" t="n"/>
      <c r="J210" s="357" t="inlineStr">
        <is>
          <t>07</t>
        </is>
      </c>
      <c r="K210" s="360" t="n"/>
      <c r="L210" s="361" t="n">
        <v>16.38</v>
      </c>
      <c r="M210" s="361" t="n">
        <v>16.77</v>
      </c>
      <c r="N210" s="361" t="n">
        <v>15.65</v>
      </c>
      <c r="O210" s="361" t="n">
        <v>15.27</v>
      </c>
      <c r="P210" s="361" t="n">
        <v>14.06</v>
      </c>
      <c r="R210" s="357" t="inlineStr">
        <is>
          <t>07</t>
        </is>
      </c>
      <c r="S210" s="360" t="n"/>
      <c r="T210" s="361" t="n">
        <v>16.57</v>
      </c>
      <c r="U210" s="361" t="n">
        <v>17.85</v>
      </c>
      <c r="V210" s="361" t="n">
        <v>15.66</v>
      </c>
      <c r="W210" s="361" t="n">
        <v>16.16</v>
      </c>
      <c r="X210" s="361" t="n">
        <v>14.89</v>
      </c>
      <c r="Z210" s="357" t="inlineStr">
        <is>
          <t>07</t>
        </is>
      </c>
      <c r="AA210" s="360" t="n"/>
      <c r="AB210" s="361" t="n">
        <v>14.85</v>
      </c>
      <c r="AC210" s="361" t="n">
        <v>15.22</v>
      </c>
      <c r="AD210" s="361" t="n">
        <v>14</v>
      </c>
      <c r="AE210" s="361" t="n">
        <v>12.82</v>
      </c>
      <c r="AF210" s="361" t="n">
        <v>12.26</v>
      </c>
      <c r="AH210" s="357" t="inlineStr">
        <is>
          <t>07</t>
        </is>
      </c>
      <c r="AI210" s="360" t="n"/>
      <c r="AJ210" s="360" t="n">
        <v>17.03</v>
      </c>
      <c r="AK210" s="361" t="n">
        <v>17.58</v>
      </c>
      <c r="AL210" s="361" t="n">
        <v>15.7</v>
      </c>
      <c r="AM210" s="361" t="n">
        <v>15.13</v>
      </c>
      <c r="AN210" s="361" t="n">
        <v>13.33</v>
      </c>
      <c r="AP210" s="357" t="inlineStr">
        <is>
          <t>07</t>
        </is>
      </c>
      <c r="AQ210" s="360" t="n"/>
      <c r="AR210" s="360" t="n">
        <v>17.08</v>
      </c>
      <c r="AS210" s="361" t="n">
        <v>17.54</v>
      </c>
      <c r="AT210" s="361" t="n">
        <v>15.47</v>
      </c>
      <c r="AU210" s="361" t="n">
        <v>15.93</v>
      </c>
      <c r="AV210" s="361" t="n"/>
      <c r="AX210" s="357" t="inlineStr">
        <is>
          <t>07</t>
        </is>
      </c>
      <c r="AY210" s="360" t="n"/>
      <c r="AZ210" s="360" t="n">
        <v>19.24</v>
      </c>
      <c r="BA210" s="361" t="n">
        <v>20.12</v>
      </c>
      <c r="BB210" s="361" t="n">
        <v>18.08</v>
      </c>
      <c r="BC210" s="361" t="n">
        <v>18.19</v>
      </c>
      <c r="BD210" s="361" t="n"/>
      <c r="BE210" s="361" t="n"/>
      <c r="BF210" s="357" t="inlineStr">
        <is>
          <t>07</t>
        </is>
      </c>
      <c r="BG210" s="360" t="n"/>
      <c r="BH210" s="361" t="n">
        <v>18.52</v>
      </c>
      <c r="BI210" s="361" t="n">
        <v>20.12</v>
      </c>
      <c r="BJ210" s="361" t="n"/>
      <c r="BK210" s="361" t="n"/>
      <c r="BL210" s="361" t="n"/>
      <c r="BM210" s="361" t="n"/>
      <c r="BN210" s="357" t="inlineStr">
        <is>
          <t>07</t>
        </is>
      </c>
      <c r="BO210" s="360" t="n"/>
      <c r="BP210" s="361" t="n">
        <v>16.67</v>
      </c>
      <c r="BQ210" s="361" t="n">
        <v>17.3</v>
      </c>
      <c r="BR210" s="361" t="n">
        <v>16.04</v>
      </c>
      <c r="BS210" s="361" t="n">
        <v>16.15</v>
      </c>
      <c r="BT210" s="361" t="n">
        <v>15.16</v>
      </c>
      <c r="BV210" s="357" t="inlineStr">
        <is>
          <t>07</t>
        </is>
      </c>
      <c r="BW210" s="360" t="n"/>
      <c r="BX210" s="361" t="n">
        <v>18.61</v>
      </c>
      <c r="BY210" s="361" t="n">
        <v>20.12</v>
      </c>
      <c r="BZ210" s="361" t="n">
        <v>18.72</v>
      </c>
      <c r="CA210" s="361" t="n">
        <v>17.68</v>
      </c>
      <c r="CB210" s="361" t="n">
        <v>17.02</v>
      </c>
      <c r="CC210" s="361" t="n"/>
      <c r="CD210" s="357" t="inlineStr">
        <is>
          <t>07</t>
        </is>
      </c>
      <c r="CE210" s="360" t="n"/>
      <c r="CF210" s="361" t="n">
        <v>16.01</v>
      </c>
      <c r="CG210" s="361" t="n">
        <v>17.41</v>
      </c>
      <c r="CH210" s="361" t="n">
        <v>16.41</v>
      </c>
      <c r="CI210" s="361" t="n">
        <v>15.32</v>
      </c>
      <c r="CJ210" s="361" t="n">
        <v>14.44</v>
      </c>
      <c r="CL210" s="357" t="inlineStr">
        <is>
          <t>07</t>
        </is>
      </c>
      <c r="CM210" s="360" t="n"/>
      <c r="CN210" s="361" t="n">
        <v>16.51</v>
      </c>
      <c r="CO210" s="361" t="n">
        <v>19.01</v>
      </c>
      <c r="CP210" s="361" t="n">
        <v>17.24</v>
      </c>
      <c r="CQ210" s="361" t="n">
        <v>17.23</v>
      </c>
      <c r="CR210" s="361" t="n">
        <v>15.99</v>
      </c>
      <c r="CT210" s="357" t="inlineStr">
        <is>
          <t>07</t>
        </is>
      </c>
      <c r="CU210" s="360" t="n"/>
      <c r="CV210" s="360" t="n">
        <v>14.49</v>
      </c>
      <c r="CW210" s="361" t="n"/>
      <c r="CX210" s="361" t="n"/>
      <c r="CY210" s="361" t="n"/>
      <c r="CZ210" s="361" t="n"/>
      <c r="DB210" s="357" t="inlineStr">
        <is>
          <t>07</t>
        </is>
      </c>
      <c r="DC210" s="360" t="n"/>
      <c r="DD210" s="361" t="n">
        <v>16.9</v>
      </c>
      <c r="DE210" s="361" t="n"/>
      <c r="DF210" s="361" t="n"/>
      <c r="DG210" s="361" t="n"/>
      <c r="DH210" s="361" t="n"/>
      <c r="DI210" s="361" t="n"/>
      <c r="DJ210" s="357" t="inlineStr">
        <is>
          <t>07</t>
        </is>
      </c>
      <c r="DK210" s="360" t="n"/>
      <c r="DL210" s="361" t="n">
        <v>11.37</v>
      </c>
      <c r="DM210" s="361" t="n"/>
      <c r="DN210" s="361" t="n"/>
      <c r="DO210" s="361" t="n"/>
      <c r="DP210" s="361" t="n"/>
      <c r="DR210" s="357" t="inlineStr">
        <is>
          <t>07</t>
        </is>
      </c>
      <c r="DS210" s="360" t="n"/>
      <c r="DT210" s="361" t="n">
        <v>15.55</v>
      </c>
      <c r="DU210" s="361" t="n"/>
      <c r="DV210" s="361" t="n"/>
      <c r="DW210" s="361" t="n"/>
      <c r="DX210" s="361" t="n"/>
      <c r="DZ210" s="357" t="inlineStr">
        <is>
          <t>07</t>
        </is>
      </c>
      <c r="EA210" s="360" t="n"/>
      <c r="EB210" s="361" t="n"/>
      <c r="EC210" s="361" t="n"/>
      <c r="ED210" s="361" t="n"/>
      <c r="EE210" s="361" t="n"/>
      <c r="EF210" s="361" t="n"/>
    </row>
    <row r="211" customFormat="1" s="359">
      <c r="B211" s="357" t="inlineStr">
        <is>
          <t>08</t>
        </is>
      </c>
      <c r="C211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11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11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11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11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11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11" s="361" t="n"/>
      <c r="J211" s="357" t="inlineStr">
        <is>
          <t>08</t>
        </is>
      </c>
      <c r="K211" s="360" t="n"/>
      <c r="L211" s="361" t="n">
        <v>17.3</v>
      </c>
      <c r="M211" s="361" t="n">
        <v>17.41</v>
      </c>
      <c r="N211" s="361" t="n">
        <v>15.92</v>
      </c>
      <c r="O211" s="361" t="n">
        <v>15.81</v>
      </c>
      <c r="P211" s="361" t="n">
        <v>14.84</v>
      </c>
      <c r="R211" s="357" t="inlineStr">
        <is>
          <t>08</t>
        </is>
      </c>
      <c r="S211" s="360" t="n"/>
      <c r="T211" s="361" t="n">
        <v>14.96</v>
      </c>
      <c r="U211" s="361" t="n">
        <v>18.73</v>
      </c>
      <c r="V211" s="361" t="n">
        <v>16.57</v>
      </c>
      <c r="W211" s="361" t="n">
        <v>17.24</v>
      </c>
      <c r="X211" s="361" t="n">
        <v>15.95</v>
      </c>
      <c r="Z211" s="357" t="inlineStr">
        <is>
          <t>08</t>
        </is>
      </c>
      <c r="AA211" s="360" t="n"/>
      <c r="AB211" s="361" t="n">
        <v>15.66</v>
      </c>
      <c r="AC211" s="361" t="n">
        <v>15.15</v>
      </c>
      <c r="AD211" s="361" t="n">
        <v>14.21</v>
      </c>
      <c r="AE211" s="361" t="n">
        <v>13.38</v>
      </c>
      <c r="AF211" s="361" t="n">
        <v>13.46</v>
      </c>
      <c r="AH211" s="357" t="inlineStr">
        <is>
          <t>08</t>
        </is>
      </c>
      <c r="AI211" s="360" t="n"/>
      <c r="AJ211" s="360" t="n">
        <v>17.98</v>
      </c>
      <c r="AK211" s="361" t="n">
        <v>17.99</v>
      </c>
      <c r="AL211" s="361" t="n">
        <v>16.37</v>
      </c>
      <c r="AM211" s="361" t="n">
        <v>15.75</v>
      </c>
      <c r="AN211" s="361" t="n">
        <v>14.27</v>
      </c>
      <c r="AP211" s="357" t="inlineStr">
        <is>
          <t>08</t>
        </is>
      </c>
      <c r="AQ211" s="360" t="n"/>
      <c r="AR211" s="360" t="n">
        <v>18.3</v>
      </c>
      <c r="AS211" s="361" t="n">
        <v>17.75</v>
      </c>
      <c r="AT211" s="361" t="n">
        <v>16.49</v>
      </c>
      <c r="AU211" s="361" t="n">
        <v>16.65</v>
      </c>
      <c r="AV211" s="361" t="n"/>
      <c r="AX211" s="357" t="inlineStr">
        <is>
          <t>08</t>
        </is>
      </c>
      <c r="AY211" s="360" t="n"/>
      <c r="AZ211" s="360" t="n">
        <v>20.32</v>
      </c>
      <c r="BA211" s="361" t="n">
        <v>20.5</v>
      </c>
      <c r="BB211" s="361" t="n">
        <v>18.16</v>
      </c>
      <c r="BC211" s="361" t="n">
        <v>17.84</v>
      </c>
      <c r="BD211" s="361" t="n"/>
      <c r="BE211" s="361" t="n"/>
      <c r="BF211" s="357" t="inlineStr">
        <is>
          <t>08</t>
        </is>
      </c>
      <c r="BG211" s="360" t="n"/>
      <c r="BH211" s="361" t="n">
        <v>20.12</v>
      </c>
      <c r="BI211" s="361" t="n">
        <v>20.72</v>
      </c>
      <c r="BJ211" s="361" t="n"/>
      <c r="BK211" s="361" t="n"/>
      <c r="BL211" s="361" t="n"/>
      <c r="BM211" s="361" t="n"/>
      <c r="BN211" s="357" t="inlineStr">
        <is>
          <t>08</t>
        </is>
      </c>
      <c r="BO211" s="360" t="n"/>
      <c r="BP211" s="361" t="n">
        <v>17.63</v>
      </c>
      <c r="BQ211" s="361" t="n">
        <v>17.86</v>
      </c>
      <c r="BR211" s="361" t="n">
        <v>16.21</v>
      </c>
      <c r="BS211" s="361" t="n">
        <v>16.33</v>
      </c>
      <c r="BT211" s="361" t="n">
        <v>15.8</v>
      </c>
      <c r="BV211" s="357" t="inlineStr">
        <is>
          <t>08</t>
        </is>
      </c>
      <c r="BW211" s="360" t="n"/>
      <c r="BX211" s="361" t="n">
        <v>20.65</v>
      </c>
      <c r="BY211" s="361" t="n">
        <v>21.23</v>
      </c>
      <c r="BZ211" s="361" t="n">
        <v>19.23</v>
      </c>
      <c r="CA211" s="361" t="n">
        <v>18.83</v>
      </c>
      <c r="CB211" s="361" t="n">
        <v>17.71</v>
      </c>
      <c r="CC211" s="361" t="n"/>
      <c r="CD211" s="357" t="inlineStr">
        <is>
          <t>08</t>
        </is>
      </c>
      <c r="CE211" s="360" t="n"/>
      <c r="CF211" s="361" t="n">
        <v>17.56</v>
      </c>
      <c r="CG211" s="361" t="n">
        <v>18.4</v>
      </c>
      <c r="CH211" s="361" t="n">
        <v>17.34</v>
      </c>
      <c r="CI211" s="361" t="n">
        <v>16.08</v>
      </c>
      <c r="CJ211" s="361" t="n">
        <v>15.61</v>
      </c>
      <c r="CL211" s="357" t="inlineStr">
        <is>
          <t>08</t>
        </is>
      </c>
      <c r="CM211" s="360" t="n"/>
      <c r="CN211" s="361" t="n">
        <v>18.02</v>
      </c>
      <c r="CO211" s="361" t="n">
        <v>19.33</v>
      </c>
      <c r="CP211" s="361" t="n">
        <v>17.97</v>
      </c>
      <c r="CQ211" s="361" t="n">
        <v>17.96</v>
      </c>
      <c r="CR211" s="361" t="n">
        <v>17.14</v>
      </c>
      <c r="CT211" s="357" t="inlineStr">
        <is>
          <t>08</t>
        </is>
      </c>
      <c r="CU211" s="360" t="n"/>
      <c r="CV211" s="360" t="n">
        <v>15.45</v>
      </c>
      <c r="CW211" s="361" t="n"/>
      <c r="CX211" s="361" t="n"/>
      <c r="CY211" s="361" t="n"/>
      <c r="CZ211" s="361" t="n"/>
      <c r="DB211" s="357" t="inlineStr">
        <is>
          <t>08</t>
        </is>
      </c>
      <c r="DC211" s="360" t="n"/>
      <c r="DD211" s="361" t="n">
        <v>17.83</v>
      </c>
      <c r="DE211" s="361" t="n"/>
      <c r="DF211" s="361" t="n"/>
      <c r="DG211" s="361" t="n"/>
      <c r="DH211" s="361" t="n"/>
      <c r="DI211" s="361" t="n"/>
      <c r="DJ211" s="357" t="inlineStr">
        <is>
          <t>08</t>
        </is>
      </c>
      <c r="DK211" s="360" t="n"/>
      <c r="DL211" s="361" t="n">
        <v>11.92</v>
      </c>
      <c r="DM211" s="361" t="n"/>
      <c r="DN211" s="361" t="n"/>
      <c r="DO211" s="361" t="n"/>
      <c r="DP211" s="361" t="n"/>
      <c r="DR211" s="357" t="inlineStr">
        <is>
          <t>08</t>
        </is>
      </c>
      <c r="DS211" s="360" t="n"/>
      <c r="DT211" s="361" t="n">
        <v>16.5</v>
      </c>
      <c r="DU211" s="361" t="n"/>
      <c r="DV211" s="361" t="n"/>
      <c r="DW211" s="361" t="n"/>
      <c r="DX211" s="361" t="n"/>
      <c r="DZ211" s="357" t="inlineStr">
        <is>
          <t>08</t>
        </is>
      </c>
      <c r="EA211" s="360" t="n"/>
      <c r="EB211" s="361" t="n">
        <v>19.41</v>
      </c>
      <c r="EC211" s="361" t="n"/>
      <c r="ED211" s="361" t="n"/>
      <c r="EE211" s="361" t="n"/>
      <c r="EF211" s="361" t="n"/>
    </row>
    <row r="212" customFormat="1" s="359">
      <c r="B212" s="357" t="inlineStr">
        <is>
          <t>09</t>
        </is>
      </c>
      <c r="C212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12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12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12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12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12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12" s="361" t="n"/>
      <c r="J212" s="357" t="inlineStr">
        <is>
          <t>09</t>
        </is>
      </c>
      <c r="K212" s="360" t="n"/>
      <c r="L212" s="361" t="n">
        <v>15.4</v>
      </c>
      <c r="M212" s="361" t="n">
        <v>15.65</v>
      </c>
      <c r="N212" s="361" t="n">
        <v>13.8</v>
      </c>
      <c r="O212" s="361" t="n">
        <v>13.71</v>
      </c>
      <c r="P212" s="361" t="n">
        <v>12.7</v>
      </c>
      <c r="R212" s="357" t="inlineStr">
        <is>
          <t>09</t>
        </is>
      </c>
      <c r="S212" s="360" t="n"/>
      <c r="T212" s="361" t="n">
        <v>14.96</v>
      </c>
      <c r="U212" s="361" t="n">
        <v>15.44</v>
      </c>
      <c r="V212" s="361" t="n">
        <v>14.17</v>
      </c>
      <c r="W212" s="361" t="n">
        <v>14.28</v>
      </c>
      <c r="X212" s="361" t="n">
        <v>12.88</v>
      </c>
      <c r="Z212" s="357" t="inlineStr">
        <is>
          <t>09</t>
        </is>
      </c>
      <c r="AA212" s="360" t="n"/>
      <c r="AB212" s="361" t="n">
        <v>13.26</v>
      </c>
      <c r="AC212" s="361" t="n">
        <v>13.64</v>
      </c>
      <c r="AD212" s="361" t="n">
        <v>12.32</v>
      </c>
      <c r="AE212" s="361" t="n">
        <v>12.17</v>
      </c>
      <c r="AF212" s="361" t="n">
        <v>11.41</v>
      </c>
      <c r="AH212" s="357" t="inlineStr">
        <is>
          <t>09</t>
        </is>
      </c>
      <c r="AI212" s="360" t="n"/>
      <c r="AJ212" s="360" t="n">
        <v>15.95</v>
      </c>
      <c r="AK212" s="361" t="n">
        <v>16.25</v>
      </c>
      <c r="AL212" s="361" t="n">
        <v>14.72</v>
      </c>
      <c r="AM212" s="361" t="n">
        <v>14.33</v>
      </c>
      <c r="AN212" s="361" t="n">
        <v>12.26</v>
      </c>
      <c r="AP212" s="357" t="inlineStr">
        <is>
          <t>09</t>
        </is>
      </c>
      <c r="AQ212" s="360" t="n"/>
      <c r="AR212" s="360" t="n">
        <v>16.33</v>
      </c>
      <c r="AS212" s="361" t="n">
        <v>16.09</v>
      </c>
      <c r="AT212" s="361" t="n">
        <v>14.95</v>
      </c>
      <c r="AU212" s="361" t="n">
        <v>14.55</v>
      </c>
      <c r="AV212" s="361" t="n"/>
      <c r="AX212" s="357" t="inlineStr">
        <is>
          <t>09</t>
        </is>
      </c>
      <c r="AY212" s="360" t="n"/>
      <c r="AZ212" s="360" t="n">
        <v>17.52</v>
      </c>
      <c r="BA212" s="361" t="n">
        <v>18.9</v>
      </c>
      <c r="BB212" s="361" t="n">
        <v>16.39</v>
      </c>
      <c r="BC212" s="361" t="n">
        <v>15.67</v>
      </c>
      <c r="BD212" s="361" t="n"/>
      <c r="BE212" s="361" t="n"/>
      <c r="BF212" s="357" t="inlineStr">
        <is>
          <t>09</t>
        </is>
      </c>
      <c r="BG212" s="360" t="n"/>
      <c r="BH212" s="361" t="n">
        <v>15.92</v>
      </c>
      <c r="BI212" s="361" t="n">
        <v>17.31</v>
      </c>
      <c r="BJ212" s="361" t="n"/>
      <c r="BK212" s="361" t="n"/>
      <c r="BL212" s="361" t="n"/>
      <c r="BM212" s="361" t="n"/>
      <c r="BN212" s="357" t="inlineStr">
        <is>
          <t>09</t>
        </is>
      </c>
      <c r="BO212" s="360" t="n"/>
      <c r="BP212" s="361" t="n">
        <v>13.1</v>
      </c>
      <c r="BQ212" s="361" t="n">
        <v>13.37</v>
      </c>
      <c r="BR212" s="361" t="n">
        <v>11.87</v>
      </c>
      <c r="BS212" s="361" t="n">
        <v>11.34</v>
      </c>
      <c r="BT212" s="361" t="n">
        <v>10.63</v>
      </c>
      <c r="BV212" s="357" t="inlineStr">
        <is>
          <t>09</t>
        </is>
      </c>
      <c r="BW212" s="360" t="n"/>
      <c r="BX212" s="361" t="n">
        <v>15.86</v>
      </c>
      <c r="BY212" s="361" t="n">
        <v>17.05</v>
      </c>
      <c r="BZ212" s="361" t="n">
        <v>15.29</v>
      </c>
      <c r="CA212" s="361" t="n">
        <v>14.87</v>
      </c>
      <c r="CB212" s="361" t="n">
        <v>13.71</v>
      </c>
      <c r="CC212" s="361" t="n"/>
      <c r="CD212" s="357" t="inlineStr">
        <is>
          <t>09</t>
        </is>
      </c>
      <c r="CE212" s="360" t="n"/>
      <c r="CF212" s="361" t="n">
        <v>13.4</v>
      </c>
      <c r="CG212" s="361" t="n">
        <v>15.41</v>
      </c>
      <c r="CH212" s="361" t="n">
        <v>13.73</v>
      </c>
      <c r="CI212" s="361" t="n">
        <v>13.07</v>
      </c>
      <c r="CJ212" s="361" t="n">
        <v>12.14</v>
      </c>
      <c r="CL212" s="357" t="inlineStr">
        <is>
          <t>09</t>
        </is>
      </c>
      <c r="CM212" s="360" t="n"/>
      <c r="CN212" s="361" t="n">
        <v>16.09</v>
      </c>
      <c r="CO212" s="361" t="n">
        <v>17.73</v>
      </c>
      <c r="CP212" s="361" t="n">
        <v>15.84</v>
      </c>
      <c r="CQ212" s="361" t="n">
        <v>15.4</v>
      </c>
      <c r="CR212" s="361" t="n">
        <v>14.1</v>
      </c>
      <c r="CT212" s="357" t="inlineStr">
        <is>
          <t>09</t>
        </is>
      </c>
      <c r="CU212" s="360" t="n"/>
      <c r="CV212" s="360" t="n">
        <v>13.43</v>
      </c>
      <c r="CW212" s="361" t="n"/>
      <c r="CX212" s="361" t="n"/>
      <c r="CY212" s="361" t="n"/>
      <c r="CZ212" s="361" t="n"/>
      <c r="DB212" s="357" t="inlineStr">
        <is>
          <t>09</t>
        </is>
      </c>
      <c r="DC212" s="360" t="n"/>
      <c r="DD212" s="361" t="n">
        <v>16.35</v>
      </c>
      <c r="DE212" s="361" t="n"/>
      <c r="DF212" s="361" t="n"/>
      <c r="DG212" s="361" t="n"/>
      <c r="DH212" s="361" t="n"/>
      <c r="DI212" s="361" t="n"/>
      <c r="DJ212" s="357" t="inlineStr">
        <is>
          <t>09</t>
        </is>
      </c>
      <c r="DK212" s="360" t="n"/>
      <c r="DL212" s="361" t="n">
        <v>10.2</v>
      </c>
      <c r="DM212" s="361" t="n"/>
      <c r="DN212" s="361" t="n"/>
      <c r="DO212" s="361" t="n"/>
      <c r="DP212" s="361" t="n"/>
      <c r="DR212" s="357" t="inlineStr">
        <is>
          <t>09</t>
        </is>
      </c>
      <c r="DS212" s="360" t="n"/>
      <c r="DT212" s="361" t="n">
        <v>14.33</v>
      </c>
      <c r="DU212" s="361" t="n"/>
      <c r="DV212" s="361" t="n"/>
      <c r="DW212" s="361" t="n"/>
      <c r="DX212" s="361" t="n"/>
      <c r="DZ212" s="357" t="inlineStr">
        <is>
          <t>09</t>
        </is>
      </c>
      <c r="EA212" s="360" t="n"/>
      <c r="EB212" s="361" t="n">
        <v>16.83</v>
      </c>
      <c r="EC212" s="361" t="n"/>
      <c r="ED212" s="361" t="n"/>
      <c r="EE212" s="361" t="n"/>
      <c r="EF212" s="361" t="n"/>
    </row>
    <row r="213" customFormat="1" s="359">
      <c r="B213" s="357" t="inlineStr">
        <is>
          <t>10</t>
        </is>
      </c>
      <c r="C213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13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13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13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13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13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13" s="361" t="n"/>
      <c r="J213" s="357" t="inlineStr">
        <is>
          <t>10</t>
        </is>
      </c>
      <c r="K213" s="360" t="n"/>
      <c r="L213" s="361" t="n">
        <v>15.35</v>
      </c>
      <c r="M213" s="361" t="n">
        <v>16.17</v>
      </c>
      <c r="N213" s="361" t="n">
        <v>14.86</v>
      </c>
      <c r="O213" s="361" t="n">
        <v>14.53</v>
      </c>
      <c r="P213" s="361" t="n">
        <v>12.14</v>
      </c>
      <c r="R213" s="357" t="inlineStr">
        <is>
          <t>10</t>
        </is>
      </c>
      <c r="S213" s="360" t="n"/>
      <c r="T213" s="361" t="n">
        <v>15.41</v>
      </c>
      <c r="U213" s="361" t="n">
        <v>15.89</v>
      </c>
      <c r="V213" s="361" t="n">
        <v>14.62</v>
      </c>
      <c r="W213" s="361" t="n">
        <v>13.99</v>
      </c>
      <c r="X213" s="361" t="n">
        <v>12.18</v>
      </c>
      <c r="Z213" s="357" t="inlineStr">
        <is>
          <t>10</t>
        </is>
      </c>
      <c r="AA213" s="360" t="n"/>
      <c r="AB213" s="361" t="n">
        <v>13.45</v>
      </c>
      <c r="AC213" s="361" t="n">
        <v>13.63</v>
      </c>
      <c r="AD213" s="361" t="n">
        <v>13.18</v>
      </c>
      <c r="AE213" s="361" t="n">
        <v>12.69</v>
      </c>
      <c r="AF213" s="361" t="n">
        <v>10.85</v>
      </c>
      <c r="AH213" s="357" t="inlineStr">
        <is>
          <t>10</t>
        </is>
      </c>
      <c r="AI213" s="360" t="n"/>
      <c r="AJ213" s="360" t="n">
        <v>15.97</v>
      </c>
      <c r="AK213" s="361" t="n">
        <v>16.56</v>
      </c>
      <c r="AL213" s="361" t="n">
        <v>15.65</v>
      </c>
      <c r="AM213" s="361" t="n">
        <v>14.4</v>
      </c>
      <c r="AN213" s="361" t="n">
        <v>11.81</v>
      </c>
      <c r="AP213" s="357" t="inlineStr">
        <is>
          <t>10</t>
        </is>
      </c>
      <c r="AQ213" s="360" t="n"/>
      <c r="AR213" s="360" t="n">
        <v>16.1</v>
      </c>
      <c r="AS213" s="361" t="n">
        <v>16.47</v>
      </c>
      <c r="AT213" s="361" t="n">
        <v>15.47</v>
      </c>
      <c r="AU213" s="361" t="n">
        <v>14.93</v>
      </c>
      <c r="AV213" s="361" t="n"/>
      <c r="AX213" s="357" t="inlineStr">
        <is>
          <t>10</t>
        </is>
      </c>
      <c r="AY213" s="360" t="n"/>
      <c r="AZ213" s="360" t="n">
        <v>17.6</v>
      </c>
      <c r="BA213" s="361" t="n">
        <v>18.75</v>
      </c>
      <c r="BB213" s="361" t="n">
        <v>17.21</v>
      </c>
      <c r="BC213" s="361" t="n">
        <v>15.74</v>
      </c>
      <c r="BD213" s="361" t="n"/>
      <c r="BE213" s="361" t="n"/>
      <c r="BF213" s="357" t="inlineStr">
        <is>
          <t>10</t>
        </is>
      </c>
      <c r="BG213" s="360" t="n"/>
      <c r="BH213" s="361" t="n">
        <v>16.1</v>
      </c>
      <c r="BI213" s="361" t="n">
        <v>17.79</v>
      </c>
      <c r="BJ213" s="361" t="n"/>
      <c r="BK213" s="361" t="n"/>
      <c r="BL213" s="361" t="n"/>
      <c r="BM213" s="361" t="n"/>
      <c r="BN213" s="357" t="inlineStr">
        <is>
          <t>10</t>
        </is>
      </c>
      <c r="BO213" s="360" t="n"/>
      <c r="BP213" s="361" t="n">
        <v>14.38</v>
      </c>
      <c r="BQ213" s="361" t="n">
        <v>14.78</v>
      </c>
      <c r="BR213" s="361" t="n">
        <v>13.7</v>
      </c>
      <c r="BS213" s="361" t="n">
        <v>12.07</v>
      </c>
      <c r="BT213" s="361" t="n">
        <v>11.58</v>
      </c>
      <c r="BV213" s="357" t="inlineStr">
        <is>
          <t>10</t>
        </is>
      </c>
      <c r="BW213" s="360" t="n"/>
      <c r="BX213" s="361" t="n">
        <v>16.02</v>
      </c>
      <c r="BY213" s="361" t="n">
        <v>17.27</v>
      </c>
      <c r="BZ213" s="361" t="n">
        <v>16.18</v>
      </c>
      <c r="CA213" s="361" t="n">
        <v>15.64</v>
      </c>
      <c r="CB213" s="361" t="n">
        <v>13.07</v>
      </c>
      <c r="CC213" s="361" t="n"/>
      <c r="CD213" s="357" t="inlineStr">
        <is>
          <t>10</t>
        </is>
      </c>
      <c r="CE213" s="360" t="n"/>
      <c r="CF213" s="361" t="n">
        <v>13.65</v>
      </c>
      <c r="CG213" s="361" t="n">
        <v>15.42</v>
      </c>
      <c r="CH213" s="361" t="n">
        <v>14.73</v>
      </c>
      <c r="CI213" s="361" t="n">
        <v>13.66</v>
      </c>
      <c r="CJ213" s="361" t="n">
        <v>11.27</v>
      </c>
      <c r="CL213" s="357" t="inlineStr">
        <is>
          <t>10</t>
        </is>
      </c>
      <c r="CM213" s="360" t="n"/>
      <c r="CN213" s="361" t="n">
        <v>16.12</v>
      </c>
      <c r="CO213" s="361" t="n">
        <v>18.09</v>
      </c>
      <c r="CP213" s="361" t="n">
        <v>16.72</v>
      </c>
      <c r="CQ213" s="361" t="n">
        <v>15.64</v>
      </c>
      <c r="CR213" s="361" t="n">
        <v>13.72</v>
      </c>
      <c r="CT213" s="357" t="inlineStr">
        <is>
          <t>10</t>
        </is>
      </c>
      <c r="CU213" s="360" t="n"/>
      <c r="CV213" s="360" t="n">
        <v>13.67</v>
      </c>
      <c r="CW213" s="361" t="n"/>
      <c r="CX213" s="361" t="n"/>
      <c r="CY213" s="361" t="n"/>
      <c r="CZ213" s="361" t="n"/>
      <c r="DB213" s="357" t="inlineStr">
        <is>
          <t>10</t>
        </is>
      </c>
      <c r="DC213" s="360" t="n"/>
      <c r="DD213" s="361" t="n">
        <v>16</v>
      </c>
      <c r="DE213" s="361" t="n"/>
      <c r="DF213" s="361" t="n"/>
      <c r="DG213" s="361" t="n"/>
      <c r="DH213" s="361" t="n"/>
      <c r="DI213" s="361" t="n"/>
      <c r="DJ213" s="357" t="inlineStr">
        <is>
          <t>10</t>
        </is>
      </c>
      <c r="DK213" s="360" t="n"/>
      <c r="DL213" s="361" t="n">
        <v>10.4</v>
      </c>
      <c r="DM213" s="361" t="n"/>
      <c r="DN213" s="361" t="n"/>
      <c r="DO213" s="361" t="n"/>
      <c r="DP213" s="361" t="n"/>
      <c r="DR213" s="357" t="inlineStr">
        <is>
          <t>10</t>
        </is>
      </c>
      <c r="DS213" s="360" t="n"/>
      <c r="DT213" s="361" t="n">
        <v>14.7</v>
      </c>
      <c r="DU213" s="361" t="n"/>
      <c r="DV213" s="361" t="n"/>
      <c r="DW213" s="361" t="n"/>
      <c r="DX213" s="361" t="n"/>
      <c r="DZ213" s="357" t="inlineStr">
        <is>
          <t>10</t>
        </is>
      </c>
      <c r="EA213" s="360" t="n"/>
      <c r="EB213" s="361" t="n">
        <v>16.56</v>
      </c>
      <c r="EC213" s="361" t="n"/>
      <c r="ED213" s="361" t="n"/>
      <c r="EE213" s="361" t="n"/>
      <c r="EF213" s="361" t="n"/>
    </row>
    <row r="214" customFormat="1" s="359">
      <c r="B214" s="357" t="inlineStr">
        <is>
          <t>11</t>
        </is>
      </c>
      <c r="C214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14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14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14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14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14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14" s="361" t="n"/>
      <c r="J214" s="357" t="inlineStr">
        <is>
          <t>11</t>
        </is>
      </c>
      <c r="K214" s="360" t="n"/>
      <c r="L214" s="361" t="n">
        <v>16.23</v>
      </c>
      <c r="M214" s="361" t="n">
        <v>15.67</v>
      </c>
      <c r="N214" s="361" t="n">
        <v>15.08</v>
      </c>
      <c r="O214" s="361" t="n">
        <v>13.55</v>
      </c>
      <c r="P214" s="361" t="n">
        <v>0</v>
      </c>
      <c r="R214" s="357" t="inlineStr">
        <is>
          <t>11</t>
        </is>
      </c>
      <c r="S214" s="360" t="n"/>
      <c r="T214" s="361" t="n">
        <v>16.15</v>
      </c>
      <c r="U214" s="361" t="n">
        <v>15.56</v>
      </c>
      <c r="V214" s="361" t="n">
        <v>14.44</v>
      </c>
      <c r="W214" s="361" t="n">
        <v>13.41</v>
      </c>
      <c r="X214" s="361" t="n">
        <v>4.49</v>
      </c>
      <c r="Z214" s="357" t="inlineStr">
        <is>
          <t>11</t>
        </is>
      </c>
      <c r="AA214" s="360" t="n"/>
      <c r="AB214" s="361" t="n">
        <v>14.61</v>
      </c>
      <c r="AC214" s="361" t="n">
        <v>14.34</v>
      </c>
      <c r="AD214" s="361" t="n">
        <v>12.9</v>
      </c>
      <c r="AE214" s="361" t="n">
        <v>11.93</v>
      </c>
      <c r="AF214" s="361" t="n">
        <v>0</v>
      </c>
      <c r="AH214" s="357" t="inlineStr">
        <is>
          <t>11</t>
        </is>
      </c>
      <c r="AI214" s="360" t="n"/>
      <c r="AJ214" s="360" t="n">
        <v>17.04</v>
      </c>
      <c r="AK214" s="361" t="n">
        <v>16.55</v>
      </c>
      <c r="AL214" s="361" t="n">
        <v>15.26</v>
      </c>
      <c r="AM214" s="361" t="n">
        <v>13.58</v>
      </c>
      <c r="AN214" s="361" t="n">
        <v>2.12</v>
      </c>
      <c r="AP214" s="357" t="inlineStr">
        <is>
          <t>11</t>
        </is>
      </c>
      <c r="AQ214" s="360" t="n"/>
      <c r="AR214" s="360" t="n">
        <v>16.95</v>
      </c>
      <c r="AS214" s="361" t="n">
        <v>16.47</v>
      </c>
      <c r="AT214" s="361" t="n">
        <v>15.18</v>
      </c>
      <c r="AU214" s="361" t="n">
        <v>14.11</v>
      </c>
      <c r="AV214" s="361" t="n"/>
      <c r="AX214" s="357" t="inlineStr">
        <is>
          <t>11</t>
        </is>
      </c>
      <c r="AY214" s="360" t="n"/>
      <c r="AZ214" s="360" t="n">
        <v>18.88</v>
      </c>
      <c r="BA214" s="361" t="n">
        <v>18.64</v>
      </c>
      <c r="BB214" s="361" t="n">
        <v>16.8</v>
      </c>
      <c r="BC214" s="361" t="n">
        <v>14.69</v>
      </c>
      <c r="BD214" s="361" t="n"/>
      <c r="BE214" s="361" t="n"/>
      <c r="BF214" s="357" t="inlineStr">
        <is>
          <t>11</t>
        </is>
      </c>
      <c r="BG214" s="360" t="n"/>
      <c r="BH214" s="361" t="n">
        <v>16.95</v>
      </c>
      <c r="BI214" s="361" t="n">
        <v>16.86</v>
      </c>
      <c r="BJ214" s="361" t="n"/>
      <c r="BK214" s="361" t="n"/>
      <c r="BL214" s="361" t="n"/>
      <c r="BM214" s="361" t="n"/>
      <c r="BN214" s="357" t="inlineStr">
        <is>
          <t>11</t>
        </is>
      </c>
      <c r="BO214" s="360" t="n"/>
      <c r="BP214" s="361" t="n">
        <v>14.17</v>
      </c>
      <c r="BQ214" s="361" t="n">
        <v>13.29</v>
      </c>
      <c r="BR214" s="361" t="n">
        <v>13.18</v>
      </c>
      <c r="BS214" s="361" t="n">
        <v>10.48</v>
      </c>
      <c r="BT214" s="361" t="n">
        <v>1.67</v>
      </c>
      <c r="BV214" s="357" t="inlineStr">
        <is>
          <t>11</t>
        </is>
      </c>
      <c r="BW214" s="360" t="n"/>
      <c r="BX214" s="361" t="n">
        <v>16.23</v>
      </c>
      <c r="BY214" s="361" t="n">
        <v>16.05</v>
      </c>
      <c r="BZ214" s="361" t="n">
        <v>15.52</v>
      </c>
      <c r="CA214" s="361" t="n">
        <v>14.41</v>
      </c>
      <c r="CB214" s="361" t="n">
        <v>10.51</v>
      </c>
      <c r="CC214" s="361" t="n"/>
      <c r="CD214" s="357" t="inlineStr">
        <is>
          <t>11</t>
        </is>
      </c>
      <c r="CE214" s="360" t="n"/>
      <c r="CF214" s="361" t="n">
        <v>13.94</v>
      </c>
      <c r="CG214" s="361" t="n">
        <v>14.63</v>
      </c>
      <c r="CH214" s="361" t="n">
        <v>14.29</v>
      </c>
      <c r="CI214" s="361" t="n">
        <v>12.83</v>
      </c>
      <c r="CJ214" s="361" t="n">
        <v>0.9</v>
      </c>
      <c r="CL214" s="357" t="inlineStr">
        <is>
          <t>11</t>
        </is>
      </c>
      <c r="CM214" s="360" t="n"/>
      <c r="CN214" s="361" t="n">
        <v>17.05</v>
      </c>
      <c r="CO214" s="361" t="n">
        <v>17.36</v>
      </c>
      <c r="CP214" s="361" t="n">
        <v>16.22</v>
      </c>
      <c r="CQ214" s="361" t="n">
        <v>15.06</v>
      </c>
      <c r="CR214" s="361" t="n">
        <v>3.79</v>
      </c>
      <c r="CT214" s="357" t="inlineStr">
        <is>
          <t>11</t>
        </is>
      </c>
      <c r="CU214" s="360" t="n"/>
      <c r="CV214" s="360" t="n">
        <v>14.1</v>
      </c>
      <c r="CW214" s="361" t="n"/>
      <c r="CX214" s="361" t="n"/>
      <c r="CY214" s="361" t="n"/>
      <c r="CZ214" s="361" t="n"/>
      <c r="DB214" s="357" t="inlineStr">
        <is>
          <t>11</t>
        </is>
      </c>
      <c r="DC214" s="360" t="n"/>
      <c r="DD214" s="361" t="n">
        <v>17.02</v>
      </c>
      <c r="DE214" s="361" t="n"/>
      <c r="DF214" s="361" t="n"/>
      <c r="DG214" s="361" t="n"/>
      <c r="DH214" s="361" t="n"/>
      <c r="DI214" s="361" t="n"/>
      <c r="DJ214" s="357" t="inlineStr">
        <is>
          <t>11</t>
        </is>
      </c>
      <c r="DK214" s="360" t="n"/>
      <c r="DL214" s="361" t="n">
        <v>10.54</v>
      </c>
      <c r="DM214" s="361" t="n"/>
      <c r="DN214" s="361" t="n"/>
      <c r="DO214" s="361" t="n"/>
      <c r="DP214" s="361" t="n"/>
      <c r="DR214" s="357" t="inlineStr">
        <is>
          <t>11</t>
        </is>
      </c>
      <c r="DS214" s="360" t="n"/>
      <c r="DT214" s="361" t="n">
        <v>15.18</v>
      </c>
      <c r="DU214" s="361" t="n"/>
      <c r="DV214" s="361" t="n"/>
      <c r="DW214" s="361" t="n"/>
      <c r="DX214" s="361" t="n"/>
      <c r="DZ214" s="357" t="inlineStr">
        <is>
          <t>11</t>
        </is>
      </c>
      <c r="EA214" s="360" t="n"/>
      <c r="EB214" s="361" t="n">
        <v>16.69</v>
      </c>
      <c r="EC214" s="361" t="n"/>
      <c r="ED214" s="361" t="n"/>
      <c r="EE214" s="361" t="n"/>
      <c r="EF214" s="361" t="n"/>
    </row>
    <row r="215" customFormat="1" s="359">
      <c r="B215" s="357" t="inlineStr">
        <is>
          <t>12</t>
        </is>
      </c>
      <c r="C215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15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15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15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15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15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15" s="361" t="n"/>
      <c r="J215" s="357" t="inlineStr">
        <is>
          <t>12</t>
        </is>
      </c>
      <c r="K215" s="360" t="n"/>
      <c r="L215" s="361" t="n">
        <v>16.7</v>
      </c>
      <c r="M215" s="361" t="n">
        <v>16.73</v>
      </c>
      <c r="N215" s="361" t="n">
        <v>16.47</v>
      </c>
      <c r="O215" s="361" t="n">
        <v>14.8</v>
      </c>
      <c r="P215" s="361" t="n">
        <v>5.24</v>
      </c>
      <c r="R215" s="357" t="inlineStr">
        <is>
          <t>12</t>
        </is>
      </c>
      <c r="S215" s="360" t="n">
        <v>16.24</v>
      </c>
      <c r="T215" s="361" t="n">
        <v>16.24</v>
      </c>
      <c r="U215" s="361" t="n">
        <v>16.85</v>
      </c>
      <c r="V215" s="361" t="n">
        <v>15.47</v>
      </c>
      <c r="W215" s="361" t="n">
        <v>14.54</v>
      </c>
      <c r="X215" s="361" t="n">
        <v>7.79</v>
      </c>
      <c r="Z215" s="357" t="inlineStr">
        <is>
          <t>12</t>
        </is>
      </c>
      <c r="AA215" s="360" t="n"/>
      <c r="AB215" s="361" t="n">
        <v>14.38</v>
      </c>
      <c r="AC215" s="361" t="n">
        <v>14.62</v>
      </c>
      <c r="AD215" s="361" t="n">
        <v>13.8</v>
      </c>
      <c r="AE215" s="361" t="n">
        <v>12.96</v>
      </c>
      <c r="AF215" s="361" t="n">
        <v>3.17</v>
      </c>
      <c r="AH215" s="357" t="inlineStr">
        <is>
          <t>12</t>
        </is>
      </c>
      <c r="AI215" s="360" t="n"/>
      <c r="AJ215" s="360" t="n">
        <v>17.79</v>
      </c>
      <c r="AK215" s="361" t="n">
        <v>17.17</v>
      </c>
      <c r="AL215" s="361" t="n">
        <v>16.32</v>
      </c>
      <c r="AM215" s="361" t="n">
        <v>14.83</v>
      </c>
      <c r="AN215" s="361" t="n">
        <v>2.68</v>
      </c>
      <c r="AP215" s="357" t="inlineStr">
        <is>
          <t>12</t>
        </is>
      </c>
      <c r="AQ215" s="360" t="n"/>
      <c r="AR215" s="360" t="n">
        <v>17.01</v>
      </c>
      <c r="AS215" s="361" t="n">
        <v>17.1</v>
      </c>
      <c r="AT215" s="361" t="n">
        <v>16.4</v>
      </c>
      <c r="AU215" s="361" t="n">
        <v>15.06</v>
      </c>
      <c r="AV215" s="361" t="n"/>
      <c r="AX215" s="357" t="inlineStr">
        <is>
          <t>12</t>
        </is>
      </c>
      <c r="AY215" s="360" t="n"/>
      <c r="AZ215" s="360" t="n">
        <v>19.33</v>
      </c>
      <c r="BA215" s="361" t="n">
        <v>19.21</v>
      </c>
      <c r="BB215" s="361" t="n">
        <v>18.25</v>
      </c>
      <c r="BC215" s="361" t="n">
        <v>15.23</v>
      </c>
      <c r="BD215" s="361" t="n"/>
      <c r="BE215" s="361" t="n"/>
      <c r="BF215" s="357" t="inlineStr">
        <is>
          <t>12</t>
        </is>
      </c>
      <c r="BG215" s="360" t="n"/>
      <c r="BH215" s="361" t="n">
        <v>16.89</v>
      </c>
      <c r="BI215" s="361" t="n">
        <v>17.83</v>
      </c>
      <c r="BJ215" s="361" t="n"/>
      <c r="BK215" s="361" t="n"/>
      <c r="BL215" s="361" t="n"/>
      <c r="BM215" s="361" t="n"/>
      <c r="BN215" s="357" t="inlineStr">
        <is>
          <t>12</t>
        </is>
      </c>
      <c r="BO215" s="360" t="n"/>
      <c r="BP215" s="361" t="n">
        <v>14.26</v>
      </c>
      <c r="BQ215" s="361" t="n">
        <v>14.65</v>
      </c>
      <c r="BR215" s="361" t="n">
        <v>14.83</v>
      </c>
      <c r="BS215" s="361" t="n">
        <v>12.54</v>
      </c>
      <c r="BT215" s="361" t="n">
        <v>2.12</v>
      </c>
      <c r="BV215" s="357" t="inlineStr">
        <is>
          <t>12</t>
        </is>
      </c>
      <c r="BW215" s="360" t="n"/>
      <c r="BX215" s="361" t="n">
        <v>16.1</v>
      </c>
      <c r="BY215" s="361" t="n">
        <v>16.54</v>
      </c>
      <c r="BZ215" s="361" t="n">
        <v>16.26</v>
      </c>
      <c r="CA215" s="361" t="n">
        <v>14.86</v>
      </c>
      <c r="CB215" s="361" t="n">
        <v>2</v>
      </c>
      <c r="CC215" s="361" t="n"/>
      <c r="CD215" s="357" t="inlineStr">
        <is>
          <t>12</t>
        </is>
      </c>
      <c r="CE215" s="360" t="n"/>
      <c r="CF215" s="361" t="n">
        <v>13.92</v>
      </c>
      <c r="CG215" s="361" t="n">
        <v>14.85</v>
      </c>
      <c r="CH215" s="361" t="n">
        <v>14.76</v>
      </c>
      <c r="CI215" s="361" t="n">
        <v>13.3</v>
      </c>
      <c r="CJ215" s="361" t="n">
        <v>2.41</v>
      </c>
      <c r="CL215" s="357" t="inlineStr">
        <is>
          <t>12</t>
        </is>
      </c>
      <c r="CM215" s="360" t="n"/>
      <c r="CN215" s="361" t="n">
        <v>16.91</v>
      </c>
      <c r="CO215" s="361" t="n">
        <v>17.34</v>
      </c>
      <c r="CP215" s="361" t="n">
        <v>17.89</v>
      </c>
      <c r="CQ215" s="361" t="n">
        <v>15.95</v>
      </c>
      <c r="CR215" s="361" t="n">
        <v>4.85</v>
      </c>
      <c r="CT215" s="357" t="inlineStr">
        <is>
          <t>12</t>
        </is>
      </c>
      <c r="CU215" s="360" t="n"/>
      <c r="CV215" s="360" t="n">
        <v>13.9</v>
      </c>
      <c r="CW215" s="361" t="n"/>
      <c r="CX215" s="361" t="n"/>
      <c r="CY215" s="361" t="n"/>
      <c r="CZ215" s="361" t="n"/>
      <c r="DB215" s="357" t="inlineStr">
        <is>
          <t>12</t>
        </is>
      </c>
      <c r="DC215" s="360" t="n"/>
      <c r="DD215" s="361" t="n">
        <v>17.03</v>
      </c>
      <c r="DE215" s="361" t="n"/>
      <c r="DF215" s="361" t="n"/>
      <c r="DG215" s="361" t="n"/>
      <c r="DH215" s="361" t="n"/>
      <c r="DI215" s="361" t="n"/>
      <c r="DJ215" s="357" t="inlineStr">
        <is>
          <t>12</t>
        </is>
      </c>
      <c r="DK215" s="360" t="n"/>
      <c r="DL215" s="361" t="n">
        <v>11.21</v>
      </c>
      <c r="DM215" s="361" t="n"/>
      <c r="DN215" s="361" t="n"/>
      <c r="DO215" s="361" t="n"/>
      <c r="DP215" s="361" t="n"/>
      <c r="DR215" s="357" t="inlineStr">
        <is>
          <t>12</t>
        </is>
      </c>
      <c r="DS215" s="360" t="n"/>
      <c r="DT215" s="361" t="n">
        <v>14.96</v>
      </c>
      <c r="DU215" s="361" t="n"/>
      <c r="DV215" s="361" t="n"/>
      <c r="DW215" s="361" t="n"/>
      <c r="DX215" s="361" t="n"/>
      <c r="DZ215" s="357" t="inlineStr">
        <is>
          <t>12</t>
        </is>
      </c>
      <c r="EA215" s="360" t="n"/>
      <c r="EB215" s="361" t="n">
        <v>16.83</v>
      </c>
      <c r="EC215" s="361" t="n"/>
      <c r="ED215" s="361" t="n"/>
      <c r="EE215" s="361" t="n"/>
      <c r="EF215" s="361" t="n"/>
    </row>
    <row r="217" ht="15.75" customHeight="1" s="161">
      <c r="B217" s="355" t="inlineStr">
        <is>
          <t>Global</t>
        </is>
      </c>
      <c r="J217" s="355" t="inlineStr">
        <is>
          <t>GLR5</t>
        </is>
      </c>
      <c r="R217" s="355" t="inlineStr">
        <is>
          <t>HTR8</t>
        </is>
      </c>
      <c r="Z217" s="355" t="inlineStr">
        <is>
          <t>TIRR</t>
        </is>
      </c>
      <c r="AH217" s="355" t="inlineStr">
        <is>
          <t>VR7</t>
        </is>
      </c>
      <c r="AP217" s="355" t="inlineStr">
        <is>
          <t>TURVILLA</t>
        </is>
      </c>
      <c r="AX217" s="355" t="inlineStr">
        <is>
          <t>HART</t>
        </is>
      </c>
      <c r="BF217" s="355" t="inlineStr">
        <is>
          <t>VICTOIRE</t>
        </is>
      </c>
      <c r="BN217" s="355" t="inlineStr">
        <is>
          <t>TH4</t>
        </is>
      </c>
      <c r="BV217" s="355" t="inlineStr">
        <is>
          <t>TL DIVES</t>
        </is>
      </c>
      <c r="CD217" s="355" t="inlineStr">
        <is>
          <t>R3 14</t>
        </is>
      </c>
      <c r="CL217" s="355" t="inlineStr">
        <is>
          <t>LYSE</t>
        </is>
      </c>
      <c r="CT217" s="355" t="inlineStr">
        <is>
          <t>ARTHUR</t>
        </is>
      </c>
      <c r="DB217" s="355" t="inlineStr">
        <is>
          <t>HUGO</t>
        </is>
      </c>
      <c r="DJ217" s="355" t="inlineStr">
        <is>
          <t>JEANCLO</t>
        </is>
      </c>
      <c r="DR217" s="355" t="inlineStr">
        <is>
          <t>THOMAS</t>
        </is>
      </c>
      <c r="DZ217" s="355" t="inlineStr">
        <is>
          <t>CATALINA</t>
        </is>
      </c>
    </row>
    <row r="219" ht="18.6" customFormat="1" customHeight="1" s="188">
      <c r="A219" s="356" t="inlineStr">
        <is>
          <t>Paniers moyens à emporter</t>
        </is>
      </c>
      <c r="B219" s="186" t="inlineStr">
        <is>
          <t>MOIS</t>
        </is>
      </c>
      <c r="C219" s="187" t="inlineStr">
        <is>
          <t>2024</t>
        </is>
      </c>
      <c r="D219" s="187" t="inlineStr">
        <is>
          <t>2023</t>
        </is>
      </c>
      <c r="E219" s="187" t="inlineStr">
        <is>
          <t>2022</t>
        </is>
      </c>
      <c r="F219" s="187" t="inlineStr">
        <is>
          <t>2021</t>
        </is>
      </c>
      <c r="G219" s="187" t="inlineStr">
        <is>
          <t>2020</t>
        </is>
      </c>
      <c r="H219" s="187" t="inlineStr">
        <is>
          <t>2019</t>
        </is>
      </c>
      <c r="I219" s="187" t="n"/>
      <c r="J219" s="186" t="inlineStr">
        <is>
          <t>MOIS</t>
        </is>
      </c>
      <c r="K219" s="186" t="inlineStr">
        <is>
          <t>2025</t>
        </is>
      </c>
      <c r="L219" s="186" t="inlineStr">
        <is>
          <t>2024</t>
        </is>
      </c>
      <c r="M219" s="186" t="inlineStr">
        <is>
          <t>2023</t>
        </is>
      </c>
      <c r="N219" s="186" t="inlineStr">
        <is>
          <t>2022</t>
        </is>
      </c>
      <c r="O219" s="186" t="inlineStr">
        <is>
          <t>2021</t>
        </is>
      </c>
      <c r="P219" s="186" t="inlineStr">
        <is>
          <t>2020</t>
        </is>
      </c>
      <c r="R219" s="186" t="inlineStr">
        <is>
          <t>MOIS</t>
        </is>
      </c>
      <c r="S219" s="186" t="inlineStr">
        <is>
          <t>2025</t>
        </is>
      </c>
      <c r="T219" s="186" t="inlineStr">
        <is>
          <t>2024</t>
        </is>
      </c>
      <c r="U219" s="186" t="inlineStr">
        <is>
          <t>2023</t>
        </is>
      </c>
      <c r="V219" s="186" t="inlineStr">
        <is>
          <t>2022</t>
        </is>
      </c>
      <c r="W219" s="186" t="inlineStr">
        <is>
          <t>2021</t>
        </is>
      </c>
      <c r="X219" s="186" t="inlineStr">
        <is>
          <t>2020</t>
        </is>
      </c>
      <c r="Z219" s="186" t="inlineStr">
        <is>
          <t>MOIS</t>
        </is>
      </c>
      <c r="AA219" s="186" t="inlineStr">
        <is>
          <t>2025</t>
        </is>
      </c>
      <c r="AB219" s="186" t="inlineStr">
        <is>
          <t>2024</t>
        </is>
      </c>
      <c r="AC219" s="186" t="inlineStr">
        <is>
          <t>2023</t>
        </is>
      </c>
      <c r="AD219" s="186" t="inlineStr">
        <is>
          <t>2022</t>
        </is>
      </c>
      <c r="AE219" s="186" t="inlineStr">
        <is>
          <t>2021</t>
        </is>
      </c>
      <c r="AF219" s="186" t="inlineStr">
        <is>
          <t>2020</t>
        </is>
      </c>
      <c r="AH219" s="186" t="inlineStr">
        <is>
          <t>MOIS</t>
        </is>
      </c>
      <c r="AI219" s="186" t="inlineStr">
        <is>
          <t>2025</t>
        </is>
      </c>
      <c r="AJ219" s="186" t="inlineStr">
        <is>
          <t>2024</t>
        </is>
      </c>
      <c r="AK219" s="186" t="inlineStr">
        <is>
          <t>2023</t>
        </is>
      </c>
      <c r="AL219" s="186" t="inlineStr">
        <is>
          <t>2022</t>
        </is>
      </c>
      <c r="AM219" s="186" t="inlineStr">
        <is>
          <t>2021</t>
        </is>
      </c>
      <c r="AN219" s="186" t="inlineStr">
        <is>
          <t>2020</t>
        </is>
      </c>
      <c r="AP219" s="186" t="inlineStr">
        <is>
          <t>MOIS</t>
        </is>
      </c>
      <c r="AQ219" s="186" t="inlineStr">
        <is>
          <t>2025</t>
        </is>
      </c>
      <c r="AR219" s="186" t="inlineStr">
        <is>
          <t>2024</t>
        </is>
      </c>
      <c r="AS219" s="186" t="inlineStr">
        <is>
          <t>2023</t>
        </is>
      </c>
      <c r="AT219" s="186" t="inlineStr">
        <is>
          <t>2022</t>
        </is>
      </c>
      <c r="AU219" s="186" t="inlineStr">
        <is>
          <t>2021</t>
        </is>
      </c>
      <c r="AV219" s="186" t="inlineStr">
        <is>
          <t>2020</t>
        </is>
      </c>
      <c r="AX219" s="186" t="inlineStr">
        <is>
          <t>MOIS</t>
        </is>
      </c>
      <c r="AY219" s="186" t="inlineStr">
        <is>
          <t>2025</t>
        </is>
      </c>
      <c r="AZ219" s="186" t="inlineStr">
        <is>
          <t>2024</t>
        </is>
      </c>
      <c r="BA219" s="186" t="inlineStr">
        <is>
          <t>2023</t>
        </is>
      </c>
      <c r="BB219" s="186" t="inlineStr">
        <is>
          <t>2022</t>
        </is>
      </c>
      <c r="BC219" s="186" t="inlineStr">
        <is>
          <t>2021</t>
        </is>
      </c>
      <c r="BD219" s="186" t="inlineStr">
        <is>
          <t>2020</t>
        </is>
      </c>
      <c r="BE219" s="187" t="n"/>
      <c r="BF219" s="186" t="inlineStr">
        <is>
          <t>MOIS</t>
        </is>
      </c>
      <c r="BG219" s="186" t="inlineStr">
        <is>
          <t>2025</t>
        </is>
      </c>
      <c r="BH219" s="186" t="inlineStr">
        <is>
          <t>2024</t>
        </is>
      </c>
      <c r="BI219" s="186" t="inlineStr">
        <is>
          <t>2023</t>
        </is>
      </c>
      <c r="BJ219" s="186" t="inlineStr">
        <is>
          <t>2022</t>
        </is>
      </c>
      <c r="BK219" s="186" t="inlineStr">
        <is>
          <t>2021</t>
        </is>
      </c>
      <c r="BL219" s="186" t="inlineStr">
        <is>
          <t>2020</t>
        </is>
      </c>
      <c r="BM219" s="186" t="n"/>
      <c r="BN219" s="186" t="inlineStr">
        <is>
          <t>MOIS</t>
        </is>
      </c>
      <c r="BO219" s="187" t="inlineStr">
        <is>
          <t>2025</t>
        </is>
      </c>
      <c r="BP219" s="187" t="inlineStr">
        <is>
          <t>2024</t>
        </is>
      </c>
      <c r="BQ219" s="187" t="inlineStr">
        <is>
          <t>2023</t>
        </is>
      </c>
      <c r="BR219" s="187" t="inlineStr">
        <is>
          <t>2022</t>
        </is>
      </c>
      <c r="BS219" s="187" t="inlineStr">
        <is>
          <t>2021</t>
        </is>
      </c>
      <c r="BT219" s="187" t="inlineStr">
        <is>
          <t>2020</t>
        </is>
      </c>
      <c r="BV219" s="186" t="inlineStr">
        <is>
          <t>MOIS</t>
        </is>
      </c>
      <c r="BW219" s="187" t="inlineStr">
        <is>
          <t>2025</t>
        </is>
      </c>
      <c r="BX219" s="187" t="inlineStr">
        <is>
          <t>2024</t>
        </is>
      </c>
      <c r="BY219" s="187" t="inlineStr">
        <is>
          <t>2023</t>
        </is>
      </c>
      <c r="BZ219" s="187" t="inlineStr">
        <is>
          <t>2022</t>
        </is>
      </c>
      <c r="CA219" s="187" t="inlineStr">
        <is>
          <t>2021</t>
        </is>
      </c>
      <c r="CB219" s="187" t="inlineStr">
        <is>
          <t>2020</t>
        </is>
      </c>
      <c r="CC219" s="187" t="n"/>
      <c r="CD219" s="186" t="inlineStr">
        <is>
          <t>MOIS</t>
        </is>
      </c>
      <c r="CE219" s="187" t="inlineStr">
        <is>
          <t>2025</t>
        </is>
      </c>
      <c r="CF219" s="187" t="inlineStr">
        <is>
          <t>2024</t>
        </is>
      </c>
      <c r="CG219" s="187" t="inlineStr">
        <is>
          <t>2023</t>
        </is>
      </c>
      <c r="CH219" s="187" t="inlineStr">
        <is>
          <t>2022</t>
        </is>
      </c>
      <c r="CI219" s="187" t="inlineStr">
        <is>
          <t>2021</t>
        </is>
      </c>
      <c r="CJ219" s="187" t="inlineStr">
        <is>
          <t>2020</t>
        </is>
      </c>
      <c r="CL219" s="186" t="inlineStr">
        <is>
          <t>MOIS</t>
        </is>
      </c>
      <c r="CM219" s="187" t="inlineStr">
        <is>
          <t>2025</t>
        </is>
      </c>
      <c r="CN219" s="187" t="inlineStr">
        <is>
          <t>2024</t>
        </is>
      </c>
      <c r="CO219" s="187" t="inlineStr">
        <is>
          <t>2023</t>
        </is>
      </c>
      <c r="CP219" s="187" t="inlineStr">
        <is>
          <t>2022</t>
        </is>
      </c>
      <c r="CQ219" s="187" t="inlineStr">
        <is>
          <t>2021</t>
        </is>
      </c>
      <c r="CR219" s="187" t="inlineStr">
        <is>
          <t>2020</t>
        </is>
      </c>
      <c r="CT219" s="186" t="inlineStr">
        <is>
          <t>MOIS</t>
        </is>
      </c>
      <c r="CU219" s="187" t="inlineStr">
        <is>
          <t>2025</t>
        </is>
      </c>
      <c r="CV219" s="187" t="inlineStr">
        <is>
          <t>2024</t>
        </is>
      </c>
      <c r="CW219" s="187" t="inlineStr">
        <is>
          <t>2023</t>
        </is>
      </c>
      <c r="CX219" s="187" t="inlineStr">
        <is>
          <t>2022</t>
        </is>
      </c>
      <c r="CY219" s="187" t="inlineStr">
        <is>
          <t>2021</t>
        </is>
      </c>
      <c r="CZ219" s="187" t="inlineStr">
        <is>
          <t>2020</t>
        </is>
      </c>
      <c r="DB219" s="186" t="inlineStr">
        <is>
          <t>MOIS</t>
        </is>
      </c>
      <c r="DC219" s="187" t="inlineStr">
        <is>
          <t>2025</t>
        </is>
      </c>
      <c r="DD219" s="187" t="inlineStr">
        <is>
          <t>2024</t>
        </is>
      </c>
      <c r="DE219" s="187" t="inlineStr">
        <is>
          <t>2023</t>
        </is>
      </c>
      <c r="DF219" s="187" t="inlineStr">
        <is>
          <t>2022</t>
        </is>
      </c>
      <c r="DG219" s="187" t="inlineStr">
        <is>
          <t>2021</t>
        </is>
      </c>
      <c r="DH219" s="187" t="inlineStr">
        <is>
          <t>2020</t>
        </is>
      </c>
      <c r="DI219" s="187" t="n"/>
      <c r="DJ219" s="186" t="inlineStr">
        <is>
          <t>MOIS</t>
        </is>
      </c>
      <c r="DK219" s="187" t="inlineStr">
        <is>
          <t>2025</t>
        </is>
      </c>
      <c r="DL219" s="187" t="inlineStr">
        <is>
          <t>2024</t>
        </is>
      </c>
      <c r="DM219" s="187" t="inlineStr">
        <is>
          <t>2023</t>
        </is>
      </c>
      <c r="DN219" s="187" t="inlineStr">
        <is>
          <t>2022</t>
        </is>
      </c>
      <c r="DO219" s="187" t="inlineStr">
        <is>
          <t>2021</t>
        </is>
      </c>
      <c r="DP219" s="187" t="inlineStr">
        <is>
          <t>2020</t>
        </is>
      </c>
      <c r="DR219" s="186" t="inlineStr">
        <is>
          <t>MOIS</t>
        </is>
      </c>
      <c r="DS219" s="187" t="inlineStr">
        <is>
          <t>2025</t>
        </is>
      </c>
      <c r="DT219" s="187" t="inlineStr">
        <is>
          <t>2024</t>
        </is>
      </c>
      <c r="DU219" s="187" t="inlineStr">
        <is>
          <t>2023</t>
        </is>
      </c>
      <c r="DV219" s="187" t="inlineStr">
        <is>
          <t>2022</t>
        </is>
      </c>
      <c r="DW219" s="187" t="inlineStr">
        <is>
          <t>2021</t>
        </is>
      </c>
      <c r="DX219" s="187" t="inlineStr">
        <is>
          <t>2020</t>
        </is>
      </c>
      <c r="DZ219" s="186" t="inlineStr">
        <is>
          <t>MOIS</t>
        </is>
      </c>
      <c r="EA219" s="187" t="inlineStr">
        <is>
          <t>2025</t>
        </is>
      </c>
      <c r="EB219" s="187" t="inlineStr">
        <is>
          <t>2024</t>
        </is>
      </c>
      <c r="EC219" s="187" t="inlineStr">
        <is>
          <t>2023</t>
        </is>
      </c>
      <c r="ED219" s="187" t="inlineStr">
        <is>
          <t>2022</t>
        </is>
      </c>
      <c r="EE219" s="187" t="inlineStr">
        <is>
          <t>2021</t>
        </is>
      </c>
      <c r="EF219" s="187" t="inlineStr">
        <is>
          <t>2020</t>
        </is>
      </c>
    </row>
    <row r="220" customFormat="1" s="359">
      <c r="B220" s="357" t="inlineStr">
        <is>
          <t>01</t>
        </is>
      </c>
      <c r="C220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0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20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20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20" s="361">
        <f>IF(PMGLR5AE[[#This Row],[2021]]=0,"",(PMGLR5AE[[#This Row],[2021]]+PMHTR8AE[[#This Row],[2021]]+PMTIRRAE[[#This Row],[2021]]+PMVR7AE[[#This Row],[2021]]+PMTURVAE[[#This Row],[2021]]+PMHARTAE[[#This Row],[2021]]+PMVICTAE[[#This Row],[2021]]+PMTH4AE[[#This Row],[2021]]+PMDIVESAE[[#This Row],[2021]]+PMR314AE[[#This Row],[2021]]+PMLYSEAE[[#This Row],[2021]])/8)</f>
        <v/>
      </c>
      <c r="H220" s="361">
        <f>IF(PMGLR5AE[[#This Row],[2020]]=0,"",(PMGLR5AE[[#This Row],[2020]]+PMHTR8AE[[#This Row],[2020]]+PMTIRRAE[[#This Row],[2020]]+PMVR7AE[[#This Row],[2020]]+PMTURVAE[[#This Row],[2020]]+PMHARTAE[[#This Row],[2020]]+PMVICTAE[[#This Row],[2020]]+PMTH4AE[[#This Row],[2020]]+PMDIVESAE[[#This Row],[2020]]+PMR314AE[[#This Row],[2020]]+PMLYSEAE[[#This Row],[2020]])/8)</f>
        <v/>
      </c>
      <c r="I220" s="361" t="n"/>
      <c r="J220" s="357" t="inlineStr">
        <is>
          <t>01</t>
        </is>
      </c>
      <c r="K220" s="360" t="n">
        <v>20.09</v>
      </c>
      <c r="L220" s="361" t="n">
        <v>18.06</v>
      </c>
      <c r="M220" s="361" t="n">
        <v>17.81</v>
      </c>
      <c r="N220" s="361" t="n">
        <v>17.22</v>
      </c>
      <c r="O220" s="361" t="n">
        <v>18.61</v>
      </c>
      <c r="P220" s="361" t="n">
        <v>16.45</v>
      </c>
      <c r="R220" s="357" t="inlineStr">
        <is>
          <t>01</t>
        </is>
      </c>
      <c r="S220" s="360" t="n">
        <v>18.59</v>
      </c>
      <c r="T220" s="361" t="n">
        <v>17.33</v>
      </c>
      <c r="U220" s="361" t="n">
        <v>18.15</v>
      </c>
      <c r="V220" s="361" t="n">
        <v>17.27</v>
      </c>
      <c r="W220" s="361" t="n">
        <v>17.91</v>
      </c>
      <c r="X220" s="361" t="n">
        <v>14.85</v>
      </c>
      <c r="Z220" s="357" t="inlineStr">
        <is>
          <t>01</t>
        </is>
      </c>
      <c r="AA220" s="360" t="n">
        <v>19.92</v>
      </c>
      <c r="AB220" s="361" t="n">
        <v>19.72</v>
      </c>
      <c r="AC220" s="361" t="n">
        <v>18.49</v>
      </c>
      <c r="AD220" s="361" t="n">
        <v>18.18</v>
      </c>
      <c r="AE220" s="361" t="n">
        <v>19.92</v>
      </c>
      <c r="AF220" s="361" t="n">
        <v>17.21</v>
      </c>
      <c r="AH220" s="357" t="inlineStr">
        <is>
          <t>01</t>
        </is>
      </c>
      <c r="AI220" s="360" t="n"/>
      <c r="AJ220" s="360" t="n">
        <v>21.43</v>
      </c>
      <c r="AK220" s="361" t="n">
        <v>21.3</v>
      </c>
      <c r="AL220" s="361" t="n">
        <v>20.23</v>
      </c>
      <c r="AM220" s="361" t="n">
        <v>17.95</v>
      </c>
      <c r="AN220" s="361" t="n">
        <v>18.06</v>
      </c>
      <c r="AP220" s="357" t="inlineStr">
        <is>
          <t>01</t>
        </is>
      </c>
      <c r="AQ220" s="360" t="n">
        <v>20.2</v>
      </c>
      <c r="AR220" s="360" t="n">
        <v>19.03</v>
      </c>
      <c r="AS220" s="361" t="n">
        <v>18.97</v>
      </c>
      <c r="AT220" s="361" t="n">
        <v>17.94</v>
      </c>
      <c r="AU220" s="361" t="n">
        <v>16.18</v>
      </c>
      <c r="AV220" s="361" t="n"/>
      <c r="AX220" s="357" t="inlineStr">
        <is>
          <t>01</t>
        </is>
      </c>
      <c r="AY220" s="360" t="n"/>
      <c r="AZ220" s="360" t="n">
        <v>22.33</v>
      </c>
      <c r="BA220" s="361" t="n">
        <v>20.71</v>
      </c>
      <c r="BB220" s="361" t="n">
        <v>21.04</v>
      </c>
      <c r="BC220" s="361" t="n"/>
      <c r="BD220" s="361" t="n"/>
      <c r="BE220" s="361" t="n"/>
      <c r="BF220" s="357" t="inlineStr">
        <is>
          <t>01</t>
        </is>
      </c>
      <c r="BG220" s="360" t="n">
        <v>20.56</v>
      </c>
      <c r="BH220" s="361" t="n">
        <v>20.11</v>
      </c>
      <c r="BI220" s="361" t="n">
        <v>20.03</v>
      </c>
      <c r="BJ220" s="361" t="n"/>
      <c r="BK220" s="361" t="n"/>
      <c r="BL220" s="361" t="n"/>
      <c r="BM220" s="361" t="n"/>
      <c r="BN220" s="357" t="inlineStr">
        <is>
          <t>01</t>
        </is>
      </c>
      <c r="BO220" s="360" t="n">
        <v>21.04</v>
      </c>
      <c r="BP220" s="361" t="n">
        <v>20.67</v>
      </c>
      <c r="BQ220" s="361" t="n">
        <v>19.83</v>
      </c>
      <c r="BR220" s="361" t="n">
        <v>19.18</v>
      </c>
      <c r="BS220" s="361" t="n">
        <v>17.08</v>
      </c>
      <c r="BT220" s="361" t="n">
        <v>16.48</v>
      </c>
      <c r="BV220" s="357" t="inlineStr">
        <is>
          <t>01</t>
        </is>
      </c>
      <c r="BW220" s="360" t="n">
        <v>22.31</v>
      </c>
      <c r="BX220" s="361" t="n">
        <v>21.63</v>
      </c>
      <c r="BY220" s="361" t="n">
        <v>21.4</v>
      </c>
      <c r="BZ220" s="361" t="n">
        <v>20.1</v>
      </c>
      <c r="CA220" s="361" t="n">
        <v>22.03</v>
      </c>
      <c r="CB220" s="361" t="n">
        <v>17.75</v>
      </c>
      <c r="CC220" s="361" t="n"/>
      <c r="CD220" s="357" t="inlineStr">
        <is>
          <t>01</t>
        </is>
      </c>
      <c r="CE220" s="360" t="n">
        <v>20.6</v>
      </c>
      <c r="CF220" s="361" t="n">
        <v>19.95</v>
      </c>
      <c r="CG220" s="361" t="n">
        <v>19.65</v>
      </c>
      <c r="CH220" s="361" t="n">
        <v>19.03</v>
      </c>
      <c r="CI220" s="361" t="n">
        <v>25.25</v>
      </c>
      <c r="CJ220" s="361" t="n">
        <v>15.74</v>
      </c>
      <c r="CL220" s="357" t="inlineStr">
        <is>
          <t>01</t>
        </is>
      </c>
      <c r="CM220" s="360" t="n">
        <v>21.34</v>
      </c>
      <c r="CN220" s="361" t="n">
        <v>20.26</v>
      </c>
      <c r="CO220" s="361" t="n">
        <v>21.28</v>
      </c>
      <c r="CP220" s="361" t="n">
        <v>20.45</v>
      </c>
      <c r="CQ220" s="361" t="n">
        <v>19.39</v>
      </c>
      <c r="CR220" s="361" t="n">
        <v>17.15</v>
      </c>
      <c r="CT220" s="357" t="inlineStr">
        <is>
          <t>01</t>
        </is>
      </c>
      <c r="CU220" s="360" t="n">
        <v>20.1</v>
      </c>
      <c r="CV220" s="360" t="n">
        <v>20.15</v>
      </c>
      <c r="CW220" s="361" t="n"/>
      <c r="CX220" s="361" t="n"/>
      <c r="CY220" s="361" t="n"/>
      <c r="CZ220" s="361" t="n"/>
      <c r="DB220" s="357" t="inlineStr">
        <is>
          <t>01</t>
        </is>
      </c>
      <c r="DC220" s="360" t="n">
        <v>23.2</v>
      </c>
      <c r="DD220" s="361" t="n">
        <v>22.13</v>
      </c>
      <c r="DE220" s="361" t="n"/>
      <c r="DF220" s="361" t="n"/>
      <c r="DG220" s="361" t="n"/>
      <c r="DH220" s="361" t="n"/>
      <c r="DI220" s="361" t="n"/>
      <c r="DJ220" s="357" t="inlineStr">
        <is>
          <t>01</t>
        </is>
      </c>
      <c r="DK220" s="360" t="n">
        <v>16.89</v>
      </c>
      <c r="DL220" s="361" t="n">
        <v>17.04</v>
      </c>
      <c r="DM220" s="361" t="n"/>
      <c r="DN220" s="361" t="n"/>
      <c r="DO220" s="361" t="n"/>
      <c r="DP220" s="361" t="n"/>
      <c r="DR220" s="357" t="inlineStr">
        <is>
          <t>01</t>
        </is>
      </c>
      <c r="DS220" s="360" t="n">
        <v>22.54</v>
      </c>
      <c r="DT220" s="361" t="n">
        <v>21.98</v>
      </c>
      <c r="DU220" s="361" t="n"/>
      <c r="DV220" s="361" t="n"/>
      <c r="DW220" s="361" t="n"/>
      <c r="DX220" s="361" t="n"/>
      <c r="DZ220" s="357" t="inlineStr">
        <is>
          <t>01</t>
        </is>
      </c>
      <c r="EA220" s="360" t="n">
        <v>22.21</v>
      </c>
      <c r="EB220" s="361" t="n"/>
      <c r="EC220" s="361" t="n"/>
      <c r="ED220" s="361" t="n"/>
      <c r="EE220" s="361" t="n"/>
      <c r="EF220" s="361" t="n"/>
    </row>
    <row r="221" customFormat="1" s="359">
      <c r="B221" s="357" t="inlineStr">
        <is>
          <t>02</t>
        </is>
      </c>
      <c r="C221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1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21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21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21" s="361" t="n">
        <v>16.8725</v>
      </c>
      <c r="H221" s="361" t="n">
        <v>16.79333333333333</v>
      </c>
      <c r="I221" s="361" t="n"/>
      <c r="J221" s="357" t="inlineStr">
        <is>
          <t>02</t>
        </is>
      </c>
      <c r="K221" s="360" t="n"/>
      <c r="L221" s="361" t="n">
        <v>17.92</v>
      </c>
      <c r="M221" s="361" t="n">
        <v>18.17</v>
      </c>
      <c r="N221" s="361" t="n">
        <v>16.46</v>
      </c>
      <c r="O221" s="361" t="n">
        <v>17.57</v>
      </c>
      <c r="P221" s="361" t="n">
        <v>16.26</v>
      </c>
      <c r="R221" s="357" t="inlineStr">
        <is>
          <t>02</t>
        </is>
      </c>
      <c r="S221" s="360" t="n"/>
      <c r="T221" s="361" t="n">
        <v>16.89</v>
      </c>
      <c r="U221" s="361" t="n">
        <v>17.95</v>
      </c>
      <c r="V221" s="361" t="n">
        <v>16.75</v>
      </c>
      <c r="W221" s="361" t="n">
        <v>16.46</v>
      </c>
      <c r="X221" s="361" t="n">
        <v>15.54</v>
      </c>
      <c r="Z221" s="357" t="inlineStr">
        <is>
          <t>02</t>
        </is>
      </c>
      <c r="AA221" s="360" t="n"/>
      <c r="AB221" s="361" t="n">
        <v>18.49</v>
      </c>
      <c r="AC221" s="361" t="n">
        <v>18.05</v>
      </c>
      <c r="AD221" s="361" t="n">
        <v>16.6</v>
      </c>
      <c r="AE221" s="361" t="n">
        <v>19.37</v>
      </c>
      <c r="AF221" s="361" t="n">
        <v>16.74</v>
      </c>
      <c r="AH221" s="357" t="inlineStr">
        <is>
          <t>02</t>
        </is>
      </c>
      <c r="AI221" s="360" t="n"/>
      <c r="AJ221" s="360" t="n">
        <v>20.87</v>
      </c>
      <c r="AK221" s="361" t="n">
        <v>21.51</v>
      </c>
      <c r="AL221" s="361" t="n">
        <v>19.11</v>
      </c>
      <c r="AM221" s="361" t="n">
        <v>16.96</v>
      </c>
      <c r="AN221" s="361" t="n">
        <v>17.6</v>
      </c>
      <c r="AP221" s="357" t="inlineStr">
        <is>
          <t>02</t>
        </is>
      </c>
      <c r="AQ221" s="360" t="n"/>
      <c r="AR221" s="360" t="n">
        <v>18.68</v>
      </c>
      <c r="AS221" s="361" t="n">
        <v>18.52</v>
      </c>
      <c r="AT221" s="361" t="n">
        <v>16.64</v>
      </c>
      <c r="AU221" s="361" t="n">
        <v>15.84</v>
      </c>
      <c r="AV221" s="361" t="n"/>
      <c r="AX221" s="357" t="inlineStr">
        <is>
          <t>02</t>
        </is>
      </c>
      <c r="AY221" s="360" t="n"/>
      <c r="AZ221" s="360" t="n">
        <v>21.26</v>
      </c>
      <c r="BA221" s="361" t="n">
        <v>20.65</v>
      </c>
      <c r="BB221" s="361" t="n">
        <v>19.65</v>
      </c>
      <c r="BC221" s="361" t="n"/>
      <c r="BD221" s="361" t="n"/>
      <c r="BE221" s="361" t="n"/>
      <c r="BF221" s="357" t="inlineStr">
        <is>
          <t>02</t>
        </is>
      </c>
      <c r="BG221" s="360" t="n"/>
      <c r="BH221" s="361" t="n">
        <v>19.09</v>
      </c>
      <c r="BI221" s="361" t="n">
        <v>19.43</v>
      </c>
      <c r="BJ221" s="361" t="n"/>
      <c r="BK221" s="361" t="n"/>
      <c r="BL221" s="361" t="n"/>
      <c r="BM221" s="361" t="n"/>
      <c r="BN221" s="357" t="inlineStr">
        <is>
          <t>02</t>
        </is>
      </c>
      <c r="BO221" s="360" t="n"/>
      <c r="BP221" s="361" t="n">
        <v>20.18</v>
      </c>
      <c r="BQ221" s="361" t="n">
        <v>20.15</v>
      </c>
      <c r="BR221" s="361" t="n">
        <v>19.19</v>
      </c>
      <c r="BS221" s="361" t="n">
        <v>15.55</v>
      </c>
      <c r="BT221" s="361" t="n">
        <v>17.18</v>
      </c>
      <c r="BV221" s="357" t="inlineStr">
        <is>
          <t>02</t>
        </is>
      </c>
      <c r="BW221" s="360" t="n"/>
      <c r="BX221" s="361" t="n">
        <v>20.94</v>
      </c>
      <c r="BY221" s="361" t="n">
        <v>21.72</v>
      </c>
      <c r="BZ221" s="361" t="n">
        <v>19.34</v>
      </c>
      <c r="CA221" s="361" t="n">
        <v>20.7</v>
      </c>
      <c r="CB221" s="361" t="n">
        <v>18.02</v>
      </c>
      <c r="CC221" s="361" t="n"/>
      <c r="CD221" s="357" t="inlineStr">
        <is>
          <t>02</t>
        </is>
      </c>
      <c r="CE221" s="360" t="n"/>
      <c r="CF221" s="361" t="n">
        <v>19.08</v>
      </c>
      <c r="CG221" s="361" t="n">
        <v>19.82</v>
      </c>
      <c r="CH221" s="361" t="n">
        <v>18.3</v>
      </c>
      <c r="CI221" s="361" t="n">
        <v>21.42</v>
      </c>
      <c r="CJ221" s="361" t="n">
        <v>15.27</v>
      </c>
      <c r="CL221" s="357" t="inlineStr">
        <is>
          <t>02</t>
        </is>
      </c>
      <c r="CM221" s="360" t="n"/>
      <c r="CN221" s="361" t="n">
        <v>19.55</v>
      </c>
      <c r="CO221" s="361" t="n">
        <v>21.27</v>
      </c>
      <c r="CP221" s="361" t="n">
        <v>19.6</v>
      </c>
      <c r="CQ221" s="361" t="n">
        <v>18.34</v>
      </c>
      <c r="CR221" s="361" t="n">
        <v>17.34</v>
      </c>
      <c r="CT221" s="357" t="inlineStr">
        <is>
          <t>02</t>
        </is>
      </c>
      <c r="CU221" s="360" t="n"/>
      <c r="CV221" s="360" t="n">
        <v>19.49</v>
      </c>
      <c r="CW221" s="361" t="n"/>
      <c r="CX221" s="361" t="n"/>
      <c r="CY221" s="361" t="n"/>
      <c r="CZ221" s="361" t="n"/>
      <c r="DB221" s="357" t="inlineStr">
        <is>
          <t>02</t>
        </is>
      </c>
      <c r="DC221" s="360" t="n"/>
      <c r="DD221" s="361" t="n">
        <v>21.06</v>
      </c>
      <c r="DE221" s="361" t="n"/>
      <c r="DF221" s="361" t="n"/>
      <c r="DG221" s="361" t="n"/>
      <c r="DH221" s="361" t="n"/>
      <c r="DI221" s="361" t="n"/>
      <c r="DJ221" s="357" t="inlineStr">
        <is>
          <t>02</t>
        </is>
      </c>
      <c r="DK221" s="360" t="n"/>
      <c r="DL221" s="361" t="n">
        <v>16.35</v>
      </c>
      <c r="DM221" s="361" t="n"/>
      <c r="DN221" s="361" t="n"/>
      <c r="DO221" s="361" t="n"/>
      <c r="DP221" s="361" t="n"/>
      <c r="DR221" s="357" t="inlineStr">
        <is>
          <t>02</t>
        </is>
      </c>
      <c r="DS221" s="360" t="n"/>
      <c r="DT221" s="361" t="n">
        <v>21.7</v>
      </c>
      <c r="DU221" s="361" t="n"/>
      <c r="DV221" s="361" t="n"/>
      <c r="DW221" s="361" t="n"/>
      <c r="DX221" s="361" t="n"/>
      <c r="DZ221" s="357" t="inlineStr">
        <is>
          <t>02</t>
        </is>
      </c>
      <c r="EA221" s="360" t="n"/>
      <c r="EB221" s="361" t="n"/>
      <c r="EC221" s="361" t="n"/>
      <c r="ED221" s="361" t="n"/>
      <c r="EE221" s="361" t="n"/>
      <c r="EF221" s="361" t="n"/>
    </row>
    <row r="222" customFormat="1" s="359">
      <c r="B222" s="357" t="inlineStr">
        <is>
          <t>03</t>
        </is>
      </c>
      <c r="C222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2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22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22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22" s="361" t="n">
        <v>16.7525</v>
      </c>
      <c r="H222" s="361" t="n">
        <v>16.48333333333333</v>
      </c>
      <c r="I222" s="361" t="n"/>
      <c r="J222" s="357" t="inlineStr">
        <is>
          <t>03</t>
        </is>
      </c>
      <c r="K222" s="360" t="n"/>
      <c r="L222" s="361" t="n">
        <v>18.63</v>
      </c>
      <c r="M222" s="361" t="n">
        <v>18.57</v>
      </c>
      <c r="N222" s="361" t="n">
        <v>16.62</v>
      </c>
      <c r="O222" s="361" t="n">
        <v>17.17</v>
      </c>
      <c r="P222" s="361" t="n">
        <v>16.18</v>
      </c>
      <c r="R222" s="357" t="inlineStr">
        <is>
          <t>03</t>
        </is>
      </c>
      <c r="S222" s="360" t="n"/>
      <c r="T222" s="361" t="n">
        <v>18.26</v>
      </c>
      <c r="U222" s="361" t="n">
        <v>19.16</v>
      </c>
      <c r="V222" s="361" t="n">
        <v>16.91</v>
      </c>
      <c r="W222" s="361" t="n">
        <v>15.53</v>
      </c>
      <c r="X222" s="361" t="n">
        <v>15.78</v>
      </c>
      <c r="Z222" s="357" t="inlineStr">
        <is>
          <t>03</t>
        </is>
      </c>
      <c r="AA222" s="360" t="n"/>
      <c r="AB222" s="361" t="n">
        <v>18.58</v>
      </c>
      <c r="AC222" s="361" t="n">
        <v>18.45</v>
      </c>
      <c r="AD222" s="361" t="n">
        <v>17.3</v>
      </c>
      <c r="AE222" s="361" t="n">
        <v>18.33</v>
      </c>
      <c r="AF222" s="361" t="n">
        <v>17.07</v>
      </c>
      <c r="AH222" s="357" t="inlineStr">
        <is>
          <t>03</t>
        </is>
      </c>
      <c r="AI222" s="360" t="n"/>
      <c r="AJ222" s="360" t="n">
        <v>20.93</v>
      </c>
      <c r="AK222" s="361" t="n">
        <v>21.67</v>
      </c>
      <c r="AL222" s="361" t="n">
        <v>18.42</v>
      </c>
      <c r="AM222" s="361" t="n">
        <v>16.76</v>
      </c>
      <c r="AN222" s="361" t="n">
        <v>21.66</v>
      </c>
      <c r="AP222" s="357" t="inlineStr">
        <is>
          <t>03</t>
        </is>
      </c>
      <c r="AQ222" s="360" t="n"/>
      <c r="AR222" s="360" t="n">
        <v>19.37</v>
      </c>
      <c r="AS222" s="361" t="n">
        <v>19.11</v>
      </c>
      <c r="AT222" s="361" t="n">
        <v>16.77</v>
      </c>
      <c r="AU222" s="361" t="n">
        <v>16.16</v>
      </c>
      <c r="AV222" s="361" t="n"/>
      <c r="AX222" s="357" t="inlineStr">
        <is>
          <t>03</t>
        </is>
      </c>
      <c r="AY222" s="360" t="n"/>
      <c r="AZ222" s="360" t="n">
        <v>22.34</v>
      </c>
      <c r="BA222" s="361" t="n">
        <v>21.47</v>
      </c>
      <c r="BB222" s="361" t="n">
        <v>19.47</v>
      </c>
      <c r="BC222" s="361" t="n"/>
      <c r="BD222" s="361" t="n"/>
      <c r="BE222" s="361" t="n"/>
      <c r="BF222" s="357" t="inlineStr">
        <is>
          <t>03</t>
        </is>
      </c>
      <c r="BG222" s="360" t="n"/>
      <c r="BH222" s="361" t="n">
        <v>18.6</v>
      </c>
      <c r="BI222" s="361" t="n">
        <v>19.81</v>
      </c>
      <c r="BJ222" s="361" t="n"/>
      <c r="BK222" s="361" t="n"/>
      <c r="BL222" s="361" t="n"/>
      <c r="BM222" s="361" t="n"/>
      <c r="BN222" s="357" t="inlineStr">
        <is>
          <t>03</t>
        </is>
      </c>
      <c r="BO222" s="360" t="n"/>
      <c r="BP222" s="361" t="n">
        <v>20.7</v>
      </c>
      <c r="BQ222" s="361" t="n">
        <v>20.49</v>
      </c>
      <c r="BR222" s="361" t="n">
        <v>17.98</v>
      </c>
      <c r="BS222" s="361" t="n">
        <v>14.82</v>
      </c>
      <c r="BT222" s="361" t="n">
        <v>16.67</v>
      </c>
      <c r="BV222" s="357" t="inlineStr">
        <is>
          <t>03</t>
        </is>
      </c>
      <c r="BW222" s="360" t="n"/>
      <c r="BX222" s="361" t="n">
        <v>20.85</v>
      </c>
      <c r="BY222" s="361" t="n">
        <v>22.09</v>
      </c>
      <c r="BZ222" s="361" t="n">
        <v>19.93</v>
      </c>
      <c r="CA222" s="361" t="n">
        <v>18.23</v>
      </c>
      <c r="CB222" s="361" t="n">
        <v>18.49</v>
      </c>
      <c r="CC222" s="361" t="n"/>
      <c r="CD222" s="357" t="inlineStr">
        <is>
          <t>03</t>
        </is>
      </c>
      <c r="CE222" s="360" t="n"/>
      <c r="CF222" s="361" t="n">
        <v>18.95</v>
      </c>
      <c r="CG222" s="361" t="n">
        <v>19.89</v>
      </c>
      <c r="CH222" s="361" t="n">
        <v>17.77</v>
      </c>
      <c r="CI222" s="361" t="n">
        <v>17.22</v>
      </c>
      <c r="CJ222" s="361" t="n">
        <v>15.62</v>
      </c>
      <c r="CL222" s="357" t="inlineStr">
        <is>
          <t>03</t>
        </is>
      </c>
      <c r="CM222" s="360" t="n"/>
      <c r="CN222" s="361" t="n">
        <v>21.14</v>
      </c>
      <c r="CO222" s="361" t="n">
        <v>21.9</v>
      </c>
      <c r="CP222" s="361" t="n">
        <v>19.87</v>
      </c>
      <c r="CQ222" s="361" t="n">
        <v>17.95</v>
      </c>
      <c r="CR222" s="361" t="n">
        <v>17.43</v>
      </c>
      <c r="CT222" s="357" t="inlineStr">
        <is>
          <t>03</t>
        </is>
      </c>
      <c r="CU222" s="360" t="n"/>
      <c r="CV222" s="360" t="n">
        <v>19.15</v>
      </c>
      <c r="CW222" s="361" t="n"/>
      <c r="CX222" s="361" t="n"/>
      <c r="CY222" s="361" t="n"/>
      <c r="CZ222" s="361" t="n"/>
      <c r="DB222" s="357" t="inlineStr">
        <is>
          <t>03</t>
        </is>
      </c>
      <c r="DC222" s="360" t="n"/>
      <c r="DD222" s="361" t="n">
        <v>21.71</v>
      </c>
      <c r="DE222" s="361" t="n"/>
      <c r="DF222" s="361" t="n"/>
      <c r="DG222" s="361" t="n"/>
      <c r="DH222" s="361" t="n"/>
      <c r="DI222" s="361" t="n"/>
      <c r="DJ222" s="357" t="inlineStr">
        <is>
          <t>03</t>
        </is>
      </c>
      <c r="DK222" s="360" t="n"/>
      <c r="DL222" s="361" t="n">
        <v>16.61</v>
      </c>
      <c r="DM222" s="361" t="n"/>
      <c r="DN222" s="361" t="n"/>
      <c r="DO222" s="361" t="n"/>
      <c r="DP222" s="361" t="n"/>
      <c r="DR222" s="357" t="inlineStr">
        <is>
          <t>03</t>
        </is>
      </c>
      <c r="DS222" s="360" t="n"/>
      <c r="DT222" s="361" t="n">
        <v>22.02</v>
      </c>
      <c r="DU222" s="361" t="n"/>
      <c r="DV222" s="361" t="n"/>
      <c r="DW222" s="361" t="n"/>
      <c r="DX222" s="361" t="n"/>
      <c r="DZ222" s="357" t="inlineStr">
        <is>
          <t>03</t>
        </is>
      </c>
      <c r="EA222" s="360" t="n"/>
      <c r="EB222" s="361" t="n"/>
      <c r="EC222" s="361" t="n"/>
      <c r="ED222" s="361" t="n"/>
      <c r="EE222" s="361" t="n"/>
      <c r="EF222" s="361" t="n"/>
    </row>
    <row r="223" customFormat="1" s="359">
      <c r="B223" s="357" t="inlineStr">
        <is>
          <t>04</t>
        </is>
      </c>
      <c r="C223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3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23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23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23" s="361" t="n">
        <v>16.2325</v>
      </c>
      <c r="H223" s="361" t="n">
        <v>21.49666666666667</v>
      </c>
      <c r="I223" s="361" t="n"/>
      <c r="J223" s="357" t="inlineStr">
        <is>
          <t>04</t>
        </is>
      </c>
      <c r="K223" s="360" t="n"/>
      <c r="L223" s="361" t="n">
        <v>18.18</v>
      </c>
      <c r="M223" s="361" t="n">
        <v>19.06</v>
      </c>
      <c r="N223" s="361" t="n">
        <v>17.42</v>
      </c>
      <c r="O223" s="361" t="n">
        <v>17.63</v>
      </c>
      <c r="P223" s="361" t="n">
        <v>1e-06</v>
      </c>
      <c r="R223" s="357" t="inlineStr">
        <is>
          <t>04</t>
        </is>
      </c>
      <c r="S223" s="360" t="n"/>
      <c r="T223" s="361" t="n">
        <v>17.67</v>
      </c>
      <c r="U223" s="361" t="n">
        <v>18.68</v>
      </c>
      <c r="V223" s="361" t="n">
        <v>17.13</v>
      </c>
      <c r="W223" s="361" t="n">
        <v>15.82</v>
      </c>
      <c r="X223" s="361" t="n">
        <v>0</v>
      </c>
      <c r="Z223" s="357" t="inlineStr">
        <is>
          <t>04</t>
        </is>
      </c>
      <c r="AA223" s="360" t="n"/>
      <c r="AB223" s="361" t="n">
        <v>18.42</v>
      </c>
      <c r="AC223" s="361" t="n">
        <v>19.08</v>
      </c>
      <c r="AD223" s="361" t="n">
        <v>17.85</v>
      </c>
      <c r="AE223" s="361" t="n">
        <v>18.15</v>
      </c>
      <c r="AF223" s="361" t="n">
        <v>0</v>
      </c>
      <c r="AH223" s="357" t="inlineStr">
        <is>
          <t>04</t>
        </is>
      </c>
      <c r="AI223" s="360" t="n"/>
      <c r="AJ223" s="360" t="n">
        <v>20.77</v>
      </c>
      <c r="AK223" s="361" t="n">
        <v>21.15</v>
      </c>
      <c r="AL223" s="361" t="n">
        <v>19.46</v>
      </c>
      <c r="AM223" s="361" t="n">
        <v>17.85</v>
      </c>
      <c r="AN223" s="361" t="n">
        <v>0</v>
      </c>
      <c r="AP223" s="357" t="inlineStr">
        <is>
          <t>04</t>
        </is>
      </c>
      <c r="AQ223" s="360" t="n"/>
      <c r="AR223" s="360" t="n">
        <v>18.12</v>
      </c>
      <c r="AS223" s="361" t="n">
        <v>19.06</v>
      </c>
      <c r="AT223" s="361" t="n">
        <v>17.62</v>
      </c>
      <c r="AU223" s="361" t="n">
        <v>18.42</v>
      </c>
      <c r="AV223" s="361" t="n"/>
      <c r="AX223" s="357" t="inlineStr">
        <is>
          <t>04</t>
        </is>
      </c>
      <c r="AY223" s="360" t="n"/>
      <c r="AZ223" s="360" t="n">
        <v>21</v>
      </c>
      <c r="BA223" s="361" t="n">
        <v>21.54</v>
      </c>
      <c r="BB223" s="361" t="n">
        <v>19.97</v>
      </c>
      <c r="BC223" s="361" t="n"/>
      <c r="BD223" s="361" t="n"/>
      <c r="BE223" s="361" t="n"/>
      <c r="BF223" s="357" t="inlineStr">
        <is>
          <t>04</t>
        </is>
      </c>
      <c r="BG223" s="360" t="n"/>
      <c r="BH223" s="361" t="n">
        <v>18.56</v>
      </c>
      <c r="BI223" s="361" t="n">
        <v>19.58</v>
      </c>
      <c r="BJ223" s="361" t="n"/>
      <c r="BK223" s="361" t="n"/>
      <c r="BL223" s="361" t="n"/>
      <c r="BM223" s="361" t="n"/>
      <c r="BN223" s="357" t="inlineStr">
        <is>
          <t>04</t>
        </is>
      </c>
      <c r="BO223" s="360" t="n"/>
      <c r="BP223" s="361" t="n">
        <v>19.96</v>
      </c>
      <c r="BQ223" s="361" t="n">
        <v>21.11</v>
      </c>
      <c r="BR223" s="361" t="n">
        <v>19.89</v>
      </c>
      <c r="BS223" s="361" t="n">
        <v>17.23</v>
      </c>
      <c r="BT223" s="361" t="n">
        <v>0</v>
      </c>
      <c r="BV223" s="357" t="inlineStr">
        <is>
          <t>04</t>
        </is>
      </c>
      <c r="BW223" s="360" t="n"/>
      <c r="BX223" s="361" t="n">
        <v>20.71</v>
      </c>
      <c r="BY223" s="361" t="n">
        <v>22.15</v>
      </c>
      <c r="BZ223" s="361" t="n">
        <v>20.42</v>
      </c>
      <c r="CA223" s="361" t="n">
        <v>17.41</v>
      </c>
      <c r="CB223" s="361" t="n">
        <v>0</v>
      </c>
      <c r="CC223" s="361" t="n"/>
      <c r="CD223" s="357" t="inlineStr">
        <is>
          <t>04</t>
        </is>
      </c>
      <c r="CE223" s="360" t="n"/>
      <c r="CF223" s="361" t="n">
        <v>18.61</v>
      </c>
      <c r="CG223" s="361" t="n">
        <v>19.86</v>
      </c>
      <c r="CH223" s="361" t="n">
        <v>18.08</v>
      </c>
      <c r="CI223" s="361" t="n">
        <v>16.82</v>
      </c>
      <c r="CJ223" s="361" t="n">
        <v>1e-07</v>
      </c>
      <c r="CL223" s="357" t="inlineStr">
        <is>
          <t>04</t>
        </is>
      </c>
      <c r="CM223" s="360" t="n"/>
      <c r="CN223" s="361" t="n">
        <v>20.49</v>
      </c>
      <c r="CO223" s="361" t="n">
        <v>21.78</v>
      </c>
      <c r="CP223" s="361" t="n">
        <v>20.2</v>
      </c>
      <c r="CQ223" s="361" t="n">
        <v>18.49</v>
      </c>
      <c r="CR223" s="361" t="n">
        <v>0</v>
      </c>
      <c r="CT223" s="357" t="inlineStr">
        <is>
          <t>04</t>
        </is>
      </c>
      <c r="CU223" s="360" t="n"/>
      <c r="CV223" s="360" t="n">
        <v>18.65</v>
      </c>
      <c r="CW223" s="361" t="n"/>
      <c r="CX223" s="361" t="n"/>
      <c r="CY223" s="361" t="n"/>
      <c r="CZ223" s="361" t="n"/>
      <c r="DB223" s="357" t="inlineStr">
        <is>
          <t>04</t>
        </is>
      </c>
      <c r="DC223" s="360" t="n"/>
      <c r="DD223" s="361" t="n">
        <v>21.3</v>
      </c>
      <c r="DE223" s="361" t="n"/>
      <c r="DF223" s="361" t="n"/>
      <c r="DG223" s="361" t="n"/>
      <c r="DH223" s="361" t="n"/>
      <c r="DI223" s="361" t="n"/>
      <c r="DJ223" s="357" t="inlineStr">
        <is>
          <t>04</t>
        </is>
      </c>
      <c r="DK223" s="360" t="n"/>
      <c r="DL223" s="361" t="n">
        <v>16.11</v>
      </c>
      <c r="DM223" s="361" t="n"/>
      <c r="DN223" s="361" t="n"/>
      <c r="DO223" s="361" t="n"/>
      <c r="DP223" s="361" t="n"/>
      <c r="DR223" s="357" t="inlineStr">
        <is>
          <t>04</t>
        </is>
      </c>
      <c r="DS223" s="360" t="n"/>
      <c r="DT223" s="361" t="n">
        <v>20.3</v>
      </c>
      <c r="DU223" s="361" t="n"/>
      <c r="DV223" s="361" t="n"/>
      <c r="DW223" s="361" t="n"/>
      <c r="DX223" s="361" t="n"/>
      <c r="DZ223" s="357" t="inlineStr">
        <is>
          <t>04</t>
        </is>
      </c>
      <c r="EA223" s="360" t="n"/>
      <c r="EB223" s="361" t="n"/>
      <c r="EC223" s="361" t="n"/>
      <c r="ED223" s="361" t="n"/>
      <c r="EE223" s="361" t="n"/>
      <c r="EF223" s="361" t="n"/>
    </row>
    <row r="224" customFormat="1" s="359">
      <c r="B224" s="357" t="inlineStr">
        <is>
          <t>05</t>
        </is>
      </c>
      <c r="C224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4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24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24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24" s="361" t="n">
        <v>16.4275</v>
      </c>
      <c r="H224" s="361" t="n">
        <v>21.39</v>
      </c>
      <c r="I224" s="361" t="n"/>
      <c r="J224" s="357" t="inlineStr">
        <is>
          <t>05</t>
        </is>
      </c>
      <c r="K224" s="360" t="n"/>
      <c r="L224" s="361" t="n">
        <v>18.42</v>
      </c>
      <c r="M224" s="361" t="n">
        <v>18.01</v>
      </c>
      <c r="N224" s="361" t="n">
        <v>16.92</v>
      </c>
      <c r="O224" s="361" t="n">
        <v>17.91</v>
      </c>
      <c r="P224" s="361" t="n">
        <v>22.08</v>
      </c>
      <c r="R224" s="357" t="inlineStr">
        <is>
          <t>05</t>
        </is>
      </c>
      <c r="S224" s="360" t="n"/>
      <c r="T224" s="361" t="n">
        <v>17.47</v>
      </c>
      <c r="U224" s="361" t="n">
        <v>18.06</v>
      </c>
      <c r="V224" s="361" t="n">
        <v>16.29</v>
      </c>
      <c r="W224" s="361" t="n">
        <v>17.22</v>
      </c>
      <c r="X224" s="361" t="n">
        <v>21.11</v>
      </c>
      <c r="Z224" s="357" t="inlineStr">
        <is>
          <t>05</t>
        </is>
      </c>
      <c r="AA224" s="360" t="n"/>
      <c r="AB224" s="361" t="n">
        <v>19.13</v>
      </c>
      <c r="AC224" s="361" t="n">
        <v>17.81</v>
      </c>
      <c r="AD224" s="361" t="n">
        <v>16.8</v>
      </c>
      <c r="AE224" s="361" t="n">
        <v>16.8</v>
      </c>
      <c r="AF224" s="361" t="n">
        <v>23.83</v>
      </c>
      <c r="AH224" s="357" t="inlineStr">
        <is>
          <t>05</t>
        </is>
      </c>
      <c r="AI224" s="360" t="n"/>
      <c r="AJ224" s="360" t="n">
        <v>21.3</v>
      </c>
      <c r="AK224" s="361" t="n">
        <v>21.01</v>
      </c>
      <c r="AL224" s="361" t="n">
        <v>19.01</v>
      </c>
      <c r="AM224" s="361" t="n">
        <v>19.52</v>
      </c>
      <c r="AN224" s="361" t="n">
        <v>23.59</v>
      </c>
      <c r="AP224" s="357" t="inlineStr">
        <is>
          <t>05</t>
        </is>
      </c>
      <c r="AQ224" s="360" t="n"/>
      <c r="AR224" s="360" t="n">
        <v>18.29</v>
      </c>
      <c r="AS224" s="361" t="n">
        <v>18.64</v>
      </c>
      <c r="AT224" s="361" t="n">
        <v>17.24</v>
      </c>
      <c r="AU224" s="361" t="n">
        <v>16.67</v>
      </c>
      <c r="AV224" s="361" t="n"/>
      <c r="AX224" s="357" t="inlineStr">
        <is>
          <t>05</t>
        </is>
      </c>
      <c r="AY224" s="360" t="n"/>
      <c r="AZ224" s="360" t="n">
        <v>20.52</v>
      </c>
      <c r="BA224" s="361" t="n">
        <v>20.85</v>
      </c>
      <c r="BB224" s="361" t="n">
        <v>19.73</v>
      </c>
      <c r="BC224" s="361" t="n"/>
      <c r="BD224" s="361" t="n"/>
      <c r="BE224" s="361" t="n"/>
      <c r="BF224" s="357" t="inlineStr">
        <is>
          <t>05</t>
        </is>
      </c>
      <c r="BG224" s="360" t="n"/>
      <c r="BH224" s="361" t="n">
        <v>18.85</v>
      </c>
      <c r="BI224" s="361" t="n">
        <v>18.95</v>
      </c>
      <c r="BJ224" s="361" t="n"/>
      <c r="BK224" s="361" t="n"/>
      <c r="BL224" s="361" t="n"/>
      <c r="BM224" s="361" t="n"/>
      <c r="BN224" s="357" t="inlineStr">
        <is>
          <t>05</t>
        </is>
      </c>
      <c r="BO224" s="360" t="n"/>
      <c r="BP224" s="361" t="n">
        <v>20.33</v>
      </c>
      <c r="BQ224" s="361" t="n">
        <v>20.27</v>
      </c>
      <c r="BR224" s="361" t="n">
        <v>19.15</v>
      </c>
      <c r="BS224" s="361" t="n">
        <v>16.94</v>
      </c>
      <c r="BT224" s="361" t="n">
        <v>0</v>
      </c>
      <c r="BV224" s="357" t="inlineStr">
        <is>
          <t>05</t>
        </is>
      </c>
      <c r="BW224" s="360" t="n"/>
      <c r="BX224" s="361" t="n">
        <v>20.39</v>
      </c>
      <c r="BY224" s="361" t="n">
        <v>21.49</v>
      </c>
      <c r="BZ224" s="361" t="n">
        <v>19.92</v>
      </c>
      <c r="CA224" s="361" t="n">
        <v>19.57</v>
      </c>
      <c r="CB224" s="361" t="n">
        <v>24.61</v>
      </c>
      <c r="CC224" s="361" t="n"/>
      <c r="CD224" s="357" t="inlineStr">
        <is>
          <t>05</t>
        </is>
      </c>
      <c r="CE224" s="360" t="n"/>
      <c r="CF224" s="361" t="n">
        <v>18.82</v>
      </c>
      <c r="CG224" s="361" t="n">
        <v>19.14</v>
      </c>
      <c r="CH224" s="361" t="n">
        <v>17.79</v>
      </c>
      <c r="CI224" s="361" t="n">
        <v>18.94</v>
      </c>
      <c r="CJ224" s="361" t="n">
        <v>6.25</v>
      </c>
      <c r="CL224" s="357" t="inlineStr">
        <is>
          <t>05</t>
        </is>
      </c>
      <c r="CM224" s="360" t="n"/>
      <c r="CN224" s="361" t="n">
        <v>19.99</v>
      </c>
      <c r="CO224" s="361" t="n">
        <v>21.02</v>
      </c>
      <c r="CP224" s="361" t="n">
        <v>19.9</v>
      </c>
      <c r="CQ224" s="361" t="n">
        <v>19.66</v>
      </c>
      <c r="CR224" s="361" t="n">
        <v>22.72</v>
      </c>
      <c r="CT224" s="357" t="inlineStr">
        <is>
          <t>05</t>
        </is>
      </c>
      <c r="CU224" s="360" t="n"/>
      <c r="CV224" s="360" t="n">
        <v>18.67</v>
      </c>
      <c r="CW224" s="361" t="n"/>
      <c r="CX224" s="361" t="n"/>
      <c r="CY224" s="361" t="n"/>
      <c r="CZ224" s="361" t="n"/>
      <c r="DB224" s="357" t="inlineStr">
        <is>
          <t>05</t>
        </is>
      </c>
      <c r="DC224" s="360" t="n"/>
      <c r="DD224" s="361" t="n">
        <v>21.04</v>
      </c>
      <c r="DE224" s="361" t="n"/>
      <c r="DF224" s="361" t="n"/>
      <c r="DG224" s="361" t="n"/>
      <c r="DH224" s="361" t="n"/>
      <c r="DI224" s="361" t="n"/>
      <c r="DJ224" s="357" t="inlineStr">
        <is>
          <t>05</t>
        </is>
      </c>
      <c r="DK224" s="360" t="n"/>
      <c r="DL224" s="361" t="n">
        <v>15.96</v>
      </c>
      <c r="DM224" s="361" t="n"/>
      <c r="DN224" s="361" t="n"/>
      <c r="DO224" s="361" t="n"/>
      <c r="DP224" s="361" t="n"/>
      <c r="DR224" s="357" t="inlineStr">
        <is>
          <t>05</t>
        </is>
      </c>
      <c r="DS224" s="360" t="n"/>
      <c r="DT224" s="361" t="n">
        <v>20.91</v>
      </c>
      <c r="DU224" s="361" t="n"/>
      <c r="DV224" s="361" t="n"/>
      <c r="DW224" s="361" t="n"/>
      <c r="DX224" s="361" t="n"/>
      <c r="DZ224" s="357" t="inlineStr">
        <is>
          <t>05</t>
        </is>
      </c>
      <c r="EA224" s="360" t="n"/>
      <c r="EB224" s="361" t="n"/>
      <c r="EC224" s="361" t="n"/>
      <c r="ED224" s="361" t="n"/>
      <c r="EE224" s="361" t="n"/>
      <c r="EF224" s="361" t="n"/>
    </row>
    <row r="225" customFormat="1" s="359">
      <c r="B225" s="357" t="inlineStr">
        <is>
          <t>06</t>
        </is>
      </c>
      <c r="C225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5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25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25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25" s="361" t="n">
        <v>16.145</v>
      </c>
      <c r="H225" s="361" t="n">
        <v>21.12</v>
      </c>
      <c r="I225" s="361" t="n"/>
      <c r="J225" s="357" t="inlineStr">
        <is>
          <t>06</t>
        </is>
      </c>
      <c r="K225" s="360" t="n"/>
      <c r="L225" s="361" t="n">
        <v>18.27</v>
      </c>
      <c r="M225" s="361" t="n">
        <v>18.01</v>
      </c>
      <c r="N225" s="361" t="n">
        <v>17.32</v>
      </c>
      <c r="O225" s="361" t="n">
        <v>16.78</v>
      </c>
      <c r="P225" s="361" t="n">
        <v>18.24</v>
      </c>
      <c r="R225" s="357" t="inlineStr">
        <is>
          <t>06</t>
        </is>
      </c>
      <c r="S225" s="360" t="n"/>
      <c r="T225" s="361" t="n">
        <v>17.33</v>
      </c>
      <c r="U225" s="361" t="n">
        <v>17.83</v>
      </c>
      <c r="V225" s="361" t="n">
        <v>16.71</v>
      </c>
      <c r="W225" s="361" t="n">
        <v>16.06</v>
      </c>
      <c r="X225" s="361" t="n">
        <v>16.62</v>
      </c>
      <c r="Z225" s="357" t="inlineStr">
        <is>
          <t>06</t>
        </is>
      </c>
      <c r="AA225" s="360" t="n"/>
      <c r="AB225" s="361" t="n">
        <v>18.68</v>
      </c>
      <c r="AC225" s="361" t="n">
        <v>17.76</v>
      </c>
      <c r="AD225" s="361" t="n">
        <v>17.91</v>
      </c>
      <c r="AE225" s="361" t="n">
        <v>16.59</v>
      </c>
      <c r="AF225" s="361" t="n">
        <v>18.14</v>
      </c>
      <c r="AH225" s="357" t="inlineStr">
        <is>
          <t>06</t>
        </is>
      </c>
      <c r="AI225" s="360" t="n"/>
      <c r="AJ225" s="360" t="n">
        <v>21.84</v>
      </c>
      <c r="AK225" s="361" t="n">
        <v>20.76</v>
      </c>
      <c r="AL225" s="361" t="n">
        <v>19.59</v>
      </c>
      <c r="AM225" s="361" t="n">
        <v>18.77</v>
      </c>
      <c r="AN225" s="361" t="n">
        <v>19.49</v>
      </c>
      <c r="AP225" s="357" t="inlineStr">
        <is>
          <t>06</t>
        </is>
      </c>
      <c r="AQ225" s="360" t="n"/>
      <c r="AR225" s="360" t="n">
        <v>18.45</v>
      </c>
      <c r="AS225" s="361" t="n">
        <v>18.42</v>
      </c>
      <c r="AT225" s="361" t="n">
        <v>16.77</v>
      </c>
      <c r="AU225" s="361" t="n">
        <v>14.74</v>
      </c>
      <c r="AV225" s="361" t="n"/>
      <c r="AX225" s="357" t="inlineStr">
        <is>
          <t>06</t>
        </is>
      </c>
      <c r="AY225" s="360" t="n"/>
      <c r="AZ225" s="360" t="n">
        <v>20.62</v>
      </c>
      <c r="BA225" s="361" t="n">
        <v>20.62</v>
      </c>
      <c r="BB225" s="361" t="n">
        <v>19.66</v>
      </c>
      <c r="BC225" s="361" t="n"/>
      <c r="BD225" s="361" t="n"/>
      <c r="BE225" s="361" t="n"/>
      <c r="BF225" s="357" t="inlineStr">
        <is>
          <t>06</t>
        </is>
      </c>
      <c r="BG225" s="360" t="n"/>
      <c r="BH225" s="361" t="n">
        <v>18.94</v>
      </c>
      <c r="BI225" s="361" t="n">
        <v>17.88</v>
      </c>
      <c r="BJ225" s="361" t="n"/>
      <c r="BK225" s="361" t="n"/>
      <c r="BL225" s="361" t="n"/>
      <c r="BM225" s="361" t="n"/>
      <c r="BN225" s="357" t="inlineStr">
        <is>
          <t>06</t>
        </is>
      </c>
      <c r="BO225" s="360" t="n"/>
      <c r="BP225" s="361" t="n">
        <v>20.63</v>
      </c>
      <c r="BQ225" s="361" t="n">
        <v>20.23</v>
      </c>
      <c r="BR225" s="361" t="n">
        <v>19.31</v>
      </c>
      <c r="BS225" s="361" t="n">
        <v>17.52</v>
      </c>
      <c r="BT225" s="361" t="n">
        <v>18.95</v>
      </c>
      <c r="BV225" s="357" t="inlineStr">
        <is>
          <t>06</t>
        </is>
      </c>
      <c r="BW225" s="360" t="n"/>
      <c r="BX225" s="361" t="n">
        <v>20.72</v>
      </c>
      <c r="BY225" s="361" t="n">
        <v>20.66</v>
      </c>
      <c r="BZ225" s="361" t="n">
        <v>20.05</v>
      </c>
      <c r="CA225" s="361" t="n">
        <v>19.18</v>
      </c>
      <c r="CB225" s="361" t="n">
        <v>19.27</v>
      </c>
      <c r="CC225" s="361" t="n"/>
      <c r="CD225" s="357" t="inlineStr">
        <is>
          <t>06</t>
        </is>
      </c>
      <c r="CE225" s="360" t="n"/>
      <c r="CF225" s="361" t="n">
        <v>18.5</v>
      </c>
      <c r="CG225" s="361" t="n">
        <v>18.23</v>
      </c>
      <c r="CH225" s="361" t="n">
        <v>17.84</v>
      </c>
      <c r="CI225" s="361" t="n">
        <v>17.12</v>
      </c>
      <c r="CJ225" s="361" t="n">
        <v>15.95</v>
      </c>
      <c r="CL225" s="357" t="inlineStr">
        <is>
          <t>06</t>
        </is>
      </c>
      <c r="CM225" s="360" t="n"/>
      <c r="CN225" s="361" t="n">
        <v>20.42</v>
      </c>
      <c r="CO225" s="361" t="n">
        <v>20.8</v>
      </c>
      <c r="CP225" s="361" t="n">
        <v>19.87</v>
      </c>
      <c r="CQ225" s="361" t="n">
        <v>19.13</v>
      </c>
      <c r="CR225" s="361" t="n">
        <v>19.34</v>
      </c>
      <c r="CT225" s="357" t="inlineStr">
        <is>
          <t>06</t>
        </is>
      </c>
      <c r="CU225" s="360" t="n"/>
      <c r="CV225" s="360" t="n">
        <v>18.45</v>
      </c>
      <c r="CW225" s="361" t="n"/>
      <c r="CX225" s="361" t="n"/>
      <c r="CY225" s="361" t="n"/>
      <c r="CZ225" s="361" t="n"/>
      <c r="DB225" s="357" t="inlineStr">
        <is>
          <t>06</t>
        </is>
      </c>
      <c r="DC225" s="360" t="n"/>
      <c r="DD225" s="361" t="n">
        <v>21.61</v>
      </c>
      <c r="DE225" s="361" t="n"/>
      <c r="DF225" s="361" t="n"/>
      <c r="DG225" s="361" t="n"/>
      <c r="DH225" s="361" t="n"/>
      <c r="DI225" s="361" t="n"/>
      <c r="DJ225" s="357" t="inlineStr">
        <is>
          <t>06</t>
        </is>
      </c>
      <c r="DK225" s="360" t="n"/>
      <c r="DL225" s="361" t="n">
        <v>16.33</v>
      </c>
      <c r="DM225" s="361" t="n"/>
      <c r="DN225" s="361" t="n"/>
      <c r="DO225" s="361" t="n"/>
      <c r="DP225" s="361" t="n"/>
      <c r="DR225" s="357" t="inlineStr">
        <is>
          <t>06</t>
        </is>
      </c>
      <c r="DS225" s="360" t="n"/>
      <c r="DT225" s="361" t="n">
        <v>20.89</v>
      </c>
      <c r="DU225" s="361" t="n"/>
      <c r="DV225" s="361" t="n"/>
      <c r="DW225" s="361" t="n"/>
      <c r="DX225" s="361" t="n"/>
      <c r="DZ225" s="357" t="inlineStr">
        <is>
          <t>06</t>
        </is>
      </c>
      <c r="EA225" s="360" t="n"/>
      <c r="EB225" s="361" t="n"/>
      <c r="EC225" s="361" t="n"/>
      <c r="ED225" s="361" t="n"/>
      <c r="EE225" s="361" t="n"/>
      <c r="EF225" s="361" t="n"/>
    </row>
    <row r="226" customFormat="1" s="359">
      <c r="B226" s="357" t="inlineStr">
        <is>
          <t>07</t>
        </is>
      </c>
      <c r="C226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6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26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26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26" s="361" t="n">
        <v>16.365</v>
      </c>
      <c r="H226" s="361" t="n">
        <v>16.2475</v>
      </c>
      <c r="I226" s="361" t="n"/>
      <c r="J226" s="357" t="inlineStr">
        <is>
          <t>07</t>
        </is>
      </c>
      <c r="K226" s="360" t="n"/>
      <c r="L226" s="361" t="n">
        <v>18.68</v>
      </c>
      <c r="M226" s="361" t="n">
        <v>18.53</v>
      </c>
      <c r="N226" s="361" t="n">
        <v>17.23</v>
      </c>
      <c r="O226" s="361" t="n">
        <v>17.73</v>
      </c>
      <c r="P226" s="361" t="n">
        <v>17.15</v>
      </c>
      <c r="R226" s="357" t="inlineStr">
        <is>
          <t>07</t>
        </is>
      </c>
      <c r="S226" s="360" t="n"/>
      <c r="T226" s="361" t="n">
        <v>17.61</v>
      </c>
      <c r="U226" s="361" t="n">
        <v>17.96</v>
      </c>
      <c r="V226" s="361" t="n">
        <v>17.54</v>
      </c>
      <c r="W226" s="361" t="n">
        <v>16.91</v>
      </c>
      <c r="X226" s="361" t="n">
        <v>16.33</v>
      </c>
      <c r="Z226" s="357" t="inlineStr">
        <is>
          <t>07</t>
        </is>
      </c>
      <c r="AA226" s="360" t="n"/>
      <c r="AB226" s="361" t="n">
        <v>19.01</v>
      </c>
      <c r="AC226" s="361" t="n">
        <v>18.38</v>
      </c>
      <c r="AD226" s="361" t="n">
        <v>18.18</v>
      </c>
      <c r="AE226" s="361" t="n">
        <v>17.15</v>
      </c>
      <c r="AF226" s="361" t="n">
        <v>17.51</v>
      </c>
      <c r="AH226" s="357" t="inlineStr">
        <is>
          <t>07</t>
        </is>
      </c>
      <c r="AI226" s="360" t="n"/>
      <c r="AJ226" s="360" t="n">
        <v>21.56</v>
      </c>
      <c r="AK226" s="361" t="n">
        <v>22.04</v>
      </c>
      <c r="AL226" s="361" t="n">
        <v>19.94</v>
      </c>
      <c r="AM226" s="361" t="n">
        <v>19.76</v>
      </c>
      <c r="AN226" s="361" t="n">
        <v>18.93</v>
      </c>
      <c r="AP226" s="357" t="inlineStr">
        <is>
          <t>07</t>
        </is>
      </c>
      <c r="AQ226" s="360" t="n"/>
      <c r="AR226" s="360" t="n">
        <v>19.48</v>
      </c>
      <c r="AS226" s="361" t="n">
        <v>18.74</v>
      </c>
      <c r="AT226" s="361" t="n">
        <v>17.36</v>
      </c>
      <c r="AU226" s="361" t="n">
        <v>16.93</v>
      </c>
      <c r="AV226" s="361" t="n"/>
      <c r="AX226" s="357" t="inlineStr">
        <is>
          <t>07</t>
        </is>
      </c>
      <c r="AY226" s="360" t="n"/>
      <c r="AZ226" s="360" t="n">
        <v>20.87</v>
      </c>
      <c r="BA226" s="361" t="n">
        <v>21.42</v>
      </c>
      <c r="BB226" s="361" t="n">
        <v>19.71</v>
      </c>
      <c r="BC226" s="361" t="n">
        <v>23.09</v>
      </c>
      <c r="BD226" s="361" t="n"/>
      <c r="BE226" s="361" t="n"/>
      <c r="BF226" s="357" t="inlineStr">
        <is>
          <t>07</t>
        </is>
      </c>
      <c r="BG226" s="360" t="n"/>
      <c r="BH226" s="361" t="n">
        <v>18.91</v>
      </c>
      <c r="BI226" s="361" t="n">
        <v>18.78</v>
      </c>
      <c r="BJ226" s="361" t="n"/>
      <c r="BK226" s="361" t="n"/>
      <c r="BL226" s="361" t="n"/>
      <c r="BM226" s="361" t="n"/>
      <c r="BN226" s="357" t="inlineStr">
        <is>
          <t>07</t>
        </is>
      </c>
      <c r="BO226" s="360" t="n"/>
      <c r="BP226" s="361" t="n">
        <v>21.22</v>
      </c>
      <c r="BQ226" s="361" t="n">
        <v>21.36</v>
      </c>
      <c r="BR226" s="361" t="n">
        <v>19.76</v>
      </c>
      <c r="BS226" s="361" t="n">
        <v>19.79</v>
      </c>
      <c r="BT226" s="361" t="n">
        <v>19.46</v>
      </c>
      <c r="BV226" s="357" t="inlineStr">
        <is>
          <t>07</t>
        </is>
      </c>
      <c r="BW226" s="360" t="n"/>
      <c r="BX226" s="361" t="n">
        <v>20.81</v>
      </c>
      <c r="BY226" s="361" t="n">
        <v>22.5</v>
      </c>
      <c r="BZ226" s="361" t="n">
        <v>20.14</v>
      </c>
      <c r="CA226" s="361" t="n">
        <v>19.7</v>
      </c>
      <c r="CB226" s="361" t="n">
        <v>19.54</v>
      </c>
      <c r="CC226" s="361" t="n"/>
      <c r="CD226" s="357" t="inlineStr">
        <is>
          <t>07</t>
        </is>
      </c>
      <c r="CE226" s="360" t="n"/>
      <c r="CF226" s="361" t="n">
        <v>18.81</v>
      </c>
      <c r="CG226" s="361" t="n">
        <v>19.09</v>
      </c>
      <c r="CH226" s="361" t="n">
        <v>17.71</v>
      </c>
      <c r="CI226" s="361" t="n">
        <v>17.55</v>
      </c>
      <c r="CJ226" s="361" t="n">
        <v>15.63</v>
      </c>
      <c r="CL226" s="357" t="inlineStr">
        <is>
          <t>07</t>
        </is>
      </c>
      <c r="CM226" s="360" t="n"/>
      <c r="CN226" s="361" t="n">
        <v>20.34</v>
      </c>
      <c r="CO226" s="361" t="n">
        <v>22.02</v>
      </c>
      <c r="CP226" s="361" t="n">
        <v>19.61</v>
      </c>
      <c r="CQ226" s="361" t="n">
        <v>19.09</v>
      </c>
      <c r="CR226" s="361" t="n">
        <v>18.27</v>
      </c>
      <c r="CT226" s="357" t="inlineStr">
        <is>
          <t>07</t>
        </is>
      </c>
      <c r="CU226" s="360" t="n"/>
      <c r="CV226" s="360" t="n">
        <v>18.62</v>
      </c>
      <c r="CW226" s="361" t="n"/>
      <c r="CX226" s="361" t="n"/>
      <c r="CY226" s="361" t="n"/>
      <c r="CZ226" s="361" t="n"/>
      <c r="DB226" s="357" t="inlineStr">
        <is>
          <t>07</t>
        </is>
      </c>
      <c r="DC226" s="360" t="n"/>
      <c r="DD226" s="361" t="n">
        <v>22.42</v>
      </c>
      <c r="DE226" s="361" t="n"/>
      <c r="DF226" s="361" t="n"/>
      <c r="DG226" s="361" t="n"/>
      <c r="DH226" s="361" t="n"/>
      <c r="DI226" s="361" t="n"/>
      <c r="DJ226" s="357" t="inlineStr">
        <is>
          <t>07</t>
        </is>
      </c>
      <c r="DK226" s="360" t="n"/>
      <c r="DL226" s="361" t="n">
        <v>16.71</v>
      </c>
      <c r="DM226" s="361" t="n"/>
      <c r="DN226" s="361" t="n"/>
      <c r="DO226" s="361" t="n"/>
      <c r="DP226" s="361" t="n"/>
      <c r="DR226" s="357" t="inlineStr">
        <is>
          <t>07</t>
        </is>
      </c>
      <c r="DS226" s="360" t="n"/>
      <c r="DT226" s="361" t="n">
        <v>21.29</v>
      </c>
      <c r="DU226" s="361" t="n"/>
      <c r="DV226" s="361" t="n"/>
      <c r="DW226" s="361" t="n"/>
      <c r="DX226" s="361" t="n"/>
      <c r="DZ226" s="357" t="inlineStr">
        <is>
          <t>07</t>
        </is>
      </c>
      <c r="EA226" s="360" t="n"/>
      <c r="EB226" s="361" t="n"/>
      <c r="EC226" s="361" t="n"/>
      <c r="ED226" s="361" t="n"/>
      <c r="EE226" s="361" t="n"/>
      <c r="EF226" s="361" t="n"/>
    </row>
    <row r="227" customFormat="1" s="359">
      <c r="B227" s="357" t="inlineStr">
        <is>
          <t>08</t>
        </is>
      </c>
      <c r="C227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7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27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27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27" s="361" t="n">
        <v>17.1425</v>
      </c>
      <c r="H227" s="361" t="n">
        <v>16.9225</v>
      </c>
      <c r="I227" s="361" t="n"/>
      <c r="J227" s="357" t="inlineStr">
        <is>
          <t>08</t>
        </is>
      </c>
      <c r="K227" s="360" t="n"/>
      <c r="L227" s="361" t="n">
        <v>19.42</v>
      </c>
      <c r="M227" s="361" t="n">
        <v>19.03</v>
      </c>
      <c r="N227" s="361" t="n">
        <v>17.46</v>
      </c>
      <c r="O227" s="361" t="n">
        <v>17.85</v>
      </c>
      <c r="P227" s="361" t="n">
        <v>17.23</v>
      </c>
      <c r="R227" s="357" t="inlineStr">
        <is>
          <t>08</t>
        </is>
      </c>
      <c r="S227" s="360" t="n"/>
      <c r="T227" s="361" t="n">
        <v>18.82</v>
      </c>
      <c r="U227" s="361" t="n">
        <v>18.33</v>
      </c>
      <c r="V227" s="361" t="n">
        <v>17.12</v>
      </c>
      <c r="W227" s="361" t="n">
        <v>17.14</v>
      </c>
      <c r="X227" s="361" t="n">
        <v>17.2</v>
      </c>
      <c r="Z227" s="357" t="inlineStr">
        <is>
          <t>08</t>
        </is>
      </c>
      <c r="AA227" s="360" t="n"/>
      <c r="AB227" s="361" t="n">
        <v>19.34</v>
      </c>
      <c r="AC227" s="361" t="n">
        <v>18.71</v>
      </c>
      <c r="AD227" s="361" t="n">
        <v>18.44</v>
      </c>
      <c r="AE227" s="361" t="n">
        <v>17.88</v>
      </c>
      <c r="AF227" s="361" t="n">
        <v>18.63</v>
      </c>
      <c r="AH227" s="357" t="inlineStr">
        <is>
          <t>08</t>
        </is>
      </c>
      <c r="AI227" s="360" t="n"/>
      <c r="AJ227" s="360" t="n">
        <v>22.32</v>
      </c>
      <c r="AK227" s="361" t="n">
        <v>21.84</v>
      </c>
      <c r="AL227" s="361" t="n">
        <v>19.69</v>
      </c>
      <c r="AM227" s="361" t="n">
        <v>20.57</v>
      </c>
      <c r="AN227" s="361" t="n">
        <v>19.45</v>
      </c>
      <c r="AP227" s="357" t="inlineStr">
        <is>
          <t>08</t>
        </is>
      </c>
      <c r="AQ227" s="360" t="n"/>
      <c r="AR227" s="360" t="n">
        <v>20.13</v>
      </c>
      <c r="AS227" s="361" t="n">
        <v>18.94</v>
      </c>
      <c r="AT227" s="361" t="n">
        <v>17.59</v>
      </c>
      <c r="AU227" s="361" t="n">
        <v>16.78</v>
      </c>
      <c r="AV227" s="361" t="n"/>
      <c r="AX227" s="357" t="inlineStr">
        <is>
          <t>08</t>
        </is>
      </c>
      <c r="AY227" s="360" t="n"/>
      <c r="AZ227" s="360" t="n">
        <v>21.31</v>
      </c>
      <c r="BA227" s="361" t="n">
        <v>21.84</v>
      </c>
      <c r="BB227" s="361" t="n">
        <v>19.8</v>
      </c>
      <c r="BC227" s="361" t="n">
        <v>21.2</v>
      </c>
      <c r="BD227" s="361" t="n"/>
      <c r="BE227" s="361" t="n"/>
      <c r="BF227" s="357" t="inlineStr">
        <is>
          <t>08</t>
        </is>
      </c>
      <c r="BG227" s="360" t="n"/>
      <c r="BH227" s="361" t="n">
        <v>19.83</v>
      </c>
      <c r="BI227" s="361" t="n">
        <v>18.81</v>
      </c>
      <c r="BJ227" s="361" t="n"/>
      <c r="BK227" s="361" t="n"/>
      <c r="BL227" s="361" t="n"/>
      <c r="BM227" s="361" t="n"/>
      <c r="BN227" s="357" t="inlineStr">
        <is>
          <t>08</t>
        </is>
      </c>
      <c r="BO227" s="360" t="n"/>
      <c r="BP227" s="361" t="n">
        <v>22.28</v>
      </c>
      <c r="BQ227" s="361" t="n">
        <v>21.75</v>
      </c>
      <c r="BR227" s="361" t="n">
        <v>19.59</v>
      </c>
      <c r="BS227" s="361" t="n">
        <v>20.45</v>
      </c>
      <c r="BT227" s="361" t="n">
        <v>20.61</v>
      </c>
      <c r="BV227" s="357" t="inlineStr">
        <is>
          <t>08</t>
        </is>
      </c>
      <c r="BW227" s="360" t="n"/>
      <c r="BX227" s="361" t="n">
        <v>22.12</v>
      </c>
      <c r="BY227" s="361" t="n">
        <v>22.56</v>
      </c>
      <c r="BZ227" s="361" t="n">
        <v>20.28</v>
      </c>
      <c r="CA227" s="361" t="n">
        <v>20.57</v>
      </c>
      <c r="CB227" s="361" t="n">
        <v>20.31</v>
      </c>
      <c r="CC227" s="361" t="n"/>
      <c r="CD227" s="357" t="inlineStr">
        <is>
          <t>08</t>
        </is>
      </c>
      <c r="CE227" s="360" t="n"/>
      <c r="CF227" s="361" t="n">
        <v>19.42</v>
      </c>
      <c r="CG227" s="361" t="n">
        <v>19.77</v>
      </c>
      <c r="CH227" s="361" t="n">
        <v>18.96</v>
      </c>
      <c r="CI227" s="361" t="n">
        <v>18.32</v>
      </c>
      <c r="CJ227" s="361" t="n">
        <v>17.87</v>
      </c>
      <c r="CL227" s="357" t="inlineStr">
        <is>
          <t>08</t>
        </is>
      </c>
      <c r="CM227" s="360" t="n"/>
      <c r="CN227" s="361" t="n">
        <v>21.14</v>
      </c>
      <c r="CO227" s="361" t="n">
        <v>21.56</v>
      </c>
      <c r="CP227" s="361" t="n">
        <v>19.97</v>
      </c>
      <c r="CQ227" s="361" t="n">
        <v>19.94</v>
      </c>
      <c r="CR227" s="361" t="n">
        <v>19.01</v>
      </c>
      <c r="CT227" s="357" t="inlineStr">
        <is>
          <t>08</t>
        </is>
      </c>
      <c r="CU227" s="360" t="n"/>
      <c r="CV227" s="360" t="n">
        <v>18.98</v>
      </c>
      <c r="CW227" s="361" t="n"/>
      <c r="CX227" s="361" t="n"/>
      <c r="CY227" s="361" t="n"/>
      <c r="CZ227" s="361" t="n"/>
      <c r="DB227" s="357" t="inlineStr">
        <is>
          <t>08</t>
        </is>
      </c>
      <c r="DC227" s="360" t="n"/>
      <c r="DD227" s="361" t="n">
        <v>22.83</v>
      </c>
      <c r="DE227" s="361" t="n"/>
      <c r="DF227" s="361" t="n"/>
      <c r="DG227" s="361" t="n"/>
      <c r="DH227" s="361" t="n"/>
      <c r="DI227" s="361" t="n"/>
      <c r="DJ227" s="357" t="inlineStr">
        <is>
          <t>08</t>
        </is>
      </c>
      <c r="DK227" s="360" t="n"/>
      <c r="DL227" s="361" t="n">
        <v>17.1</v>
      </c>
      <c r="DM227" s="361" t="n"/>
      <c r="DN227" s="361" t="n"/>
      <c r="DO227" s="361" t="n"/>
      <c r="DP227" s="361" t="n"/>
      <c r="DR227" s="357" t="inlineStr">
        <is>
          <t>08</t>
        </is>
      </c>
      <c r="DS227" s="360" t="n"/>
      <c r="DT227" s="361" t="n">
        <v>21.78</v>
      </c>
      <c r="DU227" s="361" t="n"/>
      <c r="DV227" s="361" t="n"/>
      <c r="DW227" s="361" t="n"/>
      <c r="DX227" s="361" t="n"/>
      <c r="DZ227" s="357" t="inlineStr">
        <is>
          <t>08</t>
        </is>
      </c>
      <c r="EA227" s="360" t="n"/>
      <c r="EB227" s="361" t="n">
        <v>21.37</v>
      </c>
      <c r="EC227" s="361" t="n"/>
      <c r="ED227" s="361" t="n"/>
      <c r="EE227" s="361" t="n"/>
      <c r="EF227" s="361" t="n"/>
    </row>
    <row r="228" customFormat="1" s="359">
      <c r="B228" s="357" t="inlineStr">
        <is>
          <t>09</t>
        </is>
      </c>
      <c r="C228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8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28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28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28" s="361" t="n">
        <v>16.315</v>
      </c>
      <c r="H228" s="361" t="n">
        <v>16.02</v>
      </c>
      <c r="I228" s="361" t="n"/>
      <c r="J228" s="357" t="inlineStr">
        <is>
          <t>09</t>
        </is>
      </c>
      <c r="K228" s="360" t="n"/>
      <c r="L228" s="361" t="n">
        <v>18.27</v>
      </c>
      <c r="M228" s="361" t="n">
        <v>17.77</v>
      </c>
      <c r="N228" s="361" t="n">
        <v>16.52</v>
      </c>
      <c r="O228" s="361" t="n">
        <v>16.71</v>
      </c>
      <c r="P228" s="361" t="n">
        <v>15.82</v>
      </c>
      <c r="R228" s="357" t="inlineStr">
        <is>
          <t>09</t>
        </is>
      </c>
      <c r="S228" s="360" t="n"/>
      <c r="T228" s="361" t="n">
        <v>17.98</v>
      </c>
      <c r="U228" s="361" t="n">
        <v>18.57</v>
      </c>
      <c r="V228" s="361" t="n">
        <v>17.09</v>
      </c>
      <c r="W228" s="361" t="n">
        <v>16.18</v>
      </c>
      <c r="X228" s="361" t="n">
        <v>15.98</v>
      </c>
      <c r="Z228" s="357" t="inlineStr">
        <is>
          <t>09</t>
        </is>
      </c>
      <c r="AA228" s="360" t="n"/>
      <c r="AB228" s="361" t="n">
        <v>19.14</v>
      </c>
      <c r="AC228" s="361" t="n">
        <v>18.02</v>
      </c>
      <c r="AD228" s="361" t="n">
        <v>16.7</v>
      </c>
      <c r="AE228" s="361" t="n">
        <v>16.77</v>
      </c>
      <c r="AF228" s="361" t="n">
        <v>17.52</v>
      </c>
      <c r="AH228" s="357" t="inlineStr">
        <is>
          <t>09</t>
        </is>
      </c>
      <c r="AI228" s="360" t="n"/>
      <c r="AJ228" s="360" t="n">
        <v>21.77</v>
      </c>
      <c r="AK228" s="361" t="n">
        <v>21.02</v>
      </c>
      <c r="AL228" s="361" t="n">
        <v>19.38</v>
      </c>
      <c r="AM228" s="361" t="n">
        <v>18.35</v>
      </c>
      <c r="AN228" s="361" t="n">
        <v>17.94</v>
      </c>
      <c r="AP228" s="357" t="inlineStr">
        <is>
          <t>09</t>
        </is>
      </c>
      <c r="AQ228" s="360" t="n"/>
      <c r="AR228" s="360" t="n">
        <v>19.36</v>
      </c>
      <c r="AS228" s="361" t="n">
        <v>18.63</v>
      </c>
      <c r="AT228" s="361" t="n">
        <v>17.7</v>
      </c>
      <c r="AU228" s="361" t="n">
        <v>16.97</v>
      </c>
      <c r="AV228" s="361" t="n"/>
      <c r="AX228" s="357" t="inlineStr">
        <is>
          <t>09</t>
        </is>
      </c>
      <c r="AY228" s="360" t="n"/>
      <c r="AZ228" s="360" t="n">
        <v>20.96</v>
      </c>
      <c r="BA228" s="361" t="n">
        <v>21.88</v>
      </c>
      <c r="BB228" s="361" t="n">
        <v>19.5</v>
      </c>
      <c r="BC228" s="361" t="n">
        <v>20.43</v>
      </c>
      <c r="BD228" s="361" t="n"/>
      <c r="BE228" s="361" t="n"/>
      <c r="BF228" s="357" t="inlineStr">
        <is>
          <t>09</t>
        </is>
      </c>
      <c r="BG228" s="360" t="n"/>
      <c r="BH228" s="361" t="n">
        <v>19.68</v>
      </c>
      <c r="BI228" s="361" t="n">
        <v>18.54</v>
      </c>
      <c r="BJ228" s="361" t="n"/>
      <c r="BK228" s="361" t="n"/>
      <c r="BL228" s="361" t="n"/>
      <c r="BM228" s="361" t="n"/>
      <c r="BN228" s="357" t="inlineStr">
        <is>
          <t>09</t>
        </is>
      </c>
      <c r="BO228" s="360" t="n"/>
      <c r="BP228" s="361" t="n">
        <v>20.41</v>
      </c>
      <c r="BQ228" s="361" t="n">
        <v>19.59</v>
      </c>
      <c r="BR228" s="361" t="n">
        <v>18.33</v>
      </c>
      <c r="BS228" s="361" t="n">
        <v>16.76</v>
      </c>
      <c r="BT228" s="361" t="n">
        <v>16.07</v>
      </c>
      <c r="BV228" s="357" t="inlineStr">
        <is>
          <t>09</t>
        </is>
      </c>
      <c r="BW228" s="360" t="n"/>
      <c r="BX228" s="361" t="n">
        <v>21.35</v>
      </c>
      <c r="BY228" s="361" t="n">
        <v>21.71</v>
      </c>
      <c r="BZ228" s="361" t="n">
        <v>20.33</v>
      </c>
      <c r="CA228" s="361" t="n">
        <v>18.66</v>
      </c>
      <c r="CB228" s="361" t="n">
        <v>18.15</v>
      </c>
      <c r="CC228" s="361" t="n"/>
      <c r="CD228" s="357" t="inlineStr">
        <is>
          <t>09</t>
        </is>
      </c>
      <c r="CE228" s="360" t="n"/>
      <c r="CF228" s="361" t="n">
        <v>19.07</v>
      </c>
      <c r="CG228" s="361" t="n">
        <v>19.34</v>
      </c>
      <c r="CH228" s="361" t="n">
        <v>18.6</v>
      </c>
      <c r="CI228" s="361" t="n">
        <v>17.47</v>
      </c>
      <c r="CJ228" s="361" t="n">
        <v>15.48</v>
      </c>
      <c r="CL228" s="357" t="inlineStr">
        <is>
          <t>09</t>
        </is>
      </c>
      <c r="CM228" s="360" t="n"/>
      <c r="CN228" s="361" t="n">
        <v>21.05</v>
      </c>
      <c r="CO228" s="361" t="n">
        <v>21.44</v>
      </c>
      <c r="CP228" s="361" t="n">
        <v>19.28</v>
      </c>
      <c r="CQ228" s="361" t="n">
        <v>18.82</v>
      </c>
      <c r="CR228" s="361" t="n">
        <v>17.44</v>
      </c>
      <c r="CT228" s="357" t="inlineStr">
        <is>
          <t>09</t>
        </is>
      </c>
      <c r="CU228" s="360" t="n"/>
      <c r="CV228" s="360" t="n">
        <v>18.33</v>
      </c>
      <c r="CW228" s="361" t="n"/>
      <c r="CX228" s="361" t="n"/>
      <c r="CY228" s="361" t="n"/>
      <c r="CZ228" s="361" t="n"/>
      <c r="DB228" s="357" t="inlineStr">
        <is>
          <t>09</t>
        </is>
      </c>
      <c r="DC228" s="360" t="n"/>
      <c r="DD228" s="361" t="n">
        <v>22.6</v>
      </c>
      <c r="DE228" s="361" t="n"/>
      <c r="DF228" s="361" t="n"/>
      <c r="DG228" s="361" t="n"/>
      <c r="DH228" s="361" t="n"/>
      <c r="DI228" s="361" t="n"/>
      <c r="DJ228" s="357" t="inlineStr">
        <is>
          <t>09</t>
        </is>
      </c>
      <c r="DK228" s="360" t="n"/>
      <c r="DL228" s="361" t="n">
        <v>16.41</v>
      </c>
      <c r="DM228" s="361" t="n"/>
      <c r="DN228" s="361" t="n"/>
      <c r="DO228" s="361" t="n"/>
      <c r="DP228" s="361" t="n"/>
      <c r="DR228" s="357" t="inlineStr">
        <is>
          <t>09</t>
        </is>
      </c>
      <c r="DS228" s="360" t="n"/>
      <c r="DT228" s="361" t="n">
        <v>21.44</v>
      </c>
      <c r="DU228" s="361" t="n"/>
      <c r="DV228" s="361" t="n"/>
      <c r="DW228" s="361" t="n"/>
      <c r="DX228" s="361" t="n"/>
      <c r="DZ228" s="357" t="inlineStr">
        <is>
          <t>09</t>
        </is>
      </c>
      <c r="EA228" s="360" t="n"/>
      <c r="EB228" s="361" t="n">
        <v>21.51</v>
      </c>
      <c r="EC228" s="361" t="n"/>
      <c r="ED228" s="361" t="n"/>
      <c r="EE228" s="361" t="n"/>
      <c r="EF228" s="361" t="n"/>
    </row>
    <row r="229" customFormat="1" s="359">
      <c r="B229" s="357" t="inlineStr">
        <is>
          <t>10</t>
        </is>
      </c>
      <c r="C229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9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29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29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29" s="361" t="n">
        <v>16.445</v>
      </c>
      <c r="H229" s="361" t="n">
        <v>16.2825</v>
      </c>
      <c r="I229" s="361" t="n"/>
      <c r="J229" s="357" t="inlineStr">
        <is>
          <t>10</t>
        </is>
      </c>
      <c r="K229" s="360" t="n"/>
      <c r="L229" s="361" t="n">
        <v>18.65</v>
      </c>
      <c r="M229" s="361" t="n">
        <v>18.6</v>
      </c>
      <c r="N229" s="361" t="n">
        <v>17.34</v>
      </c>
      <c r="O229" s="361" t="n">
        <v>16.3</v>
      </c>
      <c r="P229" s="361" t="n">
        <v>17.27</v>
      </c>
      <c r="R229" s="357" t="inlineStr">
        <is>
          <t>10</t>
        </is>
      </c>
      <c r="S229" s="360" t="n"/>
      <c r="T229" s="361" t="n">
        <v>17.24</v>
      </c>
      <c r="U229" s="361" t="n">
        <v>17.7</v>
      </c>
      <c r="V229" s="361" t="n">
        <v>17.31</v>
      </c>
      <c r="W229" s="361" t="n">
        <v>15.78</v>
      </c>
      <c r="X229" s="361" t="n">
        <v>16.48</v>
      </c>
      <c r="Z229" s="357" t="inlineStr">
        <is>
          <t>10</t>
        </is>
      </c>
      <c r="AA229" s="360" t="n"/>
      <c r="AB229" s="361" t="n">
        <v>18.17</v>
      </c>
      <c r="AC229" s="361" t="n">
        <v>18.6</v>
      </c>
      <c r="AD229" s="361" t="n">
        <v>17.2</v>
      </c>
      <c r="AE229" s="361" t="n">
        <v>15.45</v>
      </c>
      <c r="AF229" s="361" t="n">
        <v>17.98</v>
      </c>
      <c r="AH229" s="357" t="inlineStr">
        <is>
          <t>10</t>
        </is>
      </c>
      <c r="AI229" s="360" t="n"/>
      <c r="AJ229" s="360" t="n">
        <v>20.69</v>
      </c>
      <c r="AK229" s="361" t="n">
        <v>20.62</v>
      </c>
      <c r="AL229" s="361" t="n">
        <v>20.15</v>
      </c>
      <c r="AM229" s="361" t="n">
        <v>18.35</v>
      </c>
      <c r="AN229" s="361" t="n">
        <v>17.99</v>
      </c>
      <c r="AP229" s="357" t="inlineStr">
        <is>
          <t>10</t>
        </is>
      </c>
      <c r="AQ229" s="360" t="n"/>
      <c r="AR229" s="360" t="n">
        <v>18.97</v>
      </c>
      <c r="AS229" s="361" t="n">
        <v>18.61</v>
      </c>
      <c r="AT229" s="361" t="n">
        <v>17.98</v>
      </c>
      <c r="AU229" s="361" t="n">
        <v>16.22</v>
      </c>
      <c r="AV229" s="361" t="n"/>
      <c r="AX229" s="357" t="inlineStr">
        <is>
          <t>10</t>
        </is>
      </c>
      <c r="AY229" s="360" t="n"/>
      <c r="AZ229" s="360" t="n">
        <v>20.55</v>
      </c>
      <c r="BA229" s="361" t="n">
        <v>21.97</v>
      </c>
      <c r="BB229" s="361" t="n">
        <v>20.2</v>
      </c>
      <c r="BC229" s="361" t="n">
        <v>19.15</v>
      </c>
      <c r="BD229" s="361" t="n"/>
      <c r="BE229" s="361" t="n"/>
      <c r="BF229" s="357" t="inlineStr">
        <is>
          <t>10</t>
        </is>
      </c>
      <c r="BG229" s="360" t="n"/>
      <c r="BH229" s="361" t="n">
        <v>19.18</v>
      </c>
      <c r="BI229" s="361" t="n">
        <v>19.48</v>
      </c>
      <c r="BJ229" s="361" t="n"/>
      <c r="BK229" s="361" t="n"/>
      <c r="BL229" s="361" t="n"/>
      <c r="BM229" s="361" t="n"/>
      <c r="BN229" s="357" t="inlineStr">
        <is>
          <t>10</t>
        </is>
      </c>
      <c r="BO229" s="360" t="n"/>
      <c r="BP229" s="361" t="n">
        <v>20.12</v>
      </c>
      <c r="BQ229" s="361" t="n">
        <v>20.47</v>
      </c>
      <c r="BR229" s="361" t="n">
        <v>19.69</v>
      </c>
      <c r="BS229" s="361" t="n">
        <v>17.48</v>
      </c>
      <c r="BT229" s="361" t="n">
        <v>17.91</v>
      </c>
      <c r="BV229" s="357" t="inlineStr">
        <is>
          <t>10</t>
        </is>
      </c>
      <c r="BW229" s="360" t="n"/>
      <c r="BX229" s="361" t="n">
        <v>20.11</v>
      </c>
      <c r="BY229" s="361" t="n">
        <v>21.64</v>
      </c>
      <c r="BZ229" s="361" t="n">
        <v>21</v>
      </c>
      <c r="CA229" s="361" t="n">
        <v>18.44</v>
      </c>
      <c r="CB229" s="361" t="n">
        <v>19.73</v>
      </c>
      <c r="CC229" s="361" t="n"/>
      <c r="CD229" s="357" t="inlineStr">
        <is>
          <t>10</t>
        </is>
      </c>
      <c r="CE229" s="360" t="n"/>
      <c r="CF229" s="361" t="n">
        <v>19.25</v>
      </c>
      <c r="CG229" s="361" t="n">
        <v>19.37</v>
      </c>
      <c r="CH229" s="361" t="n">
        <v>19.19</v>
      </c>
      <c r="CI229" s="361" t="n">
        <v>17.36</v>
      </c>
      <c r="CJ229" s="361" t="n">
        <v>16.14</v>
      </c>
      <c r="CL229" s="357" t="inlineStr">
        <is>
          <t>10</t>
        </is>
      </c>
      <c r="CM229" s="360" t="n"/>
      <c r="CN229" s="361" t="n">
        <v>20.32</v>
      </c>
      <c r="CO229" s="361" t="n">
        <v>22.49</v>
      </c>
      <c r="CP229" s="361" t="n">
        <v>19.62</v>
      </c>
      <c r="CQ229" s="361" t="n">
        <v>18.89</v>
      </c>
      <c r="CR229" s="361" t="n">
        <v>18.49</v>
      </c>
      <c r="CT229" s="357" t="inlineStr">
        <is>
          <t>10</t>
        </is>
      </c>
      <c r="CU229" s="360" t="n"/>
      <c r="CV229" s="360" t="n">
        <v>17.75</v>
      </c>
      <c r="CW229" s="361" t="n"/>
      <c r="CX229" s="361" t="n"/>
      <c r="CY229" s="361" t="n"/>
      <c r="CZ229" s="361" t="n"/>
      <c r="DB229" s="357" t="inlineStr">
        <is>
          <t>10</t>
        </is>
      </c>
      <c r="DC229" s="360" t="n"/>
      <c r="DD229" s="361" t="n">
        <v>21.57</v>
      </c>
      <c r="DE229" s="361" t="n"/>
      <c r="DF229" s="361" t="n"/>
      <c r="DG229" s="361" t="n"/>
      <c r="DH229" s="361" t="n"/>
      <c r="DI229" s="361" t="n"/>
      <c r="DJ229" s="357" t="inlineStr">
        <is>
          <t>10</t>
        </is>
      </c>
      <c r="DK229" s="360" t="n"/>
      <c r="DL229" s="361" t="n">
        <v>16.23</v>
      </c>
      <c r="DM229" s="361" t="n"/>
      <c r="DN229" s="361" t="n"/>
      <c r="DO229" s="361" t="n"/>
      <c r="DP229" s="361" t="n"/>
      <c r="DR229" s="357" t="inlineStr">
        <is>
          <t>10</t>
        </is>
      </c>
      <c r="DS229" s="360" t="n"/>
      <c r="DT229" s="361" t="n">
        <v>20.83</v>
      </c>
      <c r="DU229" s="361" t="n"/>
      <c r="DV229" s="361" t="n"/>
      <c r="DW229" s="361" t="n"/>
      <c r="DX229" s="361" t="n"/>
      <c r="DZ229" s="357" t="inlineStr">
        <is>
          <t>10</t>
        </is>
      </c>
      <c r="EA229" s="360" t="n"/>
      <c r="EB229" s="361" t="n">
        <v>20.03</v>
      </c>
      <c r="EC229" s="361" t="n"/>
      <c r="ED229" s="361" t="n"/>
      <c r="EE229" s="361" t="n"/>
      <c r="EF229" s="361" t="n"/>
    </row>
    <row r="230" customFormat="1" s="359">
      <c r="B230" s="357" t="inlineStr">
        <is>
          <t>11</t>
        </is>
      </c>
      <c r="C230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30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30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30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30" s="361" t="n">
        <v>16.2375</v>
      </c>
      <c r="H230" s="361" t="n">
        <v>16.2025</v>
      </c>
      <c r="I230" s="361" t="n"/>
      <c r="J230" s="357" t="inlineStr">
        <is>
          <t>11</t>
        </is>
      </c>
      <c r="K230" s="360" t="n"/>
      <c r="L230" s="361" t="n">
        <v>19.84</v>
      </c>
      <c r="M230" s="361" t="n">
        <v>17.81</v>
      </c>
      <c r="N230" s="361" t="n">
        <v>17.3</v>
      </c>
      <c r="O230" s="361" t="n">
        <v>14.83</v>
      </c>
      <c r="P230" s="361" t="n">
        <v>21.97</v>
      </c>
      <c r="R230" s="357" t="inlineStr">
        <is>
          <t>11</t>
        </is>
      </c>
      <c r="S230" s="360" t="n"/>
      <c r="T230" s="361" t="n">
        <v>18.84</v>
      </c>
      <c r="U230" s="361" t="n">
        <v>17.71</v>
      </c>
      <c r="V230" s="361" t="n">
        <v>17.62</v>
      </c>
      <c r="W230" s="361" t="n">
        <v>15.11</v>
      </c>
      <c r="X230" s="361" t="n">
        <v>20.4</v>
      </c>
      <c r="Z230" s="357" t="inlineStr">
        <is>
          <t>11</t>
        </is>
      </c>
      <c r="AA230" s="360" t="n"/>
      <c r="AB230" s="361" t="n">
        <v>20.08</v>
      </c>
      <c r="AC230" s="361" t="n">
        <v>18.27</v>
      </c>
      <c r="AD230" s="361" t="n">
        <v>17.22</v>
      </c>
      <c r="AE230" s="361" t="n">
        <v>15.39</v>
      </c>
      <c r="AF230" s="361" t="n">
        <v>22.25</v>
      </c>
      <c r="AH230" s="357" t="inlineStr">
        <is>
          <t>11</t>
        </is>
      </c>
      <c r="AI230" s="360" t="n"/>
      <c r="AJ230" s="360" t="n">
        <v>23.05</v>
      </c>
      <c r="AK230" s="361" t="n">
        <v>21.21</v>
      </c>
      <c r="AL230" s="361" t="n">
        <v>20.58</v>
      </c>
      <c r="AM230" s="361" t="n">
        <v>17.22</v>
      </c>
      <c r="AN230" s="361" t="n">
        <v>12.06</v>
      </c>
      <c r="AP230" s="357" t="inlineStr">
        <is>
          <t>11</t>
        </is>
      </c>
      <c r="AQ230" s="360" t="n"/>
      <c r="AR230" s="360" t="n">
        <v>20.17</v>
      </c>
      <c r="AS230" s="361" t="n">
        <v>18.28</v>
      </c>
      <c r="AT230" s="361" t="n">
        <v>18.26</v>
      </c>
      <c r="AU230" s="361" t="n">
        <v>14.31</v>
      </c>
      <c r="AV230" s="361" t="n"/>
      <c r="AX230" s="357" t="inlineStr">
        <is>
          <t>11</t>
        </is>
      </c>
      <c r="AY230" s="360" t="n"/>
      <c r="AZ230" s="360" t="n">
        <v>22.37</v>
      </c>
      <c r="BA230" s="361" t="n">
        <v>21.78</v>
      </c>
      <c r="BB230" s="361" t="n">
        <v>20.6</v>
      </c>
      <c r="BC230" s="361" t="n">
        <v>16.16</v>
      </c>
      <c r="BD230" s="361" t="n"/>
      <c r="BE230" s="361" t="n"/>
      <c r="BF230" s="357" t="inlineStr">
        <is>
          <t>11</t>
        </is>
      </c>
      <c r="BG230" s="360" t="n"/>
      <c r="BH230" s="361" t="n">
        <v>21.07</v>
      </c>
      <c r="BI230" s="361" t="n">
        <v>19.76</v>
      </c>
      <c r="BJ230" s="361" t="n"/>
      <c r="BK230" s="361" t="n"/>
      <c r="BL230" s="361" t="n"/>
      <c r="BM230" s="361" t="n"/>
      <c r="BN230" s="357" t="inlineStr">
        <is>
          <t>11</t>
        </is>
      </c>
      <c r="BO230" s="360" t="n"/>
      <c r="BP230" s="361" t="n">
        <v>21.66</v>
      </c>
      <c r="BQ230" s="361" t="n">
        <v>20.25</v>
      </c>
      <c r="BR230" s="361" t="n">
        <v>19.63</v>
      </c>
      <c r="BS230" s="361" t="n">
        <v>15.77</v>
      </c>
      <c r="BT230" s="361" t="n">
        <v>14.49</v>
      </c>
      <c r="BV230" s="357" t="inlineStr">
        <is>
          <t>11</t>
        </is>
      </c>
      <c r="BW230" s="360" t="n"/>
      <c r="BX230" s="361" t="n">
        <v>21.96</v>
      </c>
      <c r="BY230" s="361" t="n">
        <v>21.25</v>
      </c>
      <c r="BZ230" s="361" t="n">
        <v>20.54</v>
      </c>
      <c r="CA230" s="361" t="n">
        <v>17.31</v>
      </c>
      <c r="CB230" s="361" t="n">
        <v>24.06</v>
      </c>
      <c r="CC230" s="361" t="n"/>
      <c r="CD230" s="357" t="inlineStr">
        <is>
          <t>11</t>
        </is>
      </c>
      <c r="CE230" s="360" t="n"/>
      <c r="CF230" s="361" t="n">
        <v>20.32</v>
      </c>
      <c r="CG230" s="361" t="n">
        <v>19.94</v>
      </c>
      <c r="CH230" s="361" t="n">
        <v>19.26</v>
      </c>
      <c r="CI230" s="361" t="n">
        <v>17.09</v>
      </c>
      <c r="CJ230" s="361" t="n">
        <v>14.11</v>
      </c>
      <c r="CL230" s="357" t="inlineStr">
        <is>
          <t>11</t>
        </is>
      </c>
      <c r="CM230" s="360" t="n"/>
      <c r="CN230" s="361" t="n">
        <v>22.09</v>
      </c>
      <c r="CO230" s="361" t="n">
        <v>21.57</v>
      </c>
      <c r="CP230" s="361" t="n">
        <v>19.9</v>
      </c>
      <c r="CQ230" s="361" t="n">
        <v>17.21</v>
      </c>
      <c r="CR230" s="361" t="n">
        <v>19.26</v>
      </c>
      <c r="CT230" s="357" t="inlineStr">
        <is>
          <t>11</t>
        </is>
      </c>
      <c r="CU230" s="360" t="n"/>
      <c r="CV230" s="360" t="n">
        <v>19.38</v>
      </c>
      <c r="CW230" s="361" t="n"/>
      <c r="CX230" s="361" t="n"/>
      <c r="CY230" s="361" t="n"/>
      <c r="CZ230" s="361" t="n"/>
      <c r="DB230" s="357" t="inlineStr">
        <is>
          <t>11</t>
        </is>
      </c>
      <c r="DC230" s="360" t="n"/>
      <c r="DD230" s="361" t="n">
        <v>23.28</v>
      </c>
      <c r="DE230" s="361" t="n"/>
      <c r="DF230" s="361" t="n"/>
      <c r="DG230" s="361" t="n"/>
      <c r="DH230" s="361" t="n"/>
      <c r="DI230" s="361" t="n"/>
      <c r="DJ230" s="357" t="inlineStr">
        <is>
          <t>11</t>
        </is>
      </c>
      <c r="DK230" s="360" t="n"/>
      <c r="DL230" s="361" t="n">
        <v>16.93</v>
      </c>
      <c r="DM230" s="361" t="n"/>
      <c r="DN230" s="361" t="n"/>
      <c r="DO230" s="361" t="n"/>
      <c r="DP230" s="361" t="n"/>
      <c r="DR230" s="357" t="inlineStr">
        <is>
          <t>11</t>
        </is>
      </c>
      <c r="DS230" s="360" t="n"/>
      <c r="DT230" s="361" t="n">
        <v>22.3</v>
      </c>
      <c r="DU230" s="361" t="n"/>
      <c r="DV230" s="361" t="n"/>
      <c r="DW230" s="361" t="n"/>
      <c r="DX230" s="361" t="n"/>
      <c r="DZ230" s="357" t="inlineStr">
        <is>
          <t>11</t>
        </is>
      </c>
      <c r="EA230" s="360" t="n"/>
      <c r="EB230" s="361" t="n">
        <v>22.09</v>
      </c>
      <c r="EC230" s="361" t="n"/>
      <c r="ED230" s="361" t="n"/>
      <c r="EE230" s="361" t="n"/>
      <c r="EF230" s="361" t="n"/>
    </row>
    <row r="231" customFormat="1" s="359">
      <c r="B231" s="357" t="inlineStr">
        <is>
          <t>12</t>
        </is>
      </c>
      <c r="C231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31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31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31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31" s="361" t="n">
        <v>17.23</v>
      </c>
      <c r="H231" s="361" t="n">
        <v>16.9275</v>
      </c>
      <c r="I231" s="361" t="n"/>
      <c r="J231" s="357" t="inlineStr">
        <is>
          <t>12</t>
        </is>
      </c>
      <c r="K231" s="360" t="n"/>
      <c r="L231" s="361" t="n">
        <v>19.9</v>
      </c>
      <c r="M231" s="361" t="n">
        <v>18.62</v>
      </c>
      <c r="N231" s="361" t="n">
        <v>18.51</v>
      </c>
      <c r="O231" s="361" t="n">
        <v>16.55</v>
      </c>
      <c r="P231" s="361" t="n">
        <v>20.41</v>
      </c>
      <c r="R231" s="357" t="inlineStr">
        <is>
          <t>12</t>
        </is>
      </c>
      <c r="S231" s="360" t="n">
        <v>18.8</v>
      </c>
      <c r="T231" s="361" t="n">
        <v>18.8</v>
      </c>
      <c r="U231" s="361" t="n">
        <v>18.65</v>
      </c>
      <c r="V231" s="361" t="n">
        <v>18.19</v>
      </c>
      <c r="W231" s="361" t="n">
        <v>16.55</v>
      </c>
      <c r="X231" s="361" t="n">
        <v>19.91</v>
      </c>
      <c r="Z231" s="357" t="inlineStr">
        <is>
          <t>12</t>
        </is>
      </c>
      <c r="AA231" s="360" t="n"/>
      <c r="AB231" s="361" t="n">
        <v>20.15</v>
      </c>
      <c r="AC231" s="361" t="n">
        <v>19.79</v>
      </c>
      <c r="AD231" s="361" t="n">
        <v>18.96</v>
      </c>
      <c r="AE231" s="361" t="n">
        <v>17.67</v>
      </c>
      <c r="AF231" s="361" t="n">
        <v>22.48</v>
      </c>
      <c r="AH231" s="357" t="inlineStr">
        <is>
          <t>12</t>
        </is>
      </c>
      <c r="AI231" s="360" t="n"/>
      <c r="AJ231" s="360" t="n">
        <v>22.93</v>
      </c>
      <c r="AK231" s="361" t="n">
        <v>21.87</v>
      </c>
      <c r="AL231" s="361" t="n">
        <v>21.78</v>
      </c>
      <c r="AM231" s="361" t="n">
        <v>19.13</v>
      </c>
      <c r="AN231" s="361" t="n">
        <v>21.82</v>
      </c>
      <c r="AP231" s="357" t="inlineStr">
        <is>
          <t>12</t>
        </is>
      </c>
      <c r="AQ231" s="360" t="n"/>
      <c r="AR231" s="360" t="n">
        <v>19.7</v>
      </c>
      <c r="AS231" s="361" t="n">
        <v>19.33</v>
      </c>
      <c r="AT231" s="361" t="n">
        <v>19.15</v>
      </c>
      <c r="AU231" s="361" t="n">
        <v>16.62</v>
      </c>
      <c r="AV231" s="361" t="n"/>
      <c r="AX231" s="357" t="inlineStr">
        <is>
          <t>12</t>
        </is>
      </c>
      <c r="AY231" s="360" t="n"/>
      <c r="AZ231" s="360" t="n">
        <v>23.21</v>
      </c>
      <c r="BA231" s="361" t="n">
        <v>22.72</v>
      </c>
      <c r="BB231" s="361" t="n">
        <v>21.91</v>
      </c>
      <c r="BC231" s="361" t="n">
        <v>19.03</v>
      </c>
      <c r="BD231" s="361" t="n"/>
      <c r="BE231" s="361" t="n"/>
      <c r="BF231" s="357" t="inlineStr">
        <is>
          <t>12</t>
        </is>
      </c>
      <c r="BG231" s="360" t="n"/>
      <c r="BH231" s="361" t="n">
        <v>20.33</v>
      </c>
      <c r="BI231" s="361" t="n">
        <v>20.66</v>
      </c>
      <c r="BJ231" s="361" t="n"/>
      <c r="BK231" s="361" t="n"/>
      <c r="BL231" s="361" t="n"/>
      <c r="BM231" s="361" t="n"/>
      <c r="BN231" s="357" t="inlineStr">
        <is>
          <t>12</t>
        </is>
      </c>
      <c r="BO231" s="360" t="n"/>
      <c r="BP231" s="361" t="n">
        <v>20.56</v>
      </c>
      <c r="BQ231" s="361" t="n">
        <v>20.43</v>
      </c>
      <c r="BR231" s="361" t="n">
        <v>20.58</v>
      </c>
      <c r="BS231" s="361" t="n">
        <v>18.59</v>
      </c>
      <c r="BT231" s="361" t="n">
        <v>23.86</v>
      </c>
      <c r="BV231" s="357" t="inlineStr">
        <is>
          <t>12</t>
        </is>
      </c>
      <c r="BW231" s="360" t="n"/>
      <c r="BX231" s="361" t="n">
        <v>22.02</v>
      </c>
      <c r="BY231" s="361" t="n">
        <v>21.45</v>
      </c>
      <c r="BZ231" s="361" t="n">
        <v>22.03</v>
      </c>
      <c r="CA231" s="361" t="n">
        <v>19.35</v>
      </c>
      <c r="CB231" s="361" t="n">
        <v>22.73</v>
      </c>
      <c r="CC231" s="361" t="n"/>
      <c r="CD231" s="357" t="inlineStr">
        <is>
          <t>12</t>
        </is>
      </c>
      <c r="CE231" s="360" t="n"/>
      <c r="CF231" s="361" t="n">
        <v>19.59</v>
      </c>
      <c r="CG231" s="361" t="n">
        <v>19.89</v>
      </c>
      <c r="CH231" s="361" t="n">
        <v>19.78</v>
      </c>
      <c r="CI231" s="361" t="n">
        <v>18.22</v>
      </c>
      <c r="CJ231" s="361" t="n">
        <v>18.95</v>
      </c>
      <c r="CL231" s="357" t="inlineStr">
        <is>
          <t>12</t>
        </is>
      </c>
      <c r="CM231" s="360" t="n"/>
      <c r="CN231" s="361" t="n">
        <v>20.86</v>
      </c>
      <c r="CO231" s="361" t="n">
        <v>20.84</v>
      </c>
      <c r="CP231" s="361" t="n">
        <v>21.56</v>
      </c>
      <c r="CQ231" s="361" t="n">
        <v>18.75</v>
      </c>
      <c r="CR231" s="361" t="n">
        <v>21.41</v>
      </c>
      <c r="CT231" s="357" t="inlineStr">
        <is>
          <t>12</t>
        </is>
      </c>
      <c r="CU231" s="360" t="n"/>
      <c r="CV231" s="360" t="n">
        <v>19.56</v>
      </c>
      <c r="CW231" s="361" t="n"/>
      <c r="CX231" s="361" t="n"/>
      <c r="CY231" s="361" t="n"/>
      <c r="CZ231" s="361" t="n"/>
      <c r="DB231" s="357" t="inlineStr">
        <is>
          <t>12</t>
        </is>
      </c>
      <c r="DC231" s="360" t="n"/>
      <c r="DD231" s="361" t="n">
        <v>22.76</v>
      </c>
      <c r="DE231" s="361" t="n"/>
      <c r="DF231" s="361" t="n"/>
      <c r="DG231" s="361" t="n"/>
      <c r="DH231" s="361" t="n"/>
      <c r="DI231" s="361" t="n"/>
      <c r="DJ231" s="357" t="inlineStr">
        <is>
          <t>12</t>
        </is>
      </c>
      <c r="DK231" s="360" t="n"/>
      <c r="DL231" s="361" t="n">
        <v>16.54</v>
      </c>
      <c r="DM231" s="361" t="n"/>
      <c r="DN231" s="361" t="n"/>
      <c r="DO231" s="361" t="n"/>
      <c r="DP231" s="361" t="n"/>
      <c r="DR231" s="357" t="inlineStr">
        <is>
          <t>12</t>
        </is>
      </c>
      <c r="DS231" s="360" t="n"/>
      <c r="DT231" s="361" t="n">
        <v>22.01</v>
      </c>
      <c r="DU231" s="361" t="n"/>
      <c r="DV231" s="361" t="n"/>
      <c r="DW231" s="361" t="n"/>
      <c r="DX231" s="361" t="n"/>
      <c r="DZ231" s="357" t="inlineStr">
        <is>
          <t>12</t>
        </is>
      </c>
      <c r="EA231" s="360" t="n"/>
      <c r="EB231" s="361" t="n">
        <v>22.21</v>
      </c>
      <c r="EC231" s="361" t="n"/>
      <c r="ED231" s="361" t="n"/>
      <c r="EE231" s="361" t="n"/>
      <c r="EF231" s="361" t="n"/>
    </row>
    <row r="233" ht="15.75" customHeight="1" s="161">
      <c r="B233" s="355" t="inlineStr">
        <is>
          <t>Global</t>
        </is>
      </c>
      <c r="J233" s="355" t="inlineStr">
        <is>
          <t>GLR5</t>
        </is>
      </c>
      <c r="R233" s="355" t="inlineStr">
        <is>
          <t>HTR8</t>
        </is>
      </c>
      <c r="Z233" s="355" t="inlineStr">
        <is>
          <t>TIRR</t>
        </is>
      </c>
      <c r="AH233" s="355" t="inlineStr">
        <is>
          <t>VR7</t>
        </is>
      </c>
      <c r="AP233" s="355" t="inlineStr">
        <is>
          <t>TURVILLA</t>
        </is>
      </c>
      <c r="AX233" s="355" t="inlineStr">
        <is>
          <t>HART</t>
        </is>
      </c>
      <c r="BF233" s="355" t="inlineStr">
        <is>
          <t>VICTOIRE</t>
        </is>
      </c>
      <c r="BN233" s="355" t="inlineStr">
        <is>
          <t>TH4</t>
        </is>
      </c>
      <c r="BV233" s="355" t="inlineStr">
        <is>
          <t>TL DIVES</t>
        </is>
      </c>
      <c r="CD233" s="355" t="inlineStr">
        <is>
          <t>R3 14</t>
        </is>
      </c>
      <c r="CL233" s="355" t="inlineStr">
        <is>
          <t>LYSE</t>
        </is>
      </c>
      <c r="CT233" s="355" t="inlineStr">
        <is>
          <t>ARTHUR</t>
        </is>
      </c>
      <c r="DB233" s="355" t="inlineStr">
        <is>
          <t>HUGO</t>
        </is>
      </c>
      <c r="DJ233" s="355" t="inlineStr">
        <is>
          <t>JEANCLO</t>
        </is>
      </c>
      <c r="DR233" s="355" t="inlineStr">
        <is>
          <t>THOMAS</t>
        </is>
      </c>
      <c r="DZ233" s="355" t="inlineStr">
        <is>
          <t>CATALINA</t>
        </is>
      </c>
    </row>
    <row r="235" ht="18.6" customFormat="1" customHeight="1" s="188">
      <c r="A235" s="356" t="inlineStr">
        <is>
          <t>Paniers moyens total</t>
        </is>
      </c>
      <c r="B235" s="186" t="inlineStr">
        <is>
          <t>MOIS</t>
        </is>
      </c>
      <c r="C235" s="187" t="inlineStr">
        <is>
          <t>2024</t>
        </is>
      </c>
      <c r="D235" s="187" t="inlineStr">
        <is>
          <t>2023</t>
        </is>
      </c>
      <c r="E235" s="187" t="inlineStr">
        <is>
          <t>2022</t>
        </is>
      </c>
      <c r="F235" s="187" t="inlineStr">
        <is>
          <t>2021</t>
        </is>
      </c>
      <c r="G235" s="187" t="inlineStr">
        <is>
          <t>2020</t>
        </is>
      </c>
      <c r="H235" s="187" t="inlineStr">
        <is>
          <t>2019</t>
        </is>
      </c>
      <c r="I235" s="187" t="n"/>
      <c r="J235" s="186" t="inlineStr">
        <is>
          <t>MOIS</t>
        </is>
      </c>
      <c r="K235" s="186" t="inlineStr">
        <is>
          <t>2025</t>
        </is>
      </c>
      <c r="L235" s="186" t="inlineStr">
        <is>
          <t>2024</t>
        </is>
      </c>
      <c r="M235" s="186" t="inlineStr">
        <is>
          <t>2023</t>
        </is>
      </c>
      <c r="N235" s="186" t="inlineStr">
        <is>
          <t>2022</t>
        </is>
      </c>
      <c r="O235" s="186" t="inlineStr">
        <is>
          <t>2021</t>
        </is>
      </c>
      <c r="P235" s="186" t="inlineStr">
        <is>
          <t>2020</t>
        </is>
      </c>
      <c r="R235" s="186" t="inlineStr">
        <is>
          <t>MOIS</t>
        </is>
      </c>
      <c r="S235" s="186" t="inlineStr">
        <is>
          <t>2025</t>
        </is>
      </c>
      <c r="T235" s="186" t="inlineStr">
        <is>
          <t>2024</t>
        </is>
      </c>
      <c r="U235" s="186" t="inlineStr">
        <is>
          <t>2023</t>
        </is>
      </c>
      <c r="V235" s="186" t="inlineStr">
        <is>
          <t>2022</t>
        </is>
      </c>
      <c r="W235" s="186" t="inlineStr">
        <is>
          <t>2021</t>
        </is>
      </c>
      <c r="X235" s="186" t="inlineStr">
        <is>
          <t>2020</t>
        </is>
      </c>
      <c r="Z235" s="186" t="inlineStr">
        <is>
          <t>MOIS</t>
        </is>
      </c>
      <c r="AA235" s="186" t="inlineStr">
        <is>
          <t>2025</t>
        </is>
      </c>
      <c r="AB235" s="186" t="inlineStr">
        <is>
          <t>2024</t>
        </is>
      </c>
      <c r="AC235" s="186" t="inlineStr">
        <is>
          <t>2023</t>
        </is>
      </c>
      <c r="AD235" s="186" t="inlineStr">
        <is>
          <t>2022</t>
        </is>
      </c>
      <c r="AE235" s="186" t="inlineStr">
        <is>
          <t>2021</t>
        </is>
      </c>
      <c r="AF235" s="186" t="inlineStr">
        <is>
          <t>2020</t>
        </is>
      </c>
      <c r="AH235" s="186" t="inlineStr">
        <is>
          <t>MOIS</t>
        </is>
      </c>
      <c r="AI235" s="186" t="inlineStr">
        <is>
          <t>2025</t>
        </is>
      </c>
      <c r="AJ235" s="186" t="inlineStr">
        <is>
          <t>2024</t>
        </is>
      </c>
      <c r="AK235" s="186" t="inlineStr">
        <is>
          <t>2023</t>
        </is>
      </c>
      <c r="AL235" s="186" t="inlineStr">
        <is>
          <t>2022</t>
        </is>
      </c>
      <c r="AM235" s="186" t="inlineStr">
        <is>
          <t>2021</t>
        </is>
      </c>
      <c r="AN235" s="186" t="inlineStr">
        <is>
          <t>2020</t>
        </is>
      </c>
      <c r="AP235" s="186" t="inlineStr">
        <is>
          <t>MOIS</t>
        </is>
      </c>
      <c r="AQ235" s="186" t="inlineStr">
        <is>
          <t>2025</t>
        </is>
      </c>
      <c r="AR235" s="186" t="inlineStr">
        <is>
          <t>2024</t>
        </is>
      </c>
      <c r="AS235" s="186" t="inlineStr">
        <is>
          <t>2023</t>
        </is>
      </c>
      <c r="AT235" s="186" t="inlineStr">
        <is>
          <t>2022</t>
        </is>
      </c>
      <c r="AU235" s="186" t="inlineStr">
        <is>
          <t>2021</t>
        </is>
      </c>
      <c r="AV235" s="186" t="inlineStr">
        <is>
          <t>2020</t>
        </is>
      </c>
      <c r="AX235" s="186" t="inlineStr">
        <is>
          <t>MOIS</t>
        </is>
      </c>
      <c r="AY235" s="186" t="inlineStr">
        <is>
          <t>2025</t>
        </is>
      </c>
      <c r="AZ235" s="186" t="inlineStr">
        <is>
          <t>2024</t>
        </is>
      </c>
      <c r="BA235" s="186" t="inlineStr">
        <is>
          <t>2023</t>
        </is>
      </c>
      <c r="BB235" s="186" t="inlineStr">
        <is>
          <t>2022</t>
        </is>
      </c>
      <c r="BC235" s="186" t="inlineStr">
        <is>
          <t>2021</t>
        </is>
      </c>
      <c r="BD235" s="186" t="inlineStr">
        <is>
          <t>2020</t>
        </is>
      </c>
      <c r="BE235" s="187" t="n"/>
      <c r="BF235" s="186" t="inlineStr">
        <is>
          <t>MOIS</t>
        </is>
      </c>
      <c r="BG235" s="186" t="inlineStr">
        <is>
          <t>2025</t>
        </is>
      </c>
      <c r="BH235" s="186" t="inlineStr">
        <is>
          <t>2024</t>
        </is>
      </c>
      <c r="BI235" s="186" t="inlineStr">
        <is>
          <t>2023</t>
        </is>
      </c>
      <c r="BJ235" s="186" t="inlineStr">
        <is>
          <t>2022</t>
        </is>
      </c>
      <c r="BK235" s="186" t="inlineStr">
        <is>
          <t>2021</t>
        </is>
      </c>
      <c r="BL235" s="186" t="inlineStr">
        <is>
          <t>2020</t>
        </is>
      </c>
      <c r="BM235" s="186" t="n"/>
      <c r="BN235" s="186" t="inlineStr">
        <is>
          <t>MOIS</t>
        </is>
      </c>
      <c r="BO235" s="187" t="inlineStr">
        <is>
          <t>2025</t>
        </is>
      </c>
      <c r="BP235" s="187" t="inlineStr">
        <is>
          <t>2024</t>
        </is>
      </c>
      <c r="BQ235" s="187" t="inlineStr">
        <is>
          <t>2023</t>
        </is>
      </c>
      <c r="BR235" s="187" t="inlineStr">
        <is>
          <t>2022</t>
        </is>
      </c>
      <c r="BS235" s="187" t="inlineStr">
        <is>
          <t>2021</t>
        </is>
      </c>
      <c r="BT235" s="187" t="inlineStr">
        <is>
          <t>2020</t>
        </is>
      </c>
      <c r="BV235" s="186" t="inlineStr">
        <is>
          <t>MOIS</t>
        </is>
      </c>
      <c r="BW235" s="187" t="inlineStr">
        <is>
          <t>2025</t>
        </is>
      </c>
      <c r="BX235" s="187" t="inlineStr">
        <is>
          <t>2024</t>
        </is>
      </c>
      <c r="BY235" s="187" t="inlineStr">
        <is>
          <t>2023</t>
        </is>
      </c>
      <c r="BZ235" s="187" t="inlineStr">
        <is>
          <t>2022</t>
        </is>
      </c>
      <c r="CA235" s="187" t="inlineStr">
        <is>
          <t>2021</t>
        </is>
      </c>
      <c r="CB235" s="187" t="inlineStr">
        <is>
          <t>2020</t>
        </is>
      </c>
      <c r="CC235" s="187" t="n"/>
      <c r="CD235" s="186" t="inlineStr">
        <is>
          <t>MOIS</t>
        </is>
      </c>
      <c r="CE235" s="187" t="inlineStr">
        <is>
          <t>2025</t>
        </is>
      </c>
      <c r="CF235" s="187" t="inlineStr">
        <is>
          <t>2024</t>
        </is>
      </c>
      <c r="CG235" s="187" t="inlineStr">
        <is>
          <t>2023</t>
        </is>
      </c>
      <c r="CH235" s="187" t="inlineStr">
        <is>
          <t>2022</t>
        </is>
      </c>
      <c r="CI235" s="187" t="inlineStr">
        <is>
          <t>2021</t>
        </is>
      </c>
      <c r="CJ235" s="187" t="inlineStr">
        <is>
          <t>2020</t>
        </is>
      </c>
      <c r="CL235" s="186" t="inlineStr">
        <is>
          <t>MOIS</t>
        </is>
      </c>
      <c r="CM235" s="187" t="inlineStr">
        <is>
          <t>2025</t>
        </is>
      </c>
      <c r="CN235" s="187" t="inlineStr">
        <is>
          <t>2024</t>
        </is>
      </c>
      <c r="CO235" s="187" t="inlineStr">
        <is>
          <t>2023</t>
        </is>
      </c>
      <c r="CP235" s="187" t="inlineStr">
        <is>
          <t>2022</t>
        </is>
      </c>
      <c r="CQ235" s="187" t="inlineStr">
        <is>
          <t>2021</t>
        </is>
      </c>
      <c r="CR235" s="187" t="inlineStr">
        <is>
          <t>2020</t>
        </is>
      </c>
      <c r="CT235" s="186" t="inlineStr">
        <is>
          <t>MOIS</t>
        </is>
      </c>
      <c r="CU235" s="187" t="inlineStr">
        <is>
          <t>2025</t>
        </is>
      </c>
      <c r="CV235" s="187" t="inlineStr">
        <is>
          <t>2024</t>
        </is>
      </c>
      <c r="CW235" s="187" t="inlineStr">
        <is>
          <t>2023</t>
        </is>
      </c>
      <c r="CX235" s="187" t="inlineStr">
        <is>
          <t>2022</t>
        </is>
      </c>
      <c r="CY235" s="187" t="inlineStr">
        <is>
          <t>2021</t>
        </is>
      </c>
      <c r="CZ235" s="187" t="inlineStr">
        <is>
          <t>2020</t>
        </is>
      </c>
      <c r="DB235" s="186" t="inlineStr">
        <is>
          <t>MOIS</t>
        </is>
      </c>
      <c r="DC235" s="187" t="inlineStr">
        <is>
          <t>2025</t>
        </is>
      </c>
      <c r="DD235" s="187" t="inlineStr">
        <is>
          <t>2024</t>
        </is>
      </c>
      <c r="DE235" s="187" t="inlineStr">
        <is>
          <t>2023</t>
        </is>
      </c>
      <c r="DF235" s="187" t="inlineStr">
        <is>
          <t>2022</t>
        </is>
      </c>
      <c r="DG235" s="187" t="inlineStr">
        <is>
          <t>2021</t>
        </is>
      </c>
      <c r="DH235" s="187" t="inlineStr">
        <is>
          <t>2020</t>
        </is>
      </c>
      <c r="DI235" s="187" t="n"/>
      <c r="DJ235" s="186" t="inlineStr">
        <is>
          <t>MOIS</t>
        </is>
      </c>
      <c r="DK235" s="187" t="inlineStr">
        <is>
          <t>2025</t>
        </is>
      </c>
      <c r="DL235" s="187" t="inlineStr">
        <is>
          <t>2024</t>
        </is>
      </c>
      <c r="DM235" s="187" t="inlineStr">
        <is>
          <t>2023</t>
        </is>
      </c>
      <c r="DN235" s="187" t="inlineStr">
        <is>
          <t>2022</t>
        </is>
      </c>
      <c r="DO235" s="187" t="inlineStr">
        <is>
          <t>2021</t>
        </is>
      </c>
      <c r="DP235" s="187" t="inlineStr">
        <is>
          <t>2020</t>
        </is>
      </c>
      <c r="DR235" s="186" t="inlineStr">
        <is>
          <t>MOIS</t>
        </is>
      </c>
      <c r="DS235" s="187" t="inlineStr">
        <is>
          <t>2025</t>
        </is>
      </c>
      <c r="DT235" s="187" t="inlineStr">
        <is>
          <t>2024</t>
        </is>
      </c>
      <c r="DU235" s="187" t="inlineStr">
        <is>
          <t>2023</t>
        </is>
      </c>
      <c r="DV235" s="187" t="inlineStr">
        <is>
          <t>2022</t>
        </is>
      </c>
      <c r="DW235" s="187" t="inlineStr">
        <is>
          <t>2021</t>
        </is>
      </c>
      <c r="DX235" s="187" t="inlineStr">
        <is>
          <t>2020</t>
        </is>
      </c>
      <c r="DZ235" s="186" t="inlineStr">
        <is>
          <t>MOIS</t>
        </is>
      </c>
      <c r="EA235" s="187" t="inlineStr">
        <is>
          <t>2025</t>
        </is>
      </c>
      <c r="EB235" s="187" t="inlineStr">
        <is>
          <t>2024</t>
        </is>
      </c>
      <c r="EC235" s="187" t="inlineStr">
        <is>
          <t>2023</t>
        </is>
      </c>
      <c r="ED235" s="187" t="inlineStr">
        <is>
          <t>2022</t>
        </is>
      </c>
      <c r="EE235" s="187" t="inlineStr">
        <is>
          <t>2021</t>
        </is>
      </c>
      <c r="EF235" s="187" t="inlineStr">
        <is>
          <t>2020</t>
        </is>
      </c>
    </row>
    <row r="236" customFormat="1" s="359">
      <c r="B236" s="357" t="inlineStr">
        <is>
          <t>01</t>
        </is>
      </c>
      <c r="C236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36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36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36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36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36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36" s="361" t="n"/>
      <c r="J236" s="357" t="inlineStr">
        <is>
          <t>01</t>
        </is>
      </c>
      <c r="K236" s="360" t="n">
        <v>17.13</v>
      </c>
      <c r="L236" s="361" t="n">
        <v>16.05</v>
      </c>
      <c r="M236" s="361" t="n">
        <v>16.24</v>
      </c>
      <c r="N236" s="361" t="n">
        <v>15.34</v>
      </c>
      <c r="O236" s="361" t="n">
        <v>16.3</v>
      </c>
      <c r="P236" s="361" t="n">
        <v>13.9</v>
      </c>
      <c r="R236" s="357" t="inlineStr">
        <is>
          <t>01</t>
        </is>
      </c>
      <c r="S236" s="360" t="n">
        <v>16.55</v>
      </c>
      <c r="T236" s="361" t="n">
        <v>16.23</v>
      </c>
      <c r="U236" s="361" t="n">
        <v>15.96</v>
      </c>
      <c r="V236" s="361" t="n">
        <v>15.72</v>
      </c>
      <c r="W236" s="361" t="n">
        <v>16.3</v>
      </c>
      <c r="X236" s="361" t="n">
        <v>13.62</v>
      </c>
      <c r="Z236" s="357" t="inlineStr">
        <is>
          <t>01</t>
        </is>
      </c>
      <c r="AA236" s="360" t="n">
        <v>15.91</v>
      </c>
      <c r="AB236" s="361" t="n">
        <v>16.26</v>
      </c>
      <c r="AC236" s="361" t="n">
        <v>15.37</v>
      </c>
      <c r="AD236" s="361" t="n">
        <v>15.22</v>
      </c>
      <c r="AE236" s="361" t="n">
        <v>17.04</v>
      </c>
      <c r="AF236" s="361" t="n">
        <v>13.51</v>
      </c>
      <c r="AH236" s="357" t="inlineStr">
        <is>
          <t>01</t>
        </is>
      </c>
      <c r="AI236" s="360" t="n"/>
      <c r="AJ236" s="360" t="n">
        <v>18.23</v>
      </c>
      <c r="AK236" s="361" t="n">
        <v>18.08</v>
      </c>
      <c r="AL236" s="361" t="n">
        <v>17.45</v>
      </c>
      <c r="AM236" s="361" t="n">
        <v>17.36</v>
      </c>
      <c r="AN236" s="361" t="n">
        <v>14.42</v>
      </c>
      <c r="AP236" s="357" t="inlineStr">
        <is>
          <t>01</t>
        </is>
      </c>
      <c r="AQ236" s="360" t="n">
        <v>17.19</v>
      </c>
      <c r="AR236" s="360" t="n">
        <v>16.81</v>
      </c>
      <c r="AS236" s="361" t="n">
        <v>16.37</v>
      </c>
      <c r="AT236" s="361" t="n">
        <v>15.76</v>
      </c>
      <c r="AU236" s="361" t="n">
        <v>16.36</v>
      </c>
      <c r="AV236" s="361" t="n"/>
      <c r="AX236" s="357" t="inlineStr">
        <is>
          <t>01</t>
        </is>
      </c>
      <c r="AY236" s="360" t="n"/>
      <c r="AZ236" s="360" t="n">
        <v>19.8</v>
      </c>
      <c r="BA236" s="361" t="n">
        <v>19.61</v>
      </c>
      <c r="BB236" s="361" t="n">
        <v>18.33</v>
      </c>
      <c r="BC236" s="361" t="n"/>
      <c r="BD236" s="361" t="n"/>
      <c r="BE236" s="361" t="n"/>
      <c r="BF236" s="357" t="inlineStr">
        <is>
          <t>01</t>
        </is>
      </c>
      <c r="BG236" s="360" t="n">
        <v>18.1</v>
      </c>
      <c r="BH236" s="361" t="n">
        <v>18.32</v>
      </c>
      <c r="BI236" s="361" t="n">
        <v>18.57</v>
      </c>
      <c r="BJ236" s="361" t="n"/>
      <c r="BK236" s="361" t="n"/>
      <c r="BL236" s="361" t="n"/>
      <c r="BM236" s="361" t="n"/>
      <c r="BN236" s="357" t="inlineStr">
        <is>
          <t>01</t>
        </is>
      </c>
      <c r="BO236" s="360" t="n">
        <v>16.36</v>
      </c>
      <c r="BP236" s="361" t="n">
        <v>16.74</v>
      </c>
      <c r="BQ236" s="361" t="n">
        <v>16.24</v>
      </c>
      <c r="BR236" s="361" t="n">
        <v>15.82</v>
      </c>
      <c r="BS236" s="361" t="n">
        <v>17.92</v>
      </c>
      <c r="BT236" s="361" t="n">
        <v>12.92</v>
      </c>
      <c r="BV236" s="357" t="inlineStr">
        <is>
          <t>01</t>
        </is>
      </c>
      <c r="BW236" s="360" t="n">
        <v>18.26</v>
      </c>
      <c r="BX236" s="361" t="n">
        <v>18.32</v>
      </c>
      <c r="BY236" s="361" t="n">
        <v>18.17</v>
      </c>
      <c r="BZ236" s="361" t="n">
        <v>17.99</v>
      </c>
      <c r="CA236" s="361" t="n">
        <v>18.85</v>
      </c>
      <c r="CB236" s="361" t="n">
        <v>14.79</v>
      </c>
      <c r="CC236" s="361" t="n"/>
      <c r="CD236" s="357" t="inlineStr">
        <is>
          <t>01</t>
        </is>
      </c>
      <c r="CE236" s="360" t="n">
        <v>16.05</v>
      </c>
      <c r="CF236" s="361" t="n">
        <v>17.95</v>
      </c>
      <c r="CG236" s="361" t="n">
        <v>16.53</v>
      </c>
      <c r="CH236" s="361" t="n">
        <v>16.18</v>
      </c>
      <c r="CI236" s="361" t="n">
        <v>18.94</v>
      </c>
      <c r="CJ236" s="361" t="n">
        <v>12.86</v>
      </c>
      <c r="CL236" s="357" t="inlineStr">
        <is>
          <t>01</t>
        </is>
      </c>
      <c r="CM236" s="360" t="n">
        <v>17.9</v>
      </c>
      <c r="CN236" s="361" t="n">
        <v>17.13</v>
      </c>
      <c r="CO236" s="361" t="n">
        <v>18.6</v>
      </c>
      <c r="CP236" s="361" t="n">
        <v>17.83</v>
      </c>
      <c r="CQ236" s="361" t="n">
        <v>18.15</v>
      </c>
      <c r="CR236" s="361" t="n">
        <v>14.6</v>
      </c>
      <c r="CT236" s="357" t="inlineStr">
        <is>
          <t>01</t>
        </is>
      </c>
      <c r="CU236" s="360" t="n">
        <v>16.26</v>
      </c>
      <c r="CV236" s="361" t="n">
        <v>16.4</v>
      </c>
      <c r="CW236" s="361" t="n"/>
      <c r="CX236" s="361" t="n"/>
      <c r="CY236" s="361" t="n"/>
      <c r="CZ236" s="361" t="n"/>
      <c r="DB236" s="357" t="inlineStr">
        <is>
          <t>01</t>
        </is>
      </c>
      <c r="DC236" s="360" t="n">
        <v>19.35</v>
      </c>
      <c r="DD236" s="361" t="n">
        <v>19</v>
      </c>
      <c r="DE236" s="361" t="n"/>
      <c r="DF236" s="361" t="n"/>
      <c r="DG236" s="361" t="n"/>
      <c r="DH236" s="361" t="n"/>
      <c r="DI236" s="361" t="n"/>
      <c r="DJ236" s="357" t="inlineStr">
        <is>
          <t>01</t>
        </is>
      </c>
      <c r="DK236" s="360" t="n">
        <v>13.91</v>
      </c>
      <c r="DL236" s="361" t="n">
        <v>14.05</v>
      </c>
      <c r="DM236" s="361" t="n"/>
      <c r="DN236" s="361" t="n"/>
      <c r="DO236" s="361" t="n"/>
      <c r="DP236" s="361" t="n"/>
      <c r="DR236" s="357" t="inlineStr">
        <is>
          <t>01</t>
        </is>
      </c>
      <c r="DS236" s="360" t="n">
        <v>18.66</v>
      </c>
      <c r="DT236" s="361" t="n">
        <v>18.74</v>
      </c>
      <c r="DU236" s="361" t="n"/>
      <c r="DV236" s="361" t="n"/>
      <c r="DW236" s="361" t="n"/>
      <c r="DX236" s="361" t="n"/>
      <c r="DZ236" s="357" t="inlineStr">
        <is>
          <t>01</t>
        </is>
      </c>
      <c r="EA236" s="360" t="n">
        <v>18.49</v>
      </c>
      <c r="EB236" s="361" t="n"/>
      <c r="EC236" s="361" t="n"/>
      <c r="ED236" s="361" t="n"/>
      <c r="EE236" s="361" t="n"/>
      <c r="EF236" s="361" t="n"/>
    </row>
    <row r="237" customFormat="1" s="359">
      <c r="B237" s="357" t="inlineStr">
        <is>
          <t>02</t>
        </is>
      </c>
      <c r="C237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37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37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37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37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37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37" s="361" t="n"/>
      <c r="J237" s="357" t="inlineStr">
        <is>
          <t>02</t>
        </is>
      </c>
      <c r="K237" s="360" t="n"/>
      <c r="L237" s="361" t="n">
        <v>15.92</v>
      </c>
      <c r="M237" s="361" t="n">
        <v>16.61</v>
      </c>
      <c r="N237" s="361" t="n">
        <v>15.15</v>
      </c>
      <c r="O237" s="361" t="n">
        <v>15.72</v>
      </c>
      <c r="P237" s="361" t="n">
        <v>14.4</v>
      </c>
      <c r="R237" s="357" t="inlineStr">
        <is>
          <t>02</t>
        </is>
      </c>
      <c r="S237" s="360" t="n"/>
      <c r="T237" s="361" t="n">
        <v>15.73</v>
      </c>
      <c r="U237" s="361" t="n">
        <v>16.42</v>
      </c>
      <c r="V237" s="361" t="n">
        <v>15.55</v>
      </c>
      <c r="W237" s="361" t="n">
        <v>15.61</v>
      </c>
      <c r="X237" s="361" t="n">
        <v>14.02</v>
      </c>
      <c r="Z237" s="357" t="inlineStr">
        <is>
          <t>02</t>
        </is>
      </c>
      <c r="AA237" s="360" t="n"/>
      <c r="AB237" s="361" t="n">
        <v>15.74</v>
      </c>
      <c r="AC237" s="361" t="n">
        <v>15.89</v>
      </c>
      <c r="AD237" s="361" t="n">
        <v>14.58</v>
      </c>
      <c r="AE237" s="361" t="n">
        <v>16.72</v>
      </c>
      <c r="AF237" s="361" t="n">
        <v>13.92</v>
      </c>
      <c r="AH237" s="357" t="inlineStr">
        <is>
          <t>02</t>
        </is>
      </c>
      <c r="AI237" s="360" t="n"/>
      <c r="AJ237" s="360" t="n">
        <v>17.8</v>
      </c>
      <c r="AK237" s="361" t="n">
        <v>18.39</v>
      </c>
      <c r="AL237" s="361" t="n">
        <v>16.66</v>
      </c>
      <c r="AM237" s="361" t="n">
        <v>16.82</v>
      </c>
      <c r="AN237" s="361" t="n">
        <v>14.37</v>
      </c>
      <c r="AP237" s="357" t="inlineStr">
        <is>
          <t>02</t>
        </is>
      </c>
      <c r="AQ237" s="360" t="n"/>
      <c r="AR237" s="360" t="n">
        <v>16.3</v>
      </c>
      <c r="AS237" s="361" t="n">
        <v>16.74</v>
      </c>
      <c r="AT237" s="361" t="n">
        <v>15.04</v>
      </c>
      <c r="AU237" s="361" t="n">
        <v>15.92</v>
      </c>
      <c r="AV237" s="361" t="n"/>
      <c r="AX237" s="357" t="inlineStr">
        <is>
          <t>02</t>
        </is>
      </c>
      <c r="AY237" s="360" t="n"/>
      <c r="AZ237" s="360" t="n">
        <v>19.05</v>
      </c>
      <c r="BA237" s="361" t="n">
        <v>19.22</v>
      </c>
      <c r="BB237" s="361" t="n">
        <v>17.97</v>
      </c>
      <c r="BC237" s="361" t="n"/>
      <c r="BD237" s="361" t="n"/>
      <c r="BE237" s="361" t="n"/>
      <c r="BF237" s="357" t="inlineStr">
        <is>
          <t>02</t>
        </is>
      </c>
      <c r="BG237" s="360" t="n"/>
      <c r="BH237" s="361" t="n">
        <v>17.75</v>
      </c>
      <c r="BI237" s="361" t="n">
        <v>18.94</v>
      </c>
      <c r="BJ237" s="361" t="n"/>
      <c r="BK237" s="361" t="n"/>
      <c r="BL237" s="361" t="n"/>
      <c r="BM237" s="361" t="n"/>
      <c r="BN237" s="357" t="inlineStr">
        <is>
          <t>02</t>
        </is>
      </c>
      <c r="BO237" s="360" t="n"/>
      <c r="BP237" s="361" t="n">
        <v>16.59</v>
      </c>
      <c r="BQ237" s="361" t="n">
        <v>17.39</v>
      </c>
      <c r="BR237" s="361" t="n">
        <v>16.07</v>
      </c>
      <c r="BS237" s="361" t="n">
        <v>17.03</v>
      </c>
      <c r="BT237" s="361" t="n">
        <v>14.26</v>
      </c>
      <c r="BV237" s="357" t="inlineStr">
        <is>
          <t>02</t>
        </is>
      </c>
      <c r="BW237" s="360" t="n"/>
      <c r="BX237" s="361" t="n">
        <v>18.03</v>
      </c>
      <c r="BY237" s="361" t="n">
        <v>19.05</v>
      </c>
      <c r="BZ237" s="361" t="n">
        <v>17.67</v>
      </c>
      <c r="CA237" s="361" t="n">
        <v>19.28</v>
      </c>
      <c r="CB237" s="361" t="n">
        <v>15.3</v>
      </c>
      <c r="CC237" s="361" t="n"/>
      <c r="CD237" s="357" t="inlineStr">
        <is>
          <t>02</t>
        </is>
      </c>
      <c r="CE237" s="360" t="n"/>
      <c r="CF237" s="361" t="n">
        <v>16.41</v>
      </c>
      <c r="CG237" s="361" t="n">
        <v>17.1</v>
      </c>
      <c r="CH237" s="361" t="n">
        <v>16.33</v>
      </c>
      <c r="CI237" s="361" t="n">
        <v>19.19</v>
      </c>
      <c r="CJ237" s="361" t="n">
        <v>13.19</v>
      </c>
      <c r="CL237" s="357" t="inlineStr">
        <is>
          <t>02</t>
        </is>
      </c>
      <c r="CM237" s="360" t="n"/>
      <c r="CN237" s="361" t="n">
        <v>16.27</v>
      </c>
      <c r="CO237" s="361" t="n">
        <v>18.62</v>
      </c>
      <c r="CP237" s="361" t="n">
        <v>17.37</v>
      </c>
      <c r="CQ237" s="361" t="n">
        <v>17.41</v>
      </c>
      <c r="CR237" s="361" t="n">
        <v>15.01</v>
      </c>
      <c r="CT237" s="357" t="inlineStr">
        <is>
          <t>02</t>
        </is>
      </c>
      <c r="CU237" s="360" t="n"/>
      <c r="CV237" s="361" t="n">
        <v>15.92</v>
      </c>
      <c r="CW237" s="361" t="n"/>
      <c r="CX237" s="361" t="n"/>
      <c r="CY237" s="361" t="n"/>
      <c r="CZ237" s="361" t="n"/>
      <c r="DB237" s="357" t="inlineStr">
        <is>
          <t>02</t>
        </is>
      </c>
      <c r="DC237" s="360" t="n"/>
      <c r="DD237" s="361" t="n">
        <v>18.31</v>
      </c>
      <c r="DE237" s="361" t="n"/>
      <c r="DF237" s="361" t="n"/>
      <c r="DG237" s="361" t="n"/>
      <c r="DH237" s="361" t="n"/>
      <c r="DI237" s="361" t="n"/>
      <c r="DJ237" s="357" t="inlineStr">
        <is>
          <t>02</t>
        </is>
      </c>
      <c r="DK237" s="360" t="n"/>
      <c r="DL237" s="361" t="n">
        <v>13.6</v>
      </c>
      <c r="DM237" s="361" t="n"/>
      <c r="DN237" s="361" t="n"/>
      <c r="DO237" s="361" t="n"/>
      <c r="DP237" s="361" t="n"/>
      <c r="DR237" s="357" t="inlineStr">
        <is>
          <t>02</t>
        </is>
      </c>
      <c r="DS237" s="360" t="n"/>
      <c r="DT237" s="361" t="n">
        <v>18.2</v>
      </c>
      <c r="DU237" s="361" t="n"/>
      <c r="DV237" s="361" t="n"/>
      <c r="DW237" s="361" t="n"/>
      <c r="DX237" s="361" t="n"/>
      <c r="DZ237" s="357" t="inlineStr">
        <is>
          <t>02</t>
        </is>
      </c>
      <c r="EA237" s="360" t="n"/>
      <c r="EB237" s="361" t="n"/>
      <c r="EC237" s="361" t="n"/>
      <c r="ED237" s="361" t="n"/>
      <c r="EE237" s="361" t="n"/>
      <c r="EF237" s="361" t="n"/>
    </row>
    <row r="238" customFormat="1" s="359">
      <c r="B238" s="357" t="inlineStr">
        <is>
          <t>03</t>
        </is>
      </c>
      <c r="C238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38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38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38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38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38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38" s="361" t="n"/>
      <c r="J238" s="357" t="inlineStr">
        <is>
          <t>03</t>
        </is>
      </c>
      <c r="K238" s="360" t="n"/>
      <c r="L238" s="361" t="n">
        <v>16.27</v>
      </c>
      <c r="M238" s="361" t="n">
        <v>16.65</v>
      </c>
      <c r="N238" s="361" t="n">
        <v>14.94</v>
      </c>
      <c r="O238" s="361" t="n">
        <v>15.46</v>
      </c>
      <c r="P238" s="361" t="n">
        <v>14.05</v>
      </c>
      <c r="R238" s="357" t="inlineStr">
        <is>
          <t>03</t>
        </is>
      </c>
      <c r="S238" s="360" t="n"/>
      <c r="T238" s="361" t="n">
        <v>16.58</v>
      </c>
      <c r="U238" s="361" t="n">
        <v>16.77</v>
      </c>
      <c r="V238" s="361" t="n">
        <v>15.26</v>
      </c>
      <c r="W238" s="361" t="n">
        <v>15.32</v>
      </c>
      <c r="X238" s="361" t="n">
        <v>14.09</v>
      </c>
      <c r="Z238" s="357" t="inlineStr">
        <is>
          <t>03</t>
        </is>
      </c>
      <c r="AA238" s="360" t="n"/>
      <c r="AB238" s="361" t="n">
        <v>16.1</v>
      </c>
      <c r="AC238" s="361" t="n">
        <v>15.9</v>
      </c>
      <c r="AD238" s="361" t="n">
        <v>14.6</v>
      </c>
      <c r="AE238" s="361" t="n">
        <v>16.06</v>
      </c>
      <c r="AF238" s="361" t="n">
        <v>13.57</v>
      </c>
      <c r="AH238" s="357" t="inlineStr">
        <is>
          <t>03</t>
        </is>
      </c>
      <c r="AI238" s="360" t="n"/>
      <c r="AJ238" s="360" t="n">
        <v>18</v>
      </c>
      <c r="AK238" s="361" t="n">
        <v>18.37</v>
      </c>
      <c r="AL238" s="361" t="n">
        <v>16.7</v>
      </c>
      <c r="AM238" s="361" t="n">
        <v>16.46</v>
      </c>
      <c r="AN238" s="361" t="n">
        <v>16.89</v>
      </c>
      <c r="AP238" s="357" t="inlineStr">
        <is>
          <t>03</t>
        </is>
      </c>
      <c r="AQ238" s="360" t="n"/>
      <c r="AR238" s="360" t="n">
        <v>16.98</v>
      </c>
      <c r="AS238" s="361" t="n">
        <v>16.71</v>
      </c>
      <c r="AT238" s="361" t="n">
        <v>14.83</v>
      </c>
      <c r="AU238" s="361" t="n">
        <v>15.46</v>
      </c>
      <c r="AV238" s="361" t="n"/>
      <c r="AX238" s="357" t="inlineStr">
        <is>
          <t>03</t>
        </is>
      </c>
      <c r="AY238" s="360" t="n"/>
      <c r="AZ238" s="360" t="n">
        <v>19.69</v>
      </c>
      <c r="BA238" s="361" t="n">
        <v>19.4</v>
      </c>
      <c r="BB238" s="361" t="n">
        <v>17.5</v>
      </c>
      <c r="BC238" s="361" t="n"/>
      <c r="BD238" s="361" t="n"/>
      <c r="BE238" s="361" t="n"/>
      <c r="BF238" s="357" t="inlineStr">
        <is>
          <t>03</t>
        </is>
      </c>
      <c r="BG238" s="360" t="n"/>
      <c r="BH238" s="361" t="n">
        <v>18.05</v>
      </c>
      <c r="BI238" s="361" t="n">
        <v>18.77</v>
      </c>
      <c r="BJ238" s="361" t="n"/>
      <c r="BK238" s="361" t="n"/>
      <c r="BL238" s="361" t="n"/>
      <c r="BM238" s="361" t="n"/>
      <c r="BN238" s="357" t="inlineStr">
        <is>
          <t>03</t>
        </is>
      </c>
      <c r="BO238" s="360" t="n"/>
      <c r="BP238" s="361" t="n">
        <v>16.92</v>
      </c>
      <c r="BQ238" s="361" t="n">
        <v>16.59</v>
      </c>
      <c r="BR238" s="361" t="n">
        <v>15.21</v>
      </c>
      <c r="BS238" s="361" t="n">
        <v>16.54</v>
      </c>
      <c r="BT238" s="361" t="n">
        <v>13.65</v>
      </c>
      <c r="BV238" s="357" t="inlineStr">
        <is>
          <t>03</t>
        </is>
      </c>
      <c r="BW238" s="360" t="n"/>
      <c r="BX238" s="361" t="n">
        <v>18.02</v>
      </c>
      <c r="BY238" s="361" t="n">
        <v>18.7</v>
      </c>
      <c r="BZ238" s="361" t="n">
        <v>17.44</v>
      </c>
      <c r="CA238" s="361" t="n">
        <v>17.57</v>
      </c>
      <c r="CB238" s="361" t="n">
        <v>15.03</v>
      </c>
      <c r="CC238" s="361" t="n"/>
      <c r="CD238" s="357" t="inlineStr">
        <is>
          <t>03</t>
        </is>
      </c>
      <c r="CE238" s="360" t="n"/>
      <c r="CF238" s="361" t="n">
        <v>16.21</v>
      </c>
      <c r="CG238" s="361" t="n">
        <v>16.81</v>
      </c>
      <c r="CH238" s="361" t="n">
        <v>15.66</v>
      </c>
      <c r="CI238" s="361" t="n">
        <v>17.13</v>
      </c>
      <c r="CJ238" s="361" t="n">
        <v>12.96</v>
      </c>
      <c r="CL238" s="357" t="inlineStr">
        <is>
          <t>03</t>
        </is>
      </c>
      <c r="CM238" s="360" t="n"/>
      <c r="CN238" s="361" t="n">
        <v>17.61</v>
      </c>
      <c r="CO238" s="361" t="n">
        <v>18.89</v>
      </c>
      <c r="CP238" s="361" t="n">
        <v>17.21</v>
      </c>
      <c r="CQ238" s="361" t="n">
        <v>17.19</v>
      </c>
      <c r="CR238" s="361" t="n">
        <v>14.8</v>
      </c>
      <c r="CT238" s="357" t="inlineStr">
        <is>
          <t>03</t>
        </is>
      </c>
      <c r="CU238" s="360" t="n"/>
      <c r="CV238" s="361" t="n">
        <v>16.33</v>
      </c>
      <c r="CW238" s="361" t="n"/>
      <c r="CX238" s="361" t="n"/>
      <c r="CY238" s="361" t="n"/>
      <c r="CZ238" s="361" t="n"/>
      <c r="DB238" s="357" t="inlineStr">
        <is>
          <t>03</t>
        </is>
      </c>
      <c r="DC238" s="360" t="n"/>
      <c r="DD238" s="361" t="n">
        <v>18.78</v>
      </c>
      <c r="DE238" s="361" t="n"/>
      <c r="DF238" s="361" t="n"/>
      <c r="DG238" s="361" t="n"/>
      <c r="DH238" s="361" t="n"/>
      <c r="DI238" s="361" t="n"/>
      <c r="DJ238" s="357" t="inlineStr">
        <is>
          <t>03</t>
        </is>
      </c>
      <c r="DK238" s="360" t="n"/>
      <c r="DL238" s="361" t="n">
        <v>14.15</v>
      </c>
      <c r="DM238" s="361" t="n"/>
      <c r="DN238" s="361" t="n"/>
      <c r="DO238" s="361" t="n"/>
      <c r="DP238" s="361" t="n"/>
      <c r="DR238" s="357" t="inlineStr">
        <is>
          <t>03</t>
        </is>
      </c>
      <c r="DS238" s="360" t="n"/>
      <c r="DT238" s="361" t="n">
        <v>18.71</v>
      </c>
      <c r="DU238" s="361" t="n"/>
      <c r="DV238" s="361" t="n"/>
      <c r="DW238" s="361" t="n"/>
      <c r="DX238" s="361" t="n"/>
      <c r="DZ238" s="357" t="inlineStr">
        <is>
          <t>03</t>
        </is>
      </c>
      <c r="EA238" s="360" t="n"/>
      <c r="EB238" s="361" t="n"/>
      <c r="EC238" s="361" t="n"/>
      <c r="ED238" s="361" t="n"/>
      <c r="EE238" s="361" t="n"/>
      <c r="EF238" s="361" t="n"/>
    </row>
    <row r="239" customFormat="1" s="359">
      <c r="B239" s="357" t="inlineStr">
        <is>
          <t>04</t>
        </is>
      </c>
      <c r="C239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39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39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39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39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39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39" s="361" t="n"/>
      <c r="J239" s="357" t="inlineStr">
        <is>
          <t>04</t>
        </is>
      </c>
      <c r="K239" s="360" t="n"/>
      <c r="L239" s="361" t="n">
        <v>15.99</v>
      </c>
      <c r="M239" s="361" t="n">
        <v>17.26</v>
      </c>
      <c r="N239" s="361" t="n">
        <v>15.57</v>
      </c>
      <c r="O239" s="361" t="n">
        <v>15.95</v>
      </c>
      <c r="P239" s="361" t="n">
        <v>1e-05</v>
      </c>
      <c r="R239" s="357" t="inlineStr">
        <is>
          <t>04</t>
        </is>
      </c>
      <c r="S239" s="360" t="n"/>
      <c r="T239" s="361" t="n">
        <v>16.48</v>
      </c>
      <c r="U239" s="361" t="n">
        <v>17.39</v>
      </c>
      <c r="V239" s="361" t="n">
        <v>15.94</v>
      </c>
      <c r="W239" s="361" t="n">
        <v>15.79</v>
      </c>
      <c r="X239" s="361" t="n">
        <v>0</v>
      </c>
      <c r="Z239" s="357" t="inlineStr">
        <is>
          <t>04</t>
        </is>
      </c>
      <c r="AA239" s="360" t="n"/>
      <c r="AB239" s="361" t="n">
        <v>15.82</v>
      </c>
      <c r="AC239" s="361" t="n">
        <v>16.92</v>
      </c>
      <c r="AD239" s="361" t="n">
        <v>15.35</v>
      </c>
      <c r="AE239" s="361" t="n">
        <v>16.45</v>
      </c>
      <c r="AF239" s="361" t="n">
        <v>0</v>
      </c>
      <c r="AH239" s="357" t="inlineStr">
        <is>
          <t>04</t>
        </is>
      </c>
      <c r="AI239" s="360" t="n"/>
      <c r="AJ239" s="360" t="n">
        <v>17.99</v>
      </c>
      <c r="AK239" s="361" t="n">
        <v>18.76</v>
      </c>
      <c r="AL239" s="361" t="n">
        <v>17.32</v>
      </c>
      <c r="AM239" s="361" t="n">
        <v>17.27</v>
      </c>
      <c r="AN239" s="361" t="n">
        <v>0</v>
      </c>
      <c r="AP239" s="357" t="inlineStr">
        <is>
          <t>04</t>
        </is>
      </c>
      <c r="AQ239" s="360" t="n"/>
      <c r="AR239" s="360" t="n">
        <v>16.25</v>
      </c>
      <c r="AS239" s="361" t="n">
        <v>17.13</v>
      </c>
      <c r="AT239" s="361" t="n">
        <v>15.65</v>
      </c>
      <c r="AU239" s="361" t="n">
        <v>16.91</v>
      </c>
      <c r="AV239" s="361" t="n"/>
      <c r="AX239" s="357" t="inlineStr">
        <is>
          <t>04</t>
        </is>
      </c>
      <c r="AY239" s="360" t="n"/>
      <c r="AZ239" s="360" t="n">
        <v>19.41</v>
      </c>
      <c r="BA239" s="361" t="n">
        <v>20.26</v>
      </c>
      <c r="BB239" s="361" t="n">
        <v>18.12</v>
      </c>
      <c r="BC239" s="361" t="n"/>
      <c r="BD239" s="361" t="n"/>
      <c r="BE239" s="361" t="n"/>
      <c r="BF239" s="357" t="inlineStr">
        <is>
          <t>04</t>
        </is>
      </c>
      <c r="BG239" s="360" t="n"/>
      <c r="BH239" s="361" t="n">
        <v>17.98</v>
      </c>
      <c r="BI239" s="361" t="n">
        <v>19.86</v>
      </c>
      <c r="BJ239" s="361" t="n"/>
      <c r="BK239" s="361" t="n"/>
      <c r="BL239" s="361" t="n"/>
      <c r="BM239" s="361" t="n"/>
      <c r="BN239" s="357" t="inlineStr">
        <is>
          <t>04</t>
        </is>
      </c>
      <c r="BO239" s="360" t="n"/>
      <c r="BP239" s="361" t="n">
        <v>16.79</v>
      </c>
      <c r="BQ239" s="361" t="n">
        <v>19.59</v>
      </c>
      <c r="BR239" s="361" t="n">
        <v>16.33</v>
      </c>
      <c r="BS239" s="361" t="n">
        <v>18.08</v>
      </c>
      <c r="BT239" s="361" t="n">
        <v>0</v>
      </c>
      <c r="BV239" s="357" t="inlineStr">
        <is>
          <t>04</t>
        </is>
      </c>
      <c r="BW239" s="360" t="n"/>
      <c r="BX239" s="361" t="n">
        <v>18.27</v>
      </c>
      <c r="BY239" s="361" t="n">
        <v>19.87</v>
      </c>
      <c r="BZ239" s="361" t="n">
        <v>18.5</v>
      </c>
      <c r="CA239" s="361" t="n">
        <v>18.24</v>
      </c>
      <c r="CB239" s="361" t="n">
        <v>0</v>
      </c>
      <c r="CC239" s="361" t="n"/>
      <c r="CD239" s="357" t="inlineStr">
        <is>
          <t>04</t>
        </is>
      </c>
      <c r="CE239" s="360" t="n"/>
      <c r="CF239" s="361" t="n">
        <v>16.49</v>
      </c>
      <c r="CG239" s="361" t="n">
        <v>17.59</v>
      </c>
      <c r="CH239" s="361" t="n">
        <v>16.17</v>
      </c>
      <c r="CI239" s="361" t="n">
        <v>17.43</v>
      </c>
      <c r="CJ239" s="361" t="n">
        <v>0.91</v>
      </c>
      <c r="CL239" s="357" t="inlineStr">
        <is>
          <t>04</t>
        </is>
      </c>
      <c r="CM239" s="360" t="n"/>
      <c r="CN239" s="361" t="n">
        <v>17.39</v>
      </c>
      <c r="CO239" s="361" t="n">
        <v>19.28</v>
      </c>
      <c r="CP239" s="361" t="n">
        <v>17.7</v>
      </c>
      <c r="CQ239" s="361" t="n">
        <v>17.95</v>
      </c>
      <c r="CR239" s="361" t="n">
        <v>0</v>
      </c>
      <c r="CT239" s="357" t="inlineStr">
        <is>
          <t>04</t>
        </is>
      </c>
      <c r="CU239" s="360" t="n"/>
      <c r="CV239" s="361" t="n">
        <v>15.69</v>
      </c>
      <c r="CW239" s="361" t="n"/>
      <c r="CX239" s="361" t="n"/>
      <c r="CY239" s="361" t="n"/>
      <c r="CZ239" s="361" t="n"/>
      <c r="DB239" s="357" t="inlineStr">
        <is>
          <t>04</t>
        </is>
      </c>
      <c r="DC239" s="360" t="n"/>
      <c r="DD239" s="361" t="n">
        <v>18.35</v>
      </c>
      <c r="DE239" s="361" t="n"/>
      <c r="DF239" s="361" t="n"/>
      <c r="DG239" s="361" t="n"/>
      <c r="DH239" s="361" t="n"/>
      <c r="DI239" s="361" t="n"/>
      <c r="DJ239" s="357" t="inlineStr">
        <is>
          <t>04</t>
        </is>
      </c>
      <c r="DK239" s="360" t="n"/>
      <c r="DL239" s="361" t="n">
        <v>13.56</v>
      </c>
      <c r="DM239" s="361" t="n"/>
      <c r="DN239" s="361" t="n"/>
      <c r="DO239" s="361" t="n"/>
      <c r="DP239" s="361" t="n"/>
      <c r="DR239" s="357" t="inlineStr">
        <is>
          <t>04</t>
        </is>
      </c>
      <c r="DS239" s="360" t="n"/>
      <c r="DT239" s="361" t="n">
        <v>17.6</v>
      </c>
      <c r="DU239" s="361" t="n"/>
      <c r="DV239" s="361" t="n"/>
      <c r="DW239" s="361" t="n"/>
      <c r="DX239" s="361" t="n"/>
      <c r="DZ239" s="357" t="inlineStr">
        <is>
          <t>04</t>
        </is>
      </c>
      <c r="EA239" s="360" t="n"/>
      <c r="EB239" s="361" t="n"/>
      <c r="EC239" s="361" t="n"/>
      <c r="ED239" s="361" t="n"/>
      <c r="EE239" s="361" t="n"/>
      <c r="EF239" s="361" t="n"/>
    </row>
    <row r="240" customFormat="1" s="359">
      <c r="B240" s="357" t="inlineStr">
        <is>
          <t>05</t>
        </is>
      </c>
      <c r="C240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0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40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40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40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40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40" s="361" t="n"/>
      <c r="J240" s="357" t="inlineStr">
        <is>
          <t>05</t>
        </is>
      </c>
      <c r="K240" s="360" t="n"/>
      <c r="L240" s="361" t="n">
        <v>16.29</v>
      </c>
      <c r="M240" s="361" t="n">
        <v>16.64</v>
      </c>
      <c r="N240" s="361" t="n">
        <v>15.36</v>
      </c>
      <c r="O240" s="361" t="n">
        <v>16.25</v>
      </c>
      <c r="P240" s="361" t="n">
        <v>17.98</v>
      </c>
      <c r="R240" s="357" t="inlineStr">
        <is>
          <t>05</t>
        </is>
      </c>
      <c r="S240" s="360" t="n"/>
      <c r="T240" s="361" t="n">
        <v>16.49</v>
      </c>
      <c r="U240" s="361" t="n">
        <v>16.92</v>
      </c>
      <c r="V240" s="361" t="n">
        <v>15.4</v>
      </c>
      <c r="W240" s="361" t="n">
        <v>16.56</v>
      </c>
      <c r="X240" s="361" t="n">
        <v>17.89</v>
      </c>
      <c r="Z240" s="357" t="inlineStr">
        <is>
          <t>05</t>
        </is>
      </c>
      <c r="AA240" s="360" t="n"/>
      <c r="AB240" s="361" t="n">
        <v>15.75</v>
      </c>
      <c r="AC240" s="361" t="n">
        <v>15.69</v>
      </c>
      <c r="AD240" s="361" t="n">
        <v>14.72</v>
      </c>
      <c r="AE240" s="361" t="n">
        <v>15.97</v>
      </c>
      <c r="AF240" s="361" t="n">
        <v>19.62</v>
      </c>
      <c r="AH240" s="357" t="inlineStr">
        <is>
          <t>05</t>
        </is>
      </c>
      <c r="AI240" s="360" t="n"/>
      <c r="AJ240" s="360" t="n">
        <v>18.46</v>
      </c>
      <c r="AK240" s="361" t="n">
        <v>18.46</v>
      </c>
      <c r="AL240" s="361" t="n">
        <v>16.91</v>
      </c>
      <c r="AM240" s="361" t="n">
        <v>18.04</v>
      </c>
      <c r="AN240" s="361" t="n">
        <v>19.97</v>
      </c>
      <c r="AP240" s="357" t="inlineStr">
        <is>
          <t>05</t>
        </is>
      </c>
      <c r="AQ240" s="360" t="n"/>
      <c r="AR240" s="360" t="n">
        <v>16.27</v>
      </c>
      <c r="AS240" s="361" t="n">
        <v>16.85</v>
      </c>
      <c r="AT240" s="361" t="n">
        <v>15.47</v>
      </c>
      <c r="AU240" s="361" t="n">
        <v>16.27</v>
      </c>
      <c r="AV240" s="361" t="n"/>
      <c r="AX240" s="357" t="inlineStr">
        <is>
          <t>05</t>
        </is>
      </c>
      <c r="AY240" s="360" t="n"/>
      <c r="AZ240" s="360" t="n">
        <v>19.16</v>
      </c>
      <c r="BA240" s="361" t="n">
        <v>20.1</v>
      </c>
      <c r="BB240" s="361" t="n">
        <v>18.45</v>
      </c>
      <c r="BC240" s="361" t="n"/>
      <c r="BD240" s="361" t="n"/>
      <c r="BE240" s="361" t="n"/>
      <c r="BF240" s="357" t="inlineStr">
        <is>
          <t>05</t>
        </is>
      </c>
      <c r="BG240" s="360" t="n"/>
      <c r="BH240" s="361" t="n">
        <v>18.18</v>
      </c>
      <c r="BI240" s="361" t="n">
        <v>19.23</v>
      </c>
      <c r="BJ240" s="361" t="n"/>
      <c r="BK240" s="361" t="n"/>
      <c r="BL240" s="361" t="n"/>
      <c r="BM240" s="361" t="n"/>
      <c r="BN240" s="357" t="inlineStr">
        <is>
          <t>05</t>
        </is>
      </c>
      <c r="BO240" s="360" t="n"/>
      <c r="BP240" s="361" t="n">
        <v>16.79</v>
      </c>
      <c r="BQ240" s="361" t="n">
        <v>17.49</v>
      </c>
      <c r="BR240" s="361" t="n">
        <v>15.85</v>
      </c>
      <c r="BS240" s="361" t="n">
        <v>18.12</v>
      </c>
      <c r="BT240" s="361" t="n">
        <v>21.27</v>
      </c>
      <c r="BV240" s="357" t="inlineStr">
        <is>
          <t>05</t>
        </is>
      </c>
      <c r="BW240" s="360" t="n"/>
      <c r="BX240" s="361" t="n">
        <v>18.39</v>
      </c>
      <c r="BY240" s="361" t="n">
        <v>19.62</v>
      </c>
      <c r="BZ240" s="361" t="n">
        <v>18.36</v>
      </c>
      <c r="CA240" s="361" t="n">
        <v>19.18</v>
      </c>
      <c r="CB240" s="361" t="n">
        <v>21.21</v>
      </c>
      <c r="CC240" s="361" t="n"/>
      <c r="CD240" s="357" t="inlineStr">
        <is>
          <t>05</t>
        </is>
      </c>
      <c r="CE240" s="360" t="n"/>
      <c r="CF240" s="361" t="n">
        <v>16.56</v>
      </c>
      <c r="CG240" s="361" t="n">
        <v>17.75</v>
      </c>
      <c r="CH240" s="361" t="n">
        <v>16.08</v>
      </c>
      <c r="CI240" s="361" t="n">
        <v>18.06</v>
      </c>
      <c r="CJ240" s="361" t="n">
        <v>20.18</v>
      </c>
      <c r="CL240" s="357" t="inlineStr">
        <is>
          <t>05</t>
        </is>
      </c>
      <c r="CM240" s="360" t="n"/>
      <c r="CN240" s="361" t="n">
        <v>17.28</v>
      </c>
      <c r="CO240" s="361" t="n">
        <v>18.89</v>
      </c>
      <c r="CP240" s="361" t="n">
        <v>17.48</v>
      </c>
      <c r="CQ240" s="361" t="n">
        <v>18.49</v>
      </c>
      <c r="CR240" s="361" t="n">
        <v>19.5</v>
      </c>
      <c r="CT240" s="357" t="inlineStr">
        <is>
          <t>05</t>
        </is>
      </c>
      <c r="CU240" s="360" t="n"/>
      <c r="CV240" s="361" t="n">
        <v>15.82</v>
      </c>
      <c r="CW240" s="361" t="n"/>
      <c r="CX240" s="361" t="n"/>
      <c r="CY240" s="361" t="n"/>
      <c r="CZ240" s="361" t="n"/>
      <c r="DB240" s="357" t="inlineStr">
        <is>
          <t>05</t>
        </is>
      </c>
      <c r="DC240" s="360" t="n"/>
      <c r="DD240" s="361" t="n">
        <v>18.41</v>
      </c>
      <c r="DE240" s="361" t="n"/>
      <c r="DF240" s="361" t="n"/>
      <c r="DG240" s="361" t="n"/>
      <c r="DH240" s="361" t="n"/>
      <c r="DI240" s="361" t="n"/>
      <c r="DJ240" s="357" t="inlineStr">
        <is>
          <t>05</t>
        </is>
      </c>
      <c r="DK240" s="360" t="n"/>
      <c r="DL240" s="361" t="n">
        <v>13.59</v>
      </c>
      <c r="DM240" s="361" t="n"/>
      <c r="DN240" s="361" t="n"/>
      <c r="DO240" s="361" t="n"/>
      <c r="DP240" s="361" t="n"/>
      <c r="DR240" s="357" t="inlineStr">
        <is>
          <t>05</t>
        </is>
      </c>
      <c r="DS240" s="360" t="n"/>
      <c r="DT240" s="361" t="n">
        <v>17.94</v>
      </c>
      <c r="DU240" s="361" t="n"/>
      <c r="DV240" s="361" t="n"/>
      <c r="DW240" s="361" t="n"/>
      <c r="DX240" s="361" t="n"/>
      <c r="DZ240" s="357" t="inlineStr">
        <is>
          <t>05</t>
        </is>
      </c>
      <c r="EA240" s="360" t="n"/>
      <c r="EB240" s="361" t="n"/>
      <c r="EC240" s="361" t="n"/>
      <c r="ED240" s="361" t="n"/>
      <c r="EE240" s="361" t="n"/>
      <c r="EF240" s="361" t="n"/>
    </row>
    <row r="241" customFormat="1" s="359">
      <c r="B241" s="357" t="inlineStr">
        <is>
          <t>06</t>
        </is>
      </c>
      <c r="C241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1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41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41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41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41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41" s="361" t="n"/>
      <c r="J241" s="357" t="inlineStr">
        <is>
          <t>06</t>
        </is>
      </c>
      <c r="K241" s="360" t="n"/>
      <c r="L241" s="361" t="n">
        <v>16.22</v>
      </c>
      <c r="M241" s="361" t="n">
        <v>16.28</v>
      </c>
      <c r="N241" s="361" t="n">
        <v>15.36</v>
      </c>
      <c r="O241" s="361" t="n">
        <v>15.09</v>
      </c>
      <c r="P241" s="361" t="n">
        <v>15.4</v>
      </c>
      <c r="R241" s="357" t="inlineStr">
        <is>
          <t>06</t>
        </is>
      </c>
      <c r="S241" s="360" t="n"/>
      <c r="T241" s="361" t="n">
        <v>16.05</v>
      </c>
      <c r="U241" s="361" t="n">
        <v>16.69</v>
      </c>
      <c r="V241" s="361" t="n">
        <v>15.58</v>
      </c>
      <c r="W241" s="361" t="n">
        <v>15.36</v>
      </c>
      <c r="X241" s="361" t="n">
        <v>15.66</v>
      </c>
      <c r="Z241" s="357" t="inlineStr">
        <is>
          <t>06</t>
        </is>
      </c>
      <c r="AA241" s="360" t="n"/>
      <c r="AB241" s="361" t="n">
        <v>15.69</v>
      </c>
      <c r="AC241" s="361" t="n">
        <v>15.85</v>
      </c>
      <c r="AD241" s="361" t="n">
        <v>15.04</v>
      </c>
      <c r="AE241" s="361" t="n">
        <v>15.1</v>
      </c>
      <c r="AF241" s="361" t="n">
        <v>15.54</v>
      </c>
      <c r="AH241" s="357" t="inlineStr">
        <is>
          <t>06</t>
        </is>
      </c>
      <c r="AI241" s="360" t="n"/>
      <c r="AJ241" s="360" t="n">
        <v>18.33</v>
      </c>
      <c r="AK241" s="361" t="n">
        <v>17.84</v>
      </c>
      <c r="AL241" s="361" t="n">
        <v>16.91</v>
      </c>
      <c r="AM241" s="361" t="n">
        <v>16.94</v>
      </c>
      <c r="AN241" s="361" t="n">
        <v>16.7</v>
      </c>
      <c r="AP241" s="357" t="inlineStr">
        <is>
          <t>06</t>
        </is>
      </c>
      <c r="AQ241" s="360" t="n"/>
      <c r="AR241" s="360" t="n">
        <v>16.39</v>
      </c>
      <c r="AS241" s="361" t="n">
        <v>16.33</v>
      </c>
      <c r="AT241" s="361" t="n">
        <v>15.16</v>
      </c>
      <c r="AU241" s="361" t="n">
        <v>15.29</v>
      </c>
      <c r="AV241" s="361" t="n"/>
      <c r="AX241" s="357" t="inlineStr">
        <is>
          <t>06</t>
        </is>
      </c>
      <c r="AY241" s="360" t="n"/>
      <c r="AZ241" s="360" t="n">
        <v>18.8</v>
      </c>
      <c r="BA241" s="361" t="n">
        <v>19.31</v>
      </c>
      <c r="BB241" s="361" t="n">
        <v>18.24</v>
      </c>
      <c r="BC241" s="361" t="n"/>
      <c r="BD241" s="361" t="n"/>
      <c r="BE241" s="361" t="n"/>
      <c r="BF241" s="357" t="inlineStr">
        <is>
          <t>06</t>
        </is>
      </c>
      <c r="BG241" s="360" t="n"/>
      <c r="BH241" s="361" t="n">
        <v>17.57</v>
      </c>
      <c r="BI241" s="361" t="n">
        <v>18.33</v>
      </c>
      <c r="BJ241" s="361" t="n"/>
      <c r="BK241" s="361" t="n"/>
      <c r="BL241" s="361" t="n"/>
      <c r="BM241" s="361" t="n"/>
      <c r="BN241" s="357" t="inlineStr">
        <is>
          <t>06</t>
        </is>
      </c>
      <c r="BO241" s="360" t="n"/>
      <c r="BP241" s="361" t="n">
        <v>17.22</v>
      </c>
      <c r="BQ241" s="361" t="n">
        <v>17.5</v>
      </c>
      <c r="BR241" s="361" t="n">
        <v>16.51</v>
      </c>
      <c r="BS241" s="361" t="n">
        <v>17.03</v>
      </c>
      <c r="BT241" s="361" t="n">
        <v>17.39</v>
      </c>
      <c r="BV241" s="357" t="inlineStr">
        <is>
          <t>06</t>
        </is>
      </c>
      <c r="BW241" s="360" t="n"/>
      <c r="BX241" s="361" t="n">
        <v>17.82</v>
      </c>
      <c r="BY241" s="361" t="n">
        <v>18.76</v>
      </c>
      <c r="BZ241" s="361" t="n">
        <v>17.94</v>
      </c>
      <c r="CA241" s="361" t="n">
        <v>17.66</v>
      </c>
      <c r="CB241" s="361" t="n">
        <v>17.49</v>
      </c>
      <c r="CC241" s="361" t="n"/>
      <c r="CD241" s="357" t="inlineStr">
        <is>
          <t>06</t>
        </is>
      </c>
      <c r="CE241" s="360" t="n"/>
      <c r="CF241" s="361" t="n">
        <v>16.31</v>
      </c>
      <c r="CG241" s="361" t="n">
        <v>16.82</v>
      </c>
      <c r="CH241" s="361" t="n">
        <v>15.83</v>
      </c>
      <c r="CI241" s="361" t="n">
        <v>16.12</v>
      </c>
      <c r="CJ241" s="361" t="n">
        <v>15.64</v>
      </c>
      <c r="CL241" s="357" t="inlineStr">
        <is>
          <t>06</t>
        </is>
      </c>
      <c r="CM241" s="360" t="n"/>
      <c r="CN241" s="361" t="n">
        <v>17.37</v>
      </c>
      <c r="CO241" s="361" t="n">
        <v>18.51</v>
      </c>
      <c r="CP241" s="361" t="n">
        <v>17.48</v>
      </c>
      <c r="CQ241" s="361" t="n">
        <v>17.33</v>
      </c>
      <c r="CR241" s="361" t="n">
        <v>17.06</v>
      </c>
      <c r="CT241" s="357" t="inlineStr">
        <is>
          <t>06</t>
        </is>
      </c>
      <c r="CU241" s="360" t="n"/>
      <c r="CV241" s="361" t="n">
        <v>15.88</v>
      </c>
      <c r="CW241" s="361" t="n"/>
      <c r="CX241" s="361" t="n"/>
      <c r="CY241" s="361" t="n"/>
      <c r="CZ241" s="361" t="n"/>
      <c r="DB241" s="357" t="inlineStr">
        <is>
          <t>06</t>
        </is>
      </c>
      <c r="DC241" s="360" t="n"/>
      <c r="DD241" s="361" t="n">
        <v>18.53</v>
      </c>
      <c r="DE241" s="361" t="n"/>
      <c r="DF241" s="361" t="n"/>
      <c r="DG241" s="361" t="n"/>
      <c r="DH241" s="361" t="n"/>
      <c r="DI241" s="361" t="n"/>
      <c r="DJ241" s="357" t="inlineStr">
        <is>
          <t>06</t>
        </is>
      </c>
      <c r="DK241" s="360" t="n"/>
      <c r="DL241" s="361" t="n">
        <v>13.87</v>
      </c>
      <c r="DM241" s="361" t="n"/>
      <c r="DN241" s="361" t="n"/>
      <c r="DO241" s="361" t="n"/>
      <c r="DP241" s="361" t="n"/>
      <c r="DR241" s="357" t="inlineStr">
        <is>
          <t>06</t>
        </is>
      </c>
      <c r="DS241" s="360" t="n"/>
      <c r="DT241" s="361" t="n">
        <v>17.88</v>
      </c>
      <c r="DU241" s="361" t="n"/>
      <c r="DV241" s="361" t="n"/>
      <c r="DW241" s="361" t="n"/>
      <c r="DX241" s="361" t="n"/>
      <c r="DZ241" s="357" t="inlineStr">
        <is>
          <t>06</t>
        </is>
      </c>
      <c r="EA241" s="360" t="n"/>
      <c r="EB241" s="361" t="n"/>
      <c r="EC241" s="361" t="n"/>
      <c r="ED241" s="361" t="n"/>
      <c r="EE241" s="361" t="n"/>
      <c r="EF241" s="361" t="n"/>
    </row>
    <row r="242" customFormat="1" s="359">
      <c r="B242" s="357" t="inlineStr">
        <is>
          <t>07</t>
        </is>
      </c>
      <c r="C242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2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42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42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42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42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42" s="361" t="n"/>
      <c r="J242" s="357" t="inlineStr">
        <is>
          <t>07</t>
        </is>
      </c>
      <c r="K242" s="360" t="n"/>
      <c r="L242" s="361" t="n">
        <v>16.67</v>
      </c>
      <c r="M242" s="361" t="n">
        <v>17.05</v>
      </c>
      <c r="N242" s="361" t="n">
        <v>15.87</v>
      </c>
      <c r="O242" s="361" t="n">
        <v>15.72</v>
      </c>
      <c r="P242" s="361" t="n">
        <v>15.03</v>
      </c>
      <c r="R242" s="357" t="inlineStr">
        <is>
          <t>07</t>
        </is>
      </c>
      <c r="S242" s="360" t="n"/>
      <c r="T242" s="361" t="n">
        <v>16.74</v>
      </c>
      <c r="U242" s="361" t="n">
        <v>17.65</v>
      </c>
      <c r="V242" s="361" t="n">
        <v>16.32</v>
      </c>
      <c r="W242" s="361" t="n">
        <v>16.22</v>
      </c>
      <c r="X242" s="361" t="n">
        <v>15.54</v>
      </c>
      <c r="Z242" s="357" t="inlineStr">
        <is>
          <t>07</t>
        </is>
      </c>
      <c r="AA242" s="360" t="n"/>
      <c r="AB242" s="361" t="n">
        <v>16.55</v>
      </c>
      <c r="AC242" s="361" t="n">
        <v>16.78</v>
      </c>
      <c r="AD242" s="361" t="n">
        <v>15.91</v>
      </c>
      <c r="AE242" s="361" t="n">
        <v>15.14</v>
      </c>
      <c r="AF242" s="361" t="n">
        <v>14.96</v>
      </c>
      <c r="AH242" s="357" t="inlineStr">
        <is>
          <t>07</t>
        </is>
      </c>
      <c r="AI242" s="360" t="n"/>
      <c r="AJ242" s="360" t="n">
        <v>17.86</v>
      </c>
      <c r="AK242" s="361" t="n">
        <v>19.18</v>
      </c>
      <c r="AL242" s="361" t="n">
        <v>17.69</v>
      </c>
      <c r="AM242" s="361" t="n">
        <v>17.23</v>
      </c>
      <c r="AN242" s="361" t="n">
        <v>15.96</v>
      </c>
      <c r="AP242" s="357" t="inlineStr">
        <is>
          <t>07</t>
        </is>
      </c>
      <c r="AQ242" s="360" t="n"/>
      <c r="AR242" s="360" t="n">
        <v>17.21</v>
      </c>
      <c r="AS242" s="361" t="n">
        <v>17.54</v>
      </c>
      <c r="AT242" s="361" t="n">
        <v>15.81</v>
      </c>
      <c r="AU242" s="361" t="n">
        <v>16.48</v>
      </c>
      <c r="AV242" s="361" t="n"/>
      <c r="AX242" s="357" t="inlineStr">
        <is>
          <t>07</t>
        </is>
      </c>
      <c r="AY242" s="360" t="n"/>
      <c r="AZ242" s="360" t="n">
        <v>19.76</v>
      </c>
      <c r="BA242" s="361" t="n">
        <v>20.63</v>
      </c>
      <c r="BB242" s="361" t="n">
        <v>18.85</v>
      </c>
      <c r="BC242" s="361" t="n">
        <v>20.69</v>
      </c>
      <c r="BD242" s="361" t="n"/>
      <c r="BE242" s="361" t="n"/>
      <c r="BF242" s="357" t="inlineStr">
        <is>
          <t>07</t>
        </is>
      </c>
      <c r="BG242" s="360" t="n"/>
      <c r="BH242" s="361" t="n">
        <v>18.57</v>
      </c>
      <c r="BI242" s="361" t="n">
        <v>20.08</v>
      </c>
      <c r="BJ242" s="361" t="n"/>
      <c r="BK242" s="361" t="n"/>
      <c r="BL242" s="361" t="n"/>
      <c r="BM242" s="361" t="n"/>
      <c r="BN242" s="357" t="inlineStr">
        <is>
          <t>07</t>
        </is>
      </c>
      <c r="BO242" s="360" t="n"/>
      <c r="BP242" s="361" t="n">
        <v>18.45</v>
      </c>
      <c r="BQ242" s="361" t="n">
        <v>18.97</v>
      </c>
      <c r="BR242" s="361" t="n">
        <v>17.63</v>
      </c>
      <c r="BS242" s="361" t="n">
        <v>17.87</v>
      </c>
      <c r="BT242" s="361" t="n">
        <v>17.53</v>
      </c>
      <c r="BV242" s="357" t="inlineStr">
        <is>
          <t>07</t>
        </is>
      </c>
      <c r="BW242" s="360" t="n"/>
      <c r="BX242" s="361" t="n">
        <v>19.38</v>
      </c>
      <c r="BY242" s="361" t="n">
        <v>20.8</v>
      </c>
      <c r="BZ242" s="361" t="n">
        <v>19.1</v>
      </c>
      <c r="CA242" s="361" t="n">
        <v>18.58</v>
      </c>
      <c r="CB242" s="361" t="n">
        <v>18.23</v>
      </c>
      <c r="CC242" s="361" t="n"/>
      <c r="CD242" s="357" t="inlineStr">
        <is>
          <t>07</t>
        </is>
      </c>
      <c r="CE242" s="360" t="n"/>
      <c r="CF242" s="361" t="n">
        <v>17.04</v>
      </c>
      <c r="CG242" s="361" t="n">
        <v>18.48</v>
      </c>
      <c r="CH242" s="361" t="n">
        <v>17.23</v>
      </c>
      <c r="CI242" s="361" t="n">
        <v>16.62</v>
      </c>
      <c r="CJ242" s="361" t="n">
        <v>15.79</v>
      </c>
      <c r="CL242" s="357" t="inlineStr">
        <is>
          <t>07</t>
        </is>
      </c>
      <c r="CM242" s="360" t="n"/>
      <c r="CN242" s="361" t="n">
        <v>16.49</v>
      </c>
      <c r="CO242" s="361" t="n">
        <v>19.94</v>
      </c>
      <c r="CP242" s="361" t="n">
        <v>17.93</v>
      </c>
      <c r="CQ242" s="361" t="n">
        <v>17.74</v>
      </c>
      <c r="CR242" s="361" t="n">
        <v>16.98</v>
      </c>
      <c r="CT242" s="357" t="inlineStr">
        <is>
          <t>07</t>
        </is>
      </c>
      <c r="CU242" s="360" t="n"/>
      <c r="CV242" s="361" t="n">
        <v>16.1</v>
      </c>
      <c r="CW242" s="361" t="n"/>
      <c r="CX242" s="361" t="n"/>
      <c r="CY242" s="361" t="n"/>
      <c r="CZ242" s="361" t="n"/>
      <c r="DB242" s="357" t="inlineStr">
        <is>
          <t>07</t>
        </is>
      </c>
      <c r="DC242" s="360" t="n"/>
      <c r="DD242" s="361" t="n">
        <v>18.97</v>
      </c>
      <c r="DE242" s="361" t="n"/>
      <c r="DF242" s="361" t="n"/>
      <c r="DG242" s="361" t="n"/>
      <c r="DH242" s="361" t="n"/>
      <c r="DI242" s="361" t="n"/>
      <c r="DJ242" s="357" t="inlineStr">
        <is>
          <t>07</t>
        </is>
      </c>
      <c r="DK242" s="360" t="n"/>
      <c r="DL242" s="361" t="n">
        <v>14.31</v>
      </c>
      <c r="DM242" s="361" t="n"/>
      <c r="DN242" s="361" t="n"/>
      <c r="DO242" s="361" t="n"/>
      <c r="DP242" s="361" t="n"/>
      <c r="DR242" s="357" t="inlineStr">
        <is>
          <t>07</t>
        </is>
      </c>
      <c r="DS242" s="360" t="n"/>
      <c r="DT242" s="361" t="n">
        <v>18.17</v>
      </c>
      <c r="DU242" s="361" t="n"/>
      <c r="DV242" s="361" t="n"/>
      <c r="DW242" s="361" t="n"/>
      <c r="DX242" s="361" t="n"/>
      <c r="DZ242" s="357" t="inlineStr">
        <is>
          <t>07</t>
        </is>
      </c>
      <c r="EA242" s="360" t="n"/>
      <c r="EB242" s="361" t="n"/>
      <c r="EC242" s="361" t="n"/>
      <c r="ED242" s="361" t="n"/>
      <c r="EE242" s="361" t="n"/>
      <c r="EF242" s="361" t="n"/>
    </row>
    <row r="243" customFormat="1" s="359">
      <c r="B243" s="357" t="inlineStr">
        <is>
          <t>08</t>
        </is>
      </c>
      <c r="C243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3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43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43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43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43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43" s="361" t="n"/>
      <c r="J243" s="357" t="inlineStr">
        <is>
          <t>08</t>
        </is>
      </c>
      <c r="K243" s="360" t="n"/>
      <c r="L243" s="361" t="n">
        <v>17.42</v>
      </c>
      <c r="M243" s="361" t="n">
        <v>17.35</v>
      </c>
      <c r="N243" s="361" t="n">
        <v>16.04</v>
      </c>
      <c r="O243" s="361" t="n">
        <v>16.3</v>
      </c>
      <c r="P243" s="361" t="n">
        <v>15.53</v>
      </c>
      <c r="R243" s="357" t="inlineStr">
        <is>
          <t>08</t>
        </is>
      </c>
      <c r="S243" s="360" t="n"/>
      <c r="T243" s="361" t="n">
        <v>17.91</v>
      </c>
      <c r="U243" s="361" t="n">
        <v>18.06</v>
      </c>
      <c r="V243" s="361" t="n">
        <v>16.41</v>
      </c>
      <c r="W243" s="361" t="n">
        <v>16.82</v>
      </c>
      <c r="X243" s="361" t="n">
        <v>16.26</v>
      </c>
      <c r="Z243" s="357" t="inlineStr">
        <is>
          <t>08</t>
        </is>
      </c>
      <c r="AA243" s="360" t="n"/>
      <c r="AB243" s="361" t="n">
        <v>17.17</v>
      </c>
      <c r="AC243" s="361" t="n">
        <v>16.76</v>
      </c>
      <c r="AD243" s="361" t="n">
        <v>15.97</v>
      </c>
      <c r="AE243" s="361" t="n">
        <v>15.83</v>
      </c>
      <c r="AF243" s="361" t="n">
        <v>15.88</v>
      </c>
      <c r="AH243" s="357" t="inlineStr">
        <is>
          <t>08</t>
        </is>
      </c>
      <c r="AI243" s="360" t="n"/>
      <c r="AJ243" s="360" t="n">
        <v>19.36</v>
      </c>
      <c r="AK243" s="361" t="n">
        <v>19.27</v>
      </c>
      <c r="AL243" s="361" t="n">
        <v>17.68</v>
      </c>
      <c r="AM243" s="361" t="n">
        <v>18.23</v>
      </c>
      <c r="AN243" s="361" t="n">
        <v>16.57</v>
      </c>
      <c r="AP243" s="357" t="inlineStr">
        <is>
          <t>08</t>
        </is>
      </c>
      <c r="AQ243" s="360" t="n"/>
      <c r="AR243" s="360" t="n">
        <v>18.25</v>
      </c>
      <c r="AS243" s="361" t="n">
        <v>17.77</v>
      </c>
      <c r="AT243" s="361" t="n">
        <v>16.42</v>
      </c>
      <c r="AU243" s="361" t="n">
        <v>16.82</v>
      </c>
      <c r="AV243" s="361" t="n"/>
      <c r="AX243" s="357" t="inlineStr">
        <is>
          <t>08</t>
        </is>
      </c>
      <c r="AY243" s="360" t="n"/>
      <c r="AZ243" s="360" t="n">
        <v>20.65</v>
      </c>
      <c r="BA243" s="361" t="n">
        <v>21.06</v>
      </c>
      <c r="BB243" s="361" t="n">
        <v>19.01</v>
      </c>
      <c r="BC243" s="361" t="n">
        <v>20.23</v>
      </c>
      <c r="BD243" s="361" t="n"/>
      <c r="BE243" s="361" t="n"/>
      <c r="BF243" s="357" t="inlineStr">
        <is>
          <t>08</t>
        </is>
      </c>
      <c r="BG243" s="360" t="n"/>
      <c r="BH243" s="361" t="n">
        <v>19.76</v>
      </c>
      <c r="BI243" s="361" t="n">
        <v>20.3</v>
      </c>
      <c r="BJ243" s="361" t="n"/>
      <c r="BK243" s="361" t="n"/>
      <c r="BL243" s="361" t="n"/>
      <c r="BM243" s="361" t="n"/>
      <c r="BN243" s="357" t="inlineStr">
        <is>
          <t>08</t>
        </is>
      </c>
      <c r="BO243" s="360" t="n"/>
      <c r="BP243" s="361" t="n">
        <v>19.33</v>
      </c>
      <c r="BQ243" s="361" t="n">
        <v>19.38</v>
      </c>
      <c r="BR243" s="361" t="n">
        <v>17.62</v>
      </c>
      <c r="BS243" s="361" t="n">
        <v>18.74</v>
      </c>
      <c r="BT243" s="361" t="n">
        <v>18.11</v>
      </c>
      <c r="BV243" s="357" t="inlineStr">
        <is>
          <t>08</t>
        </is>
      </c>
      <c r="BW243" s="360" t="n"/>
      <c r="BX243" s="361" t="n">
        <v>21.01</v>
      </c>
      <c r="BY243" s="361" t="n">
        <v>21.5</v>
      </c>
      <c r="BZ243" s="361" t="n">
        <v>19.48</v>
      </c>
      <c r="CA243" s="361" t="n">
        <v>19.83</v>
      </c>
      <c r="CB243" s="361" t="n">
        <v>18.95</v>
      </c>
      <c r="CC243" s="361" t="n"/>
      <c r="CD243" s="357" t="inlineStr">
        <is>
          <t>08</t>
        </is>
      </c>
      <c r="CE243" s="360" t="n"/>
      <c r="CF243" s="361" t="n">
        <v>18.21</v>
      </c>
      <c r="CG243" s="361" t="n">
        <v>19.14</v>
      </c>
      <c r="CH243" s="361" t="n">
        <v>18</v>
      </c>
      <c r="CI243" s="361" t="n">
        <v>17.66</v>
      </c>
      <c r="CJ243" s="361" t="n">
        <v>17.13</v>
      </c>
      <c r="CL243" s="357" t="inlineStr">
        <is>
          <t>08</t>
        </is>
      </c>
      <c r="CM243" s="360" t="n"/>
      <c r="CN243" s="361" t="n">
        <v>18.61</v>
      </c>
      <c r="CO243" s="361" t="n">
        <v>19.99</v>
      </c>
      <c r="CP243" s="361" t="n">
        <v>18.46</v>
      </c>
      <c r="CQ243" s="361" t="n">
        <v>18.75</v>
      </c>
      <c r="CR243" s="361" t="n">
        <v>17.78</v>
      </c>
      <c r="CT243" s="357" t="inlineStr">
        <is>
          <t>08</t>
        </is>
      </c>
      <c r="CU243" s="360" t="n"/>
      <c r="CV243" s="361" t="n">
        <v>16.7</v>
      </c>
      <c r="CW243" s="361" t="n"/>
      <c r="CX243" s="361" t="n"/>
      <c r="CY243" s="361" t="n"/>
      <c r="CZ243" s="361" t="n"/>
      <c r="DB243" s="357" t="inlineStr">
        <is>
          <t>08</t>
        </is>
      </c>
      <c r="DC243" s="360" t="n"/>
      <c r="DD243" s="361" t="n">
        <v>19.56</v>
      </c>
      <c r="DE243" s="361" t="n"/>
      <c r="DF243" s="361" t="n"/>
      <c r="DG243" s="361" t="n"/>
      <c r="DH243" s="361" t="n"/>
      <c r="DI243" s="361" t="n"/>
      <c r="DJ243" s="357" t="inlineStr">
        <is>
          <t>08</t>
        </is>
      </c>
      <c r="DK243" s="360" t="n"/>
      <c r="DL243" s="361" t="n">
        <v>14.76</v>
      </c>
      <c r="DM243" s="361" t="n"/>
      <c r="DN243" s="361" t="n"/>
      <c r="DO243" s="361" t="n"/>
      <c r="DP243" s="361" t="n"/>
      <c r="DR243" s="357" t="inlineStr">
        <is>
          <t>08</t>
        </is>
      </c>
      <c r="DS243" s="360" t="n"/>
      <c r="DT243" s="361" t="n">
        <v>18.86</v>
      </c>
      <c r="DU243" s="361" t="n"/>
      <c r="DV243" s="361" t="n"/>
      <c r="DW243" s="361" t="n"/>
      <c r="DX243" s="361" t="n"/>
      <c r="DZ243" s="357" t="inlineStr">
        <is>
          <t>08</t>
        </is>
      </c>
      <c r="EA243" s="360" t="n"/>
      <c r="EB243" s="361" t="n">
        <v>19.94</v>
      </c>
      <c r="EC243" s="361" t="n"/>
      <c r="ED243" s="361" t="n"/>
      <c r="EE243" s="361" t="n"/>
      <c r="EF243" s="361" t="n"/>
    </row>
    <row r="244" customFormat="1" s="359">
      <c r="B244" s="357" t="inlineStr">
        <is>
          <t>09</t>
        </is>
      </c>
      <c r="C244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4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44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44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44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44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44" s="361" t="n"/>
      <c r="J244" s="357" t="inlineStr">
        <is>
          <t>09</t>
        </is>
      </c>
      <c r="K244" s="360" t="n"/>
      <c r="L244" s="361" t="n">
        <v>16.21</v>
      </c>
      <c r="M244" s="361" t="n">
        <v>16.29</v>
      </c>
      <c r="N244" s="361" t="n">
        <v>15.02</v>
      </c>
      <c r="O244" s="361" t="n">
        <v>14.85</v>
      </c>
      <c r="P244" s="361" t="n">
        <v>14.02</v>
      </c>
      <c r="R244" s="357" t="inlineStr">
        <is>
          <t>09</t>
        </is>
      </c>
      <c r="S244" s="360" t="n"/>
      <c r="T244" s="361" t="n">
        <v>16.17</v>
      </c>
      <c r="U244" s="361" t="n">
        <v>16.64</v>
      </c>
      <c r="V244" s="361" t="n">
        <v>15.5</v>
      </c>
      <c r="W244" s="361" t="n">
        <v>15.19</v>
      </c>
      <c r="X244" s="361" t="n">
        <v>14.35</v>
      </c>
      <c r="Z244" s="357" t="inlineStr">
        <is>
          <t>09</t>
        </is>
      </c>
      <c r="AA244" s="360" t="n"/>
      <c r="AB244" s="361" t="n">
        <v>16.23</v>
      </c>
      <c r="AC244" s="361" t="n">
        <v>15.66</v>
      </c>
      <c r="AD244" s="361" t="n">
        <v>14.59</v>
      </c>
      <c r="AE244" s="361" t="n">
        <v>14.68</v>
      </c>
      <c r="AF244" s="361" t="n">
        <v>14.12</v>
      </c>
      <c r="AH244" s="357" t="inlineStr">
        <is>
          <t>09</t>
        </is>
      </c>
      <c r="AI244" s="362" t="n"/>
      <c r="AJ244" s="360" t="n">
        <v>18.29</v>
      </c>
      <c r="AK244" s="361" t="n">
        <v>18.2</v>
      </c>
      <c r="AL244" s="361" t="n">
        <v>17.18</v>
      </c>
      <c r="AM244" s="361" t="n">
        <v>16.83</v>
      </c>
      <c r="AN244" s="361" t="n">
        <v>15.02</v>
      </c>
      <c r="AP244" s="357" t="inlineStr">
        <is>
          <t>09</t>
        </is>
      </c>
      <c r="AQ244" s="360" t="n"/>
      <c r="AR244" s="360" t="n">
        <v>16.92</v>
      </c>
      <c r="AS244" s="361" t="n">
        <v>16.65</v>
      </c>
      <c r="AT244" s="361" t="n">
        <v>15.59</v>
      </c>
      <c r="AU244" s="361" t="n">
        <v>15.41</v>
      </c>
      <c r="AV244" s="361" t="n"/>
      <c r="AX244" s="357" t="inlineStr">
        <is>
          <t>09</t>
        </is>
      </c>
      <c r="AY244" s="360" t="n"/>
      <c r="AZ244" s="360" t="n">
        <v>19</v>
      </c>
      <c r="BA244" s="361" t="n">
        <v>19.82</v>
      </c>
      <c r="BB244" s="361" t="n">
        <v>17.71</v>
      </c>
      <c r="BC244" s="361" t="n">
        <v>18.28</v>
      </c>
      <c r="BD244" s="361" t="n"/>
      <c r="BE244" s="361" t="n"/>
      <c r="BF244" s="357" t="inlineStr">
        <is>
          <t>09</t>
        </is>
      </c>
      <c r="BG244" s="360" t="n"/>
      <c r="BH244" s="361" t="n">
        <v>17.64</v>
      </c>
      <c r="BI244" s="361" t="n">
        <v>18.36</v>
      </c>
      <c r="BJ244" s="361" t="n"/>
      <c r="BK244" s="361" t="n"/>
      <c r="BL244" s="361" t="n"/>
      <c r="BM244" s="361" t="n"/>
      <c r="BN244" s="357" t="inlineStr">
        <is>
          <t>09</t>
        </is>
      </c>
      <c r="BO244" s="360" t="n"/>
      <c r="BP244" s="361" t="n">
        <v>16.34</v>
      </c>
      <c r="BQ244" s="361" t="n">
        <v>16.54</v>
      </c>
      <c r="BR244" s="361" t="n">
        <v>14.97</v>
      </c>
      <c r="BS244" s="361" t="n">
        <v>15.29</v>
      </c>
      <c r="BT244" s="361" t="n">
        <v>14.07</v>
      </c>
      <c r="BV244" s="357" t="inlineStr">
        <is>
          <t>09</t>
        </is>
      </c>
      <c r="BW244" s="360" t="n"/>
      <c r="BX244" s="361" t="n">
        <v>18.37</v>
      </c>
      <c r="BY244" s="361" t="n">
        <v>19.25</v>
      </c>
      <c r="BZ244" s="361" t="n">
        <v>17.61</v>
      </c>
      <c r="CA244" s="361" t="n">
        <v>17.17</v>
      </c>
      <c r="CB244" s="361" t="n">
        <v>16.09</v>
      </c>
      <c r="CC244" s="361" t="n"/>
      <c r="CD244" s="357" t="inlineStr">
        <is>
          <t>09</t>
        </is>
      </c>
      <c r="CE244" s="360" t="n"/>
      <c r="CF244" s="361" t="n">
        <v>15.78</v>
      </c>
      <c r="CG244" s="361" t="n">
        <v>17.44</v>
      </c>
      <c r="CH244" s="361" t="n">
        <v>16.01</v>
      </c>
      <c r="CI244" s="361" t="n">
        <v>15.69</v>
      </c>
      <c r="CJ244" s="361" t="n">
        <v>14.28</v>
      </c>
      <c r="CL244" s="357" t="inlineStr">
        <is>
          <t>09</t>
        </is>
      </c>
      <c r="CM244" s="360" t="n"/>
      <c r="CN244" s="361" t="n">
        <v>17.68</v>
      </c>
      <c r="CO244" s="361" t="n">
        <v>19.21</v>
      </c>
      <c r="CP244" s="361" t="n">
        <v>17.59</v>
      </c>
      <c r="CQ244" s="361" t="n">
        <v>16.92</v>
      </c>
      <c r="CR244" s="361" t="n">
        <v>15.62</v>
      </c>
      <c r="CT244" s="357" t="inlineStr">
        <is>
          <t>09</t>
        </is>
      </c>
      <c r="CU244" s="360" t="n"/>
      <c r="CV244" s="361" t="n">
        <v>16.02</v>
      </c>
      <c r="CW244" s="361" t="n"/>
      <c r="CX244" s="361" t="n"/>
      <c r="CY244" s="361" t="n"/>
      <c r="CZ244" s="361" t="n"/>
      <c r="DB244" s="357" t="inlineStr">
        <is>
          <t>09</t>
        </is>
      </c>
      <c r="DC244" s="360" t="n"/>
      <c r="DD244" s="361" t="n">
        <v>18.75</v>
      </c>
      <c r="DE244" s="361" t="n"/>
      <c r="DF244" s="361" t="n"/>
      <c r="DG244" s="361" t="n"/>
      <c r="DH244" s="361" t="n"/>
      <c r="DI244" s="361" t="n"/>
      <c r="DJ244" s="357" t="inlineStr">
        <is>
          <t>09</t>
        </is>
      </c>
      <c r="DK244" s="360" t="n"/>
      <c r="DL244" s="361" t="n">
        <v>13.68</v>
      </c>
      <c r="DM244" s="361" t="n"/>
      <c r="DN244" s="361" t="n"/>
      <c r="DO244" s="361" t="n"/>
      <c r="DP244" s="361" t="n"/>
      <c r="DR244" s="357" t="inlineStr">
        <is>
          <t>09</t>
        </is>
      </c>
      <c r="DS244" s="360" t="n"/>
      <c r="DT244" s="361" t="n">
        <v>17.87</v>
      </c>
      <c r="DU244" s="361" t="n"/>
      <c r="DV244" s="361" t="n"/>
      <c r="DW244" s="361" t="n"/>
      <c r="DX244" s="361" t="n"/>
      <c r="DZ244" s="357" t="inlineStr">
        <is>
          <t>09</t>
        </is>
      </c>
      <c r="EA244" s="360" t="n"/>
      <c r="EB244" s="361" t="n">
        <v>18.65</v>
      </c>
      <c r="EC244" s="361" t="n"/>
      <c r="ED244" s="361" t="n"/>
      <c r="EE244" s="361" t="n"/>
      <c r="EF244" s="361" t="n"/>
    </row>
    <row r="245" customFormat="1" s="359">
      <c r="B245" s="357" t="inlineStr">
        <is>
          <t>10</t>
        </is>
      </c>
      <c r="C245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5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45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45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45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45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45" s="361" t="n"/>
      <c r="J245" s="357" t="inlineStr">
        <is>
          <t>10</t>
        </is>
      </c>
      <c r="K245" s="360" t="n"/>
      <c r="L245" s="361" t="n">
        <v>15.37</v>
      </c>
      <c r="M245" s="361" t="n">
        <v>16.75</v>
      </c>
      <c r="N245" s="361" t="n">
        <v>15.7</v>
      </c>
      <c r="O245" s="361" t="n">
        <v>15.11</v>
      </c>
      <c r="P245" s="361" t="n">
        <v>14.54</v>
      </c>
      <c r="R245" s="357" t="inlineStr">
        <is>
          <t>10</t>
        </is>
      </c>
      <c r="S245" s="360" t="n"/>
      <c r="T245" s="361" t="n">
        <v>15.91</v>
      </c>
      <c r="U245" s="361" t="n">
        <v>16.67</v>
      </c>
      <c r="V245" s="361" t="n">
        <v>15.86</v>
      </c>
      <c r="W245" s="361" t="n">
        <v>15.09</v>
      </c>
      <c r="X245" s="361" t="n">
        <v>14.64</v>
      </c>
      <c r="Z245" s="357" t="inlineStr">
        <is>
          <t>10</t>
        </is>
      </c>
      <c r="AA245" s="360" t="n"/>
      <c r="AB245" s="361" t="n">
        <v>16.03</v>
      </c>
      <c r="AC245" s="361" t="n">
        <v>15.71</v>
      </c>
      <c r="AD245" s="361" t="n">
        <v>15.12</v>
      </c>
      <c r="AE245" s="361" t="n">
        <v>14.58</v>
      </c>
      <c r="AF245" s="361" t="n">
        <v>14.6</v>
      </c>
      <c r="AH245" s="357" t="inlineStr">
        <is>
          <t>10</t>
        </is>
      </c>
      <c r="AI245" s="360" t="n"/>
      <c r="AJ245" s="360" t="n">
        <v>17.78</v>
      </c>
      <c r="AK245" s="361" t="n">
        <v>18.21</v>
      </c>
      <c r="AL245" s="361" t="n">
        <v>17.45</v>
      </c>
      <c r="AM245" s="361" t="n">
        <v>16.78</v>
      </c>
      <c r="AN245" s="361" t="n">
        <v>15.35</v>
      </c>
      <c r="AP245" s="357" t="inlineStr">
        <is>
          <t>10</t>
        </is>
      </c>
      <c r="AQ245" s="360" t="n"/>
      <c r="AR245" s="360" t="n">
        <v>15.73</v>
      </c>
      <c r="AS245" s="361" t="n">
        <v>16.95</v>
      </c>
      <c r="AT245" s="361" t="n">
        <v>15.95</v>
      </c>
      <c r="AU245" s="361" t="n">
        <v>15.48</v>
      </c>
      <c r="AV245" s="361" t="n"/>
      <c r="AX245" s="357" t="inlineStr">
        <is>
          <t>10</t>
        </is>
      </c>
      <c r="AY245" s="360" t="n"/>
      <c r="AZ245" s="360" t="n">
        <v>18.67</v>
      </c>
      <c r="BA245" s="361" t="n">
        <v>20.02</v>
      </c>
      <c r="BB245" s="361" t="n">
        <v>18.55</v>
      </c>
      <c r="BC245" s="361" t="n">
        <v>17.98</v>
      </c>
      <c r="BD245" s="361" t="n"/>
      <c r="BE245" s="361" t="n"/>
      <c r="BF245" s="357" t="inlineStr">
        <is>
          <t>10</t>
        </is>
      </c>
      <c r="BG245" s="360" t="n"/>
      <c r="BH245" s="361" t="n">
        <v>17.48</v>
      </c>
      <c r="BI245" s="361" t="n">
        <v>18.83</v>
      </c>
      <c r="BJ245" s="361" t="n"/>
      <c r="BK245" s="361" t="n"/>
      <c r="BL245" s="361" t="n"/>
      <c r="BM245" s="361" t="n"/>
      <c r="BN245" s="357" t="inlineStr">
        <is>
          <t>10</t>
        </is>
      </c>
      <c r="BO245" s="360" t="n"/>
      <c r="BP245" s="361" t="n">
        <v>16.97</v>
      </c>
      <c r="BQ245" s="361" t="n">
        <v>17.61</v>
      </c>
      <c r="BR245" s="361" t="n">
        <v>16.3</v>
      </c>
      <c r="BS245" s="361" t="n">
        <v>15.65</v>
      </c>
      <c r="BT245" s="361" t="n">
        <v>15.53</v>
      </c>
      <c r="BV245" s="357" t="inlineStr">
        <is>
          <t>10</t>
        </is>
      </c>
      <c r="BW245" s="360" t="n"/>
      <c r="BX245" s="361" t="n">
        <v>17.64</v>
      </c>
      <c r="BY245" s="361" t="n">
        <v>19.36</v>
      </c>
      <c r="BZ245" s="361" t="n">
        <v>18.34</v>
      </c>
      <c r="CA245" s="361" t="n">
        <v>17.4</v>
      </c>
      <c r="CB245" s="361" t="n">
        <v>16.64</v>
      </c>
      <c r="CC245" s="361" t="n"/>
      <c r="CD245" s="357" t="inlineStr">
        <is>
          <t>10</t>
        </is>
      </c>
      <c r="CE245" s="360" t="n"/>
      <c r="CF245" s="361" t="n">
        <v>15.82</v>
      </c>
      <c r="CG245" s="361" t="n">
        <v>17.51</v>
      </c>
      <c r="CH245" s="361" t="n">
        <v>16.9</v>
      </c>
      <c r="CI245" s="361" t="n">
        <v>15.89</v>
      </c>
      <c r="CJ245" s="361" t="n">
        <v>14.5</v>
      </c>
      <c r="CL245" s="357" t="inlineStr">
        <is>
          <t>10</t>
        </is>
      </c>
      <c r="CM245" s="360" t="n"/>
      <c r="CN245" s="361" t="n">
        <v>17.36</v>
      </c>
      <c r="CO245" s="361" t="n">
        <v>19.69</v>
      </c>
      <c r="CP245" s="361" t="n">
        <v>18.32</v>
      </c>
      <c r="CQ245" s="361" t="n">
        <v>17.11</v>
      </c>
      <c r="CR245" s="361" t="n">
        <v>16.1</v>
      </c>
      <c r="CT245" s="357" t="inlineStr">
        <is>
          <t>10</t>
        </is>
      </c>
      <c r="CU245" s="360" t="n"/>
      <c r="CV245" s="361" t="n">
        <v>15.28</v>
      </c>
      <c r="CW245" s="361" t="n"/>
      <c r="CX245" s="361" t="n"/>
      <c r="CY245" s="361" t="n"/>
      <c r="CZ245" s="361" t="n"/>
      <c r="DB245" s="357" t="inlineStr">
        <is>
          <t>10</t>
        </is>
      </c>
      <c r="DC245" s="360" t="n"/>
      <c r="DD245" s="361" t="n">
        <v>18.06</v>
      </c>
      <c r="DE245" s="361" t="n"/>
      <c r="DF245" s="361" t="n"/>
      <c r="DG245" s="361" t="n"/>
      <c r="DH245" s="361" t="n"/>
      <c r="DI245" s="361" t="n"/>
      <c r="DJ245" s="357" t="inlineStr">
        <is>
          <t>10</t>
        </is>
      </c>
      <c r="DK245" s="360" t="n"/>
      <c r="DL245" s="361" t="n">
        <v>13.57</v>
      </c>
      <c r="DM245" s="361" t="n"/>
      <c r="DN245" s="361" t="n"/>
      <c r="DO245" s="361" t="n"/>
      <c r="DP245" s="361" t="n"/>
      <c r="DR245" s="357" t="inlineStr">
        <is>
          <t>10</t>
        </is>
      </c>
      <c r="DS245" s="360" t="n"/>
      <c r="DT245" s="361" t="n">
        <v>17.71</v>
      </c>
      <c r="DU245" s="361" t="n"/>
      <c r="DV245" s="361" t="n"/>
      <c r="DW245" s="361" t="n"/>
      <c r="DX245" s="361" t="n"/>
      <c r="DZ245" s="357" t="inlineStr">
        <is>
          <t>10</t>
        </is>
      </c>
      <c r="EA245" s="360" t="n"/>
      <c r="EB245" s="361" t="n">
        <v>17.98</v>
      </c>
      <c r="EC245" s="361" t="n"/>
      <c r="ED245" s="361" t="n"/>
      <c r="EE245" s="361" t="n"/>
      <c r="EF245" s="361" t="n"/>
    </row>
    <row r="246" customFormat="1" s="359">
      <c r="B246" s="357" t="inlineStr">
        <is>
          <t>11</t>
        </is>
      </c>
      <c r="C246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6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46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46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46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46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46" s="361" t="n"/>
      <c r="J246" s="357" t="inlineStr">
        <is>
          <t>11</t>
        </is>
      </c>
      <c r="K246" s="360" t="n"/>
      <c r="L246" s="361" t="n">
        <v>17.22</v>
      </c>
      <c r="M246" s="361" t="n">
        <v>16.48</v>
      </c>
      <c r="N246" s="361" t="n">
        <v>15.78</v>
      </c>
      <c r="O246" s="361" t="n">
        <v>14.36</v>
      </c>
      <c r="P246" s="361" t="n">
        <v>16.68</v>
      </c>
      <c r="R246" s="357" t="inlineStr">
        <is>
          <t>11</t>
        </is>
      </c>
      <c r="S246" s="360" t="n"/>
      <c r="T246" s="361" t="n">
        <v>17.01</v>
      </c>
      <c r="U246" s="361" t="n">
        <v>16.49</v>
      </c>
      <c r="V246" s="361" t="n">
        <v>15.76</v>
      </c>
      <c r="W246" s="361" t="n">
        <v>14.55</v>
      </c>
      <c r="X246" s="361" t="n">
        <v>16.45</v>
      </c>
      <c r="Z246" s="357" t="inlineStr">
        <is>
          <t>11</t>
        </is>
      </c>
      <c r="AA246" s="360" t="n"/>
      <c r="AB246" s="361" t="n">
        <v>16.77</v>
      </c>
      <c r="AC246" s="361" t="n">
        <v>16.05</v>
      </c>
      <c r="AD246" s="361" t="n">
        <v>14.9</v>
      </c>
      <c r="AE246" s="361" t="n">
        <v>14.06</v>
      </c>
      <c r="AF246" s="361" t="n">
        <v>17.41</v>
      </c>
      <c r="AH246" s="357" t="inlineStr">
        <is>
          <t>11</t>
        </is>
      </c>
      <c r="AI246" s="360" t="n"/>
      <c r="AJ246" s="360" t="n">
        <v>19.43</v>
      </c>
      <c r="AK246" s="361" t="n">
        <v>18.56</v>
      </c>
      <c r="AL246" s="361" t="n">
        <v>17.41</v>
      </c>
      <c r="AM246" s="361" t="n">
        <v>15.92</v>
      </c>
      <c r="AN246" s="361" t="n">
        <v>17.93</v>
      </c>
      <c r="AP246" s="357" t="inlineStr">
        <is>
          <t>11</t>
        </is>
      </c>
      <c r="AQ246" s="360" t="n"/>
      <c r="AR246" s="360" t="n">
        <v>17.44</v>
      </c>
      <c r="AS246" s="361" t="n">
        <v>16.87</v>
      </c>
      <c r="AT246" s="361" t="n">
        <v>15.87</v>
      </c>
      <c r="AU246" s="361" t="n">
        <v>14.85</v>
      </c>
      <c r="AV246" s="361" t="n"/>
      <c r="AX246" s="357" t="inlineStr">
        <is>
          <t>11</t>
        </is>
      </c>
      <c r="AY246" s="360" t="n"/>
      <c r="AZ246" s="360" t="n">
        <v>20.41</v>
      </c>
      <c r="BA246" s="361" t="n">
        <v>19.96</v>
      </c>
      <c r="BB246" s="361" t="n">
        <v>18.31</v>
      </c>
      <c r="BC246" s="361" t="n">
        <v>16.59</v>
      </c>
      <c r="BD246" s="361" t="n"/>
      <c r="BE246" s="361" t="n"/>
      <c r="BF246" s="357" t="inlineStr">
        <is>
          <t>11</t>
        </is>
      </c>
      <c r="BG246" s="360" t="n"/>
      <c r="BH246" s="361" t="n">
        <v>18.54</v>
      </c>
      <c r="BI246" s="361" t="n">
        <v>18.5</v>
      </c>
      <c r="BJ246" s="361" t="n"/>
      <c r="BK246" s="361" t="n"/>
      <c r="BL246" s="361" t="n"/>
      <c r="BM246" s="361" t="n"/>
      <c r="BN246" s="357" t="inlineStr">
        <is>
          <t>11</t>
        </is>
      </c>
      <c r="BO246" s="360" t="n"/>
      <c r="BP246" s="361" t="n">
        <v>17.48</v>
      </c>
      <c r="BQ246" s="361" t="n">
        <v>16.75</v>
      </c>
      <c r="BR246" s="361" t="n">
        <v>16.05</v>
      </c>
      <c r="BS246" s="361" t="n">
        <v>14.28</v>
      </c>
      <c r="BT246" s="361" t="n">
        <v>18.69</v>
      </c>
      <c r="BV246" s="357" t="inlineStr">
        <is>
          <t>11</t>
        </is>
      </c>
      <c r="BW246" s="360" t="n"/>
      <c r="BX246" s="361" t="n">
        <v>18.73</v>
      </c>
      <c r="BY246" s="361" t="n">
        <v>18.58</v>
      </c>
      <c r="BZ246" s="361" t="n">
        <v>17.82</v>
      </c>
      <c r="CA246" s="361" t="n">
        <v>16.55</v>
      </c>
      <c r="CB246" s="361" t="n">
        <v>19.76</v>
      </c>
      <c r="CC246" s="361" t="n"/>
      <c r="CD246" s="357" t="inlineStr">
        <is>
          <t>11</t>
        </is>
      </c>
      <c r="CE246" s="360" t="n"/>
      <c r="CF246" s="361" t="n">
        <v>16.39</v>
      </c>
      <c r="CG246" s="361" t="n">
        <v>17.22</v>
      </c>
      <c r="CH246" s="361" t="n">
        <v>16.48</v>
      </c>
      <c r="CI246" s="361" t="n">
        <v>15.67</v>
      </c>
      <c r="CJ246" s="361" t="n">
        <v>18.01</v>
      </c>
      <c r="CL246" s="357" t="inlineStr">
        <is>
          <t>11</t>
        </is>
      </c>
      <c r="CM246" s="360" t="n"/>
      <c r="CN246" s="361" t="n">
        <v>18.67</v>
      </c>
      <c r="CO246" s="361" t="n">
        <v>19.16</v>
      </c>
      <c r="CP246" s="361" t="n">
        <v>17.8</v>
      </c>
      <c r="CQ246" s="361" t="n">
        <v>16.41</v>
      </c>
      <c r="CR246" s="361" t="n">
        <v>18.52</v>
      </c>
      <c r="CT246" s="357" t="inlineStr">
        <is>
          <t>11</t>
        </is>
      </c>
      <c r="CU246" s="360" t="n"/>
      <c r="CV246" s="361" t="n">
        <v>16.35</v>
      </c>
      <c r="CW246" s="361" t="n"/>
      <c r="CX246" s="361" t="n"/>
      <c r="CY246" s="361" t="n"/>
      <c r="CZ246" s="361" t="n"/>
      <c r="DB246" s="357" t="inlineStr">
        <is>
          <t>11</t>
        </is>
      </c>
      <c r="DC246" s="360" t="n"/>
      <c r="DD246" s="361" t="n">
        <v>19.54</v>
      </c>
      <c r="DE246" s="361" t="n"/>
      <c r="DF246" s="361" t="n"/>
      <c r="DG246" s="361" t="n"/>
      <c r="DH246" s="361" t="n"/>
      <c r="DI246" s="361" t="n"/>
      <c r="DJ246" s="357" t="inlineStr">
        <is>
          <t>11</t>
        </is>
      </c>
      <c r="DK246" s="360" t="n"/>
      <c r="DL246" s="361" t="n">
        <v>14.14</v>
      </c>
      <c r="DM246" s="361" t="n"/>
      <c r="DN246" s="361" t="n"/>
      <c r="DO246" s="361" t="n"/>
      <c r="DP246" s="361" t="n"/>
      <c r="DR246" s="357" t="inlineStr">
        <is>
          <t>11</t>
        </is>
      </c>
      <c r="DS246" s="360" t="n"/>
      <c r="DT246" s="361" t="n">
        <v>18.76</v>
      </c>
      <c r="DU246" s="361" t="n"/>
      <c r="DV246" s="361" t="n"/>
      <c r="DW246" s="361" t="n"/>
      <c r="DX246" s="361" t="n"/>
      <c r="DZ246" s="357" t="inlineStr">
        <is>
          <t>11</t>
        </is>
      </c>
      <c r="EA246" s="360" t="n"/>
      <c r="EB246" s="361" t="n">
        <v>18.83</v>
      </c>
      <c r="EC246" s="361" t="n"/>
      <c r="ED246" s="361" t="n"/>
      <c r="EE246" s="361" t="n"/>
      <c r="EF246" s="361" t="n"/>
    </row>
    <row r="247" customFormat="1" s="359">
      <c r="B247" s="357" t="inlineStr">
        <is>
          <t>12</t>
        </is>
      </c>
      <c r="C247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7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47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47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47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47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47" s="361" t="n"/>
      <c r="J247" s="357" t="inlineStr">
        <is>
          <t>12</t>
        </is>
      </c>
      <c r="K247" s="360" t="n"/>
      <c r="L247" s="361" t="n">
        <v>17.31</v>
      </c>
      <c r="M247" s="361" t="n">
        <v>17.07</v>
      </c>
      <c r="N247" s="361" t="n">
        <v>16.94</v>
      </c>
      <c r="O247" s="361" t="n">
        <v>15.36</v>
      </c>
      <c r="P247" s="361" t="n">
        <v>16.71</v>
      </c>
      <c r="R247" s="357" t="inlineStr">
        <is>
          <t>12</t>
        </is>
      </c>
      <c r="S247" s="360" t="n">
        <v>17.07</v>
      </c>
      <c r="T247" s="361" t="n">
        <v>17.07</v>
      </c>
      <c r="U247" s="361" t="n">
        <v>17.32</v>
      </c>
      <c r="V247" s="361" t="n">
        <v>16.48</v>
      </c>
      <c r="W247" s="361" t="n">
        <v>15.57</v>
      </c>
      <c r="X247" s="361" t="n">
        <v>17.1</v>
      </c>
      <c r="Z247" s="357" t="inlineStr">
        <is>
          <t>12</t>
        </is>
      </c>
      <c r="AA247" s="360" t="n"/>
      <c r="AB247" s="361" t="n">
        <v>16.72</v>
      </c>
      <c r="AC247" s="361" t="n">
        <v>16.79</v>
      </c>
      <c r="AD247" s="361" t="n">
        <v>16.25</v>
      </c>
      <c r="AE247" s="361" t="n">
        <v>15.33</v>
      </c>
      <c r="AF247" s="361" t="n">
        <v>17.8</v>
      </c>
      <c r="AH247" s="357" t="inlineStr">
        <is>
          <t>12</t>
        </is>
      </c>
      <c r="AI247" s="360" t="n"/>
      <c r="AJ247" s="360" t="n">
        <v>20</v>
      </c>
      <c r="AK247" s="361" t="n">
        <v>18.99</v>
      </c>
      <c r="AL247" s="361" t="n">
        <v>18.6</v>
      </c>
      <c r="AM247" s="361" t="n">
        <v>17.16</v>
      </c>
      <c r="AN247" s="361" t="n">
        <v>18.25</v>
      </c>
      <c r="AP247" s="357" t="inlineStr">
        <is>
          <t>12</t>
        </is>
      </c>
      <c r="AQ247" s="360" t="n"/>
      <c r="AR247" s="360" t="n">
        <v>17.31</v>
      </c>
      <c r="AS247" s="361" t="n">
        <v>17.46</v>
      </c>
      <c r="AT247" s="361" t="n">
        <v>16.91</v>
      </c>
      <c r="AU247" s="361" t="n">
        <v>15.78</v>
      </c>
      <c r="AV247" s="361" t="n"/>
      <c r="AX247" s="357" t="inlineStr">
        <is>
          <t>12</t>
        </is>
      </c>
      <c r="AY247" s="360" t="n"/>
      <c r="AZ247" s="360" t="n">
        <v>20.97</v>
      </c>
      <c r="BA247" s="361" t="n">
        <v>20.56</v>
      </c>
      <c r="BB247" s="361" t="n">
        <v>19.69</v>
      </c>
      <c r="BC247" s="361" t="n">
        <v>17.72</v>
      </c>
      <c r="BD247" s="361" t="n"/>
      <c r="BE247" s="361" t="n"/>
      <c r="BF247" s="357" t="inlineStr">
        <is>
          <t>12</t>
        </is>
      </c>
      <c r="BG247" s="360" t="n"/>
      <c r="BH247" s="361" t="n">
        <v>18.4</v>
      </c>
      <c r="BI247" s="361" t="n">
        <v>19.22</v>
      </c>
      <c r="BJ247" s="361" t="n"/>
      <c r="BK247" s="361" t="n"/>
      <c r="BL247" s="361" t="n"/>
      <c r="BM247" s="361" t="n"/>
      <c r="BN247" s="357" t="inlineStr">
        <is>
          <t>12</t>
        </is>
      </c>
      <c r="BO247" s="360" t="n"/>
      <c r="BP247" s="361" t="n">
        <v>17.11</v>
      </c>
      <c r="BQ247" s="361" t="n">
        <v>17.48</v>
      </c>
      <c r="BR247" s="361" t="n">
        <v>17.5</v>
      </c>
      <c r="BS247" s="361" t="n">
        <v>16.2</v>
      </c>
      <c r="BT247" s="361" t="n">
        <v>19.54</v>
      </c>
      <c r="BV247" s="357" t="inlineStr">
        <is>
          <t>12</t>
        </is>
      </c>
      <c r="BW247" s="360" t="n"/>
      <c r="BX247" s="361" t="n">
        <v>18.73</v>
      </c>
      <c r="BY247" s="361" t="n">
        <v>18.79</v>
      </c>
      <c r="BZ247" s="361" t="n">
        <v>18.86</v>
      </c>
      <c r="CA247" s="361" t="n">
        <v>17.63</v>
      </c>
      <c r="CB247" s="361" t="n">
        <v>19.83</v>
      </c>
      <c r="CC247" s="361" t="n"/>
      <c r="CD247" s="357" t="inlineStr">
        <is>
          <t>12</t>
        </is>
      </c>
      <c r="CE247" s="360" t="n"/>
      <c r="CF247" s="361" t="n">
        <v>16.18</v>
      </c>
      <c r="CG247" s="361" t="n">
        <v>17.31</v>
      </c>
      <c r="CH247" s="361" t="n">
        <v>17.16</v>
      </c>
      <c r="CI247" s="361" t="n">
        <v>16.13</v>
      </c>
      <c r="CJ247" s="361" t="n">
        <v>18.42</v>
      </c>
      <c r="CL247" s="357" t="inlineStr">
        <is>
          <t>12</t>
        </is>
      </c>
      <c r="CM247" s="360" t="n"/>
      <c r="CN247" s="361" t="n">
        <v>18.19</v>
      </c>
      <c r="CO247" s="361" t="n">
        <v>18.39</v>
      </c>
      <c r="CP247" s="361" t="n">
        <v>19.2</v>
      </c>
      <c r="CQ247" s="361" t="n">
        <v>17.42</v>
      </c>
      <c r="CR247" s="361" t="n">
        <v>19.11</v>
      </c>
      <c r="CT247" s="357" t="inlineStr">
        <is>
          <t>12</t>
        </is>
      </c>
      <c r="CU247" s="360" t="n"/>
      <c r="CV247" s="361" t="n">
        <v>16.22</v>
      </c>
      <c r="CW247" s="361" t="n"/>
      <c r="CX247" s="361" t="n"/>
      <c r="CY247" s="361" t="n"/>
      <c r="CZ247" s="361" t="n"/>
      <c r="DB247" s="357" t="inlineStr">
        <is>
          <t>12</t>
        </is>
      </c>
      <c r="DC247" s="360" t="n"/>
      <c r="DD247" s="361" t="n">
        <v>19.24</v>
      </c>
      <c r="DE247" s="361" t="n"/>
      <c r="DF247" s="361" t="n"/>
      <c r="DG247" s="361" t="n"/>
      <c r="DH247" s="361" t="n"/>
      <c r="DI247" s="361" t="n"/>
      <c r="DJ247" s="357" t="inlineStr">
        <is>
          <t>12</t>
        </is>
      </c>
      <c r="DK247" s="360" t="n"/>
      <c r="DL247" s="361" t="n">
        <v>14.09</v>
      </c>
      <c r="DM247" s="361" t="n"/>
      <c r="DN247" s="361" t="n"/>
      <c r="DO247" s="361" t="n"/>
      <c r="DP247" s="361" t="n"/>
      <c r="DR247" s="357" t="inlineStr">
        <is>
          <t>12</t>
        </is>
      </c>
      <c r="DS247" s="360" t="n"/>
      <c r="DT247" s="361" t="n">
        <v>18.77</v>
      </c>
      <c r="DU247" s="361" t="n"/>
      <c r="DV247" s="361" t="n"/>
      <c r="DW247" s="361" t="n"/>
      <c r="DX247" s="361" t="n"/>
      <c r="DZ247" s="357" t="inlineStr">
        <is>
          <t>12</t>
        </is>
      </c>
      <c r="EA247" s="360" t="n"/>
      <c r="EB247" s="361" t="n">
        <v>18.94</v>
      </c>
      <c r="EC247" s="361" t="n"/>
      <c r="ED247" s="361" t="n"/>
      <c r="EE247" s="361" t="n"/>
      <c r="EF247" s="361" t="n"/>
    </row>
    <row r="249" ht="15.75" customHeight="1" s="161">
      <c r="B249" s="355" t="inlineStr">
        <is>
          <t>Global</t>
        </is>
      </c>
      <c r="J249" s="355" t="inlineStr">
        <is>
          <t>GLR5</t>
        </is>
      </c>
      <c r="R249" s="355" t="inlineStr">
        <is>
          <t>HTR8</t>
        </is>
      </c>
      <c r="Z249" s="355" t="inlineStr">
        <is>
          <t>TIRR</t>
        </is>
      </c>
      <c r="AH249" s="355" t="inlineStr">
        <is>
          <t>VR7</t>
        </is>
      </c>
      <c r="AP249" s="355" t="inlineStr">
        <is>
          <t>TURVILLA</t>
        </is>
      </c>
      <c r="AX249" s="355" t="inlineStr">
        <is>
          <t>HART</t>
        </is>
      </c>
      <c r="BF249" s="355" t="inlineStr">
        <is>
          <t>VICTOIRE</t>
        </is>
      </c>
      <c r="BN249" s="355" t="inlineStr">
        <is>
          <t>TH4</t>
        </is>
      </c>
      <c r="BV249" s="355" t="inlineStr">
        <is>
          <t>TL DIVES</t>
        </is>
      </c>
      <c r="CD249" s="355" t="inlineStr">
        <is>
          <t>R3 14</t>
        </is>
      </c>
      <c r="CL249" s="355" t="inlineStr">
        <is>
          <t>LYSE</t>
        </is>
      </c>
      <c r="CT249" s="355" t="inlineStr">
        <is>
          <t>ARTHUR</t>
        </is>
      </c>
      <c r="DB249" s="355" t="inlineStr">
        <is>
          <t>HUGO</t>
        </is>
      </c>
      <c r="DJ249" s="355" t="inlineStr">
        <is>
          <t>JEANCLO</t>
        </is>
      </c>
      <c r="DR249" s="355" t="inlineStr">
        <is>
          <t>THOMAS</t>
        </is>
      </c>
      <c r="DZ249" s="355" t="inlineStr">
        <is>
          <t>CATALINA</t>
        </is>
      </c>
    </row>
    <row r="251" ht="18.6" customFormat="1" customHeight="1" s="188">
      <c r="A251" s="356" t="inlineStr">
        <is>
          <t>Paniers moyens cumulés sur place</t>
        </is>
      </c>
      <c r="B251" s="186" t="inlineStr">
        <is>
          <t>MOIS</t>
        </is>
      </c>
      <c r="C251" s="187" t="inlineStr">
        <is>
          <t>2024</t>
        </is>
      </c>
      <c r="D251" s="187" t="inlineStr">
        <is>
          <t>2023</t>
        </is>
      </c>
      <c r="E251" s="187" t="inlineStr">
        <is>
          <t>2022</t>
        </is>
      </c>
      <c r="F251" s="187" t="inlineStr">
        <is>
          <t>2021</t>
        </is>
      </c>
      <c r="G251" s="187" t="inlineStr">
        <is>
          <t>2020</t>
        </is>
      </c>
      <c r="H251" s="187" t="inlineStr">
        <is>
          <t>2019</t>
        </is>
      </c>
      <c r="I251" s="187" t="n"/>
      <c r="J251" s="186" t="inlineStr">
        <is>
          <t>MOIS</t>
        </is>
      </c>
      <c r="K251" s="186" t="inlineStr">
        <is>
          <t>2025</t>
        </is>
      </c>
      <c r="L251" s="186" t="inlineStr">
        <is>
          <t>2024</t>
        </is>
      </c>
      <c r="M251" s="186" t="inlineStr">
        <is>
          <t>2023</t>
        </is>
      </c>
      <c r="N251" s="186" t="inlineStr">
        <is>
          <t>2022</t>
        </is>
      </c>
      <c r="O251" s="186" t="inlineStr">
        <is>
          <t>2021</t>
        </is>
      </c>
      <c r="P251" s="186" t="inlineStr">
        <is>
          <t>2020</t>
        </is>
      </c>
      <c r="R251" s="186" t="inlineStr">
        <is>
          <t>MOIS</t>
        </is>
      </c>
      <c r="S251" s="186" t="inlineStr">
        <is>
          <t>2025</t>
        </is>
      </c>
      <c r="T251" s="186" t="inlineStr">
        <is>
          <t>2024</t>
        </is>
      </c>
      <c r="U251" s="186" t="inlineStr">
        <is>
          <t>2023</t>
        </is>
      </c>
      <c r="V251" s="186" t="inlineStr">
        <is>
          <t>2022</t>
        </is>
      </c>
      <c r="W251" s="186" t="inlineStr">
        <is>
          <t>2021</t>
        </is>
      </c>
      <c r="X251" s="186" t="inlineStr">
        <is>
          <t>2020</t>
        </is>
      </c>
      <c r="Z251" s="186" t="inlineStr">
        <is>
          <t>MOIS</t>
        </is>
      </c>
      <c r="AA251" s="186" t="inlineStr">
        <is>
          <t>2025</t>
        </is>
      </c>
      <c r="AB251" s="186" t="inlineStr">
        <is>
          <t>2024</t>
        </is>
      </c>
      <c r="AC251" s="186" t="inlineStr">
        <is>
          <t>2023</t>
        </is>
      </c>
      <c r="AD251" s="186" t="inlineStr">
        <is>
          <t>2022</t>
        </is>
      </c>
      <c r="AE251" s="186" t="inlineStr">
        <is>
          <t>2021</t>
        </is>
      </c>
      <c r="AF251" s="186" t="inlineStr">
        <is>
          <t>2020</t>
        </is>
      </c>
      <c r="AH251" s="186" t="inlineStr">
        <is>
          <t>MOIS</t>
        </is>
      </c>
      <c r="AI251" s="186" t="inlineStr">
        <is>
          <t>2025</t>
        </is>
      </c>
      <c r="AJ251" s="186" t="inlineStr">
        <is>
          <t>2024</t>
        </is>
      </c>
      <c r="AK251" s="186" t="inlineStr">
        <is>
          <t>2023</t>
        </is>
      </c>
      <c r="AL251" s="186" t="inlineStr">
        <is>
          <t>2022</t>
        </is>
      </c>
      <c r="AM251" s="186" t="inlineStr">
        <is>
          <t>2021</t>
        </is>
      </c>
      <c r="AN251" s="186" t="inlineStr">
        <is>
          <t>2020</t>
        </is>
      </c>
      <c r="AP251" s="186" t="inlineStr">
        <is>
          <t>MOIS</t>
        </is>
      </c>
      <c r="AQ251" s="186" t="inlineStr">
        <is>
          <t>2025</t>
        </is>
      </c>
      <c r="AR251" s="186" t="inlineStr">
        <is>
          <t>2024</t>
        </is>
      </c>
      <c r="AS251" s="186" t="inlineStr">
        <is>
          <t>2023</t>
        </is>
      </c>
      <c r="AT251" s="186" t="inlineStr">
        <is>
          <t>2022</t>
        </is>
      </c>
      <c r="AU251" s="186" t="inlineStr">
        <is>
          <t>2021</t>
        </is>
      </c>
      <c r="AV251" s="186" t="inlineStr">
        <is>
          <t>2020</t>
        </is>
      </c>
      <c r="AX251" s="186" t="inlineStr">
        <is>
          <t>MOIS</t>
        </is>
      </c>
      <c r="AY251" s="186" t="inlineStr">
        <is>
          <t>2025</t>
        </is>
      </c>
      <c r="AZ251" s="186" t="inlineStr">
        <is>
          <t>2024</t>
        </is>
      </c>
      <c r="BA251" s="186" t="inlineStr">
        <is>
          <t>2023</t>
        </is>
      </c>
      <c r="BB251" s="186" t="inlineStr">
        <is>
          <t>2022</t>
        </is>
      </c>
      <c r="BC251" s="186" t="inlineStr">
        <is>
          <t>2021</t>
        </is>
      </c>
      <c r="BD251" s="186" t="inlineStr">
        <is>
          <t>2020</t>
        </is>
      </c>
      <c r="BE251" s="187" t="n"/>
      <c r="BF251" s="186" t="inlineStr">
        <is>
          <t>MOIS</t>
        </is>
      </c>
      <c r="BG251" s="186" t="inlineStr">
        <is>
          <t>2025</t>
        </is>
      </c>
      <c r="BH251" s="186" t="inlineStr">
        <is>
          <t>2024</t>
        </is>
      </c>
      <c r="BI251" s="186" t="inlineStr">
        <is>
          <t>2023</t>
        </is>
      </c>
      <c r="BJ251" s="186" t="inlineStr">
        <is>
          <t>2022</t>
        </is>
      </c>
      <c r="BK251" s="186" t="inlineStr">
        <is>
          <t>2021</t>
        </is>
      </c>
      <c r="BL251" s="186" t="inlineStr">
        <is>
          <t>2020</t>
        </is>
      </c>
      <c r="BM251" s="186" t="n"/>
      <c r="BN251" s="186" t="inlineStr">
        <is>
          <t>MOIS</t>
        </is>
      </c>
      <c r="BO251" s="187" t="inlineStr">
        <is>
          <t>2025</t>
        </is>
      </c>
      <c r="BP251" s="187" t="inlineStr">
        <is>
          <t>2024</t>
        </is>
      </c>
      <c r="BQ251" s="187" t="inlineStr">
        <is>
          <t>2023</t>
        </is>
      </c>
      <c r="BR251" s="187" t="inlineStr">
        <is>
          <t>2022</t>
        </is>
      </c>
      <c r="BS251" s="187" t="inlineStr">
        <is>
          <t>2021</t>
        </is>
      </c>
      <c r="BT251" s="187" t="inlineStr">
        <is>
          <t>2020</t>
        </is>
      </c>
      <c r="BV251" s="186" t="inlineStr">
        <is>
          <t>MOIS</t>
        </is>
      </c>
      <c r="BW251" s="187" t="inlineStr">
        <is>
          <t>2025</t>
        </is>
      </c>
      <c r="BX251" s="187" t="inlineStr">
        <is>
          <t>2024</t>
        </is>
      </c>
      <c r="BY251" s="187" t="inlineStr">
        <is>
          <t>2023</t>
        </is>
      </c>
      <c r="BZ251" s="187" t="inlineStr">
        <is>
          <t>2022</t>
        </is>
      </c>
      <c r="CA251" s="187" t="inlineStr">
        <is>
          <t>2021</t>
        </is>
      </c>
      <c r="CB251" s="187" t="inlineStr">
        <is>
          <t>2020</t>
        </is>
      </c>
      <c r="CC251" s="187" t="n"/>
      <c r="CD251" s="186" t="inlineStr">
        <is>
          <t>MOIS</t>
        </is>
      </c>
      <c r="CE251" s="187" t="inlineStr">
        <is>
          <t>2025</t>
        </is>
      </c>
      <c r="CF251" s="187" t="inlineStr">
        <is>
          <t>2024</t>
        </is>
      </c>
      <c r="CG251" s="187" t="inlineStr">
        <is>
          <t>2023</t>
        </is>
      </c>
      <c r="CH251" s="187" t="inlineStr">
        <is>
          <t>2022</t>
        </is>
      </c>
      <c r="CI251" s="187" t="inlineStr">
        <is>
          <t>2021</t>
        </is>
      </c>
      <c r="CJ251" s="187" t="inlineStr">
        <is>
          <t>2020</t>
        </is>
      </c>
      <c r="CL251" s="186" t="inlineStr">
        <is>
          <t>MOIS</t>
        </is>
      </c>
      <c r="CM251" s="187" t="inlineStr">
        <is>
          <t>2025</t>
        </is>
      </c>
      <c r="CN251" s="187" t="inlineStr">
        <is>
          <t>2024</t>
        </is>
      </c>
      <c r="CO251" s="187" t="inlineStr">
        <is>
          <t>2023</t>
        </is>
      </c>
      <c r="CP251" s="187" t="inlineStr">
        <is>
          <t>2022</t>
        </is>
      </c>
      <c r="CQ251" s="187" t="inlineStr">
        <is>
          <t>2021</t>
        </is>
      </c>
      <c r="CR251" s="187" t="inlineStr">
        <is>
          <t>2020</t>
        </is>
      </c>
      <c r="CT251" s="186" t="inlineStr">
        <is>
          <t>MOIS</t>
        </is>
      </c>
      <c r="CU251" s="187" t="inlineStr">
        <is>
          <t>2025</t>
        </is>
      </c>
      <c r="CV251" s="187" t="inlineStr">
        <is>
          <t>2024</t>
        </is>
      </c>
      <c r="CW251" s="187" t="inlineStr">
        <is>
          <t>2023</t>
        </is>
      </c>
      <c r="CX251" s="187" t="inlineStr">
        <is>
          <t>2022</t>
        </is>
      </c>
      <c r="CY251" s="187" t="inlineStr">
        <is>
          <t>2021</t>
        </is>
      </c>
      <c r="CZ251" s="187" t="inlineStr">
        <is>
          <t>2020</t>
        </is>
      </c>
      <c r="DB251" s="186" t="inlineStr">
        <is>
          <t>MOIS</t>
        </is>
      </c>
      <c r="DC251" s="187" t="inlineStr">
        <is>
          <t>2025</t>
        </is>
      </c>
      <c r="DD251" s="187" t="inlineStr">
        <is>
          <t>2024</t>
        </is>
      </c>
      <c r="DE251" s="187" t="inlineStr">
        <is>
          <t>2023</t>
        </is>
      </c>
      <c r="DF251" s="187" t="inlineStr">
        <is>
          <t>2022</t>
        </is>
      </c>
      <c r="DG251" s="187" t="inlineStr">
        <is>
          <t>2021</t>
        </is>
      </c>
      <c r="DH251" s="187" t="inlineStr">
        <is>
          <t>2020</t>
        </is>
      </c>
      <c r="DI251" s="187" t="n"/>
      <c r="DJ251" s="186" t="inlineStr">
        <is>
          <t>MOIS</t>
        </is>
      </c>
      <c r="DK251" s="187" t="inlineStr">
        <is>
          <t>2025</t>
        </is>
      </c>
      <c r="DL251" s="187" t="inlineStr">
        <is>
          <t>2024</t>
        </is>
      </c>
      <c r="DM251" s="187" t="inlineStr">
        <is>
          <t>2023</t>
        </is>
      </c>
      <c r="DN251" s="187" t="inlineStr">
        <is>
          <t>2022</t>
        </is>
      </c>
      <c r="DO251" s="187" t="inlineStr">
        <is>
          <t>2021</t>
        </is>
      </c>
      <c r="DP251" s="187" t="inlineStr">
        <is>
          <t>2020</t>
        </is>
      </c>
      <c r="DR251" s="186" t="inlineStr">
        <is>
          <t>MOIS</t>
        </is>
      </c>
      <c r="DS251" s="187" t="inlineStr">
        <is>
          <t>2025</t>
        </is>
      </c>
      <c r="DT251" s="187" t="inlineStr">
        <is>
          <t>2024</t>
        </is>
      </c>
      <c r="DU251" s="187" t="inlineStr">
        <is>
          <t>2023</t>
        </is>
      </c>
      <c r="DV251" s="187" t="inlineStr">
        <is>
          <t>2022</t>
        </is>
      </c>
      <c r="DW251" s="187" t="inlineStr">
        <is>
          <t>2021</t>
        </is>
      </c>
      <c r="DX251" s="187" t="inlineStr">
        <is>
          <t>2020</t>
        </is>
      </c>
      <c r="DZ251" s="186" t="inlineStr">
        <is>
          <t>MOIS</t>
        </is>
      </c>
      <c r="EA251" s="187" t="inlineStr">
        <is>
          <t>2025</t>
        </is>
      </c>
      <c r="EB251" s="187" t="inlineStr">
        <is>
          <t>2024</t>
        </is>
      </c>
      <c r="EC251" s="187" t="inlineStr">
        <is>
          <t>2023</t>
        </is>
      </c>
      <c r="ED251" s="187" t="inlineStr">
        <is>
          <t>2022</t>
        </is>
      </c>
      <c r="EE251" s="187" t="inlineStr">
        <is>
          <t>2021</t>
        </is>
      </c>
      <c r="EF251" s="187" t="inlineStr">
        <is>
          <t>2020</t>
        </is>
      </c>
    </row>
    <row r="252" customFormat="1" s="359">
      <c r="B252" s="357" t="inlineStr">
        <is>
          <t>01</t>
        </is>
      </c>
      <c r="C252" s="361">
        <f>AVERAGE(C204:C$204)</f>
        <v/>
      </c>
      <c r="D252" s="361">
        <f>AVERAGE(D204:D$204)</f>
        <v/>
      </c>
      <c r="E252" s="361">
        <f>AVERAGE(E204:E$204)</f>
        <v/>
      </c>
      <c r="F252" s="361">
        <f>AVERAGE(F204:F$204)</f>
        <v/>
      </c>
      <c r="G252" s="361">
        <f>AVERAGE(G204:G$204)</f>
        <v/>
      </c>
      <c r="H252" s="361">
        <f>AVERAGE(H204:H$204)</f>
        <v/>
      </c>
      <c r="I252" s="361" t="n"/>
      <c r="J252" s="357" t="inlineStr">
        <is>
          <t>01</t>
        </is>
      </c>
      <c r="K252" s="361">
        <f>AVERAGE(K204:K$204)</f>
        <v/>
      </c>
      <c r="L252" s="361" t="n">
        <v>15.44</v>
      </c>
      <c r="M252" s="361" t="n">
        <v>15.4</v>
      </c>
      <c r="N252" s="361" t="n">
        <v>13.83</v>
      </c>
      <c r="O252" s="361" t="n">
        <v>6.54</v>
      </c>
      <c r="P252" s="361" t="n">
        <v>12.76</v>
      </c>
      <c r="R252" s="357" t="inlineStr">
        <is>
          <t>01</t>
        </is>
      </c>
      <c r="S252" s="361">
        <f>AVERAGE(S204:S$204)</f>
        <v/>
      </c>
      <c r="T252" s="361" t="n">
        <v>15.79</v>
      </c>
      <c r="U252" s="361" t="n">
        <v>14.09</v>
      </c>
      <c r="V252" s="361" t="n">
        <v>14.14</v>
      </c>
      <c r="W252" s="361" t="n">
        <v>6.75</v>
      </c>
      <c r="X252" s="361" t="n">
        <v>12.45</v>
      </c>
      <c r="Z252" s="357" t="inlineStr">
        <is>
          <t>01</t>
        </is>
      </c>
      <c r="AA252" s="361">
        <f>AVERAGE(AA204:AA$204)</f>
        <v/>
      </c>
      <c r="AB252" s="361" t="n">
        <v>13.77</v>
      </c>
      <c r="AC252" s="361" t="n">
        <v>12.66</v>
      </c>
      <c r="AD252" s="361" t="n">
        <v>11.75</v>
      </c>
      <c r="AE252" s="361" t="n">
        <v>6.01</v>
      </c>
      <c r="AF252" s="361" t="n">
        <v>11.41</v>
      </c>
      <c r="AH252" s="357" t="inlineStr">
        <is>
          <t>01</t>
        </is>
      </c>
      <c r="AI252" s="361">
        <f>AVERAGE(AI204:AI$204)</f>
        <v/>
      </c>
      <c r="AJ252" s="361" t="n">
        <v>16.19</v>
      </c>
      <c r="AK252" s="361" t="n">
        <v>15.57</v>
      </c>
      <c r="AL252" s="361" t="n">
        <v>14.09</v>
      </c>
      <c r="AM252" s="361" t="n">
        <v>3.41</v>
      </c>
      <c r="AN252" s="361" t="n">
        <v>12.33</v>
      </c>
      <c r="AP252" s="357" t="inlineStr">
        <is>
          <t>01</t>
        </is>
      </c>
      <c r="AQ252" s="361">
        <f>AVERAGE(AQ204:AQ$204)</f>
        <v/>
      </c>
      <c r="AR252" s="361" t="n">
        <v>16.11</v>
      </c>
      <c r="AS252" s="361" t="n">
        <v>15.55</v>
      </c>
      <c r="AT252" s="361" t="n">
        <v>14.66</v>
      </c>
      <c r="AU252" s="361" t="n">
        <v>9.1</v>
      </c>
      <c r="AV252" s="361" t="e">
        <v>#DIV/0!</v>
      </c>
      <c r="AX252" s="357" t="inlineStr">
        <is>
          <t>01</t>
        </is>
      </c>
      <c r="AY252" s="361">
        <f>AVERAGE(AY204:AY$204)</f>
        <v/>
      </c>
      <c r="AZ252" s="361" t="n">
        <v>18.01</v>
      </c>
      <c r="BA252" s="361" t="n">
        <v>16.74</v>
      </c>
      <c r="BB252" s="361" t="n">
        <v>15.3</v>
      </c>
      <c r="BC252" s="361" t="n"/>
      <c r="BD252" s="361" t="n"/>
      <c r="BE252" s="361" t="n"/>
      <c r="BF252" s="357" t="inlineStr">
        <is>
          <t>01</t>
        </is>
      </c>
      <c r="BG252" s="361">
        <f>AVERAGE(BG204:BG$204)</f>
        <v/>
      </c>
      <c r="BH252" s="361" t="n">
        <v>16.33</v>
      </c>
      <c r="BI252" s="361" t="n">
        <v>16.46</v>
      </c>
      <c r="BJ252" s="361" t="n"/>
      <c r="BK252" s="361" t="n"/>
      <c r="BL252" s="361" t="n"/>
      <c r="BM252" s="361" t="n"/>
      <c r="BN252" s="357" t="inlineStr">
        <is>
          <t>01</t>
        </is>
      </c>
      <c r="BO252" s="361">
        <f>AVERAGE(BO204:BO$204)</f>
        <v/>
      </c>
      <c r="BP252" s="361" t="n">
        <v>13.48</v>
      </c>
      <c r="BQ252" s="361" t="n">
        <v>12.93</v>
      </c>
      <c r="BR252" s="361" t="n">
        <v>11.37</v>
      </c>
      <c r="BS252" s="361" t="n">
        <v>7.11</v>
      </c>
      <c r="BT252" s="361" t="n">
        <v>10.1</v>
      </c>
      <c r="BV252" s="357" t="inlineStr">
        <is>
          <t>01</t>
        </is>
      </c>
      <c r="BW252" s="361">
        <f>AVERAGE(BW204:BW$204)</f>
        <v/>
      </c>
      <c r="BX252" s="361" t="n">
        <v>15.36</v>
      </c>
      <c r="BY252" s="361" t="n">
        <v>15.38</v>
      </c>
      <c r="BZ252" s="361" t="n">
        <v>14.43</v>
      </c>
      <c r="CA252" s="361" t="n">
        <v>2.67</v>
      </c>
      <c r="CB252" s="361" t="n">
        <v>12.52</v>
      </c>
      <c r="CC252" s="361" t="n"/>
      <c r="CD252" s="357" t="inlineStr">
        <is>
          <t>01</t>
        </is>
      </c>
      <c r="CE252" s="361">
        <f>AVERAGE(CE204:CE$204)</f>
        <v/>
      </c>
      <c r="CF252" s="361" t="n">
        <v>14.14</v>
      </c>
      <c r="CG252" s="361" t="n">
        <v>13.71</v>
      </c>
      <c r="CH252" s="361" t="n">
        <v>12.81</v>
      </c>
      <c r="CI252" s="361" t="n">
        <v>0.36</v>
      </c>
      <c r="CJ252" s="361" t="n">
        <v>10.71</v>
      </c>
      <c r="CL252" s="357" t="inlineStr">
        <is>
          <t>01</t>
        </is>
      </c>
      <c r="CM252" s="361">
        <f>AVERAGE(CM204:CM$204)</f>
        <v/>
      </c>
      <c r="CN252" s="361" t="n">
        <v>15.57</v>
      </c>
      <c r="CO252" s="361" t="n">
        <v>16.63</v>
      </c>
      <c r="CP252" s="361" t="n">
        <v>15.48</v>
      </c>
      <c r="CQ252" s="361" t="n">
        <v>5.39</v>
      </c>
      <c r="CR252" s="361" t="n">
        <v>13.31</v>
      </c>
      <c r="CT252" s="357" t="inlineStr">
        <is>
          <t>01</t>
        </is>
      </c>
      <c r="CU252" s="361">
        <f>AVERAGE(CU204:CU$204)</f>
        <v/>
      </c>
      <c r="CV252" s="361" t="n">
        <v>13.37</v>
      </c>
      <c r="CW252" s="361" t="e">
        <v>#DIV/0!</v>
      </c>
      <c r="CX252" s="361" t="n"/>
      <c r="CY252" s="361" t="n"/>
      <c r="CZ252" s="361" t="n"/>
      <c r="DB252" s="357" t="inlineStr">
        <is>
          <t>01</t>
        </is>
      </c>
      <c r="DC252" s="361">
        <f>AVERAGE(DC204:DC$204)</f>
        <v/>
      </c>
      <c r="DD252" s="361" t="n">
        <v>16.79</v>
      </c>
      <c r="DE252" s="361" t="e">
        <v>#DIV/0!</v>
      </c>
      <c r="DF252" s="361" t="n"/>
      <c r="DG252" s="361" t="n"/>
      <c r="DH252" s="361" t="n"/>
      <c r="DI252" s="361" t="n"/>
      <c r="DJ252" s="357" t="inlineStr">
        <is>
          <t>01</t>
        </is>
      </c>
      <c r="DK252" s="361">
        <f>AVERAGE(DK204:DK$204)</f>
        <v/>
      </c>
      <c r="DL252" s="361" t="n">
        <v>10.57</v>
      </c>
      <c r="DM252" s="361" t="e">
        <v>#DIV/0!</v>
      </c>
      <c r="DN252" s="361" t="n"/>
      <c r="DO252" s="361" t="n"/>
      <c r="DP252" s="361" t="n"/>
      <c r="DR252" s="357" t="inlineStr">
        <is>
          <t>01</t>
        </is>
      </c>
      <c r="DS252" s="361">
        <f>AVERAGE(DS204:DS$204)</f>
        <v/>
      </c>
      <c r="DT252" s="361" t="n">
        <v>14.77</v>
      </c>
      <c r="DU252" s="361" t="e">
        <v>#DIV/0!</v>
      </c>
      <c r="DV252" s="361" t="n"/>
      <c r="DW252" s="361" t="n"/>
      <c r="DX252" s="361" t="n"/>
      <c r="DZ252" s="357" t="inlineStr">
        <is>
          <t>01</t>
        </is>
      </c>
      <c r="EA252" s="361">
        <f>AVERAGE(EA204:EA$204)</f>
        <v/>
      </c>
      <c r="EB252" s="361" t="e">
        <v>#DIV/0!</v>
      </c>
      <c r="EC252" s="361" t="e">
        <v>#DIV/0!</v>
      </c>
      <c r="ED252" s="361" t="n"/>
      <c r="EE252" s="361" t="n"/>
      <c r="EF252" s="361" t="n"/>
    </row>
    <row r="253" customFormat="1" s="359">
      <c r="B253" s="357" t="inlineStr">
        <is>
          <t>02</t>
        </is>
      </c>
      <c r="C253" s="361">
        <f>AVERAGE(C$204:C205)</f>
        <v/>
      </c>
      <c r="D253" s="361">
        <f>AVERAGE(D$204:D205)</f>
        <v/>
      </c>
      <c r="E253" s="361">
        <f>AVERAGE(E$204:E205)</f>
        <v/>
      </c>
      <c r="F253" s="361">
        <f>AVERAGE(F$204:F205)</f>
        <v/>
      </c>
      <c r="G253" s="361">
        <f>AVERAGE(G$204:G205)</f>
        <v/>
      </c>
      <c r="H253" s="361">
        <f>AVERAGE(H$204:H205)</f>
        <v/>
      </c>
      <c r="I253" s="361" t="n"/>
      <c r="J253" s="357" t="inlineStr">
        <is>
          <t>02</t>
        </is>
      </c>
      <c r="K253" s="361">
        <f>AVERAGE(K$204:K205)</f>
        <v/>
      </c>
      <c r="L253" s="361" t="n">
        <v>15.405</v>
      </c>
      <c r="M253" s="361" t="n">
        <v>15.695</v>
      </c>
      <c r="N253" s="361" t="n">
        <v>14.175</v>
      </c>
      <c r="O253" s="361" t="n">
        <v>5.975</v>
      </c>
      <c r="P253" s="361" t="n">
        <v>13.44</v>
      </c>
      <c r="R253" s="357" t="inlineStr">
        <is>
          <t>02</t>
        </is>
      </c>
      <c r="S253" s="361">
        <f>AVERAGE(S$204:S205)</f>
        <v/>
      </c>
      <c r="T253" s="361" t="n">
        <v>15.3</v>
      </c>
      <c r="U253" s="361" t="n">
        <v>14.67</v>
      </c>
      <c r="V253" s="361" t="n">
        <v>14.3</v>
      </c>
      <c r="W253" s="361" t="n">
        <v>7.3</v>
      </c>
      <c r="X253" s="361" t="n">
        <v>12.715</v>
      </c>
      <c r="Z253" s="357" t="inlineStr">
        <is>
          <t>02</t>
        </is>
      </c>
      <c r="AA253" s="361">
        <f>AVERAGE(AA$204:AA205)</f>
        <v/>
      </c>
      <c r="AB253" s="361" t="n">
        <v>13.85</v>
      </c>
      <c r="AC253" s="361" t="n">
        <v>13.505</v>
      </c>
      <c r="AD253" s="361" t="n">
        <v>11.925</v>
      </c>
      <c r="AE253" s="361" t="n">
        <v>5.8</v>
      </c>
      <c r="AF253" s="361" t="n">
        <v>11.925</v>
      </c>
      <c r="AH253" s="357" t="inlineStr">
        <is>
          <t>02</t>
        </is>
      </c>
      <c r="AI253" s="361">
        <f>AVERAGE(AI$204:AI205)</f>
        <v/>
      </c>
      <c r="AJ253" s="361" t="n">
        <v>16.225</v>
      </c>
      <c r="AK253" s="361" t="n">
        <v>15.94</v>
      </c>
      <c r="AL253" s="361" t="n">
        <v>14.18</v>
      </c>
      <c r="AM253" s="361" t="n">
        <v>4.37</v>
      </c>
      <c r="AN253" s="361" t="n">
        <v>12.325</v>
      </c>
      <c r="AP253" s="357" t="inlineStr">
        <is>
          <t>02</t>
        </is>
      </c>
      <c r="AQ253" s="361">
        <f>AVERAGE(AQ$204:AQ205)</f>
        <v/>
      </c>
      <c r="AR253" s="361" t="n">
        <v>15.835</v>
      </c>
      <c r="AS253" s="361" t="n">
        <v>15.955</v>
      </c>
      <c r="AT253" s="361" t="n">
        <v>14.605</v>
      </c>
      <c r="AU253" s="361" t="n">
        <v>8.58</v>
      </c>
      <c r="AV253" s="361" t="e">
        <v>#DIV/0!</v>
      </c>
      <c r="AX253" s="357" t="inlineStr">
        <is>
          <t>02</t>
        </is>
      </c>
      <c r="AY253" s="361">
        <f>AVERAGE(AY$204:AY205)</f>
        <v/>
      </c>
      <c r="AZ253" s="361" t="n">
        <v>17.785</v>
      </c>
      <c r="BA253" s="361" t="n">
        <v>17.265</v>
      </c>
      <c r="BB253" s="361" t="n">
        <v>15.72</v>
      </c>
      <c r="BC253" s="361" t="n"/>
      <c r="BD253" s="361" t="n"/>
      <c r="BE253" s="361" t="n"/>
      <c r="BF253" s="357" t="inlineStr">
        <is>
          <t>02</t>
        </is>
      </c>
      <c r="BG253" s="361">
        <f>AVERAGE(BG$204:BG205)</f>
        <v/>
      </c>
      <c r="BH253" s="361" t="n">
        <v>16.205</v>
      </c>
      <c r="BI253" s="361" t="n">
        <v>17.195</v>
      </c>
      <c r="BJ253" s="361" t="n"/>
      <c r="BK253" s="361" t="n"/>
      <c r="BL253" s="361" t="n"/>
      <c r="BM253" s="361" t="n"/>
      <c r="BN253" s="357" t="inlineStr">
        <is>
          <t>02</t>
        </is>
      </c>
      <c r="BO253" s="361">
        <f>AVERAGE(BO$204:BO205)</f>
        <v/>
      </c>
      <c r="BP253" s="361" t="n">
        <v>13.575</v>
      </c>
      <c r="BQ253" s="361" t="n">
        <v>14.015</v>
      </c>
      <c r="BR253" s="361" t="n">
        <v>12.025</v>
      </c>
      <c r="BS253" s="361" t="n">
        <v>8.125</v>
      </c>
      <c r="BT253" s="361" t="n">
        <v>11.03</v>
      </c>
      <c r="BV253" s="357" t="inlineStr">
        <is>
          <t>02</t>
        </is>
      </c>
      <c r="BW253" s="361">
        <f>AVERAGE(BW$204:BW205)</f>
        <v/>
      </c>
      <c r="BX253" s="361" t="n">
        <v>15.665</v>
      </c>
      <c r="BY253" s="361" t="n">
        <v>16.22</v>
      </c>
      <c r="BZ253" s="361" t="n">
        <v>15.2</v>
      </c>
      <c r="CA253" s="361" t="n">
        <v>10.77</v>
      </c>
      <c r="CB253" s="361" t="n">
        <v>13.09</v>
      </c>
      <c r="CC253" s="361" t="n"/>
      <c r="CD253" s="357" t="inlineStr">
        <is>
          <t>02</t>
        </is>
      </c>
      <c r="CE253" s="361">
        <f>AVERAGE(CE$204:CE205)</f>
        <v/>
      </c>
      <c r="CF253" s="361" t="n">
        <v>14.305</v>
      </c>
      <c r="CG253" s="361" t="n">
        <v>14.39</v>
      </c>
      <c r="CH253" s="361" t="n">
        <v>13.56</v>
      </c>
      <c r="CI253" s="361" t="n">
        <v>7.13</v>
      </c>
      <c r="CJ253" s="361" t="n">
        <v>11.185</v>
      </c>
      <c r="CL253" s="357" t="inlineStr">
        <is>
          <t>02</t>
        </is>
      </c>
      <c r="CM253" s="361">
        <f>AVERAGE(CM$204:CM205)</f>
        <v/>
      </c>
      <c r="CN253" s="361" t="n">
        <v>15.37</v>
      </c>
      <c r="CO253" s="361" t="n">
        <v>16.88</v>
      </c>
      <c r="CP253" s="361" t="n">
        <v>15.765</v>
      </c>
      <c r="CQ253" s="361" t="n">
        <v>6.51</v>
      </c>
      <c r="CR253" s="361" t="n">
        <v>13.685</v>
      </c>
      <c r="CT253" s="357" t="inlineStr">
        <is>
          <t>02</t>
        </is>
      </c>
      <c r="CU253" s="361">
        <f>AVERAGE(CU$204:CU205)</f>
        <v/>
      </c>
      <c r="CV253" s="361" t="n">
        <v>13.39</v>
      </c>
      <c r="CW253" s="361" t="e">
        <v>#DIV/0!</v>
      </c>
      <c r="CX253" s="361" t="n"/>
      <c r="CY253" s="361" t="n"/>
      <c r="CZ253" s="361" t="n"/>
      <c r="DB253" s="357" t="inlineStr">
        <is>
          <t>02</t>
        </is>
      </c>
      <c r="DC253" s="361">
        <f>AVERAGE(DC$204:DC205)</f>
        <v/>
      </c>
      <c r="DD253" s="361" t="n">
        <v>16.655</v>
      </c>
      <c r="DE253" s="361" t="e">
        <v>#DIV/0!</v>
      </c>
      <c r="DF253" s="361" t="n"/>
      <c r="DG253" s="361" t="n"/>
      <c r="DH253" s="361" t="n"/>
      <c r="DI253" s="361" t="n"/>
      <c r="DJ253" s="357" t="inlineStr">
        <is>
          <t>02</t>
        </is>
      </c>
      <c r="DK253" s="361">
        <f>AVERAGE(DK$204:DK205)</f>
        <v/>
      </c>
      <c r="DL253" s="361" t="n">
        <v>10.45</v>
      </c>
      <c r="DM253" s="361" t="e">
        <v>#DIV/0!</v>
      </c>
      <c r="DN253" s="361" t="n"/>
      <c r="DO253" s="361" t="n"/>
      <c r="DP253" s="361" t="n"/>
      <c r="DR253" s="357" t="inlineStr">
        <is>
          <t>02</t>
        </is>
      </c>
      <c r="DS253" s="361">
        <f>AVERAGE(DS$204:DS205)</f>
        <v/>
      </c>
      <c r="DT253" s="361" t="n">
        <v>14.775</v>
      </c>
      <c r="DU253" s="361" t="e">
        <v>#DIV/0!</v>
      </c>
      <c r="DV253" s="361" t="n"/>
      <c r="DW253" s="361" t="n"/>
      <c r="DX253" s="361" t="n"/>
      <c r="DZ253" s="357" t="inlineStr">
        <is>
          <t>02</t>
        </is>
      </c>
      <c r="EA253" s="361">
        <f>AVERAGE(EA$204:EA205)</f>
        <v/>
      </c>
      <c r="EB253" s="361" t="e">
        <v>#DIV/0!</v>
      </c>
      <c r="EC253" s="361" t="e">
        <v>#DIV/0!</v>
      </c>
      <c r="ED253" s="361" t="n"/>
      <c r="EE253" s="361" t="n"/>
      <c r="EF253" s="361" t="n"/>
    </row>
    <row r="254" customFormat="1" s="359">
      <c r="B254" s="357" t="inlineStr">
        <is>
          <t>03</t>
        </is>
      </c>
      <c r="C254" s="361">
        <f>AVERAGE(C$204:C206)</f>
        <v/>
      </c>
      <c r="D254" s="361">
        <f>AVERAGE(D$204:D206)</f>
        <v/>
      </c>
      <c r="E254" s="361">
        <f>AVERAGE(E$204:E206)</f>
        <v/>
      </c>
      <c r="F254" s="361">
        <f>AVERAGE(F$204:F206)</f>
        <v/>
      </c>
      <c r="G254" s="361">
        <f>AVERAGE(G$204:G206)</f>
        <v/>
      </c>
      <c r="H254" s="361">
        <f>AVERAGE(H$204:H206)</f>
        <v/>
      </c>
      <c r="I254" s="361" t="n"/>
      <c r="J254" s="357" t="inlineStr">
        <is>
          <t>03</t>
        </is>
      </c>
      <c r="K254" s="361">
        <f>AVERAGE(K$204:K206)</f>
        <v/>
      </c>
      <c r="L254" s="361" t="n">
        <v>15.46666666666667</v>
      </c>
      <c r="M254" s="361" t="n">
        <v>15.69333333333333</v>
      </c>
      <c r="N254" s="361" t="n">
        <v>14.08333333333333</v>
      </c>
      <c r="O254" s="361" t="n">
        <v>6.289999999999999</v>
      </c>
      <c r="P254" s="361" t="n">
        <v>13.22333333333333</v>
      </c>
      <c r="R254" s="357" t="inlineStr">
        <is>
          <t>03</t>
        </is>
      </c>
      <c r="S254" s="361">
        <f>AVERAGE(S$204:S206)</f>
        <v/>
      </c>
      <c r="T254" s="361" t="n">
        <v>15.43333333333333</v>
      </c>
      <c r="U254" s="361" t="n">
        <v>14.72333333333333</v>
      </c>
      <c r="V254" s="361" t="n">
        <v>14.06666666666667</v>
      </c>
      <c r="W254" s="361" t="n">
        <v>7.723333333333334</v>
      </c>
      <c r="X254" s="361" t="n">
        <v>12.63666666666666</v>
      </c>
      <c r="Z254" s="357" t="inlineStr">
        <is>
          <t>03</t>
        </is>
      </c>
      <c r="AA254" s="361">
        <f>AVERAGE(AA$204:AA206)</f>
        <v/>
      </c>
      <c r="AB254" s="361" t="n">
        <v>14.04666666666667</v>
      </c>
      <c r="AC254" s="361" t="n">
        <v>13.56</v>
      </c>
      <c r="AD254" s="361" t="n">
        <v>11.99</v>
      </c>
      <c r="AE254" s="361" t="n">
        <v>6.010000000000001</v>
      </c>
      <c r="AF254" s="361" t="n">
        <v>11.61333333333334</v>
      </c>
      <c r="AH254" s="357" t="inlineStr">
        <is>
          <t>03</t>
        </is>
      </c>
      <c r="AI254" s="361">
        <f>AVERAGE(AI$204:AI206)</f>
        <v/>
      </c>
      <c r="AJ254" s="361" t="n">
        <v>16.32333333333333</v>
      </c>
      <c r="AK254" s="361" t="n">
        <v>16.06</v>
      </c>
      <c r="AL254" s="361" t="n">
        <v>14.42333333333333</v>
      </c>
      <c r="AM254" s="361" t="n">
        <v>4.24</v>
      </c>
      <c r="AN254" s="361" t="n">
        <v>12.57666666666667</v>
      </c>
      <c r="AP254" s="357" t="inlineStr">
        <is>
          <t>03</t>
        </is>
      </c>
      <c r="AQ254" s="361">
        <f>AVERAGE(AQ$204:AQ206)</f>
        <v/>
      </c>
      <c r="AR254" s="361" t="n">
        <v>16.00333333333333</v>
      </c>
      <c r="AS254" s="361" t="n">
        <v>15.86666666666667</v>
      </c>
      <c r="AT254" s="361" t="n">
        <v>14.39333333333333</v>
      </c>
      <c r="AU254" s="361" t="n">
        <v>7.890000000000001</v>
      </c>
      <c r="AV254" s="361" t="e">
        <v>#DIV/0!</v>
      </c>
      <c r="AX254" s="357" t="inlineStr">
        <is>
          <t>03</t>
        </is>
      </c>
      <c r="AY254" s="361">
        <f>AVERAGE(AY$204:AY206)</f>
        <v/>
      </c>
      <c r="AZ254" s="361" t="n">
        <v>17.93333333333333</v>
      </c>
      <c r="BA254" s="361" t="n">
        <v>17.38</v>
      </c>
      <c r="BB254" s="361" t="n">
        <v>15.59</v>
      </c>
      <c r="BC254" s="361" t="n"/>
      <c r="BD254" s="361" t="n"/>
      <c r="BE254" s="361" t="n"/>
      <c r="BF254" s="357" t="inlineStr">
        <is>
          <t>03</t>
        </is>
      </c>
      <c r="BG254" s="361">
        <f>AVERAGE(BG$204:BG206)</f>
        <v/>
      </c>
      <c r="BH254" s="361" t="n">
        <v>16.36666666666666</v>
      </c>
      <c r="BI254" s="361" t="n">
        <v>17.02333333333333</v>
      </c>
      <c r="BJ254" s="361" t="n"/>
      <c r="BK254" s="361" t="n"/>
      <c r="BL254" s="361" t="n"/>
      <c r="BM254" s="361" t="n"/>
      <c r="BN254" s="357" t="inlineStr">
        <is>
          <t>03</t>
        </is>
      </c>
      <c r="BO254" s="361">
        <f>AVERAGE(BO$204:BO206)</f>
        <v/>
      </c>
      <c r="BP254" s="361" t="n">
        <v>13.74333333333333</v>
      </c>
      <c r="BQ254" s="361" t="n">
        <v>13.82666666666667</v>
      </c>
      <c r="BR254" s="361" t="n">
        <v>11.93666666666667</v>
      </c>
      <c r="BS254" s="361" t="n">
        <v>8.140000000000001</v>
      </c>
      <c r="BT254" s="361" t="n">
        <v>10.71666666666667</v>
      </c>
      <c r="BV254" s="357" t="inlineStr">
        <is>
          <t>03</t>
        </is>
      </c>
      <c r="BW254" s="361">
        <f>AVERAGE(BW$204:BW206)</f>
        <v/>
      </c>
      <c r="BX254" s="361" t="n">
        <v>15.65</v>
      </c>
      <c r="BY254" s="361" t="n">
        <v>16.13</v>
      </c>
      <c r="BZ254" s="361" t="n">
        <v>15.18333333333333</v>
      </c>
      <c r="CA254" s="361" t="n">
        <v>10.52666666666667</v>
      </c>
      <c r="CB254" s="361" t="n">
        <v>12.83333333333333</v>
      </c>
      <c r="CC254" s="361" t="n"/>
      <c r="CD254" s="357" t="inlineStr">
        <is>
          <t>03</t>
        </is>
      </c>
      <c r="CE254" s="361">
        <f>AVERAGE(CE$204:CE206)</f>
        <v/>
      </c>
      <c r="CF254" s="361" t="n">
        <v>14.25333333333333</v>
      </c>
      <c r="CG254" s="361" t="n">
        <v>14.33333333333333</v>
      </c>
      <c r="CH254" s="361" t="n">
        <v>13.47333333333333</v>
      </c>
      <c r="CI254" s="361" t="n">
        <v>8.5</v>
      </c>
      <c r="CJ254" s="361" t="n">
        <v>10.96333333333333</v>
      </c>
      <c r="CL254" s="357" t="inlineStr">
        <is>
          <t>03</t>
        </is>
      </c>
      <c r="CM254" s="361">
        <f>AVERAGE(CM$204:CM206)</f>
        <v/>
      </c>
      <c r="CN254" s="361" t="n">
        <v>15.53666666666667</v>
      </c>
      <c r="CO254" s="361" t="n">
        <v>16.91333333333333</v>
      </c>
      <c r="CP254" s="361" t="n">
        <v>15.67333333333333</v>
      </c>
      <c r="CQ254" s="361" t="n">
        <v>6.873333333333332</v>
      </c>
      <c r="CR254" s="361" t="n">
        <v>13.53</v>
      </c>
      <c r="CT254" s="357" t="inlineStr">
        <is>
          <t>03</t>
        </is>
      </c>
      <c r="CU254" s="361">
        <f>AVERAGE(CU$204:CU206)</f>
        <v/>
      </c>
      <c r="CV254" s="361" t="n">
        <v>13.59333333333333</v>
      </c>
      <c r="CW254" s="361" t="e">
        <v>#DIV/0!</v>
      </c>
      <c r="CX254" s="361" t="n"/>
      <c r="CY254" s="361" t="n"/>
      <c r="CZ254" s="361" t="n"/>
      <c r="DB254" s="357" t="inlineStr">
        <is>
          <t>03</t>
        </is>
      </c>
      <c r="DC254" s="361">
        <f>AVERAGE(DC$204:DC206)</f>
        <v/>
      </c>
      <c r="DD254" s="361" t="n">
        <v>16.71333333333333</v>
      </c>
      <c r="DE254" s="361" t="e">
        <v>#DIV/0!</v>
      </c>
      <c r="DF254" s="361" t="n"/>
      <c r="DG254" s="361" t="n"/>
      <c r="DH254" s="361" t="n"/>
      <c r="DI254" s="361" t="n"/>
      <c r="DJ254" s="357" t="inlineStr">
        <is>
          <t>03</t>
        </is>
      </c>
      <c r="DK254" s="361">
        <f>AVERAGE(DK$204:DK206)</f>
        <v/>
      </c>
      <c r="DL254" s="361" t="n">
        <v>10.57666666666667</v>
      </c>
      <c r="DM254" s="361" t="e">
        <v>#DIV/0!</v>
      </c>
      <c r="DN254" s="361" t="n"/>
      <c r="DO254" s="361" t="n"/>
      <c r="DP254" s="361" t="n"/>
      <c r="DR254" s="357" t="inlineStr">
        <is>
          <t>03</t>
        </is>
      </c>
      <c r="DS254" s="361">
        <f>AVERAGE(DS$204:DS206)</f>
        <v/>
      </c>
      <c r="DT254" s="361" t="n">
        <v>14.99333333333333</v>
      </c>
      <c r="DU254" s="361" t="e">
        <v>#DIV/0!</v>
      </c>
      <c r="DV254" s="361" t="n"/>
      <c r="DW254" s="361" t="n"/>
      <c r="DX254" s="361" t="n"/>
      <c r="DZ254" s="357" t="inlineStr">
        <is>
          <t>03</t>
        </is>
      </c>
      <c r="EA254" s="361">
        <f>AVERAGE(EA$204:EA206)</f>
        <v/>
      </c>
      <c r="EB254" s="361" t="e">
        <v>#DIV/0!</v>
      </c>
      <c r="EC254" s="361" t="e">
        <v>#DIV/0!</v>
      </c>
      <c r="ED254" s="361" t="n"/>
      <c r="EE254" s="361" t="n"/>
      <c r="EF254" s="361" t="n"/>
    </row>
    <row r="255" customFormat="1" s="359">
      <c r="B255" s="357" t="inlineStr">
        <is>
          <t>04</t>
        </is>
      </c>
      <c r="C255" s="361">
        <f>AVERAGE(C$204:C207)</f>
        <v/>
      </c>
      <c r="D255" s="361">
        <f>AVERAGE(D$204:D207)</f>
        <v/>
      </c>
      <c r="E255" s="361">
        <f>AVERAGE(E$204:E207)</f>
        <v/>
      </c>
      <c r="F255" s="361">
        <f>AVERAGE(F$204:F207)</f>
        <v/>
      </c>
      <c r="G255" s="361">
        <f>AVERAGE(G$204:G207)</f>
        <v/>
      </c>
      <c r="H255" s="361">
        <f>AVERAGE(H$204:H207)</f>
        <v/>
      </c>
      <c r="I255" s="361" t="n"/>
      <c r="J255" s="357" t="inlineStr">
        <is>
          <t>04</t>
        </is>
      </c>
      <c r="K255" s="361">
        <f>AVERAGE(K$204:K207)</f>
        <v/>
      </c>
      <c r="L255" s="361" t="n">
        <v>15.3875</v>
      </c>
      <c r="M255" s="361" t="n">
        <v>16.01</v>
      </c>
      <c r="N255" s="361" t="n">
        <v>14.4275</v>
      </c>
      <c r="O255" s="361" t="n">
        <v>5.882499999999999</v>
      </c>
      <c r="P255" s="361" t="n">
        <v>9.91750025</v>
      </c>
      <c r="R255" s="357" t="inlineStr">
        <is>
          <t>04</t>
        </is>
      </c>
      <c r="S255" s="361">
        <f>AVERAGE(S$204:S207)</f>
        <v/>
      </c>
      <c r="T255" s="361" t="n">
        <v>15.58</v>
      </c>
      <c r="U255" s="361" t="n">
        <v>15.2275</v>
      </c>
      <c r="V255" s="361" t="n">
        <v>14.465</v>
      </c>
      <c r="W255" s="361" t="n">
        <v>7.5425</v>
      </c>
      <c r="X255" s="361" t="n">
        <v>9.477499999999999</v>
      </c>
      <c r="Z255" s="357" t="inlineStr">
        <is>
          <t>04</t>
        </is>
      </c>
      <c r="AA255" s="361">
        <f>AVERAGE(AA$204:AA207)</f>
        <v/>
      </c>
      <c r="AB255" s="361" t="n">
        <v>14.0425</v>
      </c>
      <c r="AC255" s="361" t="n">
        <v>14.02</v>
      </c>
      <c r="AD255" s="361" t="n">
        <v>12.395</v>
      </c>
      <c r="AE255" s="361" t="n">
        <v>5.7575</v>
      </c>
      <c r="AF255" s="361" t="n">
        <v>8.710000000000001</v>
      </c>
      <c r="AH255" s="357" t="inlineStr">
        <is>
          <t>04</t>
        </is>
      </c>
      <c r="AI255" s="361">
        <f>AVERAGE(AI$204:AI207)</f>
        <v/>
      </c>
      <c r="AJ255" s="361" t="n">
        <v>16.35</v>
      </c>
      <c r="AK255" s="361" t="n">
        <v>16.3575</v>
      </c>
      <c r="AL255" s="361" t="n">
        <v>14.805</v>
      </c>
      <c r="AM255" s="361" t="n">
        <v>4.165</v>
      </c>
      <c r="AN255" s="361" t="n">
        <v>9.432499999999999</v>
      </c>
      <c r="AP255" s="357" t="inlineStr">
        <is>
          <t>04</t>
        </is>
      </c>
      <c r="AQ255" s="361">
        <f>AVERAGE(AQ$204:AQ207)</f>
        <v/>
      </c>
      <c r="AR255" s="361" t="n">
        <v>15.9425</v>
      </c>
      <c r="AS255" s="361" t="n">
        <v>16.065</v>
      </c>
      <c r="AT255" s="361" t="n">
        <v>14.6625</v>
      </c>
      <c r="AU255" s="361" t="n">
        <v>7.7525</v>
      </c>
      <c r="AV255" s="361" t="e">
        <v>#DIV/0!</v>
      </c>
      <c r="AX255" s="357" t="inlineStr">
        <is>
          <t>04</t>
        </is>
      </c>
      <c r="AY255" s="361">
        <f>AVERAGE(AY$204:AY207)</f>
        <v/>
      </c>
      <c r="AZ255" s="361" t="n">
        <v>18.1275</v>
      </c>
      <c r="BA255" s="361" t="n">
        <v>17.845</v>
      </c>
      <c r="BB255" s="361" t="n">
        <v>15.855</v>
      </c>
      <c r="BC255" s="361" t="n"/>
      <c r="BD255" s="361" t="n"/>
      <c r="BE255" s="361" t="n"/>
      <c r="BF255" s="357" t="inlineStr">
        <is>
          <t>04</t>
        </is>
      </c>
      <c r="BG255" s="361">
        <f>AVERAGE(BG$204:BG207)</f>
        <v/>
      </c>
      <c r="BH255" s="361" t="n">
        <v>16.49</v>
      </c>
      <c r="BI255" s="361" t="n">
        <v>17.6</v>
      </c>
      <c r="BJ255" s="361" t="n"/>
      <c r="BK255" s="361" t="n"/>
      <c r="BL255" s="361" t="n"/>
      <c r="BM255" s="361" t="n"/>
      <c r="BN255" s="357" t="inlineStr">
        <is>
          <t>04</t>
        </is>
      </c>
      <c r="BO255" s="361">
        <f>AVERAGE(BO$204:BO207)</f>
        <v/>
      </c>
      <c r="BP255" s="361" t="n">
        <v>13.785</v>
      </c>
      <c r="BQ255" s="361" t="n">
        <v>14.3925</v>
      </c>
      <c r="BR255" s="361" t="n">
        <v>12.3525</v>
      </c>
      <c r="BS255" s="361" t="n">
        <v>8.220000000000001</v>
      </c>
      <c r="BT255" s="361" t="n">
        <v>8.037500000000001</v>
      </c>
      <c r="BV255" s="357" t="inlineStr">
        <is>
          <t>04</t>
        </is>
      </c>
      <c r="BW255" s="361">
        <f>AVERAGE(BW$204:BW207)</f>
        <v/>
      </c>
      <c r="BX255" s="361" t="n">
        <v>15.88</v>
      </c>
      <c r="BY255" s="361" t="n">
        <v>16.6775</v>
      </c>
      <c r="BZ255" s="361" t="n">
        <v>15.7375</v>
      </c>
      <c r="CA255" s="361" t="n">
        <v>10.5</v>
      </c>
      <c r="CB255" s="361" t="n">
        <v>9.625</v>
      </c>
      <c r="CC255" s="361" t="n"/>
      <c r="CD255" s="357" t="inlineStr">
        <is>
          <t>04</t>
        </is>
      </c>
      <c r="CE255" s="361">
        <f>AVERAGE(CE$204:CE207)</f>
        <v/>
      </c>
      <c r="CF255" s="361" t="n">
        <v>14.4225</v>
      </c>
      <c r="CG255" s="361" t="n">
        <v>14.685</v>
      </c>
      <c r="CH255" s="361" t="n">
        <v>13.7325</v>
      </c>
      <c r="CI255" s="361" t="n">
        <v>7.8525</v>
      </c>
      <c r="CJ255" s="361" t="n">
        <v>8.449999999999999</v>
      </c>
      <c r="CL255" s="357" t="inlineStr">
        <is>
          <t>04</t>
        </is>
      </c>
      <c r="CM255" s="361">
        <f>AVERAGE(CM$204:CM207)</f>
        <v/>
      </c>
      <c r="CN255" s="361" t="n">
        <v>15.58</v>
      </c>
      <c r="CO255" s="361" t="n">
        <v>17.0925</v>
      </c>
      <c r="CP255" s="361" t="n">
        <v>15.9175</v>
      </c>
      <c r="CQ255" s="361" t="n">
        <v>6.9175</v>
      </c>
      <c r="CR255" s="361" t="n">
        <v>10.1475</v>
      </c>
      <c r="CT255" s="357" t="inlineStr">
        <is>
          <t>04</t>
        </is>
      </c>
      <c r="CU255" s="361">
        <f>AVERAGE(CU$204:CU207)</f>
        <v/>
      </c>
      <c r="CV255" s="361" t="n">
        <v>13.55</v>
      </c>
      <c r="CW255" s="361" t="e">
        <v>#DIV/0!</v>
      </c>
      <c r="CX255" s="361" t="n"/>
      <c r="CY255" s="361" t="n"/>
      <c r="CZ255" s="361" t="n"/>
      <c r="DB255" s="357" t="inlineStr">
        <is>
          <t>04</t>
        </is>
      </c>
      <c r="DC255" s="361">
        <f>AVERAGE(DC$204:DC207)</f>
        <v/>
      </c>
      <c r="DD255" s="361" t="n">
        <v>16.6775</v>
      </c>
      <c r="DE255" s="361" t="e">
        <v>#DIV/0!</v>
      </c>
      <c r="DF255" s="361" t="n"/>
      <c r="DG255" s="361" t="n"/>
      <c r="DH255" s="361" t="n"/>
      <c r="DI255" s="361" t="n"/>
      <c r="DJ255" s="357" t="inlineStr">
        <is>
          <t>04</t>
        </is>
      </c>
      <c r="DK255" s="361">
        <f>AVERAGE(DK$204:DK207)</f>
        <v/>
      </c>
      <c r="DL255" s="361" t="n">
        <v>10.5375</v>
      </c>
      <c r="DM255" s="361" t="e">
        <v>#DIV/0!</v>
      </c>
      <c r="DN255" s="361" t="n"/>
      <c r="DO255" s="361" t="n"/>
      <c r="DP255" s="361" t="n"/>
      <c r="DR255" s="357" t="inlineStr">
        <is>
          <t>04</t>
        </is>
      </c>
      <c r="DS255" s="361">
        <f>AVERAGE(DS$204:DS207)</f>
        <v/>
      </c>
      <c r="DT255" s="361" t="n">
        <v>14.9075</v>
      </c>
      <c r="DU255" s="361" t="e">
        <v>#DIV/0!</v>
      </c>
      <c r="DV255" s="361" t="n"/>
      <c r="DW255" s="361" t="n"/>
      <c r="DX255" s="361" t="n"/>
      <c r="DZ255" s="357" t="inlineStr">
        <is>
          <t>04</t>
        </is>
      </c>
      <c r="EA255" s="361">
        <f>AVERAGE(EA$204:EA207)</f>
        <v/>
      </c>
      <c r="EB255" s="361" t="e">
        <v>#DIV/0!</v>
      </c>
      <c r="EC255" s="361" t="e">
        <v>#DIV/0!</v>
      </c>
      <c r="ED255" s="361" t="n"/>
      <c r="EE255" s="361" t="n"/>
      <c r="EF255" s="361" t="n"/>
    </row>
    <row r="256" customFormat="1" s="359">
      <c r="B256" s="357" t="inlineStr">
        <is>
          <t>05</t>
        </is>
      </c>
      <c r="C256" s="361">
        <f>AVERAGE(C$204:C208)</f>
        <v/>
      </c>
      <c r="D256" s="361">
        <f>AVERAGE(D$204:D208)</f>
        <v/>
      </c>
      <c r="E256" s="361">
        <f>AVERAGE(E$204:E208)</f>
        <v/>
      </c>
      <c r="F256" s="361">
        <f>AVERAGE(F$204:F208)</f>
        <v/>
      </c>
      <c r="G256" s="361">
        <f>AVERAGE(G$204:G208)</f>
        <v/>
      </c>
      <c r="H256" s="361">
        <f>AVERAGE(H$204:H208)</f>
        <v/>
      </c>
      <c r="I256" s="361" t="n"/>
      <c r="J256" s="357" t="inlineStr">
        <is>
          <t>05</t>
        </is>
      </c>
      <c r="K256" s="361">
        <f>AVERAGE(K$204:K208)</f>
        <v/>
      </c>
      <c r="L256" s="361" t="n">
        <v>15.464</v>
      </c>
      <c r="M256" s="361" t="n">
        <v>16.038</v>
      </c>
      <c r="N256" s="361" t="n">
        <v>14.468</v>
      </c>
      <c r="O256" s="361" t="n">
        <v>7.286</v>
      </c>
      <c r="P256" s="361" t="n">
        <v>7.9340004</v>
      </c>
      <c r="R256" s="357" t="inlineStr">
        <is>
          <t>05</t>
        </is>
      </c>
      <c r="S256" s="361">
        <f>AVERAGE(S$204:S208)</f>
        <v/>
      </c>
      <c r="T256" s="361" t="n">
        <v>15.724</v>
      </c>
      <c r="U256" s="361" t="n">
        <v>15.424</v>
      </c>
      <c r="V256" s="361" t="n">
        <v>14.484</v>
      </c>
      <c r="W256" s="361" t="n">
        <v>8.837999999999999</v>
      </c>
      <c r="X256" s="361" t="n">
        <v>7.581999999999999</v>
      </c>
      <c r="Z256" s="357" t="inlineStr">
        <is>
          <t>05</t>
        </is>
      </c>
      <c r="AA256" s="361">
        <f>AVERAGE(AA$204:AA208)</f>
        <v/>
      </c>
      <c r="AB256" s="361" t="n">
        <v>13.922</v>
      </c>
      <c r="AC256" s="361" t="n">
        <v>13.928</v>
      </c>
      <c r="AD256" s="361" t="n">
        <v>12.424</v>
      </c>
      <c r="AE256" s="361" t="n">
        <v>6.68</v>
      </c>
      <c r="AF256" s="361" t="n">
        <v>6.968000000000001</v>
      </c>
      <c r="AH256" s="357" t="inlineStr">
        <is>
          <t>05</t>
        </is>
      </c>
      <c r="AI256" s="361">
        <f>AVERAGE(AI$204:AI208)</f>
        <v/>
      </c>
      <c r="AJ256" s="361" t="n">
        <v>16.442</v>
      </c>
      <c r="AK256" s="361" t="n">
        <v>16.396</v>
      </c>
      <c r="AL256" s="361" t="n">
        <v>14.852</v>
      </c>
      <c r="AM256" s="361" t="n">
        <v>5.896</v>
      </c>
      <c r="AN256" s="361" t="n">
        <v>7.545999999999999</v>
      </c>
      <c r="AP256" s="357" t="inlineStr">
        <is>
          <t>05</t>
        </is>
      </c>
      <c r="AQ256" s="361">
        <f>AVERAGE(AQ$204:AQ208)</f>
        <v/>
      </c>
      <c r="AR256" s="361" t="n">
        <v>15.928</v>
      </c>
      <c r="AS256" s="361" t="n">
        <v>16.124</v>
      </c>
      <c r="AT256" s="361" t="n">
        <v>14.7</v>
      </c>
      <c r="AU256" s="361" t="n">
        <v>9.012</v>
      </c>
      <c r="AV256" s="361" t="e">
        <v>#DIV/0!</v>
      </c>
      <c r="AX256" s="357" t="inlineStr">
        <is>
          <t>05</t>
        </is>
      </c>
      <c r="AY256" s="361">
        <f>AVERAGE(AY$204:AY208)</f>
        <v/>
      </c>
      <c r="AZ256" s="361" t="n">
        <v>18.128</v>
      </c>
      <c r="BA256" s="361" t="n">
        <v>18.148</v>
      </c>
      <c r="BB256" s="361" t="n">
        <v>16.124</v>
      </c>
      <c r="BC256" s="361" t="n"/>
      <c r="BD256" s="361" t="n"/>
      <c r="BE256" s="361" t="n"/>
      <c r="BF256" s="357" t="inlineStr">
        <is>
          <t>05</t>
        </is>
      </c>
      <c r="BG256" s="361">
        <f>AVERAGE(BG$204:BG208)</f>
        <v/>
      </c>
      <c r="BH256" s="361" t="n">
        <v>16.668</v>
      </c>
      <c r="BI256" s="361" t="n">
        <v>17.806</v>
      </c>
      <c r="BJ256" s="361" t="n"/>
      <c r="BK256" s="361" t="n"/>
      <c r="BL256" s="361" t="n"/>
      <c r="BM256" s="361" t="n"/>
      <c r="BN256" s="357" t="inlineStr">
        <is>
          <t>05</t>
        </is>
      </c>
      <c r="BO256" s="361">
        <f>AVERAGE(BO$204:BO208)</f>
        <v/>
      </c>
      <c r="BP256" s="361" t="n">
        <v>13.814</v>
      </c>
      <c r="BQ256" s="361" t="n">
        <v>14.452</v>
      </c>
      <c r="BR256" s="361" t="n">
        <v>12.482</v>
      </c>
      <c r="BS256" s="361" t="n">
        <v>9.256</v>
      </c>
      <c r="BT256" s="361" t="n">
        <v>6.430000000000001</v>
      </c>
      <c r="BV256" s="357" t="inlineStr">
        <is>
          <t>05</t>
        </is>
      </c>
      <c r="BW256" s="361">
        <f>AVERAGE(BW$204:BW208)</f>
        <v/>
      </c>
      <c r="BX256" s="361" t="n">
        <v>16.076</v>
      </c>
      <c r="BY256" s="361" t="n">
        <v>17.006</v>
      </c>
      <c r="BZ256" s="361" t="n">
        <v>16.008</v>
      </c>
      <c r="CA256" s="361" t="n">
        <v>11.822</v>
      </c>
      <c r="CB256" s="361" t="n">
        <v>7.836</v>
      </c>
      <c r="CC256" s="361" t="n"/>
      <c r="CD256" s="357" t="inlineStr">
        <is>
          <t>05</t>
        </is>
      </c>
      <c r="CE256" s="361">
        <f>AVERAGE(CE$204:CE208)</f>
        <v/>
      </c>
      <c r="CF256" s="361" t="n">
        <v>14.5</v>
      </c>
      <c r="CG256" s="361" t="n">
        <v>14.976</v>
      </c>
      <c r="CH256" s="361" t="n">
        <v>13.858</v>
      </c>
      <c r="CI256" s="361" t="n">
        <v>9.334</v>
      </c>
      <c r="CJ256" s="361" t="n">
        <v>6.897999999999999</v>
      </c>
      <c r="CL256" s="357" t="inlineStr">
        <is>
          <t>05</t>
        </is>
      </c>
      <c r="CM256" s="361">
        <f>AVERAGE(CM$204:CM208)</f>
        <v/>
      </c>
      <c r="CN256" s="361" t="n">
        <v>15.612</v>
      </c>
      <c r="CO256" s="361" t="n">
        <v>17.17</v>
      </c>
      <c r="CP256" s="361" t="n">
        <v>15.966</v>
      </c>
      <c r="CQ256" s="361" t="n">
        <v>8.654</v>
      </c>
      <c r="CR256" s="361" t="n">
        <v>8.118</v>
      </c>
      <c r="CT256" s="357" t="inlineStr">
        <is>
          <t>05</t>
        </is>
      </c>
      <c r="CU256" s="361">
        <f>AVERAGE(CU$204:CU208)</f>
        <v/>
      </c>
      <c r="CV256" s="361" t="n">
        <v>13.568</v>
      </c>
      <c r="CW256" s="361" t="e">
        <v>#DIV/0!</v>
      </c>
      <c r="CX256" s="361" t="n"/>
      <c r="CY256" s="361" t="n"/>
      <c r="CZ256" s="361" t="n"/>
      <c r="DB256" s="357" t="inlineStr">
        <is>
          <t>05</t>
        </is>
      </c>
      <c r="DC256" s="361">
        <f>AVERAGE(DC$204:DC208)</f>
        <v/>
      </c>
      <c r="DD256" s="361" t="n">
        <v>16.686</v>
      </c>
      <c r="DE256" s="361" t="e">
        <v>#DIV/0!</v>
      </c>
      <c r="DF256" s="361" t="n"/>
      <c r="DG256" s="361" t="n"/>
      <c r="DH256" s="361" t="n"/>
      <c r="DI256" s="361" t="n"/>
      <c r="DJ256" s="357" t="inlineStr">
        <is>
          <t>05</t>
        </is>
      </c>
      <c r="DK256" s="361">
        <f>AVERAGE(DK$204:DK208)</f>
        <v/>
      </c>
      <c r="DL256" s="361" t="n">
        <v>10.518</v>
      </c>
      <c r="DM256" s="361" t="e">
        <v>#DIV/0!</v>
      </c>
      <c r="DN256" s="361" t="n"/>
      <c r="DO256" s="361" t="n"/>
      <c r="DP256" s="361" t="n"/>
      <c r="DR256" s="357" t="inlineStr">
        <is>
          <t>05</t>
        </is>
      </c>
      <c r="DS256" s="361">
        <f>AVERAGE(DS$204:DS208)</f>
        <v/>
      </c>
      <c r="DT256" s="361" t="n">
        <v>14.88</v>
      </c>
      <c r="DU256" s="361" t="e">
        <v>#DIV/0!</v>
      </c>
      <c r="DV256" s="361" t="n"/>
      <c r="DW256" s="361" t="n"/>
      <c r="DX256" s="361" t="n"/>
      <c r="DZ256" s="357" t="inlineStr">
        <is>
          <t>05</t>
        </is>
      </c>
      <c r="EA256" s="361">
        <f>AVERAGE(EA$204:EA208)</f>
        <v/>
      </c>
      <c r="EB256" s="361" t="e">
        <v>#DIV/0!</v>
      </c>
      <c r="EC256" s="361" t="e">
        <v>#DIV/0!</v>
      </c>
      <c r="ED256" s="361" t="n"/>
      <c r="EE256" s="361" t="n"/>
      <c r="EF256" s="361" t="n"/>
    </row>
    <row r="257" customFormat="1" s="359">
      <c r="B257" s="357" t="inlineStr">
        <is>
          <t>06</t>
        </is>
      </c>
      <c r="C257" s="361">
        <f>AVERAGE(C$204:C209)</f>
        <v/>
      </c>
      <c r="D257" s="361">
        <f>AVERAGE(D$204:D209)</f>
        <v/>
      </c>
      <c r="E257" s="361">
        <f>AVERAGE(E$204:E209)</f>
        <v/>
      </c>
      <c r="F257" s="361">
        <f>AVERAGE(F$204:F209)</f>
        <v/>
      </c>
      <c r="G257" s="361">
        <f>AVERAGE(G$204:G209)</f>
        <v/>
      </c>
      <c r="H257" s="361">
        <f>AVERAGE(H$204:H209)</f>
        <v/>
      </c>
      <c r="I257" s="361" t="n"/>
      <c r="J257" s="357" t="inlineStr">
        <is>
          <t>06</t>
        </is>
      </c>
      <c r="K257" s="361">
        <f>AVERAGE(K$204:K209)</f>
        <v/>
      </c>
      <c r="L257" s="361" t="n">
        <v>15.49166666666667</v>
      </c>
      <c r="M257" s="361" t="n">
        <v>15.96333333333333</v>
      </c>
      <c r="N257" s="361" t="n">
        <v>14.50666666666667</v>
      </c>
      <c r="O257" s="361" t="n">
        <v>8.318333333333333</v>
      </c>
      <c r="P257" s="361" t="n">
        <v>8.768333666666665</v>
      </c>
      <c r="R257" s="357" t="inlineStr">
        <is>
          <t>06</t>
        </is>
      </c>
      <c r="S257" s="361">
        <f>AVERAGE(S$204:S209)</f>
        <v/>
      </c>
      <c r="T257" s="361" t="n">
        <v>15.64833333333333</v>
      </c>
      <c r="U257" s="361" t="n">
        <v>15.47166666666667</v>
      </c>
      <c r="V257" s="361" t="n">
        <v>14.50166666666667</v>
      </c>
      <c r="W257" s="361" t="n">
        <v>9.673333333333334</v>
      </c>
      <c r="X257" s="361" t="n">
        <v>8.521666666666667</v>
      </c>
      <c r="Z257" s="357" t="inlineStr">
        <is>
          <t>06</t>
        </is>
      </c>
      <c r="AA257" s="361">
        <f>AVERAGE(AA$204:AA209)</f>
        <v/>
      </c>
      <c r="AB257" s="361" t="n">
        <v>13.86833333333333</v>
      </c>
      <c r="AC257" s="361" t="n">
        <v>13.95333333333333</v>
      </c>
      <c r="AD257" s="361" t="n">
        <v>12.42166666666667</v>
      </c>
      <c r="AE257" s="361" t="n">
        <v>7.566666666666666</v>
      </c>
      <c r="AF257" s="361" t="n">
        <v>7.683333333333334</v>
      </c>
      <c r="AH257" s="357" t="inlineStr">
        <is>
          <t>06</t>
        </is>
      </c>
      <c r="AI257" s="361">
        <f>AVERAGE(AI$204:AI209)</f>
        <v/>
      </c>
      <c r="AJ257" s="361" t="n">
        <v>16.39</v>
      </c>
      <c r="AK257" s="361" t="n">
        <v>16.32833333333333</v>
      </c>
      <c r="AL257" s="361" t="n">
        <v>14.87</v>
      </c>
      <c r="AM257" s="361" t="n">
        <v>7.245</v>
      </c>
      <c r="AN257" s="361" t="n">
        <v>8.475</v>
      </c>
      <c r="AP257" s="357" t="inlineStr">
        <is>
          <t>06</t>
        </is>
      </c>
      <c r="AQ257" s="361">
        <f>AVERAGE(AQ$204:AQ209)</f>
        <v/>
      </c>
      <c r="AR257" s="361" t="n">
        <v>15.925</v>
      </c>
      <c r="AS257" s="361" t="n">
        <v>16.04333333333333</v>
      </c>
      <c r="AT257" s="361" t="n">
        <v>14.67</v>
      </c>
      <c r="AU257" s="361" t="n">
        <v>9.938333333333334</v>
      </c>
      <c r="AV257" s="361" t="e">
        <v>#DIV/0!</v>
      </c>
      <c r="AX257" s="357" t="inlineStr">
        <is>
          <t>06</t>
        </is>
      </c>
      <c r="AY257" s="361">
        <f>AVERAGE(AY$204:AY209)</f>
        <v/>
      </c>
      <c r="AZ257" s="361" t="n">
        <v>18.03333333333333</v>
      </c>
      <c r="BA257" s="361" t="n">
        <v>18.13333333333333</v>
      </c>
      <c r="BB257" s="361" t="n">
        <v>16.23833333333333</v>
      </c>
      <c r="BC257" s="361" t="n"/>
      <c r="BD257" s="361" t="n"/>
      <c r="BE257" s="361" t="n"/>
      <c r="BF257" s="357" t="inlineStr">
        <is>
          <t>06</t>
        </is>
      </c>
      <c r="BG257" s="361">
        <f>AVERAGE(BG$204:BG209)</f>
        <v/>
      </c>
      <c r="BH257" s="361" t="n">
        <v>16.61166666666666</v>
      </c>
      <c r="BI257" s="361" t="n">
        <v>17.69333333333333</v>
      </c>
      <c r="BJ257" s="361" t="n"/>
      <c r="BK257" s="361" t="n"/>
      <c r="BL257" s="361" t="n"/>
      <c r="BM257" s="361" t="n"/>
      <c r="BN257" s="357" t="inlineStr">
        <is>
          <t>06</t>
        </is>
      </c>
      <c r="BO257" s="361">
        <f>AVERAGE(BO$204:BO209)</f>
        <v/>
      </c>
      <c r="BP257" s="361" t="n">
        <v>13.92666666666666</v>
      </c>
      <c r="BQ257" s="361" t="n">
        <v>14.535</v>
      </c>
      <c r="BR257" s="361" t="n">
        <v>12.74166666666667</v>
      </c>
      <c r="BS257" s="361" t="n">
        <v>10.07833333333333</v>
      </c>
      <c r="BT257" s="361" t="n">
        <v>7.560000000000001</v>
      </c>
      <c r="BV257" s="357" t="inlineStr">
        <is>
          <t>06</t>
        </is>
      </c>
      <c r="BW257" s="361">
        <f>AVERAGE(BW$204:BW209)</f>
        <v/>
      </c>
      <c r="BX257" s="361" t="n">
        <v>16.01666666666667</v>
      </c>
      <c r="BY257" s="361" t="n">
        <v>16.985</v>
      </c>
      <c r="BZ257" s="361" t="n">
        <v>16.02833333333333</v>
      </c>
      <c r="CA257" s="361" t="n">
        <v>12.49</v>
      </c>
      <c r="CB257" s="361" t="n">
        <v>8.856666666666667</v>
      </c>
      <c r="CC257" s="361" t="n"/>
      <c r="CD257" s="357" t="inlineStr">
        <is>
          <t>06</t>
        </is>
      </c>
      <c r="CE257" s="361">
        <f>AVERAGE(CE$204:CE209)</f>
        <v/>
      </c>
      <c r="CF257" s="361" t="n">
        <v>14.47833333333333</v>
      </c>
      <c r="CG257" s="361" t="n">
        <v>14.96666666666667</v>
      </c>
      <c r="CH257" s="361" t="n">
        <v>13.865</v>
      </c>
      <c r="CI257" s="361" t="n">
        <v>10.10333333333333</v>
      </c>
      <c r="CJ257" s="361" t="n">
        <v>7.878333333333333</v>
      </c>
      <c r="CL257" s="357" t="inlineStr">
        <is>
          <t>06</t>
        </is>
      </c>
      <c r="CM257" s="361">
        <f>AVERAGE(CM$204:CM209)</f>
        <v/>
      </c>
      <c r="CN257" s="361" t="n">
        <v>15.67</v>
      </c>
      <c r="CO257" s="361" t="n">
        <v>17.16833333333333</v>
      </c>
      <c r="CP257" s="361" t="n">
        <v>15.97166666666667</v>
      </c>
      <c r="CQ257" s="361" t="n">
        <v>9.768333333333333</v>
      </c>
      <c r="CR257" s="361" t="n">
        <v>9.158333333333333</v>
      </c>
      <c r="CT257" s="357" t="inlineStr">
        <is>
          <t>06</t>
        </is>
      </c>
      <c r="CU257" s="361">
        <f>AVERAGE(CU$204:CU209)</f>
        <v/>
      </c>
      <c r="CV257" s="361" t="n">
        <v>13.59333333333333</v>
      </c>
      <c r="CW257" s="361" t="e">
        <v>#DIV/0!</v>
      </c>
      <c r="CX257" s="361" t="n"/>
      <c r="CY257" s="361" t="n"/>
      <c r="CZ257" s="361" t="n"/>
      <c r="DB257" s="357" t="inlineStr">
        <is>
          <t>06</t>
        </is>
      </c>
      <c r="DC257" s="361">
        <f>AVERAGE(DC$204:DC209)</f>
        <v/>
      </c>
      <c r="DD257" s="361" t="n">
        <v>16.65166666666667</v>
      </c>
      <c r="DE257" s="361" t="e">
        <v>#DIV/0!</v>
      </c>
      <c r="DF257" s="361" t="n"/>
      <c r="DG257" s="361" t="n"/>
      <c r="DH257" s="361" t="n"/>
      <c r="DI257" s="361" t="n"/>
      <c r="DJ257" s="357" t="inlineStr">
        <is>
          <t>06</t>
        </is>
      </c>
      <c r="DK257" s="361">
        <f>AVERAGE(DK$204:DK209)</f>
        <v/>
      </c>
      <c r="DL257" s="361" t="n">
        <v>10.52</v>
      </c>
      <c r="DM257" s="361" t="e">
        <v>#DIV/0!</v>
      </c>
      <c r="DN257" s="361" t="n"/>
      <c r="DO257" s="361" t="n"/>
      <c r="DP257" s="361" t="n"/>
      <c r="DR257" s="357" t="inlineStr">
        <is>
          <t>06</t>
        </is>
      </c>
      <c r="DS257" s="361">
        <f>AVERAGE(DS$204:DS209)</f>
        <v/>
      </c>
      <c r="DT257" s="361" t="n">
        <v>14.84666666666666</v>
      </c>
      <c r="DU257" s="361" t="e">
        <v>#DIV/0!</v>
      </c>
      <c r="DV257" s="361" t="n"/>
      <c r="DW257" s="361" t="n"/>
      <c r="DX257" s="361" t="n"/>
      <c r="DZ257" s="357" t="inlineStr">
        <is>
          <t>06</t>
        </is>
      </c>
      <c r="EA257" s="361">
        <f>AVERAGE(EA$204:EA209)</f>
        <v/>
      </c>
      <c r="EB257" s="361" t="e">
        <v>#DIV/0!</v>
      </c>
      <c r="EC257" s="361" t="e">
        <v>#DIV/0!</v>
      </c>
      <c r="ED257" s="361" t="n"/>
      <c r="EE257" s="361" t="n"/>
      <c r="EF257" s="361" t="n"/>
    </row>
    <row r="258" customFormat="1" s="359">
      <c r="B258" s="357" t="inlineStr">
        <is>
          <t>07</t>
        </is>
      </c>
      <c r="C258" s="361">
        <f>AVERAGE(C$204:C210)</f>
        <v/>
      </c>
      <c r="D258" s="361">
        <f>AVERAGE(D$204:D210)</f>
        <v/>
      </c>
      <c r="E258" s="361">
        <f>AVERAGE(E$204:E210)</f>
        <v/>
      </c>
      <c r="F258" s="361">
        <f>AVERAGE(F$204:F210)</f>
        <v/>
      </c>
      <c r="G258" s="361">
        <f>AVERAGE(G$204:G210)</f>
        <v/>
      </c>
      <c r="H258" s="361">
        <f>AVERAGE(H$204:H210)</f>
        <v/>
      </c>
      <c r="I258" s="361" t="n"/>
      <c r="J258" s="357" t="inlineStr">
        <is>
          <t>07</t>
        </is>
      </c>
      <c r="K258" s="361">
        <f>AVERAGE(K$204:K210)</f>
        <v/>
      </c>
      <c r="L258" s="361" t="n">
        <v>15.61857142857143</v>
      </c>
      <c r="M258" s="361" t="n">
        <v>16.07857142857143</v>
      </c>
      <c r="N258" s="361" t="n">
        <v>14.67</v>
      </c>
      <c r="O258" s="361" t="n">
        <v>9.31142857142857</v>
      </c>
      <c r="P258" s="361" t="n">
        <v>9.524286</v>
      </c>
      <c r="R258" s="357" t="inlineStr">
        <is>
          <t>07</t>
        </is>
      </c>
      <c r="S258" s="361">
        <f>AVERAGE(S$204:S210)</f>
        <v/>
      </c>
      <c r="T258" s="361" t="n">
        <v>15.78</v>
      </c>
      <c r="U258" s="361" t="n">
        <v>15.81142857142857</v>
      </c>
      <c r="V258" s="361" t="n">
        <v>14.66714285714286</v>
      </c>
      <c r="W258" s="361" t="n">
        <v>10.6</v>
      </c>
      <c r="X258" s="361" t="n">
        <v>9.431428571428571</v>
      </c>
      <c r="Z258" s="357" t="inlineStr">
        <is>
          <t>07</t>
        </is>
      </c>
      <c r="AA258" s="361">
        <f>AVERAGE(AA$204:AA210)</f>
        <v/>
      </c>
      <c r="AB258" s="361" t="n">
        <v>14.00857142857143</v>
      </c>
      <c r="AC258" s="361" t="n">
        <v>14.13428571428571</v>
      </c>
      <c r="AD258" s="361" t="n">
        <v>12.64714285714286</v>
      </c>
      <c r="AE258" s="361" t="n">
        <v>8.317142857142857</v>
      </c>
      <c r="AF258" s="361" t="n">
        <v>8.337142857142856</v>
      </c>
      <c r="AH258" s="357" t="inlineStr">
        <is>
          <t>07</t>
        </is>
      </c>
      <c r="AI258" s="361">
        <f>AVERAGE(AI$204:AI210)</f>
        <v/>
      </c>
      <c r="AJ258" s="361" t="n">
        <v>16.48142857142857</v>
      </c>
      <c r="AK258" s="361" t="n">
        <v>16.50714285714286</v>
      </c>
      <c r="AL258" s="361" t="n">
        <v>14.98857142857143</v>
      </c>
      <c r="AM258" s="361" t="n">
        <v>8.371428571428572</v>
      </c>
      <c r="AN258" s="361" t="n">
        <v>9.168571428571427</v>
      </c>
      <c r="AP258" s="357" t="inlineStr">
        <is>
          <t>07</t>
        </is>
      </c>
      <c r="AQ258" s="361">
        <f>AVERAGE(AQ$204:AQ210)</f>
        <v/>
      </c>
      <c r="AR258" s="361" t="n">
        <v>16.09</v>
      </c>
      <c r="AS258" s="361" t="n">
        <v>16.25714285714286</v>
      </c>
      <c r="AT258" s="361" t="n">
        <v>14.78428571428571</v>
      </c>
      <c r="AU258" s="361" t="n">
        <v>10.79428571428572</v>
      </c>
      <c r="AV258" s="361" t="e">
        <v>#DIV/0!</v>
      </c>
      <c r="AX258" s="357" t="inlineStr">
        <is>
          <t>07</t>
        </is>
      </c>
      <c r="AY258" s="361">
        <f>AVERAGE(AY$204:AY210)</f>
        <v/>
      </c>
      <c r="AZ258" s="361" t="n">
        <v>18.20571428571428</v>
      </c>
      <c r="BA258" s="361" t="n">
        <v>18.41714285714286</v>
      </c>
      <c r="BB258" s="361" t="n">
        <v>16.50142857142857</v>
      </c>
      <c r="BC258" s="361" t="n">
        <v>18.19</v>
      </c>
      <c r="BD258" s="361" t="n"/>
      <c r="BE258" s="361" t="n"/>
      <c r="BF258" s="357" t="inlineStr">
        <is>
          <t>07</t>
        </is>
      </c>
      <c r="BG258" s="361">
        <f>AVERAGE(BG$204:BG210)</f>
        <v/>
      </c>
      <c r="BH258" s="361" t="n">
        <v>16.88428571428571</v>
      </c>
      <c r="BI258" s="361" t="n">
        <v>18.04</v>
      </c>
      <c r="BJ258" s="361" t="n"/>
      <c r="BK258" s="361" t="n"/>
      <c r="BL258" s="361" t="n"/>
      <c r="BM258" s="361" t="n"/>
      <c r="BN258" s="357" t="inlineStr">
        <is>
          <t>07</t>
        </is>
      </c>
      <c r="BO258" s="361">
        <f>AVERAGE(BO$204:BO210)</f>
        <v/>
      </c>
      <c r="BP258" s="361" t="n">
        <v>14.31857142857143</v>
      </c>
      <c r="BQ258" s="361" t="n">
        <v>14.93</v>
      </c>
      <c r="BR258" s="361" t="n">
        <v>13.21285714285714</v>
      </c>
      <c r="BS258" s="361" t="n">
        <v>10.94571428571429</v>
      </c>
      <c r="BT258" s="361" t="n">
        <v>8.645714285714288</v>
      </c>
      <c r="BV258" s="357" t="inlineStr">
        <is>
          <t>07</t>
        </is>
      </c>
      <c r="BW258" s="361">
        <f>AVERAGE(BW$204:BW210)</f>
        <v/>
      </c>
      <c r="BX258" s="361" t="n">
        <v>16.38714285714286</v>
      </c>
      <c r="BY258" s="361" t="n">
        <v>17.43285714285714</v>
      </c>
      <c r="BZ258" s="361" t="n">
        <v>16.41285714285714</v>
      </c>
      <c r="CA258" s="361" t="n">
        <v>13.23142857142857</v>
      </c>
      <c r="CB258" s="361" t="n">
        <v>10.02285714285714</v>
      </c>
      <c r="CC258" s="361" t="n"/>
      <c r="CD258" s="357" t="inlineStr">
        <is>
          <t>07</t>
        </is>
      </c>
      <c r="CE258" s="361">
        <f>AVERAGE(CE$204:CE210)</f>
        <v/>
      </c>
      <c r="CF258" s="361" t="n">
        <v>14.69714285714286</v>
      </c>
      <c r="CG258" s="361" t="n">
        <v>15.31571428571428</v>
      </c>
      <c r="CH258" s="361" t="n">
        <v>14.22857142857143</v>
      </c>
      <c r="CI258" s="361" t="n">
        <v>10.84857142857143</v>
      </c>
      <c r="CJ258" s="361" t="n">
        <v>8.815714285714284</v>
      </c>
      <c r="CL258" s="357" t="inlineStr">
        <is>
          <t>07</t>
        </is>
      </c>
      <c r="CM258" s="361">
        <f>AVERAGE(CM$204:CM210)</f>
        <v/>
      </c>
      <c r="CN258" s="361" t="n">
        <v>15.79</v>
      </c>
      <c r="CO258" s="361" t="n">
        <v>17.43142857142857</v>
      </c>
      <c r="CP258" s="361" t="n">
        <v>16.15285714285714</v>
      </c>
      <c r="CQ258" s="361" t="n">
        <v>10.83428571428571</v>
      </c>
      <c r="CR258" s="361" t="n">
        <v>10.13428571428571</v>
      </c>
      <c r="CT258" s="357" t="inlineStr">
        <is>
          <t>07</t>
        </is>
      </c>
      <c r="CU258" s="361">
        <f>AVERAGE(CU$204:CU210)</f>
        <v/>
      </c>
      <c r="CV258" s="361" t="n">
        <v>13.72142857142857</v>
      </c>
      <c r="CW258" s="361" t="e">
        <v>#DIV/0!</v>
      </c>
      <c r="CX258" s="361" t="n"/>
      <c r="CY258" s="361" t="n"/>
      <c r="CZ258" s="361" t="n"/>
      <c r="DB258" s="357" t="inlineStr">
        <is>
          <t>07</t>
        </is>
      </c>
      <c r="DC258" s="361">
        <f>AVERAGE(DC$204:DC210)</f>
        <v/>
      </c>
      <c r="DD258" s="361" t="n">
        <v>16.68714285714286</v>
      </c>
      <c r="DE258" s="361" t="e">
        <v>#DIV/0!</v>
      </c>
      <c r="DF258" s="361" t="n"/>
      <c r="DG258" s="361" t="n"/>
      <c r="DH258" s="361" t="n"/>
      <c r="DI258" s="361" t="n"/>
      <c r="DJ258" s="357" t="inlineStr">
        <is>
          <t>07</t>
        </is>
      </c>
      <c r="DK258" s="361">
        <f>AVERAGE(DK$204:DK210)</f>
        <v/>
      </c>
      <c r="DL258" s="361" t="n">
        <v>10.64142857142857</v>
      </c>
      <c r="DM258" s="361" t="e">
        <v>#DIV/0!</v>
      </c>
      <c r="DN258" s="361" t="n"/>
      <c r="DO258" s="361" t="n"/>
      <c r="DP258" s="361" t="n"/>
      <c r="DR258" s="357" t="inlineStr">
        <is>
          <t>07</t>
        </is>
      </c>
      <c r="DS258" s="361">
        <f>AVERAGE(DS$204:DS210)</f>
        <v/>
      </c>
      <c r="DT258" s="361" t="n">
        <v>14.94714285714285</v>
      </c>
      <c r="DU258" s="361" t="e">
        <v>#DIV/0!</v>
      </c>
      <c r="DV258" s="361" t="n"/>
      <c r="DW258" s="361" t="n"/>
      <c r="DX258" s="361" t="n"/>
      <c r="DZ258" s="357" t="inlineStr">
        <is>
          <t>07</t>
        </is>
      </c>
      <c r="EA258" s="361">
        <f>AVERAGE(EA$204:EA210)</f>
        <v/>
      </c>
      <c r="EB258" s="361" t="e">
        <v>#DIV/0!</v>
      </c>
      <c r="EC258" s="361" t="e">
        <v>#DIV/0!</v>
      </c>
      <c r="ED258" s="361" t="n"/>
      <c r="EE258" s="361" t="n"/>
      <c r="EF258" s="361" t="n"/>
    </row>
    <row r="259" customFormat="1" s="359">
      <c r="B259" s="357" t="inlineStr">
        <is>
          <t>08</t>
        </is>
      </c>
      <c r="C259" s="361">
        <f>AVERAGE(C$204:C211)</f>
        <v/>
      </c>
      <c r="D259" s="361">
        <f>AVERAGE(D$204:D211)</f>
        <v/>
      </c>
      <c r="E259" s="361">
        <f>AVERAGE(E$204:E211)</f>
        <v/>
      </c>
      <c r="F259" s="361">
        <f>AVERAGE(F$204:F211)</f>
        <v/>
      </c>
      <c r="G259" s="361">
        <f>AVERAGE(G$204:G211)</f>
        <v/>
      </c>
      <c r="H259" s="361">
        <f>AVERAGE(H$204:H211)</f>
        <v/>
      </c>
      <c r="I259" s="361" t="n"/>
      <c r="J259" s="357" t="inlineStr">
        <is>
          <t>08</t>
        </is>
      </c>
      <c r="K259" s="361">
        <f>AVERAGE(K$204:K211)</f>
        <v/>
      </c>
      <c r="L259" s="361" t="n">
        <v>15.82875</v>
      </c>
      <c r="M259" s="361" t="n">
        <v>16.245</v>
      </c>
      <c r="N259" s="361" t="n">
        <v>14.82625</v>
      </c>
      <c r="O259" s="361" t="n">
        <v>10.12375</v>
      </c>
      <c r="P259" s="361" t="n">
        <v>10.18875025</v>
      </c>
      <c r="R259" s="357" t="inlineStr">
        <is>
          <t>08</t>
        </is>
      </c>
      <c r="S259" s="361">
        <f>AVERAGE(S$204:S211)</f>
        <v/>
      </c>
      <c r="T259" s="361" t="n">
        <v>15.6775</v>
      </c>
      <c r="U259" s="361" t="n">
        <v>16.17625</v>
      </c>
      <c r="V259" s="361" t="n">
        <v>14.905</v>
      </c>
      <c r="W259" s="361" t="n">
        <v>11.43</v>
      </c>
      <c r="X259" s="361" t="n">
        <v>10.24625</v>
      </c>
      <c r="Z259" s="357" t="inlineStr">
        <is>
          <t>08</t>
        </is>
      </c>
      <c r="AA259" s="361">
        <f>AVERAGE(AA$204:AA211)</f>
        <v/>
      </c>
      <c r="AB259" s="361" t="n">
        <v>14.215</v>
      </c>
      <c r="AC259" s="361" t="n">
        <v>14.26125</v>
      </c>
      <c r="AD259" s="361" t="n">
        <v>12.8425</v>
      </c>
      <c r="AE259" s="361" t="n">
        <v>8.949999999999999</v>
      </c>
      <c r="AF259" s="361" t="n">
        <v>8.977499999999999</v>
      </c>
      <c r="AH259" s="357" t="inlineStr">
        <is>
          <t>08</t>
        </is>
      </c>
      <c r="AI259" s="361">
        <f>AVERAGE(AI$204:AI211)</f>
        <v/>
      </c>
      <c r="AJ259" s="361" t="n">
        <v>16.66875</v>
      </c>
      <c r="AK259" s="361" t="n">
        <v>16.6925</v>
      </c>
      <c r="AL259" s="361" t="n">
        <v>15.16125</v>
      </c>
      <c r="AM259" s="361" t="n">
        <v>9.293749999999999</v>
      </c>
      <c r="AN259" s="361" t="n">
        <v>9.806249999999999</v>
      </c>
      <c r="AP259" s="357" t="inlineStr">
        <is>
          <t>08</t>
        </is>
      </c>
      <c r="AQ259" s="361">
        <f>AVERAGE(AQ$204:AQ211)</f>
        <v/>
      </c>
      <c r="AR259" s="361" t="n">
        <v>16.36625</v>
      </c>
      <c r="AS259" s="361" t="n">
        <v>16.44375</v>
      </c>
      <c r="AT259" s="361" t="n">
        <v>14.9975</v>
      </c>
      <c r="AU259" s="361" t="n">
        <v>11.52625</v>
      </c>
      <c r="AV259" s="361" t="e">
        <v>#DIV/0!</v>
      </c>
      <c r="AX259" s="357" t="inlineStr">
        <is>
          <t>08</t>
        </is>
      </c>
      <c r="AY259" s="361">
        <f>AVERAGE(AY$204:AY211)</f>
        <v/>
      </c>
      <c r="AZ259" s="361" t="n">
        <v>18.47</v>
      </c>
      <c r="BA259" s="361" t="n">
        <v>18.6775</v>
      </c>
      <c r="BB259" s="361" t="n">
        <v>16.70875</v>
      </c>
      <c r="BC259" s="361" t="n">
        <v>18.015</v>
      </c>
      <c r="BD259" s="361" t="n"/>
      <c r="BE259" s="361" t="n"/>
      <c r="BF259" s="357" t="inlineStr">
        <is>
          <t>08</t>
        </is>
      </c>
      <c r="BG259" s="361">
        <f>AVERAGE(BG$204:BG211)</f>
        <v/>
      </c>
      <c r="BH259" s="361" t="n">
        <v>17.28875</v>
      </c>
      <c r="BI259" s="361" t="n">
        <v>18.375</v>
      </c>
      <c r="BJ259" s="361" t="n"/>
      <c r="BK259" s="361" t="n"/>
      <c r="BL259" s="361" t="n"/>
      <c r="BM259" s="361" t="n"/>
      <c r="BN259" s="357" t="inlineStr">
        <is>
          <t>08</t>
        </is>
      </c>
      <c r="BO259" s="361">
        <f>AVERAGE(BO$204:BO211)</f>
        <v/>
      </c>
      <c r="BP259" s="361" t="n">
        <v>14.7325</v>
      </c>
      <c r="BQ259" s="361" t="n">
        <v>15.29625</v>
      </c>
      <c r="BR259" s="361" t="n">
        <v>13.5875</v>
      </c>
      <c r="BS259" s="361" t="n">
        <v>11.61875</v>
      </c>
      <c r="BT259" s="361" t="n">
        <v>9.540000000000001</v>
      </c>
      <c r="BV259" s="357" t="inlineStr">
        <is>
          <t>08</t>
        </is>
      </c>
      <c r="BW259" s="361">
        <f>AVERAGE(BW$204:BW211)</f>
        <v/>
      </c>
      <c r="BX259" s="361" t="n">
        <v>16.92</v>
      </c>
      <c r="BY259" s="361" t="n">
        <v>17.9075</v>
      </c>
      <c r="BZ259" s="361" t="n">
        <v>16.765</v>
      </c>
      <c r="CA259" s="361" t="n">
        <v>13.93125</v>
      </c>
      <c r="CB259" s="361" t="n">
        <v>10.98375</v>
      </c>
      <c r="CC259" s="361" t="n"/>
      <c r="CD259" s="357" t="inlineStr">
        <is>
          <t>08</t>
        </is>
      </c>
      <c r="CE259" s="361">
        <f>AVERAGE(CE$204:CE211)</f>
        <v/>
      </c>
      <c r="CF259" s="361" t="n">
        <v>15.055</v>
      </c>
      <c r="CG259" s="361" t="n">
        <v>15.70125</v>
      </c>
      <c r="CH259" s="361" t="n">
        <v>14.6175</v>
      </c>
      <c r="CI259" s="361" t="n">
        <v>11.5025</v>
      </c>
      <c r="CJ259" s="361" t="n">
        <v>9.664999999999999</v>
      </c>
      <c r="CL259" s="357" t="inlineStr">
        <is>
          <t>08</t>
        </is>
      </c>
      <c r="CM259" s="361">
        <f>AVERAGE(CM$204:CM211)</f>
        <v/>
      </c>
      <c r="CN259" s="361" t="n">
        <v>16.06875</v>
      </c>
      <c r="CO259" s="361" t="n">
        <v>17.66875</v>
      </c>
      <c r="CP259" s="361" t="n">
        <v>16.38</v>
      </c>
      <c r="CQ259" s="361" t="n">
        <v>11.725</v>
      </c>
      <c r="CR259" s="361" t="n">
        <v>11.01</v>
      </c>
      <c r="CT259" s="357" t="inlineStr">
        <is>
          <t>08</t>
        </is>
      </c>
      <c r="CU259" s="361">
        <f>AVERAGE(CU$204:CU211)</f>
        <v/>
      </c>
      <c r="CV259" s="361" t="n">
        <v>13.9375</v>
      </c>
      <c r="CW259" s="361" t="e">
        <v>#DIV/0!</v>
      </c>
      <c r="CX259" s="361" t="n"/>
      <c r="CY259" s="361" t="n"/>
      <c r="CZ259" s="361" t="n"/>
      <c r="DB259" s="357" t="inlineStr">
        <is>
          <t>08</t>
        </is>
      </c>
      <c r="DC259" s="361">
        <f>AVERAGE(DC$204:DC211)</f>
        <v/>
      </c>
      <c r="DD259" s="361" t="n">
        <v>16.83</v>
      </c>
      <c r="DE259" s="361" t="e">
        <v>#DIV/0!</v>
      </c>
      <c r="DF259" s="361" t="n"/>
      <c r="DG259" s="361" t="n"/>
      <c r="DH259" s="361" t="n"/>
      <c r="DI259" s="361" t="n"/>
      <c r="DJ259" s="357" t="inlineStr">
        <is>
          <t>08</t>
        </is>
      </c>
      <c r="DK259" s="361">
        <f>AVERAGE(DK$204:DK211)</f>
        <v/>
      </c>
      <c r="DL259" s="361" t="n">
        <v>10.80125</v>
      </c>
      <c r="DM259" s="361" t="e">
        <v>#DIV/0!</v>
      </c>
      <c r="DN259" s="361" t="n"/>
      <c r="DO259" s="361" t="n"/>
      <c r="DP259" s="361" t="n"/>
      <c r="DR259" s="357" t="inlineStr">
        <is>
          <t>08</t>
        </is>
      </c>
      <c r="DS259" s="361">
        <f>AVERAGE(DS$204:DS211)</f>
        <v/>
      </c>
      <c r="DT259" s="361" t="n">
        <v>15.14125</v>
      </c>
      <c r="DU259" s="361" t="e">
        <v>#DIV/0!</v>
      </c>
      <c r="DV259" s="361" t="n"/>
      <c r="DW259" s="361" t="n"/>
      <c r="DX259" s="361" t="n"/>
      <c r="DZ259" s="357" t="inlineStr">
        <is>
          <t>08</t>
        </is>
      </c>
      <c r="EA259" s="361">
        <f>AVERAGE(EA$204:EA211)</f>
        <v/>
      </c>
      <c r="EB259" s="361" t="n">
        <v>19.41</v>
      </c>
      <c r="EC259" s="361" t="e">
        <v>#DIV/0!</v>
      </c>
      <c r="ED259" s="361" t="n"/>
      <c r="EE259" s="361" t="n"/>
      <c r="EF259" s="361" t="n"/>
    </row>
    <row r="260" customFormat="1" s="359">
      <c r="B260" s="357" t="inlineStr">
        <is>
          <t>09</t>
        </is>
      </c>
      <c r="C260" s="361">
        <f>AVERAGE(C$204:C212)</f>
        <v/>
      </c>
      <c r="D260" s="361">
        <f>AVERAGE(D$204:D212)</f>
        <v/>
      </c>
      <c r="E260" s="361">
        <f>AVERAGE(E$204:E212)</f>
        <v/>
      </c>
      <c r="F260" s="361">
        <f>AVERAGE(F$204:F212)</f>
        <v/>
      </c>
      <c r="G260" s="361">
        <f>AVERAGE(G$204:G212)</f>
        <v/>
      </c>
      <c r="H260" s="361">
        <f>AVERAGE(H$204:H212)</f>
        <v/>
      </c>
      <c r="I260" s="361" t="n"/>
      <c r="J260" s="357" t="inlineStr">
        <is>
          <t>09</t>
        </is>
      </c>
      <c r="K260" s="361">
        <f>AVERAGE(K$204:K212)</f>
        <v/>
      </c>
      <c r="L260" s="361" t="n">
        <v>15.78111111111111</v>
      </c>
      <c r="M260" s="361" t="n">
        <v>16.17888888888889</v>
      </c>
      <c r="N260" s="361" t="n">
        <v>14.71222222222223</v>
      </c>
      <c r="O260" s="361" t="n">
        <v>10.52222222222222</v>
      </c>
      <c r="P260" s="361" t="n">
        <v>10.467778</v>
      </c>
      <c r="R260" s="357" t="inlineStr">
        <is>
          <t>09</t>
        </is>
      </c>
      <c r="S260" s="361">
        <f>AVERAGE(S$204:S212)</f>
        <v/>
      </c>
      <c r="T260" s="361" t="n">
        <v>15.59777777777778</v>
      </c>
      <c r="U260" s="361" t="n">
        <v>16.09444444444444</v>
      </c>
      <c r="V260" s="361" t="n">
        <v>14.82333333333333</v>
      </c>
      <c r="W260" s="361" t="n">
        <v>11.74666666666667</v>
      </c>
      <c r="X260" s="361" t="n">
        <v>10.53888888888889</v>
      </c>
      <c r="Z260" s="357" t="inlineStr">
        <is>
          <t>09</t>
        </is>
      </c>
      <c r="AA260" s="361">
        <f>AVERAGE(AA$204:AA212)</f>
        <v/>
      </c>
      <c r="AB260" s="361" t="n">
        <v>14.10888888888889</v>
      </c>
      <c r="AC260" s="361" t="n">
        <v>14.19222222222222</v>
      </c>
      <c r="AD260" s="361" t="n">
        <v>12.78444444444444</v>
      </c>
      <c r="AE260" s="361" t="n">
        <v>9.307777777777778</v>
      </c>
      <c r="AF260" s="361" t="n">
        <v>9.247777777777777</v>
      </c>
      <c r="AH260" s="357" t="inlineStr">
        <is>
          <t>09</t>
        </is>
      </c>
      <c r="AI260" s="361">
        <f>AVERAGE(AI$204:AI212)</f>
        <v/>
      </c>
      <c r="AJ260" s="361" t="n">
        <v>16.58888888888889</v>
      </c>
      <c r="AK260" s="361" t="n">
        <v>16.64333333333333</v>
      </c>
      <c r="AL260" s="361" t="n">
        <v>15.11222222222222</v>
      </c>
      <c r="AM260" s="361" t="n">
        <v>9.853333333333332</v>
      </c>
      <c r="AN260" s="361" t="n">
        <v>10.07888888888889</v>
      </c>
      <c r="AP260" s="357" t="inlineStr">
        <is>
          <t>09</t>
        </is>
      </c>
      <c r="AQ260" s="361">
        <f>AVERAGE(AQ$204:AQ212)</f>
        <v/>
      </c>
      <c r="AR260" s="361" t="n">
        <v>16.36222222222222</v>
      </c>
      <c r="AS260" s="361" t="n">
        <v>16.40444444444445</v>
      </c>
      <c r="AT260" s="361" t="n">
        <v>14.99222222222222</v>
      </c>
      <c r="AU260" s="361" t="n">
        <v>11.86222222222222</v>
      </c>
      <c r="AV260" s="361" t="e">
        <v>#DIV/0!</v>
      </c>
      <c r="AX260" s="357" t="inlineStr">
        <is>
          <t>09</t>
        </is>
      </c>
      <c r="AY260" s="361">
        <f>AVERAGE(AY$204:AY212)</f>
        <v/>
      </c>
      <c r="AZ260" s="361" t="n">
        <v>18.36444444444444</v>
      </c>
      <c r="BA260" s="361" t="n">
        <v>18.70222222222222</v>
      </c>
      <c r="BB260" s="361" t="n">
        <v>16.67333333333333</v>
      </c>
      <c r="BC260" s="361" t="n">
        <v>17.23333333333333</v>
      </c>
      <c r="BD260" s="361" t="n"/>
      <c r="BE260" s="361" t="n"/>
      <c r="BF260" s="357" t="inlineStr">
        <is>
          <t>09</t>
        </is>
      </c>
      <c r="BG260" s="361">
        <f>AVERAGE(BG$204:BG212)</f>
        <v/>
      </c>
      <c r="BH260" s="361" t="n">
        <v>17.13666666666666</v>
      </c>
      <c r="BI260" s="361" t="n">
        <v>18.25666666666667</v>
      </c>
      <c r="BJ260" s="361" t="n"/>
      <c r="BK260" s="361" t="n"/>
      <c r="BL260" s="361" t="n"/>
      <c r="BM260" s="361" t="n"/>
      <c r="BN260" s="357" t="inlineStr">
        <is>
          <t>09</t>
        </is>
      </c>
      <c r="BO260" s="361">
        <f>AVERAGE(BO$204:BO211)</f>
        <v/>
      </c>
      <c r="BP260" s="361" t="n">
        <v>14.7325</v>
      </c>
      <c r="BQ260" s="361" t="n">
        <v>15.29625</v>
      </c>
      <c r="BR260" s="361" t="n">
        <v>13.5875</v>
      </c>
      <c r="BS260" s="361" t="n">
        <v>11.58777777777778</v>
      </c>
      <c r="BT260" s="361" t="n">
        <v>9.661111111111111</v>
      </c>
      <c r="BV260" s="357" t="inlineStr">
        <is>
          <t>09</t>
        </is>
      </c>
      <c r="BW260" s="361">
        <f>AVERAGE(BW$204:BW212)</f>
        <v/>
      </c>
      <c r="BX260" s="361" t="n">
        <v>16.80222222222222</v>
      </c>
      <c r="BY260" s="361" t="n">
        <v>17.81222222222222</v>
      </c>
      <c r="BZ260" s="361" t="n">
        <v>16.60111111111111</v>
      </c>
      <c r="CA260" s="361" t="n">
        <v>14.03555555555556</v>
      </c>
      <c r="CB260" s="361" t="n">
        <v>11.28666666666667</v>
      </c>
      <c r="CC260" s="361" t="n"/>
      <c r="CD260" s="357" t="inlineStr">
        <is>
          <t>09</t>
        </is>
      </c>
      <c r="CE260" s="361">
        <f>AVERAGE(CE$204:CE212)</f>
        <v/>
      </c>
      <c r="CF260" s="361" t="n">
        <v>14.87111111111111</v>
      </c>
      <c r="CG260" s="361" t="n">
        <v>15.66888888888889</v>
      </c>
      <c r="CH260" s="361" t="n">
        <v>14.51888888888889</v>
      </c>
      <c r="CI260" s="361" t="n">
        <v>11.67666666666667</v>
      </c>
      <c r="CJ260" s="361" t="n">
        <v>9.94</v>
      </c>
      <c r="CL260" s="357" t="inlineStr">
        <is>
          <t>09</t>
        </is>
      </c>
      <c r="CM260" s="361">
        <f>AVERAGE(CM$204:CM212)</f>
        <v/>
      </c>
      <c r="CN260" s="361" t="n">
        <v>16.07111111111111</v>
      </c>
      <c r="CO260" s="361" t="n">
        <v>17.67555555555555</v>
      </c>
      <c r="CP260" s="361" t="n">
        <v>16.32</v>
      </c>
      <c r="CQ260" s="361" t="n">
        <v>12.13333333333333</v>
      </c>
      <c r="CR260" s="361" t="n">
        <v>11.35333333333333</v>
      </c>
      <c r="CT260" s="357" t="inlineStr">
        <is>
          <t>09</t>
        </is>
      </c>
      <c r="CU260" s="361">
        <f>AVERAGE(CU$204:CU211)</f>
        <v/>
      </c>
      <c r="CV260" s="361" t="n">
        <v>13.9375</v>
      </c>
      <c r="CW260" s="361" t="e">
        <v>#DIV/0!</v>
      </c>
      <c r="CX260" s="361" t="n"/>
      <c r="CY260" s="361" t="n"/>
      <c r="CZ260" s="361" t="n"/>
      <c r="DB260" s="357" t="inlineStr">
        <is>
          <t>09</t>
        </is>
      </c>
      <c r="DC260" s="361">
        <f>AVERAGE(DC$204:DC212)</f>
        <v/>
      </c>
      <c r="DD260" s="361" t="n">
        <v>16.77666666666666</v>
      </c>
      <c r="DE260" s="361" t="e">
        <v>#DIV/0!</v>
      </c>
      <c r="DF260" s="361" t="n"/>
      <c r="DG260" s="361" t="n"/>
      <c r="DH260" s="361" t="n"/>
      <c r="DI260" s="361" t="n"/>
      <c r="DJ260" s="357" t="inlineStr">
        <is>
          <t>09</t>
        </is>
      </c>
      <c r="DK260" s="361">
        <f>AVERAGE(DK$204:DK212)</f>
        <v/>
      </c>
      <c r="DL260" s="361" t="n">
        <v>10.73444444444444</v>
      </c>
      <c r="DM260" s="361" t="e">
        <v>#DIV/0!</v>
      </c>
      <c r="DN260" s="361" t="n"/>
      <c r="DO260" s="361" t="n"/>
      <c r="DP260" s="361" t="n"/>
      <c r="DR260" s="357" t="inlineStr">
        <is>
          <t>09</t>
        </is>
      </c>
      <c r="DS260" s="361">
        <f>AVERAGE(DS$204:DS212)</f>
        <v/>
      </c>
      <c r="DT260" s="361" t="n">
        <v>15.05111111111111</v>
      </c>
      <c r="DU260" s="361" t="e">
        <v>#DIV/0!</v>
      </c>
      <c r="DV260" s="361" t="n"/>
      <c r="DW260" s="361" t="n"/>
      <c r="DX260" s="361" t="n"/>
      <c r="DZ260" s="357" t="inlineStr">
        <is>
          <t>09</t>
        </is>
      </c>
      <c r="EA260" s="361">
        <f>AVERAGE(EA$204:EA212)</f>
        <v/>
      </c>
      <c r="EB260" s="361" t="n">
        <v>18.12</v>
      </c>
      <c r="EC260" s="361" t="e">
        <v>#DIV/0!</v>
      </c>
      <c r="ED260" s="361" t="n"/>
      <c r="EE260" s="361" t="n"/>
      <c r="EF260" s="361" t="n"/>
    </row>
    <row r="261" customFormat="1" s="359">
      <c r="B261" s="357" t="inlineStr">
        <is>
          <t>10</t>
        </is>
      </c>
      <c r="C261" s="361">
        <f>AVERAGE(C$204:C213)</f>
        <v/>
      </c>
      <c r="D261" s="361">
        <f>AVERAGE(D$204:D213)</f>
        <v/>
      </c>
      <c r="E261" s="361">
        <f>AVERAGE(E$204:E213)</f>
        <v/>
      </c>
      <c r="F261" s="361">
        <f>AVERAGE(F$204:F213)</f>
        <v/>
      </c>
      <c r="G261" s="361">
        <f>AVERAGE(G$204:G213)</f>
        <v/>
      </c>
      <c r="H261" s="361">
        <f>AVERAGE(H$204:H213)</f>
        <v/>
      </c>
      <c r="I261" s="361" t="n"/>
      <c r="J261" s="357" t="inlineStr">
        <is>
          <t>10</t>
        </is>
      </c>
      <c r="K261" s="361">
        <f>AVERAGE(K$204:K213)</f>
        <v/>
      </c>
      <c r="L261" s="361" t="n">
        <v>15.738</v>
      </c>
      <c r="M261" s="361" t="n">
        <v>16.178</v>
      </c>
      <c r="N261" s="361" t="n">
        <v>14.727</v>
      </c>
      <c r="O261" s="361" t="n">
        <v>10.923</v>
      </c>
      <c r="P261" s="361" t="n">
        <v>10.6350002</v>
      </c>
      <c r="R261" s="357" t="inlineStr">
        <is>
          <t>10</t>
        </is>
      </c>
      <c r="S261" s="361">
        <f>AVERAGE(S$204:S213)</f>
        <v/>
      </c>
      <c r="T261" s="361" t="n">
        <v>15.579</v>
      </c>
      <c r="U261" s="361" t="n">
        <v>16.074</v>
      </c>
      <c r="V261" s="361" t="n">
        <v>14.803</v>
      </c>
      <c r="W261" s="361" t="n">
        <v>11.971</v>
      </c>
      <c r="X261" s="361" t="n">
        <v>10.703</v>
      </c>
      <c r="Z261" s="357" t="inlineStr">
        <is>
          <t>10</t>
        </is>
      </c>
      <c r="AA261" s="361">
        <f>AVERAGE(AA$204:AA213)</f>
        <v/>
      </c>
      <c r="AB261" s="361" t="n">
        <v>14.043</v>
      </c>
      <c r="AC261" s="361" t="n">
        <v>14.136</v>
      </c>
      <c r="AD261" s="361" t="n">
        <v>12.824</v>
      </c>
      <c r="AE261" s="361" t="n">
        <v>9.645999999999999</v>
      </c>
      <c r="AF261" s="361" t="n">
        <v>9.407999999999998</v>
      </c>
      <c r="AH261" s="357" t="inlineStr">
        <is>
          <t>10</t>
        </is>
      </c>
      <c r="AI261" s="361">
        <f>AVERAGE(AI$204:AI213)</f>
        <v/>
      </c>
      <c r="AJ261" s="361" t="n">
        <v>16.527</v>
      </c>
      <c r="AK261" s="361" t="n">
        <v>16.635</v>
      </c>
      <c r="AL261" s="361" t="n">
        <v>15.166</v>
      </c>
      <c r="AM261" s="361" t="n">
        <v>10.308</v>
      </c>
      <c r="AN261" s="361" t="n">
        <v>10.252</v>
      </c>
      <c r="AP261" s="357" t="inlineStr">
        <is>
          <t>10</t>
        </is>
      </c>
      <c r="AQ261" s="361">
        <f>AVERAGE(AQ$204:AQ213)</f>
        <v/>
      </c>
      <c r="AR261" s="361" t="n">
        <v>16.336</v>
      </c>
      <c r="AS261" s="361" t="n">
        <v>16.411</v>
      </c>
      <c r="AT261" s="361" t="n">
        <v>15.04</v>
      </c>
      <c r="AU261" s="361" t="n">
        <v>12.169</v>
      </c>
      <c r="AV261" s="361" t="e">
        <v>#DIV/0!</v>
      </c>
      <c r="AX261" s="357" t="inlineStr">
        <is>
          <t>10</t>
        </is>
      </c>
      <c r="AY261" s="361">
        <f>AVERAGE(AY$204:AY213)</f>
        <v/>
      </c>
      <c r="AZ261" s="361" t="n">
        <v>18.288</v>
      </c>
      <c r="BA261" s="361" t="n">
        <v>18.707</v>
      </c>
      <c r="BB261" s="361" t="n">
        <v>16.727</v>
      </c>
      <c r="BC261" s="361" t="n">
        <v>16.86</v>
      </c>
      <c r="BD261" s="361" t="n"/>
      <c r="BE261" s="361" t="n"/>
      <c r="BF261" s="357" t="inlineStr">
        <is>
          <t>10</t>
        </is>
      </c>
      <c r="BG261" s="361">
        <f>AVERAGE(BG$204:BG213)</f>
        <v/>
      </c>
      <c r="BH261" s="361" t="n">
        <v>17.03299999999999</v>
      </c>
      <c r="BI261" s="361" t="n">
        <v>18.21</v>
      </c>
      <c r="BJ261" s="361" t="n"/>
      <c r="BK261" s="361" t="n"/>
      <c r="BL261" s="361" t="n"/>
      <c r="BM261" s="361" t="n"/>
      <c r="BN261" s="357" t="inlineStr">
        <is>
          <t>10</t>
        </is>
      </c>
      <c r="BO261" s="361">
        <f>AVERAGE(BO$204:BO213)</f>
        <v/>
      </c>
      <c r="BP261" s="361" t="n">
        <v>14.534</v>
      </c>
      <c r="BQ261" s="361" t="n">
        <v>15.052</v>
      </c>
      <c r="BR261" s="361" t="n">
        <v>13.427</v>
      </c>
      <c r="BS261" s="361" t="n">
        <v>11.636</v>
      </c>
      <c r="BT261" s="361" t="n">
        <v>9.853</v>
      </c>
      <c r="BV261" s="357" t="inlineStr">
        <is>
          <t>10</t>
        </is>
      </c>
      <c r="BW261" s="361">
        <f>AVERAGE(BW$204:BW213)</f>
        <v/>
      </c>
      <c r="BX261" s="361" t="n">
        <v>16.724</v>
      </c>
      <c r="BY261" s="361" t="n">
        <v>17.758</v>
      </c>
      <c r="BZ261" s="361" t="n">
        <v>16.559</v>
      </c>
      <c r="CA261" s="361" t="n">
        <v>14.196</v>
      </c>
      <c r="CB261" s="361" t="n">
        <v>11.465</v>
      </c>
      <c r="CC261" s="361" t="n"/>
      <c r="CD261" s="357" t="inlineStr">
        <is>
          <t>10</t>
        </is>
      </c>
      <c r="CE261" s="361">
        <f>AVERAGE(CE$204:CE213)</f>
        <v/>
      </c>
      <c r="CF261" s="361" t="n">
        <v>14.749</v>
      </c>
      <c r="CG261" s="361" t="n">
        <v>15.644</v>
      </c>
      <c r="CH261" s="361" t="n">
        <v>14.54</v>
      </c>
      <c r="CI261" s="361" t="n">
        <v>11.875</v>
      </c>
      <c r="CJ261" s="361" t="n">
        <v>10.073</v>
      </c>
      <c r="CL261" s="357" t="inlineStr">
        <is>
          <t>10</t>
        </is>
      </c>
      <c r="CM261" s="361">
        <f>AVERAGE(CM$204:CM213)</f>
        <v/>
      </c>
      <c r="CN261" s="361" t="n">
        <v>16.076</v>
      </c>
      <c r="CO261" s="361" t="n">
        <v>17.717</v>
      </c>
      <c r="CP261" s="361" t="n">
        <v>16.36</v>
      </c>
      <c r="CQ261" s="361" t="n">
        <v>12.484</v>
      </c>
      <c r="CR261" s="361" t="n">
        <v>11.59</v>
      </c>
      <c r="CT261" s="357" t="inlineStr">
        <is>
          <t>10</t>
        </is>
      </c>
      <c r="CU261" s="361">
        <f>AVERAGE(CU$204:CU213)</f>
        <v/>
      </c>
      <c r="CV261" s="361" t="n">
        <v>13.86</v>
      </c>
      <c r="CW261" s="361" t="e">
        <v>#DIV/0!</v>
      </c>
      <c r="CX261" s="361" t="n"/>
      <c r="CY261" s="361" t="n"/>
      <c r="CZ261" s="361" t="n"/>
      <c r="DB261" s="357" t="inlineStr">
        <is>
          <t>10</t>
        </is>
      </c>
      <c r="DC261" s="361">
        <f>AVERAGE(DC$204:DC213)</f>
        <v/>
      </c>
      <c r="DD261" s="361" t="n">
        <v>16.699</v>
      </c>
      <c r="DE261" s="361" t="e">
        <v>#DIV/0!</v>
      </c>
      <c r="DF261" s="361" t="n"/>
      <c r="DG261" s="361" t="n"/>
      <c r="DH261" s="361" t="n"/>
      <c r="DI261" s="361" t="n"/>
      <c r="DJ261" s="357" t="inlineStr">
        <is>
          <t>10</t>
        </is>
      </c>
      <c r="DK261" s="361">
        <f>AVERAGE(DK$204:DK213)</f>
        <v/>
      </c>
      <c r="DL261" s="361" t="n">
        <v>10.701</v>
      </c>
      <c r="DM261" s="361" t="e">
        <v>#DIV/0!</v>
      </c>
      <c r="DN261" s="361" t="n"/>
      <c r="DO261" s="361" t="n"/>
      <c r="DP261" s="361" t="n"/>
      <c r="DR261" s="357" t="inlineStr">
        <is>
          <t>10</t>
        </is>
      </c>
      <c r="DS261" s="361">
        <f>AVERAGE(DS$204:DS213)</f>
        <v/>
      </c>
      <c r="DT261" s="361" t="n">
        <v>15.016</v>
      </c>
      <c r="DU261" s="361" t="e">
        <v>#DIV/0!</v>
      </c>
      <c r="DV261" s="361" t="n"/>
      <c r="DW261" s="361" t="n"/>
      <c r="DX261" s="361" t="n"/>
      <c r="DZ261" s="357" t="inlineStr">
        <is>
          <t>10</t>
        </is>
      </c>
      <c r="EA261" s="361">
        <f>AVERAGE(EA$204:EA213)</f>
        <v/>
      </c>
      <c r="EB261" s="361" t="n">
        <v>17.6</v>
      </c>
      <c r="EC261" s="361" t="e">
        <v>#DIV/0!</v>
      </c>
      <c r="ED261" s="361" t="n"/>
      <c r="EE261" s="361" t="n"/>
      <c r="EF261" s="361" t="n"/>
    </row>
    <row r="262" customFormat="1" s="359">
      <c r="B262" s="357" t="inlineStr">
        <is>
          <t>11</t>
        </is>
      </c>
      <c r="C262" s="361">
        <f>AVERAGE(C$204:C214)</f>
        <v/>
      </c>
      <c r="D262" s="361">
        <f>AVERAGE(D$204:D214)</f>
        <v/>
      </c>
      <c r="E262" s="361">
        <f>AVERAGE(E$204:E214)</f>
        <v/>
      </c>
      <c r="F262" s="361">
        <f>AVERAGE(F$204:F214)</f>
        <v/>
      </c>
      <c r="G262" s="361">
        <f>AVERAGE(G$204:G214)</f>
        <v/>
      </c>
      <c r="H262" s="361">
        <f>AVERAGE(H$204:H214)</f>
        <v/>
      </c>
      <c r="I262" s="361" t="n"/>
      <c r="J262" s="357" t="inlineStr">
        <is>
          <t>11</t>
        </is>
      </c>
      <c r="K262" s="361">
        <f>AVERAGE(K$204:K214)</f>
        <v/>
      </c>
      <c r="L262" s="361" t="n">
        <v>15.78272727272727</v>
      </c>
      <c r="M262" s="361" t="n">
        <v>16.13181818181818</v>
      </c>
      <c r="N262" s="361" t="n">
        <v>14.75909090909091</v>
      </c>
      <c r="O262" s="361" t="n">
        <v>11.16181818181818</v>
      </c>
      <c r="P262" s="361" t="n">
        <v>9.668182</v>
      </c>
      <c r="R262" s="357" t="inlineStr">
        <is>
          <t>11</t>
        </is>
      </c>
      <c r="S262" s="361">
        <f>AVERAGE(S$204:S214)</f>
        <v/>
      </c>
      <c r="T262" s="361" t="n">
        <v>15.63090909090909</v>
      </c>
      <c r="U262" s="361" t="n">
        <v>16.02727272727273</v>
      </c>
      <c r="V262" s="361" t="n">
        <v>14.77</v>
      </c>
      <c r="W262" s="361" t="n">
        <v>12.10181818181818</v>
      </c>
      <c r="X262" s="361" t="n">
        <v>10.13818181818182</v>
      </c>
      <c r="Z262" s="357" t="inlineStr">
        <is>
          <t>11</t>
        </is>
      </c>
      <c r="AA262" s="361">
        <f>AVERAGE(AA$204:AA214)</f>
        <v/>
      </c>
      <c r="AB262" s="361" t="n">
        <v>14.09454545454545</v>
      </c>
      <c r="AC262" s="361" t="n">
        <v>14.15454545454546</v>
      </c>
      <c r="AD262" s="361" t="n">
        <v>12.83090909090909</v>
      </c>
      <c r="AE262" s="361" t="n">
        <v>9.853636363636362</v>
      </c>
      <c r="AF262" s="361" t="n">
        <v>8.552727272727271</v>
      </c>
      <c r="AH262" s="357" t="inlineStr">
        <is>
          <t>11</t>
        </is>
      </c>
      <c r="AI262" s="361">
        <f>AVERAGE(AI$204:AI214)</f>
        <v/>
      </c>
      <c r="AJ262" s="361" t="n">
        <v>16.57363636363636</v>
      </c>
      <c r="AK262" s="361" t="n">
        <v>16.62727272727273</v>
      </c>
      <c r="AL262" s="361" t="n">
        <v>15.17454545454546</v>
      </c>
      <c r="AM262" s="361" t="n">
        <v>10.60545454545455</v>
      </c>
      <c r="AN262" s="361" t="n">
        <v>9.512727272727274</v>
      </c>
      <c r="AP262" s="357" t="inlineStr">
        <is>
          <t>11</t>
        </is>
      </c>
      <c r="AQ262" s="361">
        <f>AVERAGE(AQ$204:AQ214)</f>
        <v/>
      </c>
      <c r="AR262" s="361" t="n">
        <v>16.39181818181818</v>
      </c>
      <c r="AS262" s="361" t="n">
        <v>16.41636363636364</v>
      </c>
      <c r="AT262" s="361" t="n">
        <v>15.05272727272727</v>
      </c>
      <c r="AU262" s="361" t="n">
        <v>12.34545454545455</v>
      </c>
      <c r="AV262" s="361" t="e">
        <v>#DIV/0!</v>
      </c>
      <c r="AX262" s="357" t="inlineStr">
        <is>
          <t>11</t>
        </is>
      </c>
      <c r="AY262" s="361">
        <f>AVERAGE(AY$204:AY214)</f>
        <v/>
      </c>
      <c r="AZ262" s="361" t="n">
        <v>18.34181818181818</v>
      </c>
      <c r="BA262" s="361" t="n">
        <v>18.70090909090909</v>
      </c>
      <c r="BB262" s="361" t="n">
        <v>16.73363636363636</v>
      </c>
      <c r="BC262" s="361" t="n">
        <v>16.426</v>
      </c>
      <c r="BD262" s="361" t="n"/>
      <c r="BE262" s="361" t="n"/>
      <c r="BF262" s="357" t="inlineStr">
        <is>
          <t>11</t>
        </is>
      </c>
      <c r="BG262" s="361">
        <f>AVERAGE(BG$204:BG214)</f>
        <v/>
      </c>
      <c r="BH262" s="361" t="n">
        <v>17.02545454545454</v>
      </c>
      <c r="BI262" s="361" t="n">
        <v>18.08727272727273</v>
      </c>
      <c r="BJ262" s="361" t="n"/>
      <c r="BK262" s="361" t="n"/>
      <c r="BL262" s="361" t="n"/>
      <c r="BM262" s="361" t="n"/>
      <c r="BN262" s="357" t="inlineStr">
        <is>
          <t>11</t>
        </is>
      </c>
      <c r="BO262" s="361">
        <f>AVERAGE(BO$204:BO214)</f>
        <v/>
      </c>
      <c r="BP262" s="361" t="n">
        <v>14.50090909090909</v>
      </c>
      <c r="BQ262" s="361" t="n">
        <v>14.89181818181818</v>
      </c>
      <c r="BR262" s="361" t="n">
        <v>13.40454545454545</v>
      </c>
      <c r="BS262" s="361" t="n">
        <v>11.53090909090909</v>
      </c>
      <c r="BT262" s="361" t="n">
        <v>9.109090909090909</v>
      </c>
      <c r="BV262" s="357" t="inlineStr">
        <is>
          <t>11</t>
        </is>
      </c>
      <c r="BW262" s="361">
        <f>AVERAGE(BW$204:BW214)</f>
        <v/>
      </c>
      <c r="BX262" s="361" t="n">
        <v>16.67909090909091</v>
      </c>
      <c r="BY262" s="361" t="n">
        <v>17.60272727272728</v>
      </c>
      <c r="BZ262" s="361" t="n">
        <v>16.46454545454545</v>
      </c>
      <c r="CA262" s="361" t="n">
        <v>14.21545454545455</v>
      </c>
      <c r="CB262" s="361" t="n">
        <v>11.37818181818182</v>
      </c>
      <c r="CC262" s="361" t="n"/>
      <c r="CD262" s="357" t="inlineStr">
        <is>
          <t>11</t>
        </is>
      </c>
      <c r="CE262" s="361">
        <f>AVERAGE(CE$204:CE214)</f>
        <v/>
      </c>
      <c r="CF262" s="361" t="n">
        <v>14.67545454545455</v>
      </c>
      <c r="CG262" s="361" t="n">
        <v>15.55181818181818</v>
      </c>
      <c r="CH262" s="361" t="n">
        <v>14.51727272727272</v>
      </c>
      <c r="CI262" s="361" t="n">
        <v>11.96181818181818</v>
      </c>
      <c r="CJ262" s="361" t="n">
        <v>9.239090909090908</v>
      </c>
      <c r="CL262" s="357" t="inlineStr">
        <is>
          <t>11</t>
        </is>
      </c>
      <c r="CM262" s="361">
        <f>AVERAGE(CM$204:CM214)</f>
        <v/>
      </c>
      <c r="CN262" s="361" t="n">
        <v>16.16454545454546</v>
      </c>
      <c r="CO262" s="361" t="n">
        <v>17.68454545454545</v>
      </c>
      <c r="CP262" s="361" t="n">
        <v>16.34727272727273</v>
      </c>
      <c r="CQ262" s="361" t="n">
        <v>12.71818181818182</v>
      </c>
      <c r="CR262" s="361" t="n">
        <v>10.88090909090909</v>
      </c>
      <c r="CT262" s="357" t="inlineStr">
        <is>
          <t>11</t>
        </is>
      </c>
      <c r="CU262" s="361">
        <f>AVERAGE(CU$204:CU214)</f>
        <v/>
      </c>
      <c r="CV262" s="361" t="n">
        <v>13.88181818181818</v>
      </c>
      <c r="CW262" s="361" t="e">
        <v>#DIV/0!</v>
      </c>
      <c r="CX262" s="361" t="n"/>
      <c r="CY262" s="361" t="n"/>
      <c r="CZ262" s="361" t="n"/>
      <c r="DB262" s="357" t="inlineStr">
        <is>
          <t>11</t>
        </is>
      </c>
      <c r="DC262" s="361">
        <f>AVERAGE(DC$204:DC214)</f>
        <v/>
      </c>
      <c r="DD262" s="361" t="n">
        <v>16.72818181818182</v>
      </c>
      <c r="DE262" s="361" t="e">
        <v>#DIV/0!</v>
      </c>
      <c r="DF262" s="361" t="n"/>
      <c r="DG262" s="361" t="n"/>
      <c r="DH262" s="361" t="n"/>
      <c r="DI262" s="361" t="n"/>
      <c r="DJ262" s="357" t="inlineStr">
        <is>
          <t>11</t>
        </is>
      </c>
      <c r="DK262" s="361">
        <f>AVERAGE(DK$204:DK214)</f>
        <v/>
      </c>
      <c r="DL262" s="361" t="n">
        <v>10.68636363636364</v>
      </c>
      <c r="DM262" s="361" t="e">
        <v>#DIV/0!</v>
      </c>
      <c r="DN262" s="361" t="n"/>
      <c r="DO262" s="361" t="n"/>
      <c r="DP262" s="361" t="n"/>
      <c r="DR262" s="357" t="inlineStr">
        <is>
          <t>11</t>
        </is>
      </c>
      <c r="DS262" s="361">
        <f>AVERAGE(DS$204:DS214)</f>
        <v/>
      </c>
      <c r="DT262" s="361" t="n">
        <v>15.03090909090909</v>
      </c>
      <c r="DU262" s="361" t="e">
        <v>#DIV/0!</v>
      </c>
      <c r="DV262" s="361" t="n"/>
      <c r="DW262" s="361" t="n"/>
      <c r="DX262" s="361" t="n"/>
      <c r="DZ262" s="357" t="inlineStr">
        <is>
          <t>11</t>
        </is>
      </c>
      <c r="EA262" s="361">
        <f>AVERAGE(EA$204:EA214)</f>
        <v/>
      </c>
      <c r="EB262" s="361" t="n">
        <v>17.3725</v>
      </c>
      <c r="EC262" s="361" t="e">
        <v>#DIV/0!</v>
      </c>
      <c r="ED262" s="361" t="n"/>
      <c r="EE262" s="361" t="n"/>
      <c r="EF262" s="361" t="n"/>
    </row>
    <row r="263" customFormat="1" s="359">
      <c r="B263" s="357" t="inlineStr">
        <is>
          <t>12</t>
        </is>
      </c>
      <c r="C263" s="361">
        <f>AVERAGE(C$204:C215)</f>
        <v/>
      </c>
      <c r="D263" s="361">
        <f>AVERAGE(D$204:D215)</f>
        <v/>
      </c>
      <c r="E263" s="361">
        <f>AVERAGE(E$204:E215)</f>
        <v/>
      </c>
      <c r="F263" s="361">
        <f>AVERAGE(F$204:F215)</f>
        <v/>
      </c>
      <c r="G263" s="361">
        <f>AVERAGE(G$204:G215)</f>
        <v/>
      </c>
      <c r="H263" s="361">
        <f>AVERAGE(H$204:H215)</f>
        <v/>
      </c>
      <c r="I263" s="361" t="n"/>
      <c r="J263" s="357" t="inlineStr">
        <is>
          <t>12</t>
        </is>
      </c>
      <c r="K263" s="361">
        <f>AVERAGE(K$204:K215)</f>
        <v/>
      </c>
      <c r="L263" s="361" t="n">
        <v>15.85916666666666</v>
      </c>
      <c r="M263" s="361" t="n">
        <v>16.18166666666667</v>
      </c>
      <c r="N263" s="361" t="n">
        <v>14.90166666666667</v>
      </c>
      <c r="O263" s="361" t="n">
        <v>11.465</v>
      </c>
      <c r="P263" s="361" t="n">
        <v>9.299166833333333</v>
      </c>
      <c r="R263" s="357" t="inlineStr">
        <is>
          <t>12</t>
        </is>
      </c>
      <c r="S263" s="361">
        <f>AVERAGE(S$204:S215)</f>
        <v/>
      </c>
      <c r="T263" s="361" t="n">
        <v>15.68166666666667</v>
      </c>
      <c r="U263" s="361" t="n">
        <v>16.09583333333333</v>
      </c>
      <c r="V263" s="361" t="n">
        <v>14.82833333333333</v>
      </c>
      <c r="W263" s="361" t="n">
        <v>12.305</v>
      </c>
      <c r="X263" s="361" t="n">
        <v>9.942500000000001</v>
      </c>
      <c r="Z263" s="357" t="inlineStr">
        <is>
          <t>12</t>
        </is>
      </c>
      <c r="AA263" s="361">
        <f>AVERAGE(AA$204:AA215)</f>
        <v/>
      </c>
      <c r="AB263" s="361" t="n">
        <v>14.11833333333333</v>
      </c>
      <c r="AC263" s="361" t="n">
        <v>14.19333333333334</v>
      </c>
      <c r="AD263" s="361" t="n">
        <v>12.91166666666667</v>
      </c>
      <c r="AE263" s="361" t="n">
        <v>10.1125</v>
      </c>
      <c r="AF263" s="361" t="n">
        <v>8.104166666666666</v>
      </c>
      <c r="AH263" s="357" t="inlineStr">
        <is>
          <t>12</t>
        </is>
      </c>
      <c r="AI263" s="361">
        <f>AVERAGE(AI$204:AI215)</f>
        <v/>
      </c>
      <c r="AJ263" s="361" t="n">
        <v>16.675</v>
      </c>
      <c r="AK263" s="361" t="n">
        <v>16.6725</v>
      </c>
      <c r="AL263" s="361" t="n">
        <v>15.27</v>
      </c>
      <c r="AM263" s="361" t="n">
        <v>10.9575</v>
      </c>
      <c r="AN263" s="361" t="n">
        <v>8.943333333333333</v>
      </c>
      <c r="AP263" s="357" t="inlineStr">
        <is>
          <t>12</t>
        </is>
      </c>
      <c r="AQ263" s="361">
        <f>AVERAGE(AQ$204:AQ215)</f>
        <v/>
      </c>
      <c r="AR263" s="361" t="n">
        <v>16.44333333333333</v>
      </c>
      <c r="AS263" s="361" t="n">
        <v>16.47333333333333</v>
      </c>
      <c r="AT263" s="361" t="n">
        <v>15.165</v>
      </c>
      <c r="AU263" s="361" t="n">
        <v>12.57166666666667</v>
      </c>
      <c r="AV263" s="361" t="e">
        <v>#DIV/0!</v>
      </c>
      <c r="AX263" s="357" t="inlineStr">
        <is>
          <t>12</t>
        </is>
      </c>
      <c r="AY263" s="361">
        <f>AVERAGE(AY$204:AY215)</f>
        <v/>
      </c>
      <c r="AZ263" s="361" t="n">
        <v>18.42416666666666</v>
      </c>
      <c r="BA263" s="361" t="n">
        <v>18.74333333333333</v>
      </c>
      <c r="BB263" s="361" t="n">
        <v>16.86</v>
      </c>
      <c r="BC263" s="361" t="n">
        <v>16.22666666666667</v>
      </c>
      <c r="BD263" s="361" t="n"/>
      <c r="BE263" s="361" t="n"/>
      <c r="BF263" s="357" t="inlineStr">
        <is>
          <t>12</t>
        </is>
      </c>
      <c r="BG263" s="361">
        <f>AVERAGE(BG$204:BG215)</f>
        <v/>
      </c>
      <c r="BH263" s="361" t="n">
        <v>17.01416666666666</v>
      </c>
      <c r="BI263" s="361" t="n">
        <v>18.06583333333333</v>
      </c>
      <c r="BJ263" s="361" t="n"/>
      <c r="BK263" s="361" t="n"/>
      <c r="BL263" s="361" t="n"/>
      <c r="BM263" s="361" t="n"/>
      <c r="BN263" s="357" t="inlineStr">
        <is>
          <t>12</t>
        </is>
      </c>
      <c r="BO263" s="361">
        <f>AVERAGE(BO$204:BO215)</f>
        <v/>
      </c>
      <c r="BP263" s="361" t="n">
        <v>14.48083333333333</v>
      </c>
      <c r="BQ263" s="361" t="n">
        <v>14.87166666666667</v>
      </c>
      <c r="BR263" s="361" t="n">
        <v>13.52333333333333</v>
      </c>
      <c r="BS263" s="361" t="n">
        <v>11.615</v>
      </c>
      <c r="BT263" s="361" t="n">
        <v>8.526666666666667</v>
      </c>
      <c r="BV263" s="357" t="inlineStr">
        <is>
          <t>12</t>
        </is>
      </c>
      <c r="BW263" s="361">
        <f>AVERAGE(BW$204:BW215)</f>
        <v/>
      </c>
      <c r="BX263" s="361" t="n">
        <v>16.63083333333333</v>
      </c>
      <c r="BY263" s="361" t="n">
        <v>17.51416666666667</v>
      </c>
      <c r="BZ263" s="361" t="n">
        <v>16.4475</v>
      </c>
      <c r="CA263" s="361" t="n">
        <v>14.26916666666667</v>
      </c>
      <c r="CB263" s="361" t="n">
        <v>10.59666666666667</v>
      </c>
      <c r="CC263" s="361" t="n"/>
      <c r="CD263" s="357" t="inlineStr">
        <is>
          <t>12</t>
        </is>
      </c>
      <c r="CE263" s="361">
        <f>AVERAGE(CE$204:CE215)</f>
        <v/>
      </c>
      <c r="CF263" s="361" t="n">
        <v>14.6125</v>
      </c>
      <c r="CG263" s="361" t="n">
        <v>15.49333333333333</v>
      </c>
      <c r="CH263" s="361" t="n">
        <v>14.5375</v>
      </c>
      <c r="CI263" s="361" t="n">
        <v>12.07333333333334</v>
      </c>
      <c r="CJ263" s="361" t="n">
        <v>8.67</v>
      </c>
      <c r="CL263" s="357" t="inlineStr">
        <is>
          <t>12</t>
        </is>
      </c>
      <c r="CM263" s="361">
        <f>AVERAGE(CM$204:CM215)</f>
        <v/>
      </c>
      <c r="CN263" s="361" t="n">
        <v>16.22666666666667</v>
      </c>
      <c r="CO263" s="361" t="n">
        <v>17.65583333333333</v>
      </c>
      <c r="CP263" s="361" t="n">
        <v>16.47583333333333</v>
      </c>
      <c r="CQ263" s="361" t="n">
        <v>12.9875</v>
      </c>
      <c r="CR263" s="361" t="n">
        <v>10.37833333333333</v>
      </c>
      <c r="CT263" s="357" t="inlineStr">
        <is>
          <t>12</t>
        </is>
      </c>
      <c r="CU263" s="361">
        <f>AVERAGE(CU$204:CU215)</f>
        <v/>
      </c>
      <c r="CV263" s="361" t="n">
        <v>13.88333333333333</v>
      </c>
      <c r="CW263" s="361" t="e">
        <v>#DIV/0!</v>
      </c>
      <c r="CX263" s="361" t="n"/>
      <c r="CY263" s="361" t="n"/>
      <c r="CZ263" s="361" t="n"/>
      <c r="DB263" s="357" t="inlineStr">
        <is>
          <t>12</t>
        </is>
      </c>
      <c r="DC263" s="361">
        <f>AVERAGE(DC$204:DC215)</f>
        <v/>
      </c>
      <c r="DD263" s="361" t="n">
        <v>16.75333333333333</v>
      </c>
      <c r="DE263" s="361" t="e">
        <v>#DIV/0!</v>
      </c>
      <c r="DF263" s="361" t="n"/>
      <c r="DG263" s="361" t="n"/>
      <c r="DH263" s="361" t="n"/>
      <c r="DI263" s="361" t="n"/>
      <c r="DJ263" s="357" t="inlineStr">
        <is>
          <t>12</t>
        </is>
      </c>
      <c r="DK263" s="361">
        <f>AVERAGE(DK$204:DK215)</f>
        <v/>
      </c>
      <c r="DL263" s="361" t="n">
        <v>10.73</v>
      </c>
      <c r="DM263" s="361" t="e">
        <v>#DIV/0!</v>
      </c>
      <c r="DN263" s="361" t="n"/>
      <c r="DO263" s="361" t="n"/>
      <c r="DP263" s="361" t="n"/>
      <c r="DR263" s="357" t="inlineStr">
        <is>
          <t>12</t>
        </is>
      </c>
      <c r="DS263" s="361">
        <f>AVERAGE(DS$204:DS215)</f>
        <v/>
      </c>
      <c r="DT263" s="361" t="n">
        <v>15.025</v>
      </c>
      <c r="DU263" s="361" t="e">
        <v>#DIV/0!</v>
      </c>
      <c r="DV263" s="361" t="n"/>
      <c r="DW263" s="361" t="n"/>
      <c r="DX263" s="361" t="n"/>
      <c r="DZ263" s="357" t="inlineStr">
        <is>
          <t>12</t>
        </is>
      </c>
      <c r="EA263" s="361">
        <f>AVERAGE(EA$204:EA215)</f>
        <v/>
      </c>
      <c r="EB263" s="361" t="n">
        <v>17.264</v>
      </c>
      <c r="EC263" s="361" t="e">
        <v>#DIV/0!</v>
      </c>
      <c r="ED263" s="361" t="n"/>
      <c r="EE263" s="361" t="n"/>
      <c r="EF263" s="361" t="n"/>
    </row>
    <row r="265" ht="15.75" customHeight="1" s="161">
      <c r="B265" s="355" t="inlineStr">
        <is>
          <t>Global</t>
        </is>
      </c>
      <c r="J265" s="355" t="inlineStr">
        <is>
          <t>GLR5</t>
        </is>
      </c>
      <c r="R265" s="355" t="inlineStr">
        <is>
          <t>HTR8</t>
        </is>
      </c>
      <c r="Z265" s="355" t="inlineStr">
        <is>
          <t>TIRR</t>
        </is>
      </c>
      <c r="AH265" s="355" t="inlineStr">
        <is>
          <t>VR7</t>
        </is>
      </c>
      <c r="AP265" s="355" t="inlineStr">
        <is>
          <t>TURVILLA</t>
        </is>
      </c>
      <c r="AX265" s="355" t="inlineStr">
        <is>
          <t>HART</t>
        </is>
      </c>
      <c r="BF265" s="355" t="inlineStr">
        <is>
          <t>VICTOIRE</t>
        </is>
      </c>
      <c r="BN265" s="355" t="inlineStr">
        <is>
          <t>TH4</t>
        </is>
      </c>
      <c r="BV265" s="355" t="inlineStr">
        <is>
          <t>TL DIVES</t>
        </is>
      </c>
      <c r="CD265" s="355" t="inlineStr">
        <is>
          <t>R3 14</t>
        </is>
      </c>
      <c r="CL265" s="355" t="inlineStr">
        <is>
          <t>LYSE</t>
        </is>
      </c>
      <c r="CT265" s="355" t="inlineStr">
        <is>
          <t>ARTHUR</t>
        </is>
      </c>
      <c r="DB265" s="355" t="inlineStr">
        <is>
          <t>HUGO</t>
        </is>
      </c>
      <c r="DJ265" s="355" t="inlineStr">
        <is>
          <t>JEANCLO</t>
        </is>
      </c>
      <c r="DR265" s="355" t="inlineStr">
        <is>
          <t>THOMAS</t>
        </is>
      </c>
      <c r="DZ265" s="355" t="inlineStr">
        <is>
          <t>CATALINA</t>
        </is>
      </c>
    </row>
    <row r="267" ht="18.6" customFormat="1" customHeight="1" s="188">
      <c r="A267" s="356" t="inlineStr">
        <is>
          <t>Paniers moyens cumulés à emporter</t>
        </is>
      </c>
      <c r="B267" s="186" t="inlineStr">
        <is>
          <t>MOIS</t>
        </is>
      </c>
      <c r="C267" s="187" t="inlineStr">
        <is>
          <t>2024</t>
        </is>
      </c>
      <c r="D267" s="187" t="inlineStr">
        <is>
          <t>2023</t>
        </is>
      </c>
      <c r="E267" s="187" t="inlineStr">
        <is>
          <t>2022</t>
        </is>
      </c>
      <c r="F267" s="187" t="inlineStr">
        <is>
          <t>2021</t>
        </is>
      </c>
      <c r="G267" s="187" t="inlineStr">
        <is>
          <t>2020</t>
        </is>
      </c>
      <c r="H267" s="187" t="inlineStr">
        <is>
          <t>2019</t>
        </is>
      </c>
      <c r="I267" s="187" t="n"/>
      <c r="J267" s="186" t="inlineStr">
        <is>
          <t>MOIS</t>
        </is>
      </c>
      <c r="K267" s="186" t="inlineStr">
        <is>
          <t>2025</t>
        </is>
      </c>
      <c r="L267" s="186" t="inlineStr">
        <is>
          <t>2024</t>
        </is>
      </c>
      <c r="M267" s="186" t="inlineStr">
        <is>
          <t>2023</t>
        </is>
      </c>
      <c r="N267" s="186" t="inlineStr">
        <is>
          <t>2022</t>
        </is>
      </c>
      <c r="O267" s="186" t="inlineStr">
        <is>
          <t>2021</t>
        </is>
      </c>
      <c r="P267" s="186" t="inlineStr">
        <is>
          <t>2020</t>
        </is>
      </c>
      <c r="R267" s="186" t="inlineStr">
        <is>
          <t>MOIS</t>
        </is>
      </c>
      <c r="S267" s="186" t="inlineStr">
        <is>
          <t>2025</t>
        </is>
      </c>
      <c r="T267" s="186" t="inlineStr">
        <is>
          <t>2024</t>
        </is>
      </c>
      <c r="U267" s="186" t="inlineStr">
        <is>
          <t>2023</t>
        </is>
      </c>
      <c r="V267" s="186" t="inlineStr">
        <is>
          <t>2022</t>
        </is>
      </c>
      <c r="W267" s="186" t="inlineStr">
        <is>
          <t>2021</t>
        </is>
      </c>
      <c r="X267" s="186" t="inlineStr">
        <is>
          <t>2020</t>
        </is>
      </c>
      <c r="Z267" s="186" t="inlineStr">
        <is>
          <t>MOIS</t>
        </is>
      </c>
      <c r="AA267" s="186" t="inlineStr">
        <is>
          <t>2025</t>
        </is>
      </c>
      <c r="AB267" s="186" t="inlineStr">
        <is>
          <t>2024</t>
        </is>
      </c>
      <c r="AC267" s="186" t="inlineStr">
        <is>
          <t>2023</t>
        </is>
      </c>
      <c r="AD267" s="186" t="inlineStr">
        <is>
          <t>2022</t>
        </is>
      </c>
      <c r="AE267" s="186" t="inlineStr">
        <is>
          <t>2021</t>
        </is>
      </c>
      <c r="AF267" s="186" t="inlineStr">
        <is>
          <t>2020</t>
        </is>
      </c>
      <c r="AH267" s="186" t="inlineStr">
        <is>
          <t>MOIS</t>
        </is>
      </c>
      <c r="AI267" s="186" t="inlineStr">
        <is>
          <t>2025</t>
        </is>
      </c>
      <c r="AJ267" s="186" t="inlineStr">
        <is>
          <t>2024</t>
        </is>
      </c>
      <c r="AK267" s="186" t="inlineStr">
        <is>
          <t>2023</t>
        </is>
      </c>
      <c r="AL267" s="186" t="inlineStr">
        <is>
          <t>2022</t>
        </is>
      </c>
      <c r="AM267" s="186" t="inlineStr">
        <is>
          <t>2021</t>
        </is>
      </c>
      <c r="AN267" s="186" t="inlineStr">
        <is>
          <t>2020</t>
        </is>
      </c>
      <c r="AP267" s="186" t="inlineStr">
        <is>
          <t>MOIS</t>
        </is>
      </c>
      <c r="AQ267" s="186" t="inlineStr">
        <is>
          <t>2025</t>
        </is>
      </c>
      <c r="AR267" s="186" t="inlineStr">
        <is>
          <t>2024</t>
        </is>
      </c>
      <c r="AS267" s="186" t="inlineStr">
        <is>
          <t>2023</t>
        </is>
      </c>
      <c r="AT267" s="186" t="inlineStr">
        <is>
          <t>2022</t>
        </is>
      </c>
      <c r="AU267" s="186" t="inlineStr">
        <is>
          <t>2021</t>
        </is>
      </c>
      <c r="AV267" s="186" t="inlineStr">
        <is>
          <t>2020</t>
        </is>
      </c>
      <c r="AX267" s="186" t="inlineStr">
        <is>
          <t>MOIS</t>
        </is>
      </c>
      <c r="AY267" s="186" t="inlineStr">
        <is>
          <t>2025</t>
        </is>
      </c>
      <c r="AZ267" s="186" t="inlineStr">
        <is>
          <t>2024</t>
        </is>
      </c>
      <c r="BA267" s="186" t="inlineStr">
        <is>
          <t>2023</t>
        </is>
      </c>
      <c r="BB267" s="186" t="inlineStr">
        <is>
          <t>2022</t>
        </is>
      </c>
      <c r="BC267" s="186" t="inlineStr">
        <is>
          <t>2021</t>
        </is>
      </c>
      <c r="BD267" s="186" t="inlineStr">
        <is>
          <t>2020</t>
        </is>
      </c>
      <c r="BE267" s="187" t="n"/>
      <c r="BF267" s="186" t="inlineStr">
        <is>
          <t>MOIS</t>
        </is>
      </c>
      <c r="BG267" s="186" t="inlineStr">
        <is>
          <t>2025</t>
        </is>
      </c>
      <c r="BH267" s="186" t="inlineStr">
        <is>
          <t>2024</t>
        </is>
      </c>
      <c r="BI267" s="186" t="inlineStr">
        <is>
          <t>2023</t>
        </is>
      </c>
      <c r="BJ267" s="186" t="inlineStr">
        <is>
          <t>2022</t>
        </is>
      </c>
      <c r="BK267" s="186" t="inlineStr">
        <is>
          <t>2021</t>
        </is>
      </c>
      <c r="BL267" s="186" t="inlineStr">
        <is>
          <t>2020</t>
        </is>
      </c>
      <c r="BM267" s="186" t="n"/>
      <c r="BN267" s="186" t="inlineStr">
        <is>
          <t>MOIS</t>
        </is>
      </c>
      <c r="BO267" s="187" t="inlineStr">
        <is>
          <t>2025</t>
        </is>
      </c>
      <c r="BP267" s="187" t="inlineStr">
        <is>
          <t>2024</t>
        </is>
      </c>
      <c r="BQ267" s="187" t="inlineStr">
        <is>
          <t>2023</t>
        </is>
      </c>
      <c r="BR267" s="187" t="inlineStr">
        <is>
          <t>2022</t>
        </is>
      </c>
      <c r="BS267" s="187" t="inlineStr">
        <is>
          <t>2021</t>
        </is>
      </c>
      <c r="BT267" s="187" t="inlineStr">
        <is>
          <t>2020</t>
        </is>
      </c>
      <c r="BV267" s="186" t="inlineStr">
        <is>
          <t>MOIS</t>
        </is>
      </c>
      <c r="BW267" s="187" t="inlineStr">
        <is>
          <t>2025</t>
        </is>
      </c>
      <c r="BX267" s="187" t="inlineStr">
        <is>
          <t>2024</t>
        </is>
      </c>
      <c r="BY267" s="187" t="inlineStr">
        <is>
          <t>2023</t>
        </is>
      </c>
      <c r="BZ267" s="187" t="inlineStr">
        <is>
          <t>2022</t>
        </is>
      </c>
      <c r="CA267" s="187" t="inlineStr">
        <is>
          <t>2021</t>
        </is>
      </c>
      <c r="CB267" s="187" t="inlineStr">
        <is>
          <t>2020</t>
        </is>
      </c>
      <c r="CC267" s="187" t="n"/>
      <c r="CD267" s="186" t="inlineStr">
        <is>
          <t>MOIS</t>
        </is>
      </c>
      <c r="CE267" s="187" t="inlineStr">
        <is>
          <t>2025</t>
        </is>
      </c>
      <c r="CF267" s="187" t="inlineStr">
        <is>
          <t>2024</t>
        </is>
      </c>
      <c r="CG267" s="187" t="inlineStr">
        <is>
          <t>2023</t>
        </is>
      </c>
      <c r="CH267" s="187" t="inlineStr">
        <is>
          <t>2022</t>
        </is>
      </c>
      <c r="CI267" s="187" t="inlineStr">
        <is>
          <t>2021</t>
        </is>
      </c>
      <c r="CJ267" s="187" t="inlineStr">
        <is>
          <t>2020</t>
        </is>
      </c>
      <c r="CL267" s="186" t="inlineStr">
        <is>
          <t>MOIS</t>
        </is>
      </c>
      <c r="CM267" s="187" t="inlineStr">
        <is>
          <t>2025</t>
        </is>
      </c>
      <c r="CN267" s="187" t="inlineStr">
        <is>
          <t>2024</t>
        </is>
      </c>
      <c r="CO267" s="187" t="inlineStr">
        <is>
          <t>2023</t>
        </is>
      </c>
      <c r="CP267" s="187" t="inlineStr">
        <is>
          <t>2022</t>
        </is>
      </c>
      <c r="CQ267" s="187" t="inlineStr">
        <is>
          <t>2021</t>
        </is>
      </c>
      <c r="CR267" s="187" t="inlineStr">
        <is>
          <t>2020</t>
        </is>
      </c>
      <c r="CT267" s="186" t="inlineStr">
        <is>
          <t>MOIS</t>
        </is>
      </c>
      <c r="CU267" s="187" t="inlineStr">
        <is>
          <t>2025</t>
        </is>
      </c>
      <c r="CV267" s="187" t="inlineStr">
        <is>
          <t>2024</t>
        </is>
      </c>
      <c r="CW267" s="187" t="inlineStr">
        <is>
          <t>2023</t>
        </is>
      </c>
      <c r="CX267" s="187" t="inlineStr">
        <is>
          <t>2022</t>
        </is>
      </c>
      <c r="CY267" s="187" t="inlineStr">
        <is>
          <t>2021</t>
        </is>
      </c>
      <c r="CZ267" s="187" t="inlineStr">
        <is>
          <t>2020</t>
        </is>
      </c>
      <c r="DB267" s="186" t="inlineStr">
        <is>
          <t>MOIS</t>
        </is>
      </c>
      <c r="DC267" s="187" t="inlineStr">
        <is>
          <t>2025</t>
        </is>
      </c>
      <c r="DD267" s="187" t="inlineStr">
        <is>
          <t>2024</t>
        </is>
      </c>
      <c r="DE267" s="187" t="inlineStr">
        <is>
          <t>2023</t>
        </is>
      </c>
      <c r="DF267" s="187" t="inlineStr">
        <is>
          <t>2022</t>
        </is>
      </c>
      <c r="DG267" s="187" t="inlineStr">
        <is>
          <t>2021</t>
        </is>
      </c>
      <c r="DH267" s="187" t="inlineStr">
        <is>
          <t>2020</t>
        </is>
      </c>
      <c r="DI267" s="187" t="n"/>
      <c r="DJ267" s="186" t="inlineStr">
        <is>
          <t>MOIS</t>
        </is>
      </c>
      <c r="DK267" s="187" t="inlineStr">
        <is>
          <t>2025</t>
        </is>
      </c>
      <c r="DL267" s="187" t="inlineStr">
        <is>
          <t>2024</t>
        </is>
      </c>
      <c r="DM267" s="187" t="inlineStr">
        <is>
          <t>2023</t>
        </is>
      </c>
      <c r="DN267" s="187" t="inlineStr">
        <is>
          <t>2022</t>
        </is>
      </c>
      <c r="DO267" s="187" t="inlineStr">
        <is>
          <t>2021</t>
        </is>
      </c>
      <c r="DP267" s="187" t="inlineStr">
        <is>
          <t>2020</t>
        </is>
      </c>
      <c r="DR267" s="186" t="inlineStr">
        <is>
          <t>MOIS</t>
        </is>
      </c>
      <c r="DS267" s="187" t="inlineStr">
        <is>
          <t>2025</t>
        </is>
      </c>
      <c r="DT267" s="187" t="inlineStr">
        <is>
          <t>2024</t>
        </is>
      </c>
      <c r="DU267" s="187" t="inlineStr">
        <is>
          <t>2023</t>
        </is>
      </c>
      <c r="DV267" s="187" t="inlineStr">
        <is>
          <t>2022</t>
        </is>
      </c>
      <c r="DW267" s="187" t="inlineStr">
        <is>
          <t>2021</t>
        </is>
      </c>
      <c r="DX267" s="187" t="inlineStr">
        <is>
          <t>2020</t>
        </is>
      </c>
      <c r="DZ267" s="186" t="inlineStr">
        <is>
          <t>MOIS</t>
        </is>
      </c>
      <c r="EA267" s="187" t="inlineStr">
        <is>
          <t>2025</t>
        </is>
      </c>
      <c r="EB267" s="187" t="inlineStr">
        <is>
          <t>2024</t>
        </is>
      </c>
      <c r="EC267" s="187" t="inlineStr">
        <is>
          <t>2023</t>
        </is>
      </c>
      <c r="ED267" s="187" t="inlineStr">
        <is>
          <t>2022</t>
        </is>
      </c>
      <c r="EE267" s="187" t="inlineStr">
        <is>
          <t>2021</t>
        </is>
      </c>
      <c r="EF267" s="187" t="inlineStr">
        <is>
          <t>2020</t>
        </is>
      </c>
    </row>
    <row r="268" customFormat="1" s="359">
      <c r="B268" s="357" t="inlineStr">
        <is>
          <t>01</t>
        </is>
      </c>
      <c r="C268" s="361">
        <f>AVERAGE(C220:C$220)</f>
        <v/>
      </c>
      <c r="D268" s="361">
        <f>AVERAGE(D220:D$220)</f>
        <v/>
      </c>
      <c r="E268" s="361">
        <f>AVERAGE(E220:E$220)</f>
        <v/>
      </c>
      <c r="F268" s="361">
        <f>AVERAGE(F220:F$220)</f>
        <v/>
      </c>
      <c r="G268" s="361">
        <f>AVERAGE(G220:G$220)</f>
        <v/>
      </c>
      <c r="H268" s="361">
        <f>AVERAGE(H220:H$220)</f>
        <v/>
      </c>
      <c r="I268" s="361" t="n"/>
      <c r="J268" s="357" t="inlineStr">
        <is>
          <t>01</t>
        </is>
      </c>
      <c r="K268" s="361">
        <f>AVERAGE(K220:K$220)</f>
        <v/>
      </c>
      <c r="L268" s="361" t="n">
        <v>18.06</v>
      </c>
      <c r="M268" s="361" t="n">
        <v>17.81</v>
      </c>
      <c r="N268" s="361" t="n">
        <v>17.22</v>
      </c>
      <c r="O268" s="361" t="n">
        <v>18.61</v>
      </c>
      <c r="P268" s="361" t="n">
        <v>16.45</v>
      </c>
      <c r="R268" s="357" t="inlineStr">
        <is>
          <t>01</t>
        </is>
      </c>
      <c r="S268" s="361">
        <f>AVERAGE(S220:S$220)</f>
        <v/>
      </c>
      <c r="T268" s="361" t="n">
        <v>17.33</v>
      </c>
      <c r="U268" s="361" t="n">
        <v>18.15</v>
      </c>
      <c r="V268" s="361" t="n">
        <v>17.27</v>
      </c>
      <c r="W268" s="361" t="n">
        <v>17.91</v>
      </c>
      <c r="X268" s="361" t="n">
        <v>14.85</v>
      </c>
      <c r="Z268" s="357" t="inlineStr">
        <is>
          <t>01</t>
        </is>
      </c>
      <c r="AA268" s="361">
        <f>AVERAGE(AA220:AA$220)</f>
        <v/>
      </c>
      <c r="AB268" s="361" t="n">
        <v>19.72</v>
      </c>
      <c r="AC268" s="361" t="n">
        <v>18.49</v>
      </c>
      <c r="AD268" s="361" t="n">
        <v>18.18</v>
      </c>
      <c r="AE268" s="361" t="n">
        <v>19.92</v>
      </c>
      <c r="AF268" s="361" t="n">
        <v>17.21</v>
      </c>
      <c r="AH268" s="357" t="inlineStr">
        <is>
          <t>01</t>
        </is>
      </c>
      <c r="AI268" s="361">
        <f>AVERAGE(AI220:AI$220)</f>
        <v/>
      </c>
      <c r="AJ268" s="361" t="n">
        <v>21.43</v>
      </c>
      <c r="AK268" s="361" t="n">
        <v>21.3</v>
      </c>
      <c r="AL268" s="361" t="n">
        <v>20.23</v>
      </c>
      <c r="AM268" s="361" t="n">
        <v>17.95</v>
      </c>
      <c r="AN268" s="361" t="n">
        <v>18.06</v>
      </c>
      <c r="AP268" s="357" t="inlineStr">
        <is>
          <t>01</t>
        </is>
      </c>
      <c r="AQ268" s="361">
        <f>AVERAGE(AQ220:AQ$220)</f>
        <v/>
      </c>
      <c r="AR268" s="361" t="n">
        <v>19.03</v>
      </c>
      <c r="AS268" s="361" t="n">
        <v>18.97</v>
      </c>
      <c r="AT268" s="361" t="n">
        <v>17.94</v>
      </c>
      <c r="AU268" s="361" t="n">
        <v>16.18</v>
      </c>
      <c r="AV268" s="361" t="e">
        <v>#DIV/0!</v>
      </c>
      <c r="AX268" s="357" t="inlineStr">
        <is>
          <t>01</t>
        </is>
      </c>
      <c r="AY268" s="361">
        <f>AVERAGE(AY220:AY$220)</f>
        <v/>
      </c>
      <c r="AZ268" s="361" t="n">
        <v>22.33</v>
      </c>
      <c r="BA268" s="361" t="n">
        <v>20.71</v>
      </c>
      <c r="BB268" s="361" t="n">
        <v>21.04</v>
      </c>
      <c r="BC268" s="361" t="n"/>
      <c r="BD268" s="361" t="n"/>
      <c r="BE268" s="361" t="n"/>
      <c r="BF268" s="357" t="inlineStr">
        <is>
          <t>01</t>
        </is>
      </c>
      <c r="BG268" s="361">
        <f>AVERAGE(BG220:BG$220)</f>
        <v/>
      </c>
      <c r="BH268" s="361" t="n">
        <v>20.11</v>
      </c>
      <c r="BI268" s="361" t="n">
        <v>20.03</v>
      </c>
      <c r="BJ268" s="361" t="n"/>
      <c r="BK268" s="361" t="n"/>
      <c r="BL268" s="361" t="n"/>
      <c r="BM268" s="361" t="n"/>
      <c r="BN268" s="357" t="inlineStr">
        <is>
          <t>01</t>
        </is>
      </c>
      <c r="BO268" s="361">
        <f>AVERAGE(BO220:BO$220)</f>
        <v/>
      </c>
      <c r="BP268" s="361" t="n">
        <v>20.67</v>
      </c>
      <c r="BQ268" s="361" t="n">
        <v>19.83</v>
      </c>
      <c r="BR268" s="361" t="n">
        <v>19.18</v>
      </c>
      <c r="BS268" s="361" t="n">
        <v>17.08</v>
      </c>
      <c r="BT268" s="361" t="n">
        <v>16.48</v>
      </c>
      <c r="BV268" s="357" t="inlineStr">
        <is>
          <t>01</t>
        </is>
      </c>
      <c r="BW268" s="361">
        <f>AVERAGE(BW220:BW$220)</f>
        <v/>
      </c>
      <c r="BX268" s="361" t="n">
        <v>21.63</v>
      </c>
      <c r="BY268" s="361" t="n">
        <v>21.4</v>
      </c>
      <c r="BZ268" s="361" t="n">
        <v>20.1</v>
      </c>
      <c r="CA268" s="361" t="n">
        <v>22.03</v>
      </c>
      <c r="CB268" s="361" t="n">
        <v>17.75</v>
      </c>
      <c r="CC268" s="361" t="n"/>
      <c r="CD268" s="357" t="inlineStr">
        <is>
          <t>01</t>
        </is>
      </c>
      <c r="CE268" s="361">
        <f>AVERAGE(CE220:CE$220)</f>
        <v/>
      </c>
      <c r="CF268" s="361" t="n">
        <v>19.95</v>
      </c>
      <c r="CG268" s="361" t="n">
        <v>19.65</v>
      </c>
      <c r="CH268" s="361" t="n">
        <v>19.03</v>
      </c>
      <c r="CI268" s="361" t="n">
        <v>25.25</v>
      </c>
      <c r="CJ268" s="361" t="n">
        <v>15.74</v>
      </c>
      <c r="CL268" s="357" t="inlineStr">
        <is>
          <t>01</t>
        </is>
      </c>
      <c r="CM268" s="361">
        <f>AVERAGE(CM220:CM$220)</f>
        <v/>
      </c>
      <c r="CN268" s="361" t="n">
        <v>20.26</v>
      </c>
      <c r="CO268" s="361" t="n">
        <v>21.28</v>
      </c>
      <c r="CP268" s="361" t="n">
        <v>20.45</v>
      </c>
      <c r="CQ268" s="361" t="n">
        <v>19.39</v>
      </c>
      <c r="CR268" s="361" t="n">
        <v>17.15</v>
      </c>
      <c r="CT268" s="357" t="inlineStr">
        <is>
          <t>01</t>
        </is>
      </c>
      <c r="CU268" s="361">
        <f>AVERAGE(CU220:CU$220)</f>
        <v/>
      </c>
      <c r="CV268" s="361" t="n">
        <v>20.15</v>
      </c>
      <c r="CW268" s="361" t="e">
        <v>#DIV/0!</v>
      </c>
      <c r="CX268" s="361" t="n"/>
      <c r="CY268" s="361" t="n"/>
      <c r="CZ268" s="361" t="n"/>
      <c r="DB268" s="357" t="inlineStr">
        <is>
          <t>01</t>
        </is>
      </c>
      <c r="DC268" s="361">
        <f>AVERAGE(DC220:DC$220)</f>
        <v/>
      </c>
      <c r="DD268" s="361" t="n">
        <v>22.13</v>
      </c>
      <c r="DE268" s="361" t="e">
        <v>#DIV/0!</v>
      </c>
      <c r="DF268" s="361" t="n"/>
      <c r="DG268" s="361" t="n"/>
      <c r="DH268" s="361" t="n"/>
      <c r="DI268" s="361" t="n"/>
      <c r="DJ268" s="357" t="inlineStr">
        <is>
          <t>01</t>
        </is>
      </c>
      <c r="DK268" s="361">
        <f>AVERAGE(DK220:DK$220)</f>
        <v/>
      </c>
      <c r="DL268" s="361" t="n">
        <v>17.04</v>
      </c>
      <c r="DM268" s="361" t="e">
        <v>#DIV/0!</v>
      </c>
      <c r="DN268" s="361" t="n"/>
      <c r="DO268" s="361" t="n"/>
      <c r="DP268" s="361" t="n"/>
      <c r="DR268" s="357" t="inlineStr">
        <is>
          <t>01</t>
        </is>
      </c>
      <c r="DS268" s="361">
        <f>AVERAGE(DS220:DS$220)</f>
        <v/>
      </c>
      <c r="DT268" s="361" t="n">
        <v>21.98</v>
      </c>
      <c r="DU268" s="361" t="e">
        <v>#DIV/0!</v>
      </c>
      <c r="DV268" s="361" t="n"/>
      <c r="DW268" s="361" t="n"/>
      <c r="DX268" s="361" t="n"/>
      <c r="DZ268" s="357" t="inlineStr">
        <is>
          <t>01</t>
        </is>
      </c>
      <c r="EA268" s="361">
        <f>AVERAGE(EA220:EA$220)</f>
        <v/>
      </c>
      <c r="EB268" s="361" t="e">
        <v>#DIV/0!</v>
      </c>
      <c r="EC268" s="361" t="e">
        <v>#DIV/0!</v>
      </c>
      <c r="ED268" s="361" t="n"/>
      <c r="EE268" s="361" t="n"/>
      <c r="EF268" s="361" t="n"/>
    </row>
    <row r="269" customFormat="1" s="359">
      <c r="B269" s="357" t="inlineStr">
        <is>
          <t>02</t>
        </is>
      </c>
      <c r="C269" s="361">
        <f>AVERAGE(C$220:C221)</f>
        <v/>
      </c>
      <c r="D269" s="361">
        <f>AVERAGE(D$220:D221)</f>
        <v/>
      </c>
      <c r="E269" s="361">
        <f>AVERAGE(E$220:E221)</f>
        <v/>
      </c>
      <c r="F269" s="361">
        <f>AVERAGE(F$220:F221)</f>
        <v/>
      </c>
      <c r="G269" s="361">
        <f>AVERAGE(G$220:G221)</f>
        <v/>
      </c>
      <c r="H269" s="361">
        <f>AVERAGE(H$220:H221)</f>
        <v/>
      </c>
      <c r="I269" s="361" t="n"/>
      <c r="J269" s="357" t="inlineStr">
        <is>
          <t>02</t>
        </is>
      </c>
      <c r="K269" s="361">
        <f>AVERAGE(K$220:K221)</f>
        <v/>
      </c>
      <c r="L269" s="361" t="n">
        <v>17.99</v>
      </c>
      <c r="M269" s="361" t="n">
        <v>17.99</v>
      </c>
      <c r="N269" s="361" t="n">
        <v>16.84</v>
      </c>
      <c r="O269" s="361" t="n">
        <v>18.09</v>
      </c>
      <c r="P269" s="361" t="n">
        <v>16.355</v>
      </c>
      <c r="R269" s="357" t="inlineStr">
        <is>
          <t>02</t>
        </is>
      </c>
      <c r="S269" s="361">
        <f>AVERAGE(S$220:S221)</f>
        <v/>
      </c>
      <c r="T269" s="361" t="n">
        <v>17.11</v>
      </c>
      <c r="U269" s="361" t="n">
        <v>18.05</v>
      </c>
      <c r="V269" s="361" t="n">
        <v>17.01</v>
      </c>
      <c r="W269" s="361" t="n">
        <v>17.185</v>
      </c>
      <c r="X269" s="361" t="n">
        <v>15.195</v>
      </c>
      <c r="Z269" s="357" t="inlineStr">
        <is>
          <t>02</t>
        </is>
      </c>
      <c r="AA269" s="361">
        <f>AVERAGE(AA$220:AA221)</f>
        <v/>
      </c>
      <c r="AB269" s="361" t="n">
        <v>19.105</v>
      </c>
      <c r="AC269" s="361" t="n">
        <v>18.27</v>
      </c>
      <c r="AD269" s="361" t="n">
        <v>17.39</v>
      </c>
      <c r="AE269" s="361" t="n">
        <v>19.645</v>
      </c>
      <c r="AF269" s="361" t="n">
        <v>16.975</v>
      </c>
      <c r="AH269" s="357" t="inlineStr">
        <is>
          <t>02</t>
        </is>
      </c>
      <c r="AI269" s="361">
        <f>AVERAGE(AI$220:AI221)</f>
        <v/>
      </c>
      <c r="AJ269" s="361" t="n">
        <v>21.15</v>
      </c>
      <c r="AK269" s="361" t="n">
        <v>21.405</v>
      </c>
      <c r="AL269" s="361" t="n">
        <v>19.67</v>
      </c>
      <c r="AM269" s="361" t="n">
        <v>17.455</v>
      </c>
      <c r="AN269" s="361" t="n">
        <v>17.83</v>
      </c>
      <c r="AP269" s="357" t="inlineStr">
        <is>
          <t>02</t>
        </is>
      </c>
      <c r="AQ269" s="361">
        <f>AVERAGE(AQ$220:AQ221)</f>
        <v/>
      </c>
      <c r="AR269" s="361" t="n">
        <v>18.855</v>
      </c>
      <c r="AS269" s="361" t="n">
        <v>18.745</v>
      </c>
      <c r="AT269" s="361" t="n">
        <v>17.29</v>
      </c>
      <c r="AU269" s="361" t="n">
        <v>16.01</v>
      </c>
      <c r="AV269" s="361" t="e">
        <v>#DIV/0!</v>
      </c>
      <c r="AX269" s="357" t="inlineStr">
        <is>
          <t>02</t>
        </is>
      </c>
      <c r="AY269" s="361">
        <f>AVERAGE(AY$220:AY221)</f>
        <v/>
      </c>
      <c r="AZ269" s="361" t="n">
        <v>21.795</v>
      </c>
      <c r="BA269" s="361" t="n">
        <v>20.68</v>
      </c>
      <c r="BB269" s="361" t="n">
        <v>20.345</v>
      </c>
      <c r="BC269" s="361" t="n"/>
      <c r="BD269" s="361" t="n"/>
      <c r="BE269" s="361" t="n"/>
      <c r="BF269" s="357" t="inlineStr">
        <is>
          <t>02</t>
        </is>
      </c>
      <c r="BG269" s="361">
        <f>AVERAGE(BG$220:BG221)</f>
        <v/>
      </c>
      <c r="BH269" s="361" t="n">
        <v>19.6</v>
      </c>
      <c r="BI269" s="361" t="n">
        <v>19.73</v>
      </c>
      <c r="BJ269" s="361" t="n"/>
      <c r="BK269" s="361" t="n"/>
      <c r="BL269" s="361" t="n"/>
      <c r="BM269" s="361" t="n"/>
      <c r="BN269" s="357" t="inlineStr">
        <is>
          <t>02</t>
        </is>
      </c>
      <c r="BO269" s="361">
        <f>AVERAGE(BO$220:BO221)</f>
        <v/>
      </c>
      <c r="BP269" s="361" t="n">
        <v>20.425</v>
      </c>
      <c r="BQ269" s="361" t="n">
        <v>19.99</v>
      </c>
      <c r="BR269" s="361" t="n">
        <v>19.185</v>
      </c>
      <c r="BS269" s="361" t="n">
        <v>16.315</v>
      </c>
      <c r="BT269" s="361" t="n">
        <v>16.83</v>
      </c>
      <c r="BV269" s="357" t="inlineStr">
        <is>
          <t>02</t>
        </is>
      </c>
      <c r="BW269" s="361">
        <f>AVERAGE(BW$220:BW221)</f>
        <v/>
      </c>
      <c r="BX269" s="361" t="n">
        <v>21.285</v>
      </c>
      <c r="BY269" s="361" t="n">
        <v>21.56</v>
      </c>
      <c r="BZ269" s="361" t="n">
        <v>19.72</v>
      </c>
      <c r="CA269" s="361" t="n">
        <v>21.365</v>
      </c>
      <c r="CB269" s="361" t="n">
        <v>17.885</v>
      </c>
      <c r="CC269" s="361" t="n"/>
      <c r="CD269" s="357" t="inlineStr">
        <is>
          <t>02</t>
        </is>
      </c>
      <c r="CE269" s="361">
        <f>AVERAGE(CE$220:CE221)</f>
        <v/>
      </c>
      <c r="CF269" s="361" t="n">
        <v>19.515</v>
      </c>
      <c r="CG269" s="361" t="n">
        <v>19.735</v>
      </c>
      <c r="CH269" s="361" t="n">
        <v>18.665</v>
      </c>
      <c r="CI269" s="361" t="n">
        <v>23.335</v>
      </c>
      <c r="CJ269" s="361" t="n">
        <v>15.505</v>
      </c>
      <c r="CL269" s="357" t="inlineStr">
        <is>
          <t>02</t>
        </is>
      </c>
      <c r="CM269" s="361">
        <f>AVERAGE(CM$220:CM221)</f>
        <v/>
      </c>
      <c r="CN269" s="361" t="n">
        <v>19.905</v>
      </c>
      <c r="CO269" s="361" t="n">
        <v>21.275</v>
      </c>
      <c r="CP269" s="361" t="n">
        <v>20.025</v>
      </c>
      <c r="CQ269" s="361" t="n">
        <v>18.865</v>
      </c>
      <c r="CR269" s="361" t="n">
        <v>17.245</v>
      </c>
      <c r="CT269" s="357" t="inlineStr">
        <is>
          <t>02</t>
        </is>
      </c>
      <c r="CU269" s="361">
        <f>AVERAGE(CU$220:CU221)</f>
        <v/>
      </c>
      <c r="CV269" s="361" t="n">
        <v>19.82</v>
      </c>
      <c r="CW269" s="361" t="e">
        <v>#DIV/0!</v>
      </c>
      <c r="CX269" s="361" t="n"/>
      <c r="CY269" s="361" t="n"/>
      <c r="CZ269" s="361" t="n"/>
      <c r="DB269" s="357" t="inlineStr">
        <is>
          <t>02</t>
        </is>
      </c>
      <c r="DC269" s="361">
        <f>AVERAGE(DC$220:DC221)</f>
        <v/>
      </c>
      <c r="DD269" s="361" t="n">
        <v>21.595</v>
      </c>
      <c r="DE269" s="361" t="e">
        <v>#DIV/0!</v>
      </c>
      <c r="DF269" s="361" t="n"/>
      <c r="DG269" s="361" t="n"/>
      <c r="DH269" s="361" t="n"/>
      <c r="DI269" s="361" t="n"/>
      <c r="DJ269" s="357" t="inlineStr">
        <is>
          <t>02</t>
        </is>
      </c>
      <c r="DK269" s="361">
        <f>AVERAGE(DK$220:DK221)</f>
        <v/>
      </c>
      <c r="DL269" s="361" t="n">
        <v>16.695</v>
      </c>
      <c r="DM269" s="361" t="e">
        <v>#DIV/0!</v>
      </c>
      <c r="DN269" s="361" t="n"/>
      <c r="DO269" s="361" t="n"/>
      <c r="DP269" s="361" t="n"/>
      <c r="DR269" s="357" t="inlineStr">
        <is>
          <t>02</t>
        </is>
      </c>
      <c r="DS269" s="361">
        <f>AVERAGE(DS$220:DS221)</f>
        <v/>
      </c>
      <c r="DT269" s="361" t="n">
        <v>21.84</v>
      </c>
      <c r="DU269" s="361" t="e">
        <v>#DIV/0!</v>
      </c>
      <c r="DV269" s="361" t="n"/>
      <c r="DW269" s="361" t="n"/>
      <c r="DX269" s="361" t="n"/>
      <c r="DZ269" s="357" t="inlineStr">
        <is>
          <t>02</t>
        </is>
      </c>
      <c r="EA269" s="361">
        <f>AVERAGE(EA$220:EA221)</f>
        <v/>
      </c>
      <c r="EB269" s="361" t="e">
        <v>#DIV/0!</v>
      </c>
      <c r="EC269" s="361" t="e">
        <v>#DIV/0!</v>
      </c>
      <c r="ED269" s="361" t="n"/>
      <c r="EE269" s="361" t="n"/>
      <c r="EF269" s="361" t="n"/>
    </row>
    <row r="270" customFormat="1" s="359">
      <c r="B270" s="357" t="inlineStr">
        <is>
          <t>03</t>
        </is>
      </c>
      <c r="C270" s="361">
        <f>AVERAGE(C$220:C222)</f>
        <v/>
      </c>
      <c r="D270" s="361">
        <f>AVERAGE(D$220:D222)</f>
        <v/>
      </c>
      <c r="E270" s="361">
        <f>AVERAGE(E$220:E222)</f>
        <v/>
      </c>
      <c r="F270" s="361">
        <f>AVERAGE(F$220:F222)</f>
        <v/>
      </c>
      <c r="G270" s="361">
        <f>AVERAGE(G$220:G222)</f>
        <v/>
      </c>
      <c r="H270" s="361">
        <f>AVERAGE(H$220:H222)</f>
        <v/>
      </c>
      <c r="I270" s="361" t="n"/>
      <c r="J270" s="357" t="inlineStr">
        <is>
          <t>03</t>
        </is>
      </c>
      <c r="K270" s="361">
        <f>AVERAGE(K$220:K222)</f>
        <v/>
      </c>
      <c r="L270" s="361" t="n">
        <v>18.20333333333333</v>
      </c>
      <c r="M270" s="361" t="n">
        <v>18.18333333333333</v>
      </c>
      <c r="N270" s="361" t="n">
        <v>16.76666666666667</v>
      </c>
      <c r="O270" s="361" t="n">
        <v>17.78333333333333</v>
      </c>
      <c r="P270" s="361" t="n">
        <v>16.29666666666667</v>
      </c>
      <c r="R270" s="357" t="inlineStr">
        <is>
          <t>03</t>
        </is>
      </c>
      <c r="S270" s="361">
        <f>AVERAGE(S$220:S222)</f>
        <v/>
      </c>
      <c r="T270" s="361" t="n">
        <v>17.49333333333334</v>
      </c>
      <c r="U270" s="361" t="n">
        <v>18.42</v>
      </c>
      <c r="V270" s="361" t="n">
        <v>16.97666666666666</v>
      </c>
      <c r="W270" s="361" t="n">
        <v>16.63333333333334</v>
      </c>
      <c r="X270" s="361" t="n">
        <v>15.39</v>
      </c>
      <c r="Z270" s="357" t="inlineStr">
        <is>
          <t>03</t>
        </is>
      </c>
      <c r="AA270" s="361">
        <f>AVERAGE(AA$220:AA222)</f>
        <v/>
      </c>
      <c r="AB270" s="361" t="n">
        <v>18.93</v>
      </c>
      <c r="AC270" s="361" t="n">
        <v>18.33</v>
      </c>
      <c r="AD270" s="361" t="n">
        <v>17.36</v>
      </c>
      <c r="AE270" s="361" t="n">
        <v>19.20666666666667</v>
      </c>
      <c r="AF270" s="361" t="n">
        <v>17.00666666666667</v>
      </c>
      <c r="AH270" s="357" t="inlineStr">
        <is>
          <t>03</t>
        </is>
      </c>
      <c r="AI270" s="361">
        <f>AVERAGE(AI$220:AI222)</f>
        <v/>
      </c>
      <c r="AJ270" s="361" t="n">
        <v>21.07666666666666</v>
      </c>
      <c r="AK270" s="361" t="n">
        <v>21.49333333333334</v>
      </c>
      <c r="AL270" s="361" t="n">
        <v>19.25333333333333</v>
      </c>
      <c r="AM270" s="361" t="n">
        <v>17.22333333333333</v>
      </c>
      <c r="AN270" s="361" t="n">
        <v>19.10666666666667</v>
      </c>
      <c r="AP270" s="357" t="inlineStr">
        <is>
          <t>03</t>
        </is>
      </c>
      <c r="AQ270" s="361">
        <f>AVERAGE(AQ$220:AQ222)</f>
        <v/>
      </c>
      <c r="AR270" s="361" t="n">
        <v>19.02666666666667</v>
      </c>
      <c r="AS270" s="361" t="n">
        <v>18.86666666666666</v>
      </c>
      <c r="AT270" s="361" t="n">
        <v>17.11666666666666</v>
      </c>
      <c r="AU270" s="361" t="n">
        <v>16.06</v>
      </c>
      <c r="AV270" s="361" t="e">
        <v>#DIV/0!</v>
      </c>
      <c r="AX270" s="357" t="inlineStr">
        <is>
          <t>03</t>
        </is>
      </c>
      <c r="AY270" s="361">
        <f>AVERAGE(AY$220:AY222)</f>
        <v/>
      </c>
      <c r="AZ270" s="361" t="n">
        <v>21.97666666666667</v>
      </c>
      <c r="BA270" s="361" t="n">
        <v>20.94333333333333</v>
      </c>
      <c r="BB270" s="361" t="n">
        <v>20.05333333333333</v>
      </c>
      <c r="BC270" s="361" t="n"/>
      <c r="BD270" s="361" t="n"/>
      <c r="BE270" s="361" t="n"/>
      <c r="BF270" s="357" t="inlineStr">
        <is>
          <t>03</t>
        </is>
      </c>
      <c r="BG270" s="361">
        <f>AVERAGE(BG$220:BG222)</f>
        <v/>
      </c>
      <c r="BH270" s="361" t="n">
        <v>19.26666666666667</v>
      </c>
      <c r="BI270" s="361" t="n">
        <v>19.75666666666666</v>
      </c>
      <c r="BJ270" s="361" t="n"/>
      <c r="BK270" s="361" t="n"/>
      <c r="BL270" s="361" t="n"/>
      <c r="BM270" s="361" t="n"/>
      <c r="BN270" s="357" t="inlineStr">
        <is>
          <t>03</t>
        </is>
      </c>
      <c r="BO270" s="361">
        <f>AVERAGE(BO$220:BO222)</f>
        <v/>
      </c>
      <c r="BP270" s="361" t="n">
        <v>20.51666666666667</v>
      </c>
      <c r="BQ270" s="361" t="n">
        <v>20.15666666666667</v>
      </c>
      <c r="BR270" s="361" t="n">
        <v>18.78333333333333</v>
      </c>
      <c r="BS270" s="361" t="n">
        <v>15.81666666666666</v>
      </c>
      <c r="BT270" s="361" t="n">
        <v>16.77666666666667</v>
      </c>
      <c r="BV270" s="357" t="inlineStr">
        <is>
          <t>03</t>
        </is>
      </c>
      <c r="BW270" s="361">
        <f>AVERAGE(BW$220:BW222)</f>
        <v/>
      </c>
      <c r="BX270" s="361" t="n">
        <v>21.14</v>
      </c>
      <c r="BY270" s="361" t="n">
        <v>21.73666666666666</v>
      </c>
      <c r="BZ270" s="361" t="n">
        <v>19.79</v>
      </c>
      <c r="CA270" s="361" t="n">
        <v>20.32</v>
      </c>
      <c r="CB270" s="361" t="n">
        <v>18.08666666666666</v>
      </c>
      <c r="CC270" s="361" t="n"/>
      <c r="CD270" s="357" t="inlineStr">
        <is>
          <t>03</t>
        </is>
      </c>
      <c r="CE270" s="361">
        <f>AVERAGE(CE$220:CE222)</f>
        <v/>
      </c>
      <c r="CF270" s="361" t="n">
        <v>19.32666666666667</v>
      </c>
      <c r="CG270" s="361" t="n">
        <v>19.78666666666667</v>
      </c>
      <c r="CH270" s="361" t="n">
        <v>18.36666666666666</v>
      </c>
      <c r="CI270" s="361" t="n">
        <v>21.29666666666667</v>
      </c>
      <c r="CJ270" s="361" t="n">
        <v>15.54333333333333</v>
      </c>
      <c r="CL270" s="357" t="inlineStr">
        <is>
          <t>03</t>
        </is>
      </c>
      <c r="CM270" s="361">
        <f>AVERAGE(CM$220:CM222)</f>
        <v/>
      </c>
      <c r="CN270" s="361" t="n">
        <v>20.31666666666667</v>
      </c>
      <c r="CO270" s="361" t="n">
        <v>21.48333333333333</v>
      </c>
      <c r="CP270" s="361" t="n">
        <v>19.97333333333333</v>
      </c>
      <c r="CQ270" s="361" t="n">
        <v>18.56</v>
      </c>
      <c r="CR270" s="361" t="n">
        <v>17.30666666666666</v>
      </c>
      <c r="CT270" s="357" t="inlineStr">
        <is>
          <t>03</t>
        </is>
      </c>
      <c r="CU270" s="361">
        <f>AVERAGE(CU$220:CU222)</f>
        <v/>
      </c>
      <c r="CV270" s="361" t="n">
        <v>19.59666666666667</v>
      </c>
      <c r="CW270" s="361" t="e">
        <v>#DIV/0!</v>
      </c>
      <c r="CX270" s="361" t="n"/>
      <c r="CY270" s="361" t="n"/>
      <c r="CZ270" s="361" t="n"/>
      <c r="DB270" s="357" t="inlineStr">
        <is>
          <t>03</t>
        </is>
      </c>
      <c r="DC270" s="361">
        <f>AVERAGE(DC$220:DC222)</f>
        <v/>
      </c>
      <c r="DD270" s="361" t="n">
        <v>21.63333333333334</v>
      </c>
      <c r="DE270" s="361" t="e">
        <v>#DIV/0!</v>
      </c>
      <c r="DF270" s="361" t="n"/>
      <c r="DG270" s="361" t="n"/>
      <c r="DH270" s="361" t="n"/>
      <c r="DI270" s="361" t="n"/>
      <c r="DJ270" s="357" t="inlineStr">
        <is>
          <t>03</t>
        </is>
      </c>
      <c r="DK270" s="361">
        <f>AVERAGE(DK$220:DK222)</f>
        <v/>
      </c>
      <c r="DL270" s="361" t="n">
        <v>16.66666666666667</v>
      </c>
      <c r="DM270" s="361" t="e">
        <v>#DIV/0!</v>
      </c>
      <c r="DN270" s="361" t="n"/>
      <c r="DO270" s="361" t="n"/>
      <c r="DP270" s="361" t="n"/>
      <c r="DR270" s="357" t="inlineStr">
        <is>
          <t>03</t>
        </is>
      </c>
      <c r="DS270" s="361">
        <f>AVERAGE(DS$220:DS222)</f>
        <v/>
      </c>
      <c r="DT270" s="361" t="n">
        <v>21.9</v>
      </c>
      <c r="DU270" s="361" t="e">
        <v>#DIV/0!</v>
      </c>
      <c r="DV270" s="361" t="n"/>
      <c r="DW270" s="361" t="n"/>
      <c r="DX270" s="361" t="n"/>
      <c r="DZ270" s="357" t="inlineStr">
        <is>
          <t>03</t>
        </is>
      </c>
      <c r="EA270" s="361">
        <f>AVERAGE(EA$220:EA222)</f>
        <v/>
      </c>
      <c r="EB270" s="361" t="e">
        <v>#DIV/0!</v>
      </c>
      <c r="EC270" s="361" t="e">
        <v>#DIV/0!</v>
      </c>
      <c r="ED270" s="361" t="n"/>
      <c r="EE270" s="361" t="n"/>
      <c r="EF270" s="361" t="n"/>
    </row>
    <row r="271" customFormat="1" s="359">
      <c r="B271" s="357" t="inlineStr">
        <is>
          <t>04</t>
        </is>
      </c>
      <c r="C271" s="361">
        <f>AVERAGE(C$220:C223)</f>
        <v/>
      </c>
      <c r="D271" s="361">
        <f>AVERAGE(D$220:D223)</f>
        <v/>
      </c>
      <c r="E271" s="361">
        <f>AVERAGE(E$220:E223)</f>
        <v/>
      </c>
      <c r="F271" s="361">
        <f>AVERAGE(F$220:F223)</f>
        <v/>
      </c>
      <c r="G271" s="361">
        <f>AVERAGE(G$220:G223)</f>
        <v/>
      </c>
      <c r="H271" s="361">
        <f>AVERAGE(H$220:H223)</f>
        <v/>
      </c>
      <c r="I271" s="361" t="n"/>
      <c r="J271" s="357" t="inlineStr">
        <is>
          <t>04</t>
        </is>
      </c>
      <c r="K271" s="361">
        <f>AVERAGE(K$220:K223)</f>
        <v/>
      </c>
      <c r="L271" s="361" t="n">
        <v>18.1975</v>
      </c>
      <c r="M271" s="361" t="n">
        <v>18.4025</v>
      </c>
      <c r="N271" s="361" t="n">
        <v>16.93</v>
      </c>
      <c r="O271" s="361" t="n">
        <v>17.745</v>
      </c>
      <c r="P271" s="361" t="n">
        <v>12.22250025</v>
      </c>
      <c r="R271" s="357" t="inlineStr">
        <is>
          <t>04</t>
        </is>
      </c>
      <c r="S271" s="361">
        <f>AVERAGE(S$220:S223)</f>
        <v/>
      </c>
      <c r="T271" s="361" t="n">
        <v>17.5375</v>
      </c>
      <c r="U271" s="361" t="n">
        <v>18.485</v>
      </c>
      <c r="V271" s="361" t="n">
        <v>17.015</v>
      </c>
      <c r="W271" s="361" t="n">
        <v>16.43</v>
      </c>
      <c r="X271" s="361" t="n">
        <v>11.5425</v>
      </c>
      <c r="Z271" s="357" t="inlineStr">
        <is>
          <t>04</t>
        </is>
      </c>
      <c r="AA271" s="361">
        <f>AVERAGE(AA$220:AA223)</f>
        <v/>
      </c>
      <c r="AB271" s="361" t="n">
        <v>18.8025</v>
      </c>
      <c r="AC271" s="361" t="n">
        <v>18.5175</v>
      </c>
      <c r="AD271" s="361" t="n">
        <v>17.4825</v>
      </c>
      <c r="AE271" s="361" t="n">
        <v>18.9425</v>
      </c>
      <c r="AF271" s="361" t="n">
        <v>12.755</v>
      </c>
      <c r="AH271" s="357" t="inlineStr">
        <is>
          <t>04</t>
        </is>
      </c>
      <c r="AI271" s="361">
        <f>AVERAGE(AI$220:AI223)</f>
        <v/>
      </c>
      <c r="AJ271" s="361" t="n">
        <v>21</v>
      </c>
      <c r="AK271" s="361" t="n">
        <v>21.4075</v>
      </c>
      <c r="AL271" s="361" t="n">
        <v>19.305</v>
      </c>
      <c r="AM271" s="361" t="n">
        <v>17.38</v>
      </c>
      <c r="AN271" s="361" t="n">
        <v>14.33</v>
      </c>
      <c r="AP271" s="357" t="inlineStr">
        <is>
          <t>04</t>
        </is>
      </c>
      <c r="AQ271" s="361">
        <f>AVERAGE(AQ$220:AQ223)</f>
        <v/>
      </c>
      <c r="AR271" s="361" t="n">
        <v>18.8</v>
      </c>
      <c r="AS271" s="361" t="n">
        <v>18.915</v>
      </c>
      <c r="AT271" s="361" t="n">
        <v>17.2425</v>
      </c>
      <c r="AU271" s="361" t="n">
        <v>16.65</v>
      </c>
      <c r="AV271" s="361" t="e">
        <v>#DIV/0!</v>
      </c>
      <c r="AX271" s="357" t="inlineStr">
        <is>
          <t>04</t>
        </is>
      </c>
      <c r="AY271" s="361">
        <f>AVERAGE(AY$220:AY223)</f>
        <v/>
      </c>
      <c r="AZ271" s="361" t="n">
        <v>21.7325</v>
      </c>
      <c r="BA271" s="361" t="n">
        <v>21.0925</v>
      </c>
      <c r="BB271" s="361" t="n">
        <v>20.0325</v>
      </c>
      <c r="BC271" s="361" t="n"/>
      <c r="BD271" s="361" t="n"/>
      <c r="BE271" s="361" t="n"/>
      <c r="BF271" s="357" t="inlineStr">
        <is>
          <t>04</t>
        </is>
      </c>
      <c r="BG271" s="361">
        <f>AVERAGE(BG$220:BG223)</f>
        <v/>
      </c>
      <c r="BH271" s="361" t="n">
        <v>19.09</v>
      </c>
      <c r="BI271" s="361" t="n">
        <v>19.7125</v>
      </c>
      <c r="BJ271" s="361" t="n"/>
      <c r="BK271" s="361" t="n"/>
      <c r="BL271" s="361" t="n"/>
      <c r="BM271" s="361" t="n"/>
      <c r="BN271" s="357" t="inlineStr">
        <is>
          <t>04</t>
        </is>
      </c>
      <c r="BO271" s="361">
        <f>AVERAGE(BO$220:BO223)</f>
        <v/>
      </c>
      <c r="BP271" s="361" t="n">
        <v>20.3775</v>
      </c>
      <c r="BQ271" s="361" t="n">
        <v>20.395</v>
      </c>
      <c r="BR271" s="361" t="n">
        <v>19.06</v>
      </c>
      <c r="BS271" s="361" t="n">
        <v>16.17</v>
      </c>
      <c r="BT271" s="361" t="n">
        <v>12.5825</v>
      </c>
      <c r="BV271" s="357" t="inlineStr">
        <is>
          <t>04</t>
        </is>
      </c>
      <c r="BW271" s="361">
        <f>AVERAGE(BW$220:BW223)</f>
        <v/>
      </c>
      <c r="BX271" s="361" t="n">
        <v>21.0325</v>
      </c>
      <c r="BY271" s="361" t="n">
        <v>21.84</v>
      </c>
      <c r="BZ271" s="361" t="n">
        <v>19.9475</v>
      </c>
      <c r="CA271" s="361" t="n">
        <v>19.5925</v>
      </c>
      <c r="CB271" s="361" t="n">
        <v>13.565</v>
      </c>
      <c r="CC271" s="361" t="n"/>
      <c r="CD271" s="357" t="inlineStr">
        <is>
          <t>04</t>
        </is>
      </c>
      <c r="CE271" s="361">
        <f>AVERAGE(CE$220:CE223)</f>
        <v/>
      </c>
      <c r="CF271" s="361" t="n">
        <v>19.1475</v>
      </c>
      <c r="CG271" s="361" t="n">
        <v>19.805</v>
      </c>
      <c r="CH271" s="361" t="n">
        <v>18.295</v>
      </c>
      <c r="CI271" s="361" t="n">
        <v>20.1775</v>
      </c>
      <c r="CJ271" s="361" t="n">
        <v>11.657500025</v>
      </c>
      <c r="CL271" s="357" t="inlineStr">
        <is>
          <t>04</t>
        </is>
      </c>
      <c r="CM271" s="361">
        <f>AVERAGE(CM$220:CM223)</f>
        <v/>
      </c>
      <c r="CN271" s="361" t="n">
        <v>20.36</v>
      </c>
      <c r="CO271" s="361" t="n">
        <v>21.5575</v>
      </c>
      <c r="CP271" s="361" t="n">
        <v>20.03</v>
      </c>
      <c r="CQ271" s="361" t="n">
        <v>18.5425</v>
      </c>
      <c r="CR271" s="361" t="n">
        <v>12.98</v>
      </c>
      <c r="CT271" s="357" t="inlineStr">
        <is>
          <t>04</t>
        </is>
      </c>
      <c r="CU271" s="361">
        <f>AVERAGE(CU$220:CU223)</f>
        <v/>
      </c>
      <c r="CV271" s="361" t="n">
        <v>19.36</v>
      </c>
      <c r="CW271" s="361" t="e">
        <v>#DIV/0!</v>
      </c>
      <c r="CX271" s="361" t="n"/>
      <c r="CY271" s="361" t="n"/>
      <c r="CZ271" s="361" t="n"/>
      <c r="DB271" s="357" t="inlineStr">
        <is>
          <t>04</t>
        </is>
      </c>
      <c r="DC271" s="361">
        <f>AVERAGE(DC$220:DC223)</f>
        <v/>
      </c>
      <c r="DD271" s="361" t="n">
        <v>21.55</v>
      </c>
      <c r="DE271" s="361" t="e">
        <v>#DIV/0!</v>
      </c>
      <c r="DF271" s="361" t="n"/>
      <c r="DG271" s="361" t="n"/>
      <c r="DH271" s="361" t="n"/>
      <c r="DI271" s="361" t="n"/>
      <c r="DJ271" s="357" t="inlineStr">
        <is>
          <t>04</t>
        </is>
      </c>
      <c r="DK271" s="361">
        <f>AVERAGE(DK$220:DK223)</f>
        <v/>
      </c>
      <c r="DL271" s="361" t="n">
        <v>16.5275</v>
      </c>
      <c r="DM271" s="361" t="e">
        <v>#DIV/0!</v>
      </c>
      <c r="DN271" s="361" t="n"/>
      <c r="DO271" s="361" t="n"/>
      <c r="DP271" s="361" t="n"/>
      <c r="DR271" s="357" t="inlineStr">
        <is>
          <t>04</t>
        </is>
      </c>
      <c r="DS271" s="361">
        <f>AVERAGE(DS$220:DS223)</f>
        <v/>
      </c>
      <c r="DT271" s="361" t="n">
        <v>21.5</v>
      </c>
      <c r="DU271" s="361" t="e">
        <v>#DIV/0!</v>
      </c>
      <c r="DV271" s="361" t="n"/>
      <c r="DW271" s="361" t="n"/>
      <c r="DX271" s="361" t="n"/>
      <c r="DZ271" s="357" t="inlineStr">
        <is>
          <t>04</t>
        </is>
      </c>
      <c r="EA271" s="361">
        <f>AVERAGE(EA$220:EA223)</f>
        <v/>
      </c>
      <c r="EB271" s="361" t="e">
        <v>#DIV/0!</v>
      </c>
      <c r="EC271" s="361" t="e">
        <v>#DIV/0!</v>
      </c>
      <c r="ED271" s="361" t="n"/>
      <c r="EE271" s="361" t="n"/>
      <c r="EF271" s="361" t="n"/>
    </row>
    <row r="272" customFormat="1" s="359">
      <c r="B272" s="357" t="inlineStr">
        <is>
          <t>05</t>
        </is>
      </c>
      <c r="C272" s="361">
        <f>AVERAGE(C$220:C224)</f>
        <v/>
      </c>
      <c r="D272" s="361">
        <f>AVERAGE(D$220:D224)</f>
        <v/>
      </c>
      <c r="E272" s="361">
        <f>AVERAGE(E$220:E224)</f>
        <v/>
      </c>
      <c r="F272" s="361">
        <f>AVERAGE(F$220:F224)</f>
        <v/>
      </c>
      <c r="G272" s="361">
        <f>AVERAGE(G$220:G224)</f>
        <v/>
      </c>
      <c r="H272" s="361">
        <f>AVERAGE(H$220:H224)</f>
        <v/>
      </c>
      <c r="I272" s="361" t="n"/>
      <c r="J272" s="357" t="inlineStr">
        <is>
          <t>05</t>
        </is>
      </c>
      <c r="K272" s="361">
        <f>AVERAGE(K$220:K224)</f>
        <v/>
      </c>
      <c r="L272" s="361" t="n">
        <v>18.242</v>
      </c>
      <c r="M272" s="361" t="n">
        <v>18.324</v>
      </c>
      <c r="N272" s="361" t="n">
        <v>16.928</v>
      </c>
      <c r="O272" s="361" t="n">
        <v>17.778</v>
      </c>
      <c r="P272" s="361" t="n">
        <v>14.1940002</v>
      </c>
      <c r="R272" s="357" t="inlineStr">
        <is>
          <t>05</t>
        </is>
      </c>
      <c r="S272" s="361">
        <f>AVERAGE(S$220:S224)</f>
        <v/>
      </c>
      <c r="T272" s="361" t="n">
        <v>17.524</v>
      </c>
      <c r="U272" s="361" t="n">
        <v>18.4</v>
      </c>
      <c r="V272" s="361" t="n">
        <v>16.87</v>
      </c>
      <c r="W272" s="361" t="n">
        <v>16.588</v>
      </c>
      <c r="X272" s="361" t="n">
        <v>13.456</v>
      </c>
      <c r="Z272" s="357" t="inlineStr">
        <is>
          <t>05</t>
        </is>
      </c>
      <c r="AA272" s="361">
        <f>AVERAGE(AA$220:AA224)</f>
        <v/>
      </c>
      <c r="AB272" s="361" t="n">
        <v>18.868</v>
      </c>
      <c r="AC272" s="361" t="n">
        <v>18.376</v>
      </c>
      <c r="AD272" s="361" t="n">
        <v>17.346</v>
      </c>
      <c r="AE272" s="361" t="n">
        <v>18.514</v>
      </c>
      <c r="AF272" s="361" t="n">
        <v>14.97</v>
      </c>
      <c r="AH272" s="357" t="inlineStr">
        <is>
          <t>05</t>
        </is>
      </c>
      <c r="AI272" s="361">
        <f>AVERAGE(AI$220:AI224)</f>
        <v/>
      </c>
      <c r="AJ272" s="361" t="n">
        <v>21.06</v>
      </c>
      <c r="AK272" s="361" t="n">
        <v>21.328</v>
      </c>
      <c r="AL272" s="361" t="n">
        <v>19.246</v>
      </c>
      <c r="AM272" s="361" t="n">
        <v>17.808</v>
      </c>
      <c r="AN272" s="361" t="n">
        <v>16.182</v>
      </c>
      <c r="AP272" s="357" t="inlineStr">
        <is>
          <t>05</t>
        </is>
      </c>
      <c r="AQ272" s="361">
        <f>AVERAGE(AQ$220:AQ224)</f>
        <v/>
      </c>
      <c r="AR272" s="361" t="n">
        <v>18.698</v>
      </c>
      <c r="AS272" s="361" t="n">
        <v>18.86</v>
      </c>
      <c r="AT272" s="361" t="n">
        <v>17.242</v>
      </c>
      <c r="AU272" s="361" t="n">
        <v>16.654</v>
      </c>
      <c r="AV272" s="361" t="e">
        <v>#DIV/0!</v>
      </c>
      <c r="AX272" s="357" t="inlineStr">
        <is>
          <t>05</t>
        </is>
      </c>
      <c r="AY272" s="361">
        <f>AVERAGE(AY$220:AY224)</f>
        <v/>
      </c>
      <c r="AZ272" s="361" t="n">
        <v>21.49</v>
      </c>
      <c r="BA272" s="361" t="n">
        <v>21.044</v>
      </c>
      <c r="BB272" s="361" t="n">
        <v>19.972</v>
      </c>
      <c r="BC272" s="361" t="n"/>
      <c r="BD272" s="361" t="n"/>
      <c r="BE272" s="361" t="n"/>
      <c r="BF272" s="357" t="inlineStr">
        <is>
          <t>05</t>
        </is>
      </c>
      <c r="BG272" s="361">
        <f>AVERAGE(BG$220:BG224)</f>
        <v/>
      </c>
      <c r="BH272" s="361" t="n">
        <v>19.042</v>
      </c>
      <c r="BI272" s="361" t="n">
        <v>19.56</v>
      </c>
      <c r="BJ272" s="361" t="n"/>
      <c r="BK272" s="361" t="n"/>
      <c r="BL272" s="361" t="n"/>
      <c r="BM272" s="361" t="n"/>
      <c r="BN272" s="357" t="inlineStr">
        <is>
          <t>05</t>
        </is>
      </c>
      <c r="BO272" s="361">
        <f>AVERAGE(BO$220:BO224)</f>
        <v/>
      </c>
      <c r="BP272" s="361" t="n">
        <v>20.368</v>
      </c>
      <c r="BQ272" s="361" t="n">
        <v>20.37</v>
      </c>
      <c r="BR272" s="361" t="n">
        <v>19.078</v>
      </c>
      <c r="BS272" s="361" t="n">
        <v>16.324</v>
      </c>
      <c r="BT272" s="361" t="n">
        <v>10.066</v>
      </c>
      <c r="BV272" s="357" t="inlineStr">
        <is>
          <t>05</t>
        </is>
      </c>
      <c r="BW272" s="361">
        <f>AVERAGE(BW$220:BW224)</f>
        <v/>
      </c>
      <c r="BX272" s="361" t="n">
        <v>20.904</v>
      </c>
      <c r="BY272" s="361" t="n">
        <v>21.77</v>
      </c>
      <c r="BZ272" s="361" t="n">
        <v>19.942</v>
      </c>
      <c r="CA272" s="361" t="n">
        <v>19.588</v>
      </c>
      <c r="CB272" s="361" t="n">
        <v>15.774</v>
      </c>
      <c r="CC272" s="361" t="n"/>
      <c r="CD272" s="357" t="inlineStr">
        <is>
          <t>05</t>
        </is>
      </c>
      <c r="CE272" s="361">
        <f>AVERAGE(CE$220:CE224)</f>
        <v/>
      </c>
      <c r="CF272" s="361" t="n">
        <v>19.082</v>
      </c>
      <c r="CG272" s="361" t="n">
        <v>19.672</v>
      </c>
      <c r="CH272" s="361" t="n">
        <v>18.194</v>
      </c>
      <c r="CI272" s="361" t="n">
        <v>19.93</v>
      </c>
      <c r="CJ272" s="361" t="n">
        <v>10.57600002</v>
      </c>
      <c r="CL272" s="357" t="inlineStr">
        <is>
          <t>05</t>
        </is>
      </c>
      <c r="CM272" s="361">
        <f>AVERAGE(CM$220:CM224)</f>
        <v/>
      </c>
      <c r="CN272" s="361" t="n">
        <v>20.286</v>
      </c>
      <c r="CO272" s="361" t="n">
        <v>21.45</v>
      </c>
      <c r="CP272" s="361" t="n">
        <v>20.004</v>
      </c>
      <c r="CQ272" s="361" t="n">
        <v>18.766</v>
      </c>
      <c r="CR272" s="361" t="n">
        <v>14.928</v>
      </c>
      <c r="CT272" s="357" t="inlineStr">
        <is>
          <t>05</t>
        </is>
      </c>
      <c r="CU272" s="361">
        <f>AVERAGE(CU$220:CU224)</f>
        <v/>
      </c>
      <c r="CV272" s="361" t="n">
        <v>19.222</v>
      </c>
      <c r="CW272" s="361" t="e">
        <v>#DIV/0!</v>
      </c>
      <c r="CX272" s="361" t="n"/>
      <c r="CY272" s="361" t="n"/>
      <c r="CZ272" s="361" t="n"/>
      <c r="DB272" s="357" t="inlineStr">
        <is>
          <t>05</t>
        </is>
      </c>
      <c r="DC272" s="361">
        <f>AVERAGE(DC$220:DC224)</f>
        <v/>
      </c>
      <c r="DD272" s="361" t="n">
        <v>21.448</v>
      </c>
      <c r="DE272" s="361" t="e">
        <v>#DIV/0!</v>
      </c>
      <c r="DF272" s="361" t="n"/>
      <c r="DG272" s="361" t="n"/>
      <c r="DH272" s="361" t="n"/>
      <c r="DI272" s="361" t="n"/>
      <c r="DJ272" s="357" t="inlineStr">
        <is>
          <t>05</t>
        </is>
      </c>
      <c r="DK272" s="361">
        <f>AVERAGE(DK$220:DK224)</f>
        <v/>
      </c>
      <c r="DL272" s="361" t="n">
        <v>16.414</v>
      </c>
      <c r="DM272" s="361" t="e">
        <v>#DIV/0!</v>
      </c>
      <c r="DN272" s="361" t="n"/>
      <c r="DO272" s="361" t="n"/>
      <c r="DP272" s="361" t="n"/>
      <c r="DR272" s="357" t="inlineStr">
        <is>
          <t>05</t>
        </is>
      </c>
      <c r="DS272" s="361">
        <f>AVERAGE(DS$220:DS224)</f>
        <v/>
      </c>
      <c r="DT272" s="361" t="n">
        <v>21.382</v>
      </c>
      <c r="DU272" s="361" t="e">
        <v>#DIV/0!</v>
      </c>
      <c r="DV272" s="361" t="n"/>
      <c r="DW272" s="361" t="n"/>
      <c r="DX272" s="361" t="n"/>
      <c r="DZ272" s="357" t="inlineStr">
        <is>
          <t>05</t>
        </is>
      </c>
      <c r="EA272" s="361">
        <f>AVERAGE(EA$220:EA224)</f>
        <v/>
      </c>
      <c r="EB272" s="361" t="e">
        <v>#DIV/0!</v>
      </c>
      <c r="EC272" s="361" t="e">
        <v>#DIV/0!</v>
      </c>
      <c r="ED272" s="361" t="n"/>
      <c r="EE272" s="361" t="n"/>
      <c r="EF272" s="361" t="n"/>
    </row>
    <row r="273" customFormat="1" s="359">
      <c r="B273" s="357" t="inlineStr">
        <is>
          <t>06</t>
        </is>
      </c>
      <c r="C273" s="361">
        <f>AVERAGE(C$220:C225)</f>
        <v/>
      </c>
      <c r="D273" s="361">
        <f>AVERAGE(D$220:D225)</f>
        <v/>
      </c>
      <c r="E273" s="361">
        <f>AVERAGE(E$220:E225)</f>
        <v/>
      </c>
      <c r="F273" s="361">
        <f>AVERAGE(F$220:F225)</f>
        <v/>
      </c>
      <c r="G273" s="361">
        <f>AVERAGE(G$220:G225)</f>
        <v/>
      </c>
      <c r="H273" s="361">
        <f>AVERAGE(H$220:H225)</f>
        <v/>
      </c>
      <c r="I273" s="361" t="n"/>
      <c r="J273" s="357" t="inlineStr">
        <is>
          <t>06</t>
        </is>
      </c>
      <c r="K273" s="361">
        <f>AVERAGE(K$220:K225)</f>
        <v/>
      </c>
      <c r="L273" s="361" t="n">
        <v>18.24666666666667</v>
      </c>
      <c r="M273" s="361" t="n">
        <v>18.27166666666667</v>
      </c>
      <c r="N273" s="361" t="n">
        <v>16.99333333333334</v>
      </c>
      <c r="O273" s="361" t="n">
        <v>17.61166666666667</v>
      </c>
      <c r="P273" s="361" t="n">
        <v>14.8683335</v>
      </c>
      <c r="R273" s="357" t="inlineStr">
        <is>
          <t>06</t>
        </is>
      </c>
      <c r="S273" s="361">
        <f>AVERAGE(S$220:S225)</f>
        <v/>
      </c>
      <c r="T273" s="361" t="n">
        <v>17.49166666666667</v>
      </c>
      <c r="U273" s="361" t="n">
        <v>18.305</v>
      </c>
      <c r="V273" s="361" t="n">
        <v>16.84333333333333</v>
      </c>
      <c r="W273" s="361" t="n">
        <v>16.5</v>
      </c>
      <c r="X273" s="361" t="n">
        <v>13.98333333333333</v>
      </c>
      <c r="Z273" s="357" t="inlineStr">
        <is>
          <t>06</t>
        </is>
      </c>
      <c r="AA273" s="361">
        <f>AVERAGE(AA$220:AA225)</f>
        <v/>
      </c>
      <c r="AB273" s="361" t="n">
        <v>18.83666666666666</v>
      </c>
      <c r="AC273" s="361" t="n">
        <v>18.27333333333333</v>
      </c>
      <c r="AD273" s="361" t="n">
        <v>17.44</v>
      </c>
      <c r="AE273" s="361" t="n">
        <v>18.19333333333334</v>
      </c>
      <c r="AF273" s="361" t="n">
        <v>15.49833333333333</v>
      </c>
      <c r="AH273" s="357" t="inlineStr">
        <is>
          <t>06</t>
        </is>
      </c>
      <c r="AI273" s="361">
        <f>AVERAGE(AI$220:AI225)</f>
        <v/>
      </c>
      <c r="AJ273" s="361" t="n">
        <v>21.19</v>
      </c>
      <c r="AK273" s="361" t="n">
        <v>21.23333333333333</v>
      </c>
      <c r="AL273" s="361" t="n">
        <v>19.30333333333333</v>
      </c>
      <c r="AM273" s="361" t="n">
        <v>17.96833333333333</v>
      </c>
      <c r="AN273" s="361" t="n">
        <v>16.73333333333333</v>
      </c>
      <c r="AP273" s="357" t="inlineStr">
        <is>
          <t>06</t>
        </is>
      </c>
      <c r="AQ273" s="361">
        <f>AVERAGE(AQ$220:AQ225)</f>
        <v/>
      </c>
      <c r="AR273" s="361" t="n">
        <v>18.65666666666667</v>
      </c>
      <c r="AS273" s="361" t="n">
        <v>18.78666666666667</v>
      </c>
      <c r="AT273" s="361" t="n">
        <v>17.16333333333333</v>
      </c>
      <c r="AU273" s="361" t="n">
        <v>16.335</v>
      </c>
      <c r="AV273" s="361" t="e">
        <v>#DIV/0!</v>
      </c>
      <c r="AX273" s="357" t="inlineStr">
        <is>
          <t>06</t>
        </is>
      </c>
      <c r="AY273" s="361">
        <f>AVERAGE(AY$220:AY225)</f>
        <v/>
      </c>
      <c r="AZ273" s="361" t="n">
        <v>21.345</v>
      </c>
      <c r="BA273" s="361" t="n">
        <v>20.97333333333333</v>
      </c>
      <c r="BB273" s="361" t="n">
        <v>19.92</v>
      </c>
      <c r="BC273" s="361" t="n"/>
      <c r="BD273" s="361" t="n"/>
      <c r="BE273" s="361" t="n"/>
      <c r="BF273" s="357" t="inlineStr">
        <is>
          <t>06</t>
        </is>
      </c>
      <c r="BG273" s="361">
        <f>AVERAGE(BG$220:BG225)</f>
        <v/>
      </c>
      <c r="BH273" s="361" t="n">
        <v>19.025</v>
      </c>
      <c r="BI273" s="361" t="n">
        <v>19.28</v>
      </c>
      <c r="BJ273" s="361" t="n"/>
      <c r="BK273" s="361" t="n"/>
      <c r="BL273" s="361" t="n"/>
      <c r="BM273" s="361" t="n"/>
      <c r="BN273" s="357" t="inlineStr">
        <is>
          <t>06</t>
        </is>
      </c>
      <c r="BO273" s="361">
        <f>AVERAGE(BO$220:BO225)</f>
        <v/>
      </c>
      <c r="BP273" s="361" t="n">
        <v>20.41166666666667</v>
      </c>
      <c r="BQ273" s="361" t="n">
        <v>20.34666666666667</v>
      </c>
      <c r="BR273" s="361" t="n">
        <v>19.11666666666667</v>
      </c>
      <c r="BS273" s="361" t="n">
        <v>16.52333333333333</v>
      </c>
      <c r="BT273" s="361" t="n">
        <v>11.54666666666667</v>
      </c>
      <c r="BV273" s="357" t="inlineStr">
        <is>
          <t>06</t>
        </is>
      </c>
      <c r="BW273" s="361">
        <f>AVERAGE(BW$220:BW225)</f>
        <v/>
      </c>
      <c r="BX273" s="361" t="n">
        <v>20.87333333333333</v>
      </c>
      <c r="BY273" s="361" t="n">
        <v>21.585</v>
      </c>
      <c r="BZ273" s="361" t="n">
        <v>19.96</v>
      </c>
      <c r="CA273" s="361" t="n">
        <v>19.52</v>
      </c>
      <c r="CB273" s="361" t="n">
        <v>16.35666666666667</v>
      </c>
      <c r="CC273" s="361" t="n"/>
      <c r="CD273" s="357" t="inlineStr">
        <is>
          <t>06</t>
        </is>
      </c>
      <c r="CE273" s="361">
        <f>AVERAGE(CE$220:CE225)</f>
        <v/>
      </c>
      <c r="CF273" s="361" t="n">
        <v>18.985</v>
      </c>
      <c r="CG273" s="361" t="n">
        <v>19.43166666666667</v>
      </c>
      <c r="CH273" s="361" t="n">
        <v>18.135</v>
      </c>
      <c r="CI273" s="361" t="n">
        <v>19.46166666666667</v>
      </c>
      <c r="CJ273" s="361" t="n">
        <v>11.47166668333333</v>
      </c>
      <c r="CL273" s="357" t="inlineStr">
        <is>
          <t>06</t>
        </is>
      </c>
      <c r="CM273" s="361">
        <f>AVERAGE(CM$220:CM225)</f>
        <v/>
      </c>
      <c r="CN273" s="361" t="n">
        <v>20.30833333333333</v>
      </c>
      <c r="CO273" s="361" t="n">
        <v>21.34166666666667</v>
      </c>
      <c r="CP273" s="361" t="n">
        <v>19.98166666666667</v>
      </c>
      <c r="CQ273" s="361" t="n">
        <v>18.82666666666666</v>
      </c>
      <c r="CR273" s="361" t="n">
        <v>15.66333333333333</v>
      </c>
      <c r="CT273" s="357" t="inlineStr">
        <is>
          <t>06</t>
        </is>
      </c>
      <c r="CU273" s="361">
        <f>AVERAGE(CU$220:CU225)</f>
        <v/>
      </c>
      <c r="CV273" s="361" t="n">
        <v>19.09333333333333</v>
      </c>
      <c r="CW273" s="361" t="e">
        <v>#DIV/0!</v>
      </c>
      <c r="CX273" s="361" t="n"/>
      <c r="CY273" s="361" t="n"/>
      <c r="CZ273" s="361" t="n"/>
      <c r="DB273" s="357" t="inlineStr">
        <is>
          <t>06</t>
        </is>
      </c>
      <c r="DC273" s="361">
        <f>AVERAGE(DC$220:DC225)</f>
        <v/>
      </c>
      <c r="DD273" s="361" t="n">
        <v>21.475</v>
      </c>
      <c r="DE273" s="361" t="e">
        <v>#DIV/0!</v>
      </c>
      <c r="DF273" s="361" t="n"/>
      <c r="DG273" s="361" t="n"/>
      <c r="DH273" s="361" t="n"/>
      <c r="DI273" s="361" t="n"/>
      <c r="DJ273" s="357" t="inlineStr">
        <is>
          <t>06</t>
        </is>
      </c>
      <c r="DK273" s="361">
        <f>AVERAGE(DK$220:DK225)</f>
        <v/>
      </c>
      <c r="DL273" s="361" t="n">
        <v>16.4</v>
      </c>
      <c r="DM273" s="361" t="e">
        <v>#DIV/0!</v>
      </c>
      <c r="DN273" s="361" t="n"/>
      <c r="DO273" s="361" t="n"/>
      <c r="DP273" s="361" t="n"/>
      <c r="DR273" s="357" t="inlineStr">
        <is>
          <t>06</t>
        </is>
      </c>
      <c r="DS273" s="361">
        <f>AVERAGE(DS$220:DS225)</f>
        <v/>
      </c>
      <c r="DT273" s="361" t="n">
        <v>21.3</v>
      </c>
      <c r="DU273" s="361" t="e">
        <v>#DIV/0!</v>
      </c>
      <c r="DV273" s="361" t="n"/>
      <c r="DW273" s="361" t="n"/>
      <c r="DX273" s="361" t="n"/>
      <c r="DZ273" s="357" t="inlineStr">
        <is>
          <t>06</t>
        </is>
      </c>
      <c r="EA273" s="361">
        <f>AVERAGE(EA$220:EA225)</f>
        <v/>
      </c>
      <c r="EB273" s="361" t="e">
        <v>#DIV/0!</v>
      </c>
      <c r="EC273" s="361" t="e">
        <v>#DIV/0!</v>
      </c>
      <c r="ED273" s="361" t="n"/>
      <c r="EE273" s="361" t="n"/>
      <c r="EF273" s="361" t="n"/>
    </row>
    <row r="274" customFormat="1" s="359">
      <c r="B274" s="357" t="inlineStr">
        <is>
          <t>07</t>
        </is>
      </c>
      <c r="C274" s="361">
        <f>AVERAGE(C$220:C226)</f>
        <v/>
      </c>
      <c r="D274" s="361">
        <f>AVERAGE(D$220:D226)</f>
        <v/>
      </c>
      <c r="E274" s="361">
        <f>AVERAGE(E$220:E226)</f>
        <v/>
      </c>
      <c r="F274" s="361">
        <f>AVERAGE(F$220:F226)</f>
        <v/>
      </c>
      <c r="G274" s="361">
        <f>AVERAGE(G$220:G226)</f>
        <v/>
      </c>
      <c r="H274" s="361">
        <f>AVERAGE(H$220:H226)</f>
        <v/>
      </c>
      <c r="I274" s="361" t="n"/>
      <c r="J274" s="357" t="inlineStr">
        <is>
          <t>07</t>
        </is>
      </c>
      <c r="K274" s="361">
        <f>AVERAGE(K$220:K226)</f>
        <v/>
      </c>
      <c r="L274" s="361" t="n">
        <v>18.30857142857143</v>
      </c>
      <c r="M274" s="361" t="n">
        <v>18.30857142857143</v>
      </c>
      <c r="N274" s="361" t="n">
        <v>17.02714285714286</v>
      </c>
      <c r="O274" s="361" t="n">
        <v>17.62857142857143</v>
      </c>
      <c r="P274" s="361" t="n">
        <v>15.19428585714286</v>
      </c>
      <c r="R274" s="357" t="inlineStr">
        <is>
          <t>07</t>
        </is>
      </c>
      <c r="S274" s="361">
        <f>AVERAGE(S$220:S226)</f>
        <v/>
      </c>
      <c r="T274" s="361" t="n">
        <v>17.50857142857143</v>
      </c>
      <c r="U274" s="361" t="n">
        <v>18.25571428571428</v>
      </c>
      <c r="V274" s="361" t="n">
        <v>16.94285714285714</v>
      </c>
      <c r="W274" s="361" t="n">
        <v>16.55857142857143</v>
      </c>
      <c r="X274" s="361" t="n">
        <v>14.31857142857143</v>
      </c>
      <c r="Z274" s="357" t="inlineStr">
        <is>
          <t>07</t>
        </is>
      </c>
      <c r="AA274" s="361">
        <f>AVERAGE(AA$220:AA226)</f>
        <v/>
      </c>
      <c r="AB274" s="361" t="n">
        <v>18.86142857142857</v>
      </c>
      <c r="AC274" s="361" t="n">
        <v>18.28857142857143</v>
      </c>
      <c r="AD274" s="361" t="n">
        <v>17.54571428571429</v>
      </c>
      <c r="AE274" s="361" t="n">
        <v>18.04428571428571</v>
      </c>
      <c r="AF274" s="361" t="n">
        <v>15.78571428571429</v>
      </c>
      <c r="AH274" s="357" t="inlineStr">
        <is>
          <t>07</t>
        </is>
      </c>
      <c r="AI274" s="361">
        <f>AVERAGE(AI$220:AI226)</f>
        <v/>
      </c>
      <c r="AJ274" s="361" t="n">
        <v>21.24285714285714</v>
      </c>
      <c r="AK274" s="361" t="n">
        <v>21.34857142857143</v>
      </c>
      <c r="AL274" s="361" t="n">
        <v>19.39428571428572</v>
      </c>
      <c r="AM274" s="361" t="n">
        <v>18.22428571428572</v>
      </c>
      <c r="AN274" s="361" t="n">
        <v>17.04714285714286</v>
      </c>
      <c r="AP274" s="357" t="inlineStr">
        <is>
          <t>07</t>
        </is>
      </c>
      <c r="AQ274" s="361">
        <f>AVERAGE(AQ$220:AQ226)</f>
        <v/>
      </c>
      <c r="AR274" s="361" t="n">
        <v>18.77428571428572</v>
      </c>
      <c r="AS274" s="361" t="n">
        <v>18.78</v>
      </c>
      <c r="AT274" s="361" t="n">
        <v>17.19142857142857</v>
      </c>
      <c r="AU274" s="361" t="n">
        <v>16.42</v>
      </c>
      <c r="AV274" s="361" t="e">
        <v>#DIV/0!</v>
      </c>
      <c r="AX274" s="357" t="inlineStr">
        <is>
          <t>07</t>
        </is>
      </c>
      <c r="AY274" s="361">
        <f>AVERAGE(AY$220:AY226)</f>
        <v/>
      </c>
      <c r="AZ274" s="361" t="n">
        <v>21.27714285714286</v>
      </c>
      <c r="BA274" s="361" t="n">
        <v>21.03714285714286</v>
      </c>
      <c r="BB274" s="361" t="n">
        <v>19.89</v>
      </c>
      <c r="BC274" s="361" t="n">
        <v>23.09</v>
      </c>
      <c r="BD274" s="361" t="n"/>
      <c r="BE274" s="361" t="n"/>
      <c r="BF274" s="357" t="inlineStr">
        <is>
          <t>07</t>
        </is>
      </c>
      <c r="BG274" s="361">
        <f>AVERAGE(BG$220:BG226)</f>
        <v/>
      </c>
      <c r="BH274" s="361" t="n">
        <v>19.00857142857143</v>
      </c>
      <c r="BI274" s="361" t="n">
        <v>19.20857142857142</v>
      </c>
      <c r="BJ274" s="361" t="n"/>
      <c r="BK274" s="361" t="n"/>
      <c r="BL274" s="361" t="n"/>
      <c r="BM274" s="361" t="n"/>
      <c r="BN274" s="357" t="inlineStr">
        <is>
          <t>07</t>
        </is>
      </c>
      <c r="BO274" s="361">
        <f>AVERAGE(BO$220:BO226)</f>
        <v/>
      </c>
      <c r="BP274" s="361" t="n">
        <v>20.52714285714286</v>
      </c>
      <c r="BQ274" s="361" t="n">
        <v>20.49142857142857</v>
      </c>
      <c r="BR274" s="361" t="n">
        <v>19.20857142857143</v>
      </c>
      <c r="BS274" s="361" t="n">
        <v>16.99</v>
      </c>
      <c r="BT274" s="361" t="n">
        <v>12.67714285714286</v>
      </c>
      <c r="BV274" s="357" t="inlineStr">
        <is>
          <t>07</t>
        </is>
      </c>
      <c r="BW274" s="361">
        <f>AVERAGE(BW$220:BW226)</f>
        <v/>
      </c>
      <c r="BX274" s="361" t="n">
        <v>20.86428571428571</v>
      </c>
      <c r="BY274" s="361" t="n">
        <v>21.71571428571428</v>
      </c>
      <c r="BZ274" s="361" t="n">
        <v>19.98571428571428</v>
      </c>
      <c r="CA274" s="361" t="n">
        <v>19.54571428571429</v>
      </c>
      <c r="CB274" s="361" t="n">
        <v>16.81142857142857</v>
      </c>
      <c r="CC274" s="361" t="n"/>
      <c r="CD274" s="357" t="inlineStr">
        <is>
          <t>07</t>
        </is>
      </c>
      <c r="CE274" s="361">
        <f>AVERAGE(CE$220:CE226)</f>
        <v/>
      </c>
      <c r="CF274" s="361" t="n">
        <v>18.96</v>
      </c>
      <c r="CG274" s="361" t="n">
        <v>19.38285714285714</v>
      </c>
      <c r="CH274" s="361" t="n">
        <v>18.07428571428571</v>
      </c>
      <c r="CI274" s="361" t="n">
        <v>19.18857142857143</v>
      </c>
      <c r="CJ274" s="361" t="n">
        <v>12.0657143</v>
      </c>
      <c r="CL274" s="357" t="inlineStr">
        <is>
          <t>07</t>
        </is>
      </c>
      <c r="CM274" s="361">
        <f>AVERAGE(CM$220:CM226)</f>
        <v/>
      </c>
      <c r="CN274" s="361" t="n">
        <v>20.31285714285714</v>
      </c>
      <c r="CO274" s="361" t="n">
        <v>21.43857142857143</v>
      </c>
      <c r="CP274" s="361" t="n">
        <v>19.92857142857143</v>
      </c>
      <c r="CQ274" s="361" t="n">
        <v>18.86428571428571</v>
      </c>
      <c r="CR274" s="361" t="n">
        <v>16.03571428571428</v>
      </c>
      <c r="CT274" s="357" t="inlineStr">
        <is>
          <t>07</t>
        </is>
      </c>
      <c r="CU274" s="361">
        <f>AVERAGE(CU$220:CU226)</f>
        <v/>
      </c>
      <c r="CV274" s="361" t="n">
        <v>19.02571428571429</v>
      </c>
      <c r="CW274" s="361" t="e">
        <v>#DIV/0!</v>
      </c>
      <c r="CX274" s="361" t="n"/>
      <c r="CY274" s="361" t="n"/>
      <c r="CZ274" s="361" t="n"/>
      <c r="DB274" s="357" t="inlineStr">
        <is>
          <t>07</t>
        </is>
      </c>
      <c r="DC274" s="361">
        <f>AVERAGE(DC$220:DC226)</f>
        <v/>
      </c>
      <c r="DD274" s="361" t="n">
        <v>21.61000000000001</v>
      </c>
      <c r="DE274" s="361" t="e">
        <v>#DIV/0!</v>
      </c>
      <c r="DF274" s="361" t="n"/>
      <c r="DG274" s="361" t="n"/>
      <c r="DH274" s="361" t="n"/>
      <c r="DI274" s="361" t="n"/>
      <c r="DJ274" s="357" t="inlineStr">
        <is>
          <t>07</t>
        </is>
      </c>
      <c r="DK274" s="361">
        <f>AVERAGE(DK$220:DK226)</f>
        <v/>
      </c>
      <c r="DL274" s="361" t="n">
        <v>16.44428571428571</v>
      </c>
      <c r="DM274" s="361" t="e">
        <v>#DIV/0!</v>
      </c>
      <c r="DN274" s="361" t="n"/>
      <c r="DO274" s="361" t="n"/>
      <c r="DP274" s="361" t="n"/>
      <c r="DR274" s="357" t="inlineStr">
        <is>
          <t>07</t>
        </is>
      </c>
      <c r="DS274" s="361">
        <f>AVERAGE(DS$220:DS226)</f>
        <v/>
      </c>
      <c r="DT274" s="361" t="n">
        <v>21.29857142857143</v>
      </c>
      <c r="DU274" s="361" t="e">
        <v>#DIV/0!</v>
      </c>
      <c r="DV274" s="361" t="n"/>
      <c r="DW274" s="361" t="n"/>
      <c r="DX274" s="361" t="n"/>
      <c r="DZ274" s="357" t="inlineStr">
        <is>
          <t>07</t>
        </is>
      </c>
      <c r="EA274" s="361">
        <f>AVERAGE(EA$220:EA226)</f>
        <v/>
      </c>
      <c r="EB274" s="361" t="e">
        <v>#DIV/0!</v>
      </c>
      <c r="EC274" s="361" t="e">
        <v>#DIV/0!</v>
      </c>
      <c r="ED274" s="361" t="n"/>
      <c r="EE274" s="361" t="n"/>
      <c r="EF274" s="361" t="n"/>
    </row>
    <row r="275" customFormat="1" s="359">
      <c r="B275" s="357" t="inlineStr">
        <is>
          <t>08</t>
        </is>
      </c>
      <c r="C275" s="361">
        <f>AVERAGE(C$220:C227)</f>
        <v/>
      </c>
      <c r="D275" s="361">
        <f>AVERAGE(D$220:D227)</f>
        <v/>
      </c>
      <c r="E275" s="361">
        <f>AVERAGE(E$220:E227)</f>
        <v/>
      </c>
      <c r="F275" s="361">
        <f>AVERAGE(F$220:F227)</f>
        <v/>
      </c>
      <c r="G275" s="361">
        <f>AVERAGE(G$220:G227)</f>
        <v/>
      </c>
      <c r="H275" s="361">
        <f>AVERAGE(H$220:H227)</f>
        <v/>
      </c>
      <c r="I275" s="361" t="n"/>
      <c r="J275" s="357" t="inlineStr">
        <is>
          <t>08</t>
        </is>
      </c>
      <c r="K275" s="361">
        <f>AVERAGE(K$220:K227)</f>
        <v/>
      </c>
      <c r="L275" s="361" t="n">
        <v>18.4475</v>
      </c>
      <c r="M275" s="361" t="n">
        <v>18.39875</v>
      </c>
      <c r="N275" s="361" t="n">
        <v>17.08125</v>
      </c>
      <c r="O275" s="361" t="n">
        <v>17.65625</v>
      </c>
      <c r="P275" s="361" t="n">
        <v>15.448750125</v>
      </c>
      <c r="R275" s="357" t="inlineStr">
        <is>
          <t>08</t>
        </is>
      </c>
      <c r="S275" s="361">
        <f>AVERAGE(S$220:S227)</f>
        <v/>
      </c>
      <c r="T275" s="361" t="n">
        <v>17.6725</v>
      </c>
      <c r="U275" s="361" t="n">
        <v>18.265</v>
      </c>
      <c r="V275" s="361" t="n">
        <v>16.965</v>
      </c>
      <c r="W275" s="361" t="n">
        <v>16.63125</v>
      </c>
      <c r="X275" s="361" t="n">
        <v>14.67875</v>
      </c>
      <c r="Z275" s="357" t="inlineStr">
        <is>
          <t>08</t>
        </is>
      </c>
      <c r="AA275" s="361">
        <f>AVERAGE(AA$220:AA227)</f>
        <v/>
      </c>
      <c r="AB275" s="361" t="n">
        <v>18.92125</v>
      </c>
      <c r="AC275" s="361" t="n">
        <v>18.34125</v>
      </c>
      <c r="AD275" s="361" t="n">
        <v>17.6575</v>
      </c>
      <c r="AE275" s="361" t="n">
        <v>18.02375</v>
      </c>
      <c r="AF275" s="361" t="n">
        <v>16.14125</v>
      </c>
      <c r="AH275" s="357" t="inlineStr">
        <is>
          <t>08</t>
        </is>
      </c>
      <c r="AI275" s="361">
        <f>AVERAGE(AI$220:AI227)</f>
        <v/>
      </c>
      <c r="AJ275" s="361" t="n">
        <v>21.3775</v>
      </c>
      <c r="AK275" s="361" t="n">
        <v>21.41</v>
      </c>
      <c r="AL275" s="361" t="n">
        <v>19.43125</v>
      </c>
      <c r="AM275" s="361" t="n">
        <v>18.5175</v>
      </c>
      <c r="AN275" s="361" t="n">
        <v>17.3475</v>
      </c>
      <c r="AP275" s="357" t="inlineStr">
        <is>
          <t>08</t>
        </is>
      </c>
      <c r="AQ275" s="361">
        <f>AVERAGE(AQ$220:AQ227)</f>
        <v/>
      </c>
      <c r="AR275" s="361" t="n">
        <v>18.94375</v>
      </c>
      <c r="AS275" s="361" t="n">
        <v>18.8</v>
      </c>
      <c r="AT275" s="361" t="n">
        <v>17.24125</v>
      </c>
      <c r="AU275" s="361" t="n">
        <v>16.465</v>
      </c>
      <c r="AV275" s="361" t="e">
        <v>#DIV/0!</v>
      </c>
      <c r="AX275" s="357" t="inlineStr">
        <is>
          <t>08</t>
        </is>
      </c>
      <c r="AY275" s="361">
        <f>AVERAGE(AY$220:AY227)</f>
        <v/>
      </c>
      <c r="AZ275" s="361" t="n">
        <v>21.28125</v>
      </c>
      <c r="BA275" s="361" t="n">
        <v>21.1375</v>
      </c>
      <c r="BB275" s="361" t="n">
        <v>19.87875</v>
      </c>
      <c r="BC275" s="361" t="n">
        <v>22.145</v>
      </c>
      <c r="BD275" s="361" t="n"/>
      <c r="BE275" s="361" t="n"/>
      <c r="BF275" s="357" t="inlineStr">
        <is>
          <t>08</t>
        </is>
      </c>
      <c r="BG275" s="361">
        <f>AVERAGE(BG$220:BG227)</f>
        <v/>
      </c>
      <c r="BH275" s="361" t="n">
        <v>19.11125</v>
      </c>
      <c r="BI275" s="361" t="n">
        <v>19.15875</v>
      </c>
      <c r="BJ275" s="361" t="n"/>
      <c r="BK275" s="361" t="n"/>
      <c r="BL275" s="361" t="n"/>
      <c r="BM275" s="361" t="n"/>
      <c r="BN275" s="357" t="inlineStr">
        <is>
          <t>08</t>
        </is>
      </c>
      <c r="BO275" s="361">
        <f>AVERAGE(BO$220:BO227)</f>
        <v/>
      </c>
      <c r="BP275" s="361" t="n">
        <v>20.74625</v>
      </c>
      <c r="BQ275" s="361" t="n">
        <v>20.64875</v>
      </c>
      <c r="BR275" s="361" t="n">
        <v>19.25625</v>
      </c>
      <c r="BS275" s="361" t="n">
        <v>17.4225</v>
      </c>
      <c r="BT275" s="361" t="n">
        <v>13.66875</v>
      </c>
      <c r="BV275" s="357" t="inlineStr">
        <is>
          <t>08</t>
        </is>
      </c>
      <c r="BW275" s="361">
        <f>AVERAGE(BW$220:BW227)</f>
        <v/>
      </c>
      <c r="BX275" s="361" t="n">
        <v>21.02125</v>
      </c>
      <c r="BY275" s="361" t="n">
        <v>21.82125</v>
      </c>
      <c r="BZ275" s="361" t="n">
        <v>20.0225</v>
      </c>
      <c r="CA275" s="361" t="n">
        <v>19.67375</v>
      </c>
      <c r="CB275" s="361" t="n">
        <v>17.24875</v>
      </c>
      <c r="CC275" s="361" t="n"/>
      <c r="CD275" s="357" t="inlineStr">
        <is>
          <t>08</t>
        </is>
      </c>
      <c r="CE275" s="361">
        <f>AVERAGE(CE$220:CE227)</f>
        <v/>
      </c>
      <c r="CF275" s="361" t="n">
        <v>19.0175</v>
      </c>
      <c r="CG275" s="361" t="n">
        <v>19.43125</v>
      </c>
      <c r="CH275" s="361" t="n">
        <v>18.185</v>
      </c>
      <c r="CI275" s="361" t="n">
        <v>19.08</v>
      </c>
      <c r="CJ275" s="361" t="n">
        <v>12.7912500125</v>
      </c>
      <c r="CL275" s="357" t="inlineStr">
        <is>
          <t>08</t>
        </is>
      </c>
      <c r="CM275" s="361">
        <f>AVERAGE(CM$220:CM227)</f>
        <v/>
      </c>
      <c r="CN275" s="361" t="n">
        <v>20.41625</v>
      </c>
      <c r="CO275" s="361" t="n">
        <v>21.45375</v>
      </c>
      <c r="CP275" s="361" t="n">
        <v>19.93375</v>
      </c>
      <c r="CQ275" s="361" t="n">
        <v>18.99875</v>
      </c>
      <c r="CR275" s="361" t="n">
        <v>16.4075</v>
      </c>
      <c r="CT275" s="357" t="inlineStr">
        <is>
          <t>08</t>
        </is>
      </c>
      <c r="CU275" s="361">
        <f>AVERAGE(CU$220:CU227)</f>
        <v/>
      </c>
      <c r="CV275" s="361" t="n">
        <v>19.02</v>
      </c>
      <c r="CW275" s="361" t="e">
        <v>#DIV/0!</v>
      </c>
      <c r="CX275" s="361" t="n"/>
      <c r="CY275" s="361" t="n"/>
      <c r="CZ275" s="361" t="n"/>
      <c r="DB275" s="357" t="inlineStr">
        <is>
          <t>08</t>
        </is>
      </c>
      <c r="DC275" s="361">
        <f>AVERAGE(DC$220:DC227)</f>
        <v/>
      </c>
      <c r="DD275" s="361" t="n">
        <v>21.7625</v>
      </c>
      <c r="DE275" s="361" t="e">
        <v>#DIV/0!</v>
      </c>
      <c r="DF275" s="361" t="n"/>
      <c r="DG275" s="361" t="n"/>
      <c r="DH275" s="361" t="n"/>
      <c r="DI275" s="361" t="n"/>
      <c r="DJ275" s="357" t="inlineStr">
        <is>
          <t>08</t>
        </is>
      </c>
      <c r="DK275" s="361">
        <f>AVERAGE(DK$220:DK227)</f>
        <v/>
      </c>
      <c r="DL275" s="361" t="n">
        <v>16.52625</v>
      </c>
      <c r="DM275" s="361" t="e">
        <v>#DIV/0!</v>
      </c>
      <c r="DN275" s="361" t="n"/>
      <c r="DO275" s="361" t="n"/>
      <c r="DP275" s="361" t="n"/>
      <c r="DR275" s="357" t="inlineStr">
        <is>
          <t>08</t>
        </is>
      </c>
      <c r="DS275" s="361">
        <f>AVERAGE(DS$220:DS227)</f>
        <v/>
      </c>
      <c r="DT275" s="361" t="n">
        <v>21.35875</v>
      </c>
      <c r="DU275" s="361" t="e">
        <v>#DIV/0!</v>
      </c>
      <c r="DV275" s="361" t="n"/>
      <c r="DW275" s="361" t="n"/>
      <c r="DX275" s="361" t="n"/>
      <c r="DZ275" s="357" t="inlineStr">
        <is>
          <t>08</t>
        </is>
      </c>
      <c r="EA275" s="361">
        <f>AVERAGE(EA$220:EA227)</f>
        <v/>
      </c>
      <c r="EB275" s="361" t="n">
        <v>21.37</v>
      </c>
      <c r="EC275" s="361" t="e">
        <v>#DIV/0!</v>
      </c>
      <c r="ED275" s="361" t="n"/>
      <c r="EE275" s="361" t="n"/>
      <c r="EF275" s="361" t="n"/>
    </row>
    <row r="276" customFormat="1" s="359">
      <c r="B276" s="357" t="inlineStr">
        <is>
          <t>09</t>
        </is>
      </c>
      <c r="C276" s="361">
        <f>AVERAGE(C$220:C228)</f>
        <v/>
      </c>
      <c r="D276" s="361">
        <f>AVERAGE(D$220:D228)</f>
        <v/>
      </c>
      <c r="E276" s="361">
        <f>AVERAGE(E$220:E228)</f>
        <v/>
      </c>
      <c r="F276" s="361">
        <f>AVERAGE(F$220:F228)</f>
        <v/>
      </c>
      <c r="G276" s="361">
        <f>AVERAGE(G$220:G228)</f>
        <v/>
      </c>
      <c r="H276" s="361">
        <f>AVERAGE(H$220:H228)</f>
        <v/>
      </c>
      <c r="I276" s="361" t="n"/>
      <c r="J276" s="357" t="inlineStr">
        <is>
          <t>09</t>
        </is>
      </c>
      <c r="K276" s="361">
        <f>AVERAGE(K$220:K228)</f>
        <v/>
      </c>
      <c r="L276" s="361" t="n">
        <v>18.42777777777778</v>
      </c>
      <c r="M276" s="361" t="n">
        <v>18.32888888888889</v>
      </c>
      <c r="N276" s="361" t="n">
        <v>17.01888888888889</v>
      </c>
      <c r="O276" s="361" t="n">
        <v>17.55111111111111</v>
      </c>
      <c r="P276" s="361" t="n">
        <v>15.49000011111111</v>
      </c>
      <c r="R276" s="357" t="inlineStr">
        <is>
          <t>09</t>
        </is>
      </c>
      <c r="S276" s="361">
        <f>AVERAGE(S$220:S228)</f>
        <v/>
      </c>
      <c r="T276" s="361" t="n">
        <v>17.70666666666666</v>
      </c>
      <c r="U276" s="361" t="n">
        <v>18.29888888888889</v>
      </c>
      <c r="V276" s="361" t="n">
        <v>16.97888888888889</v>
      </c>
      <c r="W276" s="361" t="n">
        <v>16.58111111111111</v>
      </c>
      <c r="X276" s="361" t="n">
        <v>14.82333333333333</v>
      </c>
      <c r="Z276" s="357" t="inlineStr">
        <is>
          <t>09</t>
        </is>
      </c>
      <c r="AA276" s="361">
        <f>AVERAGE(AA$220:AA228)</f>
        <v/>
      </c>
      <c r="AB276" s="361" t="n">
        <v>18.94555555555555</v>
      </c>
      <c r="AC276" s="361" t="n">
        <v>18.30555555555556</v>
      </c>
      <c r="AD276" s="361" t="n">
        <v>17.55111111111111</v>
      </c>
      <c r="AE276" s="361" t="n">
        <v>17.88444444444444</v>
      </c>
      <c r="AF276" s="361" t="n">
        <v>16.29444444444445</v>
      </c>
      <c r="AH276" s="357" t="inlineStr">
        <is>
          <t>09</t>
        </is>
      </c>
      <c r="AI276" s="361">
        <f>AVERAGE(AI$220:AI228)</f>
        <v/>
      </c>
      <c r="AJ276" s="361" t="n">
        <v>21.42111111111111</v>
      </c>
      <c r="AK276" s="361" t="n">
        <v>21.36666666666667</v>
      </c>
      <c r="AL276" s="361" t="n">
        <v>19.42555555555556</v>
      </c>
      <c r="AM276" s="361" t="n">
        <v>18.49888888888889</v>
      </c>
      <c r="AN276" s="361" t="n">
        <v>17.41333333333333</v>
      </c>
      <c r="AP276" s="357" t="inlineStr">
        <is>
          <t>09</t>
        </is>
      </c>
      <c r="AQ276" s="361">
        <f>AVERAGE(AQ$220:AQ228)</f>
        <v/>
      </c>
      <c r="AR276" s="361" t="n">
        <v>18.99</v>
      </c>
      <c r="AS276" s="361" t="n">
        <v>18.78111111111111</v>
      </c>
      <c r="AT276" s="361" t="n">
        <v>17.29222222222222</v>
      </c>
      <c r="AU276" s="361" t="n">
        <v>16.52111111111111</v>
      </c>
      <c r="AV276" s="361" t="e">
        <v>#DIV/0!</v>
      </c>
      <c r="AX276" s="357" t="inlineStr">
        <is>
          <t>09</t>
        </is>
      </c>
      <c r="AY276" s="361">
        <f>AVERAGE(AY$220:AY228)</f>
        <v/>
      </c>
      <c r="AZ276" s="361" t="n">
        <v>21.24555555555555</v>
      </c>
      <c r="BA276" s="361" t="n">
        <v>21.22</v>
      </c>
      <c r="BB276" s="361" t="n">
        <v>19.83666666666667</v>
      </c>
      <c r="BC276" s="361" t="n">
        <v>21.57333333333333</v>
      </c>
      <c r="BD276" s="361" t="n"/>
      <c r="BE276" s="361" t="n"/>
      <c r="BF276" s="357" t="inlineStr">
        <is>
          <t>09</t>
        </is>
      </c>
      <c r="BG276" s="361">
        <f>AVERAGE(BG$220:BG228)</f>
        <v/>
      </c>
      <c r="BH276" s="361" t="n">
        <v>19.17444444444444</v>
      </c>
      <c r="BI276" s="361" t="n">
        <v>19.09</v>
      </c>
      <c r="BJ276" s="361" t="n"/>
      <c r="BK276" s="361" t="n"/>
      <c r="BL276" s="361" t="n"/>
      <c r="BM276" s="361" t="n"/>
      <c r="BN276" s="357" t="inlineStr">
        <is>
          <t>09</t>
        </is>
      </c>
      <c r="BO276" s="361">
        <f>AVERAGE(BO$220:BO228)</f>
        <v/>
      </c>
      <c r="BP276" s="361" t="n">
        <v>20.70888888888889</v>
      </c>
      <c r="BQ276" s="361" t="n">
        <v>20.53111111111111</v>
      </c>
      <c r="BR276" s="361" t="n">
        <v>19.15333333333333</v>
      </c>
      <c r="BS276" s="361" t="n">
        <v>17.34888888888888</v>
      </c>
      <c r="BT276" s="361" t="n">
        <v>13.93555555555556</v>
      </c>
      <c r="BV276" s="357" t="inlineStr">
        <is>
          <t>09</t>
        </is>
      </c>
      <c r="BW276" s="361">
        <f>AVERAGE(BW$220:BW228)</f>
        <v/>
      </c>
      <c r="BX276" s="361" t="n">
        <v>21.05777777777778</v>
      </c>
      <c r="BY276" s="361" t="n">
        <v>21.80888888888889</v>
      </c>
      <c r="BZ276" s="361" t="n">
        <v>20.05666666666666</v>
      </c>
      <c r="CA276" s="361" t="n">
        <v>19.56111111111111</v>
      </c>
      <c r="CB276" s="361" t="n">
        <v>17.34888888888889</v>
      </c>
      <c r="CC276" s="361" t="n"/>
      <c r="CD276" s="357" t="inlineStr">
        <is>
          <t>09</t>
        </is>
      </c>
      <c r="CE276" s="361">
        <f>AVERAGE(CE$220:CE228)</f>
        <v/>
      </c>
      <c r="CF276" s="361" t="n">
        <v>19.02333333333333</v>
      </c>
      <c r="CG276" s="361" t="n">
        <v>19.42111111111111</v>
      </c>
      <c r="CH276" s="361" t="n">
        <v>18.23111111111111</v>
      </c>
      <c r="CI276" s="361" t="n">
        <v>18.90111111111111</v>
      </c>
      <c r="CJ276" s="361" t="n">
        <v>13.09000001111111</v>
      </c>
      <c r="CL276" s="357" t="inlineStr">
        <is>
          <t>09</t>
        </is>
      </c>
      <c r="CM276" s="361">
        <f>AVERAGE(CM$220:CM228)</f>
        <v/>
      </c>
      <c r="CN276" s="361" t="n">
        <v>20.48666666666666</v>
      </c>
      <c r="CO276" s="361" t="n">
        <v>21.45222222222222</v>
      </c>
      <c r="CP276" s="361" t="n">
        <v>19.86111111111111</v>
      </c>
      <c r="CQ276" s="361" t="n">
        <v>18.97888888888889</v>
      </c>
      <c r="CR276" s="361" t="n">
        <v>16.52222222222222</v>
      </c>
      <c r="CT276" s="357" t="inlineStr">
        <is>
          <t>09</t>
        </is>
      </c>
      <c r="CU276" s="361">
        <f>AVERAGE(CU$220:CU228)</f>
        <v/>
      </c>
      <c r="CV276" s="361" t="n">
        <v>18.94333333333334</v>
      </c>
      <c r="CW276" s="361" t="e">
        <v>#DIV/0!</v>
      </c>
      <c r="CX276" s="361" t="n"/>
      <c r="CY276" s="361" t="n"/>
      <c r="CZ276" s="361" t="n"/>
      <c r="DB276" s="357" t="inlineStr">
        <is>
          <t>09</t>
        </is>
      </c>
      <c r="DC276" s="361">
        <f>AVERAGE(DC$220:DC228)</f>
        <v/>
      </c>
      <c r="DD276" s="361" t="n">
        <v>21.85555555555556</v>
      </c>
      <c r="DE276" s="361" t="e">
        <v>#DIV/0!</v>
      </c>
      <c r="DF276" s="361" t="n"/>
      <c r="DG276" s="361" t="n"/>
      <c r="DH276" s="361" t="n"/>
      <c r="DI276" s="361" t="n"/>
      <c r="DJ276" s="357" t="inlineStr">
        <is>
          <t>09</t>
        </is>
      </c>
      <c r="DK276" s="361">
        <f>AVERAGE(DK$220:DK228)</f>
        <v/>
      </c>
      <c r="DL276" s="361" t="n">
        <v>16.51333333333333</v>
      </c>
      <c r="DM276" s="361" t="e">
        <v>#DIV/0!</v>
      </c>
      <c r="DN276" s="361" t="n"/>
      <c r="DO276" s="361" t="n"/>
      <c r="DP276" s="361" t="n"/>
      <c r="DR276" s="357" t="inlineStr">
        <is>
          <t>09</t>
        </is>
      </c>
      <c r="DS276" s="361">
        <f>AVERAGE(DS$220:DS228)</f>
        <v/>
      </c>
      <c r="DT276" s="361" t="n">
        <v>21.36777777777778</v>
      </c>
      <c r="DU276" s="361" t="e">
        <v>#DIV/0!</v>
      </c>
      <c r="DV276" s="361" t="n"/>
      <c r="DW276" s="361" t="n"/>
      <c r="DX276" s="361" t="n"/>
      <c r="DZ276" s="357" t="inlineStr">
        <is>
          <t>09</t>
        </is>
      </c>
      <c r="EA276" s="361">
        <f>AVERAGE(EA$220:EA228)</f>
        <v/>
      </c>
      <c r="EB276" s="361" t="n">
        <v>21.44</v>
      </c>
      <c r="EC276" s="361" t="e">
        <v>#DIV/0!</v>
      </c>
      <c r="ED276" s="361" t="n"/>
      <c r="EE276" s="361" t="n"/>
      <c r="EF276" s="361" t="n"/>
    </row>
    <row r="277" customFormat="1" s="359">
      <c r="B277" s="357" t="inlineStr">
        <is>
          <t>10</t>
        </is>
      </c>
      <c r="C277" s="361">
        <f>AVERAGE(C$220:C229)</f>
        <v/>
      </c>
      <c r="D277" s="361">
        <f>AVERAGE(D$220:D229)</f>
        <v/>
      </c>
      <c r="E277" s="361">
        <f>AVERAGE(E$220:E229)</f>
        <v/>
      </c>
      <c r="F277" s="361">
        <f>AVERAGE(F$220:F229)</f>
        <v/>
      </c>
      <c r="G277" s="361">
        <f>AVERAGE(G$220:G229)</f>
        <v/>
      </c>
      <c r="H277" s="361">
        <f>AVERAGE(H$220:H229)</f>
        <v/>
      </c>
      <c r="I277" s="361" t="n"/>
      <c r="J277" s="357" t="inlineStr">
        <is>
          <t>10</t>
        </is>
      </c>
      <c r="K277" s="361">
        <f>AVERAGE(K$220:K229)</f>
        <v/>
      </c>
      <c r="L277" s="361" t="n">
        <v>18.45</v>
      </c>
      <c r="M277" s="361" t="n">
        <v>18.356</v>
      </c>
      <c r="N277" s="361" t="n">
        <v>17.051</v>
      </c>
      <c r="O277" s="361" t="n">
        <v>17.426</v>
      </c>
      <c r="P277" s="361" t="n">
        <v>15.6680001</v>
      </c>
      <c r="R277" s="357" t="inlineStr">
        <is>
          <t>10</t>
        </is>
      </c>
      <c r="S277" s="361">
        <f>AVERAGE(S$220:S229)</f>
        <v/>
      </c>
      <c r="T277" s="361" t="n">
        <v>17.66</v>
      </c>
      <c r="U277" s="361" t="n">
        <v>18.239</v>
      </c>
      <c r="V277" s="361" t="n">
        <v>17.012</v>
      </c>
      <c r="W277" s="361" t="n">
        <v>16.501</v>
      </c>
      <c r="X277" s="361" t="n">
        <v>14.989</v>
      </c>
      <c r="Z277" s="357" t="inlineStr">
        <is>
          <t>10</t>
        </is>
      </c>
      <c r="AA277" s="361">
        <f>AVERAGE(AA$220:AA229)</f>
        <v/>
      </c>
      <c r="AB277" s="361" t="n">
        <v>18.868</v>
      </c>
      <c r="AC277" s="361" t="n">
        <v>18.335</v>
      </c>
      <c r="AD277" s="361" t="n">
        <v>17.516</v>
      </c>
      <c r="AE277" s="361" t="n">
        <v>17.641</v>
      </c>
      <c r="AF277" s="361" t="n">
        <v>16.463</v>
      </c>
      <c r="AH277" s="357" t="inlineStr">
        <is>
          <t>10</t>
        </is>
      </c>
      <c r="AI277" s="361">
        <f>AVERAGE(AI$220:AI229)</f>
        <v/>
      </c>
      <c r="AJ277" s="361" t="n">
        <v>21.348</v>
      </c>
      <c r="AK277" s="361" t="n">
        <v>21.292</v>
      </c>
      <c r="AL277" s="361" t="n">
        <v>19.498</v>
      </c>
      <c r="AM277" s="361" t="n">
        <v>18.484</v>
      </c>
      <c r="AN277" s="361" t="n">
        <v>17.471</v>
      </c>
      <c r="AP277" s="357" t="inlineStr">
        <is>
          <t>10</t>
        </is>
      </c>
      <c r="AQ277" s="361">
        <f>AVERAGE(AQ$220:AQ229)</f>
        <v/>
      </c>
      <c r="AR277" s="361" t="n">
        <v>18.988</v>
      </c>
      <c r="AS277" s="361" t="n">
        <v>18.764</v>
      </c>
      <c r="AT277" s="361" t="n">
        <v>17.361</v>
      </c>
      <c r="AU277" s="361" t="n">
        <v>16.491</v>
      </c>
      <c r="AV277" s="361" t="e">
        <v>#DIV/0!</v>
      </c>
      <c r="AX277" s="357" t="inlineStr">
        <is>
          <t>10</t>
        </is>
      </c>
      <c r="AY277" s="361">
        <f>AVERAGE(AY$220:AY229)</f>
        <v/>
      </c>
      <c r="AZ277" s="361" t="n">
        <v>21.176</v>
      </c>
      <c r="BA277" s="361" t="n">
        <v>21.295</v>
      </c>
      <c r="BB277" s="361" t="n">
        <v>19.873</v>
      </c>
      <c r="BC277" s="361" t="n">
        <v>20.9675</v>
      </c>
      <c r="BD277" s="361" t="n"/>
      <c r="BE277" s="361" t="n"/>
      <c r="BF277" s="357" t="inlineStr">
        <is>
          <t>10</t>
        </is>
      </c>
      <c r="BG277" s="361">
        <f>AVERAGE(BG$220:BG229)</f>
        <v/>
      </c>
      <c r="BH277" s="361" t="n">
        <v>19.175</v>
      </c>
      <c r="BI277" s="361" t="n">
        <v>19.129</v>
      </c>
      <c r="BJ277" s="361" t="n"/>
      <c r="BK277" s="361" t="n"/>
      <c r="BL277" s="361" t="n"/>
      <c r="BM277" s="361" t="n"/>
      <c r="BN277" s="357" t="inlineStr">
        <is>
          <t>10</t>
        </is>
      </c>
      <c r="BO277" s="361">
        <f>AVERAGE(BO$220:BO229)</f>
        <v/>
      </c>
      <c r="BP277" s="361" t="n">
        <v>20.65</v>
      </c>
      <c r="BQ277" s="361" t="n">
        <v>20.525</v>
      </c>
      <c r="BR277" s="361" t="n">
        <v>19.207</v>
      </c>
      <c r="BS277" s="361" t="n">
        <v>17.36199999999999</v>
      </c>
      <c r="BT277" s="361" t="n">
        <v>14.333</v>
      </c>
      <c r="BV277" s="357" t="inlineStr">
        <is>
          <t>10</t>
        </is>
      </c>
      <c r="BW277" s="361">
        <f>AVERAGE(BW$220:BW229)</f>
        <v/>
      </c>
      <c r="BX277" s="361" t="n">
        <v>20.963</v>
      </c>
      <c r="BY277" s="361" t="n">
        <v>21.792</v>
      </c>
      <c r="BZ277" s="361" t="n">
        <v>20.151</v>
      </c>
      <c r="CA277" s="361" t="n">
        <v>19.449</v>
      </c>
      <c r="CB277" s="361" t="n">
        <v>17.587</v>
      </c>
      <c r="CC277" s="361" t="n"/>
      <c r="CD277" s="357" t="inlineStr">
        <is>
          <t>10</t>
        </is>
      </c>
      <c r="CE277" s="361">
        <f>AVERAGE(CE$220:CE229)</f>
        <v/>
      </c>
      <c r="CF277" s="361" t="n">
        <v>19.046</v>
      </c>
      <c r="CG277" s="361" t="n">
        <v>19.416</v>
      </c>
      <c r="CH277" s="361" t="n">
        <v>18.327</v>
      </c>
      <c r="CI277" s="361" t="n">
        <v>18.747</v>
      </c>
      <c r="CJ277" s="361" t="n">
        <v>13.39500001</v>
      </c>
      <c r="CL277" s="357" t="inlineStr">
        <is>
          <t>10</t>
        </is>
      </c>
      <c r="CM277" s="361">
        <f>AVERAGE(CM$220:CM229)</f>
        <v/>
      </c>
      <c r="CN277" s="361" t="n">
        <v>20.47</v>
      </c>
      <c r="CO277" s="361" t="n">
        <v>21.556</v>
      </c>
      <c r="CP277" s="361" t="n">
        <v>19.837</v>
      </c>
      <c r="CQ277" s="361" t="n">
        <v>18.97</v>
      </c>
      <c r="CR277" s="361" t="n">
        <v>16.719</v>
      </c>
      <c r="CT277" s="357" t="inlineStr">
        <is>
          <t>10</t>
        </is>
      </c>
      <c r="CU277" s="361">
        <f>AVERAGE(CU$220:CU229)</f>
        <v/>
      </c>
      <c r="CV277" s="361" t="n">
        <v>18.824</v>
      </c>
      <c r="CW277" s="361" t="e">
        <v>#DIV/0!</v>
      </c>
      <c r="CX277" s="361" t="n"/>
      <c r="CY277" s="361" t="n"/>
      <c r="CZ277" s="361" t="n"/>
      <c r="DB277" s="357" t="inlineStr">
        <is>
          <t>10</t>
        </is>
      </c>
      <c r="DC277" s="361">
        <f>AVERAGE(DC$220:DC229)</f>
        <v/>
      </c>
      <c r="DD277" s="361" t="n">
        <v>21.827</v>
      </c>
      <c r="DE277" s="361" t="e">
        <v>#DIV/0!</v>
      </c>
      <c r="DF277" s="361" t="n"/>
      <c r="DG277" s="361" t="n"/>
      <c r="DH277" s="361" t="n"/>
      <c r="DI277" s="361" t="n"/>
      <c r="DJ277" s="357" t="inlineStr">
        <is>
          <t>10</t>
        </is>
      </c>
      <c r="DK277" s="361">
        <f>AVERAGE(DK$220:DK229)</f>
        <v/>
      </c>
      <c r="DL277" s="361" t="n">
        <v>16.485</v>
      </c>
      <c r="DM277" s="361" t="e">
        <v>#DIV/0!</v>
      </c>
      <c r="DN277" s="361" t="n"/>
      <c r="DO277" s="361" t="n"/>
      <c r="DP277" s="361" t="n"/>
      <c r="DR277" s="357" t="inlineStr">
        <is>
          <t>10</t>
        </is>
      </c>
      <c r="DS277" s="361">
        <f>AVERAGE(DS$220:DS229)</f>
        <v/>
      </c>
      <c r="DT277" s="361" t="n">
        <v>21.314</v>
      </c>
      <c r="DU277" s="361" t="e">
        <v>#DIV/0!</v>
      </c>
      <c r="DV277" s="361" t="n"/>
      <c r="DW277" s="361" t="n"/>
      <c r="DX277" s="361" t="n"/>
      <c r="DZ277" s="357" t="inlineStr">
        <is>
          <t>10</t>
        </is>
      </c>
      <c r="EA277" s="361">
        <f>AVERAGE(EA$220:EA229)</f>
        <v/>
      </c>
      <c r="EB277" s="361" t="n">
        <v>20.97</v>
      </c>
      <c r="EC277" s="361" t="e">
        <v>#DIV/0!</v>
      </c>
      <c r="ED277" s="361" t="n"/>
      <c r="EE277" s="361" t="n"/>
      <c r="EF277" s="361" t="n"/>
    </row>
    <row r="278" customFormat="1" s="359">
      <c r="B278" s="357" t="inlineStr">
        <is>
          <t>11</t>
        </is>
      </c>
      <c r="C278" s="361">
        <f>AVERAGE(C$220:C230)</f>
        <v/>
      </c>
      <c r="D278" s="361">
        <f>AVERAGE(D$220:D230)</f>
        <v/>
      </c>
      <c r="E278" s="361">
        <f>AVERAGE(E$220:E230)</f>
        <v/>
      </c>
      <c r="F278" s="361">
        <f>AVERAGE(F$220:F230)</f>
        <v/>
      </c>
      <c r="G278" s="361">
        <f>AVERAGE(G$220:G230)</f>
        <v/>
      </c>
      <c r="H278" s="361">
        <f>AVERAGE(H$220:H230)</f>
        <v/>
      </c>
      <c r="I278" s="361" t="n"/>
      <c r="J278" s="357" t="inlineStr">
        <is>
          <t>11</t>
        </is>
      </c>
      <c r="K278" s="361">
        <f>AVERAGE(K$220:K230)</f>
        <v/>
      </c>
      <c r="L278" s="361" t="n">
        <v>18.57636363636364</v>
      </c>
      <c r="M278" s="361" t="n">
        <v>18.30636363636364</v>
      </c>
      <c r="N278" s="361" t="n">
        <v>17.07363636363637</v>
      </c>
      <c r="O278" s="361" t="n">
        <v>17.19</v>
      </c>
      <c r="P278" s="361" t="n">
        <v>16.24090918181818</v>
      </c>
      <c r="R278" s="357" t="inlineStr">
        <is>
          <t>11</t>
        </is>
      </c>
      <c r="S278" s="361">
        <f>AVERAGE(S$220:S230)</f>
        <v/>
      </c>
      <c r="T278" s="361" t="n">
        <v>17.76727272727273</v>
      </c>
      <c r="U278" s="361" t="n">
        <v>18.19090909090909</v>
      </c>
      <c r="V278" s="361" t="n">
        <v>17.06727272727273</v>
      </c>
      <c r="W278" s="361" t="n">
        <v>16.37454545454545</v>
      </c>
      <c r="X278" s="361" t="n">
        <v>15.48090909090909</v>
      </c>
      <c r="Z278" s="357" t="inlineStr">
        <is>
          <t>11</t>
        </is>
      </c>
      <c r="AA278" s="361">
        <f>AVERAGE(AA$220:AA230)</f>
        <v/>
      </c>
      <c r="AB278" s="361" t="n">
        <v>18.97818181818182</v>
      </c>
      <c r="AC278" s="361" t="n">
        <v>18.32909090909091</v>
      </c>
      <c r="AD278" s="361" t="n">
        <v>17.4890909090909</v>
      </c>
      <c r="AE278" s="361" t="n">
        <v>17.43636363636364</v>
      </c>
      <c r="AF278" s="361" t="n">
        <v>16.98909090909091</v>
      </c>
      <c r="AH278" s="357" t="inlineStr">
        <is>
          <t>11</t>
        </is>
      </c>
      <c r="AI278" s="361">
        <f>AVERAGE(AI$220:AI230)</f>
        <v/>
      </c>
      <c r="AJ278" s="361" t="n">
        <v>21.50272727272727</v>
      </c>
      <c r="AK278" s="361" t="n">
        <v>21.28454545454546</v>
      </c>
      <c r="AL278" s="361" t="n">
        <v>19.59636363636364</v>
      </c>
      <c r="AM278" s="361" t="n">
        <v>18.36909090909091</v>
      </c>
      <c r="AN278" s="361" t="n">
        <v>16.97909090909091</v>
      </c>
      <c r="AP278" s="357" t="inlineStr">
        <is>
          <t>11</t>
        </is>
      </c>
      <c r="AQ278" s="361">
        <f>AVERAGE(AQ$220:AQ230)</f>
        <v/>
      </c>
      <c r="AR278" s="361" t="n">
        <v>19.09545454545455</v>
      </c>
      <c r="AS278" s="361" t="n">
        <v>18.72</v>
      </c>
      <c r="AT278" s="361" t="n">
        <v>17.44272727272727</v>
      </c>
      <c r="AU278" s="361" t="n">
        <v>16.29272727272727</v>
      </c>
      <c r="AV278" s="361" t="e">
        <v>#DIV/0!</v>
      </c>
      <c r="AX278" s="357" t="inlineStr">
        <is>
          <t>11</t>
        </is>
      </c>
      <c r="AY278" s="361">
        <f>AVERAGE(AY$220:AY230)</f>
        <v/>
      </c>
      <c r="AZ278" s="361" t="n">
        <v>21.28454545454546</v>
      </c>
      <c r="BA278" s="361" t="n">
        <v>21.33909090909091</v>
      </c>
      <c r="BB278" s="361" t="n">
        <v>19.93909090909091</v>
      </c>
      <c r="BC278" s="361" t="n">
        <v>20.006</v>
      </c>
      <c r="BD278" s="361" t="n"/>
      <c r="BE278" s="361" t="n"/>
      <c r="BF278" s="357" t="inlineStr">
        <is>
          <t>11</t>
        </is>
      </c>
      <c r="BG278" s="361">
        <f>AVERAGE(BG$220:BG230)</f>
        <v/>
      </c>
      <c r="BH278" s="361" t="n">
        <v>19.34727272727273</v>
      </c>
      <c r="BI278" s="361" t="n">
        <v>19.18636363636363</v>
      </c>
      <c r="BJ278" s="361" t="n"/>
      <c r="BK278" s="361" t="n"/>
      <c r="BL278" s="361" t="n"/>
      <c r="BM278" s="361" t="n"/>
      <c r="BN278" s="357" t="inlineStr">
        <is>
          <t>11</t>
        </is>
      </c>
      <c r="BO278" s="361">
        <f>AVERAGE(BO$220:BO230)</f>
        <v/>
      </c>
      <c r="BP278" s="361" t="n">
        <v>20.74181818181818</v>
      </c>
      <c r="BQ278" s="361" t="n">
        <v>20.5</v>
      </c>
      <c r="BR278" s="361" t="n">
        <v>19.24545454545455</v>
      </c>
      <c r="BS278" s="361" t="n">
        <v>17.21727272727273</v>
      </c>
      <c r="BT278" s="361" t="n">
        <v>14.34727272727273</v>
      </c>
      <c r="BV278" s="357" t="inlineStr">
        <is>
          <t>11</t>
        </is>
      </c>
      <c r="BW278" s="361">
        <f>AVERAGE(BW$220:BW230)</f>
        <v/>
      </c>
      <c r="BX278" s="361" t="n">
        <v>21.05363636363636</v>
      </c>
      <c r="BY278" s="361" t="n">
        <v>21.74272727272728</v>
      </c>
      <c r="BZ278" s="361" t="n">
        <v>20.18636363636363</v>
      </c>
      <c r="CA278" s="361" t="n">
        <v>19.25454545454545</v>
      </c>
      <c r="CB278" s="361" t="n">
        <v>18.17545454545454</v>
      </c>
      <c r="CC278" s="361" t="n"/>
      <c r="CD278" s="357" t="inlineStr">
        <is>
          <t>11</t>
        </is>
      </c>
      <c r="CE278" s="361">
        <f>AVERAGE(CE$220:CE230)</f>
        <v/>
      </c>
      <c r="CF278" s="361" t="n">
        <v>19.16181818181818</v>
      </c>
      <c r="CG278" s="361" t="n">
        <v>19.46363636363636</v>
      </c>
      <c r="CH278" s="361" t="n">
        <v>18.41181818181818</v>
      </c>
      <c r="CI278" s="361" t="n">
        <v>18.59636363636364</v>
      </c>
      <c r="CJ278" s="361" t="n">
        <v>13.46000000909091</v>
      </c>
      <c r="CL278" s="357" t="inlineStr">
        <is>
          <t>11</t>
        </is>
      </c>
      <c r="CM278" s="361">
        <f>AVERAGE(CM$220:CM230)</f>
        <v/>
      </c>
      <c r="CN278" s="361" t="n">
        <v>20.61727272727273</v>
      </c>
      <c r="CO278" s="361" t="n">
        <v>21.55727272727273</v>
      </c>
      <c r="CP278" s="361" t="n">
        <v>19.84272727272727</v>
      </c>
      <c r="CQ278" s="361" t="n">
        <v>18.81</v>
      </c>
      <c r="CR278" s="361" t="n">
        <v>16.95</v>
      </c>
      <c r="CT278" s="357" t="inlineStr">
        <is>
          <t>11</t>
        </is>
      </c>
      <c r="CU278" s="361">
        <f>AVERAGE(CU$220:CU230)</f>
        <v/>
      </c>
      <c r="CV278" s="361" t="n">
        <v>18.87454545454545</v>
      </c>
      <c r="CW278" s="361" t="e">
        <v>#DIV/0!</v>
      </c>
      <c r="CX278" s="361" t="n"/>
      <c r="CY278" s="361" t="n"/>
      <c r="CZ278" s="361" t="n"/>
      <c r="DB278" s="357" t="inlineStr">
        <is>
          <t>11</t>
        </is>
      </c>
      <c r="DC278" s="361">
        <f>AVERAGE(DC$220:DC230)</f>
        <v/>
      </c>
      <c r="DD278" s="361" t="n">
        <v>21.95909090909091</v>
      </c>
      <c r="DE278" s="361" t="e">
        <v>#DIV/0!</v>
      </c>
      <c r="DF278" s="361" t="n"/>
      <c r="DG278" s="361" t="n"/>
      <c r="DH278" s="361" t="n"/>
      <c r="DI278" s="361" t="n"/>
      <c r="DJ278" s="357" t="inlineStr">
        <is>
          <t>11</t>
        </is>
      </c>
      <c r="DK278" s="361">
        <f>AVERAGE(DK$220:DK230)</f>
        <v/>
      </c>
      <c r="DL278" s="361" t="n">
        <v>16.52545454545454</v>
      </c>
      <c r="DM278" s="361" t="e">
        <v>#DIV/0!</v>
      </c>
      <c r="DN278" s="361" t="n"/>
      <c r="DO278" s="361" t="n"/>
      <c r="DP278" s="361" t="n"/>
      <c r="DR278" s="357" t="inlineStr">
        <is>
          <t>11</t>
        </is>
      </c>
      <c r="DS278" s="361">
        <f>AVERAGE(DS$220:DS230)</f>
        <v/>
      </c>
      <c r="DT278" s="361" t="n">
        <v>21.40363636363636</v>
      </c>
      <c r="DU278" s="361" t="e">
        <v>#DIV/0!</v>
      </c>
      <c r="DV278" s="361" t="n"/>
      <c r="DW278" s="361" t="n"/>
      <c r="DX278" s="361" t="n"/>
      <c r="DZ278" s="357" t="inlineStr">
        <is>
          <t>11</t>
        </is>
      </c>
      <c r="EA278" s="361">
        <f>AVERAGE(EA$220:EA230)</f>
        <v/>
      </c>
      <c r="EB278" s="361" t="n">
        <v>21.25</v>
      </c>
      <c r="EC278" s="361" t="e">
        <v>#DIV/0!</v>
      </c>
      <c r="ED278" s="361" t="n"/>
      <c r="EE278" s="361" t="n"/>
      <c r="EF278" s="361" t="n"/>
    </row>
    <row r="279" customFormat="1" s="359">
      <c r="B279" s="357" t="inlineStr">
        <is>
          <t>12</t>
        </is>
      </c>
      <c r="C279" s="361">
        <f>AVERAGE(C$220:C231)</f>
        <v/>
      </c>
      <c r="D279" s="361">
        <f>AVERAGE(D$220:D231)</f>
        <v/>
      </c>
      <c r="E279" s="361">
        <f>AVERAGE(E$220:E231)</f>
        <v/>
      </c>
      <c r="F279" s="361">
        <f>AVERAGE(F$220:F231)</f>
        <v/>
      </c>
      <c r="G279" s="361">
        <f>AVERAGE(G$220:G231)</f>
        <v/>
      </c>
      <c r="H279" s="361">
        <f>AVERAGE(H$220:H231)</f>
        <v/>
      </c>
      <c r="I279" s="361" t="n"/>
      <c r="J279" s="357" t="inlineStr">
        <is>
          <t>12</t>
        </is>
      </c>
      <c r="K279" s="361">
        <f>AVERAGE(K$220:K231)</f>
        <v/>
      </c>
      <c r="L279" s="361" t="n">
        <v>18.68666666666667</v>
      </c>
      <c r="M279" s="361" t="n">
        <v>18.3325</v>
      </c>
      <c r="N279" s="361" t="n">
        <v>17.19333333333334</v>
      </c>
      <c r="O279" s="361" t="n">
        <v>18.69454545454546</v>
      </c>
      <c r="P279" s="361" t="n">
        <v>16.58833341666667</v>
      </c>
      <c r="R279" s="357" t="inlineStr">
        <is>
          <t>12</t>
        </is>
      </c>
      <c r="S279" s="361">
        <f>AVERAGE(S$220:S231)</f>
        <v/>
      </c>
      <c r="T279" s="361" t="n">
        <v>17.85333333333334</v>
      </c>
      <c r="U279" s="361" t="n">
        <v>18.22916666666667</v>
      </c>
      <c r="V279" s="361" t="n">
        <v>17.16083333333333</v>
      </c>
      <c r="W279" s="361" t="n">
        <v>16.38916666666667</v>
      </c>
      <c r="X279" s="361" t="n">
        <v>15.85</v>
      </c>
      <c r="Z279" s="357" t="inlineStr">
        <is>
          <t>12</t>
        </is>
      </c>
      <c r="AA279" s="361">
        <f>AVERAGE(AA$220:AA231)</f>
        <v/>
      </c>
      <c r="AB279" s="361" t="n">
        <v>19.07583333333333</v>
      </c>
      <c r="AC279" s="361" t="n">
        <v>18.45083333333334</v>
      </c>
      <c r="AD279" s="361" t="n">
        <v>17.61166666666666</v>
      </c>
      <c r="AE279" s="361" t="n">
        <v>17.45583333333333</v>
      </c>
      <c r="AF279" s="361" t="n">
        <v>17.44666666666667</v>
      </c>
      <c r="AH279" s="357" t="inlineStr">
        <is>
          <t>12</t>
        </is>
      </c>
      <c r="AI279" s="361">
        <f>AVERAGE(AI$220:AI231)</f>
        <v/>
      </c>
      <c r="AJ279" s="361" t="n">
        <v>21.62166666666667</v>
      </c>
      <c r="AK279" s="361" t="n">
        <v>21.33333333333333</v>
      </c>
      <c r="AL279" s="361" t="n">
        <v>19.77833333333333</v>
      </c>
      <c r="AM279" s="361" t="n">
        <v>18.4325</v>
      </c>
      <c r="AN279" s="361" t="n">
        <v>17.3825</v>
      </c>
      <c r="AP279" s="357" t="inlineStr">
        <is>
          <t>12</t>
        </is>
      </c>
      <c r="AQ279" s="361">
        <f>AVERAGE(AQ$220:AQ231)</f>
        <v/>
      </c>
      <c r="AR279" s="361" t="n">
        <v>19.14583333333333</v>
      </c>
      <c r="AS279" s="361" t="n">
        <v>18.77083333333333</v>
      </c>
      <c r="AT279" s="361" t="n">
        <v>17.585</v>
      </c>
      <c r="AU279" s="361" t="n">
        <v>16.32</v>
      </c>
      <c r="AV279" s="361" t="e">
        <v>#DIV/0!</v>
      </c>
      <c r="AX279" s="357" t="inlineStr">
        <is>
          <t>12</t>
        </is>
      </c>
      <c r="AY279" s="361">
        <f>AVERAGE(AY$220:AY231)</f>
        <v/>
      </c>
      <c r="AZ279" s="361" t="n">
        <v>21.445</v>
      </c>
      <c r="BA279" s="361" t="n">
        <v>21.45416666666667</v>
      </c>
      <c r="BB279" s="361" t="n">
        <v>20.10333333333333</v>
      </c>
      <c r="BC279" s="361" t="n">
        <v>19.84333333333333</v>
      </c>
      <c r="BD279" s="361" t="n"/>
      <c r="BE279" s="361" t="n"/>
      <c r="BF279" s="357" t="inlineStr">
        <is>
          <t>12</t>
        </is>
      </c>
      <c r="BG279" s="361">
        <f>AVERAGE(BG$220:BG231)</f>
        <v/>
      </c>
      <c r="BH279" s="361" t="n">
        <v>19.42916666666666</v>
      </c>
      <c r="BI279" s="361" t="n">
        <v>19.30916666666666</v>
      </c>
      <c r="BJ279" s="361" t="n"/>
      <c r="BK279" s="361" t="n"/>
      <c r="BL279" s="361" t="n"/>
      <c r="BM279" s="361" t="n"/>
      <c r="BN279" s="357" t="inlineStr">
        <is>
          <t>12</t>
        </is>
      </c>
      <c r="BO279" s="361">
        <f>AVERAGE(BO$220:BO231)</f>
        <v/>
      </c>
      <c r="BP279" s="361" t="n">
        <v>20.72666666666667</v>
      </c>
      <c r="BQ279" s="361" t="n">
        <v>20.49416666666667</v>
      </c>
      <c r="BR279" s="361" t="n">
        <v>19.35666666666667</v>
      </c>
      <c r="BS279" s="361" t="n">
        <v>17.33166666666666</v>
      </c>
      <c r="BT279" s="361" t="n">
        <v>15.14</v>
      </c>
      <c r="BV279" s="357" t="inlineStr">
        <is>
          <t>12</t>
        </is>
      </c>
      <c r="BW279" s="361">
        <f>AVERAGE(BW$220:BW231)</f>
        <v/>
      </c>
      <c r="BX279" s="361" t="n">
        <v>21.13416666666667</v>
      </c>
      <c r="BY279" s="361" t="n">
        <v>21.71833333333333</v>
      </c>
      <c r="BZ279" s="361" t="n">
        <v>20.34</v>
      </c>
      <c r="CA279" s="361" t="n">
        <v>19.2625</v>
      </c>
      <c r="CB279" s="361" t="n">
        <v>18.555</v>
      </c>
      <c r="CC279" s="361" t="n"/>
      <c r="CD279" s="357" t="inlineStr">
        <is>
          <t>12</t>
        </is>
      </c>
      <c r="CE279" s="361">
        <f>AVERAGE(CE$220:CE231)</f>
        <v/>
      </c>
      <c r="CF279" s="361" t="n">
        <v>19.1975</v>
      </c>
      <c r="CG279" s="361" t="n">
        <v>19.49916666666667</v>
      </c>
      <c r="CH279" s="361" t="n">
        <v>18.52583333333333</v>
      </c>
      <c r="CI279" s="361" t="n">
        <v>18.565</v>
      </c>
      <c r="CJ279" s="361" t="n">
        <v>13.91750000833333</v>
      </c>
      <c r="CL279" s="357" t="inlineStr">
        <is>
          <t>12</t>
        </is>
      </c>
      <c r="CM279" s="361">
        <f>AVERAGE(CM$220:CM231)</f>
        <v/>
      </c>
      <c r="CN279" s="361" t="n">
        <v>20.6375</v>
      </c>
      <c r="CO279" s="361" t="n">
        <v>21.4975</v>
      </c>
      <c r="CP279" s="361" t="n">
        <v>19.98583333333334</v>
      </c>
      <c r="CQ279" s="361" t="n">
        <v>18.805</v>
      </c>
      <c r="CR279" s="361" t="n">
        <v>17.32166666666667</v>
      </c>
      <c r="CT279" s="357" t="inlineStr">
        <is>
          <t>12</t>
        </is>
      </c>
      <c r="CU279" s="361">
        <f>AVERAGE(CU$220:CU231)</f>
        <v/>
      </c>
      <c r="CV279" s="361" t="n">
        <v>18.93166666666667</v>
      </c>
      <c r="CW279" s="361" t="e">
        <v>#DIV/0!</v>
      </c>
      <c r="CX279" s="361" t="n"/>
      <c r="CY279" s="361" t="n"/>
      <c r="CZ279" s="361" t="n"/>
      <c r="DB279" s="357" t="inlineStr">
        <is>
          <t>12</t>
        </is>
      </c>
      <c r="DC279" s="361">
        <f>AVERAGE(DC$220:DC231)</f>
        <v/>
      </c>
      <c r="DD279" s="361" t="n">
        <v>22.02583333333333</v>
      </c>
      <c r="DE279" s="361" t="e">
        <v>#DIV/0!</v>
      </c>
      <c r="DF279" s="361" t="n"/>
      <c r="DG279" s="361" t="n"/>
      <c r="DH279" s="361" t="n"/>
      <c r="DI279" s="361" t="n"/>
      <c r="DJ279" s="357" t="inlineStr">
        <is>
          <t>12</t>
        </is>
      </c>
      <c r="DK279" s="361">
        <f>AVERAGE(DK$220:DK231)</f>
        <v/>
      </c>
      <c r="DL279" s="361" t="n">
        <v>16.52666666666666</v>
      </c>
      <c r="DM279" s="361" t="e">
        <v>#DIV/0!</v>
      </c>
      <c r="DN279" s="361" t="n"/>
      <c r="DO279" s="361" t="n"/>
      <c r="DP279" s="361" t="n"/>
      <c r="DR279" s="357" t="inlineStr">
        <is>
          <t>12</t>
        </is>
      </c>
      <c r="DS279" s="361">
        <f>AVERAGE(DS$220:DS231)</f>
        <v/>
      </c>
      <c r="DT279" s="361" t="n">
        <v>21.45416666666667</v>
      </c>
      <c r="DU279" s="361" t="e">
        <v>#DIV/0!</v>
      </c>
      <c r="DV279" s="361" t="n"/>
      <c r="DW279" s="361" t="n"/>
      <c r="DX279" s="361" t="n"/>
      <c r="DZ279" s="357" t="inlineStr">
        <is>
          <t>12</t>
        </is>
      </c>
      <c r="EA279" s="361">
        <f>AVERAGE(EA$220:EA231)</f>
        <v/>
      </c>
      <c r="EB279" s="361" t="n">
        <v>21.442</v>
      </c>
      <c r="EC279" s="361" t="e">
        <v>#DIV/0!</v>
      </c>
      <c r="ED279" s="361" t="n"/>
      <c r="EE279" s="361" t="n"/>
      <c r="EF279" s="361" t="n"/>
    </row>
    <row r="281" ht="15.75" customHeight="1" s="161">
      <c r="B281" s="355" t="inlineStr">
        <is>
          <t>Global</t>
        </is>
      </c>
      <c r="J281" s="355" t="inlineStr">
        <is>
          <t>GLR5</t>
        </is>
      </c>
      <c r="R281" s="355" t="inlineStr">
        <is>
          <t>HTR8</t>
        </is>
      </c>
      <c r="Z281" s="355" t="inlineStr">
        <is>
          <t>TIRR</t>
        </is>
      </c>
      <c r="AH281" s="355" t="inlineStr">
        <is>
          <t>VR7</t>
        </is>
      </c>
      <c r="AP281" s="355" t="inlineStr">
        <is>
          <t>TURVILLA</t>
        </is>
      </c>
      <c r="AX281" s="355" t="inlineStr">
        <is>
          <t>HART</t>
        </is>
      </c>
      <c r="BF281" s="355" t="inlineStr">
        <is>
          <t>VICTOIRE</t>
        </is>
      </c>
      <c r="BN281" s="355" t="inlineStr">
        <is>
          <t>TH4</t>
        </is>
      </c>
      <c r="BV281" s="355" t="inlineStr">
        <is>
          <t>TL DIVES</t>
        </is>
      </c>
      <c r="CD281" s="355" t="inlineStr">
        <is>
          <t>R3 14</t>
        </is>
      </c>
      <c r="CL281" s="355" t="inlineStr">
        <is>
          <t>LYSE</t>
        </is>
      </c>
      <c r="CT281" s="355" t="inlineStr">
        <is>
          <t>ARTHUR</t>
        </is>
      </c>
      <c r="DB281" s="355" t="inlineStr">
        <is>
          <t>HUGO</t>
        </is>
      </c>
      <c r="DJ281" s="355" t="inlineStr">
        <is>
          <t>JEANCLO</t>
        </is>
      </c>
      <c r="DR281" s="355" t="inlineStr">
        <is>
          <t>THOMAS</t>
        </is>
      </c>
      <c r="DZ281" s="355" t="inlineStr">
        <is>
          <t>CATALINA</t>
        </is>
      </c>
    </row>
    <row r="283" ht="18.6" customFormat="1" customHeight="1" s="188">
      <c r="A283" s="356" t="inlineStr">
        <is>
          <t>Paniers moyens cumulés total</t>
        </is>
      </c>
      <c r="B283" s="186" t="inlineStr">
        <is>
          <t>MOIS</t>
        </is>
      </c>
      <c r="C283" s="187" t="inlineStr">
        <is>
          <t>2024</t>
        </is>
      </c>
      <c r="D283" s="187" t="inlineStr">
        <is>
          <t>2023</t>
        </is>
      </c>
      <c r="E283" s="187" t="inlineStr">
        <is>
          <t>2022</t>
        </is>
      </c>
      <c r="F283" s="187" t="inlineStr">
        <is>
          <t>2021</t>
        </is>
      </c>
      <c r="G283" s="187" t="inlineStr">
        <is>
          <t>2020</t>
        </is>
      </c>
      <c r="H283" s="187" t="inlineStr">
        <is>
          <t>2019</t>
        </is>
      </c>
      <c r="I283" s="187" t="n"/>
      <c r="J283" s="186" t="inlineStr">
        <is>
          <t>MOIS</t>
        </is>
      </c>
      <c r="K283" s="186" t="inlineStr">
        <is>
          <t>2025</t>
        </is>
      </c>
      <c r="L283" s="186" t="inlineStr">
        <is>
          <t>2024</t>
        </is>
      </c>
      <c r="M283" s="186" t="inlineStr">
        <is>
          <t>2023</t>
        </is>
      </c>
      <c r="N283" s="186" t="inlineStr">
        <is>
          <t>2022</t>
        </is>
      </c>
      <c r="O283" s="186" t="inlineStr">
        <is>
          <t>2021</t>
        </is>
      </c>
      <c r="P283" s="186" t="inlineStr">
        <is>
          <t>2020</t>
        </is>
      </c>
      <c r="R283" s="186" t="inlineStr">
        <is>
          <t>MOIS</t>
        </is>
      </c>
      <c r="S283" s="186" t="inlineStr">
        <is>
          <t>2025</t>
        </is>
      </c>
      <c r="T283" s="186" t="inlineStr">
        <is>
          <t>2024</t>
        </is>
      </c>
      <c r="U283" s="186" t="inlineStr">
        <is>
          <t>2023</t>
        </is>
      </c>
      <c r="V283" s="186" t="inlineStr">
        <is>
          <t>2022</t>
        </is>
      </c>
      <c r="W283" s="186" t="inlineStr">
        <is>
          <t>2021</t>
        </is>
      </c>
      <c r="X283" s="186" t="inlineStr">
        <is>
          <t>2020</t>
        </is>
      </c>
      <c r="Z283" s="186" t="inlineStr">
        <is>
          <t>MOIS</t>
        </is>
      </c>
      <c r="AA283" s="186" t="inlineStr">
        <is>
          <t>2025</t>
        </is>
      </c>
      <c r="AB283" s="186" t="inlineStr">
        <is>
          <t>2024</t>
        </is>
      </c>
      <c r="AC283" s="186" t="inlineStr">
        <is>
          <t>2023</t>
        </is>
      </c>
      <c r="AD283" s="186" t="inlineStr">
        <is>
          <t>2022</t>
        </is>
      </c>
      <c r="AE283" s="186" t="inlineStr">
        <is>
          <t>2021</t>
        </is>
      </c>
      <c r="AF283" s="186" t="inlineStr">
        <is>
          <t>2020</t>
        </is>
      </c>
      <c r="AH283" s="186" t="inlineStr">
        <is>
          <t>MOIS</t>
        </is>
      </c>
      <c r="AI283" s="186" t="inlineStr">
        <is>
          <t>2025</t>
        </is>
      </c>
      <c r="AJ283" s="186" t="inlineStr">
        <is>
          <t>2024</t>
        </is>
      </c>
      <c r="AK283" s="186" t="inlineStr">
        <is>
          <t>2023</t>
        </is>
      </c>
      <c r="AL283" s="186" t="inlineStr">
        <is>
          <t>2022</t>
        </is>
      </c>
      <c r="AM283" s="186" t="inlineStr">
        <is>
          <t>2021</t>
        </is>
      </c>
      <c r="AN283" s="186" t="inlineStr">
        <is>
          <t>2020</t>
        </is>
      </c>
      <c r="AP283" s="186" t="inlineStr">
        <is>
          <t>MOIS</t>
        </is>
      </c>
      <c r="AQ283" s="186" t="inlineStr">
        <is>
          <t>2025</t>
        </is>
      </c>
      <c r="AR283" s="186" t="inlineStr">
        <is>
          <t>2024</t>
        </is>
      </c>
      <c r="AS283" s="186" t="inlineStr">
        <is>
          <t>2023</t>
        </is>
      </c>
      <c r="AT283" s="186" t="inlineStr">
        <is>
          <t>2022</t>
        </is>
      </c>
      <c r="AU283" s="186" t="inlineStr">
        <is>
          <t>2021</t>
        </is>
      </c>
      <c r="AV283" s="186" t="inlineStr">
        <is>
          <t>2020</t>
        </is>
      </c>
      <c r="AX283" s="186" t="inlineStr">
        <is>
          <t>MOIS</t>
        </is>
      </c>
      <c r="AY283" s="186" t="inlineStr">
        <is>
          <t>2025</t>
        </is>
      </c>
      <c r="AZ283" s="186" t="inlineStr">
        <is>
          <t>2024</t>
        </is>
      </c>
      <c r="BA283" s="186" t="inlineStr">
        <is>
          <t>2023</t>
        </is>
      </c>
      <c r="BB283" s="186" t="inlineStr">
        <is>
          <t>2022</t>
        </is>
      </c>
      <c r="BC283" s="186" t="inlineStr">
        <is>
          <t>2021</t>
        </is>
      </c>
      <c r="BD283" s="186" t="inlineStr">
        <is>
          <t>2020</t>
        </is>
      </c>
      <c r="BE283" s="187" t="n"/>
      <c r="BF283" s="186" t="inlineStr">
        <is>
          <t>MOIS</t>
        </is>
      </c>
      <c r="BG283" s="186" t="inlineStr">
        <is>
          <t>2025</t>
        </is>
      </c>
      <c r="BH283" s="186" t="inlineStr">
        <is>
          <t>2024</t>
        </is>
      </c>
      <c r="BI283" s="186" t="inlineStr">
        <is>
          <t>2023</t>
        </is>
      </c>
      <c r="BJ283" s="186" t="inlineStr">
        <is>
          <t>2022</t>
        </is>
      </c>
      <c r="BK283" s="186" t="inlineStr">
        <is>
          <t>2021</t>
        </is>
      </c>
      <c r="BL283" s="186" t="inlineStr">
        <is>
          <t>2020</t>
        </is>
      </c>
      <c r="BM283" s="186" t="n"/>
      <c r="BN283" s="186" t="inlineStr">
        <is>
          <t>MOIS</t>
        </is>
      </c>
      <c r="BO283" s="187" t="inlineStr">
        <is>
          <t>2025</t>
        </is>
      </c>
      <c r="BP283" s="187" t="inlineStr">
        <is>
          <t>2024</t>
        </is>
      </c>
      <c r="BQ283" s="187" t="inlineStr">
        <is>
          <t>2023</t>
        </is>
      </c>
      <c r="BR283" s="187" t="inlineStr">
        <is>
          <t>2022</t>
        </is>
      </c>
      <c r="BS283" s="187" t="inlineStr">
        <is>
          <t>2021</t>
        </is>
      </c>
      <c r="BT283" s="187" t="inlineStr">
        <is>
          <t>2020</t>
        </is>
      </c>
      <c r="BV283" s="186" t="inlineStr">
        <is>
          <t>MOIS</t>
        </is>
      </c>
      <c r="BW283" s="187" t="inlineStr">
        <is>
          <t>2025</t>
        </is>
      </c>
      <c r="BX283" s="187" t="inlineStr">
        <is>
          <t>2024</t>
        </is>
      </c>
      <c r="BY283" s="187" t="inlineStr">
        <is>
          <t>2023</t>
        </is>
      </c>
      <c r="BZ283" s="187" t="inlineStr">
        <is>
          <t>2022</t>
        </is>
      </c>
      <c r="CA283" s="187" t="inlineStr">
        <is>
          <t>2021</t>
        </is>
      </c>
      <c r="CB283" s="187" t="inlineStr">
        <is>
          <t>2020</t>
        </is>
      </c>
      <c r="CC283" s="187" t="n"/>
      <c r="CD283" s="186" t="inlineStr">
        <is>
          <t>MOIS</t>
        </is>
      </c>
      <c r="CE283" s="187" t="inlineStr">
        <is>
          <t>2025</t>
        </is>
      </c>
      <c r="CF283" s="187" t="inlineStr">
        <is>
          <t>2024</t>
        </is>
      </c>
      <c r="CG283" s="187" t="inlineStr">
        <is>
          <t>2023</t>
        </is>
      </c>
      <c r="CH283" s="187" t="inlineStr">
        <is>
          <t>2022</t>
        </is>
      </c>
      <c r="CI283" s="187" t="inlineStr">
        <is>
          <t>2021</t>
        </is>
      </c>
      <c r="CJ283" s="187" t="inlineStr">
        <is>
          <t>2020</t>
        </is>
      </c>
      <c r="CL283" s="186" t="inlineStr">
        <is>
          <t>MOIS</t>
        </is>
      </c>
      <c r="CM283" s="187" t="inlineStr">
        <is>
          <t>2025</t>
        </is>
      </c>
      <c r="CN283" s="187" t="inlineStr">
        <is>
          <t>2024</t>
        </is>
      </c>
      <c r="CO283" s="187" t="inlineStr">
        <is>
          <t>2023</t>
        </is>
      </c>
      <c r="CP283" s="187" t="inlineStr">
        <is>
          <t>2022</t>
        </is>
      </c>
      <c r="CQ283" s="187" t="inlineStr">
        <is>
          <t>2021</t>
        </is>
      </c>
      <c r="CR283" s="187" t="inlineStr">
        <is>
          <t>2020</t>
        </is>
      </c>
      <c r="CT283" s="186" t="inlineStr">
        <is>
          <t>MOIS</t>
        </is>
      </c>
      <c r="CU283" s="187" t="inlineStr">
        <is>
          <t>2025</t>
        </is>
      </c>
      <c r="CV283" s="187" t="inlineStr">
        <is>
          <t>2024</t>
        </is>
      </c>
      <c r="CW283" s="187" t="inlineStr">
        <is>
          <t>2023</t>
        </is>
      </c>
      <c r="CX283" s="187" t="inlineStr">
        <is>
          <t>2022</t>
        </is>
      </c>
      <c r="CY283" s="187" t="inlineStr">
        <is>
          <t>2021</t>
        </is>
      </c>
      <c r="CZ283" s="187" t="inlineStr">
        <is>
          <t>2020</t>
        </is>
      </c>
      <c r="DB283" s="186" t="inlineStr">
        <is>
          <t>MOIS</t>
        </is>
      </c>
      <c r="DC283" s="187" t="inlineStr">
        <is>
          <t>2025</t>
        </is>
      </c>
      <c r="DD283" s="187" t="inlineStr">
        <is>
          <t>2024</t>
        </is>
      </c>
      <c r="DE283" s="187" t="inlineStr">
        <is>
          <t>2023</t>
        </is>
      </c>
      <c r="DF283" s="187" t="inlineStr">
        <is>
          <t>2022</t>
        </is>
      </c>
      <c r="DG283" s="187" t="inlineStr">
        <is>
          <t>2021</t>
        </is>
      </c>
      <c r="DH283" s="187" t="inlineStr">
        <is>
          <t>2020</t>
        </is>
      </c>
      <c r="DI283" s="187" t="n"/>
      <c r="DJ283" s="186" t="inlineStr">
        <is>
          <t>MOIS</t>
        </is>
      </c>
      <c r="DK283" s="187" t="inlineStr">
        <is>
          <t>2025</t>
        </is>
      </c>
      <c r="DL283" s="187" t="inlineStr">
        <is>
          <t>2024</t>
        </is>
      </c>
      <c r="DM283" s="187" t="inlineStr">
        <is>
          <t>2023</t>
        </is>
      </c>
      <c r="DN283" s="187" t="inlineStr">
        <is>
          <t>2022</t>
        </is>
      </c>
      <c r="DO283" s="187" t="inlineStr">
        <is>
          <t>2021</t>
        </is>
      </c>
      <c r="DP283" s="187" t="inlineStr">
        <is>
          <t>2020</t>
        </is>
      </c>
      <c r="DR283" s="186" t="inlineStr">
        <is>
          <t>MOIS</t>
        </is>
      </c>
      <c r="DS283" s="187" t="inlineStr">
        <is>
          <t>2025</t>
        </is>
      </c>
      <c r="DT283" s="187" t="inlineStr">
        <is>
          <t>2024</t>
        </is>
      </c>
      <c r="DU283" s="187" t="inlineStr">
        <is>
          <t>2023</t>
        </is>
      </c>
      <c r="DV283" s="187" t="inlineStr">
        <is>
          <t>2022</t>
        </is>
      </c>
      <c r="DW283" s="187" t="inlineStr">
        <is>
          <t>2021</t>
        </is>
      </c>
      <c r="DX283" s="187" t="inlineStr">
        <is>
          <t>2020</t>
        </is>
      </c>
      <c r="DZ283" s="186" t="inlineStr">
        <is>
          <t>MOIS</t>
        </is>
      </c>
      <c r="EA283" s="187" t="inlineStr">
        <is>
          <t>2025</t>
        </is>
      </c>
      <c r="EB283" s="187" t="inlineStr">
        <is>
          <t>2024</t>
        </is>
      </c>
      <c r="EC283" s="187" t="inlineStr">
        <is>
          <t>2023</t>
        </is>
      </c>
      <c r="ED283" s="187" t="inlineStr">
        <is>
          <t>2022</t>
        </is>
      </c>
      <c r="EE283" s="187" t="inlineStr">
        <is>
          <t>2021</t>
        </is>
      </c>
      <c r="EF283" s="187" t="inlineStr">
        <is>
          <t>2020</t>
        </is>
      </c>
    </row>
    <row r="284" customFormat="1" s="359">
      <c r="B284" s="357" t="inlineStr">
        <is>
          <t>01</t>
        </is>
      </c>
      <c r="C284" s="361">
        <f>AVERAGE(C$236:C236)</f>
        <v/>
      </c>
      <c r="D284" s="361">
        <f>AVERAGE(D$236:D236)</f>
        <v/>
      </c>
      <c r="E284" s="361">
        <f>AVERAGE(E$236:E236)</f>
        <v/>
      </c>
      <c r="F284" s="361">
        <f>AVERAGE(F$236:F236)</f>
        <v/>
      </c>
      <c r="G284" s="361">
        <f>AVERAGE(G$236:G236)</f>
        <v/>
      </c>
      <c r="H284" s="361">
        <f>AVERAGE(H$236:H236)</f>
        <v/>
      </c>
      <c r="I284" s="361" t="n"/>
      <c r="J284" s="357" t="inlineStr">
        <is>
          <t>01</t>
        </is>
      </c>
      <c r="K284" s="361">
        <f>AVERAGE(K$236:K236)</f>
        <v/>
      </c>
      <c r="L284" s="361" t="n">
        <v>16.05</v>
      </c>
      <c r="M284" s="361" t="n">
        <v>16.24</v>
      </c>
      <c r="N284" s="361" t="n">
        <v>15.34</v>
      </c>
      <c r="O284" s="361" t="n">
        <v>16.3</v>
      </c>
      <c r="P284" s="361" t="n">
        <v>13.9</v>
      </c>
      <c r="R284" s="357" t="inlineStr">
        <is>
          <t>01</t>
        </is>
      </c>
      <c r="S284" s="361">
        <f>AVERAGE(S$236:S236)</f>
        <v/>
      </c>
      <c r="T284" s="361" t="n">
        <v>16.23</v>
      </c>
      <c r="U284" s="361" t="n">
        <v>15.96</v>
      </c>
      <c r="V284" s="361" t="n">
        <v>15.72</v>
      </c>
      <c r="W284" s="361" t="n">
        <v>16.3</v>
      </c>
      <c r="X284" s="361" t="n">
        <v>13.62</v>
      </c>
      <c r="Z284" s="357" t="inlineStr">
        <is>
          <t>01</t>
        </is>
      </c>
      <c r="AA284" s="361">
        <f>AVERAGE(AA$236:AA236)</f>
        <v/>
      </c>
      <c r="AB284" s="361" t="n">
        <v>16.26</v>
      </c>
      <c r="AC284" s="361" t="n">
        <v>15.37</v>
      </c>
      <c r="AD284" s="361" t="n">
        <v>15.22</v>
      </c>
      <c r="AE284" s="361" t="n">
        <v>17.04</v>
      </c>
      <c r="AF284" s="361" t="n">
        <v>13.51</v>
      </c>
      <c r="AH284" s="357" t="inlineStr">
        <is>
          <t>01</t>
        </is>
      </c>
      <c r="AI284" s="361">
        <f>AVERAGE(AI$236:AI236)</f>
        <v/>
      </c>
      <c r="AJ284" s="361" t="n">
        <v>18.23</v>
      </c>
      <c r="AK284" s="361" t="n">
        <v>18.08</v>
      </c>
      <c r="AL284" s="361" t="n">
        <v>17.45</v>
      </c>
      <c r="AM284" s="361" t="n">
        <v>17.36</v>
      </c>
      <c r="AN284" s="361" t="n">
        <v>14.42</v>
      </c>
      <c r="AP284" s="357" t="inlineStr">
        <is>
          <t>01</t>
        </is>
      </c>
      <c r="AQ284" s="361">
        <f>AVERAGE(AQ$236:AQ236)</f>
        <v/>
      </c>
      <c r="AR284" s="361" t="n">
        <v>16.81</v>
      </c>
      <c r="AS284" s="361" t="n">
        <v>16.37</v>
      </c>
      <c r="AT284" s="361" t="n">
        <v>15.76</v>
      </c>
      <c r="AU284" s="361" t="n">
        <v>16.36</v>
      </c>
      <c r="AV284" s="361" t="e">
        <v>#DIV/0!</v>
      </c>
      <c r="AX284" s="357" t="inlineStr">
        <is>
          <t>01</t>
        </is>
      </c>
      <c r="AY284" s="361">
        <f>AVERAGE(AY$236:AY236)</f>
        <v/>
      </c>
      <c r="AZ284" s="361" t="n">
        <v>19.8</v>
      </c>
      <c r="BA284" s="361" t="n">
        <v>19.61</v>
      </c>
      <c r="BB284" s="361" t="n">
        <v>18.33</v>
      </c>
      <c r="BC284" s="361" t="n"/>
      <c r="BD284" s="361" t="n"/>
      <c r="BE284" s="361" t="n"/>
      <c r="BF284" s="357" t="inlineStr">
        <is>
          <t>01</t>
        </is>
      </c>
      <c r="BG284" s="361">
        <f>AVERAGE(BG$236:BG236)</f>
        <v/>
      </c>
      <c r="BH284" s="361" t="n">
        <v>18.32</v>
      </c>
      <c r="BI284" s="361" t="n">
        <v>18.57</v>
      </c>
      <c r="BJ284" s="361" t="n"/>
      <c r="BK284" s="361" t="n"/>
      <c r="BL284" s="361" t="n"/>
      <c r="BM284" s="361" t="n"/>
      <c r="BN284" s="357" t="inlineStr">
        <is>
          <t>01</t>
        </is>
      </c>
      <c r="BO284" s="361">
        <f>AVERAGE(BO$236:BO236)</f>
        <v/>
      </c>
      <c r="BP284" s="361" t="n">
        <v>16.74</v>
      </c>
      <c r="BQ284" s="361" t="n">
        <v>16.24</v>
      </c>
      <c r="BR284" s="361" t="n">
        <v>15.82</v>
      </c>
      <c r="BS284" s="361" t="n">
        <v>17.92</v>
      </c>
      <c r="BT284" s="361" t="n">
        <v>12.92</v>
      </c>
      <c r="BV284" s="357" t="inlineStr">
        <is>
          <t>01</t>
        </is>
      </c>
      <c r="BW284" s="361">
        <f>AVERAGE(BW$236:BW236)</f>
        <v/>
      </c>
      <c r="BX284" s="361" t="n">
        <v>18.32</v>
      </c>
      <c r="BY284" s="361" t="n">
        <v>18.17</v>
      </c>
      <c r="BZ284" s="361" t="n">
        <v>17.99</v>
      </c>
      <c r="CA284" s="361" t="n">
        <v>18.85</v>
      </c>
      <c r="CB284" s="361" t="n">
        <v>14.79</v>
      </c>
      <c r="CC284" s="361" t="n"/>
      <c r="CD284" s="357" t="inlineStr">
        <is>
          <t>01</t>
        </is>
      </c>
      <c r="CE284" s="361">
        <f>AVERAGE(CE$236:CE236)</f>
        <v/>
      </c>
      <c r="CF284" s="361" t="n">
        <v>17.95</v>
      </c>
      <c r="CG284" s="361" t="n">
        <v>16.53</v>
      </c>
      <c r="CH284" s="361" t="n">
        <v>16.18</v>
      </c>
      <c r="CI284" s="361" t="n">
        <v>18.94</v>
      </c>
      <c r="CJ284" s="361" t="n">
        <v>12.86</v>
      </c>
      <c r="CL284" s="357" t="inlineStr">
        <is>
          <t>01</t>
        </is>
      </c>
      <c r="CM284" s="361">
        <f>AVERAGE(CM$236:CM236)</f>
        <v/>
      </c>
      <c r="CN284" s="361" t="n">
        <v>17.13</v>
      </c>
      <c r="CO284" s="361" t="n">
        <v>18.6</v>
      </c>
      <c r="CP284" s="361" t="n">
        <v>17.83</v>
      </c>
      <c r="CQ284" s="361" t="n">
        <v>18.15</v>
      </c>
      <c r="CR284" s="361" t="n">
        <v>14.6</v>
      </c>
      <c r="CT284" s="357" t="inlineStr">
        <is>
          <t>01</t>
        </is>
      </c>
      <c r="CU284" s="361">
        <f>AVERAGE(CU$236:CU236)</f>
        <v/>
      </c>
      <c r="CV284" s="361" t="n">
        <v>16.4</v>
      </c>
      <c r="CW284" s="361" t="e">
        <v>#DIV/0!</v>
      </c>
      <c r="CX284" s="361" t="n"/>
      <c r="CY284" s="361" t="n"/>
      <c r="CZ284" s="361" t="n"/>
      <c r="DB284" s="357" t="inlineStr">
        <is>
          <t>01</t>
        </is>
      </c>
      <c r="DC284" s="361">
        <f>AVERAGE(DC$236:DC236)</f>
        <v/>
      </c>
      <c r="DD284" s="361" t="n">
        <v>19</v>
      </c>
      <c r="DE284" s="361" t="e">
        <v>#DIV/0!</v>
      </c>
      <c r="DF284" s="361" t="n"/>
      <c r="DG284" s="361" t="n"/>
      <c r="DH284" s="361" t="n"/>
      <c r="DI284" s="361" t="n"/>
      <c r="DJ284" s="357" t="inlineStr">
        <is>
          <t>01</t>
        </is>
      </c>
      <c r="DK284" s="361">
        <f>AVERAGE(DK$236:DK236)</f>
        <v/>
      </c>
      <c r="DL284" s="361" t="n">
        <v>14.05</v>
      </c>
      <c r="DM284" s="361" t="e">
        <v>#DIV/0!</v>
      </c>
      <c r="DN284" s="361" t="n"/>
      <c r="DO284" s="361" t="n"/>
      <c r="DP284" s="361" t="n"/>
      <c r="DR284" s="357" t="inlineStr">
        <is>
          <t>01</t>
        </is>
      </c>
      <c r="DS284" s="361">
        <f>AVERAGE(DS$236:DS236)</f>
        <v/>
      </c>
      <c r="DT284" s="361" t="n">
        <v>18.74</v>
      </c>
      <c r="DU284" s="361" t="e">
        <v>#DIV/0!</v>
      </c>
      <c r="DV284" s="361" t="n"/>
      <c r="DW284" s="361" t="n"/>
      <c r="DX284" s="361" t="n"/>
      <c r="DZ284" s="357" t="inlineStr">
        <is>
          <t>01</t>
        </is>
      </c>
      <c r="EA284" s="361">
        <f>AVERAGE(EA$236:EA236)</f>
        <v/>
      </c>
      <c r="EB284" s="361" t="e">
        <v>#DIV/0!</v>
      </c>
      <c r="EC284" s="361" t="e">
        <v>#DIV/0!</v>
      </c>
      <c r="ED284" s="361" t="n"/>
      <c r="EE284" s="361" t="n"/>
      <c r="EF284" s="361" t="n"/>
    </row>
    <row r="285" customFormat="1" s="359">
      <c r="B285" s="357" t="inlineStr">
        <is>
          <t>02</t>
        </is>
      </c>
      <c r="C285" s="361">
        <f>AVERAGE(C$236:C237)</f>
        <v/>
      </c>
      <c r="D285" s="361">
        <f>AVERAGE(D$236:D237)</f>
        <v/>
      </c>
      <c r="E285" s="361">
        <f>AVERAGE(E$236:E237)</f>
        <v/>
      </c>
      <c r="F285" s="361">
        <f>AVERAGE(F$236:F237)</f>
        <v/>
      </c>
      <c r="G285" s="361">
        <f>AVERAGE(G$236:G237)</f>
        <v/>
      </c>
      <c r="H285" s="361">
        <f>AVERAGE(H$236:H237)</f>
        <v/>
      </c>
      <c r="I285" s="361" t="n"/>
      <c r="J285" s="357" t="inlineStr">
        <is>
          <t>02</t>
        </is>
      </c>
      <c r="K285" s="361">
        <f>AVERAGE(K$236:K237)</f>
        <v/>
      </c>
      <c r="L285" s="361" t="n">
        <v>15.985</v>
      </c>
      <c r="M285" s="361" t="n">
        <v>16.425</v>
      </c>
      <c r="N285" s="361" t="n">
        <v>15.245</v>
      </c>
      <c r="O285" s="361" t="n">
        <v>16.01</v>
      </c>
      <c r="P285" s="361" t="n">
        <v>14.15</v>
      </c>
      <c r="R285" s="357" t="inlineStr">
        <is>
          <t>02</t>
        </is>
      </c>
      <c r="S285" s="361">
        <f>AVERAGE(S$236:S237)</f>
        <v/>
      </c>
      <c r="T285" s="361" t="n">
        <v>15.98</v>
      </c>
      <c r="U285" s="361" t="n">
        <v>16.19</v>
      </c>
      <c r="V285" s="361" t="n">
        <v>15.635</v>
      </c>
      <c r="W285" s="361" t="n">
        <v>15.955</v>
      </c>
      <c r="X285" s="361" t="n">
        <v>13.82</v>
      </c>
      <c r="Z285" s="357" t="inlineStr">
        <is>
          <t>02</t>
        </is>
      </c>
      <c r="AA285" s="361">
        <f>AVERAGE(AA$236:AA237)</f>
        <v/>
      </c>
      <c r="AB285" s="361" t="n">
        <v>16</v>
      </c>
      <c r="AC285" s="361" t="n">
        <v>15.63</v>
      </c>
      <c r="AD285" s="361" t="n">
        <v>14.9</v>
      </c>
      <c r="AE285" s="361" t="n">
        <v>16.88</v>
      </c>
      <c r="AF285" s="361" t="n">
        <v>13.715</v>
      </c>
      <c r="AH285" s="357" t="inlineStr">
        <is>
          <t>02</t>
        </is>
      </c>
      <c r="AI285" s="361">
        <f>AVERAGE(AI$236:AI237)</f>
        <v/>
      </c>
      <c r="AJ285" s="361" t="n">
        <v>18.015</v>
      </c>
      <c r="AK285" s="361" t="n">
        <v>18.235</v>
      </c>
      <c r="AL285" s="361" t="n">
        <v>17.055</v>
      </c>
      <c r="AM285" s="361" t="n">
        <v>17.09</v>
      </c>
      <c r="AN285" s="361" t="n">
        <v>14.395</v>
      </c>
      <c r="AP285" s="357" t="inlineStr">
        <is>
          <t>02</t>
        </is>
      </c>
      <c r="AQ285" s="361">
        <f>AVERAGE(AQ$236:AQ237)</f>
        <v/>
      </c>
      <c r="AR285" s="361" t="n">
        <v>16.555</v>
      </c>
      <c r="AS285" s="361" t="n">
        <v>16.555</v>
      </c>
      <c r="AT285" s="361" t="n">
        <v>15.4</v>
      </c>
      <c r="AU285" s="361" t="n">
        <v>16.14</v>
      </c>
      <c r="AV285" s="361" t="e">
        <v>#DIV/0!</v>
      </c>
      <c r="AX285" s="357" t="inlineStr">
        <is>
          <t>02</t>
        </is>
      </c>
      <c r="AY285" s="361">
        <f>AVERAGE(AY$236:AY237)</f>
        <v/>
      </c>
      <c r="AZ285" s="361" t="n">
        <v>19.425</v>
      </c>
      <c r="BA285" s="361" t="n">
        <v>19.415</v>
      </c>
      <c r="BB285" s="361" t="n">
        <v>18.15</v>
      </c>
      <c r="BC285" s="361" t="n"/>
      <c r="BD285" s="361" t="n"/>
      <c r="BE285" s="361" t="n"/>
      <c r="BF285" s="357" t="inlineStr">
        <is>
          <t>02</t>
        </is>
      </c>
      <c r="BG285" s="361">
        <f>AVERAGE(BG$236:BG237)</f>
        <v/>
      </c>
      <c r="BH285" s="361" t="n">
        <v>18.035</v>
      </c>
      <c r="BI285" s="361" t="n">
        <v>18.755</v>
      </c>
      <c r="BJ285" s="361" t="n"/>
      <c r="BK285" s="361" t="n"/>
      <c r="BL285" s="361" t="n"/>
      <c r="BM285" s="361" t="n"/>
      <c r="BN285" s="357" t="inlineStr">
        <is>
          <t>02</t>
        </is>
      </c>
      <c r="BO285" s="361">
        <f>AVERAGE(BO$236:BO237)</f>
        <v/>
      </c>
      <c r="BP285" s="361" t="n">
        <v>16.665</v>
      </c>
      <c r="BQ285" s="361" t="n">
        <v>16.815</v>
      </c>
      <c r="BR285" s="361" t="n">
        <v>15.945</v>
      </c>
      <c r="BS285" s="361" t="n">
        <v>17.475</v>
      </c>
      <c r="BT285" s="361" t="n">
        <v>13.59</v>
      </c>
      <c r="BV285" s="357" t="inlineStr">
        <is>
          <t>02</t>
        </is>
      </c>
      <c r="BW285" s="361">
        <f>AVERAGE(BW$236:BW237)</f>
        <v/>
      </c>
      <c r="BX285" s="361" t="n">
        <v>18.175</v>
      </c>
      <c r="BY285" s="361" t="n">
        <v>18.61</v>
      </c>
      <c r="BZ285" s="361" t="n">
        <v>17.83</v>
      </c>
      <c r="CA285" s="361" t="n">
        <v>19.065</v>
      </c>
      <c r="CB285" s="361" t="n">
        <v>15.045</v>
      </c>
      <c r="CC285" s="361" t="n"/>
      <c r="CD285" s="357" t="inlineStr">
        <is>
          <t>02</t>
        </is>
      </c>
      <c r="CE285" s="361">
        <f>AVERAGE(CE$236:CE237)</f>
        <v/>
      </c>
      <c r="CF285" s="361" t="n">
        <v>17.18</v>
      </c>
      <c r="CG285" s="361" t="n">
        <v>16.815</v>
      </c>
      <c r="CH285" s="361" t="n">
        <v>16.255</v>
      </c>
      <c r="CI285" s="361" t="n">
        <v>19.065</v>
      </c>
      <c r="CJ285" s="361" t="n">
        <v>13.025</v>
      </c>
      <c r="CL285" s="357" t="inlineStr">
        <is>
          <t>02</t>
        </is>
      </c>
      <c r="CM285" s="361">
        <f>AVERAGE(CM$236:CM237)</f>
        <v/>
      </c>
      <c r="CN285" s="361" t="n">
        <v>16.7</v>
      </c>
      <c r="CO285" s="361" t="n">
        <v>18.61</v>
      </c>
      <c r="CP285" s="361" t="n">
        <v>17.6</v>
      </c>
      <c r="CQ285" s="361" t="n">
        <v>17.78</v>
      </c>
      <c r="CR285" s="361" t="n">
        <v>14.805</v>
      </c>
      <c r="CT285" s="357" t="inlineStr">
        <is>
          <t>02</t>
        </is>
      </c>
      <c r="CU285" s="361">
        <f>AVERAGE(CU$236:CU237)</f>
        <v/>
      </c>
      <c r="CV285" s="361" t="n">
        <v>16.16</v>
      </c>
      <c r="CW285" s="361" t="e">
        <v>#DIV/0!</v>
      </c>
      <c r="CX285" s="361" t="n"/>
      <c r="CY285" s="361" t="n"/>
      <c r="CZ285" s="361" t="n"/>
      <c r="DB285" s="357" t="inlineStr">
        <is>
          <t>02</t>
        </is>
      </c>
      <c r="DC285" s="361">
        <f>AVERAGE(DC$236:DC237)</f>
        <v/>
      </c>
      <c r="DD285" s="361" t="n">
        <v>18.655</v>
      </c>
      <c r="DE285" s="361" t="e">
        <v>#DIV/0!</v>
      </c>
      <c r="DF285" s="361" t="n"/>
      <c r="DG285" s="361" t="n"/>
      <c r="DH285" s="361" t="n"/>
      <c r="DI285" s="361" t="n"/>
      <c r="DJ285" s="357" t="inlineStr">
        <is>
          <t>02</t>
        </is>
      </c>
      <c r="DK285" s="361">
        <f>AVERAGE(DK$236:DK237)</f>
        <v/>
      </c>
      <c r="DL285" s="361" t="n">
        <v>13.825</v>
      </c>
      <c r="DM285" s="361" t="e">
        <v>#DIV/0!</v>
      </c>
      <c r="DN285" s="361" t="n"/>
      <c r="DO285" s="361" t="n"/>
      <c r="DP285" s="361" t="n"/>
      <c r="DR285" s="357" t="inlineStr">
        <is>
          <t>02</t>
        </is>
      </c>
      <c r="DS285" s="361">
        <f>AVERAGE(DS$236:DS237)</f>
        <v/>
      </c>
      <c r="DT285" s="361" t="n">
        <v>18.47</v>
      </c>
      <c r="DU285" s="361" t="e">
        <v>#DIV/0!</v>
      </c>
      <c r="DV285" s="361" t="n"/>
      <c r="DW285" s="361" t="n"/>
      <c r="DX285" s="361" t="n"/>
      <c r="DZ285" s="357" t="inlineStr">
        <is>
          <t>02</t>
        </is>
      </c>
      <c r="EA285" s="361">
        <f>AVERAGE(EA$236:EA237)</f>
        <v/>
      </c>
      <c r="EB285" s="361" t="e">
        <v>#DIV/0!</v>
      </c>
      <c r="EC285" s="361" t="e">
        <v>#DIV/0!</v>
      </c>
      <c r="ED285" s="361" t="n"/>
      <c r="EE285" s="361" t="n"/>
      <c r="EF285" s="361" t="n"/>
    </row>
    <row r="286" customFormat="1" s="359">
      <c r="B286" s="357" t="inlineStr">
        <is>
          <t>03</t>
        </is>
      </c>
      <c r="C286" s="361">
        <f>AVERAGE(C$236:C238)</f>
        <v/>
      </c>
      <c r="D286" s="361">
        <f>AVERAGE(D$236:D238)</f>
        <v/>
      </c>
      <c r="E286" s="361">
        <f>AVERAGE(E$236:E238)</f>
        <v/>
      </c>
      <c r="F286" s="361">
        <f>AVERAGE(F$236:F238)</f>
        <v/>
      </c>
      <c r="G286" s="361">
        <f>AVERAGE(G$236:G238)</f>
        <v/>
      </c>
      <c r="H286" s="361">
        <f>AVERAGE(H$236:H238)</f>
        <v/>
      </c>
      <c r="I286" s="361" t="n"/>
      <c r="J286" s="357" t="inlineStr">
        <is>
          <t>03</t>
        </is>
      </c>
      <c r="K286" s="361">
        <f>AVERAGE(K$236:K238)</f>
        <v/>
      </c>
      <c r="L286" s="361" t="n">
        <v>16.08</v>
      </c>
      <c r="M286" s="361" t="n">
        <v>16.5</v>
      </c>
      <c r="N286" s="361" t="n">
        <v>15.14333333333333</v>
      </c>
      <c r="O286" s="361" t="n">
        <v>15.82666666666667</v>
      </c>
      <c r="P286" s="361" t="n">
        <v>14.11666666666667</v>
      </c>
      <c r="R286" s="357" t="inlineStr">
        <is>
          <t>03</t>
        </is>
      </c>
      <c r="S286" s="361">
        <f>AVERAGE(S$236:S238)</f>
        <v/>
      </c>
      <c r="T286" s="361" t="n">
        <v>16.18</v>
      </c>
      <c r="U286" s="361" t="n">
        <v>16.38333333333334</v>
      </c>
      <c r="V286" s="361" t="n">
        <v>15.51</v>
      </c>
      <c r="W286" s="361" t="n">
        <v>15.74333333333333</v>
      </c>
      <c r="X286" s="361" t="n">
        <v>13.91</v>
      </c>
      <c r="Z286" s="357" t="inlineStr">
        <is>
          <t>03</t>
        </is>
      </c>
      <c r="AA286" s="361">
        <f>AVERAGE(AA$236:AA238)</f>
        <v/>
      </c>
      <c r="AB286" s="361" t="n">
        <v>16.03333333333333</v>
      </c>
      <c r="AC286" s="361" t="n">
        <v>15.72</v>
      </c>
      <c r="AD286" s="361" t="n">
        <v>14.8</v>
      </c>
      <c r="AE286" s="361" t="n">
        <v>16.60666666666667</v>
      </c>
      <c r="AF286" s="361" t="n">
        <v>13.66666666666667</v>
      </c>
      <c r="AH286" s="357" t="inlineStr">
        <is>
          <t>03</t>
        </is>
      </c>
      <c r="AI286" s="361">
        <f>AVERAGE(AI$236:AI238)</f>
        <v/>
      </c>
      <c r="AJ286" s="361" t="n">
        <v>18.01</v>
      </c>
      <c r="AK286" s="361" t="n">
        <v>18.28</v>
      </c>
      <c r="AL286" s="361" t="n">
        <v>16.93666666666667</v>
      </c>
      <c r="AM286" s="361" t="n">
        <v>16.88</v>
      </c>
      <c r="AN286" s="361" t="n">
        <v>15.22666666666667</v>
      </c>
      <c r="AP286" s="357" t="inlineStr">
        <is>
          <t>03</t>
        </is>
      </c>
      <c r="AQ286" s="361">
        <f>AVERAGE(AQ$236:AQ238)</f>
        <v/>
      </c>
      <c r="AR286" s="361" t="n">
        <v>16.69666666666667</v>
      </c>
      <c r="AS286" s="361" t="n">
        <v>16.60666666666667</v>
      </c>
      <c r="AT286" s="361" t="n">
        <v>15.21</v>
      </c>
      <c r="AU286" s="361" t="n">
        <v>15.91333333333333</v>
      </c>
      <c r="AV286" s="361" t="e">
        <v>#DIV/0!</v>
      </c>
      <c r="AX286" s="357" t="inlineStr">
        <is>
          <t>03</t>
        </is>
      </c>
      <c r="AY286" s="361">
        <f>AVERAGE(AY$236:AY238)</f>
        <v/>
      </c>
      <c r="AZ286" s="361" t="n">
        <v>19.51333333333334</v>
      </c>
      <c r="BA286" s="361" t="n">
        <v>19.41</v>
      </c>
      <c r="BB286" s="361" t="n">
        <v>17.93333333333333</v>
      </c>
      <c r="BC286" s="361" t="n"/>
      <c r="BD286" s="361" t="n"/>
      <c r="BE286" s="361" t="n"/>
      <c r="BF286" s="357" t="inlineStr">
        <is>
          <t>03</t>
        </is>
      </c>
      <c r="BG286" s="361">
        <f>AVERAGE(BG$236:BG238)</f>
        <v/>
      </c>
      <c r="BH286" s="361" t="n">
        <v>18.04</v>
      </c>
      <c r="BI286" s="361" t="n">
        <v>18.76</v>
      </c>
      <c r="BJ286" s="361" t="n"/>
      <c r="BK286" s="361" t="n"/>
      <c r="BL286" s="361" t="n"/>
      <c r="BM286" s="361" t="n"/>
      <c r="BN286" s="357" t="inlineStr">
        <is>
          <t>03</t>
        </is>
      </c>
      <c r="BO286" s="361">
        <f>AVERAGE(BO$236:BO238)</f>
        <v/>
      </c>
      <c r="BP286" s="361" t="n">
        <v>16.75</v>
      </c>
      <c r="BQ286" s="361" t="n">
        <v>16.74</v>
      </c>
      <c r="BR286" s="361" t="n">
        <v>15.7</v>
      </c>
      <c r="BS286" s="361" t="n">
        <v>17.16333333333333</v>
      </c>
      <c r="BT286" s="361" t="n">
        <v>13.61</v>
      </c>
      <c r="BV286" s="357" t="inlineStr">
        <is>
          <t>03</t>
        </is>
      </c>
      <c r="BW286" s="361">
        <f>AVERAGE(BW$236:BW238)</f>
        <v/>
      </c>
      <c r="BX286" s="361" t="n">
        <v>18.12333333333333</v>
      </c>
      <c r="BY286" s="361" t="n">
        <v>18.64</v>
      </c>
      <c r="BZ286" s="361" t="n">
        <v>17.7</v>
      </c>
      <c r="CA286" s="361" t="n">
        <v>18.56666666666667</v>
      </c>
      <c r="CB286" s="361" t="n">
        <v>15.04</v>
      </c>
      <c r="CC286" s="361" t="n"/>
      <c r="CD286" s="357" t="inlineStr">
        <is>
          <t>03</t>
        </is>
      </c>
      <c r="CE286" s="361">
        <f>AVERAGE(CE$236:CE238)</f>
        <v/>
      </c>
      <c r="CF286" s="361" t="n">
        <v>16.85666666666667</v>
      </c>
      <c r="CG286" s="361" t="n">
        <v>16.81333333333333</v>
      </c>
      <c r="CH286" s="361" t="n">
        <v>16.05666666666667</v>
      </c>
      <c r="CI286" s="361" t="n">
        <v>18.42</v>
      </c>
      <c r="CJ286" s="361" t="n">
        <v>13.00333333333333</v>
      </c>
      <c r="CL286" s="357" t="inlineStr">
        <is>
          <t>03</t>
        </is>
      </c>
      <c r="CM286" s="361">
        <f>AVERAGE(CM$236:CM238)</f>
        <v/>
      </c>
      <c r="CN286" s="361" t="n">
        <v>17.00333333333333</v>
      </c>
      <c r="CO286" s="361" t="n">
        <v>18.70333333333333</v>
      </c>
      <c r="CP286" s="361" t="n">
        <v>17.47</v>
      </c>
      <c r="CQ286" s="361" t="n">
        <v>17.58333333333333</v>
      </c>
      <c r="CR286" s="361" t="n">
        <v>14.80333333333333</v>
      </c>
      <c r="CT286" s="357" t="inlineStr">
        <is>
          <t>03</t>
        </is>
      </c>
      <c r="CU286" s="361">
        <f>AVERAGE(CU$236:CU238)</f>
        <v/>
      </c>
      <c r="CV286" s="361" t="n">
        <v>16.21666666666667</v>
      </c>
      <c r="CW286" s="361" t="e">
        <v>#DIV/0!</v>
      </c>
      <c r="CX286" s="361" t="n"/>
      <c r="CY286" s="361" t="n"/>
      <c r="CZ286" s="361" t="n"/>
      <c r="DB286" s="357" t="inlineStr">
        <is>
          <t>03</t>
        </is>
      </c>
      <c r="DC286" s="361">
        <f>AVERAGE(DC$236:DC238)</f>
        <v/>
      </c>
      <c r="DD286" s="361" t="n">
        <v>18.69666666666667</v>
      </c>
      <c r="DE286" s="361" t="e">
        <v>#DIV/0!</v>
      </c>
      <c r="DF286" s="361" t="n"/>
      <c r="DG286" s="361" t="n"/>
      <c r="DH286" s="361" t="n"/>
      <c r="DI286" s="361" t="n"/>
      <c r="DJ286" s="357" t="inlineStr">
        <is>
          <t>03</t>
        </is>
      </c>
      <c r="DK286" s="361">
        <f>AVERAGE(DK$236:DK238)</f>
        <v/>
      </c>
      <c r="DL286" s="361" t="n">
        <v>13.93333333333333</v>
      </c>
      <c r="DM286" s="361" t="e">
        <v>#DIV/0!</v>
      </c>
      <c r="DN286" s="361" t="n"/>
      <c r="DO286" s="361" t="n"/>
      <c r="DP286" s="361" t="n"/>
      <c r="DR286" s="357" t="inlineStr">
        <is>
          <t>03</t>
        </is>
      </c>
      <c r="DS286" s="361">
        <f>AVERAGE(DS$236:DS238)</f>
        <v/>
      </c>
      <c r="DT286" s="361" t="n">
        <v>18.55</v>
      </c>
      <c r="DU286" s="361" t="e">
        <v>#DIV/0!</v>
      </c>
      <c r="DV286" s="361" t="n"/>
      <c r="DW286" s="361" t="n"/>
      <c r="DX286" s="361" t="n"/>
      <c r="DZ286" s="357" t="inlineStr">
        <is>
          <t>03</t>
        </is>
      </c>
      <c r="EA286" s="361">
        <f>AVERAGE(EA$236:EA238)</f>
        <v/>
      </c>
      <c r="EB286" s="361" t="e">
        <v>#DIV/0!</v>
      </c>
      <c r="EC286" s="361" t="e">
        <v>#DIV/0!</v>
      </c>
      <c r="ED286" s="361" t="n"/>
      <c r="EE286" s="361" t="n"/>
      <c r="EF286" s="361" t="n"/>
    </row>
    <row r="287" customFormat="1" s="359">
      <c r="B287" s="357" t="inlineStr">
        <is>
          <t>04</t>
        </is>
      </c>
      <c r="C287" s="361">
        <f>AVERAGE(C$236:C239)</f>
        <v/>
      </c>
      <c r="D287" s="361">
        <f>AVERAGE(D$236:D239)</f>
        <v/>
      </c>
      <c r="E287" s="361">
        <f>AVERAGE(E$236:E239)</f>
        <v/>
      </c>
      <c r="F287" s="361">
        <f>AVERAGE(F$236:F239)</f>
        <v/>
      </c>
      <c r="G287" s="361">
        <f>AVERAGE(G$236:G239)</f>
        <v/>
      </c>
      <c r="H287" s="361">
        <f>AVERAGE(H$236:H239)</f>
        <v/>
      </c>
      <c r="I287" s="361" t="n"/>
      <c r="J287" s="357" t="inlineStr">
        <is>
          <t>04</t>
        </is>
      </c>
      <c r="K287" s="361">
        <f>AVERAGE(K$236:K239)</f>
        <v/>
      </c>
      <c r="L287" s="361" t="n">
        <v>16.0575</v>
      </c>
      <c r="M287" s="361" t="n">
        <v>16.69</v>
      </c>
      <c r="N287" s="361" t="n">
        <v>15.25</v>
      </c>
      <c r="O287" s="361" t="n">
        <v>15.8575</v>
      </c>
      <c r="P287" s="361" t="n">
        <v>10.5875025</v>
      </c>
      <c r="R287" s="357" t="inlineStr">
        <is>
          <t>04</t>
        </is>
      </c>
      <c r="S287" s="361">
        <f>AVERAGE(S$236:S239)</f>
        <v/>
      </c>
      <c r="T287" s="361" t="n">
        <v>16.255</v>
      </c>
      <c r="U287" s="361" t="n">
        <v>16.635</v>
      </c>
      <c r="V287" s="361" t="n">
        <v>15.6175</v>
      </c>
      <c r="W287" s="361" t="n">
        <v>15.755</v>
      </c>
      <c r="X287" s="361" t="n">
        <v>10.4325</v>
      </c>
      <c r="Z287" s="357" t="inlineStr">
        <is>
          <t>04</t>
        </is>
      </c>
      <c r="AA287" s="361">
        <f>AVERAGE(AA$236:AA239)</f>
        <v/>
      </c>
      <c r="AB287" s="361" t="n">
        <v>15.98</v>
      </c>
      <c r="AC287" s="361" t="n">
        <v>16.02</v>
      </c>
      <c r="AD287" s="361" t="n">
        <v>14.9375</v>
      </c>
      <c r="AE287" s="361" t="n">
        <v>16.5675</v>
      </c>
      <c r="AF287" s="361" t="n">
        <v>10.25</v>
      </c>
      <c r="AH287" s="357" t="inlineStr">
        <is>
          <t>04</t>
        </is>
      </c>
      <c r="AI287" s="361">
        <f>AVERAGE(AI$236:AI239)</f>
        <v/>
      </c>
      <c r="AJ287" s="361" t="n">
        <v>18.005</v>
      </c>
      <c r="AK287" s="361" t="n">
        <v>18.4</v>
      </c>
      <c r="AL287" s="361" t="n">
        <v>17.0325</v>
      </c>
      <c r="AM287" s="361" t="n">
        <v>16.9775</v>
      </c>
      <c r="AN287" s="361" t="n">
        <v>11.42</v>
      </c>
      <c r="AP287" s="357" t="inlineStr">
        <is>
          <t>04</t>
        </is>
      </c>
      <c r="AQ287" s="361">
        <f>AVERAGE(AQ$236:AQ239)</f>
        <v/>
      </c>
      <c r="AR287" s="361" t="n">
        <v>16.585</v>
      </c>
      <c r="AS287" s="361" t="n">
        <v>16.7375</v>
      </c>
      <c r="AT287" s="361" t="n">
        <v>15.32</v>
      </c>
      <c r="AU287" s="361" t="n">
        <v>16.1625</v>
      </c>
      <c r="AV287" s="361" t="e">
        <v>#DIV/0!</v>
      </c>
      <c r="AX287" s="357" t="inlineStr">
        <is>
          <t>04</t>
        </is>
      </c>
      <c r="AY287" s="361">
        <f>AVERAGE(AY$236:AY239)</f>
        <v/>
      </c>
      <c r="AZ287" s="361" t="n">
        <v>19.4875</v>
      </c>
      <c r="BA287" s="361" t="n">
        <v>19.6225</v>
      </c>
      <c r="BB287" s="361" t="n">
        <v>17.98</v>
      </c>
      <c r="BC287" s="361" t="n"/>
      <c r="BD287" s="361" t="n"/>
      <c r="BE287" s="361" t="n"/>
      <c r="BF287" s="357" t="inlineStr">
        <is>
          <t>04</t>
        </is>
      </c>
      <c r="BG287" s="361">
        <f>AVERAGE(BG$236:BG239)</f>
        <v/>
      </c>
      <c r="BH287" s="361" t="n">
        <v>18.025</v>
      </c>
      <c r="BI287" s="361" t="n">
        <v>19.035</v>
      </c>
      <c r="BJ287" s="361" t="n"/>
      <c r="BK287" s="361" t="n"/>
      <c r="BL287" s="361" t="n"/>
      <c r="BM287" s="361" t="n"/>
      <c r="BN287" s="357" t="inlineStr">
        <is>
          <t>04</t>
        </is>
      </c>
      <c r="BO287" s="361">
        <f>AVERAGE(BO$236:BO239)</f>
        <v/>
      </c>
      <c r="BP287" s="361" t="n">
        <v>16.76</v>
      </c>
      <c r="BQ287" s="361" t="n">
        <v>17.4525</v>
      </c>
      <c r="BR287" s="361" t="n">
        <v>15.8575</v>
      </c>
      <c r="BS287" s="361" t="n">
        <v>17.3925</v>
      </c>
      <c r="BT287" s="361" t="n">
        <v>10.2075</v>
      </c>
      <c r="BV287" s="357" t="inlineStr">
        <is>
          <t>04</t>
        </is>
      </c>
      <c r="BW287" s="361">
        <f>AVERAGE(BW$236:BW239)</f>
        <v/>
      </c>
      <c r="BX287" s="361" t="n">
        <v>18.16</v>
      </c>
      <c r="BY287" s="361" t="n">
        <v>18.9475</v>
      </c>
      <c r="BZ287" s="361" t="n">
        <v>17.9</v>
      </c>
      <c r="CA287" s="361" t="n">
        <v>18.485</v>
      </c>
      <c r="CB287" s="361" t="n">
        <v>11.28</v>
      </c>
      <c r="CC287" s="361" t="n"/>
      <c r="CD287" s="357" t="inlineStr">
        <is>
          <t>04</t>
        </is>
      </c>
      <c r="CE287" s="361">
        <f>AVERAGE(CE$236:CE239)</f>
        <v/>
      </c>
      <c r="CF287" s="361" t="n">
        <v>16.765</v>
      </c>
      <c r="CG287" s="361" t="n">
        <v>17.0075</v>
      </c>
      <c r="CH287" s="361" t="n">
        <v>16.085</v>
      </c>
      <c r="CI287" s="361" t="n">
        <v>18.1725</v>
      </c>
      <c r="CJ287" s="361" t="n">
        <v>9.979999999999999</v>
      </c>
      <c r="CL287" s="357" t="inlineStr">
        <is>
          <t>04</t>
        </is>
      </c>
      <c r="CM287" s="361">
        <f>AVERAGE(CM$236:CM239)</f>
        <v/>
      </c>
      <c r="CN287" s="361" t="n">
        <v>17.1</v>
      </c>
      <c r="CO287" s="361" t="n">
        <v>18.8475</v>
      </c>
      <c r="CP287" s="361" t="n">
        <v>17.5275</v>
      </c>
      <c r="CQ287" s="361" t="n">
        <v>17.675</v>
      </c>
      <c r="CR287" s="361" t="n">
        <v>11.1025</v>
      </c>
      <c r="CT287" s="357" t="inlineStr">
        <is>
          <t>04</t>
        </is>
      </c>
      <c r="CU287" s="361">
        <f>AVERAGE(CU$236:CU239)</f>
        <v/>
      </c>
      <c r="CV287" s="361" t="n">
        <v>16.085</v>
      </c>
      <c r="CW287" s="361" t="e">
        <v>#DIV/0!</v>
      </c>
      <c r="CX287" s="361" t="n"/>
      <c r="CY287" s="361" t="n"/>
      <c r="CZ287" s="361" t="n"/>
      <c r="DB287" s="357" t="inlineStr">
        <is>
          <t>04</t>
        </is>
      </c>
      <c r="DC287" s="361">
        <f>AVERAGE(DC$236:DC239)</f>
        <v/>
      </c>
      <c r="DD287" s="361" t="n">
        <v>18.61</v>
      </c>
      <c r="DE287" s="361" t="e">
        <v>#DIV/0!</v>
      </c>
      <c r="DF287" s="361" t="n"/>
      <c r="DG287" s="361" t="n"/>
      <c r="DH287" s="361" t="n"/>
      <c r="DI287" s="361" t="n"/>
      <c r="DJ287" s="357" t="inlineStr">
        <is>
          <t>04</t>
        </is>
      </c>
      <c r="DK287" s="361">
        <f>AVERAGE(DK$236:DK239)</f>
        <v/>
      </c>
      <c r="DL287" s="361" t="n">
        <v>13.84</v>
      </c>
      <c r="DM287" s="361" t="e">
        <v>#DIV/0!</v>
      </c>
      <c r="DN287" s="361" t="n"/>
      <c r="DO287" s="361" t="n"/>
      <c r="DP287" s="361" t="n"/>
      <c r="DR287" s="357" t="inlineStr">
        <is>
          <t>04</t>
        </is>
      </c>
      <c r="DS287" s="361">
        <f>AVERAGE(DS$236:DS239)</f>
        <v/>
      </c>
      <c r="DT287" s="361" t="n">
        <v>18.3125</v>
      </c>
      <c r="DU287" s="361" t="e">
        <v>#DIV/0!</v>
      </c>
      <c r="DV287" s="361" t="n"/>
      <c r="DW287" s="361" t="n"/>
      <c r="DX287" s="361" t="n"/>
      <c r="DZ287" s="357" t="inlineStr">
        <is>
          <t>04</t>
        </is>
      </c>
      <c r="EA287" s="361">
        <f>AVERAGE(EA$236:EA239)</f>
        <v/>
      </c>
      <c r="EB287" s="361" t="e">
        <v>#DIV/0!</v>
      </c>
      <c r="EC287" s="361" t="e">
        <v>#DIV/0!</v>
      </c>
      <c r="ED287" s="361" t="n"/>
      <c r="EE287" s="361" t="n"/>
      <c r="EF287" s="361" t="n"/>
    </row>
    <row r="288" customFormat="1" s="359">
      <c r="B288" s="357" t="inlineStr">
        <is>
          <t>05</t>
        </is>
      </c>
      <c r="C288" s="361">
        <f>AVERAGE(C$236:C240)</f>
        <v/>
      </c>
      <c r="D288" s="361">
        <f>AVERAGE(D$236:D240)</f>
        <v/>
      </c>
      <c r="E288" s="361">
        <f>AVERAGE(E$236:E240)</f>
        <v/>
      </c>
      <c r="F288" s="361">
        <f>AVERAGE(F$236:F240)</f>
        <v/>
      </c>
      <c r="G288" s="361">
        <f>AVERAGE(G$236:G240)</f>
        <v/>
      </c>
      <c r="H288" s="361">
        <f>AVERAGE(H$236:H240)</f>
        <v/>
      </c>
      <c r="I288" s="361" t="n"/>
      <c r="J288" s="357" t="inlineStr">
        <is>
          <t>05</t>
        </is>
      </c>
      <c r="K288" s="361">
        <f>AVERAGE(K$236:K240)</f>
        <v/>
      </c>
      <c r="L288" s="361" t="n">
        <v>16.104</v>
      </c>
      <c r="M288" s="361" t="n">
        <v>16.68</v>
      </c>
      <c r="N288" s="361" t="n">
        <v>15.272</v>
      </c>
      <c r="O288" s="361" t="n">
        <v>15.936</v>
      </c>
      <c r="P288" s="361" t="n">
        <v>12.066002</v>
      </c>
      <c r="R288" s="357" t="inlineStr">
        <is>
          <t>05</t>
        </is>
      </c>
      <c r="S288" s="361">
        <f>AVERAGE(S$236:S240)</f>
        <v/>
      </c>
      <c r="T288" s="361" t="n">
        <v>16.302</v>
      </c>
      <c r="U288" s="361" t="n">
        <v>16.692</v>
      </c>
      <c r="V288" s="361" t="n">
        <v>15.574</v>
      </c>
      <c r="W288" s="361" t="n">
        <v>15.916</v>
      </c>
      <c r="X288" s="361" t="n">
        <v>11.924</v>
      </c>
      <c r="Z288" s="357" t="inlineStr">
        <is>
          <t>05</t>
        </is>
      </c>
      <c r="AA288" s="361">
        <f>AVERAGE(AA$236:AA240)</f>
        <v/>
      </c>
      <c r="AB288" s="361" t="n">
        <v>15.934</v>
      </c>
      <c r="AC288" s="361" t="n">
        <v>15.954</v>
      </c>
      <c r="AD288" s="361" t="n">
        <v>14.894</v>
      </c>
      <c r="AE288" s="361" t="n">
        <v>16.448</v>
      </c>
      <c r="AF288" s="361" t="n">
        <v>12.124</v>
      </c>
      <c r="AH288" s="357" t="inlineStr">
        <is>
          <t>05</t>
        </is>
      </c>
      <c r="AI288" s="361">
        <f>AVERAGE(AI$236:AI240)</f>
        <v/>
      </c>
      <c r="AJ288" s="361" t="n">
        <v>18.096</v>
      </c>
      <c r="AK288" s="361" t="n">
        <v>18.412</v>
      </c>
      <c r="AL288" s="361" t="n">
        <v>17.008</v>
      </c>
      <c r="AM288" s="361" t="n">
        <v>17.19</v>
      </c>
      <c r="AN288" s="361" t="n">
        <v>13.13</v>
      </c>
      <c r="AP288" s="357" t="inlineStr">
        <is>
          <t>05</t>
        </is>
      </c>
      <c r="AQ288" s="361">
        <f>AVERAGE(AQ$236:AQ240)</f>
        <v/>
      </c>
      <c r="AR288" s="361" t="n">
        <v>16.522</v>
      </c>
      <c r="AS288" s="361" t="n">
        <v>16.76</v>
      </c>
      <c r="AT288" s="361" t="n">
        <v>15.35</v>
      </c>
      <c r="AU288" s="361" t="n">
        <v>16.184</v>
      </c>
      <c r="AV288" s="361" t="e">
        <v>#DIV/0!</v>
      </c>
      <c r="AX288" s="357" t="inlineStr">
        <is>
          <t>05</t>
        </is>
      </c>
      <c r="AY288" s="361">
        <f>AVERAGE(AY$236:AY240)</f>
        <v/>
      </c>
      <c r="AZ288" s="361" t="n">
        <v>19.422</v>
      </c>
      <c r="BA288" s="361" t="n">
        <v>19.718</v>
      </c>
      <c r="BB288" s="361" t="n">
        <v>18.074</v>
      </c>
      <c r="BC288" s="361" t="n"/>
      <c r="BD288" s="361" t="n"/>
      <c r="BE288" s="361" t="n"/>
      <c r="BF288" s="357" t="inlineStr">
        <is>
          <t>05</t>
        </is>
      </c>
      <c r="BG288" s="361">
        <f>AVERAGE(BG$236:BG240)</f>
        <v/>
      </c>
      <c r="BH288" s="361" t="n">
        <v>18.056</v>
      </c>
      <c r="BI288" s="361" t="n">
        <v>19.074</v>
      </c>
      <c r="BJ288" s="361" t="n"/>
      <c r="BK288" s="361" t="n"/>
      <c r="BL288" s="361" t="n"/>
      <c r="BM288" s="361" t="n"/>
      <c r="BN288" s="357" t="inlineStr">
        <is>
          <t>05</t>
        </is>
      </c>
      <c r="BO288" s="361">
        <f>AVERAGE(BO$236:BO240)</f>
        <v/>
      </c>
      <c r="BP288" s="361" t="n">
        <v>16.766</v>
      </c>
      <c r="BQ288" s="361" t="n">
        <v>17.46</v>
      </c>
      <c r="BR288" s="361" t="n">
        <v>15.856</v>
      </c>
      <c r="BS288" s="361" t="n">
        <v>17.538</v>
      </c>
      <c r="BT288" s="361" t="n">
        <v>12.42</v>
      </c>
      <c r="BV288" s="357" t="inlineStr">
        <is>
          <t>05</t>
        </is>
      </c>
      <c r="BW288" s="361">
        <f>AVERAGE(BW$236:BW240)</f>
        <v/>
      </c>
      <c r="BX288" s="361" t="n">
        <v>18.206</v>
      </c>
      <c r="BY288" s="361" t="n">
        <v>19.082</v>
      </c>
      <c r="BZ288" s="361" t="n">
        <v>17.992</v>
      </c>
      <c r="CA288" s="361" t="n">
        <v>18.624</v>
      </c>
      <c r="CB288" s="361" t="n">
        <v>13.266</v>
      </c>
      <c r="CC288" s="361" t="n"/>
      <c r="CD288" s="357" t="inlineStr">
        <is>
          <t>05</t>
        </is>
      </c>
      <c r="CE288" s="361">
        <f>AVERAGE(CE$236:CE240)</f>
        <v/>
      </c>
      <c r="CF288" s="361" t="n">
        <v>16.724</v>
      </c>
      <c r="CG288" s="361" t="n">
        <v>17.156</v>
      </c>
      <c r="CH288" s="361" t="n">
        <v>16.084</v>
      </c>
      <c r="CI288" s="361" t="n">
        <v>18.15</v>
      </c>
      <c r="CJ288" s="361" t="n">
        <v>12.02</v>
      </c>
      <c r="CL288" s="357" t="inlineStr">
        <is>
          <t>05</t>
        </is>
      </c>
      <c r="CM288" s="361">
        <f>AVERAGE(CM$236:CM240)</f>
        <v/>
      </c>
      <c r="CN288" s="361" t="n">
        <v>17.136</v>
      </c>
      <c r="CO288" s="361" t="n">
        <v>18.856</v>
      </c>
      <c r="CP288" s="361" t="n">
        <v>17.518</v>
      </c>
      <c r="CQ288" s="361" t="n">
        <v>17.838</v>
      </c>
      <c r="CR288" s="361" t="n">
        <v>12.782</v>
      </c>
      <c r="CT288" s="357" t="inlineStr">
        <is>
          <t>05</t>
        </is>
      </c>
      <c r="CU288" s="361">
        <f>AVERAGE(CU$236:CU240)</f>
        <v/>
      </c>
      <c r="CV288" s="361" t="n">
        <v>16.032</v>
      </c>
      <c r="CW288" s="361" t="e">
        <v>#DIV/0!</v>
      </c>
      <c r="CX288" s="361" t="n"/>
      <c r="CY288" s="361" t="n"/>
      <c r="CZ288" s="361" t="n"/>
      <c r="DB288" s="357" t="inlineStr">
        <is>
          <t>05</t>
        </is>
      </c>
      <c r="DC288" s="361">
        <f>AVERAGE(DC$236:DC240)</f>
        <v/>
      </c>
      <c r="DD288" s="361" t="n">
        <v>18.57</v>
      </c>
      <c r="DE288" s="361" t="e">
        <v>#DIV/0!</v>
      </c>
      <c r="DF288" s="361" t="n"/>
      <c r="DG288" s="361" t="n"/>
      <c r="DH288" s="361" t="n"/>
      <c r="DI288" s="361" t="n"/>
      <c r="DJ288" s="357" t="inlineStr">
        <is>
          <t>05</t>
        </is>
      </c>
      <c r="DK288" s="361">
        <f>AVERAGE(DK$236:DK240)</f>
        <v/>
      </c>
      <c r="DL288" s="361" t="n">
        <v>13.79</v>
      </c>
      <c r="DM288" s="361" t="e">
        <v>#DIV/0!</v>
      </c>
      <c r="DN288" s="361" t="n"/>
      <c r="DO288" s="361" t="n"/>
      <c r="DP288" s="361" t="n"/>
      <c r="DR288" s="357" t="inlineStr">
        <is>
          <t>05</t>
        </is>
      </c>
      <c r="DS288" s="361">
        <f>AVERAGE(DS$236:DS240)</f>
        <v/>
      </c>
      <c r="DT288" s="361" t="n">
        <v>18.238</v>
      </c>
      <c r="DU288" s="361" t="e">
        <v>#DIV/0!</v>
      </c>
      <c r="DV288" s="361" t="n"/>
      <c r="DW288" s="361" t="n"/>
      <c r="DX288" s="361" t="n"/>
      <c r="DZ288" s="357" t="inlineStr">
        <is>
          <t>05</t>
        </is>
      </c>
      <c r="EA288" s="361">
        <f>AVERAGE(EA$236:EA240)</f>
        <v/>
      </c>
      <c r="EB288" s="361" t="e">
        <v>#DIV/0!</v>
      </c>
      <c r="EC288" s="361" t="e">
        <v>#DIV/0!</v>
      </c>
      <c r="ED288" s="361" t="n"/>
      <c r="EE288" s="361" t="n"/>
      <c r="EF288" s="361" t="n"/>
    </row>
    <row r="289" customFormat="1" s="359">
      <c r="B289" s="357" t="inlineStr">
        <is>
          <t>06</t>
        </is>
      </c>
      <c r="C289" s="361">
        <f>AVERAGE(C$236:C241)</f>
        <v/>
      </c>
      <c r="D289" s="361">
        <f>AVERAGE(D$236:D241)</f>
        <v/>
      </c>
      <c r="E289" s="361">
        <f>AVERAGE(E$236:E241)</f>
        <v/>
      </c>
      <c r="F289" s="361">
        <f>AVERAGE(F$236:F241)</f>
        <v/>
      </c>
      <c r="G289" s="361">
        <f>AVERAGE(G$236:G241)</f>
        <v/>
      </c>
      <c r="H289" s="361">
        <f>AVERAGE(H$236:H241)</f>
        <v/>
      </c>
      <c r="I289" s="361" t="n"/>
      <c r="J289" s="357" t="inlineStr">
        <is>
          <t>06</t>
        </is>
      </c>
      <c r="K289" s="361">
        <f>AVERAGE(K$236:K241)</f>
        <v/>
      </c>
      <c r="L289" s="361" t="n">
        <v>16.12333333333333</v>
      </c>
      <c r="M289" s="361" t="n">
        <v>16.61333333333333</v>
      </c>
      <c r="N289" s="361" t="n">
        <v>15.28666666666667</v>
      </c>
      <c r="O289" s="361" t="n">
        <v>15.795</v>
      </c>
      <c r="P289" s="361" t="n">
        <v>12.62166833333333</v>
      </c>
      <c r="R289" s="357" t="inlineStr">
        <is>
          <t>06</t>
        </is>
      </c>
      <c r="S289" s="361">
        <f>AVERAGE(S$236:S241)</f>
        <v/>
      </c>
      <c r="T289" s="361" t="n">
        <v>16.26</v>
      </c>
      <c r="U289" s="361" t="n">
        <v>16.69166666666667</v>
      </c>
      <c r="V289" s="361" t="n">
        <v>15.575</v>
      </c>
      <c r="W289" s="361" t="n">
        <v>15.82333333333333</v>
      </c>
      <c r="X289" s="361" t="n">
        <v>12.54666666666667</v>
      </c>
      <c r="Z289" s="357" t="inlineStr">
        <is>
          <t>06</t>
        </is>
      </c>
      <c r="AA289" s="361">
        <f>AVERAGE(AA$236:AA241)</f>
        <v/>
      </c>
      <c r="AB289" s="361" t="n">
        <v>15.89333333333333</v>
      </c>
      <c r="AC289" s="361" t="n">
        <v>15.93666666666667</v>
      </c>
      <c r="AD289" s="361" t="n">
        <v>14.91833333333333</v>
      </c>
      <c r="AE289" s="361" t="n">
        <v>16.22333333333333</v>
      </c>
      <c r="AF289" s="361" t="n">
        <v>12.69333333333333</v>
      </c>
      <c r="AH289" s="357" t="inlineStr">
        <is>
          <t>06</t>
        </is>
      </c>
      <c r="AI289" s="361">
        <f>AVERAGE(AI$236:AI241)</f>
        <v/>
      </c>
      <c r="AJ289" s="361" t="n">
        <v>18.135</v>
      </c>
      <c r="AK289" s="361" t="n">
        <v>18.31666666666667</v>
      </c>
      <c r="AL289" s="361" t="n">
        <v>16.99166666666666</v>
      </c>
      <c r="AM289" s="361" t="n">
        <v>17.14833333333333</v>
      </c>
      <c r="AN289" s="361" t="n">
        <v>13.725</v>
      </c>
      <c r="AP289" s="357" t="inlineStr">
        <is>
          <t>06</t>
        </is>
      </c>
      <c r="AQ289" s="361">
        <f>AVERAGE(AQ$236:AQ241)</f>
        <v/>
      </c>
      <c r="AR289" s="361" t="n">
        <v>16.5</v>
      </c>
      <c r="AS289" s="361" t="n">
        <v>16.68833333333334</v>
      </c>
      <c r="AT289" s="361" t="n">
        <v>15.31833333333333</v>
      </c>
      <c r="AU289" s="361" t="n">
        <v>16.035</v>
      </c>
      <c r="AV289" s="361" t="e">
        <v>#DIV/0!</v>
      </c>
      <c r="AX289" s="357" t="inlineStr">
        <is>
          <t>06</t>
        </is>
      </c>
      <c r="AY289" s="361">
        <f>AVERAGE(AY$236:AY241)</f>
        <v/>
      </c>
      <c r="AZ289" s="361" t="n">
        <v>19.31833333333333</v>
      </c>
      <c r="BA289" s="361" t="n">
        <v>19.65</v>
      </c>
      <c r="BB289" s="361" t="n">
        <v>18.10166666666667</v>
      </c>
      <c r="BC289" s="361" t="n"/>
      <c r="BD289" s="361" t="n"/>
      <c r="BE289" s="361" t="n"/>
      <c r="BF289" s="357" t="inlineStr">
        <is>
          <t>06</t>
        </is>
      </c>
      <c r="BG289" s="361">
        <f>AVERAGE(BG$236:BG241)</f>
        <v/>
      </c>
      <c r="BH289" s="361" t="n">
        <v>17.975</v>
      </c>
      <c r="BI289" s="361" t="n">
        <v>18.95</v>
      </c>
      <c r="BJ289" s="361" t="n"/>
      <c r="BK289" s="361" t="n"/>
      <c r="BL289" s="361" t="n"/>
      <c r="BM289" s="361" t="n"/>
      <c r="BN289" s="357" t="inlineStr">
        <is>
          <t>06</t>
        </is>
      </c>
      <c r="BO289" s="361">
        <f>AVERAGE(BO$236:BO241)</f>
        <v/>
      </c>
      <c r="BP289" s="361" t="n">
        <v>16.84166666666667</v>
      </c>
      <c r="BQ289" s="361" t="n">
        <v>17.46666666666667</v>
      </c>
      <c r="BR289" s="361" t="n">
        <v>15.965</v>
      </c>
      <c r="BS289" s="361" t="n">
        <v>17.45333333333333</v>
      </c>
      <c r="BT289" s="361" t="n">
        <v>13.24833333333333</v>
      </c>
      <c r="BV289" s="357" t="inlineStr">
        <is>
          <t>06</t>
        </is>
      </c>
      <c r="BW289" s="361">
        <f>AVERAGE(BW$236:BW241)</f>
        <v/>
      </c>
      <c r="BX289" s="361" t="n">
        <v>18.14166666666667</v>
      </c>
      <c r="BY289" s="361" t="n">
        <v>19.02833333333334</v>
      </c>
      <c r="BZ289" s="361" t="n">
        <v>17.98333333333333</v>
      </c>
      <c r="CA289" s="361" t="n">
        <v>18.46333333333333</v>
      </c>
      <c r="CB289" s="361" t="n">
        <v>13.97</v>
      </c>
      <c r="CC289" s="361" t="n"/>
      <c r="CD289" s="357" t="inlineStr">
        <is>
          <t>06</t>
        </is>
      </c>
      <c r="CE289" s="361">
        <f>AVERAGE(CE$236:CE241)</f>
        <v/>
      </c>
      <c r="CF289" s="361" t="n">
        <v>16.655</v>
      </c>
      <c r="CG289" s="361" t="n">
        <v>17.1</v>
      </c>
      <c r="CH289" s="361" t="n">
        <v>16.04166666666667</v>
      </c>
      <c r="CI289" s="361" t="n">
        <v>17.81166666666667</v>
      </c>
      <c r="CJ289" s="361" t="n">
        <v>12.62333333333333</v>
      </c>
      <c r="CL289" s="357" t="inlineStr">
        <is>
          <t>06</t>
        </is>
      </c>
      <c r="CM289" s="361">
        <f>AVERAGE(CM$236:CM241)</f>
        <v/>
      </c>
      <c r="CN289" s="361" t="n">
        <v>17.175</v>
      </c>
      <c r="CO289" s="361" t="n">
        <v>18.79833333333334</v>
      </c>
      <c r="CP289" s="361" t="n">
        <v>17.51166666666667</v>
      </c>
      <c r="CQ289" s="361" t="n">
        <v>17.75333333333333</v>
      </c>
      <c r="CR289" s="361" t="n">
        <v>13.495</v>
      </c>
      <c r="CT289" s="357" t="inlineStr">
        <is>
          <t>06</t>
        </is>
      </c>
      <c r="CU289" s="361">
        <f>AVERAGE(CU$236:CU241)</f>
        <v/>
      </c>
      <c r="CV289" s="361" t="n">
        <v>16.00666666666666</v>
      </c>
      <c r="CW289" s="361" t="e">
        <v>#DIV/0!</v>
      </c>
      <c r="CX289" s="361" t="n"/>
      <c r="CY289" s="361" t="n"/>
      <c r="CZ289" s="361" t="n"/>
      <c r="DB289" s="357" t="inlineStr">
        <is>
          <t>06</t>
        </is>
      </c>
      <c r="DC289" s="361">
        <f>AVERAGE(DC$236:DC241)</f>
        <v/>
      </c>
      <c r="DD289" s="361" t="n">
        <v>18.56333333333333</v>
      </c>
      <c r="DE289" s="361" t="e">
        <v>#DIV/0!</v>
      </c>
      <c r="DF289" s="361" t="n"/>
      <c r="DG289" s="361" t="n"/>
      <c r="DH289" s="361" t="n"/>
      <c r="DI289" s="361" t="n"/>
      <c r="DJ289" s="357" t="inlineStr">
        <is>
          <t>06</t>
        </is>
      </c>
      <c r="DK289" s="361">
        <f>AVERAGE(DK$236:DK241)</f>
        <v/>
      </c>
      <c r="DL289" s="361" t="n">
        <v>13.80333333333333</v>
      </c>
      <c r="DM289" s="361" t="e">
        <v>#DIV/0!</v>
      </c>
      <c r="DN289" s="361" t="n"/>
      <c r="DO289" s="361" t="n"/>
      <c r="DP289" s="361" t="n"/>
      <c r="DR289" s="357" t="inlineStr">
        <is>
          <t>06</t>
        </is>
      </c>
      <c r="DS289" s="361">
        <f>AVERAGE(DS$236:DS241)</f>
        <v/>
      </c>
      <c r="DT289" s="361" t="n">
        <v>18.17833333333333</v>
      </c>
      <c r="DU289" s="361" t="e">
        <v>#DIV/0!</v>
      </c>
      <c r="DV289" s="361" t="n"/>
      <c r="DW289" s="361" t="n"/>
      <c r="DX289" s="361" t="n"/>
      <c r="DZ289" s="357" t="inlineStr">
        <is>
          <t>06</t>
        </is>
      </c>
      <c r="EA289" s="361">
        <f>AVERAGE(EA$236:EA241)</f>
        <v/>
      </c>
      <c r="EB289" s="361" t="e">
        <v>#DIV/0!</v>
      </c>
      <c r="EC289" s="361" t="e">
        <v>#DIV/0!</v>
      </c>
      <c r="ED289" s="361" t="n"/>
      <c r="EE289" s="361" t="n"/>
      <c r="EF289" s="361" t="n"/>
    </row>
    <row r="290" customFormat="1" s="359">
      <c r="B290" s="357" t="inlineStr">
        <is>
          <t>07</t>
        </is>
      </c>
      <c r="C290" s="361">
        <f>AVERAGE(C$236:C242)</f>
        <v/>
      </c>
      <c r="D290" s="361">
        <f>AVERAGE(D$236:D242)</f>
        <v/>
      </c>
      <c r="E290" s="361">
        <f>AVERAGE(E$236:E242)</f>
        <v/>
      </c>
      <c r="F290" s="361">
        <f>AVERAGE(F$236:F242)</f>
        <v/>
      </c>
      <c r="G290" s="361">
        <f>AVERAGE(G$236:G242)</f>
        <v/>
      </c>
      <c r="H290" s="361">
        <f>AVERAGE(H$236:H242)</f>
        <v/>
      </c>
      <c r="I290" s="361" t="n"/>
      <c r="J290" s="357" t="inlineStr">
        <is>
          <t>07</t>
        </is>
      </c>
      <c r="K290" s="361">
        <f>AVERAGE(K$236:K242)</f>
        <v/>
      </c>
      <c r="L290" s="361" t="n">
        <v>16.20142857142857</v>
      </c>
      <c r="M290" s="361" t="n">
        <v>16.67571428571429</v>
      </c>
      <c r="N290" s="361" t="n">
        <v>15.37</v>
      </c>
      <c r="O290" s="361" t="n">
        <v>15.78428571428572</v>
      </c>
      <c r="P290" s="361" t="n">
        <v>12.96571571428572</v>
      </c>
      <c r="R290" s="357" t="inlineStr">
        <is>
          <t>07</t>
        </is>
      </c>
      <c r="S290" s="361">
        <f>AVERAGE(S$236:S242)</f>
        <v/>
      </c>
      <c r="T290" s="361" t="n">
        <v>16.32857142857143</v>
      </c>
      <c r="U290" s="361" t="n">
        <v>16.82857142857143</v>
      </c>
      <c r="V290" s="361" t="n">
        <v>15.68142857142857</v>
      </c>
      <c r="W290" s="361" t="n">
        <v>15.88</v>
      </c>
      <c r="X290" s="361" t="n">
        <v>12.97428571428571</v>
      </c>
      <c r="Z290" s="357" t="inlineStr">
        <is>
          <t>07</t>
        </is>
      </c>
      <c r="AA290" s="361">
        <f>AVERAGE(AA$236:AA242)</f>
        <v/>
      </c>
      <c r="AB290" s="361" t="n">
        <v>15.98714285714286</v>
      </c>
      <c r="AC290" s="361" t="n">
        <v>16.05714285714286</v>
      </c>
      <c r="AD290" s="361" t="n">
        <v>15.06</v>
      </c>
      <c r="AE290" s="361" t="n">
        <v>16.06857142857143</v>
      </c>
      <c r="AF290" s="361" t="n">
        <v>13.01714285714286</v>
      </c>
      <c r="AH290" s="357" t="inlineStr">
        <is>
          <t>07</t>
        </is>
      </c>
      <c r="AI290" s="361">
        <f>AVERAGE(AI$236:AI242)</f>
        <v/>
      </c>
      <c r="AJ290" s="361" t="n">
        <v>18.09571428571428</v>
      </c>
      <c r="AK290" s="361" t="n">
        <v>18.44</v>
      </c>
      <c r="AL290" s="361" t="n">
        <v>17.09142857142857</v>
      </c>
      <c r="AM290" s="361" t="n">
        <v>17.16</v>
      </c>
      <c r="AN290" s="361" t="n">
        <v>14.04428571428572</v>
      </c>
      <c r="AP290" s="357" t="inlineStr">
        <is>
          <t>07</t>
        </is>
      </c>
      <c r="AQ290" s="361">
        <f>AVERAGE(AQ$236:AQ242)</f>
        <v/>
      </c>
      <c r="AR290" s="361" t="n">
        <v>16.60142857142857</v>
      </c>
      <c r="AS290" s="361" t="n">
        <v>16.81</v>
      </c>
      <c r="AT290" s="361" t="n">
        <v>15.38857142857143</v>
      </c>
      <c r="AU290" s="361" t="n">
        <v>16.09857142857143</v>
      </c>
      <c r="AV290" s="361" t="e">
        <v>#DIV/0!</v>
      </c>
      <c r="AX290" s="357" t="inlineStr">
        <is>
          <t>07</t>
        </is>
      </c>
      <c r="AY290" s="361">
        <f>AVERAGE(AY$236:AY242)</f>
        <v/>
      </c>
      <c r="AZ290" s="361" t="n">
        <v>19.38142857142857</v>
      </c>
      <c r="BA290" s="361" t="n">
        <v>19.79</v>
      </c>
      <c r="BB290" s="361" t="n">
        <v>18.20857142857143</v>
      </c>
      <c r="BC290" s="361" t="n">
        <v>20.69</v>
      </c>
      <c r="BD290" s="361" t="n"/>
      <c r="BE290" s="361" t="n"/>
      <c r="BF290" s="357" t="inlineStr">
        <is>
          <t>07</t>
        </is>
      </c>
      <c r="BG290" s="361">
        <f>AVERAGE(BG$236:BG242)</f>
        <v/>
      </c>
      <c r="BH290" s="361" t="n">
        <v>18.06</v>
      </c>
      <c r="BI290" s="361" t="n">
        <v>19.11142857142857</v>
      </c>
      <c r="BJ290" s="361" t="n"/>
      <c r="BK290" s="361" t="n"/>
      <c r="BL290" s="361" t="n"/>
      <c r="BM290" s="361" t="n"/>
      <c r="BN290" s="357" t="inlineStr">
        <is>
          <t>07</t>
        </is>
      </c>
      <c r="BO290" s="361">
        <f>AVERAGE(BO$236:BO242)</f>
        <v/>
      </c>
      <c r="BP290" s="361" t="n">
        <v>17.07142857142857</v>
      </c>
      <c r="BQ290" s="361" t="n">
        <v>17.68142857142857</v>
      </c>
      <c r="BR290" s="361" t="n">
        <v>16.20285714285714</v>
      </c>
      <c r="BS290" s="361" t="n">
        <v>17.51285714285714</v>
      </c>
      <c r="BT290" s="361" t="n">
        <v>13.86</v>
      </c>
      <c r="BV290" s="357" t="inlineStr">
        <is>
          <t>07</t>
        </is>
      </c>
      <c r="BW290" s="361">
        <f>AVERAGE(BW$236:BW242)</f>
        <v/>
      </c>
      <c r="BX290" s="361" t="n">
        <v>18.31857142857143</v>
      </c>
      <c r="BY290" s="361" t="n">
        <v>19.28142857142857</v>
      </c>
      <c r="BZ290" s="361" t="n">
        <v>18.14285714285714</v>
      </c>
      <c r="CA290" s="361" t="n">
        <v>18.48</v>
      </c>
      <c r="CB290" s="361" t="n">
        <v>14.57857142857143</v>
      </c>
      <c r="CC290" s="361" t="n"/>
      <c r="CD290" s="357" t="inlineStr">
        <is>
          <t>07</t>
        </is>
      </c>
      <c r="CE290" s="361">
        <f>AVERAGE(CE$236:CE242)</f>
        <v/>
      </c>
      <c r="CF290" s="361" t="n">
        <v>16.71</v>
      </c>
      <c r="CG290" s="361" t="n">
        <v>17.29714285714286</v>
      </c>
      <c r="CH290" s="361" t="n">
        <v>16.21142857142857</v>
      </c>
      <c r="CI290" s="361" t="n">
        <v>17.64142857142857</v>
      </c>
      <c r="CJ290" s="361" t="n">
        <v>13.07571428571429</v>
      </c>
      <c r="CL290" s="357" t="inlineStr">
        <is>
          <t>07</t>
        </is>
      </c>
      <c r="CM290" s="361">
        <f>AVERAGE(CM$236:CM242)</f>
        <v/>
      </c>
      <c r="CN290" s="361" t="n">
        <v>17.07714285714286</v>
      </c>
      <c r="CO290" s="361" t="n">
        <v>18.96142857142857</v>
      </c>
      <c r="CP290" s="361" t="n">
        <v>17.57142857142857</v>
      </c>
      <c r="CQ290" s="361" t="n">
        <v>17.75142857142857</v>
      </c>
      <c r="CR290" s="361" t="n">
        <v>13.99285714285714</v>
      </c>
      <c r="CT290" s="357" t="inlineStr">
        <is>
          <t>07</t>
        </is>
      </c>
      <c r="CU290" s="361">
        <f>AVERAGE(CU$236:CU242)</f>
        <v/>
      </c>
      <c r="CV290" s="361" t="n">
        <v>16.02</v>
      </c>
      <c r="CW290" s="361" t="e">
        <v>#DIV/0!</v>
      </c>
      <c r="CX290" s="361" t="n"/>
      <c r="CY290" s="361" t="n"/>
      <c r="CZ290" s="361" t="n"/>
      <c r="DB290" s="357" t="inlineStr">
        <is>
          <t>07</t>
        </is>
      </c>
      <c r="DC290" s="361">
        <f>AVERAGE(DC$236:DC242)</f>
        <v/>
      </c>
      <c r="DD290" s="361" t="n">
        <v>18.62142857142857</v>
      </c>
      <c r="DE290" s="361" t="e">
        <v>#DIV/0!</v>
      </c>
      <c r="DF290" s="361" t="n"/>
      <c r="DG290" s="361" t="n"/>
      <c r="DH290" s="361" t="n"/>
      <c r="DI290" s="361" t="n"/>
      <c r="DJ290" s="357" t="inlineStr">
        <is>
          <t>07</t>
        </is>
      </c>
      <c r="DK290" s="361">
        <f>AVERAGE(DK$236:DK242)</f>
        <v/>
      </c>
      <c r="DL290" s="361" t="n">
        <v>13.87571428571429</v>
      </c>
      <c r="DM290" s="361" t="e">
        <v>#DIV/0!</v>
      </c>
      <c r="DN290" s="361" t="n"/>
      <c r="DO290" s="361" t="n"/>
      <c r="DP290" s="361" t="n"/>
      <c r="DR290" s="357" t="inlineStr">
        <is>
          <t>07</t>
        </is>
      </c>
      <c r="DS290" s="361">
        <f>AVERAGE(DS$236:DS242)</f>
        <v/>
      </c>
      <c r="DT290" s="361" t="n">
        <v>18.17714285714286</v>
      </c>
      <c r="DU290" s="361" t="e">
        <v>#DIV/0!</v>
      </c>
      <c r="DV290" s="361" t="n"/>
      <c r="DW290" s="361" t="n"/>
      <c r="DX290" s="361" t="n"/>
      <c r="DZ290" s="357" t="inlineStr">
        <is>
          <t>07</t>
        </is>
      </c>
      <c r="EA290" s="361">
        <f>AVERAGE(EA$236:EA242)</f>
        <v/>
      </c>
      <c r="EB290" s="361" t="e">
        <v>#DIV/0!</v>
      </c>
      <c r="EC290" s="361" t="e">
        <v>#DIV/0!</v>
      </c>
      <c r="ED290" s="361" t="n"/>
      <c r="EE290" s="361" t="n"/>
      <c r="EF290" s="361" t="n"/>
    </row>
    <row r="291" customFormat="1" s="359">
      <c r="B291" s="357" t="inlineStr">
        <is>
          <t>08</t>
        </is>
      </c>
      <c r="C291" s="361">
        <f>AVERAGE(C$236:C243)</f>
        <v/>
      </c>
      <c r="D291" s="361">
        <f>AVERAGE(D$236:D243)</f>
        <v/>
      </c>
      <c r="E291" s="361">
        <f>AVERAGE(E$236:E243)</f>
        <v/>
      </c>
      <c r="F291" s="361">
        <f>AVERAGE(F$236:F243)</f>
        <v/>
      </c>
      <c r="G291" s="361">
        <f>AVERAGE(G$236:G243)</f>
        <v/>
      </c>
      <c r="H291" s="361">
        <f>AVERAGE(H$236:H243)</f>
        <v/>
      </c>
      <c r="I291" s="361" t="n"/>
      <c r="J291" s="357" t="inlineStr">
        <is>
          <t>08</t>
        </is>
      </c>
      <c r="K291" s="361">
        <f>AVERAGE(K$236:K243)</f>
        <v/>
      </c>
      <c r="L291" s="361" t="n">
        <v>16.35375</v>
      </c>
      <c r="M291" s="361" t="n">
        <v>16.76</v>
      </c>
      <c r="N291" s="361" t="n">
        <v>15.45375</v>
      </c>
      <c r="O291" s="361" t="n">
        <v>15.84875</v>
      </c>
      <c r="P291" s="361" t="n">
        <v>13.28625125</v>
      </c>
      <c r="R291" s="357" t="inlineStr">
        <is>
          <t>08</t>
        </is>
      </c>
      <c r="S291" s="361">
        <f>AVERAGE(S$236:S243)</f>
        <v/>
      </c>
      <c r="T291" s="361" t="n">
        <v>16.52625</v>
      </c>
      <c r="U291" s="361" t="n">
        <v>16.9825</v>
      </c>
      <c r="V291" s="361" t="n">
        <v>15.7725</v>
      </c>
      <c r="W291" s="361" t="n">
        <v>15.9975</v>
      </c>
      <c r="X291" s="361" t="n">
        <v>13.385</v>
      </c>
      <c r="Z291" s="357" t="inlineStr">
        <is>
          <t>08</t>
        </is>
      </c>
      <c r="AA291" s="361">
        <f>AVERAGE(AA$236:AA243)</f>
        <v/>
      </c>
      <c r="AB291" s="361" t="n">
        <v>16.135</v>
      </c>
      <c r="AC291" s="361" t="n">
        <v>16.145</v>
      </c>
      <c r="AD291" s="361" t="n">
        <v>15.17375</v>
      </c>
      <c r="AE291" s="361" t="n">
        <v>16.03875</v>
      </c>
      <c r="AF291" s="361" t="n">
        <v>13.375</v>
      </c>
      <c r="AH291" s="357" t="inlineStr">
        <is>
          <t>08</t>
        </is>
      </c>
      <c r="AI291" s="361">
        <f>AVERAGE(AI$236:AI243)</f>
        <v/>
      </c>
      <c r="AJ291" s="361" t="n">
        <v>18.25375</v>
      </c>
      <c r="AK291" s="361" t="n">
        <v>18.54375</v>
      </c>
      <c r="AL291" s="361" t="n">
        <v>17.165</v>
      </c>
      <c r="AM291" s="361" t="n">
        <v>17.29375</v>
      </c>
      <c r="AN291" s="361" t="n">
        <v>14.36</v>
      </c>
      <c r="AP291" s="357" t="inlineStr">
        <is>
          <t>08</t>
        </is>
      </c>
      <c r="AQ291" s="361">
        <f>AVERAGE(AQ$236:AQ243)</f>
        <v/>
      </c>
      <c r="AR291" s="361" t="n">
        <v>16.8075</v>
      </c>
      <c r="AS291" s="361" t="n">
        <v>16.93</v>
      </c>
      <c r="AT291" s="361" t="n">
        <v>15.5175</v>
      </c>
      <c r="AU291" s="361" t="n">
        <v>16.18875</v>
      </c>
      <c r="AV291" s="361" t="e">
        <v>#DIV/0!</v>
      </c>
      <c r="AX291" s="357" t="inlineStr">
        <is>
          <t>08</t>
        </is>
      </c>
      <c r="AY291" s="361">
        <f>AVERAGE(AY$236:AY243)</f>
        <v/>
      </c>
      <c r="AZ291" s="361" t="n">
        <v>19.54</v>
      </c>
      <c r="BA291" s="361" t="n">
        <v>19.94875</v>
      </c>
      <c r="BB291" s="361" t="n">
        <v>18.30875</v>
      </c>
      <c r="BC291" s="361" t="n">
        <v>20.46</v>
      </c>
      <c r="BD291" s="361" t="n"/>
      <c r="BE291" s="361" t="n"/>
      <c r="BF291" s="357" t="inlineStr">
        <is>
          <t>08</t>
        </is>
      </c>
      <c r="BG291" s="361">
        <f>AVERAGE(BG$236:BG243)</f>
        <v/>
      </c>
      <c r="BH291" s="361" t="n">
        <v>18.2725</v>
      </c>
      <c r="BI291" s="361" t="n">
        <v>19.26</v>
      </c>
      <c r="BJ291" s="361" t="n"/>
      <c r="BK291" s="361" t="n"/>
      <c r="BL291" s="361" t="n"/>
      <c r="BM291" s="361" t="n"/>
      <c r="BN291" s="357" t="inlineStr">
        <is>
          <t>08</t>
        </is>
      </c>
      <c r="BO291" s="361">
        <f>AVERAGE(BO$236:BO243)</f>
        <v/>
      </c>
      <c r="BP291" s="361" t="n">
        <v>17.35375</v>
      </c>
      <c r="BQ291" s="361" t="n">
        <v>17.89375</v>
      </c>
      <c r="BR291" s="361" t="n">
        <v>16.38</v>
      </c>
      <c r="BS291" s="361" t="n">
        <v>17.66625</v>
      </c>
      <c r="BT291" s="361" t="n">
        <v>14.39125</v>
      </c>
      <c r="BV291" s="357" t="inlineStr">
        <is>
          <t>08</t>
        </is>
      </c>
      <c r="BW291" s="361">
        <f>AVERAGE(BW$236:BW243)</f>
        <v/>
      </c>
      <c r="BX291" s="361" t="n">
        <v>18.655</v>
      </c>
      <c r="BY291" s="361" t="n">
        <v>19.55875</v>
      </c>
      <c r="BZ291" s="361" t="n">
        <v>18.31</v>
      </c>
      <c r="CA291" s="361" t="n">
        <v>18.64875</v>
      </c>
      <c r="CB291" s="361" t="n">
        <v>15.125</v>
      </c>
      <c r="CC291" s="361" t="n"/>
      <c r="CD291" s="357" t="inlineStr">
        <is>
          <t>08</t>
        </is>
      </c>
      <c r="CE291" s="361">
        <f>AVERAGE(CE$236:CE243)</f>
        <v/>
      </c>
      <c r="CF291" s="361" t="n">
        <v>16.8975</v>
      </c>
      <c r="CG291" s="361" t="n">
        <v>17.5275</v>
      </c>
      <c r="CH291" s="361" t="n">
        <v>16.435</v>
      </c>
      <c r="CI291" s="361" t="n">
        <v>17.64375</v>
      </c>
      <c r="CJ291" s="361" t="n">
        <v>13.5825</v>
      </c>
      <c r="CL291" s="357" t="inlineStr">
        <is>
          <t>08</t>
        </is>
      </c>
      <c r="CM291" s="361">
        <f>AVERAGE(CM$236:CM243)</f>
        <v/>
      </c>
      <c r="CN291" s="361" t="n">
        <v>17.26875</v>
      </c>
      <c r="CO291" s="361" t="n">
        <v>19.09</v>
      </c>
      <c r="CP291" s="361" t="n">
        <v>17.6825</v>
      </c>
      <c r="CQ291" s="361" t="n">
        <v>17.87625</v>
      </c>
      <c r="CR291" s="361" t="n">
        <v>14.46625</v>
      </c>
      <c r="CT291" s="357" t="inlineStr">
        <is>
          <t>08</t>
        </is>
      </c>
      <c r="CU291" s="361">
        <f>AVERAGE(CU$236:CU243)</f>
        <v/>
      </c>
      <c r="CV291" s="361" t="n">
        <v>16.105</v>
      </c>
      <c r="CW291" s="361" t="e">
        <v>#DIV/0!</v>
      </c>
      <c r="CX291" s="361" t="n"/>
      <c r="CY291" s="361" t="n"/>
      <c r="CZ291" s="361" t="n"/>
      <c r="DB291" s="357" t="inlineStr">
        <is>
          <t>08</t>
        </is>
      </c>
      <c r="DC291" s="361">
        <f>AVERAGE(DC$236:DC243)</f>
        <v/>
      </c>
      <c r="DD291" s="361" t="n">
        <v>18.73875</v>
      </c>
      <c r="DE291" s="361" t="e">
        <v>#DIV/0!</v>
      </c>
      <c r="DF291" s="361" t="n"/>
      <c r="DG291" s="361" t="n"/>
      <c r="DH291" s="361" t="n"/>
      <c r="DI291" s="361" t="n"/>
      <c r="DJ291" s="357" t="inlineStr">
        <is>
          <t>08</t>
        </is>
      </c>
      <c r="DK291" s="361">
        <f>AVERAGE(DK$236:DK243)</f>
        <v/>
      </c>
      <c r="DL291" s="361" t="n">
        <v>13.98625</v>
      </c>
      <c r="DM291" s="361" t="e">
        <v>#DIV/0!</v>
      </c>
      <c r="DN291" s="361" t="n"/>
      <c r="DO291" s="361" t="n"/>
      <c r="DP291" s="361" t="n"/>
      <c r="DR291" s="357" t="inlineStr">
        <is>
          <t>08</t>
        </is>
      </c>
      <c r="DS291" s="361">
        <f>AVERAGE(DS$236:DS243)</f>
        <v/>
      </c>
      <c r="DT291" s="361" t="n">
        <v>18.2625</v>
      </c>
      <c r="DU291" s="361" t="e">
        <v>#DIV/0!</v>
      </c>
      <c r="DV291" s="361" t="n"/>
      <c r="DW291" s="361" t="n"/>
      <c r="DX291" s="361" t="n"/>
      <c r="DZ291" s="357" t="inlineStr">
        <is>
          <t>08</t>
        </is>
      </c>
      <c r="EA291" s="361">
        <f>AVERAGE(EA$236:EA243)</f>
        <v/>
      </c>
      <c r="EB291" s="361" t="n">
        <v>19.94</v>
      </c>
      <c r="EC291" s="361" t="e">
        <v>#DIV/0!</v>
      </c>
      <c r="ED291" s="361" t="n"/>
      <c r="EE291" s="361" t="n"/>
      <c r="EF291" s="361" t="n"/>
    </row>
    <row r="292" customFormat="1" s="359">
      <c r="B292" s="357" t="inlineStr">
        <is>
          <t>09</t>
        </is>
      </c>
      <c r="C292" s="361">
        <f>AVERAGE(C$236:C244)</f>
        <v/>
      </c>
      <c r="D292" s="361">
        <f>AVERAGE(D$236:D244)</f>
        <v/>
      </c>
      <c r="E292" s="361">
        <f>AVERAGE(E$236:E244)</f>
        <v/>
      </c>
      <c r="F292" s="361">
        <f>AVERAGE(F$236:F244)</f>
        <v/>
      </c>
      <c r="G292" s="361">
        <f>AVERAGE(G$236:G244)</f>
        <v/>
      </c>
      <c r="H292" s="361">
        <f>AVERAGE(H$236:H244)</f>
        <v/>
      </c>
      <c r="I292" s="361" t="n"/>
      <c r="J292" s="357" t="inlineStr">
        <is>
          <t>09</t>
        </is>
      </c>
      <c r="K292" s="361">
        <f>AVERAGE(K$236:K244)</f>
        <v/>
      </c>
      <c r="L292" s="361" t="n">
        <v>16.33777777777778</v>
      </c>
      <c r="M292" s="361" t="n">
        <v>16.70777777777777</v>
      </c>
      <c r="N292" s="361" t="n">
        <v>15.40555555555556</v>
      </c>
      <c r="O292" s="361" t="n">
        <v>15.73777777777778</v>
      </c>
      <c r="P292" s="361" t="n">
        <v>13.36777888888889</v>
      </c>
      <c r="R292" s="357" t="inlineStr">
        <is>
          <t>09</t>
        </is>
      </c>
      <c r="S292" s="361">
        <f>AVERAGE(S$236:S244)</f>
        <v/>
      </c>
      <c r="T292" s="361" t="n">
        <v>16.48666666666666</v>
      </c>
      <c r="U292" s="361" t="n">
        <v>16.94444444444444</v>
      </c>
      <c r="V292" s="361" t="n">
        <v>15.74222222222222</v>
      </c>
      <c r="W292" s="361" t="n">
        <v>15.90777777777778</v>
      </c>
      <c r="X292" s="361" t="n">
        <v>13.49222222222222</v>
      </c>
      <c r="Z292" s="357" t="inlineStr">
        <is>
          <t>09</t>
        </is>
      </c>
      <c r="AA292" s="361">
        <f>AVERAGE(AA$236:AA244)</f>
        <v/>
      </c>
      <c r="AB292" s="361" t="n">
        <v>16.14555555555555</v>
      </c>
      <c r="AC292" s="361" t="n">
        <v>16.09111111111111</v>
      </c>
      <c r="AD292" s="361" t="n">
        <v>15.10888888888889</v>
      </c>
      <c r="AE292" s="361" t="n">
        <v>15.88777777777778</v>
      </c>
      <c r="AF292" s="361" t="n">
        <v>13.45777777777778</v>
      </c>
      <c r="AH292" s="357" t="inlineStr">
        <is>
          <t>09</t>
        </is>
      </c>
      <c r="AI292" s="361">
        <f>AVERAGE(AI$236:AI243)</f>
        <v/>
      </c>
      <c r="AJ292" s="361" t="n">
        <v>18.25375</v>
      </c>
      <c r="AK292" s="361" t="n">
        <v>18.50555555555556</v>
      </c>
      <c r="AL292" s="361" t="n">
        <v>17.16666666666667</v>
      </c>
      <c r="AM292" s="361" t="n">
        <v>17.24222222222222</v>
      </c>
      <c r="AN292" s="361" t="n">
        <v>14.43333333333333</v>
      </c>
      <c r="AP292" s="357" t="inlineStr">
        <is>
          <t>09</t>
        </is>
      </c>
      <c r="AQ292" s="361">
        <f>AVERAGE(AQ$236:AQ244)</f>
        <v/>
      </c>
      <c r="AR292" s="361" t="n">
        <v>16.82</v>
      </c>
      <c r="AS292" s="361" t="n">
        <v>16.89888888888889</v>
      </c>
      <c r="AT292" s="361" t="n">
        <v>15.52555555555555</v>
      </c>
      <c r="AU292" s="361" t="n">
        <v>16.10222222222222</v>
      </c>
      <c r="AV292" s="361" t="e">
        <v>#DIV/0!</v>
      </c>
      <c r="AX292" s="357" t="inlineStr">
        <is>
          <t>09</t>
        </is>
      </c>
      <c r="AY292" s="361">
        <f>AVERAGE(AY$236:AY244)</f>
        <v/>
      </c>
      <c r="AZ292" s="361" t="n">
        <v>19.48</v>
      </c>
      <c r="BA292" s="361" t="n">
        <v>19.93444444444444</v>
      </c>
      <c r="BB292" s="361" t="n">
        <v>18.24222222222222</v>
      </c>
      <c r="BC292" s="361" t="n">
        <v>19.73333333333333</v>
      </c>
      <c r="BD292" s="361" t="n"/>
      <c r="BE292" s="361" t="n"/>
      <c r="BF292" s="357" t="inlineStr">
        <is>
          <t>09</t>
        </is>
      </c>
      <c r="BG292" s="361">
        <f>AVERAGE(BG$236:BG244)</f>
        <v/>
      </c>
      <c r="BH292" s="361" t="n">
        <v>18.20222222222222</v>
      </c>
      <c r="BI292" s="361" t="n">
        <v>19.16</v>
      </c>
      <c r="BJ292" s="361" t="n"/>
      <c r="BK292" s="361" t="n"/>
      <c r="BL292" s="361" t="n"/>
      <c r="BM292" s="361" t="n"/>
      <c r="BN292" s="357" t="inlineStr">
        <is>
          <t>09</t>
        </is>
      </c>
      <c r="BO292" s="361">
        <f>AVERAGE(BO$236:BO244)</f>
        <v/>
      </c>
      <c r="BP292" s="361" t="n">
        <v>17.24111111111111</v>
      </c>
      <c r="BQ292" s="361" t="n">
        <v>17.74333333333333</v>
      </c>
      <c r="BR292" s="361" t="n">
        <v>16.22333333333333</v>
      </c>
      <c r="BS292" s="361" t="n">
        <v>17.40222222222222</v>
      </c>
      <c r="BT292" s="361" t="n">
        <v>14.35555555555555</v>
      </c>
      <c r="BV292" s="357" t="inlineStr">
        <is>
          <t>09</t>
        </is>
      </c>
      <c r="BW292" s="361">
        <f>AVERAGE(BW$236:BW244)</f>
        <v/>
      </c>
      <c r="BX292" s="361" t="n">
        <v>18.62333333333333</v>
      </c>
      <c r="BY292" s="361" t="n">
        <v>19.52444444444445</v>
      </c>
      <c r="BZ292" s="361" t="n">
        <v>18.23222222222222</v>
      </c>
      <c r="CA292" s="361" t="n">
        <v>18.48444444444445</v>
      </c>
      <c r="CB292" s="361" t="n">
        <v>15.23222222222222</v>
      </c>
      <c r="CC292" s="361" t="n"/>
      <c r="CD292" s="357" t="inlineStr">
        <is>
          <t>09</t>
        </is>
      </c>
      <c r="CE292" s="361">
        <f>AVERAGE(CE$236:CE244)</f>
        <v/>
      </c>
      <c r="CF292" s="361" t="n">
        <v>16.77333333333333</v>
      </c>
      <c r="CG292" s="361" t="n">
        <v>17.51777777777778</v>
      </c>
      <c r="CH292" s="361" t="n">
        <v>16.38777777777778</v>
      </c>
      <c r="CI292" s="361" t="n">
        <v>17.42666666666667</v>
      </c>
      <c r="CJ292" s="361" t="n">
        <v>13.66</v>
      </c>
      <c r="CL292" s="357" t="inlineStr">
        <is>
          <t>09</t>
        </is>
      </c>
      <c r="CM292" s="361">
        <f>AVERAGE(CM$236:CM244)</f>
        <v/>
      </c>
      <c r="CN292" s="361" t="n">
        <v>17.31444444444445</v>
      </c>
      <c r="CO292" s="361" t="n">
        <v>19.10333333333334</v>
      </c>
      <c r="CP292" s="361" t="n">
        <v>17.67222222222222</v>
      </c>
      <c r="CQ292" s="361" t="n">
        <v>17.77</v>
      </c>
      <c r="CR292" s="361" t="n">
        <v>14.59444444444444</v>
      </c>
      <c r="CT292" s="357" t="inlineStr">
        <is>
          <t>09</t>
        </is>
      </c>
      <c r="CU292" s="361">
        <f>AVERAGE(CU$236:CU244)</f>
        <v/>
      </c>
      <c r="CV292" s="361" t="n">
        <v>16.09555555555555</v>
      </c>
      <c r="CW292" s="361" t="e">
        <v>#DIV/0!</v>
      </c>
      <c r="CX292" s="361" t="n"/>
      <c r="CY292" s="361" t="n"/>
      <c r="CZ292" s="361" t="n"/>
      <c r="DB292" s="357" t="inlineStr">
        <is>
          <t>09</t>
        </is>
      </c>
      <c r="DC292" s="361">
        <f>AVERAGE(DC$236:DC244)</f>
        <v/>
      </c>
      <c r="DD292" s="361" t="n">
        <v>18.74</v>
      </c>
      <c r="DE292" s="361" t="e">
        <v>#DIV/0!</v>
      </c>
      <c r="DF292" s="361" t="n"/>
      <c r="DG292" s="361" t="n"/>
      <c r="DH292" s="361" t="n"/>
      <c r="DI292" s="361" t="n"/>
      <c r="DJ292" s="357" t="inlineStr">
        <is>
          <t>09</t>
        </is>
      </c>
      <c r="DK292" s="361">
        <f>AVERAGE(DK$236:DK244)</f>
        <v/>
      </c>
      <c r="DL292" s="361" t="n">
        <v>13.95222222222223</v>
      </c>
      <c r="DM292" s="361" t="e">
        <v>#DIV/0!</v>
      </c>
      <c r="DN292" s="361" t="n"/>
      <c r="DO292" s="361" t="n"/>
      <c r="DP292" s="361" t="n"/>
      <c r="DR292" s="357" t="inlineStr">
        <is>
          <t>09</t>
        </is>
      </c>
      <c r="DS292" s="361">
        <f>AVERAGE(DS$236:DS244)</f>
        <v/>
      </c>
      <c r="DT292" s="361" t="n">
        <v>18.21888888888889</v>
      </c>
      <c r="DU292" s="361" t="e">
        <v>#DIV/0!</v>
      </c>
      <c r="DV292" s="361" t="n"/>
      <c r="DW292" s="361" t="n"/>
      <c r="DX292" s="361" t="n"/>
      <c r="DZ292" s="357" t="inlineStr">
        <is>
          <t>09</t>
        </is>
      </c>
      <c r="EA292" s="361">
        <f>AVERAGE(EA$236:EA244)</f>
        <v/>
      </c>
      <c r="EB292" s="361" t="n">
        <v>19.295</v>
      </c>
      <c r="EC292" s="361" t="e">
        <v>#DIV/0!</v>
      </c>
      <c r="ED292" s="361" t="n"/>
      <c r="EE292" s="361" t="n"/>
      <c r="EF292" s="361" t="n"/>
    </row>
    <row r="293" customFormat="1" s="359">
      <c r="B293" s="357" t="inlineStr">
        <is>
          <t>10</t>
        </is>
      </c>
      <c r="C293" s="361">
        <f>AVERAGE(C$236:C245)</f>
        <v/>
      </c>
      <c r="D293" s="361">
        <f>AVERAGE(D$236:D245)</f>
        <v/>
      </c>
      <c r="E293" s="361">
        <f>AVERAGE(E$236:E245)</f>
        <v/>
      </c>
      <c r="F293" s="361">
        <f>AVERAGE(F$236:F245)</f>
        <v/>
      </c>
      <c r="G293" s="361">
        <f>AVERAGE(G$236:G245)</f>
        <v/>
      </c>
      <c r="H293" s="361">
        <f>AVERAGE(H$236:H245)</f>
        <v/>
      </c>
      <c r="I293" s="361" t="n"/>
      <c r="J293" s="357" t="inlineStr">
        <is>
          <t>10</t>
        </is>
      </c>
      <c r="K293" s="361">
        <f>AVERAGE(K$236:K245)</f>
        <v/>
      </c>
      <c r="L293" s="361" t="n">
        <v>16.241</v>
      </c>
      <c r="M293" s="361" t="n">
        <v>16.712</v>
      </c>
      <c r="N293" s="361" t="n">
        <v>15.435</v>
      </c>
      <c r="O293" s="361" t="n">
        <v>15.675</v>
      </c>
      <c r="P293" s="361" t="n">
        <v>13.485001</v>
      </c>
      <c r="R293" s="357" t="inlineStr">
        <is>
          <t>10</t>
        </is>
      </c>
      <c r="S293" s="361">
        <f>AVERAGE(S$236:S245)</f>
        <v/>
      </c>
      <c r="T293" s="361" t="n">
        <v>16.429</v>
      </c>
      <c r="U293" s="361" t="n">
        <v>16.917</v>
      </c>
      <c r="V293" s="361" t="n">
        <v>15.754</v>
      </c>
      <c r="W293" s="361" t="n">
        <v>15.826</v>
      </c>
      <c r="X293" s="361" t="n">
        <v>13.607</v>
      </c>
      <c r="Z293" s="357" t="inlineStr">
        <is>
          <t>10</t>
        </is>
      </c>
      <c r="AA293" s="361">
        <f>AVERAGE(AA$236:AA245)</f>
        <v/>
      </c>
      <c r="AB293" s="361" t="n">
        <v>16.134</v>
      </c>
      <c r="AC293" s="361" t="n">
        <v>16.053</v>
      </c>
      <c r="AD293" s="361" t="n">
        <v>15.11</v>
      </c>
      <c r="AE293" s="361" t="n">
        <v>15.757</v>
      </c>
      <c r="AF293" s="361" t="n">
        <v>13.572</v>
      </c>
      <c r="AH293" s="357" t="inlineStr">
        <is>
          <t>10</t>
        </is>
      </c>
      <c r="AI293" s="361">
        <f>AVERAGE(AI$236:AI245)</f>
        <v/>
      </c>
      <c r="AJ293" s="361" t="n">
        <v>18.21</v>
      </c>
      <c r="AK293" s="361" t="n">
        <v>18.476</v>
      </c>
      <c r="AL293" s="361" t="n">
        <v>17.195</v>
      </c>
      <c r="AM293" s="361" t="n">
        <v>17.196</v>
      </c>
      <c r="AN293" s="361" t="n">
        <v>14.525</v>
      </c>
      <c r="AP293" s="357" t="inlineStr">
        <is>
          <t>10</t>
        </is>
      </c>
      <c r="AQ293" s="361">
        <f>AVERAGE(AQ$236:AQ245)</f>
        <v/>
      </c>
      <c r="AR293" s="361" t="n">
        <v>16.711</v>
      </c>
      <c r="AS293" s="361" t="n">
        <v>16.904</v>
      </c>
      <c r="AT293" s="361" t="n">
        <v>15.568</v>
      </c>
      <c r="AU293" s="361" t="n">
        <v>16.04</v>
      </c>
      <c r="AV293" s="361" t="e">
        <v>#DIV/0!</v>
      </c>
      <c r="AX293" s="357" t="inlineStr">
        <is>
          <t>10</t>
        </is>
      </c>
      <c r="AY293" s="361">
        <f>AVERAGE(AY$236:AY245)</f>
        <v/>
      </c>
      <c r="AZ293" s="361" t="n">
        <v>19.399</v>
      </c>
      <c r="BA293" s="361" t="n">
        <v>19.943</v>
      </c>
      <c r="BB293" s="361" t="n">
        <v>18.273</v>
      </c>
      <c r="BC293" s="361" t="n">
        <v>19.295</v>
      </c>
      <c r="BD293" s="361" t="n"/>
      <c r="BE293" s="361" t="n"/>
      <c r="BF293" s="357" t="inlineStr">
        <is>
          <t>10</t>
        </is>
      </c>
      <c r="BG293" s="361">
        <f>AVERAGE(BG$236:BG245)</f>
        <v/>
      </c>
      <c r="BH293" s="361" t="n">
        <v>18.13</v>
      </c>
      <c r="BI293" s="361" t="n">
        <v>19.127</v>
      </c>
      <c r="BJ293" s="361" t="n"/>
      <c r="BK293" s="361" t="n"/>
      <c r="BL293" s="361" t="n"/>
      <c r="BM293" s="361" t="n"/>
      <c r="BN293" s="357" t="inlineStr">
        <is>
          <t>10</t>
        </is>
      </c>
      <c r="BO293" s="361">
        <f>AVERAGE(BO$236:BO245)</f>
        <v/>
      </c>
      <c r="BP293" s="361" t="n">
        <v>17.214</v>
      </c>
      <c r="BQ293" s="361" t="n">
        <v>17.73</v>
      </c>
      <c r="BR293" s="361" t="n">
        <v>16.231</v>
      </c>
      <c r="BS293" s="361" t="n">
        <v>17.227</v>
      </c>
      <c r="BT293" s="361" t="n">
        <v>14.473</v>
      </c>
      <c r="BV293" s="357" t="inlineStr">
        <is>
          <t>10</t>
        </is>
      </c>
      <c r="BW293" s="361">
        <f>AVERAGE(BW$236:BW245)</f>
        <v/>
      </c>
      <c r="BX293" s="361" t="n">
        <v>18.525</v>
      </c>
      <c r="BY293" s="361" t="n">
        <v>19.508</v>
      </c>
      <c r="BZ293" s="361" t="n">
        <v>18.243</v>
      </c>
      <c r="CA293" s="361" t="n">
        <v>18.376</v>
      </c>
      <c r="CB293" s="361" t="n">
        <v>15.373</v>
      </c>
      <c r="CC293" s="361" t="n"/>
      <c r="CD293" s="357" t="inlineStr">
        <is>
          <t>10</t>
        </is>
      </c>
      <c r="CE293" s="361">
        <f>AVERAGE(CE$236:CE245)</f>
        <v/>
      </c>
      <c r="CF293" s="361" t="n">
        <v>16.678</v>
      </c>
      <c r="CG293" s="361" t="n">
        <v>17.517</v>
      </c>
      <c r="CH293" s="361" t="n">
        <v>16.439</v>
      </c>
      <c r="CI293" s="361" t="n">
        <v>17.273</v>
      </c>
      <c r="CJ293" s="361" t="n">
        <v>13.744</v>
      </c>
      <c r="CL293" s="357" t="inlineStr">
        <is>
          <t>10</t>
        </is>
      </c>
      <c r="CM293" s="361">
        <f>AVERAGE(CM$236:CM245)</f>
        <v/>
      </c>
      <c r="CN293" s="361" t="n">
        <v>17.319</v>
      </c>
      <c r="CO293" s="361" t="n">
        <v>19.162</v>
      </c>
      <c r="CP293" s="361" t="n">
        <v>17.737</v>
      </c>
      <c r="CQ293" s="361" t="n">
        <v>17.704</v>
      </c>
      <c r="CR293" s="361" t="n">
        <v>14.745</v>
      </c>
      <c r="CT293" s="357" t="inlineStr">
        <is>
          <t>10</t>
        </is>
      </c>
      <c r="CU293" s="361">
        <f>AVERAGE(CU$236:CU245)</f>
        <v/>
      </c>
      <c r="CV293" s="361" t="n">
        <v>16.014</v>
      </c>
      <c r="CW293" s="361" t="e">
        <v>#DIV/0!</v>
      </c>
      <c r="CX293" s="361" t="n"/>
      <c r="CY293" s="361" t="n"/>
      <c r="CZ293" s="361" t="n"/>
      <c r="DB293" s="357" t="inlineStr">
        <is>
          <t>10</t>
        </is>
      </c>
      <c r="DC293" s="361">
        <f>AVERAGE(DC$236:DC245)</f>
        <v/>
      </c>
      <c r="DD293" s="361" t="n">
        <v>18.672</v>
      </c>
      <c r="DE293" s="361" t="e">
        <v>#DIV/0!</v>
      </c>
      <c r="DF293" s="361" t="n"/>
      <c r="DG293" s="361" t="n"/>
      <c r="DH293" s="361" t="n"/>
      <c r="DI293" s="361" t="n"/>
      <c r="DJ293" s="357" t="inlineStr">
        <is>
          <t>10</t>
        </is>
      </c>
      <c r="DK293" s="361">
        <f>AVERAGE(DK$236:DK245)</f>
        <v/>
      </c>
      <c r="DL293" s="361" t="n">
        <v>13.914</v>
      </c>
      <c r="DM293" s="361" t="e">
        <v>#DIV/0!</v>
      </c>
      <c r="DN293" s="361" t="n"/>
      <c r="DO293" s="361" t="n"/>
      <c r="DP293" s="361" t="n"/>
      <c r="DR293" s="357" t="inlineStr">
        <is>
          <t>10</t>
        </is>
      </c>
      <c r="DS293" s="361">
        <f>AVERAGE(DS$236:DS245)</f>
        <v/>
      </c>
      <c r="DT293" s="361" t="n">
        <v>18.168</v>
      </c>
      <c r="DU293" s="361" t="e">
        <v>#DIV/0!</v>
      </c>
      <c r="DV293" s="361" t="n"/>
      <c r="DW293" s="361" t="n"/>
      <c r="DX293" s="361" t="n"/>
      <c r="DZ293" s="357" t="inlineStr">
        <is>
          <t>10</t>
        </is>
      </c>
      <c r="EA293" s="361">
        <f>AVERAGE(EA$236:EA245)</f>
        <v/>
      </c>
      <c r="EB293" s="361" t="n">
        <v>18.85666666666667</v>
      </c>
      <c r="EC293" s="361" t="e">
        <v>#DIV/0!</v>
      </c>
      <c r="ED293" s="361" t="n"/>
      <c r="EE293" s="361" t="n"/>
      <c r="EF293" s="361" t="n"/>
    </row>
    <row r="294" customFormat="1" s="359">
      <c r="B294" s="357" t="inlineStr">
        <is>
          <t>11</t>
        </is>
      </c>
      <c r="C294" s="361">
        <f>AVERAGE(C$236:C246)</f>
        <v/>
      </c>
      <c r="D294" s="361">
        <f>AVERAGE(D$236:D246)</f>
        <v/>
      </c>
      <c r="E294" s="361">
        <f>AVERAGE(E$236:E246)</f>
        <v/>
      </c>
      <c r="F294" s="361">
        <f>AVERAGE(F$236:F246)</f>
        <v/>
      </c>
      <c r="G294" s="361">
        <f>AVERAGE(G$236:G246)</f>
        <v/>
      </c>
      <c r="H294" s="361">
        <f>AVERAGE(H$236:H246)</f>
        <v/>
      </c>
      <c r="I294" s="361" t="n"/>
      <c r="J294" s="357" t="inlineStr">
        <is>
          <t>11</t>
        </is>
      </c>
      <c r="K294" s="361">
        <f>AVERAGE(K$236:K246)</f>
        <v/>
      </c>
      <c r="L294" s="361" t="n">
        <v>16.33</v>
      </c>
      <c r="M294" s="361" t="n">
        <v>16.69090909090909</v>
      </c>
      <c r="N294" s="361" t="n">
        <v>15.46636363636364</v>
      </c>
      <c r="O294" s="361" t="n">
        <v>15.55545454545455</v>
      </c>
      <c r="P294" s="361" t="n">
        <v>13.77545545454545</v>
      </c>
      <c r="R294" s="357" t="inlineStr">
        <is>
          <t>11</t>
        </is>
      </c>
      <c r="S294" s="361">
        <f>AVERAGE(S$236:S246)</f>
        <v/>
      </c>
      <c r="T294" s="361" t="n">
        <v>16.48181818181818</v>
      </c>
      <c r="U294" s="361" t="n">
        <v>16.87818181818182</v>
      </c>
      <c r="V294" s="361" t="n">
        <v>15.75454545454546</v>
      </c>
      <c r="W294" s="361" t="n">
        <v>15.71</v>
      </c>
      <c r="X294" s="361" t="n">
        <v>13.86545454545454</v>
      </c>
      <c r="Z294" s="357" t="inlineStr">
        <is>
          <t>11</t>
        </is>
      </c>
      <c r="AA294" s="361">
        <f>AVERAGE(AA$236:AA246)</f>
        <v/>
      </c>
      <c r="AB294" s="361" t="n">
        <v>16.19181818181818</v>
      </c>
      <c r="AC294" s="361" t="n">
        <v>16.05272727272727</v>
      </c>
      <c r="AD294" s="361" t="n">
        <v>15.09090909090909</v>
      </c>
      <c r="AE294" s="361" t="n">
        <v>15.60272727272728</v>
      </c>
      <c r="AF294" s="361" t="n">
        <v>13.92090909090909</v>
      </c>
      <c r="AH294" s="357" t="inlineStr">
        <is>
          <t>11</t>
        </is>
      </c>
      <c r="AI294" s="361">
        <f>AVERAGE(AI$236:AI246)</f>
        <v/>
      </c>
      <c r="AJ294" s="361" t="n">
        <v>18.32090909090909</v>
      </c>
      <c r="AK294" s="361" t="n">
        <v>18.48363636363636</v>
      </c>
      <c r="AL294" s="361" t="n">
        <v>17.21454545454545</v>
      </c>
      <c r="AM294" s="361" t="n">
        <v>17.08</v>
      </c>
      <c r="AN294" s="361" t="n">
        <v>14.83454545454546</v>
      </c>
      <c r="AP294" s="357" t="inlineStr">
        <is>
          <t>11</t>
        </is>
      </c>
      <c r="AQ294" s="361">
        <f>AVERAGE(AQ$236:AQ246)</f>
        <v/>
      </c>
      <c r="AR294" s="361" t="n">
        <v>16.77727272727273</v>
      </c>
      <c r="AS294" s="361" t="n">
        <v>16.90090909090909</v>
      </c>
      <c r="AT294" s="361" t="n">
        <v>15.59545454545454</v>
      </c>
      <c r="AU294" s="361" t="n">
        <v>15.93181818181818</v>
      </c>
      <c r="AV294" s="361" t="e">
        <v>#DIV/0!</v>
      </c>
      <c r="AX294" s="357" t="inlineStr">
        <is>
          <t>11</t>
        </is>
      </c>
      <c r="AY294" s="361">
        <f>AVERAGE(AY$236:AY246)</f>
        <v/>
      </c>
      <c r="AZ294" s="361" t="n">
        <v>19.49090909090909</v>
      </c>
      <c r="BA294" s="361" t="n">
        <v>19.94454545454546</v>
      </c>
      <c r="BB294" s="361" t="n">
        <v>18.27636363636364</v>
      </c>
      <c r="BC294" s="361" t="n">
        <v>18.754</v>
      </c>
      <c r="BD294" s="361" t="n"/>
      <c r="BE294" s="361" t="n"/>
      <c r="BF294" s="357" t="inlineStr">
        <is>
          <t>11</t>
        </is>
      </c>
      <c r="BG294" s="361">
        <f>AVERAGE(BG$236:BG246)</f>
        <v/>
      </c>
      <c r="BH294" s="361" t="n">
        <v>18.16727272727272</v>
      </c>
      <c r="BI294" s="361" t="n">
        <v>19.07</v>
      </c>
      <c r="BJ294" s="361" t="n"/>
      <c r="BK294" s="361" t="n"/>
      <c r="BL294" s="361" t="n"/>
      <c r="BM294" s="361" t="n"/>
      <c r="BN294" s="357" t="inlineStr">
        <is>
          <t>11</t>
        </is>
      </c>
      <c r="BO294" s="361">
        <f>AVERAGE(BO$236:BO246)</f>
        <v/>
      </c>
      <c r="BP294" s="361" t="n">
        <v>17.23818181818181</v>
      </c>
      <c r="BQ294" s="361" t="n">
        <v>17.64090909090909</v>
      </c>
      <c r="BR294" s="361" t="n">
        <v>16.21454545454545</v>
      </c>
      <c r="BS294" s="361" t="n">
        <v>16.95909090909091</v>
      </c>
      <c r="BT294" s="361" t="n">
        <v>14.85636363636364</v>
      </c>
      <c r="BV294" s="357" t="inlineStr">
        <is>
          <t>11</t>
        </is>
      </c>
      <c r="BW294" s="361">
        <f>AVERAGE(BW$236:BW246)</f>
        <v/>
      </c>
      <c r="BX294" s="361" t="n">
        <v>18.54363636363636</v>
      </c>
      <c r="BY294" s="361" t="n">
        <v>19.42363636363637</v>
      </c>
      <c r="BZ294" s="361" t="n">
        <v>18.20454545454545</v>
      </c>
      <c r="CA294" s="361" t="n">
        <v>18.21</v>
      </c>
      <c r="CB294" s="361" t="n">
        <v>15.77181818181818</v>
      </c>
      <c r="CC294" s="361" t="n"/>
      <c r="CD294" s="357" t="inlineStr">
        <is>
          <t>11</t>
        </is>
      </c>
      <c r="CE294" s="361">
        <f>AVERAGE(CE$236:CE246)</f>
        <v/>
      </c>
      <c r="CF294" s="361" t="n">
        <v>16.65181818181818</v>
      </c>
      <c r="CG294" s="361" t="n">
        <v>17.49</v>
      </c>
      <c r="CH294" s="361" t="n">
        <v>16.44272727272727</v>
      </c>
      <c r="CI294" s="361" t="n">
        <v>17.12727272727273</v>
      </c>
      <c r="CJ294" s="361" t="n">
        <v>14.13181818181818</v>
      </c>
      <c r="CL294" s="357" t="inlineStr">
        <is>
          <t>11</t>
        </is>
      </c>
      <c r="CM294" s="361">
        <f>AVERAGE(CM$236:CM246)</f>
        <v/>
      </c>
      <c r="CN294" s="361" t="n">
        <v>17.44181818181818</v>
      </c>
      <c r="CO294" s="361" t="n">
        <v>19.16181818181818</v>
      </c>
      <c r="CP294" s="361" t="n">
        <v>17.74272727272728</v>
      </c>
      <c r="CQ294" s="361" t="n">
        <v>17.58636363636364</v>
      </c>
      <c r="CR294" s="361" t="n">
        <v>15.08818181818182</v>
      </c>
      <c r="CT294" s="357" t="inlineStr">
        <is>
          <t>11</t>
        </is>
      </c>
      <c r="CU294" s="361">
        <f>AVERAGE(CU$236:CU246)</f>
        <v/>
      </c>
      <c r="CV294" s="361" t="n">
        <v>16.04454545454545</v>
      </c>
      <c r="CW294" s="361" t="e">
        <v>#DIV/0!</v>
      </c>
      <c r="CX294" s="361" t="n"/>
      <c r="CY294" s="361" t="n"/>
      <c r="CZ294" s="361" t="n"/>
      <c r="DB294" s="357" t="inlineStr">
        <is>
          <t>11</t>
        </is>
      </c>
      <c r="DC294" s="361">
        <f>AVERAGE(DC$236:DC246)</f>
        <v/>
      </c>
      <c r="DD294" s="361" t="n">
        <v>18.75090909090909</v>
      </c>
      <c r="DE294" s="361" t="e">
        <v>#DIV/0!</v>
      </c>
      <c r="DF294" s="361" t="n"/>
      <c r="DG294" s="361" t="n"/>
      <c r="DH294" s="361" t="n"/>
      <c r="DI294" s="361" t="n"/>
      <c r="DJ294" s="357" t="inlineStr">
        <is>
          <t>11</t>
        </is>
      </c>
      <c r="DK294" s="361">
        <f>AVERAGE(DK$236:DK246)</f>
        <v/>
      </c>
      <c r="DL294" s="361" t="n">
        <v>13.93454545454546</v>
      </c>
      <c r="DM294" s="361" t="e">
        <v>#DIV/0!</v>
      </c>
      <c r="DN294" s="361" t="n"/>
      <c r="DO294" s="361" t="n"/>
      <c r="DP294" s="361" t="n"/>
      <c r="DR294" s="357" t="inlineStr">
        <is>
          <t>11</t>
        </is>
      </c>
      <c r="DS294" s="361">
        <f>AVERAGE(DS$236:DS246)</f>
        <v/>
      </c>
      <c r="DT294" s="361" t="n">
        <v>18.22181818181818</v>
      </c>
      <c r="DU294" s="361" t="e">
        <v>#DIV/0!</v>
      </c>
      <c r="DV294" s="361" t="n"/>
      <c r="DW294" s="361" t="n"/>
      <c r="DX294" s="361" t="n"/>
      <c r="DZ294" s="357" t="inlineStr">
        <is>
          <t>11</t>
        </is>
      </c>
      <c r="EA294" s="361">
        <f>AVERAGE(EA$236:EA246)</f>
        <v/>
      </c>
      <c r="EB294" s="361" t="n">
        <v>18.85</v>
      </c>
      <c r="EC294" s="361" t="e">
        <v>#DIV/0!</v>
      </c>
      <c r="ED294" s="361" t="n"/>
      <c r="EE294" s="361" t="n"/>
      <c r="EF294" s="361" t="n"/>
    </row>
    <row r="295" customFormat="1" s="359">
      <c r="B295" s="357" t="inlineStr">
        <is>
          <t>12</t>
        </is>
      </c>
      <c r="C295" s="361">
        <f>AVERAGE(C$236:C247)</f>
        <v/>
      </c>
      <c r="D295" s="361">
        <f>AVERAGE(D$236:D247)</f>
        <v/>
      </c>
      <c r="E295" s="361">
        <f>AVERAGE(E$236:E247)</f>
        <v/>
      </c>
      <c r="F295" s="361">
        <f>AVERAGE(F$236:F247)</f>
        <v/>
      </c>
      <c r="G295" s="361">
        <f>AVERAGE(G$236:G247)</f>
        <v/>
      </c>
      <c r="H295" s="361">
        <f>AVERAGE(H$236:H247)</f>
        <v/>
      </c>
      <c r="I295" s="361" t="n"/>
      <c r="J295" s="357" t="inlineStr">
        <is>
          <t>12</t>
        </is>
      </c>
      <c r="K295" s="361">
        <f>AVERAGE(K$236:K247)</f>
        <v/>
      </c>
      <c r="L295" s="361" t="n">
        <v>16.41166666666667</v>
      </c>
      <c r="M295" s="361" t="n">
        <v>16.7225</v>
      </c>
      <c r="N295" s="361" t="n">
        <v>15.58916666666667</v>
      </c>
      <c r="O295" s="361" t="n">
        <v>15.53916666666667</v>
      </c>
      <c r="P295" s="361" t="n">
        <v>14.02000083333333</v>
      </c>
      <c r="R295" s="357" t="inlineStr">
        <is>
          <t>12</t>
        </is>
      </c>
      <c r="S295" s="361">
        <f>AVERAGE(S$236:S247)</f>
        <v/>
      </c>
      <c r="T295" s="361" t="n">
        <v>16.53083333333333</v>
      </c>
      <c r="U295" s="361" t="n">
        <v>16.915</v>
      </c>
      <c r="V295" s="361" t="n">
        <v>15.815</v>
      </c>
      <c r="W295" s="361" t="n">
        <v>15.69833333333333</v>
      </c>
      <c r="X295" s="361" t="n">
        <v>14.135</v>
      </c>
      <c r="Z295" s="357" t="inlineStr">
        <is>
          <t>12</t>
        </is>
      </c>
      <c r="AA295" s="361">
        <f>AVERAGE(AA$236:AA247)</f>
        <v/>
      </c>
      <c r="AB295" s="361" t="n">
        <v>16.23583333333333</v>
      </c>
      <c r="AC295" s="361" t="n">
        <v>16.11416666666667</v>
      </c>
      <c r="AD295" s="361" t="n">
        <v>15.1875</v>
      </c>
      <c r="AE295" s="361" t="n">
        <v>15.58</v>
      </c>
      <c r="AF295" s="361" t="n">
        <v>14.24416666666667</v>
      </c>
      <c r="AH295" s="357" t="inlineStr">
        <is>
          <t>12</t>
        </is>
      </c>
      <c r="AI295" s="361">
        <f>AVERAGE(AI$236:AI247)</f>
        <v/>
      </c>
      <c r="AJ295" s="361" t="n">
        <v>18.46083333333333</v>
      </c>
      <c r="AK295" s="361" t="n">
        <v>18.52583333333333</v>
      </c>
      <c r="AL295" s="361" t="n">
        <v>17.33</v>
      </c>
      <c r="AM295" s="361" t="n">
        <v>17.08666666666667</v>
      </c>
      <c r="AN295" s="361" t="n">
        <v>15.11916666666667</v>
      </c>
      <c r="AP295" s="357" t="inlineStr">
        <is>
          <t>12</t>
        </is>
      </c>
      <c r="AQ295" s="361">
        <f>AVERAGE(AQ$236:AQ247)</f>
        <v/>
      </c>
      <c r="AR295" s="361" t="n">
        <v>16.82166666666667</v>
      </c>
      <c r="AS295" s="361" t="n">
        <v>16.9475</v>
      </c>
      <c r="AT295" s="361" t="n">
        <v>15.705</v>
      </c>
      <c r="AU295" s="361" t="n">
        <v>15.91916666666667</v>
      </c>
      <c r="AV295" s="361" t="e">
        <v>#DIV/0!</v>
      </c>
      <c r="AX295" s="357" t="inlineStr">
        <is>
          <t>12</t>
        </is>
      </c>
      <c r="AY295" s="361">
        <f>AVERAGE(AY$236:AY247)</f>
        <v/>
      </c>
      <c r="AZ295" s="361" t="n">
        <v>19.61416666666667</v>
      </c>
      <c r="BA295" s="361" t="n">
        <v>19.99583333333333</v>
      </c>
      <c r="BB295" s="361" t="n">
        <v>18.39416666666667</v>
      </c>
      <c r="BC295" s="361" t="n">
        <v>18.58166666666667</v>
      </c>
      <c r="BD295" s="361" t="n"/>
      <c r="BE295" s="361" t="n"/>
      <c r="BF295" s="357" t="inlineStr">
        <is>
          <t>12</t>
        </is>
      </c>
      <c r="BG295" s="361">
        <f>AVERAGE(BG$236:BG247)</f>
        <v/>
      </c>
      <c r="BH295" s="361" t="n">
        <v>18.18666666666666</v>
      </c>
      <c r="BI295" s="361" t="n">
        <v>19.0825</v>
      </c>
      <c r="BJ295" s="361" t="n"/>
      <c r="BK295" s="361" t="n"/>
      <c r="BL295" s="361" t="n"/>
      <c r="BM295" s="361" t="n"/>
      <c r="BN295" s="357" t="inlineStr">
        <is>
          <t>12</t>
        </is>
      </c>
      <c r="BO295" s="361">
        <f>AVERAGE(BO$236:BO247)</f>
        <v/>
      </c>
      <c r="BP295" s="361" t="n">
        <v>17.2275</v>
      </c>
      <c r="BQ295" s="361" t="n">
        <v>17.6275</v>
      </c>
      <c r="BR295" s="361" t="n">
        <v>16.32166666666667</v>
      </c>
      <c r="BS295" s="361" t="n">
        <v>16.89583333333333</v>
      </c>
      <c r="BT295" s="361" t="n">
        <v>15.24666666666666</v>
      </c>
      <c r="BV295" s="357" t="inlineStr">
        <is>
          <t>12</t>
        </is>
      </c>
      <c r="BW295" s="361">
        <f>AVERAGE(BW$236:BW247)</f>
        <v/>
      </c>
      <c r="BX295" s="361" t="n">
        <v>18.55916666666667</v>
      </c>
      <c r="BY295" s="361" t="n">
        <v>19.37083333333333</v>
      </c>
      <c r="BZ295" s="361" t="n">
        <v>18.25916666666666</v>
      </c>
      <c r="CA295" s="361" t="n">
        <v>18.16166666666667</v>
      </c>
      <c r="CB295" s="361" t="n">
        <v>16.11</v>
      </c>
      <c r="CC295" s="361" t="n"/>
      <c r="CD295" s="357" t="inlineStr">
        <is>
          <t>12</t>
        </is>
      </c>
      <c r="CE295" s="361">
        <f>AVERAGE(CE$236:CE247)</f>
        <v/>
      </c>
      <c r="CF295" s="361" t="n">
        <v>16.6125</v>
      </c>
      <c r="CG295" s="361" t="n">
        <v>17.475</v>
      </c>
      <c r="CH295" s="361" t="n">
        <v>16.5025</v>
      </c>
      <c r="CI295" s="361" t="n">
        <v>17.04416666666667</v>
      </c>
      <c r="CJ295" s="361" t="n">
        <v>14.48916666666667</v>
      </c>
      <c r="CL295" s="357" t="inlineStr">
        <is>
          <t>12</t>
        </is>
      </c>
      <c r="CM295" s="361">
        <f>AVERAGE(CM$236:CM247)</f>
        <v/>
      </c>
      <c r="CN295" s="361" t="n">
        <v>17.50416666666667</v>
      </c>
      <c r="CO295" s="361" t="n">
        <v>19.0975</v>
      </c>
      <c r="CP295" s="361" t="n">
        <v>17.86416666666667</v>
      </c>
      <c r="CQ295" s="361" t="n">
        <v>17.5725</v>
      </c>
      <c r="CR295" s="361" t="n">
        <v>15.42333333333333</v>
      </c>
      <c r="CT295" s="357" t="inlineStr">
        <is>
          <t>12</t>
        </is>
      </c>
      <c r="CU295" s="361">
        <f>AVERAGE(CU$236:CU247)</f>
        <v/>
      </c>
      <c r="CV295" s="361" t="n">
        <v>16.05916666666667</v>
      </c>
      <c r="CW295" s="361" t="e">
        <v>#DIV/0!</v>
      </c>
      <c r="CX295" s="361" t="n"/>
      <c r="CY295" s="361" t="n"/>
      <c r="CZ295" s="361" t="n"/>
      <c r="DB295" s="357" t="inlineStr">
        <is>
          <t>12</t>
        </is>
      </c>
      <c r="DC295" s="361">
        <f>AVERAGE(DC$236:DC247)</f>
        <v/>
      </c>
      <c r="DD295" s="361" t="n">
        <v>18.79166666666667</v>
      </c>
      <c r="DE295" s="361" t="e">
        <v>#DIV/0!</v>
      </c>
      <c r="DF295" s="361" t="n"/>
      <c r="DG295" s="361" t="n"/>
      <c r="DH295" s="361" t="n"/>
      <c r="DI295" s="361" t="n"/>
      <c r="DJ295" s="357" t="inlineStr">
        <is>
          <t>12</t>
        </is>
      </c>
      <c r="DK295" s="361">
        <f>AVERAGE(DK$236:DK247)</f>
        <v/>
      </c>
      <c r="DL295" s="361" t="n">
        <v>13.9475</v>
      </c>
      <c r="DM295" s="361" t="e">
        <v>#DIV/0!</v>
      </c>
      <c r="DN295" s="361" t="n"/>
      <c r="DO295" s="361" t="n"/>
      <c r="DP295" s="361" t="n"/>
      <c r="DR295" s="357" t="inlineStr">
        <is>
          <t>12</t>
        </is>
      </c>
      <c r="DS295" s="361">
        <f>AVERAGE(DS$236:DS247)</f>
        <v/>
      </c>
      <c r="DT295" s="361" t="n">
        <v>18.2675</v>
      </c>
      <c r="DU295" s="361" t="e">
        <v>#DIV/0!</v>
      </c>
      <c r="DV295" s="361" t="n"/>
      <c r="DW295" s="361" t="n"/>
      <c r="DX295" s="361" t="n"/>
      <c r="DZ295" s="357" t="inlineStr">
        <is>
          <t>12</t>
        </is>
      </c>
      <c r="EA295" s="361">
        <f>AVERAGE(EA$236:EA247)</f>
        <v/>
      </c>
      <c r="EB295" s="361" t="n">
        <v>18.868</v>
      </c>
      <c r="EC295" s="361" t="e">
        <v>#DIV/0!</v>
      </c>
      <c r="ED295" s="361" t="n"/>
      <c r="EE295" s="361" t="n"/>
      <c r="EF295" s="361" t="n"/>
    </row>
    <row r="297" ht="15.75" customHeight="1" s="161">
      <c r="B297" s="355" t="inlineStr">
        <is>
          <t>Global</t>
        </is>
      </c>
      <c r="J297" s="355" t="inlineStr">
        <is>
          <t>GLR5</t>
        </is>
      </c>
      <c r="R297" s="355" t="inlineStr">
        <is>
          <t>HTR8</t>
        </is>
      </c>
      <c r="Z297" s="355" t="inlineStr">
        <is>
          <t>TIRR</t>
        </is>
      </c>
      <c r="AH297" s="355" t="inlineStr">
        <is>
          <t>VR7</t>
        </is>
      </c>
      <c r="AP297" s="355" t="inlineStr">
        <is>
          <t>TURVILLA</t>
        </is>
      </c>
      <c r="AX297" s="355" t="inlineStr">
        <is>
          <t>HART</t>
        </is>
      </c>
      <c r="BF297" s="355" t="inlineStr">
        <is>
          <t>VICTOIRE</t>
        </is>
      </c>
      <c r="BN297" s="355" t="inlineStr">
        <is>
          <t>TH4</t>
        </is>
      </c>
      <c r="BV297" s="355" t="inlineStr">
        <is>
          <t>TL DIVES</t>
        </is>
      </c>
      <c r="CD297" s="355" t="inlineStr">
        <is>
          <t>R3 14</t>
        </is>
      </c>
      <c r="CL297" s="355" t="inlineStr">
        <is>
          <t>LYSE</t>
        </is>
      </c>
      <c r="CT297" s="355" t="inlineStr">
        <is>
          <t>ARTHUR</t>
        </is>
      </c>
      <c r="DB297" s="355" t="inlineStr">
        <is>
          <t>HUGO</t>
        </is>
      </c>
      <c r="DJ297" s="355" t="inlineStr">
        <is>
          <t>JEANCLO</t>
        </is>
      </c>
      <c r="DR297" s="355" t="inlineStr">
        <is>
          <t>THOMAS</t>
        </is>
      </c>
      <c r="DZ297" s="355" t="inlineStr">
        <is>
          <t>CATALINA</t>
        </is>
      </c>
    </row>
    <row r="299" ht="18.6" customFormat="1" customHeight="1" s="188">
      <c r="A299" s="356" t="inlineStr">
        <is>
          <t>Trésorerie</t>
        </is>
      </c>
      <c r="B299" s="186" t="inlineStr">
        <is>
          <t>MOIS</t>
        </is>
      </c>
      <c r="C299" s="187" t="inlineStr">
        <is>
          <t>2024</t>
        </is>
      </c>
      <c r="D299" s="187" t="inlineStr">
        <is>
          <t>2023</t>
        </is>
      </c>
      <c r="E299" s="187" t="inlineStr">
        <is>
          <t>2022</t>
        </is>
      </c>
      <c r="F299" s="187" t="inlineStr">
        <is>
          <t>2021</t>
        </is>
      </c>
      <c r="G299" s="187" t="inlineStr">
        <is>
          <t>2020</t>
        </is>
      </c>
      <c r="H299" s="187" t="inlineStr">
        <is>
          <t>2019</t>
        </is>
      </c>
      <c r="I299" s="187" t="n"/>
      <c r="J299" s="186" t="inlineStr">
        <is>
          <t>MOIS</t>
        </is>
      </c>
      <c r="K299" s="186" t="inlineStr">
        <is>
          <t>2025</t>
        </is>
      </c>
      <c r="L299" s="186" t="inlineStr">
        <is>
          <t>2024</t>
        </is>
      </c>
      <c r="M299" s="186" t="inlineStr">
        <is>
          <t>2023</t>
        </is>
      </c>
      <c r="N299" s="186" t="inlineStr">
        <is>
          <t>2022</t>
        </is>
      </c>
      <c r="O299" s="186" t="inlineStr">
        <is>
          <t>2021</t>
        </is>
      </c>
      <c r="P299" s="186" t="inlineStr">
        <is>
          <t>2020</t>
        </is>
      </c>
      <c r="R299" s="186" t="inlineStr">
        <is>
          <t>MOIS</t>
        </is>
      </c>
      <c r="S299" s="186" t="inlineStr">
        <is>
          <t>2025</t>
        </is>
      </c>
      <c r="T299" s="186" t="inlineStr">
        <is>
          <t>2024</t>
        </is>
      </c>
      <c r="U299" s="186" t="inlineStr">
        <is>
          <t>2023</t>
        </is>
      </c>
      <c r="V299" s="186" t="inlineStr">
        <is>
          <t>2022</t>
        </is>
      </c>
      <c r="W299" s="186" t="inlineStr">
        <is>
          <t>2021</t>
        </is>
      </c>
      <c r="X299" s="186" t="inlineStr">
        <is>
          <t>2020</t>
        </is>
      </c>
      <c r="Z299" s="186" t="inlineStr">
        <is>
          <t>MOIS</t>
        </is>
      </c>
      <c r="AA299" s="186" t="inlineStr">
        <is>
          <t>2025</t>
        </is>
      </c>
      <c r="AB299" s="186" t="inlineStr">
        <is>
          <t>2024</t>
        </is>
      </c>
      <c r="AC299" s="186" t="inlineStr">
        <is>
          <t>2023</t>
        </is>
      </c>
      <c r="AD299" s="186" t="inlineStr">
        <is>
          <t>2022</t>
        </is>
      </c>
      <c r="AE299" s="186" t="inlineStr">
        <is>
          <t>2021</t>
        </is>
      </c>
      <c r="AF299" s="186" t="inlineStr">
        <is>
          <t>2020</t>
        </is>
      </c>
      <c r="AH299" s="186" t="inlineStr">
        <is>
          <t>MOIS</t>
        </is>
      </c>
      <c r="AI299" s="186" t="inlineStr">
        <is>
          <t>2025</t>
        </is>
      </c>
      <c r="AJ299" s="186" t="inlineStr">
        <is>
          <t>2024</t>
        </is>
      </c>
      <c r="AK299" s="186" t="inlineStr">
        <is>
          <t>2023</t>
        </is>
      </c>
      <c r="AL299" s="186" t="inlineStr">
        <is>
          <t>2022</t>
        </is>
      </c>
      <c r="AM299" s="186" t="inlineStr">
        <is>
          <t>2021</t>
        </is>
      </c>
      <c r="AN299" s="186" t="inlineStr">
        <is>
          <t>2020</t>
        </is>
      </c>
      <c r="AP299" s="186" t="inlineStr">
        <is>
          <t>MOIS</t>
        </is>
      </c>
      <c r="AQ299" s="186" t="inlineStr">
        <is>
          <t>2025</t>
        </is>
      </c>
      <c r="AR299" s="186" t="inlineStr">
        <is>
          <t>2024</t>
        </is>
      </c>
      <c r="AS299" s="186" t="inlineStr">
        <is>
          <t>2023</t>
        </is>
      </c>
      <c r="AT299" s="186" t="inlineStr">
        <is>
          <t>2022</t>
        </is>
      </c>
      <c r="AU299" s="186" t="inlineStr">
        <is>
          <t>2021</t>
        </is>
      </c>
      <c r="AV299" s="186" t="inlineStr">
        <is>
          <t>2020</t>
        </is>
      </c>
      <c r="AX299" s="186" t="inlineStr">
        <is>
          <t>MOIS</t>
        </is>
      </c>
      <c r="AY299" s="186" t="inlineStr">
        <is>
          <t>2025</t>
        </is>
      </c>
      <c r="AZ299" s="186" t="inlineStr">
        <is>
          <t>2024</t>
        </is>
      </c>
      <c r="BA299" s="186" t="inlineStr">
        <is>
          <t>2023</t>
        </is>
      </c>
      <c r="BB299" s="186" t="inlineStr">
        <is>
          <t>2022</t>
        </is>
      </c>
      <c r="BC299" s="186" t="inlineStr">
        <is>
          <t>2021</t>
        </is>
      </c>
      <c r="BD299" s="186" t="inlineStr">
        <is>
          <t>2020</t>
        </is>
      </c>
      <c r="BE299" s="187" t="n"/>
      <c r="BF299" s="186" t="inlineStr">
        <is>
          <t>MOIS</t>
        </is>
      </c>
      <c r="BG299" s="186" t="inlineStr">
        <is>
          <t>2025</t>
        </is>
      </c>
      <c r="BH299" s="186" t="inlineStr">
        <is>
          <t>2024</t>
        </is>
      </c>
      <c r="BI299" s="186" t="inlineStr">
        <is>
          <t>2023</t>
        </is>
      </c>
      <c r="BJ299" s="186" t="inlineStr">
        <is>
          <t>2022</t>
        </is>
      </c>
      <c r="BK299" s="186" t="inlineStr">
        <is>
          <t>2021</t>
        </is>
      </c>
      <c r="BL299" s="186" t="inlineStr">
        <is>
          <t>2020</t>
        </is>
      </c>
      <c r="BM299" s="186" t="n"/>
      <c r="BN299" s="186" t="inlineStr">
        <is>
          <t>MOIS</t>
        </is>
      </c>
      <c r="BO299" s="187" t="inlineStr">
        <is>
          <t>2025</t>
        </is>
      </c>
      <c r="BP299" s="187" t="inlineStr">
        <is>
          <t>2024</t>
        </is>
      </c>
      <c r="BQ299" s="187" t="inlineStr">
        <is>
          <t>2023</t>
        </is>
      </c>
      <c r="BR299" s="187" t="inlineStr">
        <is>
          <t>2022</t>
        </is>
      </c>
      <c r="BS299" s="187" t="inlineStr">
        <is>
          <t>2021</t>
        </is>
      </c>
      <c r="BT299" s="187" t="inlineStr">
        <is>
          <t>2020</t>
        </is>
      </c>
      <c r="BV299" s="186" t="inlineStr">
        <is>
          <t>MOIS</t>
        </is>
      </c>
      <c r="BW299" s="187" t="inlineStr">
        <is>
          <t>2025</t>
        </is>
      </c>
      <c r="BX299" s="187" t="inlineStr">
        <is>
          <t>2024</t>
        </is>
      </c>
      <c r="BY299" s="187" t="inlineStr">
        <is>
          <t>2023</t>
        </is>
      </c>
      <c r="BZ299" s="187" t="inlineStr">
        <is>
          <t>2022</t>
        </is>
      </c>
      <c r="CA299" s="187" t="inlineStr">
        <is>
          <t>2021</t>
        </is>
      </c>
      <c r="CB299" s="187" t="inlineStr">
        <is>
          <t>2020</t>
        </is>
      </c>
      <c r="CC299" s="187" t="n"/>
      <c r="CD299" s="186" t="inlineStr">
        <is>
          <t>MOIS</t>
        </is>
      </c>
      <c r="CE299" s="187" t="inlineStr">
        <is>
          <t>2025</t>
        </is>
      </c>
      <c r="CF299" s="187" t="inlineStr">
        <is>
          <t>2024</t>
        </is>
      </c>
      <c r="CG299" s="187" t="inlineStr">
        <is>
          <t>2023</t>
        </is>
      </c>
      <c r="CH299" s="187" t="inlineStr">
        <is>
          <t>2022</t>
        </is>
      </c>
      <c r="CI299" s="187" t="inlineStr">
        <is>
          <t>2021</t>
        </is>
      </c>
      <c r="CJ299" s="187" t="inlineStr">
        <is>
          <t>2020</t>
        </is>
      </c>
      <c r="CL299" s="186" t="inlineStr">
        <is>
          <t>MOIS</t>
        </is>
      </c>
      <c r="CM299" s="187" t="inlineStr">
        <is>
          <t>2025</t>
        </is>
      </c>
      <c r="CN299" s="187" t="inlineStr">
        <is>
          <t>2024</t>
        </is>
      </c>
      <c r="CO299" s="187" t="inlineStr">
        <is>
          <t>2023</t>
        </is>
      </c>
      <c r="CP299" s="187" t="inlineStr">
        <is>
          <t>2022</t>
        </is>
      </c>
      <c r="CQ299" s="187" t="inlineStr">
        <is>
          <t>2021</t>
        </is>
      </c>
      <c r="CR299" s="187" t="inlineStr">
        <is>
          <t>2020</t>
        </is>
      </c>
      <c r="CT299" s="186" t="inlineStr">
        <is>
          <t>MOIS</t>
        </is>
      </c>
      <c r="CU299" s="187" t="inlineStr">
        <is>
          <t>2025</t>
        </is>
      </c>
      <c r="CV299" s="187" t="inlineStr">
        <is>
          <t>2024</t>
        </is>
      </c>
      <c r="CW299" s="187" t="inlineStr">
        <is>
          <t>2023</t>
        </is>
      </c>
      <c r="CX299" s="187" t="inlineStr">
        <is>
          <t>2022</t>
        </is>
      </c>
      <c r="CY299" s="187" t="inlineStr">
        <is>
          <t>2021</t>
        </is>
      </c>
      <c r="CZ299" s="187" t="inlineStr">
        <is>
          <t>2020</t>
        </is>
      </c>
      <c r="DB299" s="186" t="inlineStr">
        <is>
          <t>MOIS</t>
        </is>
      </c>
      <c r="DC299" s="187" t="inlineStr">
        <is>
          <t>2025</t>
        </is>
      </c>
      <c r="DD299" s="187" t="inlineStr">
        <is>
          <t>2024</t>
        </is>
      </c>
      <c r="DE299" s="187" t="inlineStr">
        <is>
          <t>2023</t>
        </is>
      </c>
      <c r="DF299" s="187" t="inlineStr">
        <is>
          <t>2022</t>
        </is>
      </c>
      <c r="DG299" s="187" t="inlineStr">
        <is>
          <t>2021</t>
        </is>
      </c>
      <c r="DH299" s="187" t="inlineStr">
        <is>
          <t>2020</t>
        </is>
      </c>
      <c r="DI299" s="187" t="n"/>
      <c r="DJ299" s="186" t="inlineStr">
        <is>
          <t>MOIS</t>
        </is>
      </c>
      <c r="DK299" s="187" t="inlineStr">
        <is>
          <t>2025</t>
        </is>
      </c>
      <c r="DL299" s="187" t="inlineStr">
        <is>
          <t>2024</t>
        </is>
      </c>
      <c r="DM299" s="187" t="inlineStr">
        <is>
          <t>2023</t>
        </is>
      </c>
      <c r="DN299" s="187" t="inlineStr">
        <is>
          <t>2022</t>
        </is>
      </c>
      <c r="DO299" s="187" t="inlineStr">
        <is>
          <t>2021</t>
        </is>
      </c>
      <c r="DP299" s="187" t="inlineStr">
        <is>
          <t>2020</t>
        </is>
      </c>
      <c r="DR299" s="186" t="inlineStr">
        <is>
          <t>MOIS</t>
        </is>
      </c>
      <c r="DS299" s="187" t="inlineStr">
        <is>
          <t>2025</t>
        </is>
      </c>
      <c r="DT299" s="187" t="inlineStr">
        <is>
          <t>2024</t>
        </is>
      </c>
      <c r="DU299" s="187" t="inlineStr">
        <is>
          <t>2023</t>
        </is>
      </c>
      <c r="DV299" s="187" t="inlineStr">
        <is>
          <t>2022</t>
        </is>
      </c>
      <c r="DW299" s="187" t="inlineStr">
        <is>
          <t>2021</t>
        </is>
      </c>
      <c r="DX299" s="187" t="inlineStr">
        <is>
          <t>2020</t>
        </is>
      </c>
      <c r="DZ299" s="186" t="inlineStr">
        <is>
          <t>MOIS</t>
        </is>
      </c>
      <c r="EA299" s="187" t="inlineStr">
        <is>
          <t>2025</t>
        </is>
      </c>
      <c r="EB299" s="187" t="inlineStr">
        <is>
          <t>2024</t>
        </is>
      </c>
      <c r="EC299" s="187" t="inlineStr">
        <is>
          <t>2023</t>
        </is>
      </c>
      <c r="ED299" s="187" t="inlineStr">
        <is>
          <t>2022</t>
        </is>
      </c>
      <c r="EE299" s="187" t="inlineStr">
        <is>
          <t>2021</t>
        </is>
      </c>
      <c r="EF299" s="187" t="inlineStr">
        <is>
          <t>2020</t>
        </is>
      </c>
    </row>
    <row r="300" customFormat="1" s="363">
      <c r="B300" s="363" t="inlineStr">
        <is>
          <t>01</t>
        </is>
      </c>
      <c r="C300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0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00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00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00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00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00" s="365" t="n"/>
      <c r="J300" s="363" t="inlineStr">
        <is>
          <t>01</t>
        </is>
      </c>
      <c r="K300" s="364">
        <f>167.89956-48.89348</f>
        <v/>
      </c>
      <c r="L300" s="366" t="n">
        <v>694.5370899999999</v>
      </c>
      <c r="M300" s="367" t="n">
        <v>925.52099</v>
      </c>
      <c r="N300" s="367" t="n">
        <v>1506</v>
      </c>
      <c r="O300" s="365" t="n">
        <v>53</v>
      </c>
      <c r="P300" s="365" t="n">
        <v>363</v>
      </c>
      <c r="R300" s="363" t="inlineStr">
        <is>
          <t>01</t>
        </is>
      </c>
      <c r="S300" s="364">
        <f>67.00314-2.89284</f>
        <v/>
      </c>
      <c r="T300" s="86" t="n">
        <v>81.60574</v>
      </c>
      <c r="U300" s="258" t="n">
        <v>289.43342</v>
      </c>
      <c r="V300" s="258" t="n">
        <v>385</v>
      </c>
      <c r="W300" s="365" t="n">
        <v>234</v>
      </c>
      <c r="X300" s="365" t="n">
        <v>262</v>
      </c>
      <c r="Z300" s="363" t="inlineStr">
        <is>
          <t>01</t>
        </is>
      </c>
      <c r="AA300" s="364">
        <f>993.9164-674.75357</f>
        <v/>
      </c>
      <c r="AB300" s="284" t="n">
        <v>592.29236</v>
      </c>
      <c r="AC300" s="87" t="n">
        <v>806.14836</v>
      </c>
      <c r="AD300" s="87" t="n">
        <v>738</v>
      </c>
      <c r="AE300" s="365" t="n">
        <v>146</v>
      </c>
      <c r="AF300" s="365" t="n">
        <v>301</v>
      </c>
      <c r="AH300" s="363" t="inlineStr">
        <is>
          <t>01</t>
        </is>
      </c>
      <c r="AI300" s="364" t="n"/>
      <c r="AJ300" s="284" t="n">
        <v>503.64482</v>
      </c>
      <c r="AK300" s="87" t="n">
        <v>484.48925</v>
      </c>
      <c r="AL300" s="87" t="n">
        <v>824</v>
      </c>
      <c r="AM300" s="365" t="n">
        <v>103</v>
      </c>
      <c r="AN300" s="365" t="n">
        <v>371</v>
      </c>
      <c r="AP300" s="363" t="inlineStr">
        <is>
          <t>01</t>
        </is>
      </c>
      <c r="AQ300" s="364">
        <f>391.21271-8.50526</f>
        <v/>
      </c>
      <c r="AR300" s="86" t="n">
        <v>732.76059</v>
      </c>
      <c r="AS300" s="258" t="n">
        <v>733.6630600000001</v>
      </c>
      <c r="AT300" s="258" t="n">
        <v>618</v>
      </c>
      <c r="AU300" s="365" t="n">
        <v>392</v>
      </c>
      <c r="AV300" s="365" t="n"/>
      <c r="AX300" s="363" t="inlineStr">
        <is>
          <t>01</t>
        </is>
      </c>
      <c r="AY300" s="364" t="n"/>
      <c r="AZ300" s="368" t="n">
        <v>324.33757</v>
      </c>
      <c r="BA300" s="86" t="n">
        <v>184.52216</v>
      </c>
      <c r="BB300" s="258" t="n">
        <v>222</v>
      </c>
      <c r="BC300" s="258" t="n"/>
      <c r="BD300" s="365" t="n"/>
      <c r="BE300" s="365" t="n"/>
      <c r="BF300" s="363" t="inlineStr">
        <is>
          <t>01</t>
        </is>
      </c>
      <c r="BG300" s="364">
        <f>263.37156-5.554885</f>
        <v/>
      </c>
      <c r="BH300" s="86" t="n">
        <v>373.63293</v>
      </c>
      <c r="BI300" s="86" t="n">
        <v>375.8997</v>
      </c>
      <c r="BJ300" s="258" t="n"/>
      <c r="BK300" s="258" t="n"/>
      <c r="BL300" s="365" t="n"/>
      <c r="BM300" s="365" t="n"/>
      <c r="BN300" s="363" t="inlineStr">
        <is>
          <t>01</t>
        </is>
      </c>
      <c r="BO300" s="364">
        <f>377.24434-4.78771</f>
        <v/>
      </c>
      <c r="BP300" s="258" t="n">
        <v>489.93442</v>
      </c>
      <c r="BQ300" s="258" t="n">
        <v>566.045</v>
      </c>
      <c r="BR300" s="258" t="n">
        <v>755</v>
      </c>
      <c r="BS300" s="365" t="n">
        <v>39.98092</v>
      </c>
      <c r="BT300" s="365" t="n">
        <v>63</v>
      </c>
      <c r="BV300" s="363" t="inlineStr">
        <is>
          <t>01</t>
        </is>
      </c>
      <c r="BW300" s="364">
        <f>371.37269-4.90301</f>
        <v/>
      </c>
      <c r="BX300" s="87" t="n">
        <v>538.19521</v>
      </c>
      <c r="BY300" s="87" t="n">
        <v>423.35606</v>
      </c>
      <c r="BZ300" s="87" t="n">
        <v>596</v>
      </c>
      <c r="CA300" s="365" t="n">
        <v>29.64713</v>
      </c>
      <c r="CB300" s="365" t="n">
        <v>263</v>
      </c>
      <c r="CC300" s="365" t="n"/>
      <c r="CD300" s="363" t="inlineStr">
        <is>
          <t>01</t>
        </is>
      </c>
      <c r="CE300" s="364">
        <f>258.62317-8.44891</f>
        <v/>
      </c>
      <c r="CF300" s="367" t="n">
        <v>569.0042699999999</v>
      </c>
      <c r="CG300" s="367" t="n">
        <v>527.52964</v>
      </c>
      <c r="CH300" s="367" t="n">
        <v>723</v>
      </c>
      <c r="CI300" s="365" t="n">
        <v>84</v>
      </c>
      <c r="CJ300" s="365" t="n">
        <v>84</v>
      </c>
      <c r="CL300" s="363" t="inlineStr">
        <is>
          <t>01</t>
        </is>
      </c>
      <c r="CM300" s="364">
        <f>567.38802-3.57961</f>
        <v/>
      </c>
      <c r="CN300" s="87" t="n">
        <v>741.0791400000001</v>
      </c>
      <c r="CO300" s="87" t="n">
        <v>1721.14446</v>
      </c>
      <c r="CP300" s="87" t="n">
        <v>865</v>
      </c>
      <c r="CQ300" s="365" t="n">
        <v>71.22489</v>
      </c>
      <c r="CR300" s="365" t="n">
        <v>115</v>
      </c>
      <c r="CT300" s="363" t="inlineStr">
        <is>
          <t>01</t>
        </is>
      </c>
      <c r="CU300" s="364">
        <f>725.65431-3.69679</f>
        <v/>
      </c>
      <c r="CV300" s="86" t="n">
        <v>356.08456</v>
      </c>
      <c r="CW300" s="258" t="n"/>
      <c r="CX300" s="258" t="n"/>
      <c r="CY300" s="365" t="n"/>
      <c r="CZ300" s="365" t="n"/>
      <c r="DB300" s="363" t="inlineStr">
        <is>
          <t>01</t>
        </is>
      </c>
      <c r="DC300" s="364">
        <f>1006.09507-8.46206</f>
        <v/>
      </c>
      <c r="DD300" s="284" t="n">
        <v>686.30524</v>
      </c>
      <c r="DE300" s="87" t="n"/>
      <c r="DF300" s="87" t="n"/>
      <c r="DG300" s="365" t="n"/>
      <c r="DH300" s="365" t="n"/>
      <c r="DI300" s="365" t="n"/>
      <c r="DJ300" s="363" t="inlineStr">
        <is>
          <t>01</t>
        </is>
      </c>
      <c r="DK300" s="364">
        <f>315.29603-1.03849</f>
        <v/>
      </c>
      <c r="DL300" s="366" t="n">
        <v>340.58763</v>
      </c>
      <c r="DM300" s="367" t="n"/>
      <c r="DN300" s="367" t="n"/>
      <c r="DO300" s="365" t="n"/>
      <c r="DP300" s="365" t="n"/>
      <c r="DR300" s="363" t="inlineStr">
        <is>
          <t>01</t>
        </is>
      </c>
      <c r="DS300" s="364">
        <f>350.8575-1.42167</f>
        <v/>
      </c>
      <c r="DT300" s="284" t="n">
        <v>298.68428</v>
      </c>
      <c r="DU300" s="87" t="n"/>
      <c r="DV300" s="87" t="n"/>
      <c r="DW300" s="365" t="n"/>
      <c r="DX300" s="365" t="n"/>
      <c r="DZ300" s="363" t="inlineStr">
        <is>
          <t>01</t>
        </is>
      </c>
      <c r="EA300" s="364">
        <f>73.55233-2.70641</f>
        <v/>
      </c>
      <c r="EB300" s="284" t="n"/>
      <c r="EC300" s="87" t="n"/>
      <c r="ED300" s="87" t="n"/>
      <c r="EE300" s="365" t="n"/>
      <c r="EF300" s="365" t="n"/>
    </row>
    <row r="301" customFormat="1" s="363">
      <c r="B301" s="363" t="inlineStr">
        <is>
          <t>02</t>
        </is>
      </c>
      <c r="C301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1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01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01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01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01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01" s="365" t="n"/>
      <c r="J301" s="363" t="inlineStr">
        <is>
          <t>02</t>
        </is>
      </c>
      <c r="K301" s="364" t="n"/>
      <c r="L301" s="366" t="n">
        <v>674.03406</v>
      </c>
      <c r="M301" s="367" t="n">
        <v>997.1855700000001</v>
      </c>
      <c r="N301" s="367" t="n">
        <v>1627</v>
      </c>
      <c r="O301" s="365" t="n">
        <v>88</v>
      </c>
      <c r="P301" s="365" t="n">
        <v>315</v>
      </c>
      <c r="R301" s="363" t="inlineStr">
        <is>
          <t>02</t>
        </is>
      </c>
      <c r="S301" s="364" t="n"/>
      <c r="T301" s="86" t="n">
        <v>88.96559999999999</v>
      </c>
      <c r="U301" s="258" t="n">
        <v>307.88986</v>
      </c>
      <c r="V301" s="258" t="n">
        <v>824</v>
      </c>
      <c r="W301" s="365" t="n">
        <v>250</v>
      </c>
      <c r="X301" s="365" t="n">
        <v>284</v>
      </c>
      <c r="Z301" s="363" t="inlineStr">
        <is>
          <t>02</t>
        </is>
      </c>
      <c r="AA301" s="364" t="n"/>
      <c r="AB301" s="284" t="n">
        <v>541.0551400000001</v>
      </c>
      <c r="AC301" s="87" t="n">
        <v>821.47163</v>
      </c>
      <c r="AD301" s="87" t="n">
        <v>1213</v>
      </c>
      <c r="AE301" s="365" t="n">
        <v>157</v>
      </c>
      <c r="AF301" s="365" t="n">
        <v>269</v>
      </c>
      <c r="AH301" s="363" t="inlineStr">
        <is>
          <t>02</t>
        </is>
      </c>
      <c r="AI301" s="364" t="n"/>
      <c r="AJ301" s="284" t="n">
        <v>514.8371599999999</v>
      </c>
      <c r="AK301" s="87" t="n">
        <v>513.00634</v>
      </c>
      <c r="AL301" s="87" t="n">
        <v>1367</v>
      </c>
      <c r="AM301" s="365" t="n">
        <v>154</v>
      </c>
      <c r="AN301" s="365" t="n">
        <v>1109</v>
      </c>
      <c r="AP301" s="363" t="inlineStr">
        <is>
          <t>02</t>
        </is>
      </c>
      <c r="AQ301" s="364" t="n"/>
      <c r="AR301" s="86" t="n">
        <v>550.01234</v>
      </c>
      <c r="AS301" s="258" t="n">
        <v>833.6338499999999</v>
      </c>
      <c r="AT301" s="258" t="n">
        <v>881</v>
      </c>
      <c r="AU301" s="365" t="n">
        <v>471</v>
      </c>
      <c r="AV301" s="365" t="n"/>
      <c r="AX301" s="363" t="inlineStr">
        <is>
          <t>02</t>
        </is>
      </c>
      <c r="AY301" s="364" t="n"/>
      <c r="AZ301" s="364" t="n">
        <v>289.63531</v>
      </c>
      <c r="BA301" s="86" t="n">
        <v>293.02453</v>
      </c>
      <c r="BB301" s="258" t="n">
        <v>189</v>
      </c>
      <c r="BC301" s="258" t="n"/>
      <c r="BD301" s="365" t="n"/>
      <c r="BE301" s="365" t="n"/>
      <c r="BF301" s="363" t="inlineStr">
        <is>
          <t>02</t>
        </is>
      </c>
      <c r="BG301" s="364" t="n"/>
      <c r="BH301" s="86" t="n">
        <v>407.59987</v>
      </c>
      <c r="BI301" s="86" t="n">
        <v>396.40183</v>
      </c>
      <c r="BJ301" s="258" t="n"/>
      <c r="BK301" s="258" t="n"/>
      <c r="BL301" s="365" t="n"/>
      <c r="BM301" s="365" t="n"/>
      <c r="BN301" s="363" t="inlineStr">
        <is>
          <t>02</t>
        </is>
      </c>
      <c r="BO301" s="364" t="n"/>
      <c r="BP301" s="258" t="n">
        <v>535.4288100000001</v>
      </c>
      <c r="BQ301" s="258" t="n">
        <v>646.63823</v>
      </c>
      <c r="BR301" s="258" t="n">
        <v>858</v>
      </c>
      <c r="BS301" s="365" t="n">
        <v>92.60097</v>
      </c>
      <c r="BT301" s="365" t="n">
        <v>23</v>
      </c>
      <c r="BV301" s="363" t="inlineStr">
        <is>
          <t>02</t>
        </is>
      </c>
      <c r="BW301" s="364" t="n"/>
      <c r="BX301" s="87" t="n">
        <v>305.90969</v>
      </c>
      <c r="BY301" s="87" t="n">
        <v>488.1314</v>
      </c>
      <c r="BZ301" s="87" t="n">
        <v>742</v>
      </c>
      <c r="CA301" s="365" t="n">
        <v>56.13835</v>
      </c>
      <c r="CB301" s="365" t="n">
        <v>219</v>
      </c>
      <c r="CC301" s="365" t="n"/>
      <c r="CD301" s="363" t="inlineStr">
        <is>
          <t>02</t>
        </is>
      </c>
      <c r="CE301" s="364" t="n"/>
      <c r="CF301" s="367" t="n">
        <v>415.1709</v>
      </c>
      <c r="CG301" s="367" t="n">
        <v>512.1963500000001</v>
      </c>
      <c r="CH301" s="367" t="n">
        <v>835.327</v>
      </c>
      <c r="CI301" s="365" t="n">
        <v>161.53678</v>
      </c>
      <c r="CJ301" s="365" t="n">
        <v>86</v>
      </c>
      <c r="CL301" s="363" t="inlineStr">
        <is>
          <t>02</t>
        </is>
      </c>
      <c r="CM301" s="364" t="n"/>
      <c r="CN301" s="87" t="n">
        <v>715.93684</v>
      </c>
      <c r="CO301" s="87" t="n">
        <v>1115.05414</v>
      </c>
      <c r="CP301" s="87" t="n">
        <v>2128</v>
      </c>
      <c r="CQ301" s="365" t="n">
        <v>86.95936</v>
      </c>
      <c r="CR301" s="365" t="n">
        <v>144</v>
      </c>
      <c r="CT301" s="363" t="inlineStr">
        <is>
          <t>02</t>
        </is>
      </c>
      <c r="CU301" s="364" t="n"/>
      <c r="CV301" s="86" t="n">
        <v>289.83421</v>
      </c>
      <c r="CW301" s="258" t="n"/>
      <c r="CX301" s="258" t="n"/>
      <c r="CY301" s="365" t="n"/>
      <c r="CZ301" s="365" t="n"/>
      <c r="DB301" s="363" t="inlineStr">
        <is>
          <t>02</t>
        </is>
      </c>
      <c r="DC301" s="364" t="n"/>
      <c r="DD301" s="284" t="n">
        <v>653.09708</v>
      </c>
      <c r="DE301" s="87" t="n"/>
      <c r="DF301" s="87" t="n"/>
      <c r="DG301" s="365" t="n"/>
      <c r="DH301" s="365" t="n"/>
      <c r="DI301" s="365" t="n"/>
      <c r="DJ301" s="363" t="inlineStr">
        <is>
          <t>02</t>
        </is>
      </c>
      <c r="DK301" s="364" t="n"/>
      <c r="DL301" s="366" t="n">
        <v>304.04861</v>
      </c>
      <c r="DM301" s="367" t="n"/>
      <c r="DN301" s="367" t="n"/>
      <c r="DO301" s="365" t="n"/>
      <c r="DP301" s="365" t="n"/>
      <c r="DR301" s="363" t="inlineStr">
        <is>
          <t>02</t>
        </is>
      </c>
      <c r="DS301" s="364" t="n"/>
      <c r="DT301" s="284" t="n">
        <v>240.29612</v>
      </c>
      <c r="DU301" s="87" t="n"/>
      <c r="DV301" s="87" t="n"/>
      <c r="DW301" s="365" t="n"/>
      <c r="DX301" s="365" t="n"/>
      <c r="DZ301" s="363" t="inlineStr">
        <is>
          <t>02</t>
        </is>
      </c>
      <c r="EA301" s="364" t="n"/>
      <c r="EB301" s="284" t="n"/>
      <c r="EC301" s="87" t="n"/>
      <c r="ED301" s="87" t="n"/>
      <c r="EE301" s="365" t="n"/>
      <c r="EF301" s="365" t="n"/>
    </row>
    <row r="302" customFormat="1" s="363">
      <c r="B302" s="363" t="inlineStr">
        <is>
          <t>03</t>
        </is>
      </c>
      <c r="C302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2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02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02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02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02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02" s="365" t="n"/>
      <c r="J302" s="363" t="inlineStr">
        <is>
          <t>03</t>
        </is>
      </c>
      <c r="K302" s="364" t="n"/>
      <c r="L302" s="366" t="n">
        <v>726.9663499999999</v>
      </c>
      <c r="M302" s="367" t="n">
        <v>1026.47718</v>
      </c>
      <c r="N302" s="367" t="n">
        <v>1570</v>
      </c>
      <c r="O302" s="365" t="n">
        <v>211</v>
      </c>
      <c r="P302" s="365" t="n">
        <v>131</v>
      </c>
      <c r="R302" s="363" t="inlineStr">
        <is>
          <t>03</t>
        </is>
      </c>
      <c r="S302" s="364" t="n"/>
      <c r="T302" s="86" t="n">
        <v>64.10974</v>
      </c>
      <c r="U302" s="258" t="n">
        <v>288.47081</v>
      </c>
      <c r="V302" s="258" t="n">
        <v>770</v>
      </c>
      <c r="W302" s="365" t="n">
        <v>292</v>
      </c>
      <c r="X302" s="365" t="n">
        <v>227</v>
      </c>
      <c r="Z302" s="363" t="inlineStr">
        <is>
          <t>03</t>
        </is>
      </c>
      <c r="AA302" s="364" t="n"/>
      <c r="AB302" s="284" t="n">
        <v>466.38654</v>
      </c>
      <c r="AC302" s="87" t="n">
        <v>828.6314</v>
      </c>
      <c r="AD302" s="87" t="n">
        <v>1139</v>
      </c>
      <c r="AE302" s="365" t="n">
        <v>183</v>
      </c>
      <c r="AF302" s="365" t="n">
        <v>207</v>
      </c>
      <c r="AH302" s="363" t="inlineStr">
        <is>
          <t>03</t>
        </is>
      </c>
      <c r="AI302" s="364" t="n"/>
      <c r="AJ302" s="284" t="n">
        <v>540.78527</v>
      </c>
      <c r="AK302" s="87" t="n">
        <v>545.98968</v>
      </c>
      <c r="AL302" s="87" t="n">
        <v>1509</v>
      </c>
      <c r="AM302" s="365" t="n">
        <v>257</v>
      </c>
      <c r="AN302" s="365" t="n">
        <v>979</v>
      </c>
      <c r="AP302" s="363" t="inlineStr">
        <is>
          <t>03</t>
        </is>
      </c>
      <c r="AQ302" s="364" t="n"/>
      <c r="AR302" s="86" t="n">
        <v>629.99078</v>
      </c>
      <c r="AS302" s="258" t="n">
        <v>883.5530699999999</v>
      </c>
      <c r="AT302" s="258" t="n">
        <v>846</v>
      </c>
      <c r="AU302" s="365" t="n">
        <v>808</v>
      </c>
      <c r="AV302" s="365" t="n"/>
      <c r="AX302" s="363" t="inlineStr">
        <is>
          <t>03</t>
        </is>
      </c>
      <c r="AY302" s="364" t="n"/>
      <c r="AZ302" s="364" t="n">
        <v>266.53122</v>
      </c>
      <c r="BA302" s="86" t="n">
        <v>305.31403</v>
      </c>
      <c r="BB302" s="258" t="n">
        <v>227</v>
      </c>
      <c r="BC302" s="258" t="n"/>
      <c r="BD302" s="365" t="n"/>
      <c r="BE302" s="365" t="n"/>
      <c r="BF302" s="363" t="inlineStr">
        <is>
          <t>03</t>
        </is>
      </c>
      <c r="BG302" s="364" t="n"/>
      <c r="BH302" s="86" t="n">
        <v>378.98612</v>
      </c>
      <c r="BI302" s="86" t="n">
        <v>386.29946</v>
      </c>
      <c r="BJ302" s="258" t="n"/>
      <c r="BK302" s="258" t="n"/>
      <c r="BL302" s="365" t="n"/>
      <c r="BM302" s="365" t="n"/>
      <c r="BN302" s="363" t="inlineStr">
        <is>
          <t>03</t>
        </is>
      </c>
      <c r="BO302" s="364" t="n"/>
      <c r="BP302" s="258" t="n">
        <v>607.9208199999999</v>
      </c>
      <c r="BQ302" s="258" t="n">
        <v>622.2370500000001</v>
      </c>
      <c r="BR302" s="258" t="n">
        <v>837</v>
      </c>
      <c r="BS302" s="365" t="n">
        <v>152.70597</v>
      </c>
      <c r="BT302" s="365" t="n">
        <v>-34</v>
      </c>
      <c r="BV302" s="363" t="inlineStr">
        <is>
          <t>03</t>
        </is>
      </c>
      <c r="BW302" s="364" t="n"/>
      <c r="BX302" s="87" t="n">
        <v>584.3609</v>
      </c>
      <c r="BY302" s="87" t="n">
        <v>433.85605</v>
      </c>
      <c r="BZ302" s="87" t="n">
        <v>674</v>
      </c>
      <c r="CA302" s="365" t="n">
        <v>145.3449</v>
      </c>
      <c r="CB302" s="365" t="n">
        <v>149</v>
      </c>
      <c r="CC302" s="365" t="n"/>
      <c r="CD302" s="363" t="inlineStr">
        <is>
          <t>03</t>
        </is>
      </c>
      <c r="CE302" s="364" t="n"/>
      <c r="CF302" s="367" t="n">
        <v>446.6733399999999</v>
      </c>
      <c r="CG302" s="367" t="n">
        <v>433.7311</v>
      </c>
      <c r="CH302" s="367" t="n">
        <v>733</v>
      </c>
      <c r="CI302" s="365" t="n">
        <v>777.6108200000001</v>
      </c>
      <c r="CJ302" s="365" t="n">
        <v>-16</v>
      </c>
      <c r="CL302" s="363" t="inlineStr">
        <is>
          <t>03</t>
        </is>
      </c>
      <c r="CM302" s="364" t="n"/>
      <c r="CN302" s="87" t="n">
        <v>771.55803</v>
      </c>
      <c r="CO302" s="87" t="n">
        <v>1165.15864</v>
      </c>
      <c r="CP302" s="87" t="n">
        <v>2099</v>
      </c>
      <c r="CQ302" s="365" t="n">
        <v>110.47102</v>
      </c>
      <c r="CR302" s="365" t="n">
        <v>-50</v>
      </c>
      <c r="CT302" s="363" t="inlineStr">
        <is>
          <t>03</t>
        </is>
      </c>
      <c r="CU302" s="364" t="n"/>
      <c r="CV302" s="86" t="n">
        <v>395.15454</v>
      </c>
      <c r="CW302" s="258" t="n"/>
      <c r="CX302" s="258" t="n"/>
      <c r="CY302" s="365" t="n"/>
      <c r="CZ302" s="365" t="n"/>
      <c r="DB302" s="363" t="inlineStr">
        <is>
          <t>03</t>
        </is>
      </c>
      <c r="DC302" s="364" t="n"/>
      <c r="DD302" s="284" t="n">
        <v>756.51482</v>
      </c>
      <c r="DE302" s="87" t="n"/>
      <c r="DF302" s="87" t="n"/>
      <c r="DG302" s="365" t="n"/>
      <c r="DH302" s="365" t="n"/>
      <c r="DI302" s="365" t="n"/>
      <c r="DJ302" s="363" t="inlineStr">
        <is>
          <t>03</t>
        </is>
      </c>
      <c r="DK302" s="364" t="n"/>
      <c r="DL302" s="366" t="n">
        <v>311.48515</v>
      </c>
      <c r="DM302" s="367" t="n"/>
      <c r="DN302" s="367" t="n"/>
      <c r="DO302" s="365" t="n"/>
      <c r="DP302" s="365" t="n"/>
      <c r="DR302" s="363" t="inlineStr">
        <is>
          <t>03</t>
        </is>
      </c>
      <c r="DS302" s="364" t="n"/>
      <c r="DT302" s="284" t="n">
        <v>288.81166</v>
      </c>
      <c r="DU302" s="87" t="n"/>
      <c r="DV302" s="87" t="n"/>
      <c r="DW302" s="365" t="n"/>
      <c r="DX302" s="365" t="n"/>
      <c r="DZ302" s="363" t="inlineStr">
        <is>
          <t>03</t>
        </is>
      </c>
      <c r="EA302" s="364" t="n"/>
      <c r="EB302" s="284" t="n"/>
      <c r="EC302" s="87" t="n"/>
      <c r="ED302" s="87" t="n"/>
      <c r="EE302" s="365" t="n"/>
      <c r="EF302" s="365" t="n"/>
    </row>
    <row r="303" customFormat="1" s="363">
      <c r="B303" s="363" t="inlineStr">
        <is>
          <t>04</t>
        </is>
      </c>
      <c r="C303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3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03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03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03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03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03" s="365" t="n"/>
      <c r="J303" s="363" t="inlineStr">
        <is>
          <t>04</t>
        </is>
      </c>
      <c r="K303" s="364" t="n"/>
      <c r="L303" s="366" t="n">
        <v>697.8407400000001</v>
      </c>
      <c r="M303" s="367" t="n">
        <v>1121.0296</v>
      </c>
      <c r="N303" s="367" t="n">
        <v>1691.33225</v>
      </c>
      <c r="O303" s="365" t="n">
        <v>235</v>
      </c>
      <c r="P303" s="365" t="n">
        <v>142</v>
      </c>
      <c r="R303" s="363" t="inlineStr">
        <is>
          <t>04</t>
        </is>
      </c>
      <c r="S303" s="364" t="n"/>
      <c r="T303" s="284" t="n">
        <v>78.74971000000001</v>
      </c>
      <c r="U303" s="87" t="n">
        <v>232.99217</v>
      </c>
      <c r="V303" s="87" t="n">
        <v>689.04498</v>
      </c>
      <c r="W303" s="365" t="n">
        <v>524</v>
      </c>
      <c r="X303" s="365" t="n">
        <v>242</v>
      </c>
      <c r="Z303" s="363" t="inlineStr">
        <is>
          <t>04</t>
        </is>
      </c>
      <c r="AA303" s="364" t="n"/>
      <c r="AB303" s="284" t="n">
        <v>348.15291</v>
      </c>
      <c r="AC303" s="87" t="n">
        <v>823.02151</v>
      </c>
      <c r="AD303" s="87" t="n">
        <v>1083.49475</v>
      </c>
      <c r="AE303" s="365" t="n">
        <v>189</v>
      </c>
      <c r="AF303" s="365" t="n">
        <v>202</v>
      </c>
      <c r="AH303" s="363" t="inlineStr">
        <is>
          <t>04</t>
        </is>
      </c>
      <c r="AI303" s="364" t="n"/>
      <c r="AJ303" s="284" t="n">
        <v>527.73601</v>
      </c>
      <c r="AK303" s="87" t="n">
        <v>575.40215</v>
      </c>
      <c r="AL303" s="87" t="n">
        <v>1050.45818</v>
      </c>
      <c r="AM303" s="365" t="n">
        <v>501</v>
      </c>
      <c r="AN303" s="365" t="n">
        <v>884</v>
      </c>
      <c r="AP303" s="363" t="inlineStr">
        <is>
          <t>04</t>
        </is>
      </c>
      <c r="AQ303" s="364" t="n"/>
      <c r="AR303" s="284" t="n">
        <v>509.5023</v>
      </c>
      <c r="AS303" s="87" t="n">
        <v>918.07186</v>
      </c>
      <c r="AT303" s="87" t="n">
        <v>1146.19644</v>
      </c>
      <c r="AU303" s="365" t="n">
        <v>849</v>
      </c>
      <c r="AV303" s="365" t="n"/>
      <c r="AX303" s="363" t="inlineStr">
        <is>
          <t>04</t>
        </is>
      </c>
      <c r="AY303" s="364" t="n"/>
      <c r="AZ303" s="364" t="n">
        <v>217.07474</v>
      </c>
      <c r="BA303" s="284" t="n">
        <v>288.57139</v>
      </c>
      <c r="BB303" s="87" t="n">
        <v>198.00856</v>
      </c>
      <c r="BC303" s="87" t="n"/>
      <c r="BD303" s="365" t="n"/>
      <c r="BE303" s="365" t="n"/>
      <c r="BF303" s="363" t="inlineStr">
        <is>
          <t>04</t>
        </is>
      </c>
      <c r="BG303" s="364" t="n"/>
      <c r="BH303" s="284" t="n">
        <v>374.65194</v>
      </c>
      <c r="BI303" s="284" t="n">
        <v>478.12548</v>
      </c>
      <c r="BJ303" s="87" t="n">
        <v>634.908</v>
      </c>
      <c r="BK303" s="87" t="n"/>
      <c r="BL303" s="365" t="n"/>
      <c r="BM303" s="365" t="n"/>
      <c r="BN303" s="363" t="inlineStr">
        <is>
          <t>04</t>
        </is>
      </c>
      <c r="BO303" s="364" t="n"/>
      <c r="BP303" s="87" t="n">
        <v>495.20151</v>
      </c>
      <c r="BQ303" s="87" t="n">
        <v>653.46271</v>
      </c>
      <c r="BR303" s="87" t="n">
        <v>865.16949</v>
      </c>
      <c r="BS303" s="365" t="n">
        <v>218.10351</v>
      </c>
      <c r="BT303" s="365" t="n">
        <v>19</v>
      </c>
      <c r="BV303" s="363" t="inlineStr">
        <is>
          <t>04</t>
        </is>
      </c>
      <c r="BW303" s="364" t="n"/>
      <c r="BX303" s="87" t="n">
        <v>536.06799</v>
      </c>
      <c r="BY303" s="87" t="n">
        <v>468.06799</v>
      </c>
      <c r="BZ303" s="87" t="n">
        <v>767.7088</v>
      </c>
      <c r="CA303" s="365" t="n">
        <v>186.48888</v>
      </c>
      <c r="CB303" s="365" t="n">
        <v>54</v>
      </c>
      <c r="CC303" s="365" t="n"/>
      <c r="CD303" s="363" t="inlineStr">
        <is>
          <t>04</t>
        </is>
      </c>
      <c r="CE303" s="364" t="n"/>
      <c r="CF303" s="367" t="n">
        <v>298.67458</v>
      </c>
      <c r="CG303" s="367" t="n">
        <v>474.02579</v>
      </c>
      <c r="CH303" s="367" t="n">
        <v>719.07634</v>
      </c>
      <c r="CI303" s="365" t="n">
        <v>91.17408000000002</v>
      </c>
      <c r="CJ303" s="365" t="n">
        <v>30</v>
      </c>
      <c r="CL303" s="363" t="inlineStr">
        <is>
          <t>04</t>
        </is>
      </c>
      <c r="CM303" s="364" t="n"/>
      <c r="CN303" s="87" t="n">
        <v>799.7192</v>
      </c>
      <c r="CO303" s="87" t="n">
        <v>1149.75303</v>
      </c>
      <c r="CP303" s="87" t="n">
        <v>1887</v>
      </c>
      <c r="CQ303" s="365" t="n">
        <v>388.08932</v>
      </c>
      <c r="CR303" s="365" t="n">
        <v>46</v>
      </c>
      <c r="CT303" s="363" t="inlineStr">
        <is>
          <t>04</t>
        </is>
      </c>
      <c r="CU303" s="364" t="n"/>
      <c r="CV303" s="284" t="n">
        <v>427.51698</v>
      </c>
      <c r="CW303" s="87" t="n"/>
      <c r="CX303" s="87" t="n"/>
      <c r="CY303" s="365" t="n"/>
      <c r="CZ303" s="365" t="n"/>
      <c r="DB303" s="363" t="inlineStr">
        <is>
          <t>04</t>
        </is>
      </c>
      <c r="DC303" s="364" t="n"/>
      <c r="DD303" s="284" t="n">
        <v>793.5354</v>
      </c>
      <c r="DE303" s="87" t="n"/>
      <c r="DF303" s="87" t="n"/>
      <c r="DG303" s="365" t="n"/>
      <c r="DH303" s="365" t="n"/>
      <c r="DI303" s="365" t="n"/>
      <c r="DJ303" s="363" t="inlineStr">
        <is>
          <t>04</t>
        </is>
      </c>
      <c r="DK303" s="364" t="n"/>
      <c r="DL303" s="366" t="n">
        <v>287.99088</v>
      </c>
      <c r="DM303" s="367" t="n"/>
      <c r="DN303" s="367" t="n"/>
      <c r="DO303" s="365" t="n"/>
      <c r="DP303" s="365" t="n"/>
      <c r="DR303" s="363" t="inlineStr">
        <is>
          <t>04</t>
        </is>
      </c>
      <c r="DS303" s="364" t="n"/>
      <c r="DT303" s="284" t="n">
        <v>310.22319</v>
      </c>
      <c r="DU303" s="87" t="n"/>
      <c r="DV303" s="87" t="n"/>
      <c r="DW303" s="365" t="n"/>
      <c r="DX303" s="365" t="n"/>
      <c r="DZ303" s="363" t="inlineStr">
        <is>
          <t>04</t>
        </is>
      </c>
      <c r="EA303" s="364" t="n"/>
      <c r="EB303" s="284" t="n"/>
      <c r="EC303" s="87" t="n"/>
      <c r="ED303" s="87" t="n"/>
      <c r="EE303" s="365" t="n"/>
      <c r="EF303" s="365" t="n"/>
    </row>
    <row r="304" customFormat="1" s="363">
      <c r="B304" s="363" t="inlineStr">
        <is>
          <t>05</t>
        </is>
      </c>
      <c r="C304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4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04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04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04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04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04" s="365" t="n"/>
      <c r="J304" s="363" t="inlineStr">
        <is>
          <t>05</t>
        </is>
      </c>
      <c r="K304" s="364" t="n"/>
      <c r="L304" s="369" t="n">
        <v>766.55129</v>
      </c>
      <c r="M304" s="365" t="n">
        <v>1243.61088</v>
      </c>
      <c r="N304" s="365" t="n">
        <v>1608.81284</v>
      </c>
      <c r="O304" s="365" t="n">
        <v>595</v>
      </c>
      <c r="P304" s="365" t="n">
        <v>353</v>
      </c>
      <c r="R304" s="363" t="inlineStr">
        <is>
          <t>05</t>
        </is>
      </c>
      <c r="S304" s="364" t="n"/>
      <c r="T304" s="86" t="n">
        <v>102.44722</v>
      </c>
      <c r="U304" s="258" t="n">
        <v>223.17035</v>
      </c>
      <c r="V304" s="258" t="n">
        <v>615.206</v>
      </c>
      <c r="W304" s="365" t="n">
        <v>499</v>
      </c>
      <c r="X304" s="365" t="n">
        <v>292</v>
      </c>
      <c r="Z304" s="363" t="inlineStr">
        <is>
          <t>05</t>
        </is>
      </c>
      <c r="AA304" s="364" t="n"/>
      <c r="AB304" s="86" t="n">
        <v>359.99681</v>
      </c>
      <c r="AC304" s="258" t="n">
        <v>798.1575899999999</v>
      </c>
      <c r="AD304" s="258" t="n">
        <v>1143.68538</v>
      </c>
      <c r="AE304" s="365" t="n">
        <v>622</v>
      </c>
      <c r="AF304" s="365" t="n">
        <v>318</v>
      </c>
      <c r="AH304" s="363" t="inlineStr">
        <is>
          <t>05</t>
        </is>
      </c>
      <c r="AI304" s="364" t="n"/>
      <c r="AJ304" s="86" t="n">
        <v>581.7827600000001</v>
      </c>
      <c r="AK304" s="258" t="n">
        <v>702.304</v>
      </c>
      <c r="AL304" s="258" t="n">
        <v>971.1277700000001</v>
      </c>
      <c r="AM304" s="365" t="n">
        <v>868</v>
      </c>
      <c r="AN304" s="365" t="n">
        <v>1013</v>
      </c>
      <c r="AP304" s="363" t="inlineStr">
        <is>
          <t>05</t>
        </is>
      </c>
      <c r="AQ304" s="364" t="n"/>
      <c r="AR304" s="86" t="n">
        <v>606.06125</v>
      </c>
      <c r="AS304" s="258" t="n">
        <v>943.25976</v>
      </c>
      <c r="AT304" s="258" t="n">
        <v>1151.47323</v>
      </c>
      <c r="AU304" s="365" t="n">
        <v>1019</v>
      </c>
      <c r="AV304" s="365" t="n"/>
      <c r="AX304" s="363" t="inlineStr">
        <is>
          <t>05</t>
        </is>
      </c>
      <c r="AY304" s="364" t="n"/>
      <c r="AZ304" s="364" t="n">
        <v>272.53557</v>
      </c>
      <c r="BA304" s="86" t="n">
        <v>295.31419</v>
      </c>
      <c r="BB304" s="258" t="n">
        <v>258.3403</v>
      </c>
      <c r="BC304" s="258" t="n"/>
      <c r="BD304" s="365" t="n"/>
      <c r="BE304" s="365" t="n"/>
      <c r="BF304" s="363" t="inlineStr">
        <is>
          <t>05</t>
        </is>
      </c>
      <c r="BG304" s="364" t="n"/>
      <c r="BH304" s="86" t="n">
        <v>397.65552</v>
      </c>
      <c r="BI304" s="86" t="n">
        <v>476.39507</v>
      </c>
      <c r="BJ304" s="258" t="n">
        <v>662.092</v>
      </c>
      <c r="BK304" s="258" t="n"/>
      <c r="BL304" s="365" t="n"/>
      <c r="BM304" s="365" t="n"/>
      <c r="BN304" s="363" t="inlineStr">
        <is>
          <t>05</t>
        </is>
      </c>
      <c r="BO304" s="364" t="n"/>
      <c r="BP304" s="258" t="n">
        <v>601.88762</v>
      </c>
      <c r="BQ304" s="258" t="n">
        <v>728.29502</v>
      </c>
      <c r="BR304" s="258" t="n">
        <v>919.80512</v>
      </c>
      <c r="BS304" s="365" t="n">
        <v>336.41466</v>
      </c>
      <c r="BT304" s="365" t="n">
        <v>131</v>
      </c>
      <c r="BV304" s="363" t="inlineStr">
        <is>
          <t>05</t>
        </is>
      </c>
      <c r="BW304" s="364" t="n"/>
      <c r="BX304" s="258" t="n">
        <v>478.7117</v>
      </c>
      <c r="BY304" s="258" t="n">
        <v>540.6714300000001</v>
      </c>
      <c r="BZ304" s="258" t="n">
        <v>586.3614699999999</v>
      </c>
      <c r="CA304" s="365" t="n">
        <v>436.64</v>
      </c>
      <c r="CB304" s="365" t="n">
        <v>104</v>
      </c>
      <c r="CC304" s="365" t="n"/>
      <c r="CD304" s="363" t="inlineStr">
        <is>
          <t>05</t>
        </is>
      </c>
      <c r="CE304" s="364" t="n"/>
      <c r="CF304" s="365" t="n">
        <v>242.6813</v>
      </c>
      <c r="CG304" s="365" t="n">
        <v>558.3105400000001</v>
      </c>
      <c r="CH304" s="365" t="n">
        <v>694.04374</v>
      </c>
      <c r="CI304" s="365" t="n">
        <v>299.48937</v>
      </c>
      <c r="CJ304" s="365" t="n">
        <v>129</v>
      </c>
      <c r="CL304" s="363" t="inlineStr">
        <is>
          <t>05</t>
        </is>
      </c>
      <c r="CM304" s="364" t="n"/>
      <c r="CN304" s="258" t="n">
        <v>865.13464</v>
      </c>
      <c r="CO304" s="258" t="n">
        <v>1302.84305</v>
      </c>
      <c r="CP304" s="258" t="n">
        <v>1842.61553</v>
      </c>
      <c r="CQ304" s="365" t="n">
        <v>458.58581</v>
      </c>
      <c r="CR304" s="365" t="n">
        <v>204</v>
      </c>
      <c r="CT304" s="363" t="inlineStr">
        <is>
          <t>05</t>
        </is>
      </c>
      <c r="CU304" s="364" t="n"/>
      <c r="CV304" s="86" t="n">
        <v>465.238</v>
      </c>
      <c r="CW304" s="258" t="n"/>
      <c r="CX304" s="258" t="n"/>
      <c r="CY304" s="365" t="n"/>
      <c r="CZ304" s="365" t="n"/>
      <c r="DB304" s="363" t="inlineStr">
        <is>
          <t>05</t>
        </is>
      </c>
      <c r="DC304" s="364" t="n"/>
      <c r="DD304" s="86" t="n">
        <v>794.72957</v>
      </c>
      <c r="DE304" s="258" t="n"/>
      <c r="DF304" s="258" t="n"/>
      <c r="DG304" s="365" t="n"/>
      <c r="DH304" s="365" t="n"/>
      <c r="DI304" s="365" t="n"/>
      <c r="DJ304" s="363" t="inlineStr">
        <is>
          <t>05</t>
        </is>
      </c>
      <c r="DK304" s="364" t="n"/>
      <c r="DL304" s="369" t="n">
        <v>325.26459</v>
      </c>
      <c r="DM304" s="365" t="n"/>
      <c r="DN304" s="365" t="n"/>
      <c r="DO304" s="365" t="n"/>
      <c r="DP304" s="365" t="n"/>
      <c r="DR304" s="363" t="inlineStr">
        <is>
          <t>05</t>
        </is>
      </c>
      <c r="DS304" s="364" t="n"/>
      <c r="DT304" s="86" t="n">
        <v>308.22057</v>
      </c>
      <c r="DU304" s="258" t="n"/>
      <c r="DV304" s="258" t="n"/>
      <c r="DW304" s="365" t="n"/>
      <c r="DX304" s="365" t="n"/>
      <c r="DZ304" s="363" t="inlineStr">
        <is>
          <t>05</t>
        </is>
      </c>
      <c r="EA304" s="364" t="n"/>
      <c r="EB304" s="86" t="n"/>
      <c r="EC304" s="258" t="n"/>
      <c r="ED304" s="258" t="n"/>
      <c r="EE304" s="365" t="n"/>
      <c r="EF304" s="365" t="n"/>
    </row>
    <row r="305" customFormat="1" s="363">
      <c r="B305" s="363" t="inlineStr">
        <is>
          <t>06</t>
        </is>
      </c>
      <c r="C305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5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05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05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05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05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05" s="365" t="n"/>
      <c r="J305" s="363" t="inlineStr">
        <is>
          <t>06</t>
        </is>
      </c>
      <c r="K305" s="364" t="n"/>
      <c r="L305" s="369" t="n">
        <v>284</v>
      </c>
      <c r="M305" s="365" t="n">
        <v>1132.75063</v>
      </c>
      <c r="N305" s="365" t="n">
        <v>1554.99309</v>
      </c>
      <c r="O305" s="365" t="n">
        <v>663</v>
      </c>
      <c r="P305" s="365" t="n">
        <v>428</v>
      </c>
      <c r="R305" s="363" t="inlineStr">
        <is>
          <t>06</t>
        </is>
      </c>
      <c r="S305" s="364" t="n"/>
      <c r="T305" s="86" t="n">
        <v>125.46578</v>
      </c>
      <c r="U305" s="258" t="n">
        <v>230.76228</v>
      </c>
      <c r="V305" s="258" t="n">
        <v>611.92804</v>
      </c>
      <c r="W305" s="365" t="n">
        <v>516</v>
      </c>
      <c r="X305" s="365" t="n">
        <v>322</v>
      </c>
      <c r="Z305" s="363" t="inlineStr">
        <is>
          <t>06</t>
        </is>
      </c>
      <c r="AA305" s="364" t="n"/>
      <c r="AB305" s="86" t="n">
        <v>288.70195</v>
      </c>
      <c r="AC305" s="258" t="n">
        <v>772.30148</v>
      </c>
      <c r="AD305" s="258" t="n">
        <v>1112.23327</v>
      </c>
      <c r="AE305" s="365" t="n">
        <v>610</v>
      </c>
      <c r="AF305" s="365" t="n">
        <v>343</v>
      </c>
      <c r="AH305" s="363" t="inlineStr">
        <is>
          <t>06</t>
        </is>
      </c>
      <c r="AI305" s="364" t="n"/>
      <c r="AJ305" s="86" t="n">
        <v>371.32543</v>
      </c>
      <c r="AK305" s="258" t="n">
        <v>690.56379</v>
      </c>
      <c r="AL305" s="258" t="n">
        <v>968.7936099999999</v>
      </c>
      <c r="AM305" s="365" t="n">
        <v>899</v>
      </c>
      <c r="AN305" s="365" t="n">
        <v>748</v>
      </c>
      <c r="AP305" s="363" t="inlineStr">
        <is>
          <t>06</t>
        </is>
      </c>
      <c r="AQ305" s="364" t="n"/>
      <c r="AR305" s="86" t="n">
        <v>371.38663</v>
      </c>
      <c r="AS305" s="258" t="n">
        <v>802.55746</v>
      </c>
      <c r="AT305" s="258" t="n">
        <v>1164.89349</v>
      </c>
      <c r="AU305" s="365" t="n">
        <v>740</v>
      </c>
      <c r="AV305" s="365" t="n"/>
      <c r="AX305" s="363" t="inlineStr">
        <is>
          <t>06</t>
        </is>
      </c>
      <c r="AY305" s="364" t="n"/>
      <c r="AZ305" s="364" t="n">
        <v>221.55232</v>
      </c>
      <c r="BA305" s="86" t="n">
        <v>281.25956</v>
      </c>
      <c r="BB305" s="258" t="n">
        <v>300.11646</v>
      </c>
      <c r="BC305" s="258" t="n"/>
      <c r="BD305" s="365" t="n"/>
      <c r="BE305" s="365" t="n"/>
      <c r="BF305" s="363" t="inlineStr">
        <is>
          <t>06</t>
        </is>
      </c>
      <c r="BG305" s="364" t="n"/>
      <c r="BH305" s="86" t="n">
        <v>208</v>
      </c>
      <c r="BI305" s="86" t="n">
        <v>461.03639</v>
      </c>
      <c r="BJ305" s="258" t="n">
        <v>668.051</v>
      </c>
      <c r="BK305" s="258" t="n"/>
      <c r="BL305" s="365" t="n"/>
      <c r="BM305" s="365" t="n"/>
      <c r="BN305" s="363" t="inlineStr">
        <is>
          <t>06</t>
        </is>
      </c>
      <c r="BO305" s="364" t="n"/>
      <c r="BP305" s="258" t="n">
        <v>265.65502</v>
      </c>
      <c r="BQ305" s="258" t="n">
        <v>739.236</v>
      </c>
      <c r="BR305" s="258" t="n">
        <v>945.04309</v>
      </c>
      <c r="BS305" s="365" t="n">
        <v>423.83281</v>
      </c>
      <c r="BT305" s="365" t="n">
        <v>95</v>
      </c>
      <c r="BV305" s="363" t="inlineStr">
        <is>
          <t>06</t>
        </is>
      </c>
      <c r="BW305" s="364" t="n"/>
      <c r="BX305" s="258" t="n">
        <v>383.82815</v>
      </c>
      <c r="BY305" s="258" t="n">
        <v>516.829</v>
      </c>
      <c r="BZ305" s="258" t="n">
        <v>549.8130699999999</v>
      </c>
      <c r="CA305" s="365" t="n">
        <v>417.45</v>
      </c>
      <c r="CB305" s="365" t="n">
        <v>184</v>
      </c>
      <c r="CC305" s="365" t="n"/>
      <c r="CD305" s="363" t="inlineStr">
        <is>
          <t>06</t>
        </is>
      </c>
      <c r="CE305" s="364" t="n"/>
      <c r="CF305" s="365" t="n">
        <v>235.09712</v>
      </c>
      <c r="CG305" s="365" t="n">
        <v>553.50884</v>
      </c>
      <c r="CH305" s="365" t="n">
        <v>630.6942</v>
      </c>
      <c r="CI305" s="365" t="n">
        <v>58.47094</v>
      </c>
      <c r="CJ305" s="365" t="n">
        <v>164</v>
      </c>
      <c r="CL305" s="363" t="inlineStr">
        <is>
          <t>06</t>
        </is>
      </c>
      <c r="CM305" s="364" t="n"/>
      <c r="CN305" s="258" t="n">
        <v>513.934</v>
      </c>
      <c r="CO305" s="258" t="n">
        <v>1202.15577</v>
      </c>
      <c r="CP305" s="258" t="n">
        <v>1849.16275</v>
      </c>
      <c r="CQ305" s="365" t="n">
        <v>563.59524</v>
      </c>
      <c r="CR305" s="365" t="n">
        <v>266</v>
      </c>
      <c r="CT305" s="363" t="inlineStr">
        <is>
          <t>06</t>
        </is>
      </c>
      <c r="CU305" s="364" t="n"/>
      <c r="CV305" s="86" t="n">
        <v>502.26956</v>
      </c>
      <c r="CW305" s="258" t="n"/>
      <c r="CX305" s="258" t="n"/>
      <c r="CY305" s="365" t="n"/>
      <c r="CZ305" s="365" t="n"/>
      <c r="DB305" s="363" t="inlineStr">
        <is>
          <t>06</t>
        </is>
      </c>
      <c r="DC305" s="364" t="n"/>
      <c r="DD305" s="86" t="n">
        <v>840.0890000000001</v>
      </c>
      <c r="DE305" s="258" t="n"/>
      <c r="DF305" s="258" t="n"/>
      <c r="DG305" s="365" t="n"/>
      <c r="DH305" s="365" t="n"/>
      <c r="DI305" s="365" t="n"/>
      <c r="DJ305" s="363" t="inlineStr">
        <is>
          <t>06</t>
        </is>
      </c>
      <c r="DK305" s="364" t="n"/>
      <c r="DL305" s="369" t="n">
        <v>319.11086</v>
      </c>
      <c r="DM305" s="365" t="n"/>
      <c r="DN305" s="365" t="n"/>
      <c r="DO305" s="365" t="n"/>
      <c r="DP305" s="365" t="n"/>
      <c r="DR305" s="363" t="inlineStr">
        <is>
          <t>06</t>
        </is>
      </c>
      <c r="DS305" s="364" t="n"/>
      <c r="DT305" s="86" t="n">
        <v>313.86871</v>
      </c>
      <c r="DU305" s="258" t="n"/>
      <c r="DV305" s="258" t="n"/>
      <c r="DW305" s="365" t="n"/>
      <c r="DX305" s="365" t="n"/>
      <c r="DZ305" s="363" t="inlineStr">
        <is>
          <t>06</t>
        </is>
      </c>
      <c r="EA305" s="364" t="n"/>
      <c r="EB305" s="86" t="n"/>
      <c r="EC305" s="258" t="n"/>
      <c r="ED305" s="258" t="n"/>
      <c r="EE305" s="365" t="n"/>
      <c r="EF305" s="365" t="n"/>
    </row>
    <row r="306" customFormat="1" s="363">
      <c r="B306" s="363" t="inlineStr">
        <is>
          <t>07</t>
        </is>
      </c>
      <c r="C306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6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06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06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06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06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06" s="365" t="n"/>
      <c r="J306" s="363" t="inlineStr">
        <is>
          <t>07</t>
        </is>
      </c>
      <c r="K306" s="364" t="n"/>
      <c r="L306" s="369" t="n">
        <v>288.76974</v>
      </c>
      <c r="M306" s="365" t="n">
        <v>1171.75034</v>
      </c>
      <c r="N306" s="365" t="n">
        <v>1625.13531</v>
      </c>
      <c r="O306" s="365" t="n">
        <v>757</v>
      </c>
      <c r="P306" s="365" t="n">
        <v>493</v>
      </c>
      <c r="R306" s="363" t="inlineStr">
        <is>
          <t>07</t>
        </is>
      </c>
      <c r="S306" s="364" t="n"/>
      <c r="T306" s="86" t="n">
        <v>125.83707</v>
      </c>
      <c r="U306" s="258" t="n">
        <v>250.36281</v>
      </c>
      <c r="V306" s="258" t="n">
        <v>631.63471</v>
      </c>
      <c r="W306" s="365" t="n">
        <v>586</v>
      </c>
      <c r="X306" s="365" t="n">
        <v>380</v>
      </c>
      <c r="Z306" s="363" t="inlineStr">
        <is>
          <t>07</t>
        </is>
      </c>
      <c r="AA306" s="364" t="n"/>
      <c r="AB306" s="86" t="n">
        <v>269.2030799999993</v>
      </c>
      <c r="AC306" s="258" t="n">
        <v>743.68088</v>
      </c>
      <c r="AD306" s="258" t="n">
        <v>1126.85078</v>
      </c>
      <c r="AE306" s="365" t="n">
        <v>643</v>
      </c>
      <c r="AF306" s="365" t="n">
        <v>345</v>
      </c>
      <c r="AH306" s="363" t="inlineStr">
        <is>
          <t>07</t>
        </is>
      </c>
      <c r="AI306" s="364" t="n"/>
      <c r="AJ306" s="86" t="n">
        <v>359.9036</v>
      </c>
      <c r="AK306" s="258" t="n">
        <v>807.20412</v>
      </c>
      <c r="AL306" s="258" t="n">
        <v>1018.304</v>
      </c>
      <c r="AM306" s="365" t="n">
        <v>977</v>
      </c>
      <c r="AN306" s="365" t="n">
        <v>613</v>
      </c>
      <c r="AP306" s="363" t="inlineStr">
        <is>
          <t>07</t>
        </is>
      </c>
      <c r="AQ306" s="364" t="n"/>
      <c r="AR306" s="86" t="n">
        <v>452.92367</v>
      </c>
      <c r="AS306" s="258" t="n">
        <v>833.04417</v>
      </c>
      <c r="AT306" s="258" t="n">
        <v>863.1953699999999</v>
      </c>
      <c r="AU306" s="365" t="n">
        <v>775</v>
      </c>
      <c r="AV306" s="365" t="n"/>
      <c r="AX306" s="363" t="inlineStr">
        <is>
          <t>07</t>
        </is>
      </c>
      <c r="AY306" s="364" t="n"/>
      <c r="AZ306" s="364" t="n">
        <v>240.29099</v>
      </c>
      <c r="BA306" s="86" t="n">
        <v>374.70235</v>
      </c>
      <c r="BB306" s="258" t="n">
        <v>261.9444</v>
      </c>
      <c r="BC306" s="258" t="n">
        <v>139.22472</v>
      </c>
      <c r="BD306" s="365" t="n"/>
      <c r="BE306" s="365" t="n"/>
      <c r="BF306" s="363" t="inlineStr">
        <is>
          <t>07</t>
        </is>
      </c>
      <c r="BG306" s="364" t="n"/>
      <c r="BH306" s="86" t="n">
        <v>274.0711</v>
      </c>
      <c r="BI306" s="86" t="n">
        <v>609.95014</v>
      </c>
      <c r="BJ306" s="258" t="n">
        <v>778.798</v>
      </c>
      <c r="BK306" s="258" t="n"/>
      <c r="BL306" s="365" t="n"/>
      <c r="BM306" s="365" t="n"/>
      <c r="BN306" s="363" t="inlineStr">
        <is>
          <t>07</t>
        </is>
      </c>
      <c r="BO306" s="364" t="n"/>
      <c r="BP306" s="258" t="n">
        <v>292.18272</v>
      </c>
      <c r="BQ306" s="258" t="n">
        <v>770.221</v>
      </c>
      <c r="BR306" s="258" t="n">
        <v>985.60477</v>
      </c>
      <c r="BS306" s="365" t="n">
        <v>536.8108500000001</v>
      </c>
      <c r="BT306" s="365" t="n">
        <v>162</v>
      </c>
      <c r="BV306" s="363" t="inlineStr">
        <is>
          <t>07</t>
        </is>
      </c>
      <c r="BW306" s="364" t="n"/>
      <c r="BX306" s="258" t="n">
        <v>507.41974</v>
      </c>
      <c r="BY306" s="258" t="n">
        <v>676.46401</v>
      </c>
      <c r="BZ306" s="258" t="n">
        <v>753.1366499999999</v>
      </c>
      <c r="CA306" s="365" t="n">
        <v>534.15</v>
      </c>
      <c r="CB306" s="365" t="n">
        <v>240</v>
      </c>
      <c r="CC306" s="365" t="n"/>
      <c r="CD306" s="363" t="inlineStr">
        <is>
          <t>07</t>
        </is>
      </c>
      <c r="CE306" s="364" t="n"/>
      <c r="CF306" s="365" t="n">
        <v>321.26088</v>
      </c>
      <c r="CG306" s="365" t="n">
        <v>670.4271199999999</v>
      </c>
      <c r="CH306" s="365" t="n">
        <v>1068.03621</v>
      </c>
      <c r="CI306" s="365" t="n">
        <v>399.46983</v>
      </c>
      <c r="CJ306" s="365" t="n">
        <v>294</v>
      </c>
      <c r="CL306" s="363" t="inlineStr">
        <is>
          <t>07</t>
        </is>
      </c>
      <c r="CM306" s="364" t="n"/>
      <c r="CN306" s="258" t="n">
        <v>486.38411</v>
      </c>
      <c r="CO306" s="258" t="n">
        <v>1369.02899</v>
      </c>
      <c r="CP306" s="258" t="n">
        <v>1938.37545</v>
      </c>
      <c r="CQ306" s="365" t="n">
        <v>677.47639</v>
      </c>
      <c r="CR306" s="365" t="n">
        <v>348</v>
      </c>
      <c r="CT306" s="363" t="inlineStr">
        <is>
          <t>07</t>
        </is>
      </c>
      <c r="CU306" s="364" t="n"/>
      <c r="CV306" s="86" t="n">
        <v>529.16824</v>
      </c>
      <c r="CW306" s="258" t="n"/>
      <c r="CX306" s="258" t="n"/>
      <c r="CY306" s="365" t="n"/>
      <c r="CZ306" s="365" t="n"/>
      <c r="DB306" s="363" t="inlineStr">
        <is>
          <t>07</t>
        </is>
      </c>
      <c r="DC306" s="364" t="n"/>
      <c r="DD306" s="86" t="n">
        <v>867.4699499999999</v>
      </c>
      <c r="DE306" s="258" t="n"/>
      <c r="DF306" s="258" t="n"/>
      <c r="DG306" s="365" t="n"/>
      <c r="DH306" s="365" t="n"/>
      <c r="DI306" s="365" t="n"/>
      <c r="DJ306" s="363" t="inlineStr">
        <is>
          <t>07</t>
        </is>
      </c>
      <c r="DK306" s="364" t="n"/>
      <c r="DL306" s="369" t="n">
        <v>323.35884</v>
      </c>
      <c r="DM306" s="365" t="n"/>
      <c r="DN306" s="365" t="n"/>
      <c r="DO306" s="365" t="n"/>
      <c r="DP306" s="365" t="n"/>
      <c r="DR306" s="363" t="inlineStr">
        <is>
          <t>07</t>
        </is>
      </c>
      <c r="DS306" s="364" t="n"/>
      <c r="DT306" s="86" t="n">
        <v>304.74326</v>
      </c>
      <c r="DU306" s="258" t="n"/>
      <c r="DV306" s="258" t="n"/>
      <c r="DW306" s="365" t="n"/>
      <c r="DX306" s="365" t="n"/>
      <c r="DZ306" s="363" t="inlineStr">
        <is>
          <t>07</t>
        </is>
      </c>
      <c r="EA306" s="364" t="n"/>
      <c r="EB306" s="86" t="n"/>
      <c r="EC306" s="258" t="n"/>
      <c r="ED306" s="258" t="n"/>
      <c r="EE306" s="365" t="n"/>
      <c r="EF306" s="365" t="n"/>
    </row>
    <row r="307" customFormat="1" s="363">
      <c r="B307" s="363" t="inlineStr">
        <is>
          <t>08</t>
        </is>
      </c>
      <c r="C307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7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07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07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07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07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07" s="365" t="n"/>
      <c r="J307" s="363" t="inlineStr">
        <is>
          <t>08</t>
        </is>
      </c>
      <c r="K307" s="364" t="n"/>
      <c r="L307" s="369" t="n">
        <v>355.84032</v>
      </c>
      <c r="M307" s="365" t="n">
        <v>1249.15771</v>
      </c>
      <c r="N307" s="365" t="n">
        <v>1686.88967</v>
      </c>
      <c r="O307" s="365" t="n">
        <v>827</v>
      </c>
      <c r="P307" s="365" t="n">
        <v>630</v>
      </c>
      <c r="R307" s="363" t="inlineStr">
        <is>
          <t>08</t>
        </is>
      </c>
      <c r="S307" s="364" t="n"/>
      <c r="T307" s="86" t="n">
        <v>146.949</v>
      </c>
      <c r="U307" s="258" t="n">
        <v>253.95979</v>
      </c>
      <c r="V307" s="258" t="n">
        <v>573.86277</v>
      </c>
      <c r="W307" s="365" t="n">
        <v>541</v>
      </c>
      <c r="X307" s="365" t="n">
        <v>369</v>
      </c>
      <c r="Z307" s="363" t="inlineStr">
        <is>
          <t>08</t>
        </is>
      </c>
      <c r="AA307" s="364" t="n"/>
      <c r="AB307" s="86" t="n">
        <v>287.5845</v>
      </c>
      <c r="AC307" s="258" t="n">
        <v>732.8866700000001</v>
      </c>
      <c r="AD307" s="258" t="n">
        <v>1032.49181</v>
      </c>
      <c r="AE307" s="365" t="n">
        <v>616</v>
      </c>
      <c r="AF307" s="365" t="n">
        <v>368</v>
      </c>
      <c r="AH307" s="363" t="inlineStr">
        <is>
          <t>08</t>
        </is>
      </c>
      <c r="AI307" s="364" t="n"/>
      <c r="AJ307" s="86" t="n">
        <v>336.54646</v>
      </c>
      <c r="AK307" s="258" t="n">
        <v>786.39779</v>
      </c>
      <c r="AL307" s="258" t="n">
        <v>1032.49181</v>
      </c>
      <c r="AM307" s="365" t="n">
        <v>1020</v>
      </c>
      <c r="AN307" s="365" t="n">
        <v>689</v>
      </c>
      <c r="AP307" s="363" t="inlineStr">
        <is>
          <t>08</t>
        </is>
      </c>
      <c r="AQ307" s="364" t="n"/>
      <c r="AR307" s="86" t="n">
        <v>506.68974</v>
      </c>
      <c r="AS307" s="258" t="n">
        <v>940.712</v>
      </c>
      <c r="AT307" s="258" t="n">
        <v>936.2106700000001</v>
      </c>
      <c r="AU307" s="365" t="n">
        <v>727</v>
      </c>
      <c r="AV307" s="365" t="n"/>
      <c r="AX307" s="363" t="inlineStr">
        <is>
          <t>08</t>
        </is>
      </c>
      <c r="AY307" s="364" t="n"/>
      <c r="AZ307" s="364" t="n">
        <v>258.71767</v>
      </c>
      <c r="BA307" s="86" t="n">
        <v>342.49282</v>
      </c>
      <c r="BB307" s="258" t="n">
        <v>394.016</v>
      </c>
      <c r="BC307" s="258" t="n">
        <v>349.67687</v>
      </c>
      <c r="BD307" s="365" t="n"/>
      <c r="BE307" s="365" t="n"/>
      <c r="BF307" s="363" t="inlineStr">
        <is>
          <t>08</t>
        </is>
      </c>
      <c r="BG307" s="364" t="n"/>
      <c r="BH307" s="86" t="n">
        <v>355.90846</v>
      </c>
      <c r="BI307" s="86" t="n">
        <v>732.39514</v>
      </c>
      <c r="BJ307" s="258" t="n">
        <v>575.454</v>
      </c>
      <c r="BK307" s="258" t="n"/>
      <c r="BL307" s="365" t="n"/>
      <c r="BM307" s="365" t="n"/>
      <c r="BN307" s="363" t="inlineStr">
        <is>
          <t>08</t>
        </is>
      </c>
      <c r="BO307" s="364" t="n"/>
      <c r="BP307" s="258" t="n">
        <v>369.67743</v>
      </c>
      <c r="BQ307" s="258" t="n">
        <v>825.08052</v>
      </c>
      <c r="BR307" s="258" t="n">
        <v>927.7096899999999</v>
      </c>
      <c r="BS307" s="365" t="n">
        <v>524.13239</v>
      </c>
      <c r="BT307" s="365" t="n">
        <v>285</v>
      </c>
      <c r="BV307" s="363" t="inlineStr">
        <is>
          <t>08</t>
        </is>
      </c>
      <c r="BW307" s="364" t="n"/>
      <c r="BX307" s="258" t="n">
        <v>630.11229</v>
      </c>
      <c r="BY307" s="258" t="n">
        <v>812.0696700000001</v>
      </c>
      <c r="BZ307" s="258" t="n">
        <v>904.9960199999999</v>
      </c>
      <c r="CA307" s="365" t="n">
        <v>606.98027</v>
      </c>
      <c r="CB307" s="365" t="n">
        <v>306</v>
      </c>
      <c r="CC307" s="365" t="n"/>
      <c r="CD307" s="363" t="inlineStr">
        <is>
          <t>08</t>
        </is>
      </c>
      <c r="CE307" s="364" t="n"/>
      <c r="CF307" s="365" t="n">
        <v>458.15371</v>
      </c>
      <c r="CG307" s="365" t="n">
        <v>848.06321</v>
      </c>
      <c r="CH307" s="365" t="n">
        <v>1119.13975</v>
      </c>
      <c r="CI307" s="365" t="n">
        <v>510.2517199999999</v>
      </c>
      <c r="CJ307" s="365" t="n">
        <v>537</v>
      </c>
      <c r="CL307" s="363" t="inlineStr">
        <is>
          <t>08</t>
        </is>
      </c>
      <c r="CM307" s="364" t="n"/>
      <c r="CN307" s="258" t="n">
        <v>590.9763</v>
      </c>
      <c r="CO307" s="258" t="n">
        <v>1446.37674</v>
      </c>
      <c r="CP307" s="258" t="n">
        <v>2035.74869</v>
      </c>
      <c r="CQ307" s="365" t="n">
        <v>821.6189600000001</v>
      </c>
      <c r="CR307" s="365" t="n">
        <v>532</v>
      </c>
      <c r="CT307" s="363" t="inlineStr">
        <is>
          <t>08</t>
        </is>
      </c>
      <c r="CU307" s="364" t="n"/>
      <c r="CV307" s="86" t="n">
        <v>611.1891499999999</v>
      </c>
      <c r="CW307" s="258" t="n"/>
      <c r="CX307" s="258" t="n"/>
      <c r="CY307" s="365" t="n"/>
      <c r="CZ307" s="365" t="n"/>
      <c r="DB307" s="363" t="inlineStr">
        <is>
          <t>08</t>
        </is>
      </c>
      <c r="DC307" s="364" t="n"/>
      <c r="DD307" s="86" t="n">
        <v>916.2462800000001</v>
      </c>
      <c r="DE307" s="258" t="n"/>
      <c r="DF307" s="258" t="n"/>
      <c r="DG307" s="365" t="n"/>
      <c r="DH307" s="365" t="n"/>
      <c r="DI307" s="365" t="n"/>
      <c r="DJ307" s="363" t="inlineStr">
        <is>
          <t>08</t>
        </is>
      </c>
      <c r="DK307" s="364" t="n"/>
      <c r="DL307" s="369" t="n">
        <v>324.9583</v>
      </c>
      <c r="DM307" s="365" t="n"/>
      <c r="DN307" s="365" t="n"/>
      <c r="DO307" s="365" t="n"/>
      <c r="DP307" s="365" t="n"/>
      <c r="DR307" s="363" t="inlineStr">
        <is>
          <t>08</t>
        </is>
      </c>
      <c r="DS307" s="364" t="n"/>
      <c r="DT307" s="86" t="n">
        <v>308.27773</v>
      </c>
      <c r="DU307" s="258" t="n"/>
      <c r="DV307" s="258" t="n"/>
      <c r="DW307" s="365" t="n"/>
      <c r="DX307" s="365" t="n"/>
      <c r="DZ307" s="363" t="inlineStr">
        <is>
          <t>08</t>
        </is>
      </c>
      <c r="EA307" s="364" t="n"/>
      <c r="EB307" s="86" t="n">
        <v>831.77672</v>
      </c>
      <c r="EC307" s="258" t="n"/>
      <c r="ED307" s="258" t="n"/>
      <c r="EE307" s="365" t="n"/>
      <c r="EF307" s="365" t="n"/>
    </row>
    <row r="308" customFormat="1" s="363">
      <c r="B308" s="363" t="inlineStr">
        <is>
          <t>09</t>
        </is>
      </c>
      <c r="C308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8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08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08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08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08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08" s="365" t="n"/>
      <c r="J308" s="363" t="inlineStr">
        <is>
          <t>09</t>
        </is>
      </c>
      <c r="K308" s="364" t="n"/>
      <c r="L308" s="369" t="n">
        <v>285.84358</v>
      </c>
      <c r="M308" s="365" t="n">
        <v>1264.30088</v>
      </c>
      <c r="N308" s="365" t="n">
        <v>1691.91923</v>
      </c>
      <c r="O308" s="365" t="n">
        <v>815</v>
      </c>
      <c r="P308" s="365" t="n">
        <v>412</v>
      </c>
      <c r="R308" s="363" t="inlineStr">
        <is>
          <t>09</t>
        </is>
      </c>
      <c r="S308" s="364" t="n"/>
      <c r="T308" s="86" t="n">
        <v>106.50504</v>
      </c>
      <c r="U308" s="258" t="n">
        <v>231.67424</v>
      </c>
      <c r="V308" s="258" t="n">
        <v>488.87602</v>
      </c>
      <c r="W308" s="365" t="n">
        <v>464</v>
      </c>
      <c r="X308" s="365" t="n">
        <v>333</v>
      </c>
      <c r="Z308" s="363" t="inlineStr">
        <is>
          <t>09</t>
        </is>
      </c>
      <c r="AA308" s="364" t="n"/>
      <c r="AB308" s="86" t="n">
        <v>287.72989</v>
      </c>
      <c r="AC308" s="258" t="n">
        <v>762.2320099999999</v>
      </c>
      <c r="AD308" s="258" t="n">
        <v>944.79464</v>
      </c>
      <c r="AE308" s="365" t="n">
        <v>636</v>
      </c>
      <c r="AF308" s="365" t="n">
        <v>379</v>
      </c>
      <c r="AH308" s="363" t="inlineStr">
        <is>
          <t>09</t>
        </is>
      </c>
      <c r="AI308" s="364" t="n"/>
      <c r="AJ308" s="86" t="n">
        <v>283.48893</v>
      </c>
      <c r="AK308" s="258" t="n">
        <v>784.50844</v>
      </c>
      <c r="AL308" s="258" t="n">
        <v>917.7340499999999</v>
      </c>
      <c r="AM308" s="365" t="n">
        <v>966</v>
      </c>
      <c r="AN308" s="365" t="n">
        <v>245</v>
      </c>
      <c r="AP308" s="363" t="inlineStr">
        <is>
          <t>09</t>
        </is>
      </c>
      <c r="AQ308" s="364" t="n"/>
      <c r="AR308" s="86" t="n">
        <v>399.90509</v>
      </c>
      <c r="AS308" s="258" t="n">
        <v>933.78731</v>
      </c>
      <c r="AT308" s="258" t="n">
        <v>920.26686</v>
      </c>
      <c r="AU308" s="365" t="n">
        <v>572</v>
      </c>
      <c r="AV308" s="365" t="n"/>
      <c r="AX308" s="363" t="inlineStr">
        <is>
          <t>09</t>
        </is>
      </c>
      <c r="AY308" s="364" t="n"/>
      <c r="AZ308" s="364" t="n">
        <v>217.81973</v>
      </c>
      <c r="BA308" s="86" t="n">
        <v>323.6723</v>
      </c>
      <c r="BB308" s="258" t="n">
        <v>278.09849</v>
      </c>
      <c r="BC308" s="258" t="n">
        <v>228.44411</v>
      </c>
      <c r="BD308" s="365" t="n"/>
      <c r="BE308" s="365" t="n"/>
      <c r="BF308" s="363" t="inlineStr">
        <is>
          <t>09</t>
        </is>
      </c>
      <c r="BG308" s="364" t="n"/>
      <c r="BH308" s="86" t="n">
        <v>256.25178</v>
      </c>
      <c r="BI308" s="86" t="n">
        <v>633.9779100000001</v>
      </c>
      <c r="BJ308" s="258" t="n">
        <v>379.411</v>
      </c>
      <c r="BK308" s="258" t="n"/>
      <c r="BL308" s="365" t="n"/>
      <c r="BM308" s="365" t="n"/>
      <c r="BN308" s="363" t="inlineStr">
        <is>
          <t>09</t>
        </is>
      </c>
      <c r="BO308" s="364" t="n"/>
      <c r="BP308" s="258" t="n">
        <v>353.85082</v>
      </c>
      <c r="BQ308" s="258" t="n">
        <v>805.1846999999999</v>
      </c>
      <c r="BR308" s="258" t="n">
        <v>891.00771</v>
      </c>
      <c r="BS308" s="365" t="n">
        <v>502.76958</v>
      </c>
      <c r="BT308" s="365" t="n">
        <v>287</v>
      </c>
      <c r="BV308" s="363" t="inlineStr">
        <is>
          <t>09</t>
        </is>
      </c>
      <c r="BW308" s="364" t="n"/>
      <c r="BX308" s="258" t="n">
        <v>506.89931</v>
      </c>
      <c r="BY308" s="258" t="n">
        <v>646.1735699999999</v>
      </c>
      <c r="BZ308" s="258" t="n">
        <v>844.3041900000001</v>
      </c>
      <c r="CA308" s="365" t="n">
        <v>420.86144</v>
      </c>
      <c r="CB308" s="365" t="n">
        <v>234</v>
      </c>
      <c r="CC308" s="365" t="n"/>
      <c r="CD308" s="363" t="inlineStr">
        <is>
          <t>09</t>
        </is>
      </c>
      <c r="CE308" s="364" t="n"/>
      <c r="CF308" s="365" t="n">
        <v>239.44982</v>
      </c>
      <c r="CG308" s="365" t="n">
        <v>680.69506</v>
      </c>
      <c r="CH308" s="365" t="n">
        <v>927.8064299999987</v>
      </c>
      <c r="CI308" s="365" t="n">
        <v>597.7918500000001</v>
      </c>
      <c r="CJ308" s="365" t="n">
        <v>388</v>
      </c>
      <c r="CL308" s="363" t="inlineStr">
        <is>
          <t>09</t>
        </is>
      </c>
      <c r="CM308" s="364" t="n"/>
      <c r="CN308" s="258" t="n">
        <v>580.35199</v>
      </c>
      <c r="CO308" s="258" t="n">
        <v>1438.43303</v>
      </c>
      <c r="CP308" s="258" t="n">
        <v>1996.7143</v>
      </c>
      <c r="CQ308" s="365" t="n">
        <v>692.97779</v>
      </c>
      <c r="CR308" s="365" t="n">
        <v>294</v>
      </c>
      <c r="CT308" s="363" t="inlineStr">
        <is>
          <t>09</t>
        </is>
      </c>
      <c r="CU308" s="364" t="n"/>
      <c r="CV308" s="86" t="n">
        <v>576.8691600000001</v>
      </c>
      <c r="CW308" s="258" t="n"/>
      <c r="CX308" s="258" t="n"/>
      <c r="CY308" s="365" t="n"/>
      <c r="CZ308" s="365" t="n"/>
      <c r="DB308" s="363" t="inlineStr">
        <is>
          <t>09</t>
        </is>
      </c>
      <c r="DC308" s="364" t="n"/>
      <c r="DD308" s="86" t="n">
        <v>852.6068200000001</v>
      </c>
      <c r="DE308" s="258" t="n"/>
      <c r="DF308" s="258" t="n"/>
      <c r="DG308" s="365" t="n"/>
      <c r="DH308" s="365" t="n"/>
      <c r="DI308" s="365" t="n"/>
      <c r="DJ308" s="363" t="inlineStr">
        <is>
          <t>09</t>
        </is>
      </c>
      <c r="DK308" s="364" t="n"/>
      <c r="DL308" s="369" t="n">
        <v>324.4833599999999</v>
      </c>
      <c r="DM308" s="365" t="n"/>
      <c r="DN308" s="365" t="n"/>
      <c r="DO308" s="365" t="n"/>
      <c r="DP308" s="365" t="n"/>
      <c r="DR308" s="363" t="inlineStr">
        <is>
          <t>09</t>
        </is>
      </c>
      <c r="DS308" s="364" t="n"/>
      <c r="DT308" s="86" t="n">
        <v>307.85193</v>
      </c>
      <c r="DU308" s="258" t="n"/>
      <c r="DV308" s="258" t="n"/>
      <c r="DW308" s="365" t="n"/>
      <c r="DX308" s="365" t="n"/>
      <c r="DZ308" s="363" t="inlineStr">
        <is>
          <t>09</t>
        </is>
      </c>
      <c r="EA308" s="364" t="n"/>
      <c r="EB308" s="86" t="n">
        <v>57.39240000000001</v>
      </c>
      <c r="EC308" s="258" t="n"/>
      <c r="ED308" s="258" t="n"/>
      <c r="EE308" s="365" t="n"/>
      <c r="EF308" s="365" t="n"/>
    </row>
    <row r="309" customFormat="1" s="363">
      <c r="B309" s="363" t="inlineStr">
        <is>
          <t>10</t>
        </is>
      </c>
      <c r="C309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9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09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09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09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09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09" s="365" t="n"/>
      <c r="J309" s="363" t="inlineStr">
        <is>
          <t>10</t>
        </is>
      </c>
      <c r="K309" s="364" t="n"/>
      <c r="L309" s="366" t="n">
        <v>304.5362229999999</v>
      </c>
      <c r="M309" s="367" t="n">
        <v>860.94523</v>
      </c>
      <c r="N309" s="367" t="n">
        <v>1735.76945</v>
      </c>
      <c r="O309" s="365" t="n">
        <v>905</v>
      </c>
      <c r="P309" s="365" t="n">
        <v>364</v>
      </c>
      <c r="R309" s="363" t="inlineStr">
        <is>
          <t>10</t>
        </is>
      </c>
      <c r="S309" s="364" t="n"/>
      <c r="T309" s="284" t="n">
        <v>121.2528</v>
      </c>
      <c r="U309" s="87" t="n">
        <v>165.08715</v>
      </c>
      <c r="V309" s="87" t="n">
        <v>513.35231</v>
      </c>
      <c r="W309" s="365" t="n">
        <v>501</v>
      </c>
      <c r="X309" s="365" t="n">
        <v>303</v>
      </c>
      <c r="Z309" s="363" t="inlineStr">
        <is>
          <t>10</t>
        </is>
      </c>
      <c r="AA309" s="364" t="n"/>
      <c r="AB309" s="284" t="n">
        <v>305.34515</v>
      </c>
      <c r="AC309" s="87" t="n">
        <v>657.97261</v>
      </c>
      <c r="AD309" s="87" t="n">
        <v>1017.32042</v>
      </c>
      <c r="AE309" s="365" t="n">
        <v>734</v>
      </c>
      <c r="AF309" s="365" t="n">
        <v>346</v>
      </c>
      <c r="AH309" s="363" t="inlineStr">
        <is>
          <t>10</t>
        </is>
      </c>
      <c r="AI309" s="364" t="n"/>
      <c r="AJ309" s="284" t="n">
        <v>271.27364</v>
      </c>
      <c r="AK309" s="87" t="n">
        <v>824.2941999999999</v>
      </c>
      <c r="AL309" s="87" t="n">
        <v>959.25068</v>
      </c>
      <c r="AM309" s="365" t="n">
        <v>1079</v>
      </c>
      <c r="AN309" s="365" t="n">
        <v>296</v>
      </c>
      <c r="AP309" s="363" t="inlineStr">
        <is>
          <t>10</t>
        </is>
      </c>
      <c r="AQ309" s="364" t="n"/>
      <c r="AR309" s="284" t="n">
        <v>497.6453</v>
      </c>
      <c r="AS309" s="87" t="n">
        <v>914.901</v>
      </c>
      <c r="AT309" s="87" t="n">
        <v>990.28841</v>
      </c>
      <c r="AU309" s="365" t="n">
        <v>1186</v>
      </c>
      <c r="AV309" s="365" t="n"/>
      <c r="AX309" s="363" t="inlineStr">
        <is>
          <t>10</t>
        </is>
      </c>
      <c r="AY309" s="364" t="n"/>
      <c r="AZ309" s="364" t="n">
        <v>226.48397</v>
      </c>
      <c r="BA309" s="284" t="n">
        <v>356.55744</v>
      </c>
      <c r="BB309" s="87" t="n">
        <v>247.90257</v>
      </c>
      <c r="BC309" s="87" t="n">
        <v>311.29969</v>
      </c>
      <c r="BD309" s="365" t="n"/>
      <c r="BE309" s="365" t="n"/>
      <c r="BF309" s="363" t="inlineStr">
        <is>
          <t>10</t>
        </is>
      </c>
      <c r="BG309" s="364" t="n"/>
      <c r="BH309" s="284" t="n">
        <v>303.75915</v>
      </c>
      <c r="BI309" s="284" t="n">
        <v>449.56159</v>
      </c>
      <c r="BJ309" s="87" t="n">
        <v>482.877</v>
      </c>
      <c r="BK309" s="87" t="n"/>
      <c r="BL309" s="365" t="n"/>
      <c r="BM309" s="365" t="n"/>
      <c r="BN309" s="363" t="inlineStr">
        <is>
          <t>10</t>
        </is>
      </c>
      <c r="BO309" s="364" t="n"/>
      <c r="BP309" s="87" t="n">
        <v>377.4351</v>
      </c>
      <c r="BQ309" s="87" t="n">
        <v>534.5351400000001</v>
      </c>
      <c r="BR309" s="87" t="n">
        <v>934.4314599999999</v>
      </c>
      <c r="BS309" s="365" t="n">
        <v>638</v>
      </c>
      <c r="BT309" s="365" t="n">
        <v>243</v>
      </c>
      <c r="BV309" s="363" t="inlineStr">
        <is>
          <t>10</t>
        </is>
      </c>
      <c r="BW309" s="364" t="n"/>
      <c r="BX309" s="87" t="n">
        <v>427.18948</v>
      </c>
      <c r="BY309" s="87" t="n">
        <v>678.15363</v>
      </c>
      <c r="BZ309" s="87" t="n">
        <v>743.33979</v>
      </c>
      <c r="CA309" s="365" t="n">
        <v>463</v>
      </c>
      <c r="CB309" s="365" t="n">
        <v>212</v>
      </c>
      <c r="CC309" s="365" t="n"/>
      <c r="CD309" s="363" t="inlineStr">
        <is>
          <t>10</t>
        </is>
      </c>
      <c r="CE309" s="364" t="n"/>
      <c r="CF309" s="367" t="n">
        <v>264.54668</v>
      </c>
      <c r="CG309" s="367" t="n">
        <v>664.4738100000001</v>
      </c>
      <c r="CH309" s="367" t="n">
        <v>881.7408100000011</v>
      </c>
      <c r="CI309" s="365" t="n">
        <v>680</v>
      </c>
      <c r="CJ309" s="365" t="n">
        <v>353</v>
      </c>
      <c r="CL309" s="363" t="inlineStr">
        <is>
          <t>10</t>
        </is>
      </c>
      <c r="CM309" s="364" t="n"/>
      <c r="CN309" s="87" t="n">
        <v>634.9358500000001</v>
      </c>
      <c r="CO309" s="87" t="n">
        <v>1080.98226</v>
      </c>
      <c r="CP309" s="87" t="n">
        <v>1934.09494</v>
      </c>
      <c r="CQ309" s="365" t="n">
        <v>818</v>
      </c>
      <c r="CR309" s="365" t="n">
        <v>196</v>
      </c>
      <c r="CT309" s="363" t="inlineStr">
        <is>
          <t>10</t>
        </is>
      </c>
      <c r="CU309" s="364" t="n"/>
      <c r="CV309" s="284" t="n">
        <v>603.5887300000001</v>
      </c>
      <c r="CW309" s="87" t="n"/>
      <c r="CX309" s="87" t="n"/>
      <c r="CY309" s="365" t="n"/>
      <c r="CZ309" s="365" t="n"/>
      <c r="DB309" s="363" t="inlineStr">
        <is>
          <t>10</t>
        </is>
      </c>
      <c r="DC309" s="364" t="n"/>
      <c r="DD309" s="284" t="n">
        <v>896.91777</v>
      </c>
      <c r="DE309" s="87" t="n"/>
      <c r="DF309" s="87" t="n"/>
      <c r="DG309" s="365" t="n"/>
      <c r="DH309" s="365" t="n"/>
      <c r="DI309" s="365" t="n"/>
      <c r="DJ309" s="363" t="inlineStr">
        <is>
          <t>10</t>
        </is>
      </c>
      <c r="DK309" s="364" t="n"/>
      <c r="DL309" s="366" t="n">
        <v>282.28847</v>
      </c>
      <c r="DM309" s="367" t="n"/>
      <c r="DN309" s="367" t="n"/>
      <c r="DO309" s="365" t="n"/>
      <c r="DP309" s="365" t="n"/>
      <c r="DR309" s="363" t="inlineStr">
        <is>
          <t>10</t>
        </is>
      </c>
      <c r="DS309" s="364" t="n"/>
      <c r="DT309" s="284" t="n">
        <v>298.95259</v>
      </c>
      <c r="DU309" s="87" t="n"/>
      <c r="DV309" s="87" t="n"/>
      <c r="DW309" s="365" t="n"/>
      <c r="DX309" s="365" t="n"/>
      <c r="DZ309" s="363" t="inlineStr">
        <is>
          <t>10</t>
        </is>
      </c>
      <c r="EA309" s="364" t="n"/>
      <c r="EB309" s="284" t="n">
        <v>75.90831</v>
      </c>
      <c r="EC309" s="87" t="n"/>
      <c r="ED309" s="87" t="n"/>
      <c r="EE309" s="365" t="n"/>
      <c r="EF309" s="365" t="n"/>
    </row>
    <row r="310" customFormat="1" s="363">
      <c r="B310" s="363" t="inlineStr">
        <is>
          <t>11</t>
        </is>
      </c>
      <c r="C310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10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10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10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10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10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10" s="365" t="n"/>
      <c r="J310" s="363" t="inlineStr">
        <is>
          <t>11</t>
        </is>
      </c>
      <c r="K310" s="364" t="n"/>
      <c r="L310" s="366" t="n">
        <v>354.19604</v>
      </c>
      <c r="M310" s="367" t="n">
        <v>860.9979599999999</v>
      </c>
      <c r="N310" s="367" t="n">
        <v>1658.922</v>
      </c>
      <c r="O310" s="365" t="n">
        <v>802.99441</v>
      </c>
      <c r="P310" s="365" t="n">
        <v>271.92594</v>
      </c>
      <c r="R310" s="363" t="inlineStr">
        <is>
          <t>11</t>
        </is>
      </c>
      <c r="S310" s="364" t="n"/>
      <c r="T310" s="284" t="n">
        <v>96.72565999999999</v>
      </c>
      <c r="U310" s="87" t="n">
        <v>138.24355</v>
      </c>
      <c r="V310" s="87" t="n">
        <v>490.968</v>
      </c>
      <c r="W310" s="365" t="n">
        <v>368.10215</v>
      </c>
      <c r="X310" s="365" t="n">
        <v>231.51462</v>
      </c>
      <c r="Z310" s="363" t="inlineStr">
        <is>
          <t>11</t>
        </is>
      </c>
      <c r="AA310" s="364" t="n"/>
      <c r="AB310" s="284" t="n">
        <v>381.8731</v>
      </c>
      <c r="AC310" s="87" t="n">
        <v>652.2341</v>
      </c>
      <c r="AD310" s="87" t="n">
        <v>966.157</v>
      </c>
      <c r="AE310" s="365" t="n">
        <v>741.73961</v>
      </c>
      <c r="AF310" s="365" t="n">
        <v>238.62563</v>
      </c>
      <c r="AH310" s="363" t="inlineStr">
        <is>
          <t>11</t>
        </is>
      </c>
      <c r="AI310" s="364" t="n"/>
      <c r="AJ310" s="284" t="n">
        <v>316.56866</v>
      </c>
      <c r="AK310" s="87" t="n">
        <v>857.5639</v>
      </c>
      <c r="AL310" s="87" t="n">
        <v>958.223</v>
      </c>
      <c r="AM310" s="365" t="n">
        <v>977.8011299999999</v>
      </c>
      <c r="AN310" s="365" t="n">
        <v>255.88078</v>
      </c>
      <c r="AP310" s="363" t="inlineStr">
        <is>
          <t>11</t>
        </is>
      </c>
      <c r="AQ310" s="364" t="n"/>
      <c r="AR310" s="284" t="n">
        <v>559.47042</v>
      </c>
      <c r="AS310" s="87" t="n">
        <v>920.13693</v>
      </c>
      <c r="AT310" s="87" t="n">
        <v>973.345</v>
      </c>
      <c r="AU310" s="365" t="n">
        <v>847.50014</v>
      </c>
      <c r="AV310" s="365" t="n"/>
      <c r="AX310" s="363" t="inlineStr">
        <is>
          <t>11</t>
        </is>
      </c>
      <c r="AY310" s="364" t="n"/>
      <c r="AZ310" s="364" t="n">
        <v>141.76748</v>
      </c>
      <c r="BA310" s="284" t="n">
        <v>378.95601</v>
      </c>
      <c r="BB310" s="87" t="n">
        <v>236.263</v>
      </c>
      <c r="BC310" s="87" t="n">
        <v>204.9612</v>
      </c>
      <c r="BD310" s="365" t="n"/>
      <c r="BE310" s="365" t="n"/>
      <c r="BF310" s="363" t="inlineStr">
        <is>
          <t>11</t>
        </is>
      </c>
      <c r="BG310" s="364" t="n"/>
      <c r="BH310" s="284" t="n">
        <v>297.68572</v>
      </c>
      <c r="BI310" s="284" t="n">
        <v>475.50046</v>
      </c>
      <c r="BJ310" s="87" t="n">
        <v>376.866</v>
      </c>
      <c r="BK310" s="87" t="n"/>
      <c r="BL310" s="365" t="n"/>
      <c r="BM310" s="365" t="n"/>
      <c r="BN310" s="363" t="inlineStr">
        <is>
          <t>11</t>
        </is>
      </c>
      <c r="BO310" s="364" t="n"/>
      <c r="BP310" s="87" t="n">
        <v>448.4164</v>
      </c>
      <c r="BQ310" s="87" t="n">
        <v>536.90354</v>
      </c>
      <c r="BR310" s="87" t="n">
        <v>728</v>
      </c>
      <c r="BS310" s="365" t="n">
        <v>615.74662</v>
      </c>
      <c r="BT310" s="365" t="n">
        <v>74</v>
      </c>
      <c r="BV310" s="363" t="inlineStr">
        <is>
          <t>11</t>
        </is>
      </c>
      <c r="BW310" s="364" t="n"/>
      <c r="BX310" s="87" t="n">
        <v>443.39939</v>
      </c>
      <c r="BY310" s="87" t="n">
        <v>676.12009</v>
      </c>
      <c r="BZ310" s="87" t="n">
        <v>713</v>
      </c>
      <c r="CA310" s="365" t="n">
        <v>334.642</v>
      </c>
      <c r="CB310" s="365" t="n">
        <v>134</v>
      </c>
      <c r="CC310" s="365" t="n"/>
      <c r="CD310" s="363" t="inlineStr">
        <is>
          <t>11</t>
        </is>
      </c>
      <c r="CE310" s="364" t="n"/>
      <c r="CF310" s="367" t="n">
        <v>244.89059</v>
      </c>
      <c r="CG310" s="367" t="n">
        <v>629.75261</v>
      </c>
      <c r="CH310" s="367" t="n">
        <v>809</v>
      </c>
      <c r="CI310" s="365" t="n">
        <v>529.8356</v>
      </c>
      <c r="CJ310" s="365" t="n">
        <v>142</v>
      </c>
      <c r="CL310" s="363" t="inlineStr">
        <is>
          <t>11</t>
        </is>
      </c>
      <c r="CM310" s="364" t="n"/>
      <c r="CN310" s="87" t="n">
        <v>717.7333</v>
      </c>
      <c r="CO310" s="87" t="n">
        <v>1151.47552</v>
      </c>
      <c r="CP310" s="87" t="n">
        <v>1943</v>
      </c>
      <c r="CQ310" s="365" t="n">
        <v>847.07927</v>
      </c>
      <c r="CR310" s="365" t="n">
        <v>164</v>
      </c>
      <c r="CT310" s="363" t="inlineStr">
        <is>
          <t>11</t>
        </is>
      </c>
      <c r="CU310" s="364" t="n"/>
      <c r="CV310" s="284" t="n">
        <v>666.88572</v>
      </c>
      <c r="CW310" s="87" t="n"/>
      <c r="CX310" s="87" t="n"/>
      <c r="CY310" s="365" t="n"/>
      <c r="CZ310" s="365" t="n"/>
      <c r="DB310" s="363" t="inlineStr">
        <is>
          <t>11</t>
        </is>
      </c>
      <c r="DC310" s="364" t="n"/>
      <c r="DD310" s="284" t="n">
        <v>978.0925000000001</v>
      </c>
      <c r="DE310" s="87" t="n"/>
      <c r="DF310" s="87" t="n"/>
      <c r="DG310" s="365" t="n"/>
      <c r="DH310" s="365" t="n"/>
      <c r="DI310" s="365" t="n"/>
      <c r="DJ310" s="363" t="inlineStr">
        <is>
          <t>11</t>
        </is>
      </c>
      <c r="DK310" s="364" t="n"/>
      <c r="DL310" s="366" t="n">
        <v>327.85121</v>
      </c>
      <c r="DM310" s="367" t="n"/>
      <c r="DN310" s="367" t="n"/>
      <c r="DO310" s="365" t="n"/>
      <c r="DP310" s="365" t="n"/>
      <c r="DR310" s="363" t="inlineStr">
        <is>
          <t>11</t>
        </is>
      </c>
      <c r="DS310" s="364" t="n"/>
      <c r="DT310" s="284" t="n">
        <v>337.04999</v>
      </c>
      <c r="DU310" s="87" t="n"/>
      <c r="DV310" s="87" t="n"/>
      <c r="DW310" s="365" t="n"/>
      <c r="DX310" s="365" t="n"/>
      <c r="DZ310" s="363" t="inlineStr">
        <is>
          <t>11</t>
        </is>
      </c>
      <c r="EA310" s="364" t="n"/>
      <c r="EB310" s="284" t="n">
        <v>104.37132</v>
      </c>
      <c r="EC310" s="87" t="n"/>
      <c r="ED310" s="87" t="n"/>
      <c r="EE310" s="365" t="n"/>
      <c r="EF310" s="365" t="n"/>
    </row>
    <row r="311" customFormat="1" s="363">
      <c r="B311" s="363" t="inlineStr">
        <is>
          <t>12</t>
        </is>
      </c>
      <c r="C311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11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11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11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11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11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11" s="365" t="n"/>
      <c r="J311" s="363" t="inlineStr">
        <is>
          <t>12</t>
        </is>
      </c>
      <c r="K311" s="364" t="n"/>
      <c r="L311" s="366" t="n">
        <v>260.85359</v>
      </c>
      <c r="M311" s="367" t="n">
        <v>758.8946099999999</v>
      </c>
      <c r="N311" s="367" t="n">
        <v>1204.925</v>
      </c>
      <c r="O311" s="365" t="n">
        <v>1462</v>
      </c>
      <c r="P311" s="365" t="n">
        <v>167.46856</v>
      </c>
      <c r="R311" s="363" t="inlineStr">
        <is>
          <t>12</t>
        </is>
      </c>
      <c r="S311" s="364" t="n"/>
      <c r="T311" s="284" t="n">
        <v>70.09100000000001</v>
      </c>
      <c r="U311" s="87" t="n">
        <v>115.59205</v>
      </c>
      <c r="V311" s="87" t="n">
        <v>321.592</v>
      </c>
      <c r="W311" s="365" t="n">
        <v>429</v>
      </c>
      <c r="X311" s="365" t="n">
        <v>268.81485</v>
      </c>
      <c r="Z311" s="363" t="inlineStr">
        <is>
          <t>12</t>
        </is>
      </c>
      <c r="AA311" s="364" t="n"/>
      <c r="AB311" s="284" t="n">
        <v>315.80176</v>
      </c>
      <c r="AC311" s="87" t="n">
        <v>631.24454</v>
      </c>
      <c r="AD311" s="87" t="n">
        <v>776.0269999999999</v>
      </c>
      <c r="AE311" s="365" t="n">
        <v>744</v>
      </c>
      <c r="AF311" s="365" t="n">
        <v>132</v>
      </c>
      <c r="AH311" s="363" t="inlineStr">
        <is>
          <t>12</t>
        </is>
      </c>
      <c r="AI311" s="364" t="n"/>
      <c r="AJ311" s="284" t="n">
        <v>331.01372</v>
      </c>
      <c r="AK311" s="87" t="n">
        <v>803.5659300000001</v>
      </c>
      <c r="AL311" s="87" t="n">
        <v>559.413</v>
      </c>
      <c r="AM311" s="365" t="n">
        <v>874</v>
      </c>
      <c r="AN311" s="365" t="n">
        <v>206.49843</v>
      </c>
      <c r="AP311" s="363" t="inlineStr">
        <is>
          <t>12</t>
        </is>
      </c>
      <c r="AQ311" s="364" t="n"/>
      <c r="AR311" s="284" t="n">
        <v>428.34729</v>
      </c>
      <c r="AS311" s="87" t="n">
        <v>991.4049100000001</v>
      </c>
      <c r="AT311" s="87" t="n">
        <v>780.855</v>
      </c>
      <c r="AU311" s="365" t="n">
        <v>1036</v>
      </c>
      <c r="AV311" s="365" t="n"/>
      <c r="AX311" s="363" t="inlineStr">
        <is>
          <t>12</t>
        </is>
      </c>
      <c r="AY311" s="364" t="n"/>
      <c r="AZ311" s="364" t="n">
        <v>110.35288</v>
      </c>
      <c r="BA311" s="284" t="n">
        <v>372.806</v>
      </c>
      <c r="BB311" s="87" t="n">
        <v>213.5</v>
      </c>
      <c r="BC311" s="87" t="n">
        <v>284</v>
      </c>
      <c r="BD311" s="365" t="n"/>
      <c r="BE311" s="365" t="n"/>
      <c r="BF311" s="363" t="inlineStr">
        <is>
          <t>12</t>
        </is>
      </c>
      <c r="BG311" s="364" t="n"/>
      <c r="BH311" s="284" t="n">
        <v>283.494</v>
      </c>
      <c r="BI311" s="284" t="n">
        <v>437.49682</v>
      </c>
      <c r="BJ311" s="87" t="n">
        <v>403.462</v>
      </c>
      <c r="BK311" s="87" t="n"/>
      <c r="BL311" s="365" t="n"/>
      <c r="BM311" s="365" t="n"/>
      <c r="BN311" s="363" t="inlineStr">
        <is>
          <t>12</t>
        </is>
      </c>
      <c r="BO311" s="364" t="n"/>
      <c r="BP311" s="87" t="n">
        <v>422.92905</v>
      </c>
      <c r="BQ311" s="87" t="n">
        <v>538.26024</v>
      </c>
      <c r="BR311" s="87" t="n">
        <v>599</v>
      </c>
      <c r="BS311" s="365" t="n">
        <v>726.481</v>
      </c>
      <c r="BT311" s="365" t="n">
        <v>64</v>
      </c>
      <c r="BV311" s="363" t="inlineStr">
        <is>
          <t>12</t>
        </is>
      </c>
      <c r="BW311" s="364" t="n"/>
      <c r="BX311" s="87" t="n">
        <v>393.1010199999999</v>
      </c>
      <c r="BY311" s="87" t="n">
        <v>582.03388</v>
      </c>
      <c r="BZ311" s="87" t="n">
        <v>403</v>
      </c>
      <c r="CA311" s="365" t="n">
        <v>555.11</v>
      </c>
      <c r="CB311" s="365" t="n">
        <v>97</v>
      </c>
      <c r="CC311" s="365" t="n"/>
      <c r="CD311" s="363" t="inlineStr">
        <is>
          <t>12</t>
        </is>
      </c>
      <c r="CE311" s="364" t="n"/>
      <c r="CF311" s="367" t="n">
        <v>306.6519</v>
      </c>
      <c r="CG311" s="367" t="n">
        <v>743.0896799999999</v>
      </c>
      <c r="CH311" s="367" t="n">
        <v>530</v>
      </c>
      <c r="CI311" s="365" t="n">
        <v>827.336</v>
      </c>
      <c r="CJ311" s="365" t="n">
        <v>97</v>
      </c>
      <c r="CL311" s="363" t="inlineStr">
        <is>
          <t>12</t>
        </is>
      </c>
      <c r="CM311" s="364" t="n"/>
      <c r="CN311" s="87" t="n">
        <v>635.6760099999999</v>
      </c>
      <c r="CO311" s="87" t="n">
        <v>941.84775</v>
      </c>
      <c r="CP311" s="87" t="n">
        <v>1845</v>
      </c>
      <c r="CQ311" s="365" t="n">
        <v>799</v>
      </c>
      <c r="CR311" s="365" t="n">
        <v>125</v>
      </c>
      <c r="CT311" s="363" t="inlineStr">
        <is>
          <t>12</t>
        </is>
      </c>
      <c r="CU311" s="364" t="n"/>
      <c r="CV311" s="284" t="n">
        <v>663.2922699999999</v>
      </c>
      <c r="CW311" s="87" t="n"/>
      <c r="CX311" s="87" t="n"/>
      <c r="CY311" s="365" t="n"/>
      <c r="CZ311" s="365" t="n"/>
      <c r="DB311" s="363" t="inlineStr">
        <is>
          <t>12</t>
        </is>
      </c>
      <c r="DC311" s="364" t="n"/>
      <c r="DD311" s="284" t="n">
        <v>1032.51642</v>
      </c>
      <c r="DE311" s="87" t="n"/>
      <c r="DF311" s="87" t="n"/>
      <c r="DG311" s="365" t="n"/>
      <c r="DH311" s="365" t="n"/>
      <c r="DI311" s="365" t="n"/>
      <c r="DJ311" s="363" t="inlineStr">
        <is>
          <t>12</t>
        </is>
      </c>
      <c r="DK311" s="364" t="n"/>
      <c r="DL311" s="366" t="n">
        <v>336.31411</v>
      </c>
      <c r="DM311" s="367" t="n"/>
      <c r="DN311" s="367" t="n"/>
      <c r="DO311" s="365" t="n"/>
      <c r="DP311" s="365" t="n"/>
      <c r="DR311" s="363" t="inlineStr">
        <is>
          <t>12</t>
        </is>
      </c>
      <c r="DS311" s="364" t="n"/>
      <c r="DT311" s="284" t="n">
        <v>328.61597</v>
      </c>
      <c r="DU311" s="87" t="n"/>
      <c r="DV311" s="87" t="n"/>
      <c r="DW311" s="365" t="n"/>
      <c r="DX311" s="365" t="n"/>
      <c r="DZ311" s="363" t="inlineStr">
        <is>
          <t>12</t>
        </is>
      </c>
      <c r="EA311" s="364" t="n"/>
      <c r="EB311" s="284" t="n">
        <v>108.814289</v>
      </c>
      <c r="EC311" s="87" t="n"/>
      <c r="ED311" s="87" t="n"/>
      <c r="EE311" s="365" t="n"/>
      <c r="EF311" s="365" t="n"/>
    </row>
    <row r="314">
      <c r="C314" s="76" t="n"/>
      <c r="D314" s="76" t="n"/>
      <c r="E314" s="76" t="n"/>
      <c r="F314" s="76" t="n"/>
      <c r="G314" s="76" t="n"/>
    </row>
    <row r="315">
      <c r="C315" s="76" t="n"/>
      <c r="D315" s="76" t="n"/>
      <c r="E315" s="76" t="n"/>
      <c r="F315" s="76" t="n"/>
      <c r="G315" s="76" t="n"/>
    </row>
  </sheetData>
  <mergeCells count="19">
    <mergeCell ref="A187:A199"/>
    <mergeCell ref="A11:A23"/>
    <mergeCell ref="A283:A295"/>
    <mergeCell ref="A75:A87"/>
    <mergeCell ref="A27:A39"/>
    <mergeCell ref="A267:A279"/>
    <mergeCell ref="A139:A151"/>
    <mergeCell ref="A235:A247"/>
    <mergeCell ref="A251:A263"/>
    <mergeCell ref="A203:A215"/>
    <mergeCell ref="A219:A231"/>
    <mergeCell ref="A171:A183"/>
    <mergeCell ref="A91:A103"/>
    <mergeCell ref="A43:A55"/>
    <mergeCell ref="A299:A311"/>
    <mergeCell ref="A155:A167"/>
    <mergeCell ref="A59:A71"/>
    <mergeCell ref="A107:A119"/>
    <mergeCell ref="A123:A135"/>
  </mergeCells>
  <pageMargins left="0.7" right="0.7" top="0.75" bottom="0.75" header="0.3" footer="0.3"/>
  <pageSetup orientation="portrait" paperSize="9"/>
  <tableParts count="323">
    <tablePart xmlns:r="http://schemas.openxmlformats.org/officeDocument/2006/relationships" r:id="rId1"/>
    <tablePart xmlns:r="http://schemas.openxmlformats.org/officeDocument/2006/relationships" r:id="rId2"/>
    <tablePart xmlns:r="http://schemas.openxmlformats.org/officeDocument/2006/relationships" r:id="rId3"/>
    <tablePart xmlns:r="http://schemas.openxmlformats.org/officeDocument/2006/relationships" r:id="rId4"/>
    <tablePart xmlns:r="http://schemas.openxmlformats.org/officeDocument/2006/relationships" r:id="rId5"/>
    <tablePart xmlns:r="http://schemas.openxmlformats.org/officeDocument/2006/relationships" r:id="rId6"/>
    <tablePart xmlns:r="http://schemas.openxmlformats.org/officeDocument/2006/relationships" r:id="rId7"/>
    <tablePart xmlns:r="http://schemas.openxmlformats.org/officeDocument/2006/relationships" r:id="rId8"/>
    <tablePart xmlns:r="http://schemas.openxmlformats.org/officeDocument/2006/relationships" r:id="rId9"/>
    <tablePart xmlns:r="http://schemas.openxmlformats.org/officeDocument/2006/relationships" r:id="rId10"/>
    <tablePart xmlns:r="http://schemas.openxmlformats.org/officeDocument/2006/relationships" r:id="rId11"/>
    <tablePart xmlns:r="http://schemas.openxmlformats.org/officeDocument/2006/relationships" r:id="rId12"/>
    <tablePart xmlns:r="http://schemas.openxmlformats.org/officeDocument/2006/relationships" r:id="rId13"/>
    <tablePart xmlns:r="http://schemas.openxmlformats.org/officeDocument/2006/relationships" r:id="rId14"/>
    <tablePart xmlns:r="http://schemas.openxmlformats.org/officeDocument/2006/relationships" r:id="rId15"/>
    <tablePart xmlns:r="http://schemas.openxmlformats.org/officeDocument/2006/relationships" r:id="rId16"/>
    <tablePart xmlns:r="http://schemas.openxmlformats.org/officeDocument/2006/relationships" r:id="rId17"/>
    <tablePart xmlns:r="http://schemas.openxmlformats.org/officeDocument/2006/relationships" r:id="rId18"/>
    <tablePart xmlns:r="http://schemas.openxmlformats.org/officeDocument/2006/relationships" r:id="rId19"/>
    <tablePart xmlns:r="http://schemas.openxmlformats.org/officeDocument/2006/relationships" r:id="rId20"/>
    <tablePart xmlns:r="http://schemas.openxmlformats.org/officeDocument/2006/relationships" r:id="rId21"/>
    <tablePart xmlns:r="http://schemas.openxmlformats.org/officeDocument/2006/relationships" r:id="rId22"/>
    <tablePart xmlns:r="http://schemas.openxmlformats.org/officeDocument/2006/relationships" r:id="rId23"/>
    <tablePart xmlns:r="http://schemas.openxmlformats.org/officeDocument/2006/relationships" r:id="rId24"/>
    <tablePart xmlns:r="http://schemas.openxmlformats.org/officeDocument/2006/relationships" r:id="rId25"/>
    <tablePart xmlns:r="http://schemas.openxmlformats.org/officeDocument/2006/relationships" r:id="rId26"/>
    <tablePart xmlns:r="http://schemas.openxmlformats.org/officeDocument/2006/relationships" r:id="rId27"/>
    <tablePart xmlns:r="http://schemas.openxmlformats.org/officeDocument/2006/relationships" r:id="rId28"/>
    <tablePart xmlns:r="http://schemas.openxmlformats.org/officeDocument/2006/relationships" r:id="rId29"/>
    <tablePart xmlns:r="http://schemas.openxmlformats.org/officeDocument/2006/relationships" r:id="rId30"/>
    <tablePart xmlns:r="http://schemas.openxmlformats.org/officeDocument/2006/relationships" r:id="rId31"/>
    <tablePart xmlns:r="http://schemas.openxmlformats.org/officeDocument/2006/relationships" r:id="rId32"/>
    <tablePart xmlns:r="http://schemas.openxmlformats.org/officeDocument/2006/relationships" r:id="rId33"/>
    <tablePart xmlns:r="http://schemas.openxmlformats.org/officeDocument/2006/relationships" r:id="rId34"/>
    <tablePart xmlns:r="http://schemas.openxmlformats.org/officeDocument/2006/relationships" r:id="rId35"/>
    <tablePart xmlns:r="http://schemas.openxmlformats.org/officeDocument/2006/relationships" r:id="rId36"/>
    <tablePart xmlns:r="http://schemas.openxmlformats.org/officeDocument/2006/relationships" r:id="rId37"/>
    <tablePart xmlns:r="http://schemas.openxmlformats.org/officeDocument/2006/relationships" r:id="rId38"/>
    <tablePart xmlns:r="http://schemas.openxmlformats.org/officeDocument/2006/relationships" r:id="rId39"/>
    <tablePart xmlns:r="http://schemas.openxmlformats.org/officeDocument/2006/relationships" r:id="rId40"/>
    <tablePart xmlns:r="http://schemas.openxmlformats.org/officeDocument/2006/relationships" r:id="rId41"/>
    <tablePart xmlns:r="http://schemas.openxmlformats.org/officeDocument/2006/relationships" r:id="rId42"/>
    <tablePart xmlns:r="http://schemas.openxmlformats.org/officeDocument/2006/relationships" r:id="rId43"/>
    <tablePart xmlns:r="http://schemas.openxmlformats.org/officeDocument/2006/relationships" r:id="rId44"/>
    <tablePart xmlns:r="http://schemas.openxmlformats.org/officeDocument/2006/relationships" r:id="rId45"/>
    <tablePart xmlns:r="http://schemas.openxmlformats.org/officeDocument/2006/relationships" r:id="rId46"/>
    <tablePart xmlns:r="http://schemas.openxmlformats.org/officeDocument/2006/relationships" r:id="rId47"/>
    <tablePart xmlns:r="http://schemas.openxmlformats.org/officeDocument/2006/relationships" r:id="rId48"/>
    <tablePart xmlns:r="http://schemas.openxmlformats.org/officeDocument/2006/relationships" r:id="rId49"/>
    <tablePart xmlns:r="http://schemas.openxmlformats.org/officeDocument/2006/relationships" r:id="rId50"/>
    <tablePart xmlns:r="http://schemas.openxmlformats.org/officeDocument/2006/relationships" r:id="rId51"/>
    <tablePart xmlns:r="http://schemas.openxmlformats.org/officeDocument/2006/relationships" r:id="rId52"/>
    <tablePart xmlns:r="http://schemas.openxmlformats.org/officeDocument/2006/relationships" r:id="rId53"/>
    <tablePart xmlns:r="http://schemas.openxmlformats.org/officeDocument/2006/relationships" r:id="rId54"/>
    <tablePart xmlns:r="http://schemas.openxmlformats.org/officeDocument/2006/relationships" r:id="rId55"/>
    <tablePart xmlns:r="http://schemas.openxmlformats.org/officeDocument/2006/relationships" r:id="rId56"/>
    <tablePart xmlns:r="http://schemas.openxmlformats.org/officeDocument/2006/relationships" r:id="rId57"/>
    <tablePart xmlns:r="http://schemas.openxmlformats.org/officeDocument/2006/relationships" r:id="rId58"/>
    <tablePart xmlns:r="http://schemas.openxmlformats.org/officeDocument/2006/relationships" r:id="rId59"/>
    <tablePart xmlns:r="http://schemas.openxmlformats.org/officeDocument/2006/relationships" r:id="rId60"/>
    <tablePart xmlns:r="http://schemas.openxmlformats.org/officeDocument/2006/relationships" r:id="rId61"/>
    <tablePart xmlns:r="http://schemas.openxmlformats.org/officeDocument/2006/relationships" r:id="rId62"/>
    <tablePart xmlns:r="http://schemas.openxmlformats.org/officeDocument/2006/relationships" r:id="rId63"/>
    <tablePart xmlns:r="http://schemas.openxmlformats.org/officeDocument/2006/relationships" r:id="rId64"/>
    <tablePart xmlns:r="http://schemas.openxmlformats.org/officeDocument/2006/relationships" r:id="rId65"/>
    <tablePart xmlns:r="http://schemas.openxmlformats.org/officeDocument/2006/relationships" r:id="rId66"/>
    <tablePart xmlns:r="http://schemas.openxmlformats.org/officeDocument/2006/relationships" r:id="rId67"/>
    <tablePart xmlns:r="http://schemas.openxmlformats.org/officeDocument/2006/relationships" r:id="rId68"/>
    <tablePart xmlns:r="http://schemas.openxmlformats.org/officeDocument/2006/relationships" r:id="rId69"/>
    <tablePart xmlns:r="http://schemas.openxmlformats.org/officeDocument/2006/relationships" r:id="rId70"/>
    <tablePart xmlns:r="http://schemas.openxmlformats.org/officeDocument/2006/relationships" r:id="rId71"/>
    <tablePart xmlns:r="http://schemas.openxmlformats.org/officeDocument/2006/relationships" r:id="rId72"/>
    <tablePart xmlns:r="http://schemas.openxmlformats.org/officeDocument/2006/relationships" r:id="rId73"/>
    <tablePart xmlns:r="http://schemas.openxmlformats.org/officeDocument/2006/relationships" r:id="rId74"/>
    <tablePart xmlns:r="http://schemas.openxmlformats.org/officeDocument/2006/relationships" r:id="rId75"/>
    <tablePart xmlns:r="http://schemas.openxmlformats.org/officeDocument/2006/relationships" r:id="rId76"/>
    <tablePart xmlns:r="http://schemas.openxmlformats.org/officeDocument/2006/relationships" r:id="rId77"/>
    <tablePart xmlns:r="http://schemas.openxmlformats.org/officeDocument/2006/relationships" r:id="rId78"/>
    <tablePart xmlns:r="http://schemas.openxmlformats.org/officeDocument/2006/relationships" r:id="rId79"/>
    <tablePart xmlns:r="http://schemas.openxmlformats.org/officeDocument/2006/relationships" r:id="rId80"/>
    <tablePart xmlns:r="http://schemas.openxmlformats.org/officeDocument/2006/relationships" r:id="rId81"/>
    <tablePart xmlns:r="http://schemas.openxmlformats.org/officeDocument/2006/relationships" r:id="rId82"/>
    <tablePart xmlns:r="http://schemas.openxmlformats.org/officeDocument/2006/relationships" r:id="rId83"/>
    <tablePart xmlns:r="http://schemas.openxmlformats.org/officeDocument/2006/relationships" r:id="rId84"/>
    <tablePart xmlns:r="http://schemas.openxmlformats.org/officeDocument/2006/relationships" r:id="rId85"/>
    <tablePart xmlns:r="http://schemas.openxmlformats.org/officeDocument/2006/relationships" r:id="rId86"/>
    <tablePart xmlns:r="http://schemas.openxmlformats.org/officeDocument/2006/relationships" r:id="rId87"/>
    <tablePart xmlns:r="http://schemas.openxmlformats.org/officeDocument/2006/relationships" r:id="rId88"/>
    <tablePart xmlns:r="http://schemas.openxmlformats.org/officeDocument/2006/relationships" r:id="rId89"/>
    <tablePart xmlns:r="http://schemas.openxmlformats.org/officeDocument/2006/relationships" r:id="rId90"/>
    <tablePart xmlns:r="http://schemas.openxmlformats.org/officeDocument/2006/relationships" r:id="rId91"/>
    <tablePart xmlns:r="http://schemas.openxmlformats.org/officeDocument/2006/relationships" r:id="rId92"/>
    <tablePart xmlns:r="http://schemas.openxmlformats.org/officeDocument/2006/relationships" r:id="rId93"/>
    <tablePart xmlns:r="http://schemas.openxmlformats.org/officeDocument/2006/relationships" r:id="rId94"/>
    <tablePart xmlns:r="http://schemas.openxmlformats.org/officeDocument/2006/relationships" r:id="rId95"/>
    <tablePart xmlns:r="http://schemas.openxmlformats.org/officeDocument/2006/relationships" r:id="rId96"/>
    <tablePart xmlns:r="http://schemas.openxmlformats.org/officeDocument/2006/relationships" r:id="rId97"/>
    <tablePart xmlns:r="http://schemas.openxmlformats.org/officeDocument/2006/relationships" r:id="rId98"/>
    <tablePart xmlns:r="http://schemas.openxmlformats.org/officeDocument/2006/relationships" r:id="rId99"/>
    <tablePart xmlns:r="http://schemas.openxmlformats.org/officeDocument/2006/relationships" r:id="rId100"/>
    <tablePart xmlns:r="http://schemas.openxmlformats.org/officeDocument/2006/relationships" r:id="rId101"/>
    <tablePart xmlns:r="http://schemas.openxmlformats.org/officeDocument/2006/relationships" r:id="rId102"/>
    <tablePart xmlns:r="http://schemas.openxmlformats.org/officeDocument/2006/relationships" r:id="rId103"/>
    <tablePart xmlns:r="http://schemas.openxmlformats.org/officeDocument/2006/relationships" r:id="rId104"/>
    <tablePart xmlns:r="http://schemas.openxmlformats.org/officeDocument/2006/relationships" r:id="rId105"/>
    <tablePart xmlns:r="http://schemas.openxmlformats.org/officeDocument/2006/relationships" r:id="rId106"/>
    <tablePart xmlns:r="http://schemas.openxmlformats.org/officeDocument/2006/relationships" r:id="rId107"/>
    <tablePart xmlns:r="http://schemas.openxmlformats.org/officeDocument/2006/relationships" r:id="rId108"/>
    <tablePart xmlns:r="http://schemas.openxmlformats.org/officeDocument/2006/relationships" r:id="rId109"/>
    <tablePart xmlns:r="http://schemas.openxmlformats.org/officeDocument/2006/relationships" r:id="rId110"/>
    <tablePart xmlns:r="http://schemas.openxmlformats.org/officeDocument/2006/relationships" r:id="rId111"/>
    <tablePart xmlns:r="http://schemas.openxmlformats.org/officeDocument/2006/relationships" r:id="rId112"/>
    <tablePart xmlns:r="http://schemas.openxmlformats.org/officeDocument/2006/relationships" r:id="rId113"/>
    <tablePart xmlns:r="http://schemas.openxmlformats.org/officeDocument/2006/relationships" r:id="rId114"/>
    <tablePart xmlns:r="http://schemas.openxmlformats.org/officeDocument/2006/relationships" r:id="rId115"/>
    <tablePart xmlns:r="http://schemas.openxmlformats.org/officeDocument/2006/relationships" r:id="rId116"/>
    <tablePart xmlns:r="http://schemas.openxmlformats.org/officeDocument/2006/relationships" r:id="rId117"/>
    <tablePart xmlns:r="http://schemas.openxmlformats.org/officeDocument/2006/relationships" r:id="rId118"/>
    <tablePart xmlns:r="http://schemas.openxmlformats.org/officeDocument/2006/relationships" r:id="rId119"/>
    <tablePart xmlns:r="http://schemas.openxmlformats.org/officeDocument/2006/relationships" r:id="rId120"/>
    <tablePart xmlns:r="http://schemas.openxmlformats.org/officeDocument/2006/relationships" r:id="rId121"/>
    <tablePart xmlns:r="http://schemas.openxmlformats.org/officeDocument/2006/relationships" r:id="rId122"/>
    <tablePart xmlns:r="http://schemas.openxmlformats.org/officeDocument/2006/relationships" r:id="rId123"/>
    <tablePart xmlns:r="http://schemas.openxmlformats.org/officeDocument/2006/relationships" r:id="rId124"/>
    <tablePart xmlns:r="http://schemas.openxmlformats.org/officeDocument/2006/relationships" r:id="rId125"/>
    <tablePart xmlns:r="http://schemas.openxmlformats.org/officeDocument/2006/relationships" r:id="rId126"/>
    <tablePart xmlns:r="http://schemas.openxmlformats.org/officeDocument/2006/relationships" r:id="rId127"/>
    <tablePart xmlns:r="http://schemas.openxmlformats.org/officeDocument/2006/relationships" r:id="rId128"/>
    <tablePart xmlns:r="http://schemas.openxmlformats.org/officeDocument/2006/relationships" r:id="rId129"/>
    <tablePart xmlns:r="http://schemas.openxmlformats.org/officeDocument/2006/relationships" r:id="rId130"/>
    <tablePart xmlns:r="http://schemas.openxmlformats.org/officeDocument/2006/relationships" r:id="rId131"/>
    <tablePart xmlns:r="http://schemas.openxmlformats.org/officeDocument/2006/relationships" r:id="rId132"/>
    <tablePart xmlns:r="http://schemas.openxmlformats.org/officeDocument/2006/relationships" r:id="rId133"/>
    <tablePart xmlns:r="http://schemas.openxmlformats.org/officeDocument/2006/relationships" r:id="rId134"/>
    <tablePart xmlns:r="http://schemas.openxmlformats.org/officeDocument/2006/relationships" r:id="rId135"/>
    <tablePart xmlns:r="http://schemas.openxmlformats.org/officeDocument/2006/relationships" r:id="rId136"/>
    <tablePart xmlns:r="http://schemas.openxmlformats.org/officeDocument/2006/relationships" r:id="rId137"/>
    <tablePart xmlns:r="http://schemas.openxmlformats.org/officeDocument/2006/relationships" r:id="rId138"/>
    <tablePart xmlns:r="http://schemas.openxmlformats.org/officeDocument/2006/relationships" r:id="rId139"/>
    <tablePart xmlns:r="http://schemas.openxmlformats.org/officeDocument/2006/relationships" r:id="rId140"/>
    <tablePart xmlns:r="http://schemas.openxmlformats.org/officeDocument/2006/relationships" r:id="rId141"/>
    <tablePart xmlns:r="http://schemas.openxmlformats.org/officeDocument/2006/relationships" r:id="rId142"/>
    <tablePart xmlns:r="http://schemas.openxmlformats.org/officeDocument/2006/relationships" r:id="rId143"/>
    <tablePart xmlns:r="http://schemas.openxmlformats.org/officeDocument/2006/relationships" r:id="rId144"/>
    <tablePart xmlns:r="http://schemas.openxmlformats.org/officeDocument/2006/relationships" r:id="rId145"/>
    <tablePart xmlns:r="http://schemas.openxmlformats.org/officeDocument/2006/relationships" r:id="rId146"/>
    <tablePart xmlns:r="http://schemas.openxmlformats.org/officeDocument/2006/relationships" r:id="rId147"/>
    <tablePart xmlns:r="http://schemas.openxmlformats.org/officeDocument/2006/relationships" r:id="rId148"/>
    <tablePart xmlns:r="http://schemas.openxmlformats.org/officeDocument/2006/relationships" r:id="rId149"/>
    <tablePart xmlns:r="http://schemas.openxmlformats.org/officeDocument/2006/relationships" r:id="rId150"/>
    <tablePart xmlns:r="http://schemas.openxmlformats.org/officeDocument/2006/relationships" r:id="rId151"/>
    <tablePart xmlns:r="http://schemas.openxmlformats.org/officeDocument/2006/relationships" r:id="rId152"/>
    <tablePart xmlns:r="http://schemas.openxmlformats.org/officeDocument/2006/relationships" r:id="rId153"/>
    <tablePart xmlns:r="http://schemas.openxmlformats.org/officeDocument/2006/relationships" r:id="rId154"/>
    <tablePart xmlns:r="http://schemas.openxmlformats.org/officeDocument/2006/relationships" r:id="rId155"/>
    <tablePart xmlns:r="http://schemas.openxmlformats.org/officeDocument/2006/relationships" r:id="rId156"/>
    <tablePart xmlns:r="http://schemas.openxmlformats.org/officeDocument/2006/relationships" r:id="rId157"/>
    <tablePart xmlns:r="http://schemas.openxmlformats.org/officeDocument/2006/relationships" r:id="rId158"/>
    <tablePart xmlns:r="http://schemas.openxmlformats.org/officeDocument/2006/relationships" r:id="rId159"/>
    <tablePart xmlns:r="http://schemas.openxmlformats.org/officeDocument/2006/relationships" r:id="rId160"/>
    <tablePart xmlns:r="http://schemas.openxmlformats.org/officeDocument/2006/relationships" r:id="rId161"/>
    <tablePart xmlns:r="http://schemas.openxmlformats.org/officeDocument/2006/relationships" r:id="rId162"/>
    <tablePart xmlns:r="http://schemas.openxmlformats.org/officeDocument/2006/relationships" r:id="rId163"/>
    <tablePart xmlns:r="http://schemas.openxmlformats.org/officeDocument/2006/relationships" r:id="rId164"/>
    <tablePart xmlns:r="http://schemas.openxmlformats.org/officeDocument/2006/relationships" r:id="rId165"/>
    <tablePart xmlns:r="http://schemas.openxmlformats.org/officeDocument/2006/relationships" r:id="rId166"/>
    <tablePart xmlns:r="http://schemas.openxmlformats.org/officeDocument/2006/relationships" r:id="rId167"/>
    <tablePart xmlns:r="http://schemas.openxmlformats.org/officeDocument/2006/relationships" r:id="rId168"/>
    <tablePart xmlns:r="http://schemas.openxmlformats.org/officeDocument/2006/relationships" r:id="rId169"/>
    <tablePart xmlns:r="http://schemas.openxmlformats.org/officeDocument/2006/relationships" r:id="rId170"/>
    <tablePart xmlns:r="http://schemas.openxmlformats.org/officeDocument/2006/relationships" r:id="rId171"/>
    <tablePart xmlns:r="http://schemas.openxmlformats.org/officeDocument/2006/relationships" r:id="rId172"/>
    <tablePart xmlns:r="http://schemas.openxmlformats.org/officeDocument/2006/relationships" r:id="rId173"/>
    <tablePart xmlns:r="http://schemas.openxmlformats.org/officeDocument/2006/relationships" r:id="rId174"/>
    <tablePart xmlns:r="http://schemas.openxmlformats.org/officeDocument/2006/relationships" r:id="rId175"/>
    <tablePart xmlns:r="http://schemas.openxmlformats.org/officeDocument/2006/relationships" r:id="rId176"/>
    <tablePart xmlns:r="http://schemas.openxmlformats.org/officeDocument/2006/relationships" r:id="rId177"/>
    <tablePart xmlns:r="http://schemas.openxmlformats.org/officeDocument/2006/relationships" r:id="rId178"/>
    <tablePart xmlns:r="http://schemas.openxmlformats.org/officeDocument/2006/relationships" r:id="rId179"/>
    <tablePart xmlns:r="http://schemas.openxmlformats.org/officeDocument/2006/relationships" r:id="rId180"/>
    <tablePart xmlns:r="http://schemas.openxmlformats.org/officeDocument/2006/relationships" r:id="rId181"/>
    <tablePart xmlns:r="http://schemas.openxmlformats.org/officeDocument/2006/relationships" r:id="rId182"/>
    <tablePart xmlns:r="http://schemas.openxmlformats.org/officeDocument/2006/relationships" r:id="rId183"/>
    <tablePart xmlns:r="http://schemas.openxmlformats.org/officeDocument/2006/relationships" r:id="rId184"/>
    <tablePart xmlns:r="http://schemas.openxmlformats.org/officeDocument/2006/relationships" r:id="rId185"/>
    <tablePart xmlns:r="http://schemas.openxmlformats.org/officeDocument/2006/relationships" r:id="rId186"/>
    <tablePart xmlns:r="http://schemas.openxmlformats.org/officeDocument/2006/relationships" r:id="rId187"/>
    <tablePart xmlns:r="http://schemas.openxmlformats.org/officeDocument/2006/relationships" r:id="rId188"/>
    <tablePart xmlns:r="http://schemas.openxmlformats.org/officeDocument/2006/relationships" r:id="rId189"/>
    <tablePart xmlns:r="http://schemas.openxmlformats.org/officeDocument/2006/relationships" r:id="rId190"/>
    <tablePart xmlns:r="http://schemas.openxmlformats.org/officeDocument/2006/relationships" r:id="rId191"/>
    <tablePart xmlns:r="http://schemas.openxmlformats.org/officeDocument/2006/relationships" r:id="rId192"/>
    <tablePart xmlns:r="http://schemas.openxmlformats.org/officeDocument/2006/relationships" r:id="rId193"/>
    <tablePart xmlns:r="http://schemas.openxmlformats.org/officeDocument/2006/relationships" r:id="rId194"/>
    <tablePart xmlns:r="http://schemas.openxmlformats.org/officeDocument/2006/relationships" r:id="rId195"/>
    <tablePart xmlns:r="http://schemas.openxmlformats.org/officeDocument/2006/relationships" r:id="rId196"/>
    <tablePart xmlns:r="http://schemas.openxmlformats.org/officeDocument/2006/relationships" r:id="rId197"/>
    <tablePart xmlns:r="http://schemas.openxmlformats.org/officeDocument/2006/relationships" r:id="rId198"/>
    <tablePart xmlns:r="http://schemas.openxmlformats.org/officeDocument/2006/relationships" r:id="rId199"/>
    <tablePart xmlns:r="http://schemas.openxmlformats.org/officeDocument/2006/relationships" r:id="rId200"/>
    <tablePart xmlns:r="http://schemas.openxmlformats.org/officeDocument/2006/relationships" r:id="rId201"/>
    <tablePart xmlns:r="http://schemas.openxmlformats.org/officeDocument/2006/relationships" r:id="rId202"/>
    <tablePart xmlns:r="http://schemas.openxmlformats.org/officeDocument/2006/relationships" r:id="rId203"/>
    <tablePart xmlns:r="http://schemas.openxmlformats.org/officeDocument/2006/relationships" r:id="rId204"/>
    <tablePart xmlns:r="http://schemas.openxmlformats.org/officeDocument/2006/relationships" r:id="rId205"/>
    <tablePart xmlns:r="http://schemas.openxmlformats.org/officeDocument/2006/relationships" r:id="rId206"/>
    <tablePart xmlns:r="http://schemas.openxmlformats.org/officeDocument/2006/relationships" r:id="rId207"/>
    <tablePart xmlns:r="http://schemas.openxmlformats.org/officeDocument/2006/relationships" r:id="rId208"/>
    <tablePart xmlns:r="http://schemas.openxmlformats.org/officeDocument/2006/relationships" r:id="rId209"/>
    <tablePart xmlns:r="http://schemas.openxmlformats.org/officeDocument/2006/relationships" r:id="rId210"/>
    <tablePart xmlns:r="http://schemas.openxmlformats.org/officeDocument/2006/relationships" r:id="rId211"/>
    <tablePart xmlns:r="http://schemas.openxmlformats.org/officeDocument/2006/relationships" r:id="rId212"/>
    <tablePart xmlns:r="http://schemas.openxmlformats.org/officeDocument/2006/relationships" r:id="rId213"/>
    <tablePart xmlns:r="http://schemas.openxmlformats.org/officeDocument/2006/relationships" r:id="rId214"/>
    <tablePart xmlns:r="http://schemas.openxmlformats.org/officeDocument/2006/relationships" r:id="rId215"/>
    <tablePart xmlns:r="http://schemas.openxmlformats.org/officeDocument/2006/relationships" r:id="rId216"/>
    <tablePart xmlns:r="http://schemas.openxmlformats.org/officeDocument/2006/relationships" r:id="rId217"/>
    <tablePart xmlns:r="http://schemas.openxmlformats.org/officeDocument/2006/relationships" r:id="rId218"/>
    <tablePart xmlns:r="http://schemas.openxmlformats.org/officeDocument/2006/relationships" r:id="rId219"/>
    <tablePart xmlns:r="http://schemas.openxmlformats.org/officeDocument/2006/relationships" r:id="rId220"/>
    <tablePart xmlns:r="http://schemas.openxmlformats.org/officeDocument/2006/relationships" r:id="rId221"/>
    <tablePart xmlns:r="http://schemas.openxmlformats.org/officeDocument/2006/relationships" r:id="rId222"/>
    <tablePart xmlns:r="http://schemas.openxmlformats.org/officeDocument/2006/relationships" r:id="rId223"/>
    <tablePart xmlns:r="http://schemas.openxmlformats.org/officeDocument/2006/relationships" r:id="rId224"/>
    <tablePart xmlns:r="http://schemas.openxmlformats.org/officeDocument/2006/relationships" r:id="rId225"/>
    <tablePart xmlns:r="http://schemas.openxmlformats.org/officeDocument/2006/relationships" r:id="rId226"/>
    <tablePart xmlns:r="http://schemas.openxmlformats.org/officeDocument/2006/relationships" r:id="rId227"/>
    <tablePart xmlns:r="http://schemas.openxmlformats.org/officeDocument/2006/relationships" r:id="rId228"/>
    <tablePart xmlns:r="http://schemas.openxmlformats.org/officeDocument/2006/relationships" r:id="rId229"/>
    <tablePart xmlns:r="http://schemas.openxmlformats.org/officeDocument/2006/relationships" r:id="rId230"/>
    <tablePart xmlns:r="http://schemas.openxmlformats.org/officeDocument/2006/relationships" r:id="rId231"/>
    <tablePart xmlns:r="http://schemas.openxmlformats.org/officeDocument/2006/relationships" r:id="rId232"/>
    <tablePart xmlns:r="http://schemas.openxmlformats.org/officeDocument/2006/relationships" r:id="rId233"/>
    <tablePart xmlns:r="http://schemas.openxmlformats.org/officeDocument/2006/relationships" r:id="rId234"/>
    <tablePart xmlns:r="http://schemas.openxmlformats.org/officeDocument/2006/relationships" r:id="rId235"/>
    <tablePart xmlns:r="http://schemas.openxmlformats.org/officeDocument/2006/relationships" r:id="rId236"/>
    <tablePart xmlns:r="http://schemas.openxmlformats.org/officeDocument/2006/relationships" r:id="rId237"/>
    <tablePart xmlns:r="http://schemas.openxmlformats.org/officeDocument/2006/relationships" r:id="rId238"/>
    <tablePart xmlns:r="http://schemas.openxmlformats.org/officeDocument/2006/relationships" r:id="rId239"/>
    <tablePart xmlns:r="http://schemas.openxmlformats.org/officeDocument/2006/relationships" r:id="rId240"/>
    <tablePart xmlns:r="http://schemas.openxmlformats.org/officeDocument/2006/relationships" r:id="rId241"/>
    <tablePart xmlns:r="http://schemas.openxmlformats.org/officeDocument/2006/relationships" r:id="rId242"/>
    <tablePart xmlns:r="http://schemas.openxmlformats.org/officeDocument/2006/relationships" r:id="rId243"/>
    <tablePart xmlns:r="http://schemas.openxmlformats.org/officeDocument/2006/relationships" r:id="rId244"/>
    <tablePart xmlns:r="http://schemas.openxmlformats.org/officeDocument/2006/relationships" r:id="rId245"/>
    <tablePart xmlns:r="http://schemas.openxmlformats.org/officeDocument/2006/relationships" r:id="rId246"/>
    <tablePart xmlns:r="http://schemas.openxmlformats.org/officeDocument/2006/relationships" r:id="rId247"/>
    <tablePart xmlns:r="http://schemas.openxmlformats.org/officeDocument/2006/relationships" r:id="rId248"/>
    <tablePart xmlns:r="http://schemas.openxmlformats.org/officeDocument/2006/relationships" r:id="rId249"/>
    <tablePart xmlns:r="http://schemas.openxmlformats.org/officeDocument/2006/relationships" r:id="rId250"/>
    <tablePart xmlns:r="http://schemas.openxmlformats.org/officeDocument/2006/relationships" r:id="rId251"/>
    <tablePart xmlns:r="http://schemas.openxmlformats.org/officeDocument/2006/relationships" r:id="rId252"/>
    <tablePart xmlns:r="http://schemas.openxmlformats.org/officeDocument/2006/relationships" r:id="rId253"/>
    <tablePart xmlns:r="http://schemas.openxmlformats.org/officeDocument/2006/relationships" r:id="rId254"/>
    <tablePart xmlns:r="http://schemas.openxmlformats.org/officeDocument/2006/relationships" r:id="rId255"/>
    <tablePart xmlns:r="http://schemas.openxmlformats.org/officeDocument/2006/relationships" r:id="rId256"/>
    <tablePart xmlns:r="http://schemas.openxmlformats.org/officeDocument/2006/relationships" r:id="rId257"/>
    <tablePart xmlns:r="http://schemas.openxmlformats.org/officeDocument/2006/relationships" r:id="rId258"/>
    <tablePart xmlns:r="http://schemas.openxmlformats.org/officeDocument/2006/relationships" r:id="rId259"/>
    <tablePart xmlns:r="http://schemas.openxmlformats.org/officeDocument/2006/relationships" r:id="rId260"/>
    <tablePart xmlns:r="http://schemas.openxmlformats.org/officeDocument/2006/relationships" r:id="rId261"/>
    <tablePart xmlns:r="http://schemas.openxmlformats.org/officeDocument/2006/relationships" r:id="rId262"/>
    <tablePart xmlns:r="http://schemas.openxmlformats.org/officeDocument/2006/relationships" r:id="rId263"/>
    <tablePart xmlns:r="http://schemas.openxmlformats.org/officeDocument/2006/relationships" r:id="rId264"/>
    <tablePart xmlns:r="http://schemas.openxmlformats.org/officeDocument/2006/relationships" r:id="rId265"/>
    <tablePart xmlns:r="http://schemas.openxmlformats.org/officeDocument/2006/relationships" r:id="rId266"/>
    <tablePart xmlns:r="http://schemas.openxmlformats.org/officeDocument/2006/relationships" r:id="rId267"/>
    <tablePart xmlns:r="http://schemas.openxmlformats.org/officeDocument/2006/relationships" r:id="rId268"/>
    <tablePart xmlns:r="http://schemas.openxmlformats.org/officeDocument/2006/relationships" r:id="rId269"/>
    <tablePart xmlns:r="http://schemas.openxmlformats.org/officeDocument/2006/relationships" r:id="rId270"/>
    <tablePart xmlns:r="http://schemas.openxmlformats.org/officeDocument/2006/relationships" r:id="rId271"/>
    <tablePart xmlns:r="http://schemas.openxmlformats.org/officeDocument/2006/relationships" r:id="rId272"/>
    <tablePart xmlns:r="http://schemas.openxmlformats.org/officeDocument/2006/relationships" r:id="rId273"/>
    <tablePart xmlns:r="http://schemas.openxmlformats.org/officeDocument/2006/relationships" r:id="rId274"/>
    <tablePart xmlns:r="http://schemas.openxmlformats.org/officeDocument/2006/relationships" r:id="rId275"/>
    <tablePart xmlns:r="http://schemas.openxmlformats.org/officeDocument/2006/relationships" r:id="rId276"/>
    <tablePart xmlns:r="http://schemas.openxmlformats.org/officeDocument/2006/relationships" r:id="rId277"/>
    <tablePart xmlns:r="http://schemas.openxmlformats.org/officeDocument/2006/relationships" r:id="rId278"/>
    <tablePart xmlns:r="http://schemas.openxmlformats.org/officeDocument/2006/relationships" r:id="rId279"/>
    <tablePart xmlns:r="http://schemas.openxmlformats.org/officeDocument/2006/relationships" r:id="rId280"/>
    <tablePart xmlns:r="http://schemas.openxmlformats.org/officeDocument/2006/relationships" r:id="rId281"/>
    <tablePart xmlns:r="http://schemas.openxmlformats.org/officeDocument/2006/relationships" r:id="rId282"/>
    <tablePart xmlns:r="http://schemas.openxmlformats.org/officeDocument/2006/relationships" r:id="rId283"/>
    <tablePart xmlns:r="http://schemas.openxmlformats.org/officeDocument/2006/relationships" r:id="rId284"/>
    <tablePart xmlns:r="http://schemas.openxmlformats.org/officeDocument/2006/relationships" r:id="rId285"/>
    <tablePart xmlns:r="http://schemas.openxmlformats.org/officeDocument/2006/relationships" r:id="rId286"/>
    <tablePart xmlns:r="http://schemas.openxmlformats.org/officeDocument/2006/relationships" r:id="rId287"/>
    <tablePart xmlns:r="http://schemas.openxmlformats.org/officeDocument/2006/relationships" r:id="rId288"/>
    <tablePart xmlns:r="http://schemas.openxmlformats.org/officeDocument/2006/relationships" r:id="rId289"/>
    <tablePart xmlns:r="http://schemas.openxmlformats.org/officeDocument/2006/relationships" r:id="rId290"/>
    <tablePart xmlns:r="http://schemas.openxmlformats.org/officeDocument/2006/relationships" r:id="rId291"/>
    <tablePart xmlns:r="http://schemas.openxmlformats.org/officeDocument/2006/relationships" r:id="rId292"/>
    <tablePart xmlns:r="http://schemas.openxmlformats.org/officeDocument/2006/relationships" r:id="rId293"/>
    <tablePart xmlns:r="http://schemas.openxmlformats.org/officeDocument/2006/relationships" r:id="rId294"/>
    <tablePart xmlns:r="http://schemas.openxmlformats.org/officeDocument/2006/relationships" r:id="rId295"/>
    <tablePart xmlns:r="http://schemas.openxmlformats.org/officeDocument/2006/relationships" r:id="rId296"/>
    <tablePart xmlns:r="http://schemas.openxmlformats.org/officeDocument/2006/relationships" r:id="rId297"/>
    <tablePart xmlns:r="http://schemas.openxmlformats.org/officeDocument/2006/relationships" r:id="rId298"/>
    <tablePart xmlns:r="http://schemas.openxmlformats.org/officeDocument/2006/relationships" r:id="rId299"/>
    <tablePart xmlns:r="http://schemas.openxmlformats.org/officeDocument/2006/relationships" r:id="rId300"/>
    <tablePart xmlns:r="http://schemas.openxmlformats.org/officeDocument/2006/relationships" r:id="rId301"/>
    <tablePart xmlns:r="http://schemas.openxmlformats.org/officeDocument/2006/relationships" r:id="rId302"/>
    <tablePart xmlns:r="http://schemas.openxmlformats.org/officeDocument/2006/relationships" r:id="rId303"/>
    <tablePart xmlns:r="http://schemas.openxmlformats.org/officeDocument/2006/relationships" r:id="rId304"/>
    <tablePart xmlns:r="http://schemas.openxmlformats.org/officeDocument/2006/relationships" r:id="rId305"/>
    <tablePart xmlns:r="http://schemas.openxmlformats.org/officeDocument/2006/relationships" r:id="rId306"/>
    <tablePart xmlns:r="http://schemas.openxmlformats.org/officeDocument/2006/relationships" r:id="rId307"/>
    <tablePart xmlns:r="http://schemas.openxmlformats.org/officeDocument/2006/relationships" r:id="rId308"/>
    <tablePart xmlns:r="http://schemas.openxmlformats.org/officeDocument/2006/relationships" r:id="rId309"/>
    <tablePart xmlns:r="http://schemas.openxmlformats.org/officeDocument/2006/relationships" r:id="rId310"/>
    <tablePart xmlns:r="http://schemas.openxmlformats.org/officeDocument/2006/relationships" r:id="rId311"/>
    <tablePart xmlns:r="http://schemas.openxmlformats.org/officeDocument/2006/relationships" r:id="rId312"/>
    <tablePart xmlns:r="http://schemas.openxmlformats.org/officeDocument/2006/relationships" r:id="rId313"/>
    <tablePart xmlns:r="http://schemas.openxmlformats.org/officeDocument/2006/relationships" r:id="rId314"/>
    <tablePart xmlns:r="http://schemas.openxmlformats.org/officeDocument/2006/relationships" r:id="rId315"/>
    <tablePart xmlns:r="http://schemas.openxmlformats.org/officeDocument/2006/relationships" r:id="rId316"/>
    <tablePart xmlns:r="http://schemas.openxmlformats.org/officeDocument/2006/relationships" r:id="rId317"/>
    <tablePart xmlns:r="http://schemas.openxmlformats.org/officeDocument/2006/relationships" r:id="rId318"/>
    <tablePart xmlns:r="http://schemas.openxmlformats.org/officeDocument/2006/relationships" r:id="rId319"/>
    <tablePart xmlns:r="http://schemas.openxmlformats.org/officeDocument/2006/relationships" r:id="rId320"/>
    <tablePart xmlns:r="http://schemas.openxmlformats.org/officeDocument/2006/relationships" r:id="rId321"/>
    <tablePart xmlns:r="http://schemas.openxmlformats.org/officeDocument/2006/relationships" r:id="rId322"/>
    <tablePart xmlns:r="http://schemas.openxmlformats.org/officeDocument/2006/relationships" r:id="rId323"/>
  </tableParts>
</worksheet>
</file>

<file path=xl/worksheets/sheet22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J83"/>
  <sheetViews>
    <sheetView workbookViewId="0">
      <selection activeCell="P10" sqref="P10"/>
    </sheetView>
  </sheetViews>
  <sheetFormatPr baseColWidth="10" defaultRowHeight="12.75"/>
  <cols>
    <col width="3.85546875" bestFit="1" customWidth="1" style="161" min="1" max="1"/>
    <col width="17.140625" customWidth="1" style="161" min="2" max="2"/>
    <col width="13.140625" customWidth="1" style="161" min="3" max="8"/>
    <col width="28.140625" bestFit="1" customWidth="1" style="161" min="9" max="9"/>
    <col width="13.140625" customWidth="1" style="161" min="10" max="10"/>
  </cols>
  <sheetData>
    <row r="1" customFormat="1" s="370">
      <c r="A1" s="371" t="n"/>
      <c r="B1" s="372" t="inlineStr">
        <is>
          <t>GROUPE REGIS REGO - MC DONALD'S ROUEN</t>
        </is>
      </c>
      <c r="C1" s="347" t="n"/>
      <c r="D1" s="347" t="n"/>
      <c r="E1" s="347" t="n"/>
      <c r="F1" s="347" t="n"/>
      <c r="G1" s="347" t="n"/>
      <c r="H1" s="347" t="n"/>
      <c r="I1" s="347" t="n"/>
      <c r="J1" s="373">
        <f>CONCATENATE("P&amp;L ",RIGHT(DONNÉES!B5,LEN(DONNÉES!B5)-3))</f>
        <v/>
      </c>
    </row>
    <row r="2" customFormat="1" s="370">
      <c r="A2" s="371" t="n"/>
      <c r="B2" s="372" t="n"/>
      <c r="C2" s="347" t="n"/>
      <c r="D2" s="347" t="n"/>
      <c r="E2" s="347" t="n"/>
      <c r="F2" s="347" t="n"/>
      <c r="G2" s="347" t="n"/>
      <c r="H2" s="347" t="n"/>
      <c r="I2" s="347" t="n"/>
      <c r="J2" s="347" t="n"/>
    </row>
    <row r="3" ht="15.75" customFormat="1" customHeight="1" s="370">
      <c r="A3" s="371" t="n"/>
      <c r="B3" s="374" t="inlineStr">
        <is>
          <t>Comparaison des P&amp;L Didier / cabinet Martini</t>
        </is>
      </c>
    </row>
    <row r="4" ht="12.6" customFormat="1" customHeight="1" s="370" thickBot="1">
      <c r="A4" s="371" t="n"/>
      <c r="E4" s="21" t="n"/>
      <c r="F4" s="21" t="n"/>
      <c r="G4" s="21" t="n"/>
      <c r="H4" s="21" t="n"/>
      <c r="I4" s="20" t="n"/>
      <c r="J4" s="21" t="n"/>
    </row>
    <row r="5" ht="14.25" customFormat="1" customHeight="1" s="371">
      <c r="B5" s="375" t="inlineStr">
        <is>
          <t>Libellés</t>
        </is>
      </c>
      <c r="C5" s="376" t="inlineStr">
        <is>
          <t>R3.14</t>
        </is>
      </c>
      <c r="D5" s="377" t="n"/>
      <c r="E5" s="377" t="n"/>
      <c r="F5" s="377" t="n"/>
      <c r="G5" s="377" t="n"/>
      <c r="H5" s="377" t="n"/>
      <c r="I5" s="377" t="n"/>
      <c r="J5" s="378" t="n"/>
    </row>
    <row r="6" ht="14.25" customFormat="1" customHeight="1" s="371" thickBot="1">
      <c r="B6" s="379" t="n"/>
      <c r="C6" s="379" t="n"/>
      <c r="J6" s="380" t="n"/>
    </row>
    <row r="7" ht="28.5" customFormat="1" customHeight="1" s="381" thickBot="1">
      <c r="B7" s="382" t="n"/>
      <c r="C7" s="383" t="inlineStr">
        <is>
          <t>P&amp;L Didier</t>
        </is>
      </c>
      <c r="D7" s="384" t="inlineStr">
        <is>
          <t>P&amp;L
rapport P&amp;L</t>
        </is>
      </c>
      <c r="E7" s="385" t="inlineStr">
        <is>
          <t>Ecart</t>
        </is>
      </c>
      <c r="F7" s="383" t="inlineStr">
        <is>
          <t>Cumulé Didier</t>
        </is>
      </c>
      <c r="G7" s="384" t="inlineStr">
        <is>
          <t>Cumulé rapport P&amp;L</t>
        </is>
      </c>
      <c r="H7" s="385" t="inlineStr">
        <is>
          <t>Ecart</t>
        </is>
      </c>
      <c r="I7" s="386" t="inlineStr">
        <is>
          <t>Commentaire</t>
        </is>
      </c>
      <c r="J7" s="385" t="inlineStr">
        <is>
          <t>Conclusion</t>
        </is>
      </c>
    </row>
    <row r="8" ht="6.75" customFormat="1" customHeight="1" s="370">
      <c r="A8" s="371" t="n"/>
      <c r="B8" s="387" t="n"/>
      <c r="C8" s="388" t="n"/>
      <c r="D8" s="389" t="n"/>
      <c r="E8" s="195" t="n"/>
      <c r="F8" s="196" t="n"/>
      <c r="G8" s="197" t="n"/>
      <c r="H8" s="195" t="n"/>
      <c r="I8" s="9" t="n"/>
      <c r="J8" s="195" t="n"/>
    </row>
    <row r="9" ht="18.75" customFormat="1" customHeight="1" s="390">
      <c r="A9" s="371" t="n"/>
      <c r="B9" s="391" t="n">
        <v>44197</v>
      </c>
      <c r="C9" s="199" t="n">
        <v>5114</v>
      </c>
      <c r="D9" s="200" t="n">
        <v>5114</v>
      </c>
      <c r="E9" s="201">
        <f>+C9-D9</f>
        <v/>
      </c>
      <c r="F9" s="199" t="n">
        <v>5114</v>
      </c>
      <c r="G9" s="200" t="n">
        <v>5114</v>
      </c>
      <c r="H9" s="201">
        <f>+F9-G9</f>
        <v/>
      </c>
      <c r="I9" s="202" t="n"/>
      <c r="J9" s="203" t="n"/>
    </row>
    <row r="10" ht="18.75" customFormat="1" customHeight="1" s="390">
      <c r="A10" s="371" t="n"/>
      <c r="B10" s="391" t="n">
        <v>44228</v>
      </c>
      <c r="C10" s="199" t="n">
        <v>17696</v>
      </c>
      <c r="D10" s="200" t="n">
        <v>17696</v>
      </c>
      <c r="E10" s="201">
        <f>+C10-D10</f>
        <v/>
      </c>
      <c r="F10" s="199" t="n">
        <v>18473</v>
      </c>
      <c r="G10" s="200" t="n">
        <v>18473</v>
      </c>
      <c r="H10" s="201">
        <f>+F10-G10</f>
        <v/>
      </c>
      <c r="I10" s="202" t="n"/>
      <c r="J10" s="203" t="n"/>
    </row>
    <row r="11" ht="18.75" customFormat="1" customHeight="1" s="390">
      <c r="A11" s="371" t="n"/>
      <c r="B11" s="391" t="n">
        <v>44256</v>
      </c>
      <c r="C11" s="199" t="n">
        <v>-2573</v>
      </c>
      <c r="D11" s="200" t="n">
        <v>-3243</v>
      </c>
      <c r="E11" s="201">
        <f>+C11-D11</f>
        <v/>
      </c>
      <c r="F11" s="199" t="n">
        <v>15900</v>
      </c>
      <c r="G11" s="200" t="n">
        <v>15230</v>
      </c>
      <c r="H11" s="201">
        <f>+F11-G11</f>
        <v/>
      </c>
      <c r="I11" s="202" t="n"/>
      <c r="J11" s="203" t="n"/>
    </row>
    <row r="12" ht="18.75" customFormat="1" customHeight="1" s="390">
      <c r="A12" s="371" t="n"/>
      <c r="B12" s="391" t="n">
        <v>44287</v>
      </c>
      <c r="C12" s="199" t="n">
        <v>5311</v>
      </c>
      <c r="D12" s="200" t="n">
        <v>4817.69</v>
      </c>
      <c r="E12" s="201">
        <f>+C12-D12</f>
        <v/>
      </c>
      <c r="F12" s="199" t="n">
        <v>20541</v>
      </c>
      <c r="G12" s="200" t="n">
        <v>20314.7</v>
      </c>
      <c r="H12" s="201">
        <f>+F12-G12</f>
        <v/>
      </c>
      <c r="I12" s="202" t="n"/>
      <c r="J12" s="203" t="n"/>
    </row>
    <row r="13" ht="18.75" customFormat="1" customHeight="1" s="390">
      <c r="A13" s="371" t="n"/>
      <c r="B13" s="391" t="n">
        <v>44317</v>
      </c>
      <c r="C13" s="199" t="n">
        <v>27723</v>
      </c>
      <c r="D13" s="200" t="n">
        <v>30011</v>
      </c>
      <c r="E13" s="201">
        <f>+C13-D13</f>
        <v/>
      </c>
      <c r="F13" s="199" t="n">
        <v>47833</v>
      </c>
      <c r="G13" s="200" t="n">
        <v>50340</v>
      </c>
      <c r="H13" s="201">
        <f>+F13-G13</f>
        <v/>
      </c>
      <c r="I13" s="202" t="n"/>
      <c r="J13" s="203" t="n"/>
    </row>
    <row r="14" ht="18.75" customFormat="1" customHeight="1" s="390">
      <c r="A14" s="371" t="n"/>
      <c r="B14" s="391" t="n">
        <v>44348</v>
      </c>
      <c r="C14" s="199" t="n">
        <v>27727</v>
      </c>
      <c r="D14" s="200" t="n">
        <v>27098.06000000005</v>
      </c>
      <c r="E14" s="201">
        <f>+C14-D14</f>
        <v/>
      </c>
      <c r="F14" s="199" t="n">
        <v>77847</v>
      </c>
      <c r="G14" s="200" t="n">
        <v>77437.99000000104</v>
      </c>
      <c r="H14" s="201">
        <f>+F14-G14</f>
        <v/>
      </c>
      <c r="I14" s="202" t="n"/>
      <c r="J14" s="203" t="n"/>
    </row>
    <row r="15" ht="18.75" customFormat="1" customHeight="1" s="390">
      <c r="A15" s="371" t="n"/>
      <c r="B15" s="391" t="n">
        <v>44378</v>
      </c>
      <c r="C15" s="199" t="n">
        <v>86399</v>
      </c>
      <c r="D15" s="200" t="n">
        <v>85891.41</v>
      </c>
      <c r="E15" s="201">
        <f>+C15-D15</f>
        <v/>
      </c>
      <c r="F15" s="199" t="n">
        <v>163947</v>
      </c>
      <c r="G15" s="200" t="n">
        <v>163329.4</v>
      </c>
      <c r="H15" s="201">
        <f>+F15-G15</f>
        <v/>
      </c>
      <c r="I15" s="202" t="n"/>
      <c r="J15" s="203" t="n"/>
    </row>
    <row r="16" ht="18.75" customFormat="1" customHeight="1" s="390">
      <c r="A16" s="371" t="n"/>
      <c r="B16" s="391" t="n">
        <v>44409</v>
      </c>
      <c r="C16" s="199" t="n">
        <v>132004</v>
      </c>
      <c r="D16" s="200" t="n">
        <v>129407.53</v>
      </c>
      <c r="E16" s="201">
        <f>+C16-D16</f>
        <v/>
      </c>
      <c r="F16" s="199" t="n">
        <v>295333</v>
      </c>
      <c r="G16" s="200" t="n">
        <v>292736.93</v>
      </c>
      <c r="H16" s="201">
        <f>+F16-G16</f>
        <v/>
      </c>
      <c r="I16" s="202" t="n"/>
      <c r="J16" s="203" t="n"/>
    </row>
    <row r="17" ht="18.75" customFormat="1" customHeight="1" s="390">
      <c r="A17" s="371" t="n"/>
      <c r="B17" s="391" t="n">
        <v>44440</v>
      </c>
      <c r="C17" s="199" t="n">
        <v>9604</v>
      </c>
      <c r="D17" s="200" t="n">
        <v>9547.620000000001</v>
      </c>
      <c r="E17" s="201">
        <f>+C17-D17</f>
        <v/>
      </c>
      <c r="F17" s="199" t="n">
        <v>274025</v>
      </c>
      <c r="G17" s="200" t="n">
        <v>273939.42</v>
      </c>
      <c r="H17" s="201">
        <f>+F17-G17</f>
        <v/>
      </c>
      <c r="I17" s="202" t="n"/>
      <c r="J17" s="203" t="n"/>
    </row>
    <row r="18" ht="18.75" customFormat="1" customHeight="1" s="390">
      <c r="A18" s="371" t="n"/>
      <c r="B18" s="391" t="n">
        <v>44470</v>
      </c>
      <c r="C18" s="199" t="n">
        <v>19087</v>
      </c>
      <c r="D18" s="200" t="n">
        <v>18291.87000000001</v>
      </c>
      <c r="E18" s="201">
        <f>+C18-D18</f>
        <v/>
      </c>
      <c r="F18" s="199" t="n">
        <v>282827</v>
      </c>
      <c r="G18" s="200" t="n">
        <v>282031.9000000019</v>
      </c>
      <c r="H18" s="201">
        <f>+F18-G18</f>
        <v/>
      </c>
      <c r="I18" s="202" t="n"/>
      <c r="J18" s="203" t="n"/>
    </row>
    <row r="19" ht="18.75" customFormat="1" customHeight="1" s="390">
      <c r="A19" s="371" t="n"/>
      <c r="B19" s="391" t="n">
        <v>44501</v>
      </c>
      <c r="C19" s="199" t="n"/>
      <c r="D19" s="200" t="n"/>
      <c r="E19" s="201">
        <f>+C19-D19</f>
        <v/>
      </c>
      <c r="F19" s="199" t="n"/>
      <c r="G19" s="200" t="n"/>
      <c r="H19" s="201">
        <f>+F19-G19</f>
        <v/>
      </c>
      <c r="I19" s="202" t="n"/>
      <c r="J19" s="203" t="n"/>
    </row>
    <row r="20" ht="18.75" customFormat="1" customHeight="1" s="390">
      <c r="A20" s="371" t="n"/>
      <c r="B20" s="391" t="n">
        <v>44531</v>
      </c>
      <c r="C20" s="199" t="n"/>
      <c r="D20" s="200" t="n"/>
      <c r="E20" s="201">
        <f>+C20-D20</f>
        <v/>
      </c>
      <c r="F20" s="199" t="n"/>
      <c r="G20" s="200" t="n"/>
      <c r="H20" s="201">
        <f>+F20-G20</f>
        <v/>
      </c>
      <c r="I20" s="202" t="n"/>
      <c r="J20" s="203" t="n"/>
    </row>
    <row r="21" ht="6.75" customFormat="1" customHeight="1" s="390" thickBot="1">
      <c r="A21" s="371" t="n"/>
      <c r="B21" s="391" t="n"/>
      <c r="C21" s="199" t="n"/>
      <c r="D21" s="200" t="n"/>
      <c r="E21" s="201" t="n"/>
      <c r="F21" s="199" t="n"/>
      <c r="G21" s="200" t="n"/>
      <c r="H21" s="201" t="n"/>
      <c r="I21" s="204" t="n"/>
      <c r="J21" s="203" t="n"/>
    </row>
    <row r="22" ht="18.75" customFormat="1" customHeight="1" s="370" thickBot="1">
      <c r="A22" s="371" t="n"/>
      <c r="B22" s="392" t="inlineStr">
        <is>
          <t xml:space="preserve">Total </t>
        </is>
      </c>
      <c r="C22" s="206">
        <f>SUM(C9:C21)</f>
        <v/>
      </c>
      <c r="D22" s="207">
        <f>SUM(D9:D21)</f>
        <v/>
      </c>
      <c r="E22" s="208">
        <f>SUM(E9:E21)</f>
        <v/>
      </c>
      <c r="F22" s="206" t="n"/>
      <c r="G22" s="207" t="n"/>
      <c r="H22" s="208">
        <f>SUM(H9:H21)</f>
        <v/>
      </c>
      <c r="I22" s="209" t="n"/>
      <c r="J22" s="210" t="n"/>
    </row>
    <row r="23">
      <c r="A23" s="371" t="n"/>
    </row>
    <row r="24" ht="13.5" customHeight="1" s="161" thickBot="1">
      <c r="A24" s="371" t="n"/>
    </row>
    <row r="25" ht="14.25" customFormat="1" customHeight="1" s="371">
      <c r="B25" s="375" t="inlineStr">
        <is>
          <t>Libellés</t>
        </is>
      </c>
      <c r="C25" s="376" t="inlineStr">
        <is>
          <t>LYSE</t>
        </is>
      </c>
      <c r="D25" s="377" t="n"/>
      <c r="E25" s="377" t="n"/>
      <c r="F25" s="377" t="n"/>
      <c r="G25" s="377" t="n"/>
      <c r="H25" s="377" t="n"/>
      <c r="I25" s="377" t="n"/>
      <c r="J25" s="378" t="n"/>
    </row>
    <row r="26" ht="14.25" customFormat="1" customHeight="1" s="371" thickBot="1">
      <c r="B26" s="379" t="n"/>
      <c r="C26" s="379" t="n"/>
      <c r="J26" s="380" t="n"/>
    </row>
    <row r="27" ht="28.5" customFormat="1" customHeight="1" s="381" thickBot="1">
      <c r="B27" s="382" t="n"/>
      <c r="C27" s="383" t="inlineStr">
        <is>
          <t>P&amp;L Didier</t>
        </is>
      </c>
      <c r="D27" s="384" t="inlineStr">
        <is>
          <t>P&amp;L
rapport P&amp;L</t>
        </is>
      </c>
      <c r="E27" s="385" t="inlineStr">
        <is>
          <t>Ecart</t>
        </is>
      </c>
      <c r="F27" s="383" t="inlineStr">
        <is>
          <t>Cumulé Didier</t>
        </is>
      </c>
      <c r="G27" s="384" t="inlineStr">
        <is>
          <t>Cumulé rapport P&amp;L</t>
        </is>
      </c>
      <c r="H27" s="385" t="inlineStr">
        <is>
          <t>Ecart</t>
        </is>
      </c>
      <c r="I27" s="386" t="inlineStr">
        <is>
          <t>Commentaire</t>
        </is>
      </c>
      <c r="J27" s="385" t="inlineStr">
        <is>
          <t>Conclusion</t>
        </is>
      </c>
    </row>
    <row r="28" ht="6.75" customFormat="1" customHeight="1" s="370">
      <c r="A28" s="371" t="n"/>
      <c r="B28" s="387" t="n"/>
      <c r="C28" s="388" t="n"/>
      <c r="D28" s="389" t="n"/>
      <c r="E28" s="195" t="n"/>
      <c r="F28" s="196" t="n"/>
      <c r="G28" s="197" t="n"/>
      <c r="H28" s="195" t="n"/>
      <c r="I28" s="9" t="n"/>
      <c r="J28" s="195" t="n"/>
    </row>
    <row r="29" ht="18.75" customFormat="1" customHeight="1" s="390">
      <c r="A29" s="371" t="n"/>
      <c r="B29" s="391" t="n">
        <v>44197</v>
      </c>
      <c r="C29" s="199" t="n">
        <v>73888</v>
      </c>
      <c r="D29" s="200" t="n">
        <v>73888</v>
      </c>
      <c r="E29" s="201">
        <f>+C29-D29</f>
        <v/>
      </c>
      <c r="F29" s="199" t="n">
        <v>73888</v>
      </c>
      <c r="G29" s="200" t="n">
        <v>73888</v>
      </c>
      <c r="H29" s="201">
        <f>+F29-G29</f>
        <v/>
      </c>
      <c r="I29" s="202" t="n"/>
      <c r="J29" s="203" t="n"/>
    </row>
    <row r="30" ht="18.75" customFormat="1" customHeight="1" s="390">
      <c r="A30" s="371" t="n"/>
      <c r="B30" s="391" t="n">
        <v>44228</v>
      </c>
      <c r="C30" s="199" t="n">
        <v>63944</v>
      </c>
      <c r="D30" s="200" t="n">
        <v>63944</v>
      </c>
      <c r="E30" s="201">
        <f>+C30-D30</f>
        <v/>
      </c>
      <c r="F30" s="199" t="n">
        <v>137805</v>
      </c>
      <c r="G30" s="200" t="n">
        <v>137805</v>
      </c>
      <c r="H30" s="201">
        <f>+F30-G30</f>
        <v/>
      </c>
      <c r="I30" s="202" t="n"/>
      <c r="J30" s="203" t="n"/>
    </row>
    <row r="31" ht="18.75" customFormat="1" customHeight="1" s="390">
      <c r="A31" s="371" t="n"/>
      <c r="B31" s="391" t="n">
        <v>44256</v>
      </c>
      <c r="C31" s="199" t="n">
        <v>59674</v>
      </c>
      <c r="D31" s="200" t="n">
        <v>59673.67999999995</v>
      </c>
      <c r="E31" s="201">
        <f>+C31-D31</f>
        <v/>
      </c>
      <c r="F31" s="199" t="n">
        <v>197479</v>
      </c>
      <c r="G31" s="200" t="n">
        <v>197479.020000001</v>
      </c>
      <c r="H31" s="201">
        <f>+F31-G31</f>
        <v/>
      </c>
      <c r="I31" s="202" t="n"/>
      <c r="J31" s="203" t="n"/>
    </row>
    <row r="32" ht="18.75" customFormat="1" customHeight="1" s="390">
      <c r="A32" s="371" t="n"/>
      <c r="B32" s="391" t="n">
        <v>44287</v>
      </c>
      <c r="C32" s="199" t="n">
        <v>78758</v>
      </c>
      <c r="D32" s="200" t="n">
        <v>78355.87</v>
      </c>
      <c r="E32" s="201">
        <f>+C32-D32</f>
        <v/>
      </c>
      <c r="F32" s="199" t="n">
        <v>276237</v>
      </c>
      <c r="G32" s="200" t="n">
        <v>274721.02</v>
      </c>
      <c r="H32" s="201">
        <f>+F32-G32</f>
        <v/>
      </c>
      <c r="I32" s="202" t="n"/>
      <c r="J32" s="203" t="n"/>
    </row>
    <row r="33" ht="18.75" customFormat="1" customHeight="1" s="390">
      <c r="A33" s="371" t="n"/>
      <c r="B33" s="391" t="n">
        <v>44317</v>
      </c>
      <c r="C33" s="199" t="n">
        <v>64257</v>
      </c>
      <c r="D33" s="200" t="n">
        <v>63592.55000000002</v>
      </c>
      <c r="E33" s="201">
        <f>+C33-D33</f>
        <v/>
      </c>
      <c r="F33" s="199" t="n">
        <v>338962</v>
      </c>
      <c r="G33" s="200" t="n">
        <v>335840.0500000018</v>
      </c>
      <c r="H33" s="201">
        <f>+F33-G33</f>
        <v/>
      </c>
      <c r="I33" s="202" t="n"/>
      <c r="J33" s="203" t="n"/>
    </row>
    <row r="34" ht="18.75" customFormat="1" customHeight="1" s="390">
      <c r="A34" s="371" t="n"/>
      <c r="B34" s="391" t="n">
        <v>44348</v>
      </c>
      <c r="C34" s="199" t="n">
        <v>70013</v>
      </c>
      <c r="D34" s="200" t="n">
        <v>68532.10999999971</v>
      </c>
      <c r="E34" s="201">
        <f>+C34-D34</f>
        <v/>
      </c>
      <c r="F34" s="199" t="n">
        <v>405877</v>
      </c>
      <c r="G34" s="200" t="n">
        <v>404372.1600000013</v>
      </c>
      <c r="H34" s="201">
        <f>+F34-G34</f>
        <v/>
      </c>
      <c r="I34" s="202" t="n"/>
      <c r="J34" s="203" t="n"/>
    </row>
    <row r="35" ht="18.75" customFormat="1" customHeight="1" s="390">
      <c r="A35" s="371" t="n"/>
      <c r="B35" s="391" t="n">
        <v>44378</v>
      </c>
      <c r="C35" s="199" t="n">
        <v>105205</v>
      </c>
      <c r="D35" s="200" t="n">
        <v>98149.53999999999</v>
      </c>
      <c r="E35" s="201">
        <f>+C35-D35</f>
        <v/>
      </c>
      <c r="F35" s="199" t="n">
        <v>509577</v>
      </c>
      <c r="G35" s="200" t="n">
        <v>502521.7</v>
      </c>
      <c r="H35" s="201">
        <f>+F35-G35</f>
        <v/>
      </c>
      <c r="I35" s="202" t="n"/>
      <c r="J35" s="203" t="n"/>
    </row>
    <row r="36" ht="18.75" customFormat="1" customHeight="1" s="390">
      <c r="A36" s="371" t="n"/>
      <c r="B36" s="391" t="n">
        <v>44409</v>
      </c>
      <c r="C36" s="199" t="n">
        <v>103501</v>
      </c>
      <c r="D36" s="200" t="n">
        <v>533119.25</v>
      </c>
      <c r="E36" s="201">
        <f>+C36-D36</f>
        <v/>
      </c>
      <c r="F36" s="199" t="n">
        <v>606341</v>
      </c>
      <c r="G36" s="200" t="n">
        <v>1035640.95</v>
      </c>
      <c r="H36" s="201">
        <f>+F36-G36</f>
        <v/>
      </c>
      <c r="I36" s="202" t="n"/>
      <c r="J36" s="203" t="n"/>
    </row>
    <row r="37" ht="18.75" customFormat="1" customHeight="1" s="390">
      <c r="A37" s="371" t="n"/>
      <c r="B37" s="391" t="n">
        <v>44440</v>
      </c>
      <c r="C37" s="199" t="n">
        <v>44575</v>
      </c>
      <c r="D37" s="200" t="n">
        <v>44508.42</v>
      </c>
      <c r="E37" s="201">
        <f>+C37-D37</f>
        <v/>
      </c>
      <c r="F37" s="199" t="n">
        <v>748964</v>
      </c>
      <c r="G37" s="200" t="n">
        <v>748898.15</v>
      </c>
      <c r="H37" s="201">
        <f>+F37-G37</f>
        <v/>
      </c>
      <c r="I37" s="202" t="n"/>
      <c r="J37" s="203" t="n"/>
    </row>
    <row r="38" ht="18.75" customFormat="1" customHeight="1" s="390">
      <c r="A38" s="371" t="n"/>
      <c r="B38" s="391" t="n">
        <v>44470</v>
      </c>
      <c r="C38" s="199" t="n">
        <v>-15084</v>
      </c>
      <c r="D38" s="200" t="n">
        <v>-15657.11000000013</v>
      </c>
      <c r="E38" s="201">
        <f>+C38-D38</f>
        <v/>
      </c>
      <c r="F38" s="199" t="n">
        <v>733684.5</v>
      </c>
      <c r="G38" s="200" t="n">
        <v>733241.0400000062</v>
      </c>
      <c r="H38" s="201">
        <f>+F38-G38</f>
        <v/>
      </c>
      <c r="I38" s="202" t="n"/>
      <c r="J38" s="203" t="n"/>
    </row>
    <row r="39" ht="18.75" customFormat="1" customHeight="1" s="390">
      <c r="A39" s="371" t="n"/>
      <c r="B39" s="391" t="n">
        <v>44501</v>
      </c>
      <c r="C39" s="199" t="n"/>
      <c r="D39" s="200" t="n"/>
      <c r="E39" s="201">
        <f>+C39-D39</f>
        <v/>
      </c>
      <c r="F39" s="199" t="n"/>
      <c r="G39" s="200" t="n"/>
      <c r="H39" s="201">
        <f>+F39-G39</f>
        <v/>
      </c>
      <c r="I39" s="202" t="n"/>
      <c r="J39" s="203" t="n"/>
    </row>
    <row r="40" ht="18.75" customFormat="1" customHeight="1" s="390">
      <c r="A40" s="371" t="n"/>
      <c r="B40" s="391" t="n">
        <v>44531</v>
      </c>
      <c r="C40" s="199" t="n"/>
      <c r="D40" s="200" t="n"/>
      <c r="E40" s="201">
        <f>+C40-D40</f>
        <v/>
      </c>
      <c r="F40" s="199" t="n"/>
      <c r="G40" s="200" t="n"/>
      <c r="H40" s="201">
        <f>+F40-G40</f>
        <v/>
      </c>
      <c r="I40" s="202" t="n"/>
      <c r="J40" s="203" t="n"/>
    </row>
    <row r="41" ht="6.75" customFormat="1" customHeight="1" s="390" thickBot="1">
      <c r="A41" s="371" t="n"/>
      <c r="B41" s="391" t="n"/>
      <c r="C41" s="199" t="n"/>
      <c r="D41" s="200" t="n"/>
      <c r="E41" s="201" t="n"/>
      <c r="F41" s="199" t="n"/>
      <c r="G41" s="200" t="n"/>
      <c r="H41" s="201" t="n"/>
      <c r="I41" s="204" t="n"/>
      <c r="J41" s="203" t="n"/>
    </row>
    <row r="42" ht="18.75" customFormat="1" customHeight="1" s="370" thickBot="1">
      <c r="A42" s="371" t="n"/>
      <c r="B42" s="392" t="inlineStr">
        <is>
          <t xml:space="preserve">Total </t>
        </is>
      </c>
      <c r="C42" s="206">
        <f>SUM(C29:C41)</f>
        <v/>
      </c>
      <c r="D42" s="207">
        <f>SUM(D29:D41)</f>
        <v/>
      </c>
      <c r="E42" s="208">
        <f>SUM(E29:E41)</f>
        <v/>
      </c>
      <c r="F42" s="206" t="n"/>
      <c r="G42" s="207" t="n"/>
      <c r="H42" s="208">
        <f>SUM(H29:H41)</f>
        <v/>
      </c>
      <c r="I42" s="209" t="n"/>
      <c r="J42" s="210" t="n"/>
    </row>
    <row r="44" ht="13.5" customHeight="1" s="161" thickBot="1"/>
    <row r="45" ht="14.25" customFormat="1" customHeight="1" s="371">
      <c r="B45" s="375" t="inlineStr">
        <is>
          <t>Libellés</t>
        </is>
      </c>
      <c r="C45" s="376" t="inlineStr">
        <is>
          <t>TL DIVES</t>
        </is>
      </c>
      <c r="D45" s="377" t="n"/>
      <c r="E45" s="377" t="n"/>
      <c r="F45" s="377" t="n"/>
      <c r="G45" s="377" t="n"/>
      <c r="H45" s="377" t="n"/>
      <c r="I45" s="377" t="n"/>
      <c r="J45" s="378" t="n"/>
    </row>
    <row r="46" ht="14.25" customFormat="1" customHeight="1" s="371" thickBot="1">
      <c r="B46" s="379" t="n"/>
      <c r="C46" s="379" t="n"/>
      <c r="J46" s="380" t="n"/>
    </row>
    <row r="47" ht="28.5" customFormat="1" customHeight="1" s="381" thickBot="1">
      <c r="B47" s="382" t="n"/>
      <c r="C47" s="383" t="inlineStr">
        <is>
          <t>P&amp;L Didier</t>
        </is>
      </c>
      <c r="D47" s="384" t="inlineStr">
        <is>
          <t>P&amp;L
rapport P&amp;L</t>
        </is>
      </c>
      <c r="E47" s="385" t="inlineStr">
        <is>
          <t>Ecart</t>
        </is>
      </c>
      <c r="F47" s="383" t="inlineStr">
        <is>
          <t>Cumulé Didier</t>
        </is>
      </c>
      <c r="G47" s="384" t="inlineStr">
        <is>
          <t>Cumulé rapport P&amp;L</t>
        </is>
      </c>
      <c r="H47" s="385" t="inlineStr">
        <is>
          <t>Ecart</t>
        </is>
      </c>
      <c r="I47" s="386" t="inlineStr">
        <is>
          <t>Commentaire</t>
        </is>
      </c>
      <c r="J47" s="385" t="inlineStr">
        <is>
          <t>Conclusion</t>
        </is>
      </c>
    </row>
    <row r="48" ht="6.75" customFormat="1" customHeight="1" s="370">
      <c r="A48" s="371" t="n"/>
      <c r="B48" s="387" t="n"/>
      <c r="C48" s="388" t="n"/>
      <c r="D48" s="389" t="n"/>
      <c r="E48" s="195" t="n"/>
      <c r="F48" s="196" t="n"/>
      <c r="G48" s="197" t="n"/>
      <c r="H48" s="195" t="n"/>
      <c r="I48" s="9" t="n"/>
      <c r="J48" s="195" t="n"/>
    </row>
    <row r="49" ht="18.75" customFormat="1" customHeight="1" s="390">
      <c r="A49" s="371" t="n"/>
      <c r="B49" s="391" t="n">
        <v>44197</v>
      </c>
      <c r="C49" s="199" t="n">
        <v>17546</v>
      </c>
      <c r="D49" s="200" t="n">
        <v>17435</v>
      </c>
      <c r="E49" s="201">
        <f>+C49-D49</f>
        <v/>
      </c>
      <c r="F49" s="199" t="n">
        <v>17546</v>
      </c>
      <c r="G49" s="200" t="n">
        <v>17435</v>
      </c>
      <c r="H49" s="201">
        <f>+F49-G49</f>
        <v/>
      </c>
      <c r="I49" s="202" t="n"/>
      <c r="J49" s="203" t="n"/>
    </row>
    <row r="50" ht="18.75" customFormat="1" customHeight="1" s="390">
      <c r="A50" s="371" t="n"/>
      <c r="B50" s="391" t="n">
        <v>44228</v>
      </c>
      <c r="C50" s="199" t="n">
        <v>26364</v>
      </c>
      <c r="D50" s="200" t="n">
        <v>26253</v>
      </c>
      <c r="E50" s="201">
        <f>+C50-D50</f>
        <v/>
      </c>
      <c r="F50" s="199" t="n">
        <v>60054</v>
      </c>
      <c r="G50" s="200" t="n">
        <v>59831</v>
      </c>
      <c r="H50" s="201">
        <f>+F50-G50</f>
        <v/>
      </c>
      <c r="I50" s="202" t="n"/>
      <c r="J50" s="203" t="n"/>
    </row>
    <row r="51" ht="26.25" customFormat="1" customHeight="1" s="390">
      <c r="A51" s="371" t="n"/>
      <c r="B51" s="391" t="n">
        <v>44256</v>
      </c>
      <c r="C51" s="199" t="n">
        <v>5900</v>
      </c>
      <c r="D51" s="200" t="n">
        <v>5788.879999999963</v>
      </c>
      <c r="E51" s="201">
        <f>+C51-D51</f>
        <v/>
      </c>
      <c r="F51" s="199" t="n">
        <v>65954</v>
      </c>
      <c r="G51" s="200" t="n">
        <v>65619.87000000011</v>
      </c>
      <c r="H51" s="201">
        <f>+F51-G51</f>
        <v/>
      </c>
      <c r="I51" s="202" t="inlineStr">
        <is>
          <t>Comptes non affectés en PNL modification PCG effectué</t>
        </is>
      </c>
      <c r="J51" s="203" t="n"/>
    </row>
    <row r="52" ht="18.75" customFormat="1" customHeight="1" s="390">
      <c r="A52" s="371" t="n"/>
      <c r="B52" s="391" t="n">
        <v>44287</v>
      </c>
      <c r="C52" s="199" t="n">
        <v>38000</v>
      </c>
      <c r="D52" s="200" t="n">
        <v>35822.83</v>
      </c>
      <c r="E52" s="201">
        <f>+C52-D52</f>
        <v/>
      </c>
      <c r="F52" s="199" t="n">
        <v>102439</v>
      </c>
      <c r="G52" s="200" t="n">
        <v>99542.73</v>
      </c>
      <c r="H52" s="201">
        <f>+F52-G52</f>
        <v/>
      </c>
      <c r="I52" s="202" t="n"/>
      <c r="J52" s="203" t="n"/>
    </row>
    <row r="53" ht="18.75" customFormat="1" customHeight="1" s="390">
      <c r="A53" s="371" t="n"/>
      <c r="B53" s="391" t="n">
        <v>44317</v>
      </c>
      <c r="C53" s="199" t="n">
        <v>24452</v>
      </c>
      <c r="D53" s="200" t="n">
        <v>2057.369999999904</v>
      </c>
      <c r="E53" s="201">
        <f>+C53-D53</f>
        <v/>
      </c>
      <c r="F53" s="199" t="n">
        <v>125878</v>
      </c>
      <c r="G53" s="200" t="n">
        <v>101746.7000000011</v>
      </c>
      <c r="H53" s="201">
        <f>+F53-G53</f>
        <v/>
      </c>
      <c r="I53" s="202" t="n"/>
      <c r="J53" s="203" t="n"/>
    </row>
    <row r="54" ht="18.75" customFormat="1" customHeight="1" s="390">
      <c r="A54" s="371" t="n"/>
      <c r="B54" s="391" t="n">
        <v>44348</v>
      </c>
      <c r="C54" s="199" t="n">
        <v>36531</v>
      </c>
      <c r="D54" s="200" t="n">
        <v>36952.4000000001</v>
      </c>
      <c r="E54" s="201">
        <f>+C54-D54</f>
        <v/>
      </c>
      <c r="F54" s="199" t="n">
        <v>138835</v>
      </c>
      <c r="G54" s="200" t="n">
        <v>138699.1000000011</v>
      </c>
      <c r="H54" s="201">
        <f>+F54-G54</f>
        <v/>
      </c>
      <c r="I54" s="202" t="n"/>
      <c r="J54" s="203" t="n"/>
    </row>
    <row r="55" ht="18.75" customFormat="1" customHeight="1" s="390">
      <c r="A55" s="371" t="n"/>
      <c r="B55" s="391" t="n">
        <v>44378</v>
      </c>
      <c r="C55" s="199" t="n">
        <v>71031</v>
      </c>
      <c r="D55" s="200" t="n">
        <v>70247.95</v>
      </c>
      <c r="E55" s="201">
        <f>+C55-D55</f>
        <v/>
      </c>
      <c r="F55" s="199" t="n">
        <v>209730</v>
      </c>
      <c r="G55" s="200" t="n">
        <v>208947.05</v>
      </c>
      <c r="H55" s="201">
        <f>+F55-G55</f>
        <v/>
      </c>
      <c r="I55" s="202" t="n"/>
      <c r="J55" s="203" t="n"/>
    </row>
    <row r="56" ht="18.75" customFormat="1" customHeight="1" s="390">
      <c r="A56" s="371" t="n"/>
      <c r="B56" s="391" t="n">
        <v>44409</v>
      </c>
      <c r="C56" s="199" t="n">
        <v>90478</v>
      </c>
      <c r="D56" s="200" t="n">
        <v>429444.72</v>
      </c>
      <c r="E56" s="201">
        <f>+C56-D56</f>
        <v/>
      </c>
      <c r="F56" s="199" t="n">
        <v>300452</v>
      </c>
      <c r="G56" s="200" t="n">
        <v>638391.77</v>
      </c>
      <c r="H56" s="201">
        <f>+F56-G56</f>
        <v/>
      </c>
      <c r="I56" s="202" t="n"/>
      <c r="J56" s="203" t="n"/>
    </row>
    <row r="57" ht="18.75" customFormat="1" customHeight="1" s="390">
      <c r="A57" s="371" t="n"/>
      <c r="B57" s="391" t="n">
        <v>44440</v>
      </c>
      <c r="C57" s="199" t="n">
        <v>10862</v>
      </c>
      <c r="D57" s="200" t="n">
        <v>11396.35</v>
      </c>
      <c r="E57" s="201">
        <f>+C57-D57</f>
        <v/>
      </c>
      <c r="F57" s="199" t="n">
        <v>278362</v>
      </c>
      <c r="G57" s="200" t="n">
        <v>278911.75</v>
      </c>
      <c r="H57" s="201">
        <f>+F57-G57</f>
        <v/>
      </c>
      <c r="I57" s="202" t="n"/>
      <c r="J57" s="203" t="n"/>
    </row>
    <row r="58" ht="18.75" customFormat="1" customHeight="1" s="390">
      <c r="A58" s="371" t="n"/>
      <c r="B58" s="391" t="n">
        <v>44470</v>
      </c>
      <c r="C58" s="199" t="n">
        <v>28715</v>
      </c>
      <c r="D58" s="200" t="n">
        <v>28731.60999999989</v>
      </c>
      <c r="E58" s="201">
        <f>+C58-D58</f>
        <v/>
      </c>
      <c r="F58" s="199" t="n">
        <v>321265</v>
      </c>
      <c r="G58" s="200" t="n">
        <v>318312.670000001</v>
      </c>
      <c r="H58" s="201">
        <f>+F58-G58</f>
        <v/>
      </c>
      <c r="I58" s="202" t="n"/>
      <c r="J58" s="203" t="n"/>
    </row>
    <row r="59" ht="18.75" customFormat="1" customHeight="1" s="390">
      <c r="A59" s="371" t="n"/>
      <c r="B59" s="391" t="n">
        <v>44501</v>
      </c>
      <c r="C59" s="199" t="n"/>
      <c r="D59" s="200" t="n"/>
      <c r="E59" s="201">
        <f>+C59-D59</f>
        <v/>
      </c>
      <c r="F59" s="199" t="n"/>
      <c r="G59" s="200" t="n"/>
      <c r="H59" s="201">
        <f>+F59-G59</f>
        <v/>
      </c>
      <c r="I59" s="202" t="n"/>
      <c r="J59" s="203" t="n"/>
    </row>
    <row r="60" ht="18.75" customFormat="1" customHeight="1" s="390">
      <c r="A60" s="371" t="n"/>
      <c r="B60" s="391" t="n">
        <v>44531</v>
      </c>
      <c r="C60" s="199" t="n"/>
      <c r="D60" s="200" t="n"/>
      <c r="E60" s="201">
        <f>+C60-D60</f>
        <v/>
      </c>
      <c r="F60" s="199" t="n"/>
      <c r="G60" s="200" t="n"/>
      <c r="H60" s="201">
        <f>+F60-G60</f>
        <v/>
      </c>
      <c r="I60" s="202" t="n"/>
      <c r="J60" s="203" t="n"/>
    </row>
    <row r="61" ht="6.75" customFormat="1" customHeight="1" s="390" thickBot="1">
      <c r="A61" s="371" t="n"/>
      <c r="B61" s="391" t="n"/>
      <c r="C61" s="199" t="n"/>
      <c r="D61" s="200" t="n"/>
      <c r="E61" s="201" t="n"/>
      <c r="F61" s="199" t="n"/>
      <c r="G61" s="200" t="n"/>
      <c r="H61" s="201" t="n"/>
      <c r="I61" s="204" t="n"/>
      <c r="J61" s="203" t="n"/>
    </row>
    <row r="62" ht="18.75" customFormat="1" customHeight="1" s="370" thickBot="1">
      <c r="A62" s="371" t="n"/>
      <c r="B62" s="392" t="inlineStr">
        <is>
          <t xml:space="preserve">Total </t>
        </is>
      </c>
      <c r="C62" s="206">
        <f>SUM(C49:C61)</f>
        <v/>
      </c>
      <c r="D62" s="207">
        <f>SUM(D49:D61)</f>
        <v/>
      </c>
      <c r="E62" s="208">
        <f>SUM(E49:E61)</f>
        <v/>
      </c>
      <c r="F62" s="206" t="n"/>
      <c r="G62" s="207" t="n"/>
      <c r="H62" s="208">
        <f>SUM(H49:H61)</f>
        <v/>
      </c>
      <c r="I62" s="209" t="n"/>
      <c r="J62" s="210" t="n"/>
    </row>
    <row r="65" ht="13.5" customHeight="1" s="161" thickBot="1"/>
    <row r="66" ht="14.25" customFormat="1" customHeight="1" s="371">
      <c r="B66" s="375" t="inlineStr">
        <is>
          <t>Libellés</t>
        </is>
      </c>
      <c r="C66" s="376" t="inlineStr">
        <is>
          <t>TH4</t>
        </is>
      </c>
      <c r="D66" s="377" t="n"/>
      <c r="E66" s="377" t="n"/>
      <c r="F66" s="377" t="n"/>
      <c r="G66" s="377" t="n"/>
      <c r="H66" s="377" t="n"/>
      <c r="I66" s="377" t="n"/>
      <c r="J66" s="378" t="n"/>
    </row>
    <row r="67" ht="14.25" customFormat="1" customHeight="1" s="371" thickBot="1">
      <c r="B67" s="379" t="n"/>
      <c r="C67" s="379" t="n"/>
      <c r="J67" s="380" t="n"/>
    </row>
    <row r="68" ht="28.5" customFormat="1" customHeight="1" s="381" thickBot="1">
      <c r="B68" s="382" t="n"/>
      <c r="C68" s="383" t="inlineStr">
        <is>
          <t>P&amp;L Didier</t>
        </is>
      </c>
      <c r="D68" s="384" t="inlineStr">
        <is>
          <t>P&amp;L
rapport P&amp;L</t>
        </is>
      </c>
      <c r="E68" s="385" t="inlineStr">
        <is>
          <t>Ecart</t>
        </is>
      </c>
      <c r="F68" s="383" t="inlineStr">
        <is>
          <t>Cumulé Didier</t>
        </is>
      </c>
      <c r="G68" s="384" t="inlineStr">
        <is>
          <t>Cumulé rapport P&amp;L</t>
        </is>
      </c>
      <c r="H68" s="385" t="inlineStr">
        <is>
          <t>Ecart</t>
        </is>
      </c>
      <c r="I68" s="386" t="inlineStr">
        <is>
          <t>Commentaire</t>
        </is>
      </c>
      <c r="J68" s="385" t="inlineStr">
        <is>
          <t>Conclusion</t>
        </is>
      </c>
    </row>
    <row r="69" ht="6.75" customFormat="1" customHeight="1" s="370">
      <c r="A69" s="371" t="n"/>
      <c r="B69" s="387" t="n"/>
      <c r="C69" s="388" t="n"/>
      <c r="D69" s="389" t="n"/>
      <c r="E69" s="195" t="n"/>
      <c r="F69" s="196" t="n"/>
      <c r="G69" s="197" t="n"/>
      <c r="H69" s="195" t="n"/>
      <c r="I69" s="9" t="n"/>
      <c r="J69" s="195" t="n"/>
    </row>
    <row r="70" ht="18.75" customFormat="1" customHeight="1" s="390">
      <c r="A70" s="371" t="n"/>
      <c r="B70" s="391" t="n">
        <v>44197</v>
      </c>
      <c r="C70" s="199" t="n">
        <v>28132</v>
      </c>
      <c r="D70" s="200" t="n">
        <v>28006</v>
      </c>
      <c r="E70" s="201">
        <f>+C70-D70</f>
        <v/>
      </c>
      <c r="F70" s="199" t="n">
        <v>28132</v>
      </c>
      <c r="G70" s="200" t="n">
        <v>28006</v>
      </c>
      <c r="H70" s="201">
        <f>+F70-G70</f>
        <v/>
      </c>
      <c r="I70" s="202" t="n"/>
      <c r="J70" s="203" t="n"/>
    </row>
    <row r="71" ht="27.75" customFormat="1" customHeight="1" s="390">
      <c r="A71" s="371" t="n"/>
      <c r="B71" s="391" t="n">
        <v>44228</v>
      </c>
      <c r="C71" s="199" t="n">
        <v>39228</v>
      </c>
      <c r="D71" s="200" t="n">
        <v>39101.83</v>
      </c>
      <c r="E71" s="201">
        <f>+C71-D71</f>
        <v/>
      </c>
      <c r="F71" s="199" t="n">
        <v>67319</v>
      </c>
      <c r="G71" s="200" t="n">
        <v>67067</v>
      </c>
      <c r="H71" s="201">
        <f>+F71-G71</f>
        <v/>
      </c>
      <c r="I71" s="202" t="inlineStr">
        <is>
          <t>Comptes non affectés en PNL modification PCG effectué</t>
        </is>
      </c>
      <c r="J71" s="203" t="n"/>
    </row>
    <row r="72" ht="18.75" customFormat="1" customHeight="1" s="390">
      <c r="A72" s="371" t="n"/>
      <c r="B72" s="391" t="n">
        <v>44256</v>
      </c>
      <c r="C72" s="199" t="n">
        <v>38023</v>
      </c>
      <c r="D72" s="200" t="n">
        <v>36005.25000000005</v>
      </c>
      <c r="E72" s="201">
        <f>+C72-D72</f>
        <v/>
      </c>
      <c r="F72" s="199" t="n">
        <v>105342</v>
      </c>
      <c r="G72" s="200" t="n">
        <v>103072.5199999999</v>
      </c>
      <c r="H72" s="201">
        <f>+F72-G72</f>
        <v/>
      </c>
      <c r="I72" s="202" t="n"/>
      <c r="J72" s="203" t="n"/>
    </row>
    <row r="73" ht="18.75" customFormat="1" customHeight="1" s="390">
      <c r="A73" s="371" t="n"/>
      <c r="B73" s="391" t="n">
        <v>44287</v>
      </c>
      <c r="C73" s="199" t="n">
        <v>36986</v>
      </c>
      <c r="D73" s="200" t="n">
        <v>36450.53</v>
      </c>
      <c r="E73" s="201">
        <f>+C73-D73</f>
        <v/>
      </c>
      <c r="F73" s="199" t="n">
        <v>127976</v>
      </c>
      <c r="G73" s="200" t="n">
        <v>125170.83</v>
      </c>
      <c r="H73" s="201">
        <f>+F73-G73</f>
        <v/>
      </c>
      <c r="I73" s="202" t="n"/>
      <c r="J73" s="203" t="n"/>
    </row>
    <row r="74" ht="18.75" customFormat="1" customHeight="1" s="390">
      <c r="A74" s="371" t="n"/>
      <c r="B74" s="391" t="n">
        <v>44317</v>
      </c>
      <c r="C74" s="199" t="n">
        <v>39126</v>
      </c>
      <c r="D74" s="200" t="n">
        <v>24526.87999999996</v>
      </c>
      <c r="E74" s="201">
        <f>+C74-D74</f>
        <v/>
      </c>
      <c r="F74" s="199" t="n">
        <v>166692</v>
      </c>
      <c r="G74" s="200" t="n">
        <v>149713.3599999998</v>
      </c>
      <c r="H74" s="201">
        <f>+F74-G74</f>
        <v/>
      </c>
      <c r="I74" s="202" t="n"/>
      <c r="J74" s="203" t="n"/>
    </row>
    <row r="75" ht="18.75" customFormat="1" customHeight="1" s="390">
      <c r="A75" s="371" t="n"/>
      <c r="B75" s="391" t="n">
        <v>44348</v>
      </c>
      <c r="C75" s="199" t="n">
        <v>35045</v>
      </c>
      <c r="D75" s="200" t="n">
        <v>33764.42999999996</v>
      </c>
      <c r="E75" s="201">
        <f>+C75-D75</f>
        <v/>
      </c>
      <c r="F75" s="199" t="n">
        <v>194750</v>
      </c>
      <c r="G75" s="200" t="n">
        <v>183477.7900000007</v>
      </c>
      <c r="H75" s="201">
        <f>+F75-G75</f>
        <v/>
      </c>
      <c r="I75" s="202" t="n"/>
      <c r="J75" s="203" t="n"/>
    </row>
    <row r="76" ht="18.75" customFormat="1" customHeight="1" s="390">
      <c r="A76" s="371" t="n"/>
      <c r="B76" s="391" t="n">
        <v>44378</v>
      </c>
      <c r="C76" s="199" t="n">
        <v>15646</v>
      </c>
      <c r="D76" s="200" t="n">
        <v>15245.46</v>
      </c>
      <c r="E76" s="201">
        <f>+C76-D76</f>
        <v/>
      </c>
      <c r="F76" s="199" t="n">
        <v>199124</v>
      </c>
      <c r="G76" s="200" t="n">
        <v>198723.25</v>
      </c>
      <c r="H76" s="201">
        <f>+F76-G76</f>
        <v/>
      </c>
      <c r="I76" s="202" t="n"/>
      <c r="J76" s="203" t="n"/>
    </row>
    <row r="77" ht="18.75" customFormat="1" customHeight="1" s="390">
      <c r="A77" s="371" t="n"/>
      <c r="B77" s="391" t="n">
        <v>44409</v>
      </c>
      <c r="C77" s="199" t="n">
        <v>16587</v>
      </c>
      <c r="D77" s="200" t="n">
        <v>262560.51</v>
      </c>
      <c r="E77" s="201">
        <f>+C77-D77</f>
        <v/>
      </c>
      <c r="F77" s="199" t="n">
        <v>215310</v>
      </c>
      <c r="G77" s="200" t="n">
        <v>461283.76</v>
      </c>
      <c r="H77" s="201">
        <f>+F77-G77</f>
        <v/>
      </c>
      <c r="I77" s="202" t="n"/>
      <c r="J77" s="203" t="n"/>
    </row>
    <row r="78" ht="18.75" customFormat="1" customHeight="1" s="390">
      <c r="A78" s="371" t="n"/>
      <c r="B78" s="391" t="n">
        <v>44440</v>
      </c>
      <c r="C78" s="199" t="n">
        <v>-2317</v>
      </c>
      <c r="D78" s="200" t="n">
        <v>-2445.05</v>
      </c>
      <c r="E78" s="201">
        <f>+C78-D78</f>
        <v/>
      </c>
      <c r="F78" s="199" t="n">
        <v>207760</v>
      </c>
      <c r="G78" s="200" t="n">
        <v>207631.89</v>
      </c>
      <c r="H78" s="201">
        <f>+F78-G78</f>
        <v/>
      </c>
      <c r="I78" s="202" t="n"/>
      <c r="J78" s="203" t="n"/>
    </row>
    <row r="79" ht="18.75" customFormat="1" customHeight="1" s="390">
      <c r="A79" s="371" t="n"/>
      <c r="B79" s="391" t="n">
        <v>44470</v>
      </c>
      <c r="C79" s="199" t="n">
        <v>5429</v>
      </c>
      <c r="D79" s="200" t="n">
        <v>5448.100000000035</v>
      </c>
      <c r="E79" s="201">
        <f>+C79-D79</f>
        <v/>
      </c>
      <c r="F79" s="199" t="n">
        <v>210122</v>
      </c>
      <c r="G79" s="200" t="n">
        <v>210141.4800000004</v>
      </c>
      <c r="H79" s="201">
        <f>+F79-G79</f>
        <v/>
      </c>
      <c r="I79" s="202" t="n"/>
      <c r="J79" s="203" t="n"/>
    </row>
    <row r="80" ht="18.75" customFormat="1" customHeight="1" s="390">
      <c r="A80" s="371" t="n"/>
      <c r="B80" s="391" t="n">
        <v>44501</v>
      </c>
      <c r="C80" s="199" t="n"/>
      <c r="D80" s="200" t="n"/>
      <c r="E80" s="201">
        <f>+C80-D80</f>
        <v/>
      </c>
      <c r="F80" s="199" t="n"/>
      <c r="G80" s="200" t="n"/>
      <c r="H80" s="201">
        <f>+F80-G80</f>
        <v/>
      </c>
      <c r="I80" s="202" t="n"/>
      <c r="J80" s="203" t="n"/>
    </row>
    <row r="81" ht="18.75" customFormat="1" customHeight="1" s="390">
      <c r="A81" s="371" t="n"/>
      <c r="B81" s="391" t="n">
        <v>44531</v>
      </c>
      <c r="C81" s="199" t="n"/>
      <c r="D81" s="200" t="n"/>
      <c r="E81" s="201">
        <f>+C81-D81</f>
        <v/>
      </c>
      <c r="F81" s="199" t="n"/>
      <c r="G81" s="200" t="n"/>
      <c r="H81" s="201">
        <f>+F81-G81</f>
        <v/>
      </c>
      <c r="I81" s="202" t="n"/>
      <c r="J81" s="203" t="n"/>
    </row>
    <row r="82" ht="6.75" customFormat="1" customHeight="1" s="390" thickBot="1">
      <c r="A82" s="371" t="n"/>
      <c r="B82" s="391" t="n"/>
      <c r="C82" s="199" t="n"/>
      <c r="D82" s="200" t="n"/>
      <c r="E82" s="201" t="n"/>
      <c r="F82" s="199" t="n"/>
      <c r="G82" s="200" t="n"/>
      <c r="H82" s="201" t="n"/>
      <c r="I82" s="204" t="n"/>
      <c r="J82" s="203" t="n"/>
    </row>
    <row r="83" ht="18.75" customFormat="1" customHeight="1" s="370" thickBot="1">
      <c r="A83" s="371" t="n"/>
      <c r="B83" s="392" t="inlineStr">
        <is>
          <t xml:space="preserve">Total </t>
        </is>
      </c>
      <c r="C83" s="206">
        <f>SUM(C70:C82)</f>
        <v/>
      </c>
      <c r="D83" s="207">
        <f>SUM(D70:D82)</f>
        <v/>
      </c>
      <c r="E83" s="208">
        <f>SUM(E70:E82)</f>
        <v/>
      </c>
      <c r="F83" s="206" t="n"/>
      <c r="G83" s="207" t="n"/>
      <c r="H83" s="208">
        <f>SUM(H70:H82)</f>
        <v/>
      </c>
      <c r="I83" s="209" t="n"/>
      <c r="J83" s="210" t="n"/>
    </row>
  </sheetData>
  <mergeCells count="9">
    <mergeCell ref="B45:B47"/>
    <mergeCell ref="B3:J3"/>
    <mergeCell ref="C66:J67"/>
    <mergeCell ref="C25:J26"/>
    <mergeCell ref="B66:B68"/>
    <mergeCell ref="C45:J46"/>
    <mergeCell ref="B25:B27"/>
    <mergeCell ref="C5:J6"/>
    <mergeCell ref="B5:B7"/>
  </mergeCells>
  <pageMargins left="0.2362204724409449" right="0.2362204724409449" top="0.7480314960629921" bottom="0.5511811023622047" header="0.3149606299212598" footer="0.3149606299212598"/>
  <pageSetup orientation="portrait" paperSize="9" scale="71" fitToHeight="0"/>
</worksheet>
</file>

<file path=xl/worksheets/sheet23.xml><?xml version="1.0" encoding="utf-8"?>
<worksheet xmlns="http://schemas.openxmlformats.org/spreadsheetml/2006/main">
  <sheetPr codeName="Feuil28">
    <tabColor theme="0"/>
    <outlinePr summaryBelow="1" summaryRight="1"/>
    <pageSetUpPr fitToPage="1"/>
  </sheetPr>
  <dimension ref="A1:F59"/>
  <sheetViews>
    <sheetView showGridLines="0" view="pageBreakPreview" zoomScaleNormal="85" zoomScaleSheetLayoutView="100" workbookViewId="0">
      <selection activeCell="G26" activeCellId="2" sqref="E16 M26 G26"/>
    </sheetView>
  </sheetViews>
  <sheetFormatPr baseColWidth="10" defaultColWidth="11.42578125" defaultRowHeight="12.75"/>
  <cols>
    <col width="7.42578125" customWidth="1" style="393" min="1" max="1"/>
    <col width="23.7109375" customWidth="1" style="393" min="2" max="2"/>
    <col width="24" customWidth="1" style="393" min="3" max="4"/>
    <col width="7.42578125" customWidth="1" style="394" min="5" max="5"/>
    <col width="11.42578125" customWidth="1" style="393" min="6" max="16384"/>
  </cols>
  <sheetData>
    <row r="1" ht="20.65" customHeight="1" s="161">
      <c r="A1" s="395" t="inlineStr">
        <is>
          <t>SOMMAIRE</t>
        </is>
      </c>
      <c r="F1" s="396" t="n"/>
    </row>
    <row r="2" ht="30.75" customHeight="1" s="161"/>
    <row r="3" ht="20.65" customFormat="1" customHeight="1" s="397">
      <c r="A3" s="398" t="inlineStr">
        <is>
          <t>A)</t>
        </is>
      </c>
      <c r="B3" s="399" t="inlineStr">
        <is>
          <t>P&amp;L globalisés</t>
        </is>
      </c>
      <c r="C3" s="399" t="n"/>
      <c r="D3" s="399" t="n"/>
      <c r="E3" s="154" t="inlineStr">
        <is>
          <t>5</t>
        </is>
      </c>
    </row>
    <row r="4" ht="15" customHeight="1" s="161"/>
    <row r="5" ht="15" customFormat="1" customHeight="1" s="400">
      <c r="B5" s="401">
        <f>CONCATENATE("Comparaison mensuelle des P&amp;L réalisés en ",DONNÉES!D5," et ",DONNÉES!D6,".............................................................................................................................................")</f>
        <v/>
      </c>
      <c r="C5" s="401" t="n"/>
      <c r="D5" s="401" t="n"/>
      <c r="E5" s="142" t="inlineStr">
        <is>
          <t>7</t>
        </is>
      </c>
    </row>
    <row r="6" ht="18" customFormat="1" customHeight="1" s="400">
      <c r="B6" s="401" t="n"/>
      <c r="C6" s="401" t="n"/>
      <c r="D6" s="401" t="n"/>
      <c r="E6" s="142" t="n"/>
    </row>
    <row r="7" ht="15" customFormat="1" customHeight="1" s="400">
      <c r="B7" s="401">
        <f>CONCATENATE("Comparaison annuelle des P&amp;L réalisés en ",DONNÉES!D5," et ",DONNÉES!D6,".............................................................................................................................................")</f>
        <v/>
      </c>
      <c r="C7" s="401" t="n"/>
      <c r="D7" s="401" t="n"/>
      <c r="E7" s="142" t="inlineStr">
        <is>
          <t>9</t>
        </is>
      </c>
    </row>
    <row r="8" ht="18" customFormat="1" customHeight="1" s="400">
      <c r="B8" s="401" t="n"/>
      <c r="C8" s="401" t="n"/>
      <c r="D8" s="401" t="n"/>
      <c r="E8" s="142" t="n"/>
    </row>
    <row r="9" ht="15" customFormat="1" customHeight="1" s="400">
      <c r="B9" s="402">
        <f>CONCATENATE("P&amp;L contributifs au ",DONNÉES!B5,"..............................................................................................................................................")</f>
        <v/>
      </c>
      <c r="C9" s="401" t="n"/>
      <c r="D9" s="401" t="n"/>
      <c r="E9" s="142" t="inlineStr">
        <is>
          <t>10</t>
        </is>
      </c>
    </row>
    <row r="10" ht="18" customFormat="1" customHeight="1" s="400">
      <c r="B10" s="401" t="n"/>
      <c r="C10" s="401" t="n"/>
      <c r="D10" s="401" t="n"/>
      <c r="E10" s="142" t="n"/>
    </row>
    <row r="11" ht="15" customFormat="1" customHeight="1" s="400">
      <c r="B11" s="402">
        <f>CONCATENATE("P&amp;L contributifs au ",DONNÉES!B6,"..............................................................................................................................................")</f>
        <v/>
      </c>
      <c r="C11" s="401" t="n"/>
      <c r="D11" s="401" t="n"/>
      <c r="E11" s="142" t="inlineStr">
        <is>
          <t>12</t>
        </is>
      </c>
    </row>
    <row r="12" ht="18" customFormat="1" customHeight="1" s="400">
      <c r="B12" s="401" t="n"/>
      <c r="C12" s="401" t="n"/>
      <c r="D12" s="401" t="n"/>
      <c r="E12" s="142" t="n"/>
    </row>
    <row r="13" hidden="1" ht="15" customFormat="1" customHeight="1" s="400">
      <c r="B13" s="401" t="inlineStr">
        <is>
          <t>Comparaison annuelle des prévisions et des P&amp;L réalisés ..................................................................................................</t>
        </is>
      </c>
      <c r="C13" s="401" t="n"/>
      <c r="D13" s="401" t="n"/>
      <c r="E13" s="142" t="inlineStr">
        <is>
          <t>16</t>
        </is>
      </c>
    </row>
    <row r="14" hidden="1" ht="18" customFormat="1" customHeight="1" s="400">
      <c r="B14" s="401" t="n"/>
      <c r="C14" s="401" t="n"/>
      <c r="D14" s="401" t="n"/>
      <c r="E14" s="142" t="n"/>
    </row>
    <row r="15" hidden="1" ht="15" customFormat="1" customHeight="1" s="400">
      <c r="B15" s="401" t="inlineStr">
        <is>
          <t>Comparaison mensuelle des prévisions et des P&amp;L réalisés ..................................................................................................</t>
        </is>
      </c>
      <c r="C15" s="401" t="n"/>
      <c r="D15" s="401" t="n"/>
      <c r="E15" s="142" t="inlineStr">
        <is>
          <t>18</t>
        </is>
      </c>
    </row>
    <row r="16" ht="48.6" customHeight="1" s="161">
      <c r="B16" s="403" t="n"/>
      <c r="C16" s="403" t="n"/>
      <c r="D16" s="403" t="n"/>
      <c r="E16" s="404" t="n"/>
    </row>
    <row r="17" ht="20.65" customFormat="1" customHeight="1" s="397">
      <c r="A17" s="398" t="inlineStr">
        <is>
          <t>B) et C)</t>
        </is>
      </c>
      <c r="B17" s="399" t="inlineStr">
        <is>
          <t>P&amp;L par restaurant</t>
        </is>
      </c>
      <c r="C17" s="399" t="n"/>
      <c r="D17" s="399" t="n"/>
      <c r="E17" s="154" t="n"/>
    </row>
    <row r="18" ht="23.65" customHeight="1" s="161"/>
    <row r="19" ht="22.15" customHeight="1" s="161">
      <c r="A19" s="405" t="n"/>
      <c r="B19" s="406" t="inlineStr">
        <is>
          <t>Restaurant</t>
        </is>
      </c>
      <c r="C19" s="407" t="inlineStr">
        <is>
          <t>P&amp;L mensuels</t>
        </is>
      </c>
      <c r="D19" s="407" t="inlineStr">
        <is>
          <t>P&amp;L cumulés</t>
        </is>
      </c>
      <c r="E19" s="408" t="n"/>
    </row>
    <row r="20" ht="22.15" customHeight="1" s="161">
      <c r="A20" s="409" t="n"/>
      <c r="B20" s="406" t="inlineStr">
        <is>
          <t>GLR5</t>
        </is>
      </c>
      <c r="C20" s="142" t="inlineStr">
        <is>
          <t>17</t>
        </is>
      </c>
      <c r="D20" s="142" t="inlineStr">
        <is>
          <t>49</t>
        </is>
      </c>
      <c r="E20" s="408" t="n"/>
    </row>
    <row r="21" ht="22.15" customHeight="1" s="161">
      <c r="B21" s="406" t="inlineStr">
        <is>
          <t>HTR8</t>
        </is>
      </c>
      <c r="C21" s="142" t="inlineStr">
        <is>
          <t>19</t>
        </is>
      </c>
      <c r="D21" s="142" t="inlineStr">
        <is>
          <t>51</t>
        </is>
      </c>
      <c r="E21" s="408" t="n"/>
    </row>
    <row r="22" ht="22.15" customHeight="1" s="161">
      <c r="B22" s="406" t="inlineStr">
        <is>
          <t>TIRR</t>
        </is>
      </c>
      <c r="C22" s="142" t="inlineStr">
        <is>
          <t>21</t>
        </is>
      </c>
      <c r="D22" s="142" t="inlineStr">
        <is>
          <t>53</t>
        </is>
      </c>
      <c r="E22" s="408" t="n"/>
    </row>
    <row r="23" ht="22.15" customHeight="1" s="161">
      <c r="B23" s="406" t="inlineStr">
        <is>
          <t>VR7</t>
        </is>
      </c>
      <c r="C23" s="142" t="inlineStr">
        <is>
          <t>23</t>
        </is>
      </c>
      <c r="D23" s="142" t="inlineStr">
        <is>
          <t>55</t>
        </is>
      </c>
      <c r="E23" s="408" t="n"/>
    </row>
    <row r="24" ht="22.15" customHeight="1" s="161">
      <c r="B24" s="406" t="inlineStr">
        <is>
          <t>TURVILLA</t>
        </is>
      </c>
      <c r="C24" s="142" t="inlineStr">
        <is>
          <t>25</t>
        </is>
      </c>
      <c r="D24" s="142" t="inlineStr">
        <is>
          <t>57</t>
        </is>
      </c>
      <c r="E24" s="408" t="n"/>
    </row>
    <row r="25" ht="22.15" customHeight="1" s="161">
      <c r="B25" s="406" t="inlineStr">
        <is>
          <t>HART</t>
        </is>
      </c>
      <c r="C25" s="142" t="inlineStr">
        <is>
          <t>27</t>
        </is>
      </c>
      <c r="D25" s="142" t="inlineStr">
        <is>
          <t>59</t>
        </is>
      </c>
      <c r="E25" s="408" t="n"/>
    </row>
    <row r="26" ht="22.15" customHeight="1" s="161">
      <c r="B26" s="406" t="inlineStr">
        <is>
          <t>VICTOIRE'S</t>
        </is>
      </c>
      <c r="C26" s="142" t="inlineStr">
        <is>
          <t>29</t>
        </is>
      </c>
      <c r="D26" s="142" t="inlineStr">
        <is>
          <t>61</t>
        </is>
      </c>
      <c r="E26" s="408" t="n"/>
    </row>
    <row r="27" ht="22.15" customHeight="1" s="161">
      <c r="B27" s="406" t="inlineStr">
        <is>
          <t>TH4</t>
        </is>
      </c>
      <c r="C27" s="142" t="inlineStr">
        <is>
          <t>31</t>
        </is>
      </c>
      <c r="D27" s="142" t="inlineStr">
        <is>
          <t>63</t>
        </is>
      </c>
      <c r="E27" s="408" t="n"/>
    </row>
    <row r="28" ht="22.15" customHeight="1" s="161">
      <c r="B28" s="406" t="inlineStr">
        <is>
          <t>TL DIVES</t>
        </is>
      </c>
      <c r="C28" s="142" t="inlineStr">
        <is>
          <t>33</t>
        </is>
      </c>
      <c r="D28" s="142" t="inlineStr">
        <is>
          <t>65</t>
        </is>
      </c>
      <c r="E28" s="408" t="n"/>
    </row>
    <row r="29" ht="22.15" customHeight="1" s="161">
      <c r="B29" s="406" t="inlineStr">
        <is>
          <t>R314</t>
        </is>
      </c>
      <c r="C29" s="142" t="inlineStr">
        <is>
          <t>35</t>
        </is>
      </c>
      <c r="D29" s="142" t="inlineStr">
        <is>
          <t>67</t>
        </is>
      </c>
      <c r="E29" s="408" t="n"/>
    </row>
    <row r="30" ht="22.15" customHeight="1" s="161">
      <c r="B30" s="406" t="inlineStr">
        <is>
          <t>LYSE</t>
        </is>
      </c>
      <c r="C30" s="142" t="inlineStr">
        <is>
          <t>37</t>
        </is>
      </c>
      <c r="D30" s="142" t="inlineStr">
        <is>
          <t>69</t>
        </is>
      </c>
      <c r="E30" s="408" t="n"/>
    </row>
    <row r="31" ht="22.15" customHeight="1" s="161">
      <c r="B31" s="406" t="inlineStr">
        <is>
          <t>ARTHUR</t>
        </is>
      </c>
      <c r="C31" s="142" t="inlineStr">
        <is>
          <t>39</t>
        </is>
      </c>
      <c r="D31" s="142" t="inlineStr">
        <is>
          <t>71</t>
        </is>
      </c>
      <c r="E31" s="408" t="n"/>
    </row>
    <row r="32" ht="22.15" customHeight="1" s="161">
      <c r="B32" s="406" t="inlineStr">
        <is>
          <t>HUGO</t>
        </is>
      </c>
      <c r="C32" s="142" t="inlineStr">
        <is>
          <t>41</t>
        </is>
      </c>
      <c r="D32" s="142" t="inlineStr">
        <is>
          <t>73</t>
        </is>
      </c>
      <c r="E32" s="408" t="n"/>
    </row>
    <row r="33" ht="22.15" customHeight="1" s="161">
      <c r="B33" s="406" t="inlineStr">
        <is>
          <t>JEANCLO</t>
        </is>
      </c>
      <c r="C33" s="142" t="inlineStr">
        <is>
          <t>43</t>
        </is>
      </c>
      <c r="D33" s="142" t="inlineStr">
        <is>
          <t>75</t>
        </is>
      </c>
      <c r="E33" s="408" t="n"/>
    </row>
    <row r="34" ht="22.15" customHeight="1" s="161">
      <c r="B34" s="406" t="inlineStr">
        <is>
          <t>THOMAS</t>
        </is>
      </c>
      <c r="C34" s="142" t="inlineStr">
        <is>
          <t>45</t>
        </is>
      </c>
      <c r="D34" s="142" t="inlineStr">
        <is>
          <t>77</t>
        </is>
      </c>
      <c r="E34" s="408" t="n"/>
    </row>
    <row r="35" ht="22.15" customHeight="1" s="161">
      <c r="B35" s="406" t="inlineStr">
        <is>
          <t>CATALINA</t>
        </is>
      </c>
      <c r="C35" s="142" t="inlineStr">
        <is>
          <t>47</t>
        </is>
      </c>
      <c r="D35" s="142" t="inlineStr">
        <is>
          <t>81</t>
        </is>
      </c>
      <c r="E35" s="408" t="n"/>
    </row>
    <row r="36" ht="48.6" customHeight="1" s="161">
      <c r="B36" s="403" t="n"/>
      <c r="C36" s="403" t="n"/>
      <c r="D36" s="403" t="n"/>
      <c r="E36" s="404" t="n"/>
    </row>
    <row r="37" hidden="1" ht="20.65" customFormat="1" customHeight="1" s="397">
      <c r="A37" s="398" t="inlineStr">
        <is>
          <t>D) et E)</t>
        </is>
      </c>
      <c r="B37" s="399" t="inlineStr">
        <is>
          <t>Comparatif P&amp;L / prévisionnel par restaurant</t>
        </is>
      </c>
      <c r="C37" s="399" t="n"/>
      <c r="D37" s="399" t="n"/>
      <c r="E37" s="154" t="inlineStr">
        <is>
          <t>38/58</t>
        </is>
      </c>
    </row>
    <row r="38" hidden="1" ht="23.65" customHeight="1" s="161"/>
    <row r="39" hidden="1" ht="22.15" customHeight="1" s="161">
      <c r="A39" s="405" t="n"/>
      <c r="B39" s="406" t="inlineStr">
        <is>
          <t>Restaurant</t>
        </is>
      </c>
      <c r="C39" s="407" t="inlineStr">
        <is>
          <t>Prévisions mensuelles</t>
        </is>
      </c>
      <c r="D39" s="407" t="inlineStr">
        <is>
          <t>Prévisions annuelles</t>
        </is>
      </c>
      <c r="E39" s="408" t="n"/>
    </row>
    <row r="40" hidden="1" ht="22.15" customHeight="1" s="161">
      <c r="A40" s="409" t="n"/>
      <c r="B40" s="406" t="inlineStr">
        <is>
          <t xml:space="preserve">R314 </t>
        </is>
      </c>
      <c r="C40" s="142" t="inlineStr">
        <is>
          <t>42</t>
        </is>
      </c>
      <c r="D40" s="142" t="inlineStr">
        <is>
          <t>52</t>
        </is>
      </c>
      <c r="E40" s="408" t="n"/>
    </row>
    <row r="41" hidden="1" ht="22.15" customHeight="1" s="161">
      <c r="B41" s="406" t="inlineStr">
        <is>
          <t>LYSE</t>
        </is>
      </c>
      <c r="C41" s="142" t="inlineStr">
        <is>
          <t>44</t>
        </is>
      </c>
      <c r="D41" s="142" t="inlineStr">
        <is>
          <t>54</t>
        </is>
      </c>
      <c r="E41" s="408" t="n"/>
    </row>
    <row r="42" hidden="1" ht="22.15" customHeight="1" s="161">
      <c r="B42" s="406" t="inlineStr">
        <is>
          <t>TL DIVES</t>
        </is>
      </c>
      <c r="C42" s="142" t="inlineStr">
        <is>
          <t>46</t>
        </is>
      </c>
      <c r="D42" s="142" t="inlineStr">
        <is>
          <t>56</t>
        </is>
      </c>
      <c r="E42" s="408" t="n"/>
    </row>
    <row r="43" hidden="1" ht="22.15" customHeight="1" s="161">
      <c r="B43" s="406" t="inlineStr">
        <is>
          <t>TH4</t>
        </is>
      </c>
      <c r="C43" s="142" t="inlineStr">
        <is>
          <t>48</t>
        </is>
      </c>
      <c r="D43" s="142" t="inlineStr">
        <is>
          <t>58</t>
        </is>
      </c>
      <c r="E43" s="408" t="n"/>
    </row>
    <row r="44" hidden="1" ht="48.6" customHeight="1" s="161"/>
    <row r="45" ht="20.65" customFormat="1" customHeight="1" s="397">
      <c r="A45" s="398" t="inlineStr">
        <is>
          <t>D)</t>
        </is>
      </c>
      <c r="B45" s="399" t="inlineStr">
        <is>
          <t>Autres suivis</t>
        </is>
      </c>
      <c r="C45" s="399" t="n"/>
      <c r="D45" s="399" t="n"/>
      <c r="E45" s="154" t="inlineStr">
        <is>
          <t>84</t>
        </is>
      </c>
    </row>
    <row r="46" ht="15" customFormat="1" customHeight="1" s="400">
      <c r="E46" s="142" t="n"/>
    </row>
    <row r="47" ht="15" customFormat="1" customHeight="1" s="410">
      <c r="B47" s="401" t="inlineStr">
        <is>
          <t>Suivi de la trésorerie ……………………………………………………………………………………………………………………………………………</t>
        </is>
      </c>
      <c r="C47" s="401" t="n"/>
      <c r="D47" s="401" t="n"/>
      <c r="E47" s="142" t="inlineStr">
        <is>
          <t>85</t>
        </is>
      </c>
    </row>
    <row r="48" ht="18" customFormat="1" customHeight="1" s="410">
      <c r="B48" s="401" t="n"/>
      <c r="C48" s="401" t="n"/>
      <c r="D48" s="401" t="n"/>
      <c r="E48" s="142" t="n"/>
    </row>
    <row r="49" ht="15" customFormat="1" customHeight="1" s="410">
      <c r="B49" s="401" t="inlineStr">
        <is>
          <t>Suivi des transactions par type de ventes ……………………………………………………………………………………………………………………………………………</t>
        </is>
      </c>
      <c r="C49" s="401" t="n"/>
      <c r="D49" s="401" t="n"/>
      <c r="E49" s="142" t="inlineStr">
        <is>
          <t>86</t>
        </is>
      </c>
    </row>
    <row r="50" ht="18" customFormat="1" customHeight="1" s="410">
      <c r="B50" s="401" t="n"/>
      <c r="C50" s="401" t="n"/>
      <c r="D50" s="401" t="n"/>
      <c r="E50" s="142" t="n"/>
    </row>
    <row r="51" ht="15" customFormat="1" customHeight="1" s="410">
      <c r="B51" s="401" t="inlineStr">
        <is>
          <t>Suivi des transactions globales ……………………………………………………………………………………………………………………</t>
        </is>
      </c>
      <c r="C51" s="401" t="n"/>
      <c r="D51" s="401" t="n"/>
      <c r="E51" s="142" t="inlineStr">
        <is>
          <t>89</t>
        </is>
      </c>
    </row>
    <row r="52" ht="18" customFormat="1" customHeight="1" s="410">
      <c r="B52" s="401" t="n"/>
      <c r="C52" s="401" t="n"/>
      <c r="D52" s="401" t="n"/>
      <c r="E52" s="142" t="n"/>
    </row>
    <row r="53" ht="15" customFormat="1" customHeight="1" s="410">
      <c r="B53" s="401" t="inlineStr">
        <is>
          <t>Evolution des paniers moyens………………………………………………………………………………………………………………………………………………²</t>
        </is>
      </c>
      <c r="C53" s="401" t="n"/>
      <c r="D53" s="401" t="n"/>
      <c r="E53" s="142" t="inlineStr">
        <is>
          <t>91</t>
        </is>
      </c>
    </row>
    <row r="54" ht="18" customFormat="1" customHeight="1" s="408">
      <c r="B54" s="403" t="n"/>
      <c r="C54" s="403" t="n"/>
      <c r="D54" s="403" t="n"/>
      <c r="E54" s="404" t="n"/>
    </row>
    <row r="55">
      <c r="B55" s="411" t="n"/>
      <c r="C55" s="411" t="n"/>
      <c r="D55" s="411" t="n"/>
      <c r="E55" s="404" t="n"/>
    </row>
    <row r="56" ht="12" customHeight="1" s="161"/>
    <row r="57">
      <c r="B57" s="411" t="n"/>
    </row>
    <row r="59">
      <c r="B59" s="411" t="n"/>
    </row>
  </sheetData>
  <mergeCells count="1">
    <mergeCell ref="A1:E1"/>
  </mergeCells>
  <pageMargins left="0.7086614173228347" right="0.7086614173228347" top="0.7480314960629921" bottom="0.7480314960629921" header="0.3149606299212598" footer="0.3149606299212598"/>
  <pageSetup orientation="portrait" paperSize="9" scale="85"/>
  <headerFooter>
    <oddHeader/>
    <oddFooter>&amp;C&amp;"Helv,Gras"&amp;11 Page &amp;P / &amp;N</oddFooter>
    <evenHeader/>
    <evenFooter/>
    <firstHeader/>
    <firstFooter/>
  </headerFooter>
  <tableParts count="2">
    <tablePart xmlns:r="http://schemas.openxmlformats.org/officeDocument/2006/relationships" r:id="rId1"/>
    <tablePart xmlns:r="http://schemas.openxmlformats.org/officeDocument/2006/relationships" r:id="rId2"/>
  </tableParts>
</worksheet>
</file>

<file path=xl/worksheets/sheet24.xml><?xml version="1.0" encoding="utf-8"?>
<worksheet xmlns="http://schemas.openxmlformats.org/spreadsheetml/2006/main">
  <sheetPr>
    <tabColor theme="0"/>
    <outlinePr summaryBelow="1" summaryRight="1"/>
    <pageSetUpPr fitToPage="1"/>
  </sheetPr>
  <dimension ref="A1:H29"/>
  <sheetViews>
    <sheetView showGridLines="0" zoomScaleNormal="100" zoomScaleSheetLayoutView="100" workbookViewId="0">
      <selection activeCell="G26" activeCellId="2" sqref="E16 M26 G26"/>
    </sheetView>
  </sheetViews>
  <sheetFormatPr baseColWidth="10" defaultRowHeight="12.75"/>
  <sheetData>
    <row r="1">
      <c r="A1" s="372" t="n"/>
      <c r="B1" s="347" t="n"/>
      <c r="C1" s="347" t="n"/>
      <c r="D1" s="347" t="n"/>
      <c r="E1" s="347" t="n"/>
      <c r="F1" s="347" t="n"/>
      <c r="G1" s="347" t="n"/>
      <c r="H1" s="373" t="n"/>
    </row>
    <row r="2">
      <c r="C2" s="280" t="n"/>
      <c r="E2" s="280" t="n"/>
      <c r="G2" s="280" t="n"/>
    </row>
    <row r="3">
      <c r="C3" s="280" t="n"/>
      <c r="E3" s="280" t="n"/>
      <c r="G3" s="280" t="n"/>
    </row>
    <row r="4" ht="15" customHeight="1" s="161">
      <c r="A4" s="412" t="n"/>
    </row>
    <row r="5">
      <c r="A5" s="347" t="n"/>
    </row>
    <row r="6" ht="27" customHeight="1" s="161">
      <c r="A6" s="413" t="n"/>
    </row>
    <row r="7">
      <c r="A7" s="347" t="n"/>
    </row>
    <row r="8" ht="26.25" customHeight="1" s="161">
      <c r="A8" s="413" t="n"/>
    </row>
    <row r="9">
      <c r="A9" s="347" t="n"/>
    </row>
    <row r="10">
      <c r="A10" s="347" t="n"/>
    </row>
    <row r="11">
      <c r="A11" s="347" t="n"/>
    </row>
    <row r="12">
      <c r="A12" s="347" t="n"/>
    </row>
    <row r="13">
      <c r="A13" s="347" t="n"/>
    </row>
    <row r="14">
      <c r="A14" s="347" t="n"/>
    </row>
    <row r="15">
      <c r="A15" s="347" t="n"/>
    </row>
    <row r="16">
      <c r="A16" s="347" t="n"/>
    </row>
    <row r="17">
      <c r="A17" s="347" t="n"/>
    </row>
    <row r="18">
      <c r="A18" s="347" t="n"/>
    </row>
    <row r="19">
      <c r="A19" s="347" t="n"/>
    </row>
    <row r="20">
      <c r="A20" s="347" t="n"/>
    </row>
    <row r="21">
      <c r="A21" s="347" t="n"/>
    </row>
    <row r="22">
      <c r="A22" s="347" t="n"/>
    </row>
    <row r="23">
      <c r="A23" s="347" t="n"/>
    </row>
    <row r="24">
      <c r="A24" s="347" t="n"/>
    </row>
    <row r="25">
      <c r="A25" s="347" t="n"/>
    </row>
    <row r="26">
      <c r="A26" s="347" t="n"/>
    </row>
    <row r="27">
      <c r="A27" s="347" t="n"/>
    </row>
    <row r="28">
      <c r="A28" s="347" t="n"/>
    </row>
    <row r="29">
      <c r="A29" s="347" t="n"/>
    </row>
  </sheetData>
  <mergeCells count="2">
    <mergeCell ref="A8:H8"/>
    <mergeCell ref="A6:H6"/>
  </mergeCells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&amp;K00+000Page &amp;P / &amp;N</oddFooter>
    <evenHeader/>
    <evenFooter/>
    <firstHeader/>
    <firstFooter/>
  </headerFooter>
</worksheet>
</file>

<file path=xl/worksheets/sheet25.xml><?xml version="1.0" encoding="utf-8"?>
<worksheet xmlns="http://schemas.openxmlformats.org/spreadsheetml/2006/main">
  <sheetPr>
    <tabColor theme="0"/>
    <outlinePr summaryBelow="1" summaryRight="1"/>
    <pageSetUpPr fitToPage="1"/>
  </sheetPr>
  <dimension ref="A1:H34"/>
  <sheetViews>
    <sheetView showGridLines="0" zoomScaleNormal="85" zoomScaleSheetLayoutView="100" zoomScalePageLayoutView="85" workbookViewId="0">
      <selection activeCell="G26" activeCellId="2" sqref="E16 M26 G26"/>
    </sheetView>
  </sheetViews>
  <sheetFormatPr baseColWidth="10" defaultColWidth="11.42578125" defaultRowHeight="12.75"/>
  <cols>
    <col width="7.42578125" customWidth="1" style="393" min="1" max="1"/>
    <col width="23.7109375" customWidth="1" style="393" min="2" max="2"/>
    <col width="24" customWidth="1" style="393" min="3" max="4"/>
    <col width="7.42578125" customWidth="1" style="394" min="5" max="5"/>
    <col width="11.42578125" customWidth="1" style="393" min="6" max="16384"/>
  </cols>
  <sheetData>
    <row r="1">
      <c r="A1" s="372" t="inlineStr">
        <is>
          <t>GROUPE REGIS REGO DE SEBES</t>
        </is>
      </c>
      <c r="E1" s="373">
        <f>CONCATENATE("P&amp;L ",RIGHT(DONNÉES!B5,LEN(DONNÉES!B5)-3))</f>
        <v/>
      </c>
    </row>
    <row r="2">
      <c r="A2" s="372" t="n"/>
      <c r="E2" s="373" t="n"/>
    </row>
    <row r="3" ht="20.65" customHeight="1" s="161">
      <c r="A3" s="395" t="inlineStr">
        <is>
          <t>INTRODUCTION</t>
        </is>
      </c>
      <c r="F3" s="396" t="n"/>
    </row>
    <row r="4" ht="30.75" customHeight="1" s="161"/>
    <row r="5" ht="20.65" customFormat="1" customHeight="1" s="397">
      <c r="A5" s="398" t="n"/>
      <c r="B5" s="398" t="inlineStr">
        <is>
          <t>Préambule</t>
        </is>
      </c>
      <c r="C5" s="399" t="n"/>
      <c r="D5" s="399" t="n"/>
      <c r="E5" s="154" t="n"/>
    </row>
    <row r="6" ht="15" customHeight="1" s="161">
      <c r="A6" s="403" t="n"/>
      <c r="B6" s="403" t="n"/>
      <c r="C6" s="403" t="n"/>
      <c r="D6" s="403" t="n"/>
      <c r="E6" s="404" t="n"/>
    </row>
    <row r="7" ht="15" customFormat="1" customHeight="1" s="400">
      <c r="A7" s="401" t="inlineStr">
        <is>
          <t xml:space="preserve">Les résultats présentés ci-après sont issus des P&amp;L établis par le comptable en interne. </t>
        </is>
      </c>
      <c r="B7" s="401" t="n"/>
      <c r="C7" s="401" t="n"/>
      <c r="D7" s="401" t="n"/>
      <c r="E7" s="142" t="n"/>
    </row>
    <row r="8" ht="15" customFormat="1" customHeight="1" s="400">
      <c r="A8" s="401" t="n"/>
      <c r="B8" s="401" t="n"/>
      <c r="C8" s="401" t="n"/>
      <c r="D8" s="401" t="n"/>
      <c r="E8" s="142" t="n"/>
    </row>
    <row r="9" ht="29.25" customFormat="1" customHeight="1" s="400">
      <c r="A9" s="414" t="inlineStr">
        <is>
          <t xml:space="preserve">Ils ont été produits à destination des dirigeants uniquement et n'ont pas été établis selon les normes d'exercice professionnel en vigueur. </t>
        </is>
      </c>
    </row>
    <row r="10" ht="15" customFormat="1" customHeight="1" s="400">
      <c r="A10" s="401" t="n"/>
      <c r="B10" s="401" t="n"/>
      <c r="C10" s="401" t="n"/>
      <c r="D10" s="401" t="n"/>
      <c r="E10" s="142" t="n"/>
    </row>
    <row r="11" ht="48" customFormat="1" customHeight="1" s="400">
      <c r="A11" s="414" t="inlineStr">
        <is>
          <t xml:space="preserve">Ces résultats sont destinés à une utilisation strictement interne, ils ne doivent pas être divulgués. Ils n'ont qu'un rôle informatif et ne sont qu'une approche du résultat sous réserve des informations fournies. </t>
        </is>
      </c>
    </row>
    <row r="12">
      <c r="A12" s="403" t="n"/>
      <c r="B12" s="403" t="n"/>
      <c r="C12" s="403" t="n"/>
      <c r="D12" s="403" t="n"/>
      <c r="E12" s="404" t="n"/>
    </row>
    <row r="13" hidden="1" ht="22.15" customHeight="1" s="161">
      <c r="A13" s="398" t="n"/>
      <c r="B13" s="398" t="inlineStr">
        <is>
          <t>Commentaire</t>
        </is>
      </c>
      <c r="C13" s="399" t="n"/>
      <c r="D13" s="399" t="n"/>
      <c r="E13" s="154" t="n"/>
      <c r="F13" s="347" t="n"/>
      <c r="G13" s="347" t="n"/>
      <c r="H13" s="373" t="n"/>
    </row>
    <row r="14" ht="23.65" customHeight="1" s="161"/>
    <row r="15" ht="46.5" customHeight="1" s="161">
      <c r="A15" s="415" t="n"/>
    </row>
    <row r="16" ht="30" customHeight="1" s="161">
      <c r="A16" s="415" t="n"/>
    </row>
    <row r="17" ht="22.15" customHeight="1" s="161">
      <c r="A17" s="403" t="n"/>
      <c r="B17" s="406" t="n"/>
      <c r="C17" s="142" t="n"/>
      <c r="D17" s="142" t="n"/>
      <c r="E17" s="408" t="n"/>
    </row>
    <row r="18" ht="22.15" customHeight="1" s="161">
      <c r="A18" s="403" t="n"/>
      <c r="B18" s="406" t="n"/>
      <c r="C18" s="142" t="n"/>
      <c r="D18" s="142" t="n"/>
      <c r="E18" s="408" t="n"/>
    </row>
    <row r="19" ht="22.15" customHeight="1" s="161">
      <c r="A19" s="403" t="n"/>
      <c r="B19" s="406" t="n"/>
      <c r="C19" s="142" t="n"/>
      <c r="D19" s="142" t="n"/>
      <c r="E19" s="408" t="n"/>
    </row>
    <row r="20" ht="48.6" customHeight="1" s="161"/>
    <row r="21" ht="15" customFormat="1" customHeight="1" s="400">
      <c r="E21" s="142" t="n"/>
    </row>
    <row r="22" ht="15" customFormat="1" customHeight="1" s="410">
      <c r="B22" s="401" t="n"/>
      <c r="C22" s="401" t="n"/>
      <c r="D22" s="401" t="n"/>
      <c r="E22" s="142" t="n"/>
    </row>
    <row r="23" ht="18" customFormat="1" customHeight="1" s="410">
      <c r="B23" s="401" t="n"/>
      <c r="C23" s="401" t="n"/>
      <c r="D23" s="401" t="n"/>
      <c r="E23" s="142" t="n"/>
    </row>
    <row r="24" ht="15" customFormat="1" customHeight="1" s="410">
      <c r="B24" s="401" t="n"/>
      <c r="C24" s="401" t="n"/>
      <c r="D24" s="401" t="n"/>
      <c r="E24" s="142" t="n"/>
    </row>
    <row r="25" ht="18" customFormat="1" customHeight="1" s="410">
      <c r="B25" s="401" t="n"/>
      <c r="C25" s="401" t="n"/>
      <c r="D25" s="401" t="n"/>
      <c r="E25" s="142" t="n"/>
    </row>
    <row r="26" ht="15" customFormat="1" customHeight="1" s="410">
      <c r="B26" s="401" t="n"/>
      <c r="C26" s="401" t="n"/>
      <c r="D26" s="401" t="n"/>
      <c r="E26" s="142" t="n"/>
    </row>
    <row r="27" ht="18" customFormat="1" customHeight="1" s="410">
      <c r="B27" s="401" t="n"/>
      <c r="C27" s="401" t="n"/>
      <c r="D27" s="401" t="n"/>
      <c r="E27" s="142" t="n"/>
    </row>
    <row r="28" ht="15" customFormat="1" customHeight="1" s="410">
      <c r="B28" s="401" t="n"/>
      <c r="C28" s="401" t="n"/>
      <c r="D28" s="401" t="n"/>
      <c r="E28" s="142" t="n"/>
    </row>
    <row r="29" ht="18" customFormat="1" customHeight="1" s="408">
      <c r="B29" s="403" t="n"/>
      <c r="C29" s="403" t="n"/>
      <c r="D29" s="403" t="n"/>
      <c r="E29" s="404" t="n"/>
    </row>
    <row r="30">
      <c r="B30" s="411" t="n"/>
      <c r="C30" s="411" t="n"/>
      <c r="D30" s="411" t="n"/>
      <c r="E30" s="404" t="n"/>
    </row>
    <row r="31" ht="12" customHeight="1" s="161"/>
    <row r="32">
      <c r="B32" s="411" t="n"/>
    </row>
    <row r="34">
      <c r="B34" s="411" t="n"/>
    </row>
  </sheetData>
  <mergeCells count="5">
    <mergeCell ref="A16:E16"/>
    <mergeCell ref="A15:E15"/>
    <mergeCell ref="A11:E11"/>
    <mergeCell ref="A9:E9"/>
    <mergeCell ref="A3:E3"/>
  </mergeCells>
  <pageMargins left="0.7086614173228347" right="0.7086614173228347" top="0.7480314960629921" bottom="0.7480314960629921" header="0.3149606299212598" footer="0.3149606299212598"/>
  <pageSetup orientation="portrait" paperSize="9"/>
  <headerFooter>
    <oddHeader/>
    <oddFooter>&amp;C&amp;"Helv,Gras"&amp;11 Page &amp;P / &amp;N</oddFooter>
    <evenHeader/>
    <evenFooter/>
    <firstHeader/>
    <firstFooter/>
  </headerFooter>
</worksheet>
</file>

<file path=xl/worksheets/sheet26.xml><?xml version="1.0" encoding="utf-8"?>
<worksheet xmlns="http://schemas.openxmlformats.org/spreadsheetml/2006/main">
  <sheetPr>
    <tabColor theme="9" tint="0.5999938962981048"/>
    <outlinePr summaryBelow="1" summaryRight="1"/>
    <pageSetUpPr fitToPage="1"/>
  </sheetPr>
  <dimension ref="A1:H29"/>
  <sheetViews>
    <sheetView showGridLines="0" zoomScaleNormal="100" zoomScaleSheetLayoutView="100" workbookViewId="0">
      <selection activeCell="G26" activeCellId="2" sqref="E16 M26 G26"/>
    </sheetView>
  </sheetViews>
  <sheetFormatPr baseColWidth="10" defaultRowHeight="12.75"/>
  <sheetData>
    <row r="1">
      <c r="A1" s="372" t="n"/>
      <c r="B1" s="347" t="n"/>
      <c r="C1" s="347" t="n"/>
      <c r="D1" s="347" t="n"/>
      <c r="E1" s="347" t="n"/>
      <c r="F1" s="347" t="n"/>
      <c r="G1" s="347" t="n"/>
      <c r="H1" s="373" t="n"/>
    </row>
    <row r="2">
      <c r="C2" s="280" t="n"/>
      <c r="E2" s="280" t="n"/>
      <c r="G2" s="280" t="n"/>
    </row>
    <row r="3">
      <c r="C3" s="280" t="n"/>
      <c r="E3" s="280" t="n"/>
      <c r="G3" s="280" t="n"/>
    </row>
    <row r="4" ht="15" customHeight="1" s="161">
      <c r="A4" s="412" t="n"/>
    </row>
    <row r="5">
      <c r="A5" s="347" t="n"/>
    </row>
    <row r="6" ht="27" customHeight="1" s="161">
      <c r="A6" s="413" t="n"/>
    </row>
    <row r="7">
      <c r="A7" s="347" t="n"/>
    </row>
    <row r="8" ht="26.25" customHeight="1" s="161">
      <c r="A8" s="413" t="n"/>
    </row>
    <row r="9">
      <c r="A9" s="347" t="n"/>
    </row>
    <row r="10">
      <c r="A10" s="347" t="n"/>
    </row>
    <row r="11">
      <c r="A11" s="347" t="n"/>
    </row>
    <row r="12">
      <c r="A12" s="347" t="n"/>
    </row>
    <row r="13">
      <c r="A13" s="347" t="n"/>
    </row>
    <row r="14">
      <c r="A14" s="347" t="n"/>
    </row>
    <row r="15">
      <c r="A15" s="347" t="n"/>
    </row>
    <row r="16">
      <c r="A16" s="347" t="n"/>
    </row>
    <row r="17">
      <c r="A17" s="347" t="n"/>
    </row>
    <row r="18">
      <c r="A18" s="347" t="n"/>
    </row>
    <row r="19">
      <c r="A19" s="347" t="n"/>
    </row>
    <row r="20">
      <c r="A20" s="347" t="n"/>
    </row>
    <row r="21">
      <c r="A21" s="347" t="n"/>
    </row>
    <row r="22">
      <c r="A22" s="347" t="n"/>
    </row>
    <row r="23">
      <c r="A23" s="347" t="n"/>
    </row>
    <row r="24">
      <c r="A24" s="347" t="n"/>
    </row>
    <row r="25">
      <c r="A25" s="347" t="n"/>
    </row>
    <row r="26">
      <c r="A26" s="347" t="n"/>
    </row>
    <row r="27">
      <c r="A27" s="347" t="n"/>
    </row>
    <row r="28">
      <c r="A28" s="347" t="n"/>
    </row>
    <row r="29">
      <c r="A29" s="347" t="n"/>
    </row>
  </sheetData>
  <mergeCells count="2">
    <mergeCell ref="A8:H8"/>
    <mergeCell ref="A6:H6"/>
  </mergeCells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&amp;K00+000Page &amp;P / &amp;N</oddFooter>
    <evenHeader/>
    <evenFooter/>
    <firstHeader/>
    <firstFooter/>
  </headerFooter>
</worksheet>
</file>

<file path=xl/worksheets/sheet27.xml><?xml version="1.0" encoding="utf-8"?>
<worksheet xmlns="http://schemas.openxmlformats.org/spreadsheetml/2006/main">
  <sheetPr>
    <tabColor theme="9" tint="0.5999938962981048"/>
    <outlinePr summaryBelow="1" summaryRight="1"/>
    <pageSetUpPr fitToPage="1"/>
  </sheetPr>
  <dimension ref="A2:I39"/>
  <sheetViews>
    <sheetView showGridLines="0" topLeftCell="A10" zoomScaleNormal="85" zoomScaleSheetLayoutView="100" zoomScalePageLayoutView="85" workbookViewId="0">
      <selection activeCell="G26" activeCellId="2" sqref="E16 M26 G26"/>
    </sheetView>
  </sheetViews>
  <sheetFormatPr baseColWidth="10" defaultColWidth="11.42578125" defaultRowHeight="17.25"/>
  <cols>
    <col width="4.5703125" customWidth="1" style="416" min="1" max="1"/>
    <col width="13" bestFit="1" customWidth="1" style="416" min="2" max="2"/>
    <col width="11.42578125" customWidth="1" style="416" min="3" max="7"/>
    <col hidden="1" width="0.28515625" customWidth="1" style="416" min="8" max="8"/>
    <col width="11.42578125" customWidth="1" style="416" min="9" max="16384"/>
  </cols>
  <sheetData>
    <row r="2">
      <c r="C2" s="41" t="n"/>
      <c r="E2" s="41" t="n"/>
      <c r="G2" s="41" t="n"/>
    </row>
    <row r="3" ht="25.5" customFormat="1" customHeight="1" s="417">
      <c r="A3" s="418" t="n"/>
      <c r="B3" s="419" t="n"/>
      <c r="C3" s="40" t="n"/>
      <c r="D3" s="419" t="n"/>
      <c r="E3" s="40" t="n"/>
      <c r="F3" s="419" t="n"/>
      <c r="G3" s="40" t="n"/>
      <c r="H3" s="419" t="n"/>
    </row>
    <row r="4">
      <c r="A4" s="420" t="n"/>
      <c r="B4" s="421" t="n"/>
      <c r="C4" s="421" t="n"/>
      <c r="D4" s="421" t="n"/>
      <c r="E4" s="421" t="n"/>
      <c r="F4" s="421" t="n"/>
      <c r="G4" s="421" t="n"/>
      <c r="H4" s="421" t="n"/>
    </row>
    <row r="5">
      <c r="A5" s="420" t="n"/>
      <c r="B5" s="421" t="n"/>
      <c r="C5" s="422" t="n"/>
      <c r="D5" s="421" t="n"/>
      <c r="E5" s="421" t="n"/>
      <c r="F5" s="421" t="n"/>
      <c r="G5" s="421" t="n"/>
      <c r="H5" s="421" t="n"/>
    </row>
    <row r="6">
      <c r="A6" s="420" t="n"/>
      <c r="B6" s="421" t="n"/>
      <c r="C6" s="421" t="n"/>
      <c r="D6" s="421" t="n"/>
      <c r="E6" s="421" t="n"/>
      <c r="F6" s="421" t="n"/>
      <c r="G6" s="421" t="n"/>
      <c r="H6" s="421" t="n"/>
    </row>
    <row r="7">
      <c r="A7" s="420" t="n"/>
      <c r="B7" s="421" t="n"/>
      <c r="C7" s="421" t="n"/>
      <c r="D7" s="421" t="n"/>
      <c r="E7" s="421" t="n"/>
      <c r="F7" s="421" t="n"/>
      <c r="G7" s="421" t="n"/>
      <c r="H7" s="421" t="n"/>
    </row>
    <row r="8">
      <c r="A8" s="420" t="n"/>
      <c r="B8" s="421" t="n"/>
      <c r="C8" s="421" t="n"/>
      <c r="D8" s="421" t="n"/>
      <c r="E8" s="421" t="n"/>
      <c r="F8" s="421" t="n"/>
      <c r="G8" s="421" t="n"/>
      <c r="H8" s="421" t="n"/>
    </row>
    <row r="9">
      <c r="A9" s="420" t="n"/>
      <c r="B9" s="421" t="n"/>
      <c r="C9" s="421" t="n"/>
      <c r="D9" s="421" t="n"/>
      <c r="E9" s="421" t="n"/>
      <c r="F9" s="421" t="n"/>
      <c r="G9" s="421" t="n"/>
      <c r="H9" s="421" t="n"/>
    </row>
    <row r="10">
      <c r="A10" s="420" t="n"/>
      <c r="B10" s="421" t="n"/>
      <c r="C10" s="421" t="n"/>
      <c r="D10" s="421" t="n"/>
      <c r="E10" s="421" t="n"/>
      <c r="F10" s="421" t="n"/>
      <c r="G10" s="421" t="n"/>
      <c r="H10" s="421" t="n"/>
    </row>
    <row r="11">
      <c r="A11" s="421" t="n"/>
      <c r="B11" s="421" t="n"/>
      <c r="C11" s="421" t="n"/>
      <c r="D11" s="421" t="n"/>
      <c r="E11" s="421" t="n"/>
      <c r="F11" s="421" t="n"/>
      <c r="G11" s="421" t="n"/>
    </row>
    <row r="12">
      <c r="A12" s="421" t="n"/>
      <c r="B12" s="421" t="n"/>
      <c r="C12" s="421" t="n"/>
      <c r="D12" s="421" t="n"/>
      <c r="E12" s="421" t="n"/>
      <c r="F12" s="421" t="n"/>
      <c r="G12" s="421" t="n"/>
    </row>
    <row r="13">
      <c r="A13" s="421" t="n"/>
      <c r="B13" s="421" t="n"/>
      <c r="C13" s="421" t="n"/>
      <c r="D13" s="421" t="n"/>
      <c r="E13" s="421" t="n"/>
      <c r="F13" s="421" t="n"/>
      <c r="G13" s="421" t="n"/>
    </row>
    <row r="14">
      <c r="A14" s="421" t="n"/>
      <c r="B14" s="421" t="n"/>
      <c r="C14" s="421" t="n"/>
      <c r="D14" s="421" t="n"/>
      <c r="E14" s="421" t="n"/>
      <c r="F14" s="421" t="n"/>
      <c r="G14" s="421" t="n"/>
    </row>
    <row r="15">
      <c r="A15" s="421" t="n"/>
      <c r="B15" s="421" t="n"/>
      <c r="C15" s="421" t="n"/>
      <c r="D15" s="421" t="n"/>
      <c r="E15" s="421" t="n"/>
      <c r="F15" s="421" t="n"/>
      <c r="G15" s="421" t="n"/>
    </row>
    <row r="16">
      <c r="A16" s="421" t="n"/>
      <c r="B16" s="421" t="n"/>
      <c r="C16" s="421" t="n"/>
      <c r="D16" s="421" t="n"/>
      <c r="E16" s="421" t="n"/>
      <c r="F16" s="421" t="n"/>
      <c r="G16" s="421" t="n"/>
    </row>
    <row r="17">
      <c r="A17" s="421" t="n"/>
      <c r="B17" s="421" t="n"/>
      <c r="C17" s="421" t="n"/>
      <c r="D17" s="421" t="n"/>
      <c r="E17" s="421" t="n"/>
      <c r="F17" s="421" t="n"/>
      <c r="G17" s="421" t="n"/>
    </row>
    <row r="18" ht="7.5" customHeight="1" s="161">
      <c r="A18" s="423" t="n"/>
      <c r="B18" s="421" t="n"/>
      <c r="C18" s="421" t="n"/>
      <c r="D18" s="421" t="n"/>
      <c r="E18" s="421" t="n"/>
      <c r="F18" s="421" t="n"/>
      <c r="G18" s="421" t="n"/>
    </row>
    <row r="19">
      <c r="A19" s="421" t="n"/>
      <c r="B19" s="421" t="n"/>
      <c r="C19" s="421" t="n"/>
      <c r="D19" s="421" t="n"/>
      <c r="E19" s="421" t="n"/>
      <c r="F19" s="421" t="n"/>
      <c r="G19" s="421" t="n"/>
      <c r="I19" s="416" t="inlineStr">
        <is>
          <t xml:space="preserve">   </t>
        </is>
      </c>
    </row>
    <row r="20" ht="58.5" customHeight="1" s="161">
      <c r="A20" s="424" t="n"/>
    </row>
    <row r="21" ht="6" customHeight="1" s="161">
      <c r="A21" s="421" t="n"/>
      <c r="B21" s="421" t="n"/>
      <c r="C21" s="421" t="n"/>
      <c r="D21" s="421" t="n"/>
      <c r="E21" s="421" t="n"/>
      <c r="F21" s="421" t="n"/>
      <c r="G21" s="421" t="n"/>
    </row>
    <row r="22">
      <c r="A22" s="421" t="n"/>
      <c r="B22" s="421" t="n"/>
      <c r="C22" s="421" t="n"/>
      <c r="D22" s="421" t="n"/>
      <c r="E22" s="421" t="n"/>
      <c r="F22" s="421" t="n"/>
      <c r="G22" s="421" t="n"/>
    </row>
    <row r="23">
      <c r="A23" s="421" t="n"/>
      <c r="B23" s="421" t="n"/>
      <c r="C23" s="421" t="n"/>
      <c r="D23" s="421" t="n"/>
      <c r="E23" s="421" t="n"/>
      <c r="F23" s="421" t="n"/>
      <c r="G23" s="421" t="n"/>
    </row>
    <row r="39">
      <c r="A39" s="307" t="n"/>
      <c r="B39" s="307" t="n"/>
      <c r="H39" s="421" t="inlineStr">
        <is>
          <t xml:space="preserve">      </t>
        </is>
      </c>
    </row>
  </sheetData>
  <mergeCells count="2">
    <mergeCell ref="A20:I20"/>
    <mergeCell ref="B39:G39"/>
  </mergeCells>
  <pageMargins left="0.7086614173228347" right="0.7086614173228347" top="0.7480314960629921" bottom="0.7480314960629921" header="0.3149606299212598" footer="0.3149606299212598"/>
  <pageSetup orientation="portrait" paperSize="9"/>
  <headerFooter>
    <oddHeader/>
    <oddFooter>&amp;C&amp;"Helv,Gras"&amp;11 &amp;K00+000Page &amp;P / &amp;N</oddFooter>
    <evenHeader/>
    <evenFooter/>
    <firstHeader/>
    <firstFooter/>
  </headerFooter>
</worksheet>
</file>

<file path=xl/worksheets/sheet28.xml><?xml version="1.0" encoding="utf-8"?>
<worksheet xmlns="http://schemas.openxmlformats.org/spreadsheetml/2006/main">
  <sheetPr codeName="Feuil33">
    <tabColor theme="9" tint="0.5999938962981048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tabColor theme="9" tint="0.5999938962981048"/>
    <outlinePr summaryBelow="1" summaryRight="1"/>
    <pageSetUpPr fitToPage="1"/>
  </sheetPr>
  <dimension ref="A1:I81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GLOBAL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426" t="inlineStr">
        <is>
          <t>GLOBAL</t>
        </is>
      </c>
      <c r="D5" s="427" t="n"/>
      <c r="E5" s="427" t="n"/>
      <c r="F5" s="427" t="n"/>
      <c r="G5" s="427" t="n"/>
      <c r="H5" s="42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+'GLR5 M'!C8+'HTR8 M'!C8+'TIRR M'!C8+'VR7 M '!C8+'TURVILLA M'!C8+'HART M'!C8+'VICTOIRE M'!C8+'TH4 M '!C8+'DIVES M'!C8+'R314 M '!C8+'LYSE M '!C8+'ARTHUR M '!C8+'HUGO M '!C8+'JEANCLO M '!C8+'THOMAS M'!C8+'CATALINA M'!C8</f>
        <v/>
      </c>
      <c r="D8" s="71">
        <f>(C8*100)/C$8</f>
        <v/>
      </c>
      <c r="E8" s="72">
        <f>+'GLR5 M'!E8+'HTR8 M'!E8+'TIRR M'!E8+'VR7 M '!E8+'TURVILLA M'!E8+'HART M'!E8+'VICTOIRE M'!E8+'TH4 M '!E8+'DIVES M'!E8+'R314 M '!E8+'LYSE M '!E8+'ARTHUR M '!E8+'HUGO M '!E8+'JEANCLO M '!E8+'THOMAS M'!E8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+'GLR5 M'!C10+'HTR8 M'!C10+'TIRR M'!C10+'VR7 M '!C10+'TURVILLA M'!C10+'HART M'!C10+'VICTOIRE M'!C10+'TH4 M '!C10+'DIVES M'!C10+'R314 M '!C10+'LYSE M '!C10+'ARTHUR M '!C10+'HUGO M '!C10+'JEANCLO M '!C10+'THOMAS M'!C10+'CATALINA M'!C10</f>
        <v/>
      </c>
      <c r="D10" s="17">
        <f>(C10*100)/C$8</f>
        <v/>
      </c>
      <c r="E10" s="16">
        <f>+'GLR5 M'!E10+'HTR8 M'!E10+'TIRR M'!E10+'VR7 M '!E10+'TURVILLA M'!E10+'HART M'!E10+'VICTOIRE M'!E10+'TH4 M '!E10+'DIVES M'!E10+'R314 M '!E10+'LYSE M '!E10+'ARTHUR M '!E10+'HUGO M '!E10+'JEANCLO M '!E10+'THOMAS M'!E10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+'GLR5 M'!C11+'HTR8 M'!C11+'TIRR M'!C11+'VR7 M '!C11+'TURVILLA M'!C11+'HART M'!C11+'VICTOIRE M'!C11+'TH4 M '!C11+'DIVES M'!C11+'R314 M '!C11+'LYSE M '!C11+'ARTHUR M '!C11+'HUGO M '!C11+'JEANCLO M '!C11+'THOMAS M'!C11+'CATALINA M'!C11</f>
        <v/>
      </c>
      <c r="D11" s="17">
        <f>(C11*100)/C$8</f>
        <v/>
      </c>
      <c r="E11" s="16">
        <f>+'GLR5 M'!E11+'HTR8 M'!E11+'TIRR M'!E11+'VR7 M '!E11+'TURVILLA M'!E11+'HART M'!E11+'VICTOIRE M'!E11+'TH4 M '!E11+'DIVES M'!E11+'R314 M '!E11+'LYSE M '!E11+'ARTHUR M '!E11+'HUGO M '!E11+'JEANCLO M '!E11+'THOMAS M'!E11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+'GLR5 M'!C12+'HTR8 M'!C12+'TIRR M'!C12+'VR7 M '!C12+'TURVILLA M'!C12+'HART M'!C12+'VICTOIRE M'!C12+'TH4 M '!C12+'DIVES M'!C12+'R314 M '!C12+'LYSE M '!C12+'ARTHUR M '!C12+'HUGO M '!C12+'JEANCLO M '!C12+'THOMAS M'!C12+'CATALINA M'!C12</f>
        <v/>
      </c>
      <c r="D12" s="17">
        <f>(C12*100)/C$8</f>
        <v/>
      </c>
      <c r="E12" s="16">
        <f>+'GLR5 M'!E12+'HTR8 M'!E12+'TIRR M'!E12+'VR7 M '!E12+'TURVILLA M'!E12+'HART M'!E12+'VICTOIRE M'!E12+'TH4 M '!E12+'DIVES M'!E12+'R314 M '!E12+'LYSE M '!E12+'ARTHUR M '!E12+'HUGO M '!E12+'JEANCLO M '!E12+'THOMAS M'!E12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+'GLR5 M'!C14+'HTR8 M'!C14+'TIRR M'!C14+'VR7 M '!C14+'TURVILLA M'!C14+'HART M'!C14+'VICTOIRE M'!C14+'TH4 M '!C14+'DIVES M'!C14+'R314 M '!C14+'LYSE M '!C14+'ARTHUR M '!C14+'HUGO M '!C14+'JEANCLO M '!C14+'THOMAS M'!C14+'CATALINA M'!C14</f>
        <v/>
      </c>
      <c r="D14" s="17">
        <f>(C14*100)/C$8</f>
        <v/>
      </c>
      <c r="E14" s="16">
        <f>+'GLR5 M'!E14+'HTR8 M'!E14+'TIRR M'!E14+'VR7 M '!E14+'TURVILLA M'!E14+'HART M'!E14+'VICTOIRE M'!E14+'TH4 M '!E14+'DIVES M'!E14+'R314 M '!E14+'LYSE M '!E14+'ARTHUR M '!E14+'HUGO M '!E14+'JEANCLO M '!E14+'THOMAS M'!E14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+'GLR5 M'!C15+'HTR8 M'!C15+'TIRR M'!C15+'VR7 M '!C15+'TURVILLA M'!C15+'HART M'!C15+'VICTOIRE M'!C15+'TH4 M '!C15+'DIVES M'!C15+'R314 M '!C15+'LYSE M '!C15+'ARTHUR M '!C15+'HUGO M '!C15+'JEANCLO M '!C15+'THOMAS M'!C15+'CATALINA M'!C15</f>
        <v/>
      </c>
      <c r="D15" s="17">
        <f>(C15*100)/C$8</f>
        <v/>
      </c>
      <c r="E15" s="16">
        <f>+'GLR5 M'!E15+'HTR8 M'!E15+'TIRR M'!E15+'VR7 M '!E15+'TURVILLA M'!E15+'HART M'!E15+'VICTOIRE M'!E15+'TH4 M '!E15+'DIVES M'!E15+'R314 M '!E15+'LYSE M '!E15+'ARTHUR M '!E15+'HUGO M '!E15+'JEANCLO M '!E15+'THOMAS M'!E15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+'GLR5 M'!C20+'HTR8 M'!C20+'TIRR M'!C20+'VR7 M '!C20+'TURVILLA M'!C20+'HART M'!C20+'VICTOIRE M'!C20+'TH4 M '!C20+'DIVES M'!C20+'R314 M '!C20+'LYSE M '!C20+'ARTHUR M '!C20+'HUGO M '!C20+'JEANCLO M '!C20+'THOMAS M'!C20+'CATALINA M'!C20</f>
        <v/>
      </c>
      <c r="D20" s="17">
        <f>(C20*100)/C$8</f>
        <v/>
      </c>
      <c r="E20" s="16">
        <f>+'GLR5 M'!E20+'HTR8 M'!E20+'TIRR M'!E20+'VR7 M '!E20+'TURVILLA M'!E20+'HART M'!E20+'VICTOIRE M'!E20+'TH4 M '!E20+'DIVES M'!E20+'R314 M '!E20+'LYSE M '!E20+'ARTHUR M '!E20+'HUGO M '!E20+'JEANCLO M '!E20+'THOMAS M'!E20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+'GLR5 M'!C21+'HTR8 M'!C21+'TIRR M'!C21+'VR7 M '!C21+'TURVILLA M'!C21+'HART M'!C21+'VICTOIRE M'!C21+'TH4 M '!C21+'DIVES M'!C21+'R314 M '!C21+'LYSE M '!C21+'ARTHUR M '!C21+'HUGO M '!C21+'JEANCLO M '!C21+'THOMAS M'!C21+'CATALINA M'!C21</f>
        <v/>
      </c>
      <c r="D21" s="17">
        <f>(C21*100)/C$8</f>
        <v/>
      </c>
      <c r="E21" s="16">
        <f>+'GLR5 M'!E21+'HTR8 M'!E21+'TIRR M'!E21+'VR7 M '!E21+'TURVILLA M'!E21+'HART M'!E21+'VICTOIRE M'!E21+'TH4 M '!E21+'DIVES M'!E21+'R314 M '!E21+'LYSE M '!E21+'ARTHUR M '!E21+'HUGO M '!E21+'JEANCLO M '!E21+'THOMAS M'!E21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+'GLR5 M'!C22+'HTR8 M'!C22+'TIRR M'!C22+'VR7 M '!C22+'TURVILLA M'!C22+'HART M'!C22+'VICTOIRE M'!C22+'TH4 M '!C22+'DIVES M'!C22+'R314 M '!C22+'LYSE M '!C22+'ARTHUR M '!C22+'HUGO M '!C22+'JEANCLO M '!C22+'THOMAS M'!C22+'CATALINA M'!C22</f>
        <v/>
      </c>
      <c r="D22" s="17">
        <f>(C22*100)/C$8</f>
        <v/>
      </c>
      <c r="E22" s="16">
        <f>+'GLR5 M'!E22+'HTR8 M'!E22+'TIRR M'!E22+'VR7 M '!E22+'TURVILLA M'!E22+'HART M'!E22+'VICTOIRE M'!E22+'TH4 M '!E22+'DIVES M'!E22+'R314 M '!E22+'LYSE M '!E22+'ARTHUR M '!E22+'HUGO M '!E22+'JEANCLO M '!E22+'THOMAS M'!E22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+'GLR5 M'!C23+'HTR8 M'!C23+'TIRR M'!C23+'VR7 M '!C23+'TURVILLA M'!C23+'HART M'!C23+'VICTOIRE M'!C23+'TH4 M '!C23+'DIVES M'!C23+'R314 M '!C23+'LYSE M '!C23+'ARTHUR M '!C23+'HUGO M '!C23+'JEANCLO M '!C23+'THOMAS M'!C23+'CATALINA M'!C23</f>
        <v/>
      </c>
      <c r="D23" s="17">
        <f>(C23*100)/C$8</f>
        <v/>
      </c>
      <c r="E23" s="16">
        <f>+'GLR5 M'!E23+'HTR8 M'!E23+'TIRR M'!E23+'VR7 M '!E23+'TURVILLA M'!E23+'HART M'!E23+'VICTOIRE M'!E23+'TH4 M '!E23+'DIVES M'!E23+'R314 M '!E23+'LYSE M '!E23+'ARTHUR M '!E23+'HUGO M '!E23+'JEANCLO M '!E23+'THOMAS M'!E23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+'GLR5 M'!C24+'HTR8 M'!C24+'TIRR M'!C24+'VR7 M '!C24+'TURVILLA M'!C24+'HART M'!C24+'VICTOIRE M'!C24+'TH4 M '!C24+'DIVES M'!C24+'R314 M '!C24+'LYSE M '!C24+'ARTHUR M '!C24+'HUGO M '!C24+'JEANCLO M '!C24+'THOMAS M'!C24+'CATALINA M'!C24</f>
        <v/>
      </c>
      <c r="D24" s="17">
        <f>(C24*100)/C$8</f>
        <v/>
      </c>
      <c r="E24" s="16">
        <f>+'GLR5 M'!E24+'HTR8 M'!E24+'TIRR M'!E24+'VR7 M '!E24+'TURVILLA M'!E24+'HART M'!E24+'VICTOIRE M'!E24+'TH4 M '!E24+'DIVES M'!E24+'R314 M '!E24+'LYSE M '!E24+'ARTHUR M '!E24+'HUGO M '!E24+'JEANCLO M '!E24+'THOMAS M'!E24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+'GLR5 M'!C25+'HTR8 M'!C25+'TIRR M'!C25+'VR7 M '!C25+'TURVILLA M'!C25+'HART M'!C25+'VICTOIRE M'!C25+'TH4 M '!C25+'DIVES M'!C25+'R314 M '!C25+'LYSE M '!C25+'ARTHUR M '!C25+'HUGO M '!C25+'JEANCLO M '!C25+'THOMAS M'!C25+'CATALINA M'!C25</f>
        <v/>
      </c>
      <c r="D25" s="17">
        <f>(C25*100)/C$8</f>
        <v/>
      </c>
      <c r="E25" s="16">
        <f>+'GLR5 M'!E25+'HTR8 M'!E25+'TIRR M'!E25+'VR7 M '!E25+'TURVILLA M'!E25+'HART M'!E25+'VICTOIRE M'!E25+'TH4 M '!E25+'DIVES M'!E25+'R314 M '!E25+'LYSE M '!E25+'ARTHUR M '!E25+'HUGO M '!E25+'JEANCLO M '!E25+'THOMAS M'!E25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+'GLR5 M'!C28+'HTR8 M'!C28+'TIRR M'!C28+'VR7 M '!C28+'TURVILLA M'!C28+'HART M'!C28+'VICTOIRE M'!C28+'TH4 M '!C28+'DIVES M'!C28+'R314 M '!C28+'LYSE M '!C28+'ARTHUR M '!C28+'HUGO M '!C28+'JEANCLO M '!C28+'THOMAS M'!C28+'CATALINA M'!C28</f>
        <v/>
      </c>
      <c r="D28" s="17">
        <f>(C28*100)/C$8</f>
        <v/>
      </c>
      <c r="E28" s="16">
        <f>+'GLR5 M'!E28+'HTR8 M'!E28+'TIRR M'!E28+'VR7 M '!E28+'TURVILLA M'!E28+'HART M'!E28+'VICTOIRE M'!E28+'TH4 M '!E28+'DIVES M'!E28+'R314 M '!E28+'LYSE M '!E28+'ARTHUR M '!E28+'HUGO M '!E28+'JEANCLO M '!E28+'THOMAS M'!E28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+'GLR5 M'!C29+'HTR8 M'!C29+'TIRR M'!C29+'VR7 M '!C29+'TURVILLA M'!C29+'HART M'!C29+'VICTOIRE M'!C29+'TH4 M '!C29+'DIVES M'!C29+'R314 M '!C29+'LYSE M '!C29+'ARTHUR M '!C29+'HUGO M '!C29+'JEANCLO M '!C29+'THOMAS M'!C29+'CATALINA M'!C29</f>
        <v/>
      </c>
      <c r="D29" s="17">
        <f>(C29*100)/C$8</f>
        <v/>
      </c>
      <c r="E29" s="16">
        <f>+'GLR5 M'!E29+'HTR8 M'!E29+'TIRR M'!E29+'VR7 M '!E29+'TURVILLA M'!E29+'HART M'!E29+'VICTOIRE M'!E29+'TH4 M '!E29+'DIVES M'!E29+'R314 M '!E29+'LYSE M '!E29+'ARTHUR M '!E29+'HUGO M '!E29+'JEANCLO M '!E29+'THOMAS M'!E29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+'GLR5 M'!C30+'HTR8 M'!C30+'TIRR M'!C30+'VR7 M '!C30+'TURVILLA M'!C30+'HART M'!C30+'VICTOIRE M'!C30+'TH4 M '!C30+'DIVES M'!C30+'R314 M '!C30+'LYSE M '!C30+'ARTHUR M '!C30+'HUGO M '!C30+'JEANCLO M '!C30+'THOMAS M'!C30+'CATALINA M'!C30</f>
        <v/>
      </c>
      <c r="D30" s="17">
        <f>(C30*100)/C$8</f>
        <v/>
      </c>
      <c r="E30" s="16">
        <f>+'GLR5 M'!E30+'HTR8 M'!E30+'TIRR M'!E30+'VR7 M '!E30+'TURVILLA M'!E30+'HART M'!E30+'VICTOIRE M'!E30+'TH4 M '!E30+'DIVES M'!E30+'R314 M '!E30+'LYSE M '!E30+'ARTHUR M '!E30+'HUGO M '!E30+'JEANCLO M '!E30+'THOMAS M'!E30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+'GLR5 M'!C31+'HTR8 M'!C31+'TIRR M'!C31+'VR7 M '!C31+'TURVILLA M'!C31+'HART M'!C31+'VICTOIRE M'!C31+'TH4 M '!C31+'DIVES M'!C31+'R314 M '!C31+'LYSE M '!C31+'ARTHUR M '!C31+'HUGO M '!C31+'JEANCLO M '!C31+'THOMAS M'!C31+'CATALINA M'!C31</f>
        <v/>
      </c>
      <c r="D31" s="17">
        <f>(C31*100)/C$8</f>
        <v/>
      </c>
      <c r="E31" s="16">
        <f>+'GLR5 M'!E31+'HTR8 M'!E31+'TIRR M'!E31+'VR7 M '!E31+'TURVILLA M'!E31+'HART M'!E31+'VICTOIRE M'!E31+'TH4 M '!E31+'DIVES M'!E31+'R314 M '!E31+'LYSE M '!E31+'ARTHUR M '!E31+'HUGO M '!E31+'JEANCLO M '!E31+'THOMAS M'!E31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+'GLR5 M'!C32+'HTR8 M'!C32+'TIRR M'!C32+'VR7 M '!C32+'TURVILLA M'!C32+'HART M'!C32+'VICTOIRE M'!C32+'TH4 M '!C32+'DIVES M'!C32+'R314 M '!C32+'LYSE M '!C32+'ARTHUR M '!C32+'HUGO M '!C32+'JEANCLO M '!C32+'THOMAS M'!C32+'CATALINA M'!C32</f>
        <v/>
      </c>
      <c r="D32" s="17">
        <f>(C32*100)/C$8</f>
        <v/>
      </c>
      <c r="E32" s="16">
        <f>+'GLR5 M'!E32+'HTR8 M'!E32+'TIRR M'!E32+'VR7 M '!E32+'TURVILLA M'!E32+'HART M'!E32+'VICTOIRE M'!E32+'TH4 M '!E32+'DIVES M'!E32+'R314 M '!E32+'LYSE M '!E32+'ARTHUR M '!E32+'HUGO M '!E32+'JEANCLO M '!E32+'THOMAS M'!E32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+'GLR5 M'!C35+'HTR8 M'!C35+'TIRR M'!C35+'VR7 M '!C35+'TURVILLA M'!C35+'HART M'!C35+'VICTOIRE M'!C35+'TH4 M '!C35+'DIVES M'!C35+'R314 M '!C35+'LYSE M '!C35+'ARTHUR M '!C35+'HUGO M '!C35+'JEANCLO M '!C35+'THOMAS M'!C35+'CATALINA M'!C35</f>
        <v/>
      </c>
      <c r="D35" s="17">
        <f>(C35*100)/C$8</f>
        <v/>
      </c>
      <c r="E35" s="16">
        <f>+'GLR5 M'!E35+'HTR8 M'!E35+'TIRR M'!E35+'VR7 M '!E35+'TURVILLA M'!E35+'HART M'!E35+'VICTOIRE M'!E35+'TH4 M '!E35+'DIVES M'!E35+'R314 M '!E35+'LYSE M '!E35+'ARTHUR M '!E35+'HUGO M '!E35+'JEANCLO M '!E35+'THOMAS M'!E35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+'GLR5 M'!C36+'HTR8 M'!C36+'TIRR M'!C36+'VR7 M '!C36+'TURVILLA M'!C36+'HART M'!C36+'VICTOIRE M'!C36+'TH4 M '!C36+'DIVES M'!C36+'R314 M '!C36+'LYSE M '!C36+'ARTHUR M '!C36+'HUGO M '!C36+'JEANCLO M '!C36+'THOMAS M'!C36+'CATALINA M'!C36</f>
        <v/>
      </c>
      <c r="D36" s="17">
        <f>(C36*100)/C$8</f>
        <v/>
      </c>
      <c r="E36" s="16">
        <f>+'GLR5 M'!E36+'HTR8 M'!E36+'TIRR M'!E36+'VR7 M '!E36+'TURVILLA M'!E36+'HART M'!E36+'VICTOIRE M'!E36+'TH4 M '!E36+'DIVES M'!E36+'R314 M '!E36+'LYSE M '!E36+'ARTHUR M '!E36+'HUGO M '!E36+'JEANCLO M '!E36+'THOMAS M'!E36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+'GLR5 M'!C37+'HTR8 M'!C37+'TIRR M'!C37+'VR7 M '!C37+'TURVILLA M'!C37+'HART M'!C37+'VICTOIRE M'!C37+'TH4 M '!C37+'DIVES M'!C37+'R314 M '!C37+'LYSE M '!C37+'ARTHUR M '!C37+'HUGO M '!C37+'JEANCLO M '!C37+'THOMAS M'!C37+'CATALINA M'!C37</f>
        <v/>
      </c>
      <c r="D37" s="17">
        <f>(C37*100)/C$8</f>
        <v/>
      </c>
      <c r="E37" s="16">
        <f>+'GLR5 M'!E37+'HTR8 M'!E37+'TIRR M'!E37+'VR7 M '!E37+'TURVILLA M'!E37+'HART M'!E37+'VICTOIRE M'!E37+'TH4 M '!E37+'DIVES M'!E37+'R314 M '!E37+'LYSE M '!E37+'ARTHUR M '!E37+'HUGO M '!E37+'JEANCLO M '!E37+'THOMAS M'!E37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+'GLR5 M'!C38+'HTR8 M'!C38+'TIRR M'!C38+'VR7 M '!C38+'TURVILLA M'!C38+'HART M'!C38+'VICTOIRE M'!C38+'TH4 M '!C38+'DIVES M'!C38+'R314 M '!C38+'LYSE M '!C38+'ARTHUR M '!C38+'HUGO M '!C38+'JEANCLO M '!C38+'THOMAS M'!C38+'CATALINA M'!C38</f>
        <v/>
      </c>
      <c r="D38" s="17">
        <f>(C38*100)/C$8</f>
        <v/>
      </c>
      <c r="E38" s="16">
        <f>+'GLR5 M'!E38+'HTR8 M'!E38+'TIRR M'!E38+'VR7 M '!E38+'TURVILLA M'!E38+'HART M'!E38+'VICTOIRE M'!E38+'TH4 M '!E38+'DIVES M'!E38+'R314 M '!E38+'LYSE M '!E38+'ARTHUR M '!E38+'HUGO M '!E38+'JEANCLO M '!E38+'THOMAS M'!E38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+'GLR5 M'!C39+'HTR8 M'!C39+'TIRR M'!C39+'VR7 M '!C39+'TURVILLA M'!C39+'HART M'!C39+'VICTOIRE M'!C39+'TH4 M '!C39+'DIVES M'!C39+'R314 M '!C39+'LYSE M '!C39+'ARTHUR M '!C39+'HUGO M '!C39+'JEANCLO M '!C39+'THOMAS M'!C39+'CATALINA M'!C39</f>
        <v/>
      </c>
      <c r="D39" s="17">
        <f>(C39*100)/C$8</f>
        <v/>
      </c>
      <c r="E39" s="16">
        <f>+'GLR5 M'!E39+'HTR8 M'!E39+'TIRR M'!E39+'VR7 M '!E39+'TURVILLA M'!E39+'HART M'!E39+'VICTOIRE M'!E39+'TH4 M '!E39+'DIVES M'!E39+'R314 M '!E39+'LYSE M '!E39+'ARTHUR M '!E39+'HUGO M '!E39+'JEANCLO M '!E39+'THOMAS M'!E39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+'GLR5 M'!C40+'HTR8 M'!C40+'TIRR M'!C40+'VR7 M '!C40+'TURVILLA M'!C40+'HART M'!C40+'VICTOIRE M'!C40+'TH4 M '!C40+'DIVES M'!C40+'R314 M '!C40+'LYSE M '!C40+'ARTHUR M '!C40+'HUGO M '!C40+'JEANCLO M '!C40+'THOMAS M'!C40+'CATALINA M'!C40</f>
        <v/>
      </c>
      <c r="D40" s="17">
        <f>(C40*100)/C$8</f>
        <v/>
      </c>
      <c r="E40" s="16">
        <f>+'GLR5 M'!E40+'HTR8 M'!E40+'TIRR M'!E40+'VR7 M '!E40+'TURVILLA M'!E40+'HART M'!E40+'VICTOIRE M'!E40+'TH4 M '!E40+'DIVES M'!E40+'R314 M '!E40+'LYSE M '!E40+'ARTHUR M '!E40+'HUGO M '!E40+'JEANCLO M '!E40+'THOMAS M'!E40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+'GLR5 M'!C41+'HTR8 M'!C41+'TIRR M'!C41+'VR7 M '!C41+'TURVILLA M'!C41+'HART M'!C41+'VICTOIRE M'!C41+'TH4 M '!C41+'DIVES M'!C41+'R314 M '!C41+'LYSE M '!C41+'ARTHUR M '!C41+'HUGO M '!C41+'JEANCLO M '!C41+'THOMAS M'!C41+'CATALINA M'!C41</f>
        <v/>
      </c>
      <c r="D41" s="17">
        <f>(C41*100)/C$8</f>
        <v/>
      </c>
      <c r="E41" s="16">
        <f>+'GLR5 M'!E41+'HTR8 M'!E41+'TIRR M'!E41+'VR7 M '!E41+'TURVILLA M'!E41+'HART M'!E41+'VICTOIRE M'!E41+'TH4 M '!E41+'DIVES M'!E41+'R314 M '!E41+'LYSE M '!E41+'ARTHUR M '!E41+'HUGO M '!E41+'JEANCLO M '!E41+'THOMAS M'!E41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+'GLR5 M'!C46+'HTR8 M'!C46+'TIRR M'!C46+'VR7 M '!C46+'TURVILLA M'!C46+'HART M'!C46+'VICTOIRE M'!C46+'TH4 M '!C46+'DIVES M'!C46+'R314 M '!C46+'LYSE M '!C46+'ARTHUR M '!C46+'HUGO M '!C46+'JEANCLO M '!C46+'THOMAS M'!C46+'CATALINA M'!C46</f>
        <v/>
      </c>
      <c r="D46" s="17">
        <f>(C46*100)/C$8</f>
        <v/>
      </c>
      <c r="E46" s="16">
        <f>+'GLR5 M'!E46+'HTR8 M'!E46+'TIRR M'!E46+'VR7 M '!E46+'TURVILLA M'!E46+'HART M'!E46+'VICTOIRE M'!E46+'TH4 M '!E46+'DIVES M'!E46+'R314 M '!E46+'LYSE M '!E46+'ARTHUR M '!E46+'HUGO M '!E46+'JEANCLO M '!E46+'THOMAS M'!E46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+'GLR5 M'!C47+'HTR8 M'!C47+'TIRR M'!C47+'VR7 M '!C47+'TURVILLA M'!C47+'HART M'!C47+'VICTOIRE M'!C47+'TH4 M '!C47+'DIVES M'!C47+'R314 M '!C47+'LYSE M '!C47+'ARTHUR M '!C47+'HUGO M '!C47+'JEANCLO M '!C47+'THOMAS M'!C47+'CATALINA M'!C47</f>
        <v/>
      </c>
      <c r="D47" s="17">
        <f>(C47*100)/C$8</f>
        <v/>
      </c>
      <c r="E47" s="16">
        <f>+'GLR5 M'!E47+'HTR8 M'!E47+'TIRR M'!E47+'VR7 M '!E47+'TURVILLA M'!E47+'HART M'!E47+'VICTOIRE M'!E47+'TH4 M '!E47+'DIVES M'!E47+'R314 M '!E47+'LYSE M '!E47+'ARTHUR M '!E47+'HUGO M '!E47+'JEANCLO M '!E47+'THOMAS M'!E47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+'GLR5 M'!C48+'HTR8 M'!C48+'TIRR M'!C48+'VR7 M '!C48+'TURVILLA M'!C48+'HART M'!C48+'VICTOIRE M'!C48+'TH4 M '!C48+'DIVES M'!C48+'R314 M '!C48+'LYSE M '!C48+'ARTHUR M '!C48+'HUGO M '!C48+'JEANCLO M '!C48+'THOMAS M'!C48+'CATALINA M'!C48</f>
        <v/>
      </c>
      <c r="D48" s="17">
        <f>(C48*100)/C$8</f>
        <v/>
      </c>
      <c r="E48" s="16">
        <f>+'GLR5 M'!E48+'HTR8 M'!E48+'TIRR M'!E48+'VR7 M '!E48+'TURVILLA M'!E48+'HART M'!E48+'VICTOIRE M'!E48+'TH4 M '!E48+'DIVES M'!E48+'R314 M '!E48+'LYSE M '!E48+'ARTHUR M '!E48+'HUGO M '!E48+'JEANCLO M '!E48+'THOMAS M'!E48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+'GLR5 M'!C51+'HTR8 M'!C51+'TIRR M'!C51+'VR7 M '!C51+'TURVILLA M'!C51+'HART M'!C51+'VICTOIRE M'!C51+'TH4 M '!C51+'DIVES M'!C51+'R314 M '!C51+'LYSE M '!C51+'ARTHUR M '!C51+'HUGO M '!C51+'JEANCLO M '!C51+'THOMAS M'!C51+'CATALINA M'!C51</f>
        <v/>
      </c>
      <c r="D51" s="17">
        <f>(C51*100)/C$8</f>
        <v/>
      </c>
      <c r="E51" s="16">
        <f>+'GLR5 M'!E51+'HTR8 M'!E51+'TIRR M'!E51+'VR7 M '!E51+'TURVILLA M'!E51+'HART M'!E51+'VICTOIRE M'!E51+'TH4 M '!E51+'DIVES M'!E51+'R314 M '!E51+'LYSE M '!E51+'ARTHUR M '!E51+'HUGO M '!E51+'JEANCLO M '!E51+'THOMAS M'!E51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+'GLR5 M'!C52+'HTR8 M'!C52+'TIRR M'!C52+'VR7 M '!C52+'TURVILLA M'!C52+'HART M'!C52+'VICTOIRE M'!C52+'TH4 M '!C52+'DIVES M'!C52+'R314 M '!C52+'LYSE M '!C52+'ARTHUR M '!C52+'HUGO M '!C52+'JEANCLO M '!C52+'THOMAS M'!C52+'CATALINA M'!C52</f>
        <v/>
      </c>
      <c r="D52" s="17">
        <f>(C52*100)/C$8</f>
        <v/>
      </c>
      <c r="E52" s="16">
        <f>+'GLR5 M'!E52+'HTR8 M'!E52+'TIRR M'!E52+'VR7 M '!E52+'TURVILLA M'!E52+'HART M'!E52+'VICTOIRE M'!E52+'TH4 M '!E52+'DIVES M'!E52+'R314 M '!E52+'LYSE M '!E52+'ARTHUR M '!E52+'HUGO M '!E52+'JEANCLO M '!E52+'THOMAS M'!E52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+'GLR5 M'!C53+'HTR8 M'!C53+'TIRR M'!C53+'VR7 M '!C53+'TURVILLA M'!C53+'HART M'!C53+'VICTOIRE M'!C53+'TH4 M '!C53+'DIVES M'!C53+'R314 M '!C53+'LYSE M '!C53+'ARTHUR M '!C53+'HUGO M '!C53+'JEANCLO M '!C53+'THOMAS M'!C53+'CATALINA M'!C53</f>
        <v/>
      </c>
      <c r="D53" s="17">
        <f>(C53*100)/C$8</f>
        <v/>
      </c>
      <c r="E53" s="16">
        <f>+'GLR5 M'!E53+'HTR8 M'!E53+'TIRR M'!E53+'VR7 M '!E53+'TURVILLA M'!E53+'HART M'!E53+'VICTOIRE M'!E53+'TH4 M '!E53+'DIVES M'!E53+'R314 M '!E53+'LYSE M '!E53+'ARTHUR M '!E53+'HUGO M '!E53+'JEANCLO M '!E53+'THOMAS M'!E53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+'GLR5 M'!C54+'HTR8 M'!C54+'TIRR M'!C54+'VR7 M '!C54+'TURVILLA M'!C54+'HART M'!C54+'VICTOIRE M'!C54+'TH4 M '!C54+'DIVES M'!C54+'R314 M '!C54+'LYSE M '!C54+'ARTHUR M '!C54+'HUGO M '!C54+'JEANCLO M '!C54+'THOMAS M'!C54+'CATALINA M'!C54</f>
        <v/>
      </c>
      <c r="D54" s="17">
        <f>(C54*100)/C$8</f>
        <v/>
      </c>
      <c r="E54" s="16">
        <f>+'GLR5 M'!E54+'HTR8 M'!E54+'TIRR M'!E54+'VR7 M '!E54+'TURVILLA M'!E54+'HART M'!E54+'VICTOIRE M'!E54+'TH4 M '!E54+'DIVES M'!E54+'R314 M '!E54+'LYSE M '!E54+'ARTHUR M '!E54+'HUGO M '!E54+'JEANCLO M '!E54+'THOMAS M'!E54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+'GLR5 M'!C55+'HTR8 M'!C55+'TIRR M'!C55+'VR7 M '!C55+'TURVILLA M'!C55+'HART M'!C55+'VICTOIRE M'!C55+'TH4 M '!C55+'DIVES M'!C55+'R314 M '!C55+'LYSE M '!C55+'ARTHUR M '!C55+'HUGO M '!C55+'JEANCLO M '!C55+'THOMAS M'!C55+'CATALINA M'!C55</f>
        <v/>
      </c>
      <c r="D55" s="17">
        <f>(C55*100)/C$8</f>
        <v/>
      </c>
      <c r="E55" s="16">
        <f>+'GLR5 M'!E55+'HTR8 M'!E55+'TIRR M'!E55+'VR7 M '!E55+'TURVILLA M'!E55+'HART M'!E55+'VICTOIRE M'!E55+'TH4 M '!E55+'DIVES M'!E55+'R314 M '!E55+'LYSE M '!E55+'ARTHUR M '!E55+'HUGO M '!E55+'JEANCLO M '!E55+'THOMAS M'!E55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+'GLR5 M'!C56+'HTR8 M'!C56+'TIRR M'!C56+'VR7 M '!C56+'TURVILLA M'!C56+'HART M'!C56+'VICTOIRE M'!C56+'TH4 M '!C56+'DIVES M'!C56+'R314 M '!C56+'LYSE M '!C56+'ARTHUR M '!C56+'HUGO M '!C56+'JEANCLO M '!C56+'THOMAS M'!C56+'CATALINA M'!C56</f>
        <v/>
      </c>
      <c r="D56" s="17">
        <f>(C56*100)/C$8</f>
        <v/>
      </c>
      <c r="E56" s="16">
        <f>+'GLR5 M'!E56+'HTR8 M'!E56+'TIRR M'!E56+'VR7 M '!E56+'TURVILLA M'!E56+'HART M'!E56+'VICTOIRE M'!E56+'TH4 M '!E56+'DIVES M'!E56+'R314 M '!E56+'LYSE M '!E56+'ARTHUR M '!E56+'HUGO M '!E56+'JEANCLO M '!E56+'THOMAS M'!E56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+'GLR5 M'!C57+'HTR8 M'!C57+'TIRR M'!C57+'VR7 M '!C57+'TURVILLA M'!C57+'HART M'!C57+'VICTOIRE M'!C57+'TH4 M '!C57+'DIVES M'!C57+'R314 M '!C57+'LYSE M '!C57+'ARTHUR M '!C57+'HUGO M '!C57+'JEANCLO M '!C57+'THOMAS M'!C57+'CATALINA M'!C57</f>
        <v/>
      </c>
      <c r="D57" s="17">
        <f>(C57*100)/C$8</f>
        <v/>
      </c>
      <c r="E57" s="16">
        <f>+'GLR5 M'!E57+'HTR8 M'!E57+'TIRR M'!E57+'VR7 M '!E57+'TURVILLA M'!E57+'HART M'!E57+'VICTOIRE M'!E57+'TH4 M '!E57+'DIVES M'!E57+'R314 M '!E57+'LYSE M '!E57+'ARTHUR M '!E57+'HUGO M '!E57+'JEANCLO M '!E57+'THOMAS M'!E57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+'GLR5 M'!C58+'HTR8 M'!C58+'TIRR M'!C58+'VR7 M '!C58+'TURVILLA M'!C58+'HART M'!C58+'VICTOIRE M'!C58+'TH4 M '!C58+'DIVES M'!C58+'R314 M '!C58+'LYSE M '!C58+'ARTHUR M '!C58+'HUGO M '!C58+'JEANCLO M '!C58+'THOMAS M'!C58+'CATALINA M'!C58</f>
        <v/>
      </c>
      <c r="D58" s="17">
        <f>(C58*100)/C$8</f>
        <v/>
      </c>
      <c r="E58" s="16">
        <f>+'GLR5 M'!E58+'HTR8 M'!E58+'TIRR M'!E58+'VR7 M '!E58+'TURVILLA M'!E58+'HART M'!E58+'VICTOIRE M'!E58+'TH4 M '!E58+'DIVES M'!E58+'R314 M '!E58+'LYSE M '!E58+'ARTHUR M '!E58+'HUGO M '!E58+'JEANCLO M '!E58+'THOMAS M'!E58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+'GLR5 M'!C63+'HTR8 M'!C63+'TIRR M'!C63+'VR7 M '!C63+'TURVILLA M'!C63+'HART M'!C63+'VICTOIRE M'!C63+'TH4 M '!C63+'DIVES M'!C63+'R314 M '!C63+'LYSE M '!C63+'ARTHUR M '!C63+'HUGO M '!C63+'JEANCLO M '!C63+'THOMAS M'!C63+'CATALINA M'!C63</f>
        <v/>
      </c>
      <c r="D63" s="17">
        <f>(C63*100)/C$8</f>
        <v/>
      </c>
      <c r="E63" s="16">
        <f>+'GLR5 M'!E63+'HTR8 M'!E63+'TIRR M'!E63+'VR7 M '!E63+'TURVILLA M'!E63+'HART M'!E63+'VICTOIRE M'!E63+'TH4 M '!E63+'DIVES M'!E63+'R314 M '!E63+'LYSE M '!E63+'ARTHUR M '!E63+'HUGO M '!E63+'JEANCLO M '!E63+'THOMAS M'!E63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+'GLR5 M'!C64+'HTR8 M'!C64+'TIRR M'!C64+'VR7 M '!C64+'TURVILLA M'!C64+'HART M'!C64+'VICTOIRE M'!C64+'TH4 M '!C64+'DIVES M'!C64+'R314 M '!C64+'LYSE M '!C64+'ARTHUR M '!C64+'HUGO M '!C64+'JEANCLO M '!C64+'THOMAS M'!C64+'CATALINA M'!C64</f>
        <v/>
      </c>
      <c r="D64" s="17">
        <f>(C64*100)/C$8</f>
        <v/>
      </c>
      <c r="E64" s="24">
        <f>+'GLR5 M'!E64+'HTR8 M'!E64+'TIRR M'!E64+'VR7 M '!E64+'TURVILLA M'!E64+'HART M'!E64+'VICTOIRE M'!E64+'TH4 M '!E64+'DIVES M'!E64+'R314 M '!E64+'LYSE M '!E64+'ARTHUR M '!E64+'HUGO M '!E64+'JEANCLO M '!E64+'THOMAS M'!E64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+'GLR5 M'!C67+'HTR8 M'!C67+'TIRR M'!C67+'VR7 M '!C67+'TURVILLA M'!C67+'HART M'!C67+'VICTOIRE M'!C67+'TH4 M '!C67+'DIVES M'!C67+'R314 M '!C67+'LYSE M '!C67+'ARTHUR M '!C67+'HUGO M '!C67+'JEANCLO M '!C67+'THOMAS M'!C67+'CATALINA M'!C67</f>
        <v/>
      </c>
      <c r="D67" s="17">
        <f>(C67*100)/C$8</f>
        <v/>
      </c>
      <c r="E67" s="16">
        <f>+'GLR5 M'!E67+'HTR8 M'!E67+'TIRR M'!E67+'VR7 M '!E67+'TURVILLA M'!E67+'HART M'!E67+'VICTOIRE M'!E67+'TH4 M '!E67+'DIVES M'!E67+'R314 M '!E67+'LYSE M '!E67+'ARTHUR M '!E67+'HUGO M '!E67+'JEANCLO M '!E67+'THOMAS M'!E67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+'GLR5 M'!C72+'HTR8 M'!C72+'TIRR M'!C72+'VR7 M '!C72+'TURVILLA M'!C72+'HART M'!C72+'VICTOIRE M'!C72+'TH4 M '!C72+'DIVES M'!C72+'R314 M '!C72+'LYSE M '!C72+'ARTHUR M '!C72+'HUGO M '!C72+'JEANCLO M '!C72+'THOMAS M'!C72+'CATALINA M'!C72</f>
        <v/>
      </c>
      <c r="D72" s="17">
        <f>(C72*100)/C$8</f>
        <v/>
      </c>
      <c r="E72" s="16">
        <f>+'GLR5 M'!E72+'HTR8 M'!E72+'TIRR M'!E72+'VR7 M '!E72+'TURVILLA M'!E72+'HART M'!E72+'VICTOIRE M'!E72+'TH4 M '!E72+'DIVES M'!E72+'R314 M '!E72+'LYSE M '!E72+'ARTHUR M '!E72+'HUGO M '!E72+'JEANCLO M '!E72+'THOMAS M'!E72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+'GLR5 M'!C74+'HTR8 M'!C74+'TIRR M'!C74+'VR7 M '!C74+'TURVILLA M'!C74+'HART M'!C74+'VICTOIRE M'!C74+'TH4 M '!C74+'DIVES M'!C74+'R314 M '!C74+'LYSE M '!C74+'ARTHUR M '!C74+'HUGO M '!C74+'JEANCLO M '!C74+'THOMAS M'!C74+'CATALINA M'!C74</f>
        <v/>
      </c>
      <c r="D74" s="10">
        <f>(C74*100)/C$8</f>
        <v/>
      </c>
      <c r="E74" s="9">
        <f>+'GLR5 M'!E74+'HTR8 M'!E74+'TIRR M'!E74+'VR7 M '!E74+'TURVILLA M'!E74+'HART M'!E74+'VICTOIRE M'!E74+'TH4 M '!E74+'DIVES M'!E74+'R314 M '!E74+'LYSE M '!E74+'ARTHUR M '!E74+'HUGO M '!E74+'JEANCLO M '!E74+'THOMAS M'!E74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VLOOKUP(PARAMETRES!$C$2,TRANSGLOBAL[],2,FALSE)</f>
        <v/>
      </c>
      <c r="D78" s="450" t="n"/>
      <c r="E78" s="449">
        <f>VLOOKUP(PARAMETRES!$C$2,TRANSGLOBAL[],3,FALSE)</f>
        <v/>
      </c>
      <c r="F78" s="450" t="n"/>
      <c r="G78" s="451">
        <f>+C78-E78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VLOOKUP(PARAMETRES!$C$2,PMGLOBAL[],2,FALSE)</f>
        <v/>
      </c>
      <c r="D80" s="450" t="n"/>
      <c r="E80" s="453">
        <f>VLOOKUP(PARAMETRES!$C$2,PMGLOBAL[],3,FALSE)</f>
        <v/>
      </c>
      <c r="F80" s="450" t="n"/>
      <c r="G80" s="454">
        <f>+(C80-E80)/E80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30.xml><?xml version="1.0" encoding="utf-8"?>
<worksheet xmlns="http://schemas.openxmlformats.org/spreadsheetml/2006/main">
  <sheetPr codeName="Feuil31">
    <tabColor theme="9" tint="0.5999938962981048"/>
    <outlinePr summaryBelow="1" summaryRight="1"/>
    <pageSetUpPr fitToPage="1"/>
  </sheetPr>
  <dimension ref="A1:H1"/>
  <sheetViews>
    <sheetView showGridLines="0" topLeftCell="A16" zoomScaleNormal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5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tabColor theme="9" tint="0.5999938962981048"/>
    <outlinePr summaryBelow="1" summaryRight="1"/>
    <pageSetUpPr fitToPage="1"/>
  </sheetPr>
  <dimension ref="A1:I82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4.140625" customWidth="1" style="370" min="3" max="3"/>
    <col width="9.7109375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 t="n"/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 xml:space="preserve"> P&amp;L GLOBAL Cumulé</t>
        </is>
      </c>
    </row>
    <row r="4" ht="15.75" customHeight="1" s="161">
      <c r="B4" s="456" t="n"/>
      <c r="G4" s="457" t="n"/>
      <c r="H4" s="457" t="n"/>
    </row>
    <row r="5" ht="12.6" customHeight="1" s="161" thickBot="1"/>
    <row r="6" ht="16.9" customFormat="1" customHeight="1" s="371">
      <c r="A6" s="425" t="inlineStr">
        <is>
          <t>Nouvelle</t>
        </is>
      </c>
      <c r="B6" s="458" t="inlineStr">
        <is>
          <t>Libellés</t>
        </is>
      </c>
      <c r="C6" s="426" t="inlineStr">
        <is>
          <t>GLOBAL</t>
        </is>
      </c>
      <c r="D6" s="427" t="n"/>
      <c r="E6" s="427" t="n"/>
      <c r="F6" s="427" t="n"/>
      <c r="G6" s="427" t="n"/>
      <c r="H6" s="428" t="n"/>
    </row>
    <row r="7" ht="16.9" customFormat="1" customHeight="1" s="371" thickBot="1">
      <c r="A7" s="382" t="n"/>
      <c r="B7" s="459" t="n"/>
      <c r="C7" s="429">
        <f>DONNÉES!B5</f>
        <v/>
      </c>
      <c r="D7" s="430" t="n"/>
      <c r="E7" s="429">
        <f>DONNÉES!B6</f>
        <v/>
      </c>
      <c r="F7" s="430" t="n"/>
      <c r="G7" s="429" t="inlineStr">
        <is>
          <t>Ecart</t>
        </is>
      </c>
      <c r="H7" s="430" t="n"/>
    </row>
    <row r="8">
      <c r="A8" s="431" t="n"/>
      <c r="B8" s="460" t="n"/>
      <c r="C8" s="432" t="n"/>
      <c r="D8" s="433" t="n"/>
      <c r="E8" s="4" t="n"/>
      <c r="F8" s="5" t="n"/>
      <c r="G8" s="4" t="n"/>
      <c r="H8" s="5" t="n"/>
    </row>
    <row r="9" ht="16.9" customHeight="1" s="161" thickBot="1">
      <c r="A9" s="7" t="inlineStr">
        <is>
          <t>2</t>
        </is>
      </c>
      <c r="B9" s="461" t="inlineStr">
        <is>
          <t xml:space="preserve">                        VENTES</t>
        </is>
      </c>
      <c r="C9" s="70">
        <f>+'GLR5 A'!C8+'HTR8 A'!C8+'TIRR A'!C8+'VR7 A'!C8+'TURVILLA A'!C8+'HART A'!C8+'VICTOIRE A'!C8+'TH4 A'!C8+'DIVES A'!C8+'R314 A'!C8+'LYSE A'!C8+'ARTHUR A'!C8+'HUGO A'!C8+'JEANCLO A'!C8+'THOMAS A'!C8+'CATALINA A'!C8</f>
        <v/>
      </c>
      <c r="D9" s="71">
        <f>(C9*100)/C$9</f>
        <v/>
      </c>
      <c r="E9" s="72">
        <f>+'GLR5 A'!E8+'HTR8 A'!E8+'TIRR A'!E8+'VR7 A'!E8+'TURVILLA A'!E8+'HART A'!E8+'VICTOIRE A'!E8+'TH4 A'!E8+'DIVES A'!E8+'R314 A'!E8+'LYSE A'!E8+'ARTHUR A'!E8+'HUGO A'!E8+'JEANCLO A'!E8+'THOMAS A'!E8+'CATALINA A'!E8</f>
        <v/>
      </c>
      <c r="F9" s="71">
        <f>(E9*100)/E$9</f>
        <v/>
      </c>
      <c r="G9" s="72">
        <f>+C9-E9</f>
        <v/>
      </c>
      <c r="H9" s="71">
        <f>IF(E9=0,0,G9/E9*100)</f>
        <v/>
      </c>
    </row>
    <row r="10" ht="7.15" customHeight="1" s="161" thickTop="1">
      <c r="A10" s="435" t="n"/>
      <c r="B10" s="462" t="n"/>
      <c r="C10" s="436" t="n"/>
      <c r="D10" s="10" t="n"/>
      <c r="E10" s="9" t="n"/>
      <c r="F10" s="10" t="n"/>
      <c r="G10" s="9" t="n"/>
      <c r="H10" s="10" t="n"/>
    </row>
    <row r="11" customFormat="1" s="390">
      <c r="A11" s="13" t="inlineStr">
        <is>
          <t>3</t>
        </is>
      </c>
      <c r="B11" s="463" t="inlineStr">
        <is>
          <t>Coût nourriture</t>
        </is>
      </c>
      <c r="C11" s="23">
        <f>+'GLR5 A'!C10+'HTR8 A'!C10+'TIRR A'!C10+'VR7 A'!C10+'TURVILLA A'!C10+'HART A'!C10+'VICTOIRE A'!C10+'TH4 A'!C10+'DIVES A'!C10+'R314 A'!C10+'LYSE A'!C10+'ARTHUR A'!C10+'HUGO A'!C10+'JEANCLO A'!C10+'THOMAS A'!C10+'CATALINA A'!C10</f>
        <v/>
      </c>
      <c r="D11" s="17">
        <f>(C11*100)/C$9</f>
        <v/>
      </c>
      <c r="E11" s="16">
        <f>+'GLR5 A'!E10+'HTR8 A'!E10+'TIRR A'!E10+'VR7 A'!E10+'TURVILLA A'!E10+'HART A'!E10+'VICTOIRE A'!E10+'TH4 A'!E10+'DIVES A'!E10+'R314 A'!E10+'LYSE A'!E10+'ARTHUR A'!E10+'HUGO A'!E10+'JEANCLO A'!E10+'THOMAS A'!E10+'CATALINA A'!E10</f>
        <v/>
      </c>
      <c r="F11" s="17">
        <f>(E11*100)/E$9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4</t>
        </is>
      </c>
      <c r="B12" s="463" t="inlineStr">
        <is>
          <t>Repas</t>
        </is>
      </c>
      <c r="C12" s="23">
        <f>+'GLR5 A'!C11+'HTR8 A'!C11+'TIRR A'!C11+'VR7 A'!C11+'TURVILLA A'!C11+'HART A'!C11+'VICTOIRE A'!C11+'TH4 A'!C11+'DIVES A'!C11+'R314 A'!C11+'LYSE A'!C11+'ARTHUR A'!C11+'HUGO A'!C11+'JEANCLO A'!C11+'THOMAS A'!C11+'CATALINA A'!C11</f>
        <v/>
      </c>
      <c r="D12" s="17">
        <f>(C12*100)/C$9</f>
        <v/>
      </c>
      <c r="E12" s="16">
        <f>+'GLR5 A'!E11+'HTR8 A'!E11+'TIRR A'!E11+'VR7 A'!E11+'TURVILLA A'!E11+'HART A'!E11+'VICTOIRE A'!E11+'TH4 A'!E11+'DIVES A'!E11+'R314 A'!E11+'LYSE A'!E11+'ARTHUR A'!E11+'HUGO A'!E11+'JEANCLO A'!E11+'THOMAS A'!E11+'CATALINA A'!E11</f>
        <v/>
      </c>
      <c r="F12" s="17">
        <f>(E12*100)/E$9</f>
        <v/>
      </c>
      <c r="G12" s="16">
        <f>+C12-E12</f>
        <v/>
      </c>
      <c r="H12" s="17">
        <f>IF(E12=0,0,G12/E12*100)</f>
        <v/>
      </c>
    </row>
    <row r="13" customFormat="1" s="390">
      <c r="A13" s="13" t="inlineStr">
        <is>
          <t>5</t>
        </is>
      </c>
      <c r="B13" s="463" t="inlineStr">
        <is>
          <t>Déchets</t>
        </is>
      </c>
      <c r="C13" s="23">
        <f>+'GLR5 A'!C12+'HTR8 A'!C12+'TIRR A'!C12+'VR7 A'!C12+'TURVILLA A'!C12+'HART A'!C12+'VICTOIRE A'!C12+'TH4 A'!C12+'DIVES A'!C12+'R314 A'!C12+'LYSE A'!C12+'ARTHUR A'!C12+'HUGO A'!C12+'JEANCLO A'!C12+'THOMAS A'!C12+'CATALINA A'!C12</f>
        <v/>
      </c>
      <c r="D13" s="17">
        <f>(C13*100)/C$9</f>
        <v/>
      </c>
      <c r="E13" s="16">
        <f>+'GLR5 A'!E12+'HTR8 A'!E12+'TIRR A'!E12+'VR7 A'!E12+'TURVILLA A'!E12+'HART A'!E12+'VICTOIRE A'!E12+'TH4 A'!E12+'DIVES A'!E12+'R314 A'!E12+'LYSE A'!E12+'ARTHUR A'!E12+'HUGO A'!E12+'JEANCLO A'!E12+'THOMAS A'!E12+'CATALINA A'!E12</f>
        <v/>
      </c>
      <c r="F13" s="17">
        <f>(E13*100)/E$9</f>
        <v/>
      </c>
      <c r="G13" s="16">
        <f>+C13-E13</f>
        <v/>
      </c>
      <c r="H13" s="17">
        <f>IF(E13=0,0,G13/E13*100)</f>
        <v/>
      </c>
    </row>
    <row r="14" ht="13.5" customFormat="1" customHeight="1" s="438">
      <c r="A14" s="60" t="n"/>
      <c r="B14" s="464" t="inlineStr">
        <is>
          <t>Coût total</t>
        </is>
      </c>
      <c r="C14" s="55">
        <f>SUM(C11:C13)</f>
        <v/>
      </c>
      <c r="D14" s="56">
        <f>(C14*100)/C$9</f>
        <v/>
      </c>
      <c r="E14" s="55">
        <f>SUM(E11:E13)</f>
        <v/>
      </c>
      <c r="F14" s="56">
        <f>(E14*100)/E$9</f>
        <v/>
      </c>
      <c r="G14" s="55">
        <f>SUM(G11:G13)</f>
        <v/>
      </c>
      <c r="H14" s="56">
        <f>IF(E14=0,0,G14/E14*100)</f>
        <v/>
      </c>
    </row>
    <row r="15" customFormat="1" s="390">
      <c r="A15" s="13" t="inlineStr">
        <is>
          <t>6</t>
        </is>
      </c>
      <c r="B15" s="463" t="inlineStr">
        <is>
          <t>Coût total papier</t>
        </is>
      </c>
      <c r="C15" s="23">
        <f>+'GLR5 A'!C14+'HTR8 A'!C14+'TIRR A'!C14+'VR7 A'!C14+'TURVILLA A'!C14+'HART A'!C14+'VICTOIRE A'!C14+'TH4 A'!C14+'DIVES A'!C14+'R314 A'!C14+'LYSE A'!C14+'ARTHUR A'!C14+'HUGO A'!C14+'JEANCLO A'!C14+'THOMAS A'!C14+'CATALINA A'!C14</f>
        <v/>
      </c>
      <c r="D15" s="17">
        <f>(C15*100)/C$9</f>
        <v/>
      </c>
      <c r="E15" s="16">
        <f>+'GLR5 A'!E14+'HTR8 A'!E14+'TIRR A'!E14+'VR7 A'!E14+'TURVILLA A'!E14+'HART A'!E14+'VICTOIRE A'!E14+'TH4 A'!E14+'DIVES A'!E14+'R314 A'!E14+'LYSE A'!E14+'ARTHUR A'!E14+'HUGO A'!E14+'JEANCLO A'!E14+'THOMAS A'!E14+'CATALINA A'!E14</f>
        <v/>
      </c>
      <c r="F15" s="17">
        <f>(E15*100)/E$9</f>
        <v/>
      </c>
      <c r="G15" s="16">
        <f>+C15-E15</f>
        <v/>
      </c>
      <c r="H15" s="17">
        <f>IF(E15=0,0,G15/E15*100)</f>
        <v/>
      </c>
    </row>
    <row r="16" customFormat="1" s="390">
      <c r="A16" s="13" t="inlineStr">
        <is>
          <t>6.1</t>
        </is>
      </c>
      <c r="B16" s="463" t="inlineStr">
        <is>
          <t>Vaisselle réutilisable</t>
        </is>
      </c>
      <c r="C16" s="23">
        <f>+'GLR5 A'!C15+'HTR8 A'!C15+'TIRR A'!C15+'VR7 A'!C15+'TURVILLA A'!C15+'HART A'!C15+'VICTOIRE A'!C15+'TH4 A'!C15+'DIVES A'!C15+'R314 A'!C15+'LYSE A'!C15+'ARTHUR A'!C15+'HUGO A'!C15+'JEANCLO A'!C15+'THOMAS A'!C15+'CATALINA A'!C15</f>
        <v/>
      </c>
      <c r="D16" s="17">
        <f>(C16*100)/C$9</f>
        <v/>
      </c>
      <c r="E16" s="16">
        <f>+'GLR5 A'!E15+'HTR8 A'!E15+'TIRR A'!E15+'VR7 A'!E15+'TURVILLA A'!E15+'HART A'!E15+'VICTOIRE A'!E15+'TH4 A'!E15+'DIVES A'!E15+'R314 A'!E15+'LYSE A'!E15+'ARTHUR A'!E15+'HUGO A'!E15+'JEANCLO A'!E15+'THOMAS A'!E15+'CATALINA A'!E15</f>
        <v/>
      </c>
      <c r="F16" s="17">
        <f>(E16*100)/E$9</f>
        <v/>
      </c>
      <c r="G16" s="16">
        <f>+C16-E16</f>
        <v/>
      </c>
      <c r="H16" s="17">
        <f>IF(E16=0,0,G16/E16*100)</f>
        <v/>
      </c>
    </row>
    <row r="17" ht="13.5" customHeight="1" s="161" thickBot="1">
      <c r="A17" s="7" t="n"/>
      <c r="B17" s="465" t="inlineStr">
        <is>
          <t>Coût total ventes</t>
        </is>
      </c>
      <c r="C17" s="49">
        <f>+C14+SUM(C15:C16)</f>
        <v/>
      </c>
      <c r="D17" s="50">
        <f>(C17*100)/C$9</f>
        <v/>
      </c>
      <c r="E17" s="49">
        <f>+E14+SUM(E15:E16)</f>
        <v/>
      </c>
      <c r="F17" s="50">
        <f>(E17*100)/E$9</f>
        <v/>
      </c>
      <c r="G17" s="49">
        <f>+G14+SUM(G15:G16)</f>
        <v/>
      </c>
      <c r="H17" s="50">
        <f>IF(E17=0,0,G17/E17*100)</f>
        <v/>
      </c>
    </row>
    <row r="18" ht="14.25" customHeight="1" s="161" thickBot="1" thickTop="1">
      <c r="A18" s="435" t="n"/>
      <c r="B18" s="466" t="n"/>
      <c r="C18" s="442" t="n"/>
      <c r="D18" s="54" t="n"/>
      <c r="E18" s="53" t="n"/>
      <c r="F18" s="54" t="n"/>
      <c r="G18" s="53" t="n"/>
      <c r="H18" s="54" t="n"/>
    </row>
    <row r="19" ht="16.9" customHeight="1" s="161" thickBot="1">
      <c r="A19" s="7" t="n"/>
      <c r="B19" s="461" t="inlineStr">
        <is>
          <t xml:space="preserve">                 BENEFICE BRUT </t>
        </is>
      </c>
      <c r="C19" s="70">
        <f>C9-C17</f>
        <v/>
      </c>
      <c r="D19" s="71">
        <f>(C19*100)/C$9</f>
        <v/>
      </c>
      <c r="E19" s="70">
        <f>E9-E17</f>
        <v/>
      </c>
      <c r="F19" s="71">
        <f>(E19*100)/E$9</f>
        <v/>
      </c>
      <c r="G19" s="70">
        <f>G9-G17</f>
        <v/>
      </c>
      <c r="H19" s="71">
        <f>IF(E19=0,0,G19/E19*100)</f>
        <v/>
      </c>
    </row>
    <row r="20" ht="7.15" customHeight="1" s="161" thickTop="1">
      <c r="A20" s="435" t="n"/>
      <c r="B20" s="467" t="n"/>
      <c r="C20" s="388" t="n"/>
      <c r="D20" s="10" t="n"/>
      <c r="E20" s="9" t="n"/>
      <c r="F20" s="10" t="n"/>
      <c r="G20" s="9" t="n"/>
      <c r="H20" s="10" t="n"/>
    </row>
    <row r="21" customFormat="1" s="390">
      <c r="A21" s="13" t="n">
        <v>8</v>
      </c>
      <c r="B21" s="463" t="inlineStr">
        <is>
          <t>Main-d'œuvre brute Équipiers</t>
        </is>
      </c>
      <c r="C21" s="23">
        <f>+'GLR5 A'!C20+'HTR8 A'!C20+'TIRR A'!C20+'VR7 A'!C20+'TURVILLA A'!C20+'HART A'!C20+'VICTOIRE A'!C20+'TH4 A'!C20+'DIVES A'!C20+'R314 A'!C20+'LYSE A'!C20+'ARTHUR A'!C20+'HUGO A'!C20+'JEANCLO A'!C20+'THOMAS A'!C20+'CATALINA A'!C20</f>
        <v/>
      </c>
      <c r="D21" s="17">
        <f>(C21*100)/C$9</f>
        <v/>
      </c>
      <c r="E21" s="16">
        <f>+'GLR5 A'!E20+'HTR8 A'!E20+'TIRR A'!E20+'VR7 A'!E20+'TURVILLA A'!E20+'HART A'!E20+'VICTOIRE A'!E20+'TH4 A'!E20+'DIVES A'!E20+'R314 A'!E20+'LYSE A'!E20+'ARTHUR A'!E20+'HUGO A'!E20+'JEANCLO A'!E20+'THOMAS A'!E20+'CATALINA A'!E20</f>
        <v/>
      </c>
      <c r="F21" s="17">
        <f>(E21*100)/E$9</f>
        <v/>
      </c>
      <c r="G21" s="16">
        <f>+C21-E21</f>
        <v/>
      </c>
      <c r="H21" s="17">
        <f>IF(E21=0,0,G21/E21*100)</f>
        <v/>
      </c>
    </row>
    <row r="22" customFormat="1" s="390">
      <c r="A22" s="13" t="n">
        <v>9</v>
      </c>
      <c r="B22" s="463" t="inlineStr">
        <is>
          <t>Charges sociales Équipiers</t>
        </is>
      </c>
      <c r="C22" s="23">
        <f>+'GLR5 A'!C21+'HTR8 A'!C21+'TIRR A'!C21+'VR7 A'!C21+'TURVILLA A'!C21+'HART A'!C21+'VICTOIRE A'!C21+'TH4 A'!C21+'DIVES A'!C21+'R314 A'!C21+'LYSE A'!C21+'ARTHUR A'!C21+'HUGO A'!C21+'JEANCLO A'!C21+'THOMAS A'!C21+'CATALINA A'!C21</f>
        <v/>
      </c>
      <c r="D22" s="17">
        <f>(C22*100)/C$9</f>
        <v/>
      </c>
      <c r="E22" s="16">
        <f>+'GLR5 A'!E21+'HTR8 A'!E21+'TIRR A'!E21+'VR7 A'!E21+'TURVILLA A'!E21+'HART A'!E21+'VICTOIRE A'!E21+'TH4 A'!E21+'DIVES A'!E21+'R314 A'!E21+'LYSE A'!E21+'ARTHUR A'!E21+'HUGO A'!E21+'JEANCLO A'!E21+'THOMAS A'!E21+'CATALINA A'!E21</f>
        <v/>
      </c>
      <c r="F22" s="17">
        <f>(E22*100)/E$9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10</t>
        </is>
      </c>
      <c r="B23" s="463" t="inlineStr">
        <is>
          <t>Salaires Managers</t>
        </is>
      </c>
      <c r="C23" s="23">
        <f>+'GLR5 A'!C22+'HTR8 A'!C22+'TIRR A'!C22+'VR7 A'!C22+'TURVILLA A'!C22+'HART A'!C22+'VICTOIRE A'!C22+'TH4 A'!C22+'DIVES A'!C22+'R314 A'!C22+'LYSE A'!C22+'ARTHUR A'!C22+'HUGO A'!C22+'JEANCLO A'!C22+'THOMAS A'!C22+'CATALINA A'!C22</f>
        <v/>
      </c>
      <c r="D23" s="17">
        <f>(C23*100)/C$9</f>
        <v/>
      </c>
      <c r="E23" s="16">
        <f>+'GLR5 A'!E22+'HTR8 A'!E22+'TIRR A'!E22+'VR7 A'!E22+'TURVILLA A'!E22+'HART A'!E22+'VICTOIRE A'!E22+'TH4 A'!E22+'DIVES A'!E22+'R314 A'!E22+'LYSE A'!E22+'ARTHUR A'!E22+'HUGO A'!E22+'JEANCLO A'!E22+'THOMAS A'!E22+'CATALINA A'!E22</f>
        <v/>
      </c>
      <c r="F23" s="17">
        <f>(E23*100)/E$9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11</t>
        </is>
      </c>
      <c r="B24" s="463" t="inlineStr">
        <is>
          <t>Charges sociales Managers</t>
        </is>
      </c>
      <c r="C24" s="23">
        <f>+'GLR5 A'!C23+'HTR8 A'!C23+'TIRR A'!C23+'VR7 A'!C23+'TURVILLA A'!C23+'HART A'!C23+'VICTOIRE A'!C23+'TH4 A'!C23+'DIVES A'!C23+'R314 A'!C23+'LYSE A'!C23+'ARTHUR A'!C23+'HUGO A'!C23+'JEANCLO A'!C23+'THOMAS A'!C23+'CATALINA A'!C23</f>
        <v/>
      </c>
      <c r="D24" s="17">
        <f>(C24*100)/C$9</f>
        <v/>
      </c>
      <c r="E24" s="16">
        <f>+'GLR5 A'!E23+'HTR8 A'!E23+'TIRR A'!E23+'VR7 A'!E23+'TURVILLA A'!E23+'HART A'!E23+'VICTOIRE A'!E23+'TH4 A'!E23+'DIVES A'!E23+'R314 A'!E23+'LYSE A'!E23+'ARTHUR A'!E23+'HUGO A'!E23+'JEANCLO A'!E23+'THOMAS A'!E23+'CATALINA A'!E23</f>
        <v/>
      </c>
      <c r="F24" s="17">
        <f>(E24*100)/E$9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12</t>
        </is>
      </c>
      <c r="B25" s="463" t="inlineStr">
        <is>
          <t>Aides et exonérations sociales</t>
        </is>
      </c>
      <c r="C25" s="23">
        <f>+'GLR5 A'!C24+'HTR8 A'!C24+'TIRR A'!C24+'VR7 A'!C24+'TURVILLA A'!C24+'HART A'!C24+'VICTOIRE A'!C24+'TH4 A'!C24+'DIVES A'!C24+'R314 A'!C24+'LYSE A'!C24+'ARTHUR A'!C24+'HUGO A'!C24+'JEANCLO A'!C24+'THOMAS A'!C24+'CATALINA A'!C24</f>
        <v/>
      </c>
      <c r="D25" s="17">
        <f>(C25*100)/C$9</f>
        <v/>
      </c>
      <c r="E25" s="16">
        <f>+'GLR5 A'!E24+'HTR8 A'!E24+'TIRR A'!E24+'VR7 A'!E24+'TURVILLA A'!E24+'HART A'!E24+'VICTOIRE A'!E24+'TH4 A'!E24+'DIVES A'!E24+'R314 A'!E24+'LYSE A'!E24+'ARTHUR A'!E24+'HUGO A'!E24+'JEANCLO A'!E24+'THOMAS A'!E24+'CATALINA A'!E24</f>
        <v/>
      </c>
      <c r="F25" s="17">
        <f>(E25*100)/E$9</f>
        <v/>
      </c>
      <c r="G25" s="16">
        <f>+C25-E25</f>
        <v/>
      </c>
      <c r="H25" s="17">
        <f>IF(E25=0,0,G25/E25*100)</f>
        <v/>
      </c>
    </row>
    <row r="26" customFormat="1" s="390">
      <c r="A26" s="13" t="inlineStr">
        <is>
          <t>13</t>
        </is>
      </c>
      <c r="B26" s="463" t="inlineStr">
        <is>
          <t>Divers MO</t>
        </is>
      </c>
      <c r="C26" s="23">
        <f>+'GLR5 A'!C25+'HTR8 A'!C25+'TIRR A'!C25+'VR7 A'!C25+'TURVILLA A'!C25+'HART A'!C25+'VICTOIRE A'!C25+'TH4 A'!C25+'DIVES A'!C25+'R314 A'!C25+'LYSE A'!C25+'ARTHUR A'!C25+'HUGO A'!C25+'JEANCLO A'!C25+'THOMAS A'!C25+'CATALINA A'!C25</f>
        <v/>
      </c>
      <c r="D26" s="17">
        <f>(C26*100)/C$9</f>
        <v/>
      </c>
      <c r="E26" s="16">
        <f>+'GLR5 A'!E25+'HTR8 A'!E25+'TIRR A'!E25+'VR7 A'!E25+'TURVILLA A'!E25+'HART A'!E25+'VICTOIRE A'!E25+'TH4 A'!E25+'DIVES A'!E25+'R314 A'!E25+'LYSE A'!E25+'ARTHUR A'!E25+'HUGO A'!E25+'JEANCLO A'!E25+'THOMAS A'!E25+'CATALINA A'!E25</f>
        <v/>
      </c>
      <c r="F26" s="17">
        <f>(E26*100)/E$9</f>
        <v/>
      </c>
      <c r="G26" s="16">
        <f>+C26-E26</f>
        <v/>
      </c>
      <c r="H26" s="17">
        <f>IF(E26=0,0,G26/E26*100)</f>
        <v/>
      </c>
    </row>
    <row r="27" ht="13.5" customHeight="1" s="161" thickBot="1">
      <c r="A27" s="7" t="n"/>
      <c r="B27" s="465" t="inlineStr">
        <is>
          <t>Coût total Main d'œuvre</t>
        </is>
      </c>
      <c r="C27" s="49">
        <f>SUM(C21:C26)</f>
        <v/>
      </c>
      <c r="D27" s="50">
        <f>(C27*100)/C$9</f>
        <v/>
      </c>
      <c r="E27" s="51">
        <f>SUM(E21:E26)</f>
        <v/>
      </c>
      <c r="F27" s="50">
        <f>(E27*100)/E$9</f>
        <v/>
      </c>
      <c r="G27" s="51">
        <f>SUM(G21:G26)</f>
        <v/>
      </c>
      <c r="H27" s="50">
        <f>IF(E27=0,0,G27/E27*100)</f>
        <v/>
      </c>
    </row>
    <row r="28" ht="7.15" customHeight="1" s="161" thickTop="1">
      <c r="A28" s="435" t="n"/>
      <c r="B28" s="467" t="n"/>
      <c r="C28" s="388" t="n"/>
      <c r="D28" s="10" t="n"/>
      <c r="E28" s="9" t="n"/>
      <c r="F28" s="10" t="n"/>
      <c r="G28" s="9" t="n"/>
      <c r="H28" s="10" t="n"/>
    </row>
    <row r="29" customFormat="1" s="390">
      <c r="A29" s="13" t="inlineStr">
        <is>
          <t>15</t>
        </is>
      </c>
      <c r="B29" s="463" t="inlineStr">
        <is>
          <t>Nettoyage</t>
        </is>
      </c>
      <c r="C29" s="23">
        <f>+'GLR5 A'!C28+'HTR8 A'!C28+'TIRR A'!C28+'VR7 A'!C28+'TURVILLA A'!C28+'HART A'!C28+'VICTOIRE A'!C28+'TH4 A'!C28+'DIVES A'!C28+'R314 A'!C28+'LYSE A'!C28+'ARTHUR A'!C28+'HUGO A'!C28+'JEANCLO A'!C28+'THOMAS A'!C28+'CATALINA A'!C28</f>
        <v/>
      </c>
      <c r="D29" s="17">
        <f>(C29*100)/C$9</f>
        <v/>
      </c>
      <c r="E29" s="16">
        <f>+'GLR5 A'!E28+'HTR8 A'!E28+'TIRR A'!E28+'VR7 A'!E28+'TURVILLA A'!E28+'HART A'!E28+'VICTOIRE A'!E28+'TH4 A'!E28+'DIVES A'!E28+'R314 A'!E28+'LYSE A'!E28+'ARTHUR A'!E28+'HUGO A'!E28+'JEANCLO A'!E28+'THOMAS A'!E28+'CATALINA A'!E28</f>
        <v/>
      </c>
      <c r="F29" s="17">
        <f>(E29*100)/E$9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16</t>
        </is>
      </c>
      <c r="B30" s="463" t="inlineStr">
        <is>
          <t>Sécurité et Gardiennage</t>
        </is>
      </c>
      <c r="C30" s="23">
        <f>+'GLR5 A'!C29+'HTR8 A'!C29+'TIRR A'!C29+'VR7 A'!C29+'TURVILLA A'!C29+'HART A'!C29+'VICTOIRE A'!C29+'TH4 A'!C29+'DIVES A'!C29+'R314 A'!C29+'LYSE A'!C29+'ARTHUR A'!C29+'HUGO A'!C29+'JEANCLO A'!C29+'THOMAS A'!C29+'CATALINA A'!C29</f>
        <v/>
      </c>
      <c r="D30" s="17">
        <f>(C30*100)/C$9</f>
        <v/>
      </c>
      <c r="E30" s="16">
        <f>+'GLR5 A'!E29+'HTR8 A'!E29+'TIRR A'!E29+'VR7 A'!E29+'TURVILLA A'!E29+'HART A'!E29+'VICTOIRE A'!E29+'TH4 A'!E29+'DIVES A'!E29+'R314 A'!E29+'LYSE A'!E29+'ARTHUR A'!E29+'HUGO A'!E29+'JEANCLO A'!E29+'THOMAS A'!E29+'CATALINA A'!E29</f>
        <v/>
      </c>
      <c r="F30" s="17">
        <f>(E30*100)/E$9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17</t>
        </is>
      </c>
      <c r="B31" s="463" t="inlineStr">
        <is>
          <t>Frais bancaires</t>
        </is>
      </c>
      <c r="C31" s="23">
        <f>+'GLR5 A'!C30+'HTR8 A'!C30+'TIRR A'!C30+'VR7 A'!C30+'TURVILLA A'!C30+'HART A'!C30+'VICTOIRE A'!C30+'TH4 A'!C30+'DIVES A'!C30+'R314 A'!C30+'LYSE A'!C30+'ARTHUR A'!C30+'HUGO A'!C30+'JEANCLO A'!C30+'THOMAS A'!C30+'CATALINA A'!C30</f>
        <v/>
      </c>
      <c r="D31" s="17">
        <f>(C31*100)/C$9</f>
        <v/>
      </c>
      <c r="E31" s="16">
        <f>+'GLR5 A'!E30+'HTR8 A'!E30+'TIRR A'!E30+'VR7 A'!E30+'TURVILLA A'!E30+'HART A'!E30+'VICTOIRE A'!E30+'TH4 A'!E30+'DIVES A'!E30+'R314 A'!E30+'LYSE A'!E30+'ARTHUR A'!E30+'HUGO A'!E30+'JEANCLO A'!E30+'THOMAS A'!E30+'CATALINA A'!E30</f>
        <v/>
      </c>
      <c r="F31" s="17">
        <f>(E31*100)/E$9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18</t>
        </is>
      </c>
      <c r="B32" s="463" t="inlineStr">
        <is>
          <t>Contrat Maintenance et réparations</t>
        </is>
      </c>
      <c r="C32" s="23">
        <f>+'GLR5 A'!C31+'HTR8 A'!C31+'TIRR A'!C31+'VR7 A'!C31+'TURVILLA A'!C31+'HART A'!C31+'VICTOIRE A'!C31+'TH4 A'!C31+'DIVES A'!C31+'R314 A'!C31+'LYSE A'!C31+'ARTHUR A'!C31+'HUGO A'!C31+'JEANCLO A'!C31+'THOMAS A'!C31+'CATALINA A'!C31</f>
        <v/>
      </c>
      <c r="D32" s="17">
        <f>(C32*100)/C$9</f>
        <v/>
      </c>
      <c r="E32" s="16">
        <f>+'GLR5 A'!E31+'HTR8 A'!E31+'TIRR A'!E31+'VR7 A'!E31+'TURVILLA A'!E31+'HART A'!E31+'VICTOIRE A'!E31+'TH4 A'!E31+'DIVES A'!E31+'R314 A'!E31+'LYSE A'!E31+'ARTHUR A'!E31+'HUGO A'!E31+'JEANCLO A'!E31+'THOMAS A'!E31+'CATALINA A'!E31</f>
        <v/>
      </c>
      <c r="F32" s="17">
        <f>(E32*100)/E$9</f>
        <v/>
      </c>
      <c r="G32" s="16">
        <f>+C32-E32</f>
        <v/>
      </c>
      <c r="H32" s="17">
        <f>IF(E32=0,0,G32/E32*100)</f>
        <v/>
      </c>
    </row>
    <row r="33" customFormat="1" s="390">
      <c r="A33" s="13" t="inlineStr">
        <is>
          <t>19</t>
        </is>
      </c>
      <c r="B33" s="463" t="inlineStr">
        <is>
          <t>Autres Services Extérieurs</t>
        </is>
      </c>
      <c r="C33" s="23">
        <f>+'GLR5 A'!C32+'HTR8 A'!C32+'TIRR A'!C32+'VR7 A'!C32+'TURVILLA A'!C32+'HART A'!C32+'VICTOIRE A'!C32+'TH4 A'!C32+'DIVES A'!C32+'R314 A'!C32+'LYSE A'!C32+'ARTHUR A'!C32+'HUGO A'!C32+'JEANCLO A'!C32+'THOMAS A'!C32+'CATALINA A'!C32</f>
        <v/>
      </c>
      <c r="D33" s="17">
        <f>(C33*100)/C$9</f>
        <v/>
      </c>
      <c r="E33" s="16">
        <f>+'GLR5 A'!E32+'HTR8 A'!E32+'TIRR A'!E32+'VR7 A'!E32+'TURVILLA A'!E32+'HART A'!E32+'VICTOIRE A'!E32+'TH4 A'!E32+'DIVES A'!E32+'R314 A'!E32+'LYSE A'!E32+'ARTHUR A'!E32+'HUGO A'!E32+'JEANCLO A'!E32+'THOMAS A'!E32+'CATALINA A'!E32</f>
        <v/>
      </c>
      <c r="F33" s="17">
        <f>(E33*100)/E$9</f>
        <v/>
      </c>
      <c r="G33" s="16">
        <f>+C33-E33</f>
        <v/>
      </c>
      <c r="H33" s="17">
        <f>IF(E33=0,0,G33/E33*100)</f>
        <v/>
      </c>
    </row>
    <row r="34" ht="13.5" customHeight="1" s="161" thickBot="1">
      <c r="A34" s="7" t="n"/>
      <c r="B34" s="465" t="inlineStr">
        <is>
          <t>Coût total Services Extérieurs</t>
        </is>
      </c>
      <c r="C34" s="49">
        <f>SUM(C29:C33)</f>
        <v/>
      </c>
      <c r="D34" s="50">
        <f>(C34*100)/C$9</f>
        <v/>
      </c>
      <c r="E34" s="51">
        <f>SUM(E29:E33)</f>
        <v/>
      </c>
      <c r="F34" s="50">
        <f>(E34*100)/E$9</f>
        <v/>
      </c>
      <c r="G34" s="51">
        <f>SUM(G29:G33)</f>
        <v/>
      </c>
      <c r="H34" s="50">
        <f>IF(E34=0,0,G34/E34*100)</f>
        <v/>
      </c>
    </row>
    <row r="35" ht="7.15" customHeight="1" s="161" thickTop="1">
      <c r="A35" s="435" t="n"/>
      <c r="B35" s="467" t="n"/>
      <c r="C35" s="388" t="n"/>
      <c r="D35" s="10" t="n"/>
      <c r="E35" s="9" t="n"/>
      <c r="F35" s="10" t="n"/>
      <c r="G35" s="9" t="n"/>
      <c r="H35" s="10" t="n"/>
    </row>
    <row r="36" customFormat="1" s="390">
      <c r="A36" s="13" t="inlineStr">
        <is>
          <t>21</t>
        </is>
      </c>
      <c r="B36" s="463" t="inlineStr">
        <is>
          <t>Commissions Food Tech</t>
        </is>
      </c>
      <c r="C36" s="23">
        <f>+'GLR5 A'!C35+'HTR8 A'!C35+'TIRR A'!C35+'VR7 A'!C35+'TURVILLA A'!C35+'HART A'!C35+'VICTOIRE A'!C35+'TH4 A'!C35+'DIVES A'!C35+'R314 A'!C35+'LYSE A'!C35+'ARTHUR A'!C35+'HUGO A'!C35+'JEANCLO A'!C35+'THOMAS A'!C35+'CATALINA A'!C35</f>
        <v/>
      </c>
      <c r="D36" s="17">
        <f>(C36*100)/C$9</f>
        <v/>
      </c>
      <c r="E36" s="16">
        <f>+'GLR5 A'!E35+'HTR8 A'!E35+'TIRR A'!E35+'VR7 A'!E35+'TURVILLA A'!E35+'HART A'!E35+'VICTOIRE A'!E35+'TH4 A'!E35+'DIVES A'!E35+'R314 A'!E35+'LYSE A'!E35+'ARTHUR A'!E35+'HUGO A'!E35+'JEANCLO A'!E35+'THOMAS A'!E35+'CATALINA A'!E35</f>
        <v/>
      </c>
      <c r="F36" s="17">
        <f>(E36*100)/E$9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22</t>
        </is>
      </c>
      <c r="B37" s="463" t="inlineStr">
        <is>
          <t>Publicité GIE</t>
        </is>
      </c>
      <c r="C37" s="23">
        <f>+'GLR5 A'!C36+'HTR8 A'!C36+'TIRR A'!C36+'VR7 A'!C36+'TURVILLA A'!C36+'HART A'!C36+'VICTOIRE A'!C36+'TH4 A'!C36+'DIVES A'!C36+'R314 A'!C36+'LYSE A'!C36+'ARTHUR A'!C36+'HUGO A'!C36+'JEANCLO A'!C36+'THOMAS A'!C36+'CATALINA A'!C36</f>
        <v/>
      </c>
      <c r="D37" s="17">
        <f>(C37*100)/C$9</f>
        <v/>
      </c>
      <c r="E37" s="16">
        <f>+'GLR5 A'!E36+'HTR8 A'!E36+'TIRR A'!E36+'VR7 A'!E36+'TURVILLA A'!E36+'HART A'!E36+'VICTOIRE A'!E36+'TH4 A'!E36+'DIVES A'!E36+'R314 A'!E36+'LYSE A'!E36+'ARTHUR A'!E36+'HUGO A'!E36+'JEANCLO A'!E36+'THOMAS A'!E36+'CATALINA A'!E36</f>
        <v/>
      </c>
      <c r="F37" s="17">
        <f>(E37*100)/E$9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23</t>
        </is>
      </c>
      <c r="B38" s="463" t="inlineStr">
        <is>
          <t>Promotion</t>
        </is>
      </c>
      <c r="C38" s="23">
        <f>+'GLR5 A'!C37+'HTR8 A'!C37+'TIRR A'!C37+'VR7 A'!C37+'TURVILLA A'!C37+'HART A'!C37+'VICTOIRE A'!C37+'TH4 A'!C37+'DIVES A'!C37+'R314 A'!C37+'LYSE A'!C37+'ARTHUR A'!C37+'HUGO A'!C37+'JEANCLO A'!C37+'THOMAS A'!C37+'CATALINA A'!C37</f>
        <v/>
      </c>
      <c r="D38" s="17">
        <f>(C38*100)/C$9</f>
        <v/>
      </c>
      <c r="E38" s="16">
        <f>+'GLR5 A'!E37+'HTR8 A'!E37+'TIRR A'!E37+'VR7 A'!E37+'TURVILLA A'!E37+'HART A'!E37+'VICTOIRE A'!E37+'TH4 A'!E37+'DIVES A'!E37+'R314 A'!E37+'LYSE A'!E37+'ARTHUR A'!E37+'HUGO A'!E37+'JEANCLO A'!E37+'THOMAS A'!E37+'CATALINA A'!E37</f>
        <v/>
      </c>
      <c r="F38" s="17">
        <f>(E38*100)/E$9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24</t>
        </is>
      </c>
      <c r="B39" s="463" t="inlineStr">
        <is>
          <t>Electricité-eau-gaz</t>
        </is>
      </c>
      <c r="C39" s="23">
        <f>+'GLR5 A'!C38+'HTR8 A'!C38+'TIRR A'!C38+'VR7 A'!C38+'TURVILLA A'!C38+'HART A'!C38+'VICTOIRE A'!C38+'TH4 A'!C38+'DIVES A'!C38+'R314 A'!C38+'LYSE A'!C38+'ARTHUR A'!C38+'HUGO A'!C38+'JEANCLO A'!C38+'THOMAS A'!C38+'CATALINA A'!C38</f>
        <v/>
      </c>
      <c r="D39" s="17">
        <f>(C39*100)/C$9</f>
        <v/>
      </c>
      <c r="E39" s="16">
        <f>+'GLR5 A'!E38+'HTR8 A'!E38+'TIRR A'!E38+'VR7 A'!E38+'TURVILLA A'!E38+'HART A'!E38+'VICTOIRE A'!E38+'TH4 A'!E38+'DIVES A'!E38+'R314 A'!E38+'LYSE A'!E38+'ARTHUR A'!E38+'HUGO A'!E38+'JEANCLO A'!E38+'THOMAS A'!E38+'CATALINA A'!E38</f>
        <v/>
      </c>
      <c r="F39" s="17">
        <f>(E39*100)/E$9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25</t>
        </is>
      </c>
      <c r="B40" s="463" t="inlineStr">
        <is>
          <t>Fournitures d'exploitation et bureau</t>
        </is>
      </c>
      <c r="C40" s="23">
        <f>+'GLR5 A'!C39+'HTR8 A'!C39+'TIRR A'!C39+'VR7 A'!C39+'TURVILLA A'!C39+'HART A'!C39+'VICTOIRE A'!C39+'TH4 A'!C39+'DIVES A'!C39+'R314 A'!C39+'LYSE A'!C39+'ARTHUR A'!C39+'HUGO A'!C39+'JEANCLO A'!C39+'THOMAS A'!C39+'CATALINA A'!C39</f>
        <v/>
      </c>
      <c r="D40" s="17">
        <f>(C40*100)/C$9</f>
        <v/>
      </c>
      <c r="E40" s="16">
        <f>+'GLR5 A'!E39+'HTR8 A'!E39+'TIRR A'!E39+'VR7 A'!E39+'TURVILLA A'!E39+'HART A'!E39+'VICTOIRE A'!E39+'TH4 A'!E39+'DIVES A'!E39+'R314 A'!E39+'LYSE A'!E39+'ARTHUR A'!E39+'HUGO A'!E39+'JEANCLO A'!E39+'THOMAS A'!E39+'CATALINA A'!E39</f>
        <v/>
      </c>
      <c r="F40" s="17">
        <f>(E40*100)/E$9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26</t>
        </is>
      </c>
      <c r="B41" s="463" t="inlineStr">
        <is>
          <t>Frais de déplacements et Evènements</t>
        </is>
      </c>
      <c r="C41" s="23">
        <f>+'GLR5 A'!C40+'HTR8 A'!C40+'TIRR A'!C40+'VR7 A'!C40+'TURVILLA A'!C40+'HART A'!C40+'VICTOIRE A'!C40+'TH4 A'!C40+'DIVES A'!C40+'R314 A'!C40+'LYSE A'!C40+'ARTHUR A'!C40+'HUGO A'!C40+'JEANCLO A'!C40+'THOMAS A'!C40+'CATALINA A'!C40</f>
        <v/>
      </c>
      <c r="D41" s="17">
        <f>(C41*100)/C$9</f>
        <v/>
      </c>
      <c r="E41" s="16">
        <f>+'GLR5 A'!E40+'HTR8 A'!E40+'TIRR A'!E40+'VR7 A'!E40+'TURVILLA A'!E40+'HART A'!E40+'VICTOIRE A'!E40+'TH4 A'!E40+'DIVES A'!E40+'R314 A'!E40+'LYSE A'!E40+'ARTHUR A'!E40+'HUGO A'!E40+'JEANCLO A'!E40+'THOMAS A'!E40+'CATALINA A'!E40</f>
        <v/>
      </c>
      <c r="F41" s="17">
        <f>(E41*100)/E$9</f>
        <v/>
      </c>
      <c r="G41" s="16">
        <f>+C41-E41</f>
        <v/>
      </c>
      <c r="H41" s="17">
        <f>IF(E41=0,0,G41/E41*100)</f>
        <v/>
      </c>
    </row>
    <row r="42" customFormat="1" s="390">
      <c r="A42" s="13" t="inlineStr">
        <is>
          <t>27</t>
        </is>
      </c>
      <c r="B42" s="463" t="inlineStr">
        <is>
          <t>Divers (écarts de caisse - uniformes - motivation)</t>
        </is>
      </c>
      <c r="C42" s="23">
        <f>+'GLR5 A'!C41+'HTR8 A'!C41+'TIRR A'!C41+'VR7 A'!C41+'TURVILLA A'!C41+'HART A'!C41+'VICTOIRE A'!C41+'TH4 A'!C41+'DIVES A'!C41+'R314 A'!C41+'LYSE A'!C41+'ARTHUR A'!C41+'HUGO A'!C41+'JEANCLO A'!C41+'THOMAS A'!C41+'CATALINA A'!C41</f>
        <v/>
      </c>
      <c r="D42" s="17">
        <f>(C42*100)/C$9</f>
        <v/>
      </c>
      <c r="E42" s="16">
        <f>+'GLR5 A'!E41+'HTR8 A'!E41+'TIRR A'!E41+'VR7 A'!E41+'TURVILLA A'!E41+'HART A'!E41+'VICTOIRE A'!E41+'TH4 A'!E41+'DIVES A'!E41+'R314 A'!E41+'LYSE A'!E41+'ARTHUR A'!E41+'HUGO A'!E41+'JEANCLO A'!E41+'THOMAS A'!E41+'CATALINA A'!E41</f>
        <v/>
      </c>
      <c r="F42" s="17">
        <f>(E42*100)/E$9</f>
        <v/>
      </c>
      <c r="G42" s="16">
        <f>+C42-E42</f>
        <v/>
      </c>
      <c r="H42" s="17">
        <f>IF(E42=0,0,G42/E42*100)</f>
        <v/>
      </c>
    </row>
    <row r="43" ht="13.5" customHeight="1" s="161" thickBot="1">
      <c r="A43" s="13" t="n"/>
      <c r="B43" s="465" t="inlineStr">
        <is>
          <t>Coût total autres dépenses contrôlables</t>
        </is>
      </c>
      <c r="C43" s="49">
        <f>+SUM(C36:C42)</f>
        <v/>
      </c>
      <c r="D43" s="50">
        <f>(C43*100)/C$9</f>
        <v/>
      </c>
      <c r="E43" s="51">
        <f>+SUM(E36:E42)</f>
        <v/>
      </c>
      <c r="F43" s="50">
        <f>(E43*100)/E$9</f>
        <v/>
      </c>
      <c r="G43" s="51">
        <f>+SUM(G36:G42)</f>
        <v/>
      </c>
      <c r="H43" s="50">
        <f>IF(E43=0,0,G43/E43*100)</f>
        <v/>
      </c>
    </row>
    <row r="44" ht="7.15" customHeight="1" s="161" thickTop="1">
      <c r="A44" s="13" t="n"/>
      <c r="B44" s="467" t="n"/>
      <c r="C44" s="388" t="n"/>
      <c r="D44" s="10" t="n"/>
      <c r="E44" s="9" t="n"/>
      <c r="F44" s="10" t="n"/>
      <c r="G44" s="9" t="n"/>
      <c r="H44" s="10" t="n"/>
    </row>
    <row r="45" ht="16.9" customHeight="1" s="161" thickBot="1">
      <c r="A45" s="13" t="n"/>
      <c r="B45" s="461" t="inlineStr">
        <is>
          <t xml:space="preserve">                              PAC </t>
        </is>
      </c>
      <c r="C45" s="70">
        <f>C19-C27-C34-C43</f>
        <v/>
      </c>
      <c r="D45" s="71">
        <f>(C45*100)/C$9</f>
        <v/>
      </c>
      <c r="E45" s="72">
        <f>E19-E27-E34-E43</f>
        <v/>
      </c>
      <c r="F45" s="71">
        <f>(E45*100)/E$9</f>
        <v/>
      </c>
      <c r="G45" s="72">
        <f>G19-G27-G34-G43</f>
        <v/>
      </c>
      <c r="H45" s="71">
        <f>IF(E45=0,0,G45/E45*100)</f>
        <v/>
      </c>
    </row>
    <row r="46" ht="7.15" customHeight="1" s="161" thickTop="1">
      <c r="A46" s="13" t="n"/>
      <c r="B46" s="467" t="n"/>
      <c r="C46" s="388" t="n"/>
      <c r="D46" s="10" t="n"/>
      <c r="E46" s="9" t="n"/>
      <c r="F46" s="10" t="n"/>
      <c r="G46" s="9" t="n"/>
      <c r="H46" s="10" t="n"/>
    </row>
    <row r="47" customFormat="1" s="390">
      <c r="A47" s="13" t="inlineStr">
        <is>
          <t>29</t>
        </is>
      </c>
      <c r="B47" s="463" t="inlineStr">
        <is>
          <t>Loyers</t>
        </is>
      </c>
      <c r="C47" s="23">
        <f>+'GLR5 A'!C46+'HTR8 A'!C46+'TIRR A'!C46+'VR7 A'!C46+'TURVILLA A'!C46+'HART A'!C46+'VICTOIRE A'!C46+'TH4 A'!C46+'DIVES A'!C46+'R314 A'!C46+'LYSE A'!C46+'ARTHUR A'!C46+'HUGO A'!C46+'JEANCLO A'!C46+'THOMAS A'!C46+'CATALINA A'!C46</f>
        <v/>
      </c>
      <c r="D47" s="17">
        <f>(C47*100)/C$9</f>
        <v/>
      </c>
      <c r="E47" s="16">
        <f>+'GLR5 A'!E46+'HTR8 A'!E46+'TIRR A'!E46+'VR7 A'!E46+'TURVILLA A'!E46+'HART A'!E46+'VICTOIRE A'!E46+'TH4 A'!E46+'DIVES A'!E46+'R314 A'!E46+'LYSE A'!E46+'ARTHUR A'!E46+'HUGO A'!E46+'JEANCLO A'!E46+'THOMAS A'!E46+'CATALINA A'!E46</f>
        <v/>
      </c>
      <c r="F47" s="17">
        <f>(E47*100)/E$9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30</t>
        </is>
      </c>
      <c r="B48" s="463" t="inlineStr">
        <is>
          <t>Indexation loyer externe</t>
        </is>
      </c>
      <c r="C48" s="23">
        <f>+'GLR5 A'!C47+'HTR8 A'!C47+'TIRR A'!C47+'VR7 A'!C47+'TURVILLA A'!C47+'HART A'!C47+'VICTOIRE A'!C47+'TH4 A'!C47+'DIVES A'!C47+'R314 A'!C47+'LYSE A'!C47+'ARTHUR A'!C47+'HUGO A'!C47+'JEANCLO A'!C47+'THOMAS A'!C47+'CATALINA A'!C47</f>
        <v/>
      </c>
      <c r="D48" s="17">
        <f>(C48*100)/C$9</f>
        <v/>
      </c>
      <c r="E48" s="16">
        <f>+'GLR5 A'!E47+'HTR8 A'!E47+'TIRR A'!E47+'VR7 A'!E47+'TURVILLA A'!E47+'HART A'!E47+'VICTOIRE A'!E47+'TH4 A'!E47+'DIVES A'!E47+'R314 A'!E47+'LYSE A'!E47+'ARTHUR A'!E47+'HUGO A'!E47+'JEANCLO A'!E47+'THOMAS A'!E47+'CATALINA A'!E47</f>
        <v/>
      </c>
      <c r="F48" s="17">
        <f>(E48*100)/E$9</f>
        <v/>
      </c>
      <c r="G48" s="16">
        <f>+C48-E48</f>
        <v/>
      </c>
      <c r="H48" s="17">
        <f>IF(E48=0,0,G48/E48*100)</f>
        <v/>
      </c>
    </row>
    <row r="49" customFormat="1" s="390">
      <c r="A49" s="13" t="inlineStr">
        <is>
          <t>31</t>
        </is>
      </c>
      <c r="B49" s="463" t="inlineStr">
        <is>
          <t>Incentives et avoirs de redevance</t>
        </is>
      </c>
      <c r="C49" s="23">
        <f>+'GLR5 A'!C48+'HTR8 A'!C48+'TIRR A'!C48+'VR7 A'!C48+'TURVILLA A'!C48+'HART A'!C48+'VICTOIRE A'!C48+'TH4 A'!C48+'DIVES A'!C48+'R314 A'!C48+'LYSE A'!C48+'ARTHUR A'!C48+'HUGO A'!C48+'JEANCLO A'!C48+'THOMAS A'!C48+'CATALINA A'!C48</f>
        <v/>
      </c>
      <c r="D49" s="17">
        <f>(C49*100)/C$9</f>
        <v/>
      </c>
      <c r="E49" s="16">
        <f>+'GLR5 A'!E48+'HTR8 A'!E48+'TIRR A'!E48+'VR7 A'!E48+'TURVILLA A'!E48+'HART A'!E48+'VICTOIRE A'!E48+'TH4 A'!E48+'DIVES A'!E48+'R314 A'!E48+'LYSE A'!E48+'ARTHUR A'!E48+'HUGO A'!E48+'JEANCLO A'!E48+'THOMAS A'!E48+'CATALINA A'!E48</f>
        <v/>
      </c>
      <c r="F49" s="17">
        <f>(E49*100)/E$9</f>
        <v/>
      </c>
      <c r="G49" s="16">
        <f>+C49-E49</f>
        <v/>
      </c>
      <c r="H49" s="17">
        <f>IF(E49=0,0,G49/E49*100)</f>
        <v/>
      </c>
    </row>
    <row r="50" ht="13.5" customHeight="1" s="161" thickBot="1">
      <c r="A50" s="13" t="n"/>
      <c r="B50" s="465" t="inlineStr">
        <is>
          <t>Coût total redevance</t>
        </is>
      </c>
      <c r="C50" s="49">
        <f>SUM(C47:C49)</f>
        <v/>
      </c>
      <c r="D50" s="50">
        <f>(C50*100)/C$9</f>
        <v/>
      </c>
      <c r="E50" s="51">
        <f>SUM(E47:E49)</f>
        <v/>
      </c>
      <c r="F50" s="50">
        <f>(E50*100)/E$9</f>
        <v/>
      </c>
      <c r="G50" s="51">
        <f>SUM(G47:G49)</f>
        <v/>
      </c>
      <c r="H50" s="50">
        <f>IF(E50=0,0,G50/E50*100)</f>
        <v/>
      </c>
    </row>
    <row r="51" ht="7.15" customHeight="1" s="161" thickTop="1">
      <c r="A51" s="13" t="n"/>
      <c r="B51" s="467" t="n"/>
      <c r="C51" s="388" t="n"/>
      <c r="D51" s="10" t="n"/>
      <c r="E51" s="9" t="n"/>
      <c r="F51" s="10" t="n"/>
      <c r="G51" s="9" t="n"/>
      <c r="H51" s="10" t="n"/>
    </row>
    <row r="52" customFormat="1" s="390">
      <c r="A52" s="13" t="inlineStr">
        <is>
          <t>33</t>
        </is>
      </c>
      <c r="B52" s="463" t="inlineStr">
        <is>
          <t>Charges locatives et copro</t>
        </is>
      </c>
      <c r="C52" s="23">
        <f>+'GLR5 A'!C51+'HTR8 A'!C51+'TIRR A'!C51+'VR7 A'!C51+'TURVILLA A'!C51+'HART A'!C51+'VICTOIRE A'!C51+'TH4 A'!C51+'DIVES A'!C51+'R314 A'!C51+'LYSE A'!C51+'ARTHUR A'!C51+'HUGO A'!C51+'JEANCLO A'!C51+'THOMAS A'!C51+'CATALINA A'!C51</f>
        <v/>
      </c>
      <c r="D52" s="17">
        <f>(C52*100)/C$9</f>
        <v/>
      </c>
      <c r="E52" s="16">
        <f>+'GLR5 A'!E51+'HTR8 A'!E51+'TIRR A'!E51+'VR7 A'!E51+'TURVILLA A'!E51+'HART A'!E51+'VICTOIRE A'!E51+'TH4 A'!E51+'DIVES A'!E51+'R314 A'!E51+'LYSE A'!E51+'ARTHUR A'!E51+'HUGO A'!E51+'JEANCLO A'!E51+'THOMAS A'!E51+'CATALINA A'!E51</f>
        <v/>
      </c>
      <c r="F52" s="17">
        <f>(E52*100)/E$9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34</t>
        </is>
      </c>
      <c r="B53" s="463" t="inlineStr">
        <is>
          <t>Frais de service</t>
        </is>
      </c>
      <c r="C53" s="23">
        <f>+'GLR5 A'!C52+'HTR8 A'!C52+'TIRR A'!C52+'VR7 A'!C52+'TURVILLA A'!C52+'HART A'!C52+'VICTOIRE A'!C52+'TH4 A'!C52+'DIVES A'!C52+'R314 A'!C52+'LYSE A'!C52+'ARTHUR A'!C52+'HUGO A'!C52+'JEANCLO A'!C52+'THOMAS A'!C52+'CATALINA A'!C52</f>
        <v/>
      </c>
      <c r="D53" s="17">
        <f>(C53*100)/C$9</f>
        <v/>
      </c>
      <c r="E53" s="16">
        <f>+'GLR5 A'!E52+'HTR8 A'!E52+'TIRR A'!E52+'VR7 A'!E52+'TURVILLA A'!E52+'HART A'!E52+'VICTOIRE A'!E52+'TH4 A'!E52+'DIVES A'!E52+'R314 A'!E52+'LYSE A'!E52+'ARTHUR A'!E52+'HUGO A'!E52+'JEANCLO A'!E52+'THOMAS A'!E52+'CATALINA A'!E52</f>
        <v/>
      </c>
      <c r="F53" s="17">
        <f>(E53*100)/E$9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35</t>
        </is>
      </c>
      <c r="B54" s="463" t="inlineStr">
        <is>
          <t>Frais compta. Juridiques</t>
        </is>
      </c>
      <c r="C54" s="23">
        <f>+'GLR5 A'!C53+'HTR8 A'!C53+'TIRR A'!C53+'VR7 A'!C53+'TURVILLA A'!C53+'HART A'!C53+'VICTOIRE A'!C53+'TH4 A'!C53+'DIVES A'!C53+'R314 A'!C53+'LYSE A'!C53+'ARTHUR A'!C53+'HUGO A'!C53+'JEANCLO A'!C53+'THOMAS A'!C53+'CATALINA A'!C53</f>
        <v/>
      </c>
      <c r="D54" s="17">
        <f>(C54*100)/C$9</f>
        <v/>
      </c>
      <c r="E54" s="16">
        <f>+'GLR5 A'!E53+'HTR8 A'!E53+'TIRR A'!E53+'VR7 A'!E53+'TURVILLA A'!E53+'HART A'!E53+'VICTOIRE A'!E53+'TH4 A'!E53+'DIVES A'!E53+'R314 A'!E53+'LYSE A'!E53+'ARTHUR A'!E53+'HUGO A'!E53+'JEANCLO A'!E53+'THOMAS A'!E53+'CATALINA A'!E53</f>
        <v/>
      </c>
      <c r="F54" s="17">
        <f>(E54*100)/E$9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36</t>
        </is>
      </c>
      <c r="B55" s="463" t="inlineStr">
        <is>
          <t>Assurances</t>
        </is>
      </c>
      <c r="C55" s="23">
        <f>+'GLR5 A'!C54+'HTR8 A'!C54+'TIRR A'!C54+'VR7 A'!C54+'TURVILLA A'!C54+'HART A'!C54+'VICTOIRE A'!C54+'TH4 A'!C54+'DIVES A'!C54+'R314 A'!C54+'LYSE A'!C54+'ARTHUR A'!C54+'HUGO A'!C54+'JEANCLO A'!C54+'THOMAS A'!C54+'CATALINA A'!C54</f>
        <v/>
      </c>
      <c r="D55" s="17">
        <f>(C55*100)/C$9</f>
        <v/>
      </c>
      <c r="E55" s="16">
        <f>+'GLR5 A'!E54+'HTR8 A'!E54+'TIRR A'!E54+'VR7 A'!E54+'TURVILLA A'!E54+'HART A'!E54+'VICTOIRE A'!E54+'TH4 A'!E54+'DIVES A'!E54+'R314 A'!E54+'LYSE A'!E54+'ARTHUR A'!E54+'HUGO A'!E54+'JEANCLO A'!E54+'THOMAS A'!E54+'CATALINA A'!E54</f>
        <v/>
      </c>
      <c r="F55" s="17">
        <f>(E55*100)/E$9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37</t>
        </is>
      </c>
      <c r="B56" s="463" t="inlineStr">
        <is>
          <t>Taxes et permis</t>
        </is>
      </c>
      <c r="C56" s="23">
        <f>+'GLR5 A'!C55+'HTR8 A'!C55+'TIRR A'!C55+'VR7 A'!C55+'TURVILLA A'!C55+'HART A'!C55+'VICTOIRE A'!C55+'TH4 A'!C55+'DIVES A'!C55+'R314 A'!C55+'LYSE A'!C55+'ARTHUR A'!C55+'HUGO A'!C55+'JEANCLO A'!C55+'THOMAS A'!C55+'CATALINA A'!C55</f>
        <v/>
      </c>
      <c r="D56" s="17">
        <f>(C56*100)/C$9</f>
        <v/>
      </c>
      <c r="E56" s="16">
        <f>+'GLR5 A'!E55+'HTR8 A'!E55+'TIRR A'!E55+'VR7 A'!E55+'TURVILLA A'!E55+'HART A'!E55+'VICTOIRE A'!E55+'TH4 A'!E55+'DIVES A'!E55+'R314 A'!E55+'LYSE A'!E55+'ARTHUR A'!E55+'HUGO A'!E55+'JEANCLO A'!E55+'THOMAS A'!E55+'CATALINA A'!E55</f>
        <v/>
      </c>
      <c r="F56" s="17">
        <f>(E56*100)/E$9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38</t>
        </is>
      </c>
      <c r="B57" s="463" t="inlineStr">
        <is>
          <t>Dép. et amts</t>
        </is>
      </c>
      <c r="C57" s="23">
        <f>+'GLR5 A'!C56+'HTR8 A'!C56+'TIRR A'!C56+'VR7 A'!C56+'TURVILLA A'!C56+'HART A'!C56+'VICTOIRE A'!C56+'TH4 A'!C56+'DIVES A'!C56+'R314 A'!C56+'LYSE A'!C56+'ARTHUR A'!C56+'HUGO A'!C56+'JEANCLO A'!C56+'THOMAS A'!C56+'CATALINA A'!C56</f>
        <v/>
      </c>
      <c r="D57" s="17">
        <f>(C57*100)/C$9</f>
        <v/>
      </c>
      <c r="E57" s="16">
        <f>+'GLR5 A'!E56+'HTR8 A'!E56+'TIRR A'!E56+'VR7 A'!E56+'TURVILLA A'!E56+'HART A'!E56+'VICTOIRE A'!E56+'TH4 A'!E56+'DIVES A'!E56+'R314 A'!E56+'LYSE A'!E56+'ARTHUR A'!E56+'HUGO A'!E56+'JEANCLO A'!E56+'THOMAS A'!E56+'CATALINA A'!E56</f>
        <v/>
      </c>
      <c r="F57" s="17">
        <f>(E57*100)/E$9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39</t>
        </is>
      </c>
      <c r="B58" s="463" t="inlineStr">
        <is>
          <t>Crédit bail</t>
        </is>
      </c>
      <c r="C58" s="23">
        <f>+'GLR5 A'!C57+'HTR8 A'!C57+'TIRR A'!C57+'VR7 A'!C57+'TURVILLA A'!C57+'HART A'!C57+'VICTOIRE A'!C57+'TH4 A'!C57+'DIVES A'!C57+'R314 A'!C57+'LYSE A'!C57+'ARTHUR A'!C57+'HUGO A'!C57+'JEANCLO A'!C57+'THOMAS A'!C57+'CATALINA A'!C57</f>
        <v/>
      </c>
      <c r="D58" s="17">
        <f>(C58*100)/C$9</f>
        <v/>
      </c>
      <c r="E58" s="16">
        <f>+'GLR5 A'!E57+'HTR8 A'!E57+'TIRR A'!E57+'VR7 A'!E57+'TURVILLA A'!E57+'HART A'!E57+'VICTOIRE A'!E57+'TH4 A'!E57+'DIVES A'!E57+'R314 A'!E57+'LYSE A'!E57+'ARTHUR A'!E57+'HUGO A'!E57+'JEANCLO A'!E57+'THOMAS A'!E57+'CATALINA A'!E57</f>
        <v/>
      </c>
      <c r="F58" s="17">
        <f>(E58*100)/E$9</f>
        <v/>
      </c>
      <c r="G58" s="16">
        <f>+C58-E58</f>
        <v/>
      </c>
      <c r="H58" s="17">
        <f>IF(E58=0,0,G58/E58*100)</f>
        <v/>
      </c>
    </row>
    <row r="59" customFormat="1" s="390">
      <c r="A59" s="13" t="inlineStr">
        <is>
          <t>40</t>
        </is>
      </c>
      <c r="B59" s="463" t="inlineStr">
        <is>
          <t>Dépenses et revenus divers</t>
        </is>
      </c>
      <c r="C59" s="23">
        <f>+'GLR5 A'!C58+'HTR8 A'!C58+'TIRR A'!C58+'VR7 A'!C58+'TURVILLA A'!C58+'HART A'!C58+'VICTOIRE A'!C58+'TH4 A'!C58+'DIVES A'!C58+'R314 A'!C58+'LYSE A'!C58+'ARTHUR A'!C58+'HUGO A'!C58+'JEANCLO A'!C58+'THOMAS A'!C58+'CATALINA A'!C58</f>
        <v/>
      </c>
      <c r="D59" s="17">
        <f>(C59*100)/C$9</f>
        <v/>
      </c>
      <c r="E59" s="16">
        <f>+'GLR5 A'!E58+'HTR8 A'!E58+'TIRR A'!E58+'VR7 A'!E58+'TURVILLA A'!E58+'HART A'!E58+'VICTOIRE A'!E58+'TH4 A'!E58+'DIVES A'!E58+'R314 A'!E58+'LYSE A'!E58+'ARTHUR A'!E58+'HUGO A'!E58+'JEANCLO A'!E58+'THOMAS A'!E58+'CATALINA A'!E58</f>
        <v/>
      </c>
      <c r="F59" s="17">
        <f>(E59*100)/E$9</f>
        <v/>
      </c>
      <c r="G59" s="16">
        <f>+C59-E59</f>
        <v/>
      </c>
      <c r="H59" s="17">
        <f>IF(E59=0,0,G59/E59*100)</f>
        <v/>
      </c>
    </row>
    <row r="60" ht="13.5" customHeight="1" s="161" thickBot="1">
      <c r="A60" s="13" t="n"/>
      <c r="B60" s="465" t="inlineStr">
        <is>
          <t>Total autres dépenses non contrôlables</t>
        </is>
      </c>
      <c r="C60" s="49">
        <f>SUM(C52:C59)</f>
        <v/>
      </c>
      <c r="D60" s="50">
        <f>(C60*100)/C$9</f>
        <v/>
      </c>
      <c r="E60" s="51">
        <f>SUM(E52:E59)</f>
        <v/>
      </c>
      <c r="F60" s="50">
        <f>(E60*100)/E$9</f>
        <v/>
      </c>
      <c r="G60" s="51">
        <f>SUM(G52:G59)</f>
        <v/>
      </c>
      <c r="H60" s="50">
        <f>IF(E60=0,0,G60/E60*100)</f>
        <v/>
      </c>
    </row>
    <row r="61" ht="7.15" customHeight="1" s="161" thickTop="1">
      <c r="A61" s="13" t="n"/>
      <c r="B61" s="467" t="n"/>
      <c r="C61" s="388" t="n"/>
      <c r="D61" s="10" t="n"/>
      <c r="E61" s="9" t="n"/>
      <c r="F61" s="10" t="n"/>
      <c r="G61" s="9" t="n"/>
      <c r="H61" s="10" t="n"/>
    </row>
    <row r="62" ht="16.9" customHeight="1" s="161" thickBot="1">
      <c r="A62" s="13" t="n"/>
      <c r="B62" s="461" t="inlineStr">
        <is>
          <t xml:space="preserve">            TOTAL DES DEPENSES </t>
        </is>
      </c>
      <c r="C62" s="70">
        <f>C60+C50+C43+C34+C27</f>
        <v/>
      </c>
      <c r="D62" s="71">
        <f>(C62*100)/C$9</f>
        <v/>
      </c>
      <c r="E62" s="72">
        <f>E60+E50+E43+E34+E27</f>
        <v/>
      </c>
      <c r="F62" s="71">
        <f>(E62*100)/E$9</f>
        <v/>
      </c>
      <c r="G62" s="72">
        <f>G60+G50+G43+G34+G27</f>
        <v/>
      </c>
      <c r="H62" s="71">
        <f>IF(E62=0,0,G62/E62*100)</f>
        <v/>
      </c>
    </row>
    <row r="63" ht="7.15" customHeight="1" s="161" thickTop="1">
      <c r="A63" s="13" t="n"/>
      <c r="B63" s="467" t="n"/>
      <c r="C63" s="388" t="n"/>
      <c r="D63" s="10" t="n"/>
      <c r="E63" s="9" t="n"/>
      <c r="F63" s="10" t="n"/>
      <c r="G63" s="9" t="n"/>
      <c r="H63" s="10" t="n"/>
    </row>
    <row r="64">
      <c r="A64" s="13" t="inlineStr">
        <is>
          <t>41.1</t>
        </is>
      </c>
      <c r="B64" s="463" t="inlineStr">
        <is>
          <t>Ventes non alimentaires</t>
        </is>
      </c>
      <c r="C64" s="23">
        <f>+'GLR5 A'!C63+'HTR8 A'!C63+'TIRR A'!C63+'VR7 A'!C63+'TURVILLA A'!C63+'HART A'!C63+'VICTOIRE A'!C63+'TH4 A'!C63+'DIVES A'!C63+'R314 A'!C63+'LYSE A'!C63+'ARTHUR A'!C63+'HUGO A'!C63+'JEANCLO A'!C63+'THOMAS A'!C63+'CATALINA A'!C63</f>
        <v/>
      </c>
      <c r="D64" s="17">
        <f>(C64*100)/C$9</f>
        <v/>
      </c>
      <c r="E64" s="16">
        <f>+'GLR5 A'!E63+'HTR8 A'!E63+'TIRR A'!E63+'VR7 A'!E63+'TURVILLA A'!E63+'HART A'!E63+'VICTOIRE A'!E63+'TH4 A'!E63+'DIVES A'!E63+'R314 A'!E63+'LYSE A'!E63+'ARTHUR A'!E63+'HUGO A'!E63+'JEANCLO A'!E63+'THOMAS A'!E63+'CATALINA A'!E63</f>
        <v/>
      </c>
      <c r="F64" s="17">
        <f>(E64*100)/E$9</f>
        <v/>
      </c>
      <c r="G64" s="16">
        <f>+C64-E64</f>
        <v/>
      </c>
      <c r="H64" s="17">
        <f>IF(E64=0,0,G64/E64*100)</f>
        <v/>
      </c>
    </row>
    <row r="65" customFormat="1" s="390">
      <c r="A65" s="13" t="inlineStr">
        <is>
          <t>41.2</t>
        </is>
      </c>
      <c r="B65" s="444" t="inlineStr">
        <is>
          <t>Coût prdts non alimentaires</t>
        </is>
      </c>
      <c r="C65" s="23">
        <f>+'GLR5 A'!C64+'HTR8 A'!C64+'TIRR A'!C64+'VR7 A'!C64+'TURVILLA A'!C64+'HART A'!C64+'VICTOIRE A'!C64+'TH4 A'!C64+'DIVES A'!C64+'R314 A'!C64+'LYSE A'!C64+'ARTHUR A'!C64+'HUGO A'!C64+'JEANCLO A'!C64+'THOMAS A'!C64+'CATALINA A'!C64</f>
        <v/>
      </c>
      <c r="D65" s="17">
        <f>(C65*100)/C$9</f>
        <v/>
      </c>
      <c r="E65" s="24">
        <f>+'GLR5 A'!E64+'HTR8 A'!E64+'TIRR A'!E64+'VR7 A'!E64+'TURVILLA A'!E64+'HART A'!E64+'VICTOIRE A'!E64+'TH4 A'!E64+'DIVES A'!E64+'R314 A'!E64+'LYSE A'!E64+'ARTHUR A'!E64+'HUGO A'!E64+'JEANCLO A'!E64+'THOMAS A'!E64+'CATALINA A'!E64</f>
        <v/>
      </c>
      <c r="F65" s="17">
        <f>(E65*100)/E$9</f>
        <v/>
      </c>
      <c r="G65" s="16">
        <f>+C65-E65</f>
        <v/>
      </c>
      <c r="H65" s="17">
        <f>IF(E65=0,0,G65/E65*100)</f>
        <v/>
      </c>
    </row>
    <row r="66" ht="13.5" customFormat="1" customHeight="1" s="438">
      <c r="A66" s="13" t="n"/>
      <c r="B66" s="464" t="inlineStr">
        <is>
          <t>REVENU NON ALIMENTAIRE</t>
        </is>
      </c>
      <c r="C66" s="67">
        <f>+C64-C65</f>
        <v/>
      </c>
      <c r="D66" s="56">
        <f>(C66*100)/C$9</f>
        <v/>
      </c>
      <c r="E66" s="57">
        <f>+E64-E65</f>
        <v/>
      </c>
      <c r="F66" s="56">
        <f>(E66*100)/E$9</f>
        <v/>
      </c>
      <c r="G66" s="58">
        <f>+G64-G65</f>
        <v/>
      </c>
      <c r="H66" s="56">
        <f>IF(E66=0,0,G66/E66*100)</f>
        <v/>
      </c>
    </row>
    <row r="67" ht="7.15" customFormat="1" customHeight="1" s="390">
      <c r="A67" s="13" t="n"/>
      <c r="B67" s="463" t="n"/>
      <c r="C67" s="15" t="n"/>
      <c r="D67" s="17" t="n"/>
      <c r="E67" s="16" t="n"/>
      <c r="F67" s="17" t="n"/>
      <c r="G67" s="16" t="n"/>
      <c r="H67" s="17" t="n"/>
    </row>
    <row r="68" customFormat="1" s="390">
      <c r="A68" s="13" t="inlineStr">
        <is>
          <t>42</t>
        </is>
      </c>
      <c r="B68" s="463" t="inlineStr">
        <is>
          <t>Résultat financier</t>
        </is>
      </c>
      <c r="C68" s="15">
        <f>+'GLR5 A'!C67+'HTR8 A'!C67+'TIRR A'!C67+'VR7 A'!C67+'TURVILLA A'!C67+'HART A'!C67+'VICTOIRE A'!C67+'TH4 A'!C67+'DIVES A'!C67+'R314 A'!C67+'LYSE A'!C67+'ARTHUR A'!C67+'HUGO A'!C67+'JEANCLO A'!C67+'THOMAS A'!C67+'CATALINA A'!C67</f>
        <v/>
      </c>
      <c r="D68" s="17">
        <f>(C68*100)/C$9</f>
        <v/>
      </c>
      <c r="E68" s="16">
        <f>+'GLR5 A'!E67+'HTR8 A'!E67+'TIRR A'!E67+'VR7 A'!E67+'TURVILLA A'!E67+'HART A'!E67+'VICTOIRE A'!E67+'TH4 A'!E67+'DIVES A'!E67+'R314 A'!E67+'LYSE A'!E67+'ARTHUR A'!E67+'HUGO A'!E67+'JEANCLO A'!E67+'THOMAS A'!E67+'CATALINA A'!E67</f>
        <v/>
      </c>
      <c r="F68" s="17">
        <f>(E68*100)/E$9</f>
        <v/>
      </c>
      <c r="G68" s="16">
        <f>+C68-E68</f>
        <v/>
      </c>
      <c r="H68" s="17">
        <f>IF(E68=0,0,G68/E68*100)</f>
        <v/>
      </c>
    </row>
    <row r="69" ht="7.15" customFormat="1" customHeight="1" s="390">
      <c r="A69" s="13" t="n"/>
      <c r="B69" s="463" t="n"/>
      <c r="C69" s="15" t="n"/>
      <c r="D69" s="17" t="n"/>
      <c r="E69" s="16" t="n"/>
      <c r="F69" s="17" t="n"/>
      <c r="G69" s="16" t="n"/>
      <c r="H69" s="17" t="n"/>
    </row>
    <row r="70" customFormat="1" s="390">
      <c r="A70" s="13" t="n"/>
      <c r="B70" s="467" t="inlineStr">
        <is>
          <t>REVENU NET D'EXPLOITATION</t>
        </is>
      </c>
      <c r="C70" s="22">
        <f>C19-C62+C66+C68</f>
        <v/>
      </c>
      <c r="D70" s="10">
        <f>(C70*100)/C$9</f>
        <v/>
      </c>
      <c r="E70" s="9">
        <f>E19-E62+E66+E68</f>
        <v/>
      </c>
      <c r="F70" s="10">
        <f>(E70*100)/E$9</f>
        <v/>
      </c>
      <c r="G70" s="9">
        <f>G19-G62+G66+G68</f>
        <v/>
      </c>
      <c r="H70" s="10">
        <f>IF(E70=0,0,G70/E70*100)</f>
        <v/>
      </c>
    </row>
    <row r="71" ht="13.5" customHeight="1" s="161" thickBot="1">
      <c r="A71" s="13" t="n"/>
      <c r="B71" s="465" t="inlineStr">
        <is>
          <t>Cash Flow avant fin, G&amp;A et IS</t>
        </is>
      </c>
      <c r="C71" s="49">
        <f>+C70-C68+C58+C57</f>
        <v/>
      </c>
      <c r="D71" s="50">
        <f>(C71*100)/C$9</f>
        <v/>
      </c>
      <c r="E71" s="49">
        <f>+E70-E68+E58+E57</f>
        <v/>
      </c>
      <c r="F71" s="50">
        <f>(E71*100)/E$9</f>
        <v/>
      </c>
      <c r="G71" s="49">
        <f>+G70-G68+G58+G57</f>
        <v/>
      </c>
      <c r="H71" s="50">
        <f>IF(E71=0,0,G71/E71*100)</f>
        <v/>
      </c>
    </row>
    <row r="72" ht="7.15" customHeight="1" s="161" thickTop="1">
      <c r="A72" s="13" t="n"/>
      <c r="B72" s="467" t="n"/>
      <c r="C72" s="12" t="n"/>
      <c r="D72" s="10" t="n"/>
      <c r="E72" s="9" t="n"/>
      <c r="F72" s="10" t="n"/>
      <c r="G72" s="9" t="n"/>
      <c r="H72" s="10" t="n"/>
    </row>
    <row r="73">
      <c r="A73" s="13" t="inlineStr">
        <is>
          <t>45</t>
        </is>
      </c>
      <c r="B73" s="463" t="inlineStr">
        <is>
          <t>Charges et produits exceptionnels</t>
        </is>
      </c>
      <c r="C73" s="15">
        <f>+'GLR5 A'!C72+'HTR8 A'!C72+'TIRR A'!C72+'VR7 A'!C72+'TURVILLA A'!C72+'HART A'!C72+'VICTOIRE A'!C72+'TH4 A'!C72+'DIVES A'!C72+'R314 A'!C72+'LYSE A'!C72+'ARTHUR A'!C72+'HUGO A'!C72+'JEANCLO A'!C72+'THOMAS A'!C72+'CATALINA A'!C72</f>
        <v/>
      </c>
      <c r="D73" s="17">
        <f>(C73*100)/C$9</f>
        <v/>
      </c>
      <c r="E73" s="16">
        <f>+'GLR5 A'!E72+'HTR8 A'!E72+'TIRR A'!E72+'VR7 A'!E72+'TURVILLA A'!E72+'HART A'!E72+'VICTOIRE A'!E72+'TH4 A'!E72+'DIVES A'!E72+'R314 A'!E72+'LYSE A'!E72+'ARTHUR A'!E72+'HUGO A'!E72+'JEANCLO A'!E72+'THOMAS A'!E72+'CATALINA A'!E72</f>
        <v/>
      </c>
      <c r="F73" s="17">
        <f>(E73*100)/E$9</f>
        <v/>
      </c>
      <c r="G73" s="16">
        <f>+C73-E73</f>
        <v/>
      </c>
      <c r="H73" s="17">
        <f>IF(E73=0,0,G73/E73*100)</f>
        <v/>
      </c>
      <c r="I73" s="390" t="n"/>
    </row>
    <row r="74" ht="7.15" customHeight="1" s="161">
      <c r="A74" s="13" t="n"/>
      <c r="B74" s="467" t="n"/>
      <c r="C74" s="12" t="n"/>
      <c r="D74" s="10" t="n"/>
      <c r="E74" s="9" t="n"/>
      <c r="F74" s="10" t="n"/>
      <c r="G74" s="9" t="n"/>
      <c r="H74" s="10" t="n"/>
    </row>
    <row r="75">
      <c r="A75" s="13" t="inlineStr">
        <is>
          <t>46</t>
        </is>
      </c>
      <c r="B75" s="467" t="inlineStr">
        <is>
          <t xml:space="preserve">Total frais administratifs </t>
        </is>
      </c>
      <c r="C75" s="22">
        <f>+'GLR5 A'!C74+'HTR8 A'!C74+'TIRR A'!C74+'VR7 A'!C74+'TURVILLA A'!C74+'HART A'!C74+'VICTOIRE A'!C74+'TH4 A'!C74+'DIVES A'!C74+'R314 A'!C74+'LYSE A'!C74+'ARTHUR A'!C74+'HUGO A'!C74+'JEANCLO A'!C74+'THOMAS A'!C74+'CATALINA A'!C74</f>
        <v/>
      </c>
      <c r="D75" s="10">
        <f>(C75*100)/C$9</f>
        <v/>
      </c>
      <c r="E75" s="9">
        <f>+'GLR5 A'!E74+'HTR8 A'!E74+'TIRR A'!E74+'VR7 A'!E74+'TURVILLA A'!E74+'HART A'!E74+'VICTOIRE A'!E74+'TH4 A'!E74+'DIVES A'!E74+'R314 A'!E74+'LYSE A'!E74+'ARTHUR A'!E74+'HUGO A'!E74+'JEANCLO A'!E74+'THOMAS A'!E74+'CATALINA A'!E74</f>
        <v/>
      </c>
      <c r="F75" s="10">
        <f>(E75*100)/E$9</f>
        <v/>
      </c>
      <c r="G75" s="9">
        <f>+C75-E75</f>
        <v/>
      </c>
      <c r="H75" s="10">
        <f>IF(E75=0,0,G75/E75*100)</f>
        <v/>
      </c>
    </row>
    <row r="76" ht="7.15" customHeight="1" s="161">
      <c r="A76" s="13" t="n"/>
      <c r="B76" s="467" t="n"/>
      <c r="C76" s="12" t="n"/>
      <c r="D76" s="10" t="n"/>
      <c r="E76" s="9" t="n"/>
      <c r="F76" s="10" t="n"/>
      <c r="G76" s="9" t="n"/>
      <c r="H76" s="10" t="n"/>
    </row>
    <row r="77" ht="16.9" customHeight="1" s="161" thickBot="1">
      <c r="A77" s="13" t="n"/>
      <c r="B77" s="461" t="inlineStr">
        <is>
          <t xml:space="preserve">            REVENU NET PERIODE </t>
        </is>
      </c>
      <c r="C77" s="70">
        <f>C70-C75+C73</f>
        <v/>
      </c>
      <c r="D77" s="71">
        <f>(C77*100)/C$9</f>
        <v/>
      </c>
      <c r="E77" s="72">
        <f>E70-E75+E73</f>
        <v/>
      </c>
      <c r="F77" s="71">
        <f>(E77*100)/E$9</f>
        <v/>
      </c>
      <c r="G77" s="72">
        <f>G70-G75+G73</f>
        <v/>
      </c>
      <c r="H77" s="71">
        <f>IF(E77=0,0,G77/E77*100)</f>
        <v/>
      </c>
    </row>
    <row r="78" hidden="1" ht="13.5" customHeight="1" s="161" thickTop="1">
      <c r="A78" s="13" t="n"/>
      <c r="B78" s="443" t="n"/>
      <c r="C78" s="445" t="n"/>
      <c r="D78" s="446" t="n"/>
      <c r="E78" s="447" t="n"/>
      <c r="F78" s="446" t="n"/>
      <c r="G78" s="447" t="n"/>
      <c r="H78" s="446" t="n"/>
    </row>
    <row r="79" hidden="1" ht="16.9" customHeight="1" s="161" thickBot="1">
      <c r="A79" s="13" t="n"/>
      <c r="B79" s="448" t="inlineStr">
        <is>
          <t xml:space="preserve">            TRANSACTIONS</t>
        </is>
      </c>
      <c r="C79" s="449" t="n"/>
      <c r="D79" s="450" t="n"/>
      <c r="E79" s="449" t="n"/>
      <c r="F79" s="450" t="n"/>
      <c r="G79" s="454" t="n"/>
      <c r="H79" s="450" t="n"/>
    </row>
    <row r="80" hidden="1" ht="13.5" customHeight="1" s="161" thickTop="1">
      <c r="A80" s="13" t="n"/>
      <c r="B80" s="452" t="n"/>
      <c r="C80" s="25" t="n"/>
      <c r="D80" s="26" t="n"/>
      <c r="E80" s="27" t="n"/>
      <c r="F80" s="28" t="n"/>
      <c r="G80" s="27" t="n"/>
      <c r="H80" s="28" t="n"/>
    </row>
    <row r="81" hidden="1" ht="16.9" customHeight="1" s="161" thickBot="1">
      <c r="A81" s="13" t="n"/>
      <c r="B81" s="448" t="inlineStr">
        <is>
          <t xml:space="preserve">            PANIERS MOYENS</t>
        </is>
      </c>
      <c r="C81" s="453" t="n"/>
      <c r="D81" s="450" t="n"/>
      <c r="E81" s="453" t="n"/>
      <c r="F81" s="450" t="n"/>
      <c r="G81" s="454" t="n"/>
      <c r="H81" s="450" t="n"/>
    </row>
    <row r="82" ht="14.25" customHeight="1" s="161" thickBot="1" thickTop="1">
      <c r="A82" s="13" t="n"/>
      <c r="B82" s="455" t="n"/>
      <c r="C82" s="29" t="n"/>
      <c r="D82" s="30" t="n"/>
      <c r="E82" s="29" t="n"/>
      <c r="F82" s="30" t="n"/>
      <c r="G82" s="29" t="n"/>
      <c r="H82" s="30" t="n"/>
    </row>
  </sheetData>
  <mergeCells count="17">
    <mergeCell ref="B4:F4"/>
    <mergeCell ref="C6:H6"/>
    <mergeCell ref="G81:H81"/>
    <mergeCell ref="C78:D78"/>
    <mergeCell ref="C7:D7"/>
    <mergeCell ref="G7:H7"/>
    <mergeCell ref="E7:F7"/>
    <mergeCell ref="C81:D81"/>
    <mergeCell ref="E81:F81"/>
    <mergeCell ref="A6:A7"/>
    <mergeCell ref="E78:F78"/>
    <mergeCell ref="B6:B7"/>
    <mergeCell ref="C79:D79"/>
    <mergeCell ref="G78:H78"/>
    <mergeCell ref="G79:H79"/>
    <mergeCell ref="E79:F79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3"/>
  <headerFooter>
    <oddHeader/>
    <oddFooter>&amp;C&amp;"Helv,Gras"&amp;11 Page &amp;P / &amp;N</oddFooter>
    <evenHeader/>
    <evenFooter/>
    <firstHeader/>
    <firstFooter/>
  </headerFooter>
</worksheet>
</file>

<file path=xl/worksheets/sheet32.xml><?xml version="1.0" encoding="utf-8"?>
<worksheet xmlns="http://schemas.openxmlformats.org/spreadsheetml/2006/main">
  <sheetPr>
    <tabColor theme="9" tint="0.5999938962981048"/>
    <outlinePr summaryBelow="1" summaryRight="1"/>
    <pageSetUpPr/>
  </sheetPr>
  <dimension ref="A1:AJ81"/>
  <sheetViews>
    <sheetView showGridLines="0" view="pageBreakPreview" topLeftCell="B30" zoomScale="70" zoomScaleNormal="55" zoomScaleSheetLayoutView="70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12.5703125" customWidth="1" style="20" min="9" max="9"/>
    <col width="8.42578125" customWidth="1" style="21" min="10" max="10"/>
    <col width="12.5703125" customWidth="1" style="20" min="11" max="11"/>
    <col width="8.42578125" customWidth="1" style="21" min="12" max="12"/>
    <col width="12.5703125" customWidth="1" style="20" min="13" max="13"/>
    <col width="8.42578125" customWidth="1" style="21" min="14" max="14"/>
    <col width="12.5703125" customWidth="1" style="20" min="15" max="15"/>
    <col width="8.42578125" customWidth="1" style="21" min="16" max="16"/>
    <col width="12.5703125" customWidth="1" style="20" min="17" max="17"/>
    <col width="8.42578125" customWidth="1" style="21" min="18" max="18"/>
    <col width="12.5703125" customWidth="1" style="20" min="19" max="19"/>
    <col width="8.42578125" customWidth="1" style="21" min="20" max="20"/>
    <col width="12.5703125" customWidth="1" style="20" min="21" max="21"/>
    <col width="8.42578125" customWidth="1" style="21" min="22" max="22"/>
    <col width="12.5703125" customWidth="1" style="20" min="23" max="23"/>
    <col width="8.42578125" customWidth="1" style="21" min="24" max="24"/>
    <col width="12.5703125" customWidth="1" style="20" min="25" max="25"/>
    <col width="8.42578125" customWidth="1" style="21" min="26" max="26"/>
    <col width="12.5703125" customWidth="1" style="20" min="27" max="27"/>
    <col width="8.42578125" customWidth="1" style="21" min="28" max="28"/>
    <col width="12.5703125" customWidth="1" style="20" min="29" max="29"/>
    <col width="8.42578125" customWidth="1" style="21" min="30" max="30"/>
    <col width="12.5703125" customWidth="1" style="20" min="31" max="31"/>
    <col width="8.42578125" customWidth="1" style="21" min="32" max="32"/>
    <col width="12.5703125" customWidth="1" style="20" min="33" max="33"/>
    <col width="8.42578125" customWidth="1" style="21" min="34" max="34"/>
    <col width="12.5703125" customWidth="1" style="20" min="35" max="35"/>
    <col width="8.42578125" customWidth="1" style="21" min="36" max="36"/>
    <col width="7" customWidth="1" style="370" min="37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I1" s="347" t="n"/>
      <c r="J1" s="373" t="n"/>
      <c r="K1" s="347" t="n"/>
      <c r="L1" s="373" t="n"/>
      <c r="M1" s="347" t="n"/>
      <c r="N1" s="373" t="n"/>
      <c r="O1" s="347" t="n"/>
      <c r="P1" s="373" t="n"/>
      <c r="Q1" s="347" t="n"/>
      <c r="R1" s="373" t="n"/>
      <c r="S1" s="347" t="n"/>
      <c r="T1" s="373" t="n"/>
      <c r="U1" s="347" t="n"/>
      <c r="V1" s="373" t="n"/>
      <c r="W1" s="347" t="n"/>
      <c r="X1" s="373" t="n"/>
      <c r="Y1" s="347" t="n"/>
      <c r="Z1" s="373" t="n"/>
      <c r="AA1" s="347" t="n"/>
      <c r="AB1" s="373" t="n"/>
      <c r="AC1" s="347" t="n"/>
      <c r="AD1" s="373" t="n"/>
      <c r="AE1" s="347" t="n"/>
      <c r="AF1" s="373" t="n"/>
      <c r="AG1" s="347" t="n"/>
      <c r="AH1" s="373" t="n"/>
      <c r="AI1" s="347" t="n"/>
      <c r="AJ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  <c r="I2" s="347" t="n"/>
      <c r="J2" s="347" t="n"/>
      <c r="K2" s="347" t="n"/>
      <c r="L2" s="347" t="n"/>
      <c r="M2" s="347" t="n"/>
      <c r="N2" s="347" t="n"/>
      <c r="O2" s="347" t="n"/>
      <c r="P2" s="347" t="n"/>
      <c r="Q2" s="347" t="n"/>
      <c r="R2" s="347" t="n"/>
      <c r="S2" s="347" t="n"/>
      <c r="T2" s="347" t="n"/>
      <c r="U2" s="347" t="n"/>
      <c r="V2" s="347" t="n"/>
      <c r="W2" s="347" t="n"/>
      <c r="X2" s="347" t="n"/>
      <c r="Y2" s="347" t="n"/>
      <c r="Z2" s="347" t="n"/>
      <c r="AA2" s="347" t="n"/>
      <c r="AB2" s="347" t="n"/>
      <c r="AC2" s="347" t="n"/>
      <c r="AD2" s="347" t="n"/>
      <c r="AE2" s="347" t="n"/>
      <c r="AF2" s="347" t="n"/>
      <c r="AG2" s="347" t="n"/>
      <c r="AH2" s="347" t="n"/>
      <c r="AI2" s="347" t="n"/>
      <c r="AJ2" s="347" t="n"/>
    </row>
    <row r="3" ht="15.75" customHeight="1" s="161">
      <c r="B3" s="374">
        <f>CONCATENATE("P&amp;L mensuels - ",DONNÉES!D5)</f>
        <v/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468" t="inlineStr">
        <is>
          <t>GLR5</t>
        </is>
      </c>
      <c r="D5" s="427" t="n"/>
      <c r="E5" s="468" t="inlineStr">
        <is>
          <t>HTR8</t>
        </is>
      </c>
      <c r="F5" s="427" t="n"/>
      <c r="G5" s="468" t="inlineStr">
        <is>
          <t>TIRR</t>
        </is>
      </c>
      <c r="H5" s="427" t="n"/>
      <c r="I5" s="468" t="inlineStr">
        <is>
          <t>VR7</t>
        </is>
      </c>
      <c r="J5" s="427" t="n"/>
      <c r="K5" s="468" t="inlineStr">
        <is>
          <t>TURVILLA</t>
        </is>
      </c>
      <c r="L5" s="427" t="n"/>
      <c r="M5" s="468" t="inlineStr">
        <is>
          <t>HART</t>
        </is>
      </c>
      <c r="N5" s="427" t="n"/>
      <c r="O5" s="468" t="inlineStr">
        <is>
          <t>VICTOIRE'S</t>
        </is>
      </c>
      <c r="P5" s="427" t="n"/>
      <c r="Q5" s="468" t="inlineStr">
        <is>
          <t>TH4</t>
        </is>
      </c>
      <c r="R5" s="427" t="n"/>
      <c r="S5" s="468" t="inlineStr">
        <is>
          <t>TL DIVES</t>
        </is>
      </c>
      <c r="T5" s="427" t="n"/>
      <c r="U5" s="468" t="inlineStr">
        <is>
          <t>R3 14</t>
        </is>
      </c>
      <c r="V5" s="427" t="n"/>
      <c r="W5" s="468" t="inlineStr">
        <is>
          <t>LYSE</t>
        </is>
      </c>
      <c r="X5" s="427" t="n"/>
      <c r="Y5" s="468" t="inlineStr">
        <is>
          <t>ARTHUR</t>
        </is>
      </c>
      <c r="Z5" s="427" t="n"/>
      <c r="AA5" s="468" t="inlineStr">
        <is>
          <t>HUGO</t>
        </is>
      </c>
      <c r="AB5" s="427" t="n"/>
      <c r="AC5" s="468" t="inlineStr">
        <is>
          <t>JEANCLO</t>
        </is>
      </c>
      <c r="AD5" s="427" t="n"/>
      <c r="AE5" s="468" t="inlineStr">
        <is>
          <t>THOMAS</t>
        </is>
      </c>
      <c r="AF5" s="427" t="n"/>
      <c r="AG5" s="468" t="inlineStr">
        <is>
          <t>CATALINA</t>
        </is>
      </c>
      <c r="AH5" s="427" t="n"/>
      <c r="AI5" s="468" t="inlineStr">
        <is>
          <t>TOTAL</t>
        </is>
      </c>
      <c r="AJ5" s="427" t="n"/>
    </row>
    <row r="6" ht="16.9" customFormat="1" customHeight="1" s="371" thickBot="1">
      <c r="A6" s="382" t="n"/>
      <c r="B6" s="382" t="n"/>
      <c r="C6" s="469" t="inlineStr">
        <is>
          <t>Sommes</t>
        </is>
      </c>
      <c r="D6" s="470" t="inlineStr">
        <is>
          <t>%</t>
        </is>
      </c>
      <c r="E6" s="469" t="inlineStr">
        <is>
          <t>Sommes</t>
        </is>
      </c>
      <c r="F6" s="470" t="inlineStr">
        <is>
          <t>%</t>
        </is>
      </c>
      <c r="G6" s="469" t="inlineStr">
        <is>
          <t>Sommes</t>
        </is>
      </c>
      <c r="H6" s="470" t="inlineStr">
        <is>
          <t>%</t>
        </is>
      </c>
      <c r="I6" s="469" t="inlineStr">
        <is>
          <t>Sommes</t>
        </is>
      </c>
      <c r="J6" s="470" t="inlineStr">
        <is>
          <t>%</t>
        </is>
      </c>
      <c r="K6" s="469" t="inlineStr">
        <is>
          <t>Sommes</t>
        </is>
      </c>
      <c r="L6" s="470" t="inlineStr">
        <is>
          <t>%</t>
        </is>
      </c>
      <c r="M6" s="469" t="inlineStr">
        <is>
          <t>Sommes</t>
        </is>
      </c>
      <c r="N6" s="470" t="inlineStr">
        <is>
          <t>%</t>
        </is>
      </c>
      <c r="O6" s="469" t="inlineStr">
        <is>
          <t>Sommes</t>
        </is>
      </c>
      <c r="P6" s="470" t="inlineStr">
        <is>
          <t>%</t>
        </is>
      </c>
      <c r="Q6" s="469" t="inlineStr">
        <is>
          <t>Sommes</t>
        </is>
      </c>
      <c r="R6" s="470" t="inlineStr">
        <is>
          <t>%</t>
        </is>
      </c>
      <c r="S6" s="469" t="inlineStr">
        <is>
          <t>Sommes</t>
        </is>
      </c>
      <c r="T6" s="470" t="inlineStr">
        <is>
          <t>%</t>
        </is>
      </c>
      <c r="U6" s="469" t="inlineStr">
        <is>
          <t>Sommes</t>
        </is>
      </c>
      <c r="V6" s="470" t="inlineStr">
        <is>
          <t>%</t>
        </is>
      </c>
      <c r="W6" s="469" t="inlineStr">
        <is>
          <t>Sommes</t>
        </is>
      </c>
      <c r="X6" s="470" t="inlineStr">
        <is>
          <t>%</t>
        </is>
      </c>
      <c r="Y6" s="469" t="inlineStr">
        <is>
          <t>Sommes</t>
        </is>
      </c>
      <c r="Z6" s="470" t="inlineStr">
        <is>
          <t>%</t>
        </is>
      </c>
      <c r="AA6" s="469" t="inlineStr">
        <is>
          <t>Sommes</t>
        </is>
      </c>
      <c r="AB6" s="470" t="inlineStr">
        <is>
          <t>%</t>
        </is>
      </c>
      <c r="AC6" s="469" t="inlineStr">
        <is>
          <t>Sommes</t>
        </is>
      </c>
      <c r="AD6" s="470" t="inlineStr">
        <is>
          <t>%</t>
        </is>
      </c>
      <c r="AE6" s="469" t="inlineStr">
        <is>
          <t>Sommes</t>
        </is>
      </c>
      <c r="AF6" s="470" t="inlineStr">
        <is>
          <t>%</t>
        </is>
      </c>
      <c r="AG6" s="469" t="n"/>
      <c r="AH6" s="470" t="n"/>
      <c r="AI6" s="469" t="inlineStr">
        <is>
          <t>Sommes</t>
        </is>
      </c>
      <c r="AJ6" s="470" t="inlineStr">
        <is>
          <t>%</t>
        </is>
      </c>
    </row>
    <row r="7">
      <c r="A7" s="431" t="n"/>
      <c r="B7" s="387" t="n"/>
      <c r="C7" s="432" t="n"/>
      <c r="D7" s="433" t="n"/>
      <c r="E7" s="432" t="n"/>
      <c r="F7" s="433" t="n"/>
      <c r="G7" s="432" t="n"/>
      <c r="H7" s="433" t="n"/>
      <c r="I7" s="432" t="n"/>
      <c r="J7" s="433" t="n"/>
      <c r="K7" s="432" t="n"/>
      <c r="L7" s="433" t="n"/>
      <c r="M7" s="432" t="n"/>
      <c r="N7" s="433" t="n"/>
      <c r="O7" s="432" t="n"/>
      <c r="P7" s="433" t="n"/>
      <c r="Q7" s="432" t="n"/>
      <c r="R7" s="433" t="n"/>
      <c r="S7" s="432" t="n"/>
      <c r="T7" s="433" t="n"/>
      <c r="U7" s="432" t="n"/>
      <c r="V7" s="433" t="n"/>
      <c r="W7" s="432" t="n"/>
      <c r="X7" s="433" t="n"/>
      <c r="Y7" s="432" t="n"/>
      <c r="Z7" s="433" t="n"/>
      <c r="AA7" s="432" t="n"/>
      <c r="AB7" s="433" t="n"/>
      <c r="AC7" s="432" t="n"/>
      <c r="AD7" s="433" t="n"/>
      <c r="AE7" s="432" t="n"/>
      <c r="AF7" s="433" t="n"/>
      <c r="AG7" s="432" t="n"/>
      <c r="AH7" s="433" t="n"/>
      <c r="AI7" s="432" t="n"/>
      <c r="AJ7" s="433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+'GLR5 M'!C8</f>
        <v/>
      </c>
      <c r="D8" s="71">
        <f>(C8*100)/C$8</f>
        <v/>
      </c>
      <c r="E8" s="70">
        <f>+'HTR8 M'!C8</f>
        <v/>
      </c>
      <c r="F8" s="71">
        <f>(E8*100)/E$8</f>
        <v/>
      </c>
      <c r="G8" s="70">
        <f>+'TIRR M'!C8</f>
        <v/>
      </c>
      <c r="H8" s="71">
        <f>(G8*100)/G$8</f>
        <v/>
      </c>
      <c r="I8" s="70">
        <f>+'VR7 M '!C8</f>
        <v/>
      </c>
      <c r="J8" s="71">
        <f>(I8*100)/I$8</f>
        <v/>
      </c>
      <c r="K8" s="70">
        <f>+'TURVILLA M'!C8</f>
        <v/>
      </c>
      <c r="L8" s="71">
        <f>(K8*100)/K$8</f>
        <v/>
      </c>
      <c r="M8" s="70">
        <f>+'HART M'!C8</f>
        <v/>
      </c>
      <c r="N8" s="71">
        <f>(M8*100)/M$8</f>
        <v/>
      </c>
      <c r="O8" s="70">
        <f>+'VICTOIRE M'!C8</f>
        <v/>
      </c>
      <c r="P8" s="71">
        <f>(O8*100)/O$8</f>
        <v/>
      </c>
      <c r="Q8" s="70">
        <f>+'TH4 M '!C8</f>
        <v/>
      </c>
      <c r="R8" s="71">
        <f>(Q8*100)/Q$8</f>
        <v/>
      </c>
      <c r="S8" s="70">
        <f>+'DIVES M'!C8</f>
        <v/>
      </c>
      <c r="T8" s="71">
        <f>(S8*100)/S$8</f>
        <v/>
      </c>
      <c r="U8" s="70">
        <f>+'R314 M '!C8</f>
        <v/>
      </c>
      <c r="V8" s="71">
        <f>(U8*100)/U$8</f>
        <v/>
      </c>
      <c r="W8" s="70">
        <f>+'LYSE M '!C8</f>
        <v/>
      </c>
      <c r="X8" s="71">
        <f>(W8*100)/W$8</f>
        <v/>
      </c>
      <c r="Y8" s="70">
        <f>+'ARTHUR M '!C8</f>
        <v/>
      </c>
      <c r="Z8" s="71">
        <f>(Y8*100)/Y$8</f>
        <v/>
      </c>
      <c r="AA8" s="70">
        <f>+'HUGO M '!C8</f>
        <v/>
      </c>
      <c r="AB8" s="71">
        <f>(AA8*100)/AA$8</f>
        <v/>
      </c>
      <c r="AC8" s="70">
        <f>+'JEANCLO M '!C8</f>
        <v/>
      </c>
      <c r="AD8" s="71">
        <f>(AC8*100)/AC$8</f>
        <v/>
      </c>
      <c r="AE8" s="70">
        <f>+'THOMAS M'!G8</f>
        <v/>
      </c>
      <c r="AF8" s="71">
        <f>(AE8*100)/AE$8</f>
        <v/>
      </c>
      <c r="AG8" s="70">
        <f>+'CATALINA M'!G8</f>
        <v/>
      </c>
      <c r="AH8" s="71">
        <f>(AG8*100)/AG$8</f>
        <v/>
      </c>
      <c r="AI8" s="70">
        <f>+C8+E8+G8+I8+K8+M8+O8+Q8+S8+U8+W8+Y8+AA8+AC8+AE8+AG8</f>
        <v/>
      </c>
      <c r="AJ8" s="71">
        <f>(AI8*100)/AI$8</f>
        <v/>
      </c>
    </row>
    <row r="9" ht="7.15" customHeight="1" s="161" thickTop="1">
      <c r="A9" s="435" t="n"/>
      <c r="B9" s="435" t="n"/>
      <c r="C9" s="436" t="n"/>
      <c r="D9" s="10" t="n"/>
      <c r="E9" s="436" t="n"/>
      <c r="F9" s="10" t="n"/>
      <c r="G9" s="436" t="n"/>
      <c r="H9" s="10" t="n"/>
      <c r="I9" s="436" t="n"/>
      <c r="J9" s="10" t="n"/>
      <c r="K9" s="436" t="n"/>
      <c r="L9" s="10" t="n"/>
      <c r="M9" s="436" t="n"/>
      <c r="N9" s="10" t="n"/>
      <c r="O9" s="436" t="n"/>
      <c r="P9" s="10" t="n"/>
      <c r="Q9" s="436" t="n"/>
      <c r="R9" s="10" t="n"/>
      <c r="S9" s="436" t="n"/>
      <c r="T9" s="10" t="n"/>
      <c r="U9" s="436" t="n"/>
      <c r="V9" s="10" t="n"/>
      <c r="W9" s="436" t="n"/>
      <c r="X9" s="10" t="n"/>
      <c r="Y9" s="436" t="n"/>
      <c r="Z9" s="10" t="n"/>
      <c r="AA9" s="436" t="n"/>
      <c r="AB9" s="10" t="n"/>
      <c r="AC9" s="436" t="n"/>
      <c r="AD9" s="10" t="n"/>
      <c r="AE9" s="436" t="n"/>
      <c r="AF9" s="10" t="n"/>
      <c r="AG9" s="436" t="n"/>
      <c r="AH9" s="10" t="n"/>
      <c r="AI9" s="436" t="n"/>
      <c r="AJ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+'GLR5 M'!C10</f>
        <v/>
      </c>
      <c r="D10" s="17">
        <f>(C10*100)/C$8</f>
        <v/>
      </c>
      <c r="E10" s="23">
        <f>+'HTR8 M'!C10</f>
        <v/>
      </c>
      <c r="F10" s="17">
        <f>(E10*100)/E$8</f>
        <v/>
      </c>
      <c r="G10" s="23">
        <f>+'TIRR M'!C10</f>
        <v/>
      </c>
      <c r="H10" s="17">
        <f>(G10*100)/G$8</f>
        <v/>
      </c>
      <c r="I10" s="23">
        <f>+'VR7 M '!C10</f>
        <v/>
      </c>
      <c r="J10" s="17">
        <f>(I10*100)/I$8</f>
        <v/>
      </c>
      <c r="K10" s="23">
        <f>+'TURVILLA M'!C10</f>
        <v/>
      </c>
      <c r="L10" s="17">
        <f>(K10*100)/K$8</f>
        <v/>
      </c>
      <c r="M10" s="23">
        <f>+'HART M'!C10</f>
        <v/>
      </c>
      <c r="N10" s="17">
        <f>(M10*100)/M$8</f>
        <v/>
      </c>
      <c r="O10" s="23">
        <f>+'VICTOIRE M'!C10</f>
        <v/>
      </c>
      <c r="P10" s="17">
        <f>(O10*100)/O$8</f>
        <v/>
      </c>
      <c r="Q10" s="23">
        <f>+'TH4 M '!C10</f>
        <v/>
      </c>
      <c r="R10" s="17">
        <f>(Q10*100)/Q$8</f>
        <v/>
      </c>
      <c r="S10" s="23">
        <f>+'DIVES M'!C10</f>
        <v/>
      </c>
      <c r="T10" s="17">
        <f>(S10*100)/S$8</f>
        <v/>
      </c>
      <c r="U10" s="23">
        <f>+'R314 M '!C10</f>
        <v/>
      </c>
      <c r="V10" s="17">
        <f>(U10*100)/U$8</f>
        <v/>
      </c>
      <c r="W10" s="23">
        <f>+'LYSE M '!C10</f>
        <v/>
      </c>
      <c r="X10" s="17">
        <f>(W10*100)/W$8</f>
        <v/>
      </c>
      <c r="Y10" s="23">
        <f>+'ARTHUR M '!C10</f>
        <v/>
      </c>
      <c r="Z10" s="17">
        <f>(Y10*100)/Y$8</f>
        <v/>
      </c>
      <c r="AA10" s="23">
        <f>+'HUGO M '!C10</f>
        <v/>
      </c>
      <c r="AB10" s="17">
        <f>(AA10*100)/AA$8</f>
        <v/>
      </c>
      <c r="AC10" s="23">
        <f>+'JEANCLO M '!C10</f>
        <v/>
      </c>
      <c r="AD10" s="17">
        <f>(AC10*100)/AC$8</f>
        <v/>
      </c>
      <c r="AE10" s="23">
        <f>+'THOMAS M'!G10</f>
        <v/>
      </c>
      <c r="AF10" s="17">
        <f>(AE10*100)/AE$8</f>
        <v/>
      </c>
      <c r="AG10" s="23">
        <f>+'CATALINA M'!G10</f>
        <v/>
      </c>
      <c r="AH10" s="17">
        <f>(AG10*100)/AG$8</f>
        <v/>
      </c>
      <c r="AI10" s="23">
        <f>+C10+E10+G10+I10+K10+M10+O10+Q10+S10+U10+W10+Y10+AA10+AC10+AE10+AG10</f>
        <v/>
      </c>
      <c r="AJ10" s="17">
        <f>(AI10*100)/AI$8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+'GLR5 M'!C11</f>
        <v/>
      </c>
      <c r="D11" s="17">
        <f>(C11*100)/C$8</f>
        <v/>
      </c>
      <c r="E11" s="23">
        <f>+'HTR8 M'!C11</f>
        <v/>
      </c>
      <c r="F11" s="17">
        <f>(E11*100)/E$8</f>
        <v/>
      </c>
      <c r="G11" s="23">
        <f>+'TIRR M'!C11</f>
        <v/>
      </c>
      <c r="H11" s="17">
        <f>(G11*100)/G$8</f>
        <v/>
      </c>
      <c r="I11" s="23">
        <f>+'VR7 M '!C11</f>
        <v/>
      </c>
      <c r="J11" s="17">
        <f>(I11*100)/I$8</f>
        <v/>
      </c>
      <c r="K11" s="23">
        <f>+'TURVILLA M'!C11</f>
        <v/>
      </c>
      <c r="L11" s="17">
        <f>(K11*100)/K$8</f>
        <v/>
      </c>
      <c r="M11" s="23">
        <f>+'HART M'!C11</f>
        <v/>
      </c>
      <c r="N11" s="17">
        <f>(M11*100)/M$8</f>
        <v/>
      </c>
      <c r="O11" s="23">
        <f>+'VICTOIRE M'!C11</f>
        <v/>
      </c>
      <c r="P11" s="17">
        <f>(O11*100)/O$8</f>
        <v/>
      </c>
      <c r="Q11" s="23">
        <f>+'TH4 M '!C11</f>
        <v/>
      </c>
      <c r="R11" s="17">
        <f>(Q11*100)/Q$8</f>
        <v/>
      </c>
      <c r="S11" s="23">
        <f>+'DIVES M'!C11</f>
        <v/>
      </c>
      <c r="T11" s="17">
        <f>(S11*100)/S$8</f>
        <v/>
      </c>
      <c r="U11" s="23">
        <f>+'R314 M '!C11</f>
        <v/>
      </c>
      <c r="V11" s="17">
        <f>(U11*100)/U$8</f>
        <v/>
      </c>
      <c r="W11" s="23">
        <f>+'LYSE M '!C11</f>
        <v/>
      </c>
      <c r="X11" s="17">
        <f>(W11*100)/W$8</f>
        <v/>
      </c>
      <c r="Y11" s="23">
        <f>+'ARTHUR M '!C11</f>
        <v/>
      </c>
      <c r="Z11" s="17">
        <f>(Y11*100)/Y$8</f>
        <v/>
      </c>
      <c r="AA11" s="23">
        <f>+'HUGO M '!C11</f>
        <v/>
      </c>
      <c r="AB11" s="17">
        <f>(AA11*100)/AA$8</f>
        <v/>
      </c>
      <c r="AC11" s="23">
        <f>+'JEANCLO M '!C11</f>
        <v/>
      </c>
      <c r="AD11" s="17">
        <f>(AC11*100)/AC$8</f>
        <v/>
      </c>
      <c r="AE11" s="23">
        <f>+'THOMAS M'!G11</f>
        <v/>
      </c>
      <c r="AF11" s="17">
        <f>(AE11*100)/AE$8</f>
        <v/>
      </c>
      <c r="AG11" s="23">
        <f>+'CATALINA M'!G11</f>
        <v/>
      </c>
      <c r="AH11" s="17">
        <f>(AG11*100)/AG$8</f>
        <v/>
      </c>
      <c r="AI11" s="23">
        <f>+C11+E11+G11+I11+K11+M11+O11+Q11+S11+U11+W11+Y11+AA11+AC11+AE11+AG11</f>
        <v/>
      </c>
      <c r="AJ11" s="17">
        <f>(AI11*100)/AI$8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+'GLR5 M'!C12</f>
        <v/>
      </c>
      <c r="D12" s="17">
        <f>(C12*100)/C$8</f>
        <v/>
      </c>
      <c r="E12" s="23">
        <f>+'HTR8 M'!C12</f>
        <v/>
      </c>
      <c r="F12" s="17">
        <f>(E12*100)/E$8</f>
        <v/>
      </c>
      <c r="G12" s="23">
        <f>+'TIRR M'!C12</f>
        <v/>
      </c>
      <c r="H12" s="17">
        <f>(G12*100)/G$8</f>
        <v/>
      </c>
      <c r="I12" s="23">
        <f>+'VR7 M '!C12</f>
        <v/>
      </c>
      <c r="J12" s="17">
        <f>(I12*100)/I$8</f>
        <v/>
      </c>
      <c r="K12" s="23">
        <f>+'TURVILLA M'!C12</f>
        <v/>
      </c>
      <c r="L12" s="17">
        <f>(K12*100)/K$8</f>
        <v/>
      </c>
      <c r="M12" s="23">
        <f>+'HART M'!C12</f>
        <v/>
      </c>
      <c r="N12" s="17">
        <f>(M12*100)/M$8</f>
        <v/>
      </c>
      <c r="O12" s="23">
        <f>+'VICTOIRE M'!C12</f>
        <v/>
      </c>
      <c r="P12" s="17">
        <f>(O12*100)/O$8</f>
        <v/>
      </c>
      <c r="Q12" s="23">
        <f>+'TH4 M '!C12</f>
        <v/>
      </c>
      <c r="R12" s="17">
        <f>(Q12*100)/Q$8</f>
        <v/>
      </c>
      <c r="S12" s="23">
        <f>+'DIVES M'!C12</f>
        <v/>
      </c>
      <c r="T12" s="17">
        <f>(S12*100)/S$8</f>
        <v/>
      </c>
      <c r="U12" s="23">
        <f>+'R314 M '!C12</f>
        <v/>
      </c>
      <c r="V12" s="17">
        <f>(U12*100)/U$8</f>
        <v/>
      </c>
      <c r="W12" s="23">
        <f>+'LYSE M '!C12</f>
        <v/>
      </c>
      <c r="X12" s="17">
        <f>(W12*100)/W$8</f>
        <v/>
      </c>
      <c r="Y12" s="23">
        <f>+'ARTHUR M '!C12</f>
        <v/>
      </c>
      <c r="Z12" s="17">
        <f>(Y12*100)/Y$8</f>
        <v/>
      </c>
      <c r="AA12" s="23">
        <f>+'HUGO M '!C12</f>
        <v/>
      </c>
      <c r="AB12" s="17">
        <f>(AA12*100)/AA$8</f>
        <v/>
      </c>
      <c r="AC12" s="23">
        <f>+'JEANCLO M '!C12</f>
        <v/>
      </c>
      <c r="AD12" s="17">
        <f>(AC12*100)/AC$8</f>
        <v/>
      </c>
      <c r="AE12" s="23">
        <f>+'THOMAS M'!G12</f>
        <v/>
      </c>
      <c r="AF12" s="17">
        <f>(AE12*100)/AE$8</f>
        <v/>
      </c>
      <c r="AG12" s="23">
        <f>+'CATALINA M'!G12</f>
        <v/>
      </c>
      <c r="AH12" s="17">
        <f>(AG12*100)/AG$8</f>
        <v/>
      </c>
      <c r="AI12" s="23">
        <f>+C12+E12+G12+I12+K12+M12+O12+Q12+S12+U12+W12+Y12+AA12+AC12+AE12+AG12</f>
        <v/>
      </c>
      <c r="AJ12" s="17">
        <f>(AI12*100)/AI$8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+'GLR5 M'!C13</f>
        <v/>
      </c>
      <c r="D13" s="56">
        <f>(C13*100)/C$8</f>
        <v/>
      </c>
      <c r="E13" s="55">
        <f>+'HTR8 M'!C13</f>
        <v/>
      </c>
      <c r="F13" s="56">
        <f>(E13*100)/E$8</f>
        <v/>
      </c>
      <c r="G13" s="55">
        <f>+'TIRR M'!C13</f>
        <v/>
      </c>
      <c r="H13" s="56">
        <f>(G13*100)/G$8</f>
        <v/>
      </c>
      <c r="I13" s="55">
        <f>+'VR7 M '!C13</f>
        <v/>
      </c>
      <c r="J13" s="56">
        <f>(I13*100)/I$8</f>
        <v/>
      </c>
      <c r="K13" s="55">
        <f>+'TURVILLA M'!C13</f>
        <v/>
      </c>
      <c r="L13" s="56">
        <f>(K13*100)/K$8</f>
        <v/>
      </c>
      <c r="M13" s="55">
        <f>+'HART M'!C13</f>
        <v/>
      </c>
      <c r="N13" s="56">
        <f>(M13*100)/M$8</f>
        <v/>
      </c>
      <c r="O13" s="55">
        <f>+'VICTOIRE M'!C13</f>
        <v/>
      </c>
      <c r="P13" s="56">
        <f>(O13*100)/O$8</f>
        <v/>
      </c>
      <c r="Q13" s="55">
        <f>+'TH4 M '!C13</f>
        <v/>
      </c>
      <c r="R13" s="56">
        <f>(Q13*100)/Q$8</f>
        <v/>
      </c>
      <c r="S13" s="55">
        <f>+'DIVES M'!C13</f>
        <v/>
      </c>
      <c r="T13" s="56">
        <f>(S13*100)/S$8</f>
        <v/>
      </c>
      <c r="U13" s="55">
        <f>+'R314 M '!C13</f>
        <v/>
      </c>
      <c r="V13" s="56">
        <f>(U13*100)/U$8</f>
        <v/>
      </c>
      <c r="W13" s="55">
        <f>+'LYSE M '!C13</f>
        <v/>
      </c>
      <c r="X13" s="56">
        <f>(W13*100)/W$8</f>
        <v/>
      </c>
      <c r="Y13" s="55">
        <f>+'ARTHUR M '!C13</f>
        <v/>
      </c>
      <c r="Z13" s="56">
        <f>(Y13*100)/Y$8</f>
        <v/>
      </c>
      <c r="AA13" s="55">
        <f>+'HUGO M '!C13</f>
        <v/>
      </c>
      <c r="AB13" s="56">
        <f>(AA13*100)/AA$8</f>
        <v/>
      </c>
      <c r="AC13" s="55">
        <f>+'JEANCLO M '!C13</f>
        <v/>
      </c>
      <c r="AD13" s="56">
        <f>(AC13*100)/AC$8</f>
        <v/>
      </c>
      <c r="AE13" s="55">
        <f>+'THOMAS M'!G13</f>
        <v/>
      </c>
      <c r="AF13" s="56">
        <f>(AE13*100)/AE$8</f>
        <v/>
      </c>
      <c r="AG13" s="55">
        <f>+'CATALINA M'!G13</f>
        <v/>
      </c>
      <c r="AH13" s="56">
        <f>(AG13*100)/AG$8</f>
        <v/>
      </c>
      <c r="AI13" s="55">
        <f>+C13+E13+G13+I13+K13+M13+O13+Q13+S13+U13+W13+Y13+AA13+AC13+AE13+AG13</f>
        <v/>
      </c>
      <c r="AJ13" s="56">
        <f>(AI13*100)/AI$8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+'GLR5 M'!C14</f>
        <v/>
      </c>
      <c r="D14" s="17">
        <f>(C14*100)/C$8</f>
        <v/>
      </c>
      <c r="E14" s="23">
        <f>+'HTR8 M'!C14</f>
        <v/>
      </c>
      <c r="F14" s="17">
        <f>(E14*100)/E$8</f>
        <v/>
      </c>
      <c r="G14" s="23">
        <f>+'TIRR M'!C14</f>
        <v/>
      </c>
      <c r="H14" s="17">
        <f>(G14*100)/G$8</f>
        <v/>
      </c>
      <c r="I14" s="23">
        <f>+'VR7 M '!C14</f>
        <v/>
      </c>
      <c r="J14" s="17">
        <f>(I14*100)/I$8</f>
        <v/>
      </c>
      <c r="K14" s="23">
        <f>+'TURVILLA M'!C14</f>
        <v/>
      </c>
      <c r="L14" s="17">
        <f>(K14*100)/K$8</f>
        <v/>
      </c>
      <c r="M14" s="23">
        <f>+'HART M'!C14</f>
        <v/>
      </c>
      <c r="N14" s="17">
        <f>(M14*100)/M$8</f>
        <v/>
      </c>
      <c r="O14" s="23">
        <f>+'VICTOIRE M'!C14</f>
        <v/>
      </c>
      <c r="P14" s="17">
        <f>(O14*100)/O$8</f>
        <v/>
      </c>
      <c r="Q14" s="23">
        <f>+'TH4 M '!C14</f>
        <v/>
      </c>
      <c r="R14" s="17">
        <f>(Q14*100)/Q$8</f>
        <v/>
      </c>
      <c r="S14" s="23">
        <f>+'DIVES M'!C14</f>
        <v/>
      </c>
      <c r="T14" s="17">
        <f>(S14*100)/S$8</f>
        <v/>
      </c>
      <c r="U14" s="23">
        <f>+'R314 M '!C14</f>
        <v/>
      </c>
      <c r="V14" s="17">
        <f>(U14*100)/U$8</f>
        <v/>
      </c>
      <c r="W14" s="23">
        <f>+'LYSE M '!C14</f>
        <v/>
      </c>
      <c r="X14" s="17">
        <f>(W14*100)/W$8</f>
        <v/>
      </c>
      <c r="Y14" s="23">
        <f>+'ARTHUR M '!C14</f>
        <v/>
      </c>
      <c r="Z14" s="17">
        <f>(Y14*100)/Y$8</f>
        <v/>
      </c>
      <c r="AA14" s="23">
        <f>+'HUGO M '!C14</f>
        <v/>
      </c>
      <c r="AB14" s="17">
        <f>(AA14*100)/AA$8</f>
        <v/>
      </c>
      <c r="AC14" s="23">
        <f>+'JEANCLO M '!C14</f>
        <v/>
      </c>
      <c r="AD14" s="17">
        <f>(AC14*100)/AC$8</f>
        <v/>
      </c>
      <c r="AE14" s="23">
        <f>+'THOMAS M'!G14</f>
        <v/>
      </c>
      <c r="AF14" s="17">
        <f>(AE14*100)/AE$8</f>
        <v/>
      </c>
      <c r="AG14" s="23">
        <f>+'CATALINA M'!G14</f>
        <v/>
      </c>
      <c r="AH14" s="17">
        <f>(AG14*100)/AG$8</f>
        <v/>
      </c>
      <c r="AI14" s="23">
        <f>+C14+E14+G14+I14+K14+M14+O14+Q14+S14+U14+W14+Y14+AA14+AC14+AE14+AG14</f>
        <v/>
      </c>
      <c r="AJ14" s="17">
        <f>(AI14*100)/AI$8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+'GLR5 M'!C15</f>
        <v/>
      </c>
      <c r="D15" s="17">
        <f>(C15*100)/C$8</f>
        <v/>
      </c>
      <c r="E15" s="23">
        <f>+'HTR8 M'!C15</f>
        <v/>
      </c>
      <c r="F15" s="17">
        <f>(E15*100)/E$8</f>
        <v/>
      </c>
      <c r="G15" s="23">
        <f>+'TIRR M'!C15</f>
        <v/>
      </c>
      <c r="H15" s="17">
        <f>(G15*100)/G$8</f>
        <v/>
      </c>
      <c r="I15" s="23">
        <f>+'VR7 M '!C15</f>
        <v/>
      </c>
      <c r="J15" s="17">
        <f>(I15*100)/I$8</f>
        <v/>
      </c>
      <c r="K15" s="23">
        <f>+'TURVILLA M'!C15</f>
        <v/>
      </c>
      <c r="L15" s="17">
        <f>(K15*100)/K$8</f>
        <v/>
      </c>
      <c r="M15" s="23">
        <f>+'HART M'!C15</f>
        <v/>
      </c>
      <c r="N15" s="17">
        <f>(M15*100)/M$8</f>
        <v/>
      </c>
      <c r="O15" s="23">
        <f>+'VICTOIRE M'!C15</f>
        <v/>
      </c>
      <c r="P15" s="17">
        <f>(O15*100)/O$8</f>
        <v/>
      </c>
      <c r="Q15" s="23">
        <f>+'TH4 M '!C15</f>
        <v/>
      </c>
      <c r="R15" s="17">
        <f>(Q15*100)/Q$8</f>
        <v/>
      </c>
      <c r="S15" s="23">
        <f>+'DIVES M'!C15</f>
        <v/>
      </c>
      <c r="T15" s="17">
        <f>(S15*100)/S$8</f>
        <v/>
      </c>
      <c r="U15" s="23">
        <f>+'R314 M '!C15</f>
        <v/>
      </c>
      <c r="V15" s="17">
        <f>(U15*100)/U$8</f>
        <v/>
      </c>
      <c r="W15" s="23">
        <f>+'LYSE M '!C15</f>
        <v/>
      </c>
      <c r="X15" s="17">
        <f>(W15*100)/W$8</f>
        <v/>
      </c>
      <c r="Y15" s="23">
        <f>+'ARTHUR M '!C15</f>
        <v/>
      </c>
      <c r="Z15" s="17">
        <f>(Y15*100)/Y$8</f>
        <v/>
      </c>
      <c r="AA15" s="23">
        <f>+'HUGO M '!C15</f>
        <v/>
      </c>
      <c r="AB15" s="17">
        <f>(AA15*100)/AA$8</f>
        <v/>
      </c>
      <c r="AC15" s="23">
        <f>+'JEANCLO M '!C15</f>
        <v/>
      </c>
      <c r="AD15" s="17">
        <f>(AC15*100)/AC$8</f>
        <v/>
      </c>
      <c r="AE15" s="23">
        <f>+'THOMAS M'!G15</f>
        <v/>
      </c>
      <c r="AF15" s="17">
        <f>(AE15*100)/AE$8</f>
        <v/>
      </c>
      <c r="AG15" s="23">
        <f>+'CATALINA M'!G15</f>
        <v/>
      </c>
      <c r="AH15" s="17">
        <f>(AG15*100)/AG$8</f>
        <v/>
      </c>
      <c r="AI15" s="23">
        <f>+C15+E15+G15+I15+K15+M15+O15+Q15+S15+U15+W15+Y15+AA15+AC15+AE15+AG15</f>
        <v/>
      </c>
      <c r="AJ15" s="17">
        <f>(AI15*100)/AI$8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+'GLR5 M'!C16</f>
        <v/>
      </c>
      <c r="D16" s="50">
        <f>(C16*100)/C$8</f>
        <v/>
      </c>
      <c r="E16" s="49">
        <f>+'HTR8 M'!C16</f>
        <v/>
      </c>
      <c r="F16" s="50">
        <f>(E16*100)/E$8</f>
        <v/>
      </c>
      <c r="G16" s="49">
        <f>+'TIRR M'!C16</f>
        <v/>
      </c>
      <c r="H16" s="50">
        <f>(G16*100)/G$8</f>
        <v/>
      </c>
      <c r="I16" s="49">
        <f>+'VR7 M '!C16</f>
        <v/>
      </c>
      <c r="J16" s="50">
        <f>(I16*100)/I$8</f>
        <v/>
      </c>
      <c r="K16" s="49">
        <f>+'TURVILLA M'!C16</f>
        <v/>
      </c>
      <c r="L16" s="50">
        <f>(K16*100)/K$8</f>
        <v/>
      </c>
      <c r="M16" s="49">
        <f>+'HART M'!C16</f>
        <v/>
      </c>
      <c r="N16" s="50">
        <f>(M16*100)/M$8</f>
        <v/>
      </c>
      <c r="O16" s="49">
        <f>+'VICTOIRE M'!C16</f>
        <v/>
      </c>
      <c r="P16" s="50">
        <f>(O16*100)/O$8</f>
        <v/>
      </c>
      <c r="Q16" s="49">
        <f>+'TH4 M '!C16</f>
        <v/>
      </c>
      <c r="R16" s="50">
        <f>(Q16*100)/Q$8</f>
        <v/>
      </c>
      <c r="S16" s="49">
        <f>+'DIVES M'!C16</f>
        <v/>
      </c>
      <c r="T16" s="50">
        <f>(S16*100)/S$8</f>
        <v/>
      </c>
      <c r="U16" s="49">
        <f>+'R314 M '!C16</f>
        <v/>
      </c>
      <c r="V16" s="50">
        <f>(U16*100)/U$8</f>
        <v/>
      </c>
      <c r="W16" s="49">
        <f>+'LYSE M '!C16</f>
        <v/>
      </c>
      <c r="X16" s="50">
        <f>(W16*100)/W$8</f>
        <v/>
      </c>
      <c r="Y16" s="49">
        <f>+'ARTHUR M '!C16</f>
        <v/>
      </c>
      <c r="Z16" s="50">
        <f>(Y16*100)/Y$8</f>
        <v/>
      </c>
      <c r="AA16" s="49">
        <f>+'HUGO M '!C16</f>
        <v/>
      </c>
      <c r="AB16" s="50">
        <f>(AA16*100)/AA$8</f>
        <v/>
      </c>
      <c r="AC16" s="49">
        <f>+'JEANCLO M '!C16</f>
        <v/>
      </c>
      <c r="AD16" s="50">
        <f>(AC16*100)/AC$8</f>
        <v/>
      </c>
      <c r="AE16" s="49">
        <f>+'THOMAS M'!G16</f>
        <v/>
      </c>
      <c r="AF16" s="50">
        <f>(AE16*100)/AE$8</f>
        <v/>
      </c>
      <c r="AG16" s="49">
        <f>+'CATALINA M'!G16</f>
        <v/>
      </c>
      <c r="AH16" s="50">
        <f>(AG16*100)/AG$8</f>
        <v/>
      </c>
      <c r="AI16" s="49">
        <f>+C16+E16+G16+I16+K16+M16+O16+Q16+S16+U16+W16+Y16+AA16+AC16+AE16+AG16</f>
        <v/>
      </c>
      <c r="AJ16" s="50">
        <f>(AI16*100)/AI$8</f>
        <v/>
      </c>
    </row>
    <row r="17" ht="14.25" customHeight="1" s="161" thickBot="1" thickTop="1">
      <c r="A17" s="435" t="n"/>
      <c r="B17" s="441" t="n"/>
      <c r="C17" s="442" t="n"/>
      <c r="D17" s="54" t="n"/>
      <c r="E17" s="442" t="n"/>
      <c r="F17" s="54" t="n"/>
      <c r="G17" s="442" t="n"/>
      <c r="H17" s="54" t="n"/>
      <c r="I17" s="442" t="n"/>
      <c r="J17" s="54" t="n"/>
      <c r="K17" s="442" t="n"/>
      <c r="L17" s="54" t="n"/>
      <c r="M17" s="442" t="n"/>
      <c r="N17" s="54" t="n"/>
      <c r="O17" s="442" t="n"/>
      <c r="P17" s="54" t="n"/>
      <c r="Q17" s="442" t="n"/>
      <c r="R17" s="54" t="n"/>
      <c r="S17" s="442" t="n"/>
      <c r="T17" s="54" t="n"/>
      <c r="U17" s="442" t="n"/>
      <c r="V17" s="54" t="n"/>
      <c r="W17" s="442" t="n"/>
      <c r="X17" s="54" t="n"/>
      <c r="Y17" s="442" t="n"/>
      <c r="Z17" s="54" t="n"/>
      <c r="AA17" s="442" t="n"/>
      <c r="AB17" s="54" t="n"/>
      <c r="AC17" s="442" t="n"/>
      <c r="AD17" s="54" t="n"/>
      <c r="AE17" s="442" t="n"/>
      <c r="AF17" s="54" t="n"/>
      <c r="AG17" s="442" t="n"/>
      <c r="AH17" s="54" t="n"/>
      <c r="AI17" s="442" t="n"/>
      <c r="AJ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+'GLR5 M'!C18</f>
        <v/>
      </c>
      <c r="D18" s="71">
        <f>(C18*100)/C$8</f>
        <v/>
      </c>
      <c r="E18" s="70">
        <f>+'HTR8 M'!C18</f>
        <v/>
      </c>
      <c r="F18" s="71">
        <f>(E18*100)/E$8</f>
        <v/>
      </c>
      <c r="G18" s="70">
        <f>+'TIRR M'!C18</f>
        <v/>
      </c>
      <c r="H18" s="71">
        <f>(G18*100)/G$8</f>
        <v/>
      </c>
      <c r="I18" s="70">
        <f>+'VR7 M '!C18</f>
        <v/>
      </c>
      <c r="J18" s="71">
        <f>(I18*100)/I$8</f>
        <v/>
      </c>
      <c r="K18" s="70">
        <f>+'TURVILLA M'!C18</f>
        <v/>
      </c>
      <c r="L18" s="71">
        <f>(K18*100)/K$8</f>
        <v/>
      </c>
      <c r="M18" s="70">
        <f>+'HART M'!C18</f>
        <v/>
      </c>
      <c r="N18" s="71">
        <f>(M18*100)/M$8</f>
        <v/>
      </c>
      <c r="O18" s="70">
        <f>+'VICTOIRE M'!C18</f>
        <v/>
      </c>
      <c r="P18" s="71">
        <f>(O18*100)/O$8</f>
        <v/>
      </c>
      <c r="Q18" s="70">
        <f>+'TH4 M '!C18</f>
        <v/>
      </c>
      <c r="R18" s="71">
        <f>(Q18*100)/Q$8</f>
        <v/>
      </c>
      <c r="S18" s="70">
        <f>+'DIVES M'!C18</f>
        <v/>
      </c>
      <c r="T18" s="71">
        <f>(S18*100)/S$8</f>
        <v/>
      </c>
      <c r="U18" s="70">
        <f>+'R314 M '!C18</f>
        <v/>
      </c>
      <c r="V18" s="71">
        <f>(U18*100)/U$8</f>
        <v/>
      </c>
      <c r="W18" s="70">
        <f>+'LYSE M '!C18</f>
        <v/>
      </c>
      <c r="X18" s="71">
        <f>(W18*100)/W$8</f>
        <v/>
      </c>
      <c r="Y18" s="70">
        <f>+'ARTHUR M '!C18</f>
        <v/>
      </c>
      <c r="Z18" s="71">
        <f>(Y18*100)/Y$8</f>
        <v/>
      </c>
      <c r="AA18" s="70">
        <f>+'HUGO M '!C18</f>
        <v/>
      </c>
      <c r="AB18" s="71">
        <f>(AA18*100)/AA$8</f>
        <v/>
      </c>
      <c r="AC18" s="70">
        <f>+'JEANCLO M '!C18</f>
        <v/>
      </c>
      <c r="AD18" s="71">
        <f>(AC18*100)/AC$8</f>
        <v/>
      </c>
      <c r="AE18" s="70">
        <f>+'THOMAS M'!G18</f>
        <v/>
      </c>
      <c r="AF18" s="71">
        <f>(AE18*100)/AE$8</f>
        <v/>
      </c>
      <c r="AG18" s="70">
        <f>+'CATALINA M'!G18</f>
        <v/>
      </c>
      <c r="AH18" s="71">
        <f>(AG18*100)/AG$8</f>
        <v/>
      </c>
      <c r="AI18" s="70">
        <f>+C18+E18+G18+I18+K18+M18+O18+Q18+S18+U18+W18+Y18+AA18+AC18+AE18+AG18</f>
        <v/>
      </c>
      <c r="AJ18" s="71">
        <f>(AI18*100)/AI$8</f>
        <v/>
      </c>
    </row>
    <row r="19" ht="7.15" customHeight="1" s="161" thickTop="1">
      <c r="A19" s="435" t="n"/>
      <c r="B19" s="443" t="n"/>
      <c r="C19" s="388" t="n"/>
      <c r="D19" s="10" t="n"/>
      <c r="E19" s="388" t="n"/>
      <c r="F19" s="10" t="n"/>
      <c r="G19" s="388" t="n"/>
      <c r="H19" s="10" t="n"/>
      <c r="I19" s="388" t="n"/>
      <c r="J19" s="10" t="n"/>
      <c r="K19" s="388" t="n"/>
      <c r="L19" s="10" t="n"/>
      <c r="M19" s="388" t="n"/>
      <c r="N19" s="10" t="n"/>
      <c r="O19" s="388" t="n"/>
      <c r="P19" s="10" t="n"/>
      <c r="Q19" s="388" t="n"/>
      <c r="R19" s="10" t="n"/>
      <c r="S19" s="388" t="n"/>
      <c r="T19" s="10" t="n"/>
      <c r="U19" s="388" t="n"/>
      <c r="V19" s="10" t="n"/>
      <c r="W19" s="388" t="n"/>
      <c r="X19" s="10" t="n"/>
      <c r="Y19" s="388" t="n"/>
      <c r="Z19" s="10" t="n"/>
      <c r="AA19" s="388" t="n"/>
      <c r="AB19" s="10" t="n"/>
      <c r="AC19" s="388" t="n"/>
      <c r="AD19" s="10" t="n"/>
      <c r="AE19" s="388" t="n"/>
      <c r="AF19" s="10" t="n"/>
      <c r="AG19" s="388" t="n"/>
      <c r="AH19" s="10" t="n"/>
      <c r="AI19" s="388">
        <f>+C19+E19+G19+I19+K19+M19+O19+Q19+S19+U19+W19+Y19+AA19+AC19+AE19</f>
        <v/>
      </c>
      <c r="AJ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+'GLR5 M'!C20</f>
        <v/>
      </c>
      <c r="D20" s="17">
        <f>(C20*100)/C$8</f>
        <v/>
      </c>
      <c r="E20" s="23">
        <f>+'HTR8 M'!C20</f>
        <v/>
      </c>
      <c r="F20" s="17">
        <f>(E20*100)/E$8</f>
        <v/>
      </c>
      <c r="G20" s="23">
        <f>+'TIRR M'!C20</f>
        <v/>
      </c>
      <c r="H20" s="17">
        <f>(G20*100)/G$8</f>
        <v/>
      </c>
      <c r="I20" s="23">
        <f>+'VR7 M '!C20</f>
        <v/>
      </c>
      <c r="J20" s="17">
        <f>(I20*100)/I$8</f>
        <v/>
      </c>
      <c r="K20" s="23">
        <f>+'TURVILLA M'!C20</f>
        <v/>
      </c>
      <c r="L20" s="17">
        <f>(K20*100)/K$8</f>
        <v/>
      </c>
      <c r="M20" s="23">
        <f>+'HART M'!C20</f>
        <v/>
      </c>
      <c r="N20" s="17">
        <f>(M20*100)/M$8</f>
        <v/>
      </c>
      <c r="O20" s="23">
        <f>+'VICTOIRE M'!C20</f>
        <v/>
      </c>
      <c r="P20" s="17">
        <f>(O20*100)/O$8</f>
        <v/>
      </c>
      <c r="Q20" s="23">
        <f>+'TH4 M '!C20</f>
        <v/>
      </c>
      <c r="R20" s="17">
        <f>(Q20*100)/Q$8</f>
        <v/>
      </c>
      <c r="S20" s="23">
        <f>+'DIVES M'!C20</f>
        <v/>
      </c>
      <c r="T20" s="17">
        <f>(S20*100)/S$8</f>
        <v/>
      </c>
      <c r="U20" s="23">
        <f>+'R314 M '!C20</f>
        <v/>
      </c>
      <c r="V20" s="17">
        <f>(U20*100)/U$8</f>
        <v/>
      </c>
      <c r="W20" s="23">
        <f>+'LYSE M '!C20</f>
        <v/>
      </c>
      <c r="X20" s="17">
        <f>(W20*100)/W$8</f>
        <v/>
      </c>
      <c r="Y20" s="23">
        <f>+'ARTHUR M '!C20</f>
        <v/>
      </c>
      <c r="Z20" s="17">
        <f>(Y20*100)/Y$8</f>
        <v/>
      </c>
      <c r="AA20" s="23">
        <f>+'HUGO M '!C20</f>
        <v/>
      </c>
      <c r="AB20" s="17">
        <f>(AA20*100)/AA$8</f>
        <v/>
      </c>
      <c r="AC20" s="23">
        <f>+'JEANCLO M '!C20</f>
        <v/>
      </c>
      <c r="AD20" s="17">
        <f>(AC20*100)/AC$8</f>
        <v/>
      </c>
      <c r="AE20" s="23">
        <f>+'THOMAS M'!G20</f>
        <v/>
      </c>
      <c r="AF20" s="17">
        <f>(AE20*100)/AE$8</f>
        <v/>
      </c>
      <c r="AG20" s="23">
        <f>+'CATALINA M'!G20</f>
        <v/>
      </c>
      <c r="AH20" s="17">
        <f>(AG20*100)/AG$8</f>
        <v/>
      </c>
      <c r="AI20" s="23">
        <f>+C20+E20+G20+I20+K20+M20+O20+Q20+S20+U20+W20+Y20+AA20+AC20+AE20+AG20</f>
        <v/>
      </c>
      <c r="AJ20" s="17">
        <f>(AI20*100)/AI$8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+'GLR5 M'!C21</f>
        <v/>
      </c>
      <c r="D21" s="17">
        <f>(C21*100)/C$8</f>
        <v/>
      </c>
      <c r="E21" s="23">
        <f>+'HTR8 M'!C21</f>
        <v/>
      </c>
      <c r="F21" s="17">
        <f>(E21*100)/E$8</f>
        <v/>
      </c>
      <c r="G21" s="23">
        <f>+'TIRR M'!C21</f>
        <v/>
      </c>
      <c r="H21" s="17">
        <f>(G21*100)/G$8</f>
        <v/>
      </c>
      <c r="I21" s="23">
        <f>+'VR7 M '!C21</f>
        <v/>
      </c>
      <c r="J21" s="17">
        <f>(I21*100)/I$8</f>
        <v/>
      </c>
      <c r="K21" s="23">
        <f>+'TURVILLA M'!C21</f>
        <v/>
      </c>
      <c r="L21" s="17">
        <f>(K21*100)/K$8</f>
        <v/>
      </c>
      <c r="M21" s="23">
        <f>+'HART M'!C21</f>
        <v/>
      </c>
      <c r="N21" s="17">
        <f>(M21*100)/M$8</f>
        <v/>
      </c>
      <c r="O21" s="23">
        <f>+'VICTOIRE M'!C21</f>
        <v/>
      </c>
      <c r="P21" s="17">
        <f>(O21*100)/O$8</f>
        <v/>
      </c>
      <c r="Q21" s="23">
        <f>+'TH4 M '!C21</f>
        <v/>
      </c>
      <c r="R21" s="17">
        <f>(Q21*100)/Q$8</f>
        <v/>
      </c>
      <c r="S21" s="23">
        <f>+'DIVES M'!C21</f>
        <v/>
      </c>
      <c r="T21" s="17">
        <f>(S21*100)/S$8</f>
        <v/>
      </c>
      <c r="U21" s="23">
        <f>+'R314 M '!C21</f>
        <v/>
      </c>
      <c r="V21" s="17">
        <f>(U21*100)/U$8</f>
        <v/>
      </c>
      <c r="W21" s="23">
        <f>+'LYSE M '!C21</f>
        <v/>
      </c>
      <c r="X21" s="17">
        <f>(W21*100)/W$8</f>
        <v/>
      </c>
      <c r="Y21" s="23">
        <f>+'ARTHUR M '!C21</f>
        <v/>
      </c>
      <c r="Z21" s="17">
        <f>(Y21*100)/Y$8</f>
        <v/>
      </c>
      <c r="AA21" s="23">
        <f>+'HUGO M '!C21</f>
        <v/>
      </c>
      <c r="AB21" s="17">
        <f>(AA21*100)/AA$8</f>
        <v/>
      </c>
      <c r="AC21" s="23">
        <f>+'JEANCLO M '!C21</f>
        <v/>
      </c>
      <c r="AD21" s="17">
        <f>(AC21*100)/AC$8</f>
        <v/>
      </c>
      <c r="AE21" s="23">
        <f>+'THOMAS M'!G21</f>
        <v/>
      </c>
      <c r="AF21" s="17">
        <f>(AE21*100)/AE$8</f>
        <v/>
      </c>
      <c r="AG21" s="23">
        <f>+'CATALINA M'!G21</f>
        <v/>
      </c>
      <c r="AH21" s="17">
        <f>(AG21*100)/AG$8</f>
        <v/>
      </c>
      <c r="AI21" s="23">
        <f>+C21+E21+G21+I21+K21+M21+O21+Q21+S21+U21+W21+Y21+AA21+AC21+AE21+AG21</f>
        <v/>
      </c>
      <c r="AJ21" s="17">
        <f>(AI21*100)/AI$8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+'GLR5 M'!C22</f>
        <v/>
      </c>
      <c r="D22" s="17">
        <f>(C22*100)/C$8</f>
        <v/>
      </c>
      <c r="E22" s="23">
        <f>+'HTR8 M'!C22</f>
        <v/>
      </c>
      <c r="F22" s="17">
        <f>(E22*100)/E$8</f>
        <v/>
      </c>
      <c r="G22" s="23">
        <f>+'TIRR M'!C22</f>
        <v/>
      </c>
      <c r="H22" s="17">
        <f>(G22*100)/G$8</f>
        <v/>
      </c>
      <c r="I22" s="23">
        <f>+'VR7 M '!C22</f>
        <v/>
      </c>
      <c r="J22" s="17">
        <f>(I22*100)/I$8</f>
        <v/>
      </c>
      <c r="K22" s="23">
        <f>+'TURVILLA M'!C22</f>
        <v/>
      </c>
      <c r="L22" s="17">
        <f>(K22*100)/K$8</f>
        <v/>
      </c>
      <c r="M22" s="23">
        <f>+'HART M'!C22</f>
        <v/>
      </c>
      <c r="N22" s="17">
        <f>(M22*100)/M$8</f>
        <v/>
      </c>
      <c r="O22" s="23">
        <f>+'VICTOIRE M'!C22</f>
        <v/>
      </c>
      <c r="P22" s="17">
        <f>(O22*100)/O$8</f>
        <v/>
      </c>
      <c r="Q22" s="23">
        <f>+'TH4 M '!C22</f>
        <v/>
      </c>
      <c r="R22" s="17">
        <f>(Q22*100)/Q$8</f>
        <v/>
      </c>
      <c r="S22" s="23">
        <f>+'DIVES M'!C22</f>
        <v/>
      </c>
      <c r="T22" s="17">
        <f>(S22*100)/S$8</f>
        <v/>
      </c>
      <c r="U22" s="23">
        <f>+'R314 M '!C22</f>
        <v/>
      </c>
      <c r="V22" s="17">
        <f>(U22*100)/U$8</f>
        <v/>
      </c>
      <c r="W22" s="23">
        <f>+'LYSE M '!C22</f>
        <v/>
      </c>
      <c r="X22" s="17">
        <f>(W22*100)/W$8</f>
        <v/>
      </c>
      <c r="Y22" s="23">
        <f>+'ARTHUR M '!C22</f>
        <v/>
      </c>
      <c r="Z22" s="17">
        <f>(Y22*100)/Y$8</f>
        <v/>
      </c>
      <c r="AA22" s="23">
        <f>+'HUGO M '!C22</f>
        <v/>
      </c>
      <c r="AB22" s="17">
        <f>(AA22*100)/AA$8</f>
        <v/>
      </c>
      <c r="AC22" s="23">
        <f>+'JEANCLO M '!C22</f>
        <v/>
      </c>
      <c r="AD22" s="17">
        <f>(AC22*100)/AC$8</f>
        <v/>
      </c>
      <c r="AE22" s="23">
        <f>+'THOMAS M'!G22</f>
        <v/>
      </c>
      <c r="AF22" s="17">
        <f>(AE22*100)/AE$8</f>
        <v/>
      </c>
      <c r="AG22" s="23">
        <f>+'CATALINA M'!G22</f>
        <v/>
      </c>
      <c r="AH22" s="17">
        <f>(AG22*100)/AG$8</f>
        <v/>
      </c>
      <c r="AI22" s="23">
        <f>+C22+E22+G22+I22+K22+M22+O22+Q22+S22+U22+W22+Y22+AA22+AC22+AE22+AG22</f>
        <v/>
      </c>
      <c r="AJ22" s="17">
        <f>(AI22*100)/AI$8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+'GLR5 M'!C23</f>
        <v/>
      </c>
      <c r="D23" s="17">
        <f>(C23*100)/C$8</f>
        <v/>
      </c>
      <c r="E23" s="23">
        <f>+'HTR8 M'!C23</f>
        <v/>
      </c>
      <c r="F23" s="17">
        <f>(E23*100)/E$8</f>
        <v/>
      </c>
      <c r="G23" s="23">
        <f>+'TIRR M'!C23</f>
        <v/>
      </c>
      <c r="H23" s="17">
        <f>(G23*100)/G$8</f>
        <v/>
      </c>
      <c r="I23" s="23">
        <f>+'VR7 M '!C23</f>
        <v/>
      </c>
      <c r="J23" s="17">
        <f>(I23*100)/I$8</f>
        <v/>
      </c>
      <c r="K23" s="23">
        <f>+'TURVILLA M'!C23</f>
        <v/>
      </c>
      <c r="L23" s="17">
        <f>(K23*100)/K$8</f>
        <v/>
      </c>
      <c r="M23" s="23">
        <f>+'HART M'!C23</f>
        <v/>
      </c>
      <c r="N23" s="17">
        <f>(M23*100)/M$8</f>
        <v/>
      </c>
      <c r="O23" s="23">
        <f>+'VICTOIRE M'!C23</f>
        <v/>
      </c>
      <c r="P23" s="17">
        <f>(O23*100)/O$8</f>
        <v/>
      </c>
      <c r="Q23" s="23">
        <f>+'TH4 M '!C23</f>
        <v/>
      </c>
      <c r="R23" s="17">
        <f>(Q23*100)/Q$8</f>
        <v/>
      </c>
      <c r="S23" s="23">
        <f>+'DIVES M'!C23</f>
        <v/>
      </c>
      <c r="T23" s="17">
        <f>(S23*100)/S$8</f>
        <v/>
      </c>
      <c r="U23" s="23">
        <f>+'R314 M '!C23</f>
        <v/>
      </c>
      <c r="V23" s="17">
        <f>(U23*100)/U$8</f>
        <v/>
      </c>
      <c r="W23" s="23">
        <f>+'LYSE M '!C23</f>
        <v/>
      </c>
      <c r="X23" s="17">
        <f>(W23*100)/W$8</f>
        <v/>
      </c>
      <c r="Y23" s="23">
        <f>+'ARTHUR M '!C23</f>
        <v/>
      </c>
      <c r="Z23" s="17">
        <f>(Y23*100)/Y$8</f>
        <v/>
      </c>
      <c r="AA23" s="23">
        <f>+'HUGO M '!C23</f>
        <v/>
      </c>
      <c r="AB23" s="17">
        <f>(AA23*100)/AA$8</f>
        <v/>
      </c>
      <c r="AC23" s="23">
        <f>+'JEANCLO M '!C23</f>
        <v/>
      </c>
      <c r="AD23" s="17">
        <f>(AC23*100)/AC$8</f>
        <v/>
      </c>
      <c r="AE23" s="23">
        <f>+'THOMAS M'!G23</f>
        <v/>
      </c>
      <c r="AF23" s="17">
        <f>(AE23*100)/AE$8</f>
        <v/>
      </c>
      <c r="AG23" s="23">
        <f>+'CATALINA M'!G23</f>
        <v/>
      </c>
      <c r="AH23" s="17">
        <f>(AG23*100)/AG$8</f>
        <v/>
      </c>
      <c r="AI23" s="23">
        <f>+C23+E23+G23+I23+K23+M23+O23+Q23+S23+U23+W23+Y23+AA23+AC23+AE23+AG23</f>
        <v/>
      </c>
      <c r="AJ23" s="17">
        <f>(AI23*100)/AI$8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+'GLR5 M'!C24</f>
        <v/>
      </c>
      <c r="D24" s="17">
        <f>(C24*100)/C$8</f>
        <v/>
      </c>
      <c r="E24" s="23">
        <f>+'HTR8 M'!C24</f>
        <v/>
      </c>
      <c r="F24" s="17">
        <f>(E24*100)/E$8</f>
        <v/>
      </c>
      <c r="G24" s="23">
        <f>+'TIRR M'!C24</f>
        <v/>
      </c>
      <c r="H24" s="17">
        <f>(G24*100)/G$8</f>
        <v/>
      </c>
      <c r="I24" s="23">
        <f>+'VR7 M '!C24</f>
        <v/>
      </c>
      <c r="J24" s="17">
        <f>(I24*100)/I$8</f>
        <v/>
      </c>
      <c r="K24" s="23">
        <f>+'TURVILLA M'!C24</f>
        <v/>
      </c>
      <c r="L24" s="17">
        <f>(K24*100)/K$8</f>
        <v/>
      </c>
      <c r="M24" s="23">
        <f>+'HART M'!C24</f>
        <v/>
      </c>
      <c r="N24" s="17">
        <f>(M24*100)/M$8</f>
        <v/>
      </c>
      <c r="O24" s="23">
        <f>+'VICTOIRE M'!C24</f>
        <v/>
      </c>
      <c r="P24" s="17">
        <f>(O24*100)/O$8</f>
        <v/>
      </c>
      <c r="Q24" s="23">
        <f>+'TH4 M '!C24</f>
        <v/>
      </c>
      <c r="R24" s="17">
        <f>(Q24*100)/Q$8</f>
        <v/>
      </c>
      <c r="S24" s="23">
        <f>+'DIVES M'!C24</f>
        <v/>
      </c>
      <c r="T24" s="17">
        <f>(S24*100)/S$8</f>
        <v/>
      </c>
      <c r="U24" s="23">
        <f>+'R314 M '!C24</f>
        <v/>
      </c>
      <c r="V24" s="17">
        <f>(U24*100)/U$8</f>
        <v/>
      </c>
      <c r="W24" s="23">
        <f>+'LYSE M '!C24</f>
        <v/>
      </c>
      <c r="X24" s="17">
        <f>(W24*100)/W$8</f>
        <v/>
      </c>
      <c r="Y24" s="23">
        <f>+'ARTHUR M '!C24</f>
        <v/>
      </c>
      <c r="Z24" s="17">
        <f>(Y24*100)/Y$8</f>
        <v/>
      </c>
      <c r="AA24" s="23">
        <f>+'HUGO M '!C24</f>
        <v/>
      </c>
      <c r="AB24" s="17">
        <f>(AA24*100)/AA$8</f>
        <v/>
      </c>
      <c r="AC24" s="23">
        <f>+'JEANCLO M '!C24</f>
        <v/>
      </c>
      <c r="AD24" s="17">
        <f>(AC24*100)/AC$8</f>
        <v/>
      </c>
      <c r="AE24" s="23">
        <f>+'THOMAS M'!G24</f>
        <v/>
      </c>
      <c r="AF24" s="17">
        <f>(AE24*100)/AE$8</f>
        <v/>
      </c>
      <c r="AG24" s="23">
        <f>+'CATALINA M'!G24</f>
        <v/>
      </c>
      <c r="AH24" s="17">
        <f>(AG24*100)/AG$8</f>
        <v/>
      </c>
      <c r="AI24" s="23">
        <f>+C24+E24+G24+I24+K24+M24+O24+Q24+S24+U24+W24+Y24+AA24+AC24+AE24+AG24</f>
        <v/>
      </c>
      <c r="AJ24" s="17">
        <f>(AI24*100)/AI$8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+'GLR5 M'!C25</f>
        <v/>
      </c>
      <c r="D25" s="17">
        <f>(C25*100)/C$8</f>
        <v/>
      </c>
      <c r="E25" s="23">
        <f>+'HTR8 M'!C25</f>
        <v/>
      </c>
      <c r="F25" s="17">
        <f>(E25*100)/E$8</f>
        <v/>
      </c>
      <c r="G25" s="23">
        <f>+'TIRR M'!C25</f>
        <v/>
      </c>
      <c r="H25" s="17">
        <f>(G25*100)/G$8</f>
        <v/>
      </c>
      <c r="I25" s="23">
        <f>+'VR7 M '!C25</f>
        <v/>
      </c>
      <c r="J25" s="17">
        <f>(I25*100)/I$8</f>
        <v/>
      </c>
      <c r="K25" s="23">
        <f>+'TURVILLA M'!C25</f>
        <v/>
      </c>
      <c r="L25" s="17">
        <f>(K25*100)/K$8</f>
        <v/>
      </c>
      <c r="M25" s="23">
        <f>+'HART M'!C25</f>
        <v/>
      </c>
      <c r="N25" s="17">
        <f>(M25*100)/M$8</f>
        <v/>
      </c>
      <c r="O25" s="23">
        <f>+'VICTOIRE M'!C25</f>
        <v/>
      </c>
      <c r="P25" s="17">
        <f>(O25*100)/O$8</f>
        <v/>
      </c>
      <c r="Q25" s="23">
        <f>+'TH4 M '!C25</f>
        <v/>
      </c>
      <c r="R25" s="17">
        <f>(Q25*100)/Q$8</f>
        <v/>
      </c>
      <c r="S25" s="23">
        <f>+'DIVES M'!C25</f>
        <v/>
      </c>
      <c r="T25" s="17">
        <f>(S25*100)/S$8</f>
        <v/>
      </c>
      <c r="U25" s="23">
        <f>+'R314 M '!C25</f>
        <v/>
      </c>
      <c r="V25" s="17">
        <f>(U25*100)/U$8</f>
        <v/>
      </c>
      <c r="W25" s="23">
        <f>+'LYSE M '!C25</f>
        <v/>
      </c>
      <c r="X25" s="17">
        <f>(W25*100)/W$8</f>
        <v/>
      </c>
      <c r="Y25" s="23">
        <f>+'ARTHUR M '!C25</f>
        <v/>
      </c>
      <c r="Z25" s="17">
        <f>(Y25*100)/Y$8</f>
        <v/>
      </c>
      <c r="AA25" s="23">
        <f>+'HUGO M '!C25</f>
        <v/>
      </c>
      <c r="AB25" s="17">
        <f>(AA25*100)/AA$8</f>
        <v/>
      </c>
      <c r="AC25" s="23">
        <f>+'JEANCLO M '!C25</f>
        <v/>
      </c>
      <c r="AD25" s="17">
        <f>(AC25*100)/AC$8</f>
        <v/>
      </c>
      <c r="AE25" s="23">
        <f>+'THOMAS M'!G25</f>
        <v/>
      </c>
      <c r="AF25" s="17">
        <f>(AE25*100)/AE$8</f>
        <v/>
      </c>
      <c r="AG25" s="23">
        <f>+'CATALINA M'!G25</f>
        <v/>
      </c>
      <c r="AH25" s="17">
        <f>(AG25*100)/AG$8</f>
        <v/>
      </c>
      <c r="AI25" s="23">
        <f>+C25+E25+G25+I25+K25+M25+O25+Q25+S25+U25+W25+Y25+AA25+AC25+AE25+AG25</f>
        <v/>
      </c>
      <c r="AJ25" s="17">
        <f>(AI25*100)/AI$8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+'GLR5 M'!C26</f>
        <v/>
      </c>
      <c r="D26" s="50">
        <f>(C26*100)/C$8</f>
        <v/>
      </c>
      <c r="E26" s="49">
        <f>+'HTR8 M'!C26</f>
        <v/>
      </c>
      <c r="F26" s="50">
        <f>(E26*100)/E$8</f>
        <v/>
      </c>
      <c r="G26" s="49">
        <f>+'TIRR M'!C26</f>
        <v/>
      </c>
      <c r="H26" s="50">
        <f>(G26*100)/G$8</f>
        <v/>
      </c>
      <c r="I26" s="49">
        <f>+'VR7 M '!C26</f>
        <v/>
      </c>
      <c r="J26" s="50">
        <f>(I26*100)/I$8</f>
        <v/>
      </c>
      <c r="K26" s="49">
        <f>+'TURVILLA M'!C26</f>
        <v/>
      </c>
      <c r="L26" s="50">
        <f>(K26*100)/K$8</f>
        <v/>
      </c>
      <c r="M26" s="49">
        <f>+'HART M'!C26</f>
        <v/>
      </c>
      <c r="N26" s="50">
        <f>(M26*100)/M$8</f>
        <v/>
      </c>
      <c r="O26" s="49">
        <f>+'VICTOIRE M'!C26</f>
        <v/>
      </c>
      <c r="P26" s="50">
        <f>(O26*100)/O$8</f>
        <v/>
      </c>
      <c r="Q26" s="49">
        <f>+'TH4 M '!C26</f>
        <v/>
      </c>
      <c r="R26" s="50">
        <f>(Q26*100)/Q$8</f>
        <v/>
      </c>
      <c r="S26" s="49">
        <f>+'DIVES M'!C26</f>
        <v/>
      </c>
      <c r="T26" s="50">
        <f>(S26*100)/S$8</f>
        <v/>
      </c>
      <c r="U26" s="49">
        <f>+'R314 M '!C26</f>
        <v/>
      </c>
      <c r="V26" s="50">
        <f>(U26*100)/U$8</f>
        <v/>
      </c>
      <c r="W26" s="49">
        <f>+'LYSE M '!C26</f>
        <v/>
      </c>
      <c r="X26" s="50">
        <f>(W26*100)/W$8</f>
        <v/>
      </c>
      <c r="Y26" s="49">
        <f>+'ARTHUR M '!C26</f>
        <v/>
      </c>
      <c r="Z26" s="50">
        <f>(Y26*100)/Y$8</f>
        <v/>
      </c>
      <c r="AA26" s="49">
        <f>+'HUGO M '!C26</f>
        <v/>
      </c>
      <c r="AB26" s="50">
        <f>(AA26*100)/AA$8</f>
        <v/>
      </c>
      <c r="AC26" s="49">
        <f>+'JEANCLO M '!C26</f>
        <v/>
      </c>
      <c r="AD26" s="50">
        <f>(AC26*100)/AC$8</f>
        <v/>
      </c>
      <c r="AE26" s="49">
        <f>+'THOMAS M'!G26</f>
        <v/>
      </c>
      <c r="AF26" s="50">
        <f>(AE26*100)/AE$8</f>
        <v/>
      </c>
      <c r="AG26" s="49">
        <f>+'CATALINA M'!G26</f>
        <v/>
      </c>
      <c r="AH26" s="50">
        <f>(AG26*100)/AG$8</f>
        <v/>
      </c>
      <c r="AI26" s="49">
        <f>+C26+E26+G26+I26+K26+M26+O26+Q26+S26+U26+W26+Y26+AA26+AC26+AE26+AG26</f>
        <v/>
      </c>
      <c r="AJ26" s="50">
        <f>(AI26*100)/AI$8</f>
        <v/>
      </c>
    </row>
    <row r="27" ht="7.15" customHeight="1" s="161" thickTop="1">
      <c r="A27" s="435" t="n"/>
      <c r="B27" s="443" t="n"/>
      <c r="C27" s="388" t="n"/>
      <c r="D27" s="10" t="n"/>
      <c r="E27" s="388" t="n"/>
      <c r="F27" s="10" t="n"/>
      <c r="G27" s="388" t="n"/>
      <c r="H27" s="10" t="n"/>
      <c r="I27" s="388" t="n"/>
      <c r="J27" s="10" t="n"/>
      <c r="K27" s="388" t="n"/>
      <c r="L27" s="10" t="n"/>
      <c r="M27" s="388" t="n"/>
      <c r="N27" s="10" t="n"/>
      <c r="O27" s="388" t="n"/>
      <c r="P27" s="10" t="n"/>
      <c r="Q27" s="388" t="n"/>
      <c r="R27" s="10" t="n"/>
      <c r="S27" s="388" t="n"/>
      <c r="T27" s="10" t="n"/>
      <c r="U27" s="388" t="n"/>
      <c r="V27" s="10" t="n"/>
      <c r="W27" s="388" t="n"/>
      <c r="X27" s="10" t="n"/>
      <c r="Y27" s="388" t="n"/>
      <c r="Z27" s="10" t="n"/>
      <c r="AA27" s="388" t="n"/>
      <c r="AB27" s="10" t="n"/>
      <c r="AC27" s="388" t="n"/>
      <c r="AD27" s="10" t="n"/>
      <c r="AE27" s="388" t="n"/>
      <c r="AF27" s="10" t="n"/>
      <c r="AG27" s="388" t="n"/>
      <c r="AH27" s="10" t="n"/>
      <c r="AI27" s="388" t="n"/>
      <c r="AJ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+'GLR5 M'!C28</f>
        <v/>
      </c>
      <c r="D28" s="17">
        <f>(C28*100)/C$8</f>
        <v/>
      </c>
      <c r="E28" s="23">
        <f>+'HTR8 M'!C28</f>
        <v/>
      </c>
      <c r="F28" s="17">
        <f>(E28*100)/E$8</f>
        <v/>
      </c>
      <c r="G28" s="23">
        <f>+'TIRR M'!C28</f>
        <v/>
      </c>
      <c r="H28" s="17">
        <f>(G28*100)/G$8</f>
        <v/>
      </c>
      <c r="I28" s="23">
        <f>+'VR7 M '!C28</f>
        <v/>
      </c>
      <c r="J28" s="17">
        <f>(I28*100)/I$8</f>
        <v/>
      </c>
      <c r="K28" s="23">
        <f>+'TURVILLA M'!C28</f>
        <v/>
      </c>
      <c r="L28" s="17">
        <f>(K28*100)/K$8</f>
        <v/>
      </c>
      <c r="M28" s="23">
        <f>+'HART M'!C28</f>
        <v/>
      </c>
      <c r="N28" s="17">
        <f>(M28*100)/M$8</f>
        <v/>
      </c>
      <c r="O28" s="23">
        <f>+'VICTOIRE M'!C28</f>
        <v/>
      </c>
      <c r="P28" s="17">
        <f>(O28*100)/O$8</f>
        <v/>
      </c>
      <c r="Q28" s="23">
        <f>+'TH4 M '!C28</f>
        <v/>
      </c>
      <c r="R28" s="17">
        <f>(Q28*100)/Q$8</f>
        <v/>
      </c>
      <c r="S28" s="23">
        <f>+'DIVES M'!C28</f>
        <v/>
      </c>
      <c r="T28" s="17">
        <f>(S28*100)/S$8</f>
        <v/>
      </c>
      <c r="U28" s="23">
        <f>+'R314 M '!C28</f>
        <v/>
      </c>
      <c r="V28" s="17">
        <f>(U28*100)/U$8</f>
        <v/>
      </c>
      <c r="W28" s="23">
        <f>+'LYSE M '!C28</f>
        <v/>
      </c>
      <c r="X28" s="17">
        <f>(W28*100)/W$8</f>
        <v/>
      </c>
      <c r="Y28" s="23">
        <f>+'ARTHUR M '!C28</f>
        <v/>
      </c>
      <c r="Z28" s="17">
        <f>(Y28*100)/Y$8</f>
        <v/>
      </c>
      <c r="AA28" s="23">
        <f>+'HUGO M '!C28</f>
        <v/>
      </c>
      <c r="AB28" s="17">
        <f>(AA28*100)/AA$8</f>
        <v/>
      </c>
      <c r="AC28" s="23">
        <f>+'JEANCLO M '!C28</f>
        <v/>
      </c>
      <c r="AD28" s="17">
        <f>(AC28*100)/AC$8</f>
        <v/>
      </c>
      <c r="AE28" s="23">
        <f>+'THOMAS M'!G28</f>
        <v/>
      </c>
      <c r="AF28" s="17">
        <f>(AE28*100)/AE$8</f>
        <v/>
      </c>
      <c r="AG28" s="23">
        <f>+'CATALINA M'!G28</f>
        <v/>
      </c>
      <c r="AH28" s="17">
        <f>(AG28*100)/AG$8</f>
        <v/>
      </c>
      <c r="AI28" s="23">
        <f>+C28+E28+G28+I28+K28+M28+O28+Q28+S28+U28+W28+Y28+AA28+AC28+AE28+AG28</f>
        <v/>
      </c>
      <c r="AJ28" s="17">
        <f>(AI28*100)/AI$8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+'GLR5 M'!C29</f>
        <v/>
      </c>
      <c r="D29" s="17">
        <f>(C29*100)/C$8</f>
        <v/>
      </c>
      <c r="E29" s="23">
        <f>+'HTR8 M'!C29</f>
        <v/>
      </c>
      <c r="F29" s="17">
        <f>(E29*100)/E$8</f>
        <v/>
      </c>
      <c r="G29" s="23">
        <f>+'TIRR M'!C29</f>
        <v/>
      </c>
      <c r="H29" s="17">
        <f>(G29*100)/G$8</f>
        <v/>
      </c>
      <c r="I29" s="23">
        <f>+'VR7 M '!C29</f>
        <v/>
      </c>
      <c r="J29" s="17">
        <f>(I29*100)/I$8</f>
        <v/>
      </c>
      <c r="K29" s="23">
        <f>+'TURVILLA M'!C29</f>
        <v/>
      </c>
      <c r="L29" s="17">
        <f>(K29*100)/K$8</f>
        <v/>
      </c>
      <c r="M29" s="23">
        <f>+'HART M'!C29</f>
        <v/>
      </c>
      <c r="N29" s="17">
        <f>(M29*100)/M$8</f>
        <v/>
      </c>
      <c r="O29" s="23">
        <f>+'VICTOIRE M'!C29</f>
        <v/>
      </c>
      <c r="P29" s="17">
        <f>(O29*100)/O$8</f>
        <v/>
      </c>
      <c r="Q29" s="23">
        <f>+'TH4 M '!C29</f>
        <v/>
      </c>
      <c r="R29" s="17">
        <f>(Q29*100)/Q$8</f>
        <v/>
      </c>
      <c r="S29" s="23">
        <f>+'DIVES M'!C29</f>
        <v/>
      </c>
      <c r="T29" s="17">
        <f>(S29*100)/S$8</f>
        <v/>
      </c>
      <c r="U29" s="23">
        <f>+'R314 M '!C29</f>
        <v/>
      </c>
      <c r="V29" s="17">
        <f>(U29*100)/U$8</f>
        <v/>
      </c>
      <c r="W29" s="23">
        <f>+'LYSE M '!C29</f>
        <v/>
      </c>
      <c r="X29" s="17">
        <f>(W29*100)/W$8</f>
        <v/>
      </c>
      <c r="Y29" s="23">
        <f>+'ARTHUR M '!C29</f>
        <v/>
      </c>
      <c r="Z29" s="17">
        <f>(Y29*100)/Y$8</f>
        <v/>
      </c>
      <c r="AA29" s="23">
        <f>+'HUGO M '!C29</f>
        <v/>
      </c>
      <c r="AB29" s="17">
        <f>(AA29*100)/AA$8</f>
        <v/>
      </c>
      <c r="AC29" s="23">
        <f>+'JEANCLO M '!C29</f>
        <v/>
      </c>
      <c r="AD29" s="17">
        <f>(AC29*100)/AC$8</f>
        <v/>
      </c>
      <c r="AE29" s="23">
        <f>+'THOMAS M'!G29</f>
        <v/>
      </c>
      <c r="AF29" s="17">
        <f>(AE29*100)/AE$8</f>
        <v/>
      </c>
      <c r="AG29" s="23">
        <f>+'CATALINA M'!G29</f>
        <v/>
      </c>
      <c r="AH29" s="17">
        <f>(AG29*100)/AG$8</f>
        <v/>
      </c>
      <c r="AI29" s="23">
        <f>+C29+E29+G29+I29+K29+M29+O29+Q29+S29+U29+W29+Y29+AA29+AC29+AE29+AG29</f>
        <v/>
      </c>
      <c r="AJ29" s="17">
        <f>(AI29*100)/AI$8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+'GLR5 M'!C30</f>
        <v/>
      </c>
      <c r="D30" s="17">
        <f>(C30*100)/C$8</f>
        <v/>
      </c>
      <c r="E30" s="23">
        <f>+'HTR8 M'!C30</f>
        <v/>
      </c>
      <c r="F30" s="17">
        <f>(E30*100)/E$8</f>
        <v/>
      </c>
      <c r="G30" s="23">
        <f>+'TIRR M'!C30</f>
        <v/>
      </c>
      <c r="H30" s="17">
        <f>(G30*100)/G$8</f>
        <v/>
      </c>
      <c r="I30" s="23">
        <f>+'VR7 M '!C30</f>
        <v/>
      </c>
      <c r="J30" s="17">
        <f>(I30*100)/I$8</f>
        <v/>
      </c>
      <c r="K30" s="23">
        <f>+'TURVILLA M'!C30</f>
        <v/>
      </c>
      <c r="L30" s="17">
        <f>(K30*100)/K$8</f>
        <v/>
      </c>
      <c r="M30" s="23">
        <f>+'HART M'!C30</f>
        <v/>
      </c>
      <c r="N30" s="17">
        <f>(M30*100)/M$8</f>
        <v/>
      </c>
      <c r="O30" s="23">
        <f>+'VICTOIRE M'!C30</f>
        <v/>
      </c>
      <c r="P30" s="17">
        <f>(O30*100)/O$8</f>
        <v/>
      </c>
      <c r="Q30" s="23">
        <f>+'TH4 M '!C30</f>
        <v/>
      </c>
      <c r="R30" s="17">
        <f>(Q30*100)/Q$8</f>
        <v/>
      </c>
      <c r="S30" s="23">
        <f>+'DIVES M'!C30</f>
        <v/>
      </c>
      <c r="T30" s="17">
        <f>(S30*100)/S$8</f>
        <v/>
      </c>
      <c r="U30" s="23">
        <f>+'R314 M '!C30</f>
        <v/>
      </c>
      <c r="V30" s="17">
        <f>(U30*100)/U$8</f>
        <v/>
      </c>
      <c r="W30" s="23">
        <f>+'LYSE M '!C30</f>
        <v/>
      </c>
      <c r="X30" s="17">
        <f>(W30*100)/W$8</f>
        <v/>
      </c>
      <c r="Y30" s="23">
        <f>+'ARTHUR M '!C30</f>
        <v/>
      </c>
      <c r="Z30" s="17">
        <f>(Y30*100)/Y$8</f>
        <v/>
      </c>
      <c r="AA30" s="23">
        <f>+'HUGO M '!C30</f>
        <v/>
      </c>
      <c r="AB30" s="17">
        <f>(AA30*100)/AA$8</f>
        <v/>
      </c>
      <c r="AC30" s="23">
        <f>+'JEANCLO M '!C30</f>
        <v/>
      </c>
      <c r="AD30" s="17">
        <f>(AC30*100)/AC$8</f>
        <v/>
      </c>
      <c r="AE30" s="23">
        <f>+'THOMAS M'!G30</f>
        <v/>
      </c>
      <c r="AF30" s="17">
        <f>(AE30*100)/AE$8</f>
        <v/>
      </c>
      <c r="AG30" s="23">
        <f>+'CATALINA M'!G30</f>
        <v/>
      </c>
      <c r="AH30" s="17">
        <f>(AG30*100)/AG$8</f>
        <v/>
      </c>
      <c r="AI30" s="23">
        <f>+C30+E30+G30+I30+K30+M30+O30+Q30+S30+U30+W30+Y30+AA30+AC30+AE30+AG30</f>
        <v/>
      </c>
      <c r="AJ30" s="17">
        <f>(AI30*100)/AI$8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+'GLR5 M'!C31</f>
        <v/>
      </c>
      <c r="D31" s="17">
        <f>(C31*100)/C$8</f>
        <v/>
      </c>
      <c r="E31" s="23">
        <f>+'HTR8 M'!C31</f>
        <v/>
      </c>
      <c r="F31" s="17">
        <f>(E31*100)/E$8</f>
        <v/>
      </c>
      <c r="G31" s="23">
        <f>+'TIRR M'!C31</f>
        <v/>
      </c>
      <c r="H31" s="17">
        <f>(G31*100)/G$8</f>
        <v/>
      </c>
      <c r="I31" s="23">
        <f>+'VR7 M '!C31</f>
        <v/>
      </c>
      <c r="J31" s="17">
        <f>(I31*100)/I$8</f>
        <v/>
      </c>
      <c r="K31" s="23">
        <f>+'TURVILLA M'!C31</f>
        <v/>
      </c>
      <c r="L31" s="17">
        <f>(K31*100)/K$8</f>
        <v/>
      </c>
      <c r="M31" s="23">
        <f>+'HART M'!C31</f>
        <v/>
      </c>
      <c r="N31" s="17">
        <f>(M31*100)/M$8</f>
        <v/>
      </c>
      <c r="O31" s="23">
        <f>+'VICTOIRE M'!C31</f>
        <v/>
      </c>
      <c r="P31" s="17">
        <f>(O31*100)/O$8</f>
        <v/>
      </c>
      <c r="Q31" s="23">
        <f>+'TH4 M '!C31</f>
        <v/>
      </c>
      <c r="R31" s="17">
        <f>(Q31*100)/Q$8</f>
        <v/>
      </c>
      <c r="S31" s="23">
        <f>+'DIVES M'!C31</f>
        <v/>
      </c>
      <c r="T31" s="17">
        <f>(S31*100)/S$8</f>
        <v/>
      </c>
      <c r="U31" s="23">
        <f>+'R314 M '!C31</f>
        <v/>
      </c>
      <c r="V31" s="17">
        <f>(U31*100)/U$8</f>
        <v/>
      </c>
      <c r="W31" s="23">
        <f>+'LYSE M '!C31</f>
        <v/>
      </c>
      <c r="X31" s="17">
        <f>(W31*100)/W$8</f>
        <v/>
      </c>
      <c r="Y31" s="23">
        <f>+'ARTHUR M '!C31</f>
        <v/>
      </c>
      <c r="Z31" s="17">
        <f>(Y31*100)/Y$8</f>
        <v/>
      </c>
      <c r="AA31" s="23">
        <f>+'HUGO M '!C31</f>
        <v/>
      </c>
      <c r="AB31" s="17">
        <f>(AA31*100)/AA$8</f>
        <v/>
      </c>
      <c r="AC31" s="23">
        <f>+'JEANCLO M '!C31</f>
        <v/>
      </c>
      <c r="AD31" s="17">
        <f>(AC31*100)/AC$8</f>
        <v/>
      </c>
      <c r="AE31" s="23">
        <f>+'THOMAS M'!G31</f>
        <v/>
      </c>
      <c r="AF31" s="17">
        <f>(AE31*100)/AE$8</f>
        <v/>
      </c>
      <c r="AG31" s="23">
        <f>+'CATALINA M'!G31</f>
        <v/>
      </c>
      <c r="AH31" s="17">
        <f>(AG31*100)/AG$8</f>
        <v/>
      </c>
      <c r="AI31" s="23">
        <f>+C31+E31+G31+I31+K31+M31+O31+Q31+S31+U31+W31+Y31+AA31+AC31+AE31+AG31</f>
        <v/>
      </c>
      <c r="AJ31" s="17">
        <f>(AI31*100)/AI$8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+'GLR5 M'!C32</f>
        <v/>
      </c>
      <c r="D32" s="17">
        <f>(C32*100)/C$8</f>
        <v/>
      </c>
      <c r="E32" s="23">
        <f>+'HTR8 M'!C32</f>
        <v/>
      </c>
      <c r="F32" s="17">
        <f>(E32*100)/E$8</f>
        <v/>
      </c>
      <c r="G32" s="23">
        <f>+'TIRR M'!C32</f>
        <v/>
      </c>
      <c r="H32" s="17">
        <f>(G32*100)/G$8</f>
        <v/>
      </c>
      <c r="I32" s="23">
        <f>+'VR7 M '!C32</f>
        <v/>
      </c>
      <c r="J32" s="17">
        <f>(I32*100)/I$8</f>
        <v/>
      </c>
      <c r="K32" s="23">
        <f>+'TURVILLA M'!C32</f>
        <v/>
      </c>
      <c r="L32" s="17">
        <f>(K32*100)/K$8</f>
        <v/>
      </c>
      <c r="M32" s="23">
        <f>+'HART M'!C32</f>
        <v/>
      </c>
      <c r="N32" s="17">
        <f>(M32*100)/M$8</f>
        <v/>
      </c>
      <c r="O32" s="23">
        <f>+'VICTOIRE M'!C32</f>
        <v/>
      </c>
      <c r="P32" s="17">
        <f>(O32*100)/O$8</f>
        <v/>
      </c>
      <c r="Q32" s="23">
        <f>+'TH4 M '!C32</f>
        <v/>
      </c>
      <c r="R32" s="17">
        <f>(Q32*100)/Q$8</f>
        <v/>
      </c>
      <c r="S32" s="23">
        <f>+'DIVES M'!C32</f>
        <v/>
      </c>
      <c r="T32" s="17">
        <f>(S32*100)/S$8</f>
        <v/>
      </c>
      <c r="U32" s="23">
        <f>+'R314 M '!C32</f>
        <v/>
      </c>
      <c r="V32" s="17">
        <f>(U32*100)/U$8</f>
        <v/>
      </c>
      <c r="W32" s="23">
        <f>+'LYSE M '!C32</f>
        <v/>
      </c>
      <c r="X32" s="17">
        <f>(W32*100)/W$8</f>
        <v/>
      </c>
      <c r="Y32" s="23">
        <f>+'ARTHUR M '!C32</f>
        <v/>
      </c>
      <c r="Z32" s="17">
        <f>(Y32*100)/Y$8</f>
        <v/>
      </c>
      <c r="AA32" s="23">
        <f>+'HUGO M '!C32</f>
        <v/>
      </c>
      <c r="AB32" s="17">
        <f>(AA32*100)/AA$8</f>
        <v/>
      </c>
      <c r="AC32" s="23">
        <f>+'JEANCLO M '!C32</f>
        <v/>
      </c>
      <c r="AD32" s="17">
        <f>(AC32*100)/AC$8</f>
        <v/>
      </c>
      <c r="AE32" s="23">
        <f>+'THOMAS M'!G32</f>
        <v/>
      </c>
      <c r="AF32" s="17">
        <f>(AE32*100)/AE$8</f>
        <v/>
      </c>
      <c r="AG32" s="23">
        <f>+'CATALINA M'!G32</f>
        <v/>
      </c>
      <c r="AH32" s="17">
        <f>(AG32*100)/AG$8</f>
        <v/>
      </c>
      <c r="AI32" s="23">
        <f>+C32+E32+G32+I32+K32+M32+O32+Q32+S32+U32+W32+Y32+AA32+AC32+AE32+AG32</f>
        <v/>
      </c>
      <c r="AJ32" s="17">
        <f>(AI32*100)/AI$8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+'GLR5 M'!C33</f>
        <v/>
      </c>
      <c r="D33" s="50">
        <f>(C33*100)/C$8</f>
        <v/>
      </c>
      <c r="E33" s="49">
        <f>+'HTR8 M'!C33</f>
        <v/>
      </c>
      <c r="F33" s="50">
        <f>(E33*100)/E$8</f>
        <v/>
      </c>
      <c r="G33" s="49">
        <f>+'TIRR M'!C33</f>
        <v/>
      </c>
      <c r="H33" s="50">
        <f>(G33*100)/G$8</f>
        <v/>
      </c>
      <c r="I33" s="49">
        <f>+'VR7 M '!C33</f>
        <v/>
      </c>
      <c r="J33" s="50">
        <f>(I33*100)/I$8</f>
        <v/>
      </c>
      <c r="K33" s="49">
        <f>+'TURVILLA M'!C33</f>
        <v/>
      </c>
      <c r="L33" s="50">
        <f>(K33*100)/K$8</f>
        <v/>
      </c>
      <c r="M33" s="49">
        <f>+'HART M'!C33</f>
        <v/>
      </c>
      <c r="N33" s="50">
        <f>(M33*100)/M$8</f>
        <v/>
      </c>
      <c r="O33" s="49">
        <f>+'VICTOIRE M'!C33</f>
        <v/>
      </c>
      <c r="P33" s="50">
        <f>(O33*100)/O$8</f>
        <v/>
      </c>
      <c r="Q33" s="49">
        <f>+'TH4 M '!C33</f>
        <v/>
      </c>
      <c r="R33" s="50">
        <f>(Q33*100)/Q$8</f>
        <v/>
      </c>
      <c r="S33" s="49">
        <f>+'DIVES M'!C33</f>
        <v/>
      </c>
      <c r="T33" s="50">
        <f>(S33*100)/S$8</f>
        <v/>
      </c>
      <c r="U33" s="49">
        <f>+'R314 M '!C33</f>
        <v/>
      </c>
      <c r="V33" s="50">
        <f>(U33*100)/U$8</f>
        <v/>
      </c>
      <c r="W33" s="49">
        <f>+'LYSE M '!C33</f>
        <v/>
      </c>
      <c r="X33" s="50">
        <f>(W33*100)/W$8</f>
        <v/>
      </c>
      <c r="Y33" s="49">
        <f>+'ARTHUR M '!C33</f>
        <v/>
      </c>
      <c r="Z33" s="50">
        <f>(Y33*100)/Y$8</f>
        <v/>
      </c>
      <c r="AA33" s="49">
        <f>+'HUGO M '!C33</f>
        <v/>
      </c>
      <c r="AB33" s="50">
        <f>(AA33*100)/AA$8</f>
        <v/>
      </c>
      <c r="AC33" s="49">
        <f>+'JEANCLO M '!C33</f>
        <v/>
      </c>
      <c r="AD33" s="50">
        <f>(AC33*100)/AC$8</f>
        <v/>
      </c>
      <c r="AE33" s="49">
        <f>+'THOMAS M'!G33</f>
        <v/>
      </c>
      <c r="AF33" s="50">
        <f>(AE33*100)/AE$8</f>
        <v/>
      </c>
      <c r="AG33" s="49">
        <f>+'CATALINA M'!G33</f>
        <v/>
      </c>
      <c r="AH33" s="50">
        <f>(AG33*100)/AG$8</f>
        <v/>
      </c>
      <c r="AI33" s="49">
        <f>+C33+E33+G33+I33+K33+M33+O33+Q33+S33+U33+W33+Y33+AA33+AC33+AE33+AG33</f>
        <v/>
      </c>
      <c r="AJ33" s="50">
        <f>(AI33*100)/AI$8</f>
        <v/>
      </c>
    </row>
    <row r="34" ht="7.15" customHeight="1" s="161" thickTop="1">
      <c r="A34" s="435" t="n"/>
      <c r="B34" s="443" t="n"/>
      <c r="C34" s="388" t="n"/>
      <c r="D34" s="10" t="n"/>
      <c r="E34" s="388" t="n"/>
      <c r="F34" s="10" t="n"/>
      <c r="G34" s="388" t="n"/>
      <c r="H34" s="10" t="n"/>
      <c r="I34" s="388" t="n"/>
      <c r="J34" s="10" t="n"/>
      <c r="K34" s="388" t="n"/>
      <c r="L34" s="10" t="n"/>
      <c r="M34" s="388" t="n"/>
      <c r="N34" s="10" t="n"/>
      <c r="O34" s="388" t="n"/>
      <c r="P34" s="10" t="n"/>
      <c r="Q34" s="388" t="n"/>
      <c r="R34" s="10" t="n"/>
      <c r="S34" s="388" t="n"/>
      <c r="T34" s="10" t="n"/>
      <c r="U34" s="388" t="n"/>
      <c r="V34" s="10" t="n"/>
      <c r="W34" s="388" t="n"/>
      <c r="X34" s="10" t="n"/>
      <c r="Y34" s="388" t="n"/>
      <c r="Z34" s="10" t="n"/>
      <c r="AA34" s="388" t="n"/>
      <c r="AB34" s="10" t="n"/>
      <c r="AC34" s="388" t="n"/>
      <c r="AD34" s="10" t="n"/>
      <c r="AE34" s="388" t="n"/>
      <c r="AF34" s="10" t="n"/>
      <c r="AG34" s="388" t="n"/>
      <c r="AH34" s="10" t="n"/>
      <c r="AI34" s="388" t="n"/>
      <c r="AJ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+'GLR5 M'!C35</f>
        <v/>
      </c>
      <c r="D35" s="17">
        <f>(C35*100)/C$8</f>
        <v/>
      </c>
      <c r="E35" s="23">
        <f>+'HTR8 M'!C35</f>
        <v/>
      </c>
      <c r="F35" s="17">
        <f>(E35*100)/E$8</f>
        <v/>
      </c>
      <c r="G35" s="23">
        <f>+'TIRR M'!C35</f>
        <v/>
      </c>
      <c r="H35" s="17">
        <f>(G35*100)/G$8</f>
        <v/>
      </c>
      <c r="I35" s="23">
        <f>+'VR7 M '!C35</f>
        <v/>
      </c>
      <c r="J35" s="17">
        <f>(I35*100)/I$8</f>
        <v/>
      </c>
      <c r="K35" s="23">
        <f>+'TURVILLA M'!C35</f>
        <v/>
      </c>
      <c r="L35" s="17">
        <f>(K35*100)/K$8</f>
        <v/>
      </c>
      <c r="M35" s="23">
        <f>+'HART M'!C35</f>
        <v/>
      </c>
      <c r="N35" s="17">
        <f>(M35*100)/M$8</f>
        <v/>
      </c>
      <c r="O35" s="23">
        <f>+'VICTOIRE M'!C35</f>
        <v/>
      </c>
      <c r="P35" s="17">
        <f>(O35*100)/O$8</f>
        <v/>
      </c>
      <c r="Q35" s="23">
        <f>+'TH4 M '!C35</f>
        <v/>
      </c>
      <c r="R35" s="17">
        <f>(Q35*100)/Q$8</f>
        <v/>
      </c>
      <c r="S35" s="23">
        <f>+'DIVES M'!C35</f>
        <v/>
      </c>
      <c r="T35" s="17">
        <f>(S35*100)/S$8</f>
        <v/>
      </c>
      <c r="U35" s="23">
        <f>+'R314 M '!C35</f>
        <v/>
      </c>
      <c r="V35" s="17">
        <f>(U35*100)/U$8</f>
        <v/>
      </c>
      <c r="W35" s="23">
        <f>+'LYSE M '!C35</f>
        <v/>
      </c>
      <c r="X35" s="17">
        <f>(W35*100)/W$8</f>
        <v/>
      </c>
      <c r="Y35" s="23">
        <f>+'ARTHUR M '!C35</f>
        <v/>
      </c>
      <c r="Z35" s="17">
        <f>(Y35*100)/Y$8</f>
        <v/>
      </c>
      <c r="AA35" s="23">
        <f>+'HUGO M '!C35</f>
        <v/>
      </c>
      <c r="AB35" s="17">
        <f>(AA35*100)/AA$8</f>
        <v/>
      </c>
      <c r="AC35" s="23">
        <f>+'JEANCLO M '!C35</f>
        <v/>
      </c>
      <c r="AD35" s="17">
        <f>(AC35*100)/AC$8</f>
        <v/>
      </c>
      <c r="AE35" s="23">
        <f>+'THOMAS M'!G35</f>
        <v/>
      </c>
      <c r="AF35" s="17">
        <f>(AE35*100)/AE$8</f>
        <v/>
      </c>
      <c r="AG35" s="23">
        <f>+'CATALINA M'!G35</f>
        <v/>
      </c>
      <c r="AH35" s="17">
        <f>(AG35*100)/AG$8</f>
        <v/>
      </c>
      <c r="AI35" s="23">
        <f>+C35+E35+G35+I35+K35+M35+O35+Q35+S35+U35+W35+Y35+AA35+AC35+AE35+AG35</f>
        <v/>
      </c>
      <c r="AJ35" s="17">
        <f>(AI35*100)/AI$8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+'GLR5 M'!C36</f>
        <v/>
      </c>
      <c r="D36" s="17">
        <f>(C36*100)/C$8</f>
        <v/>
      </c>
      <c r="E36" s="23">
        <f>+'HTR8 M'!C36</f>
        <v/>
      </c>
      <c r="F36" s="17">
        <f>(E36*100)/E$8</f>
        <v/>
      </c>
      <c r="G36" s="23">
        <f>+'TIRR M'!C36</f>
        <v/>
      </c>
      <c r="H36" s="17">
        <f>(G36*100)/G$8</f>
        <v/>
      </c>
      <c r="I36" s="23">
        <f>+'VR7 M '!C36</f>
        <v/>
      </c>
      <c r="J36" s="17">
        <f>(I36*100)/I$8</f>
        <v/>
      </c>
      <c r="K36" s="23">
        <f>+'TURVILLA M'!C36</f>
        <v/>
      </c>
      <c r="L36" s="17">
        <f>(K36*100)/K$8</f>
        <v/>
      </c>
      <c r="M36" s="23">
        <f>+'HART M'!C36</f>
        <v/>
      </c>
      <c r="N36" s="17">
        <f>(M36*100)/M$8</f>
        <v/>
      </c>
      <c r="O36" s="23">
        <f>+'VICTOIRE M'!C36</f>
        <v/>
      </c>
      <c r="P36" s="17">
        <f>(O36*100)/O$8</f>
        <v/>
      </c>
      <c r="Q36" s="23">
        <f>+'TH4 M '!C36</f>
        <v/>
      </c>
      <c r="R36" s="17">
        <f>(Q36*100)/Q$8</f>
        <v/>
      </c>
      <c r="S36" s="23">
        <f>+'DIVES M'!C36</f>
        <v/>
      </c>
      <c r="T36" s="17">
        <f>(S36*100)/S$8</f>
        <v/>
      </c>
      <c r="U36" s="23">
        <f>+'R314 M '!C36</f>
        <v/>
      </c>
      <c r="V36" s="17">
        <f>(U36*100)/U$8</f>
        <v/>
      </c>
      <c r="W36" s="23">
        <f>+'LYSE M '!C36</f>
        <v/>
      </c>
      <c r="X36" s="17">
        <f>(W36*100)/W$8</f>
        <v/>
      </c>
      <c r="Y36" s="23">
        <f>+'ARTHUR M '!C36</f>
        <v/>
      </c>
      <c r="Z36" s="17">
        <f>(Y36*100)/Y$8</f>
        <v/>
      </c>
      <c r="AA36" s="23">
        <f>+'HUGO M '!C36</f>
        <v/>
      </c>
      <c r="AB36" s="17">
        <f>(AA36*100)/AA$8</f>
        <v/>
      </c>
      <c r="AC36" s="23">
        <f>+'JEANCLO M '!C36</f>
        <v/>
      </c>
      <c r="AD36" s="17">
        <f>(AC36*100)/AC$8</f>
        <v/>
      </c>
      <c r="AE36" s="23">
        <f>+'THOMAS M'!G36</f>
        <v/>
      </c>
      <c r="AF36" s="17">
        <f>(AE36*100)/AE$8</f>
        <v/>
      </c>
      <c r="AG36" s="23">
        <f>+'CATALINA M'!G36</f>
        <v/>
      </c>
      <c r="AH36" s="17">
        <f>(AG36*100)/AG$8</f>
        <v/>
      </c>
      <c r="AI36" s="23">
        <f>+C36+E36+G36+I36+K36+M36+O36+Q36+S36+U36+W36+Y36+AA36+AC36+AE36+AG36</f>
        <v/>
      </c>
      <c r="AJ36" s="17">
        <f>(AI36*100)/AI$8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+'GLR5 M'!C37</f>
        <v/>
      </c>
      <c r="D37" s="17">
        <f>(C37*100)/C$8</f>
        <v/>
      </c>
      <c r="E37" s="23">
        <f>+'HTR8 M'!C37</f>
        <v/>
      </c>
      <c r="F37" s="17">
        <f>(E37*100)/E$8</f>
        <v/>
      </c>
      <c r="G37" s="23">
        <f>+'TIRR M'!C37</f>
        <v/>
      </c>
      <c r="H37" s="17">
        <f>(G37*100)/G$8</f>
        <v/>
      </c>
      <c r="I37" s="23">
        <f>+'VR7 M '!C37</f>
        <v/>
      </c>
      <c r="J37" s="17">
        <f>(I37*100)/I$8</f>
        <v/>
      </c>
      <c r="K37" s="23">
        <f>+'TURVILLA M'!C37</f>
        <v/>
      </c>
      <c r="L37" s="17">
        <f>(K37*100)/K$8</f>
        <v/>
      </c>
      <c r="M37" s="23">
        <f>+'HART M'!C37</f>
        <v/>
      </c>
      <c r="N37" s="17">
        <f>(M37*100)/M$8</f>
        <v/>
      </c>
      <c r="O37" s="23">
        <f>+'VICTOIRE M'!C37</f>
        <v/>
      </c>
      <c r="P37" s="17">
        <f>(O37*100)/O$8</f>
        <v/>
      </c>
      <c r="Q37" s="23">
        <f>+'TH4 M '!C37</f>
        <v/>
      </c>
      <c r="R37" s="17">
        <f>(Q37*100)/Q$8</f>
        <v/>
      </c>
      <c r="S37" s="23">
        <f>+'DIVES M'!C37</f>
        <v/>
      </c>
      <c r="T37" s="17">
        <f>(S37*100)/S$8</f>
        <v/>
      </c>
      <c r="U37" s="23">
        <f>+'R314 M '!C37</f>
        <v/>
      </c>
      <c r="V37" s="17">
        <f>(U37*100)/U$8</f>
        <v/>
      </c>
      <c r="W37" s="23">
        <f>+'LYSE M '!C37</f>
        <v/>
      </c>
      <c r="X37" s="17">
        <f>(W37*100)/W$8</f>
        <v/>
      </c>
      <c r="Y37" s="23">
        <f>+'ARTHUR M '!C37</f>
        <v/>
      </c>
      <c r="Z37" s="17">
        <f>(Y37*100)/Y$8</f>
        <v/>
      </c>
      <c r="AA37" s="23">
        <f>+'HUGO M '!C37</f>
        <v/>
      </c>
      <c r="AB37" s="17">
        <f>(AA37*100)/AA$8</f>
        <v/>
      </c>
      <c r="AC37" s="23">
        <f>+'JEANCLO M '!C37</f>
        <v/>
      </c>
      <c r="AD37" s="17">
        <f>(AC37*100)/AC$8</f>
        <v/>
      </c>
      <c r="AE37" s="23">
        <f>+'THOMAS M'!G37</f>
        <v/>
      </c>
      <c r="AF37" s="17">
        <f>(AE37*100)/AE$8</f>
        <v/>
      </c>
      <c r="AG37" s="23">
        <f>+'CATALINA M'!G37</f>
        <v/>
      </c>
      <c r="AH37" s="17">
        <f>(AG37*100)/AG$8</f>
        <v/>
      </c>
      <c r="AI37" s="23">
        <f>+C37+E37+G37+I37+K37+M37+O37+Q37+S37+U37+W37+Y37+AA37+AC37+AE37+AG37</f>
        <v/>
      </c>
      <c r="AJ37" s="17">
        <f>(AI37*100)/AI$8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+'GLR5 M'!C38</f>
        <v/>
      </c>
      <c r="D38" s="17">
        <f>(C38*100)/C$8</f>
        <v/>
      </c>
      <c r="E38" s="23">
        <f>+'HTR8 M'!C38</f>
        <v/>
      </c>
      <c r="F38" s="17">
        <f>(E38*100)/E$8</f>
        <v/>
      </c>
      <c r="G38" s="23">
        <f>+'TIRR M'!C38</f>
        <v/>
      </c>
      <c r="H38" s="17">
        <f>(G38*100)/G$8</f>
        <v/>
      </c>
      <c r="I38" s="23">
        <f>+'VR7 M '!C38</f>
        <v/>
      </c>
      <c r="J38" s="17">
        <f>(I38*100)/I$8</f>
        <v/>
      </c>
      <c r="K38" s="23">
        <f>+'TURVILLA M'!C38</f>
        <v/>
      </c>
      <c r="L38" s="17">
        <f>(K38*100)/K$8</f>
        <v/>
      </c>
      <c r="M38" s="23">
        <f>+'HART M'!C38</f>
        <v/>
      </c>
      <c r="N38" s="17">
        <f>(M38*100)/M$8</f>
        <v/>
      </c>
      <c r="O38" s="23">
        <f>+'VICTOIRE M'!C38</f>
        <v/>
      </c>
      <c r="P38" s="17">
        <f>(O38*100)/O$8</f>
        <v/>
      </c>
      <c r="Q38" s="23">
        <f>+'TH4 M '!C38</f>
        <v/>
      </c>
      <c r="R38" s="17">
        <f>(Q38*100)/Q$8</f>
        <v/>
      </c>
      <c r="S38" s="23">
        <f>+'DIVES M'!C38</f>
        <v/>
      </c>
      <c r="T38" s="17">
        <f>(S38*100)/S$8</f>
        <v/>
      </c>
      <c r="U38" s="23">
        <f>+'R314 M '!C38</f>
        <v/>
      </c>
      <c r="V38" s="17">
        <f>(U38*100)/U$8</f>
        <v/>
      </c>
      <c r="W38" s="23">
        <f>+'LYSE M '!C38</f>
        <v/>
      </c>
      <c r="X38" s="17">
        <f>(W38*100)/W$8</f>
        <v/>
      </c>
      <c r="Y38" s="23">
        <f>+'ARTHUR M '!C38</f>
        <v/>
      </c>
      <c r="Z38" s="17">
        <f>(Y38*100)/Y$8</f>
        <v/>
      </c>
      <c r="AA38" s="23">
        <f>+'HUGO M '!C38</f>
        <v/>
      </c>
      <c r="AB38" s="17">
        <f>(AA38*100)/AA$8</f>
        <v/>
      </c>
      <c r="AC38" s="23">
        <f>+'JEANCLO M '!C38</f>
        <v/>
      </c>
      <c r="AD38" s="17">
        <f>(AC38*100)/AC$8</f>
        <v/>
      </c>
      <c r="AE38" s="23">
        <f>+'THOMAS M'!G38</f>
        <v/>
      </c>
      <c r="AF38" s="17">
        <f>(AE38*100)/AE$8</f>
        <v/>
      </c>
      <c r="AG38" s="23">
        <f>+'CATALINA M'!G38</f>
        <v/>
      </c>
      <c r="AH38" s="17">
        <f>(AG38*100)/AG$8</f>
        <v/>
      </c>
      <c r="AI38" s="23">
        <f>+C38+E38+G38+I38+K38+M38+O38+Q38+S38+U38+W38+Y38+AA38+AC38+AE38+AG38</f>
        <v/>
      </c>
      <c r="AJ38" s="17">
        <f>(AI38*100)/AI$8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+'GLR5 M'!C39</f>
        <v/>
      </c>
      <c r="D39" s="17">
        <f>(C39*100)/C$8</f>
        <v/>
      </c>
      <c r="E39" s="23">
        <f>+'HTR8 M'!C39</f>
        <v/>
      </c>
      <c r="F39" s="17">
        <f>(E39*100)/E$8</f>
        <v/>
      </c>
      <c r="G39" s="23">
        <f>+'TIRR M'!C39</f>
        <v/>
      </c>
      <c r="H39" s="17">
        <f>(G39*100)/G$8</f>
        <v/>
      </c>
      <c r="I39" s="23">
        <f>+'VR7 M '!C39</f>
        <v/>
      </c>
      <c r="J39" s="17">
        <f>(I39*100)/I$8</f>
        <v/>
      </c>
      <c r="K39" s="23">
        <f>+'TURVILLA M'!C39</f>
        <v/>
      </c>
      <c r="L39" s="17">
        <f>(K39*100)/K$8</f>
        <v/>
      </c>
      <c r="M39" s="23">
        <f>+'HART M'!C39</f>
        <v/>
      </c>
      <c r="N39" s="17">
        <f>(M39*100)/M$8</f>
        <v/>
      </c>
      <c r="O39" s="23">
        <f>+'VICTOIRE M'!C39</f>
        <v/>
      </c>
      <c r="P39" s="17">
        <f>(O39*100)/O$8</f>
        <v/>
      </c>
      <c r="Q39" s="23">
        <f>+'TH4 M '!C39</f>
        <v/>
      </c>
      <c r="R39" s="17">
        <f>(Q39*100)/Q$8</f>
        <v/>
      </c>
      <c r="S39" s="23">
        <f>+'DIVES M'!C39</f>
        <v/>
      </c>
      <c r="T39" s="17">
        <f>(S39*100)/S$8</f>
        <v/>
      </c>
      <c r="U39" s="23">
        <f>+'R314 M '!C39</f>
        <v/>
      </c>
      <c r="V39" s="17">
        <f>(U39*100)/U$8</f>
        <v/>
      </c>
      <c r="W39" s="23">
        <f>+'LYSE M '!C39</f>
        <v/>
      </c>
      <c r="X39" s="17">
        <f>(W39*100)/W$8</f>
        <v/>
      </c>
      <c r="Y39" s="23">
        <f>+'ARTHUR M '!C39</f>
        <v/>
      </c>
      <c r="Z39" s="17">
        <f>(Y39*100)/Y$8</f>
        <v/>
      </c>
      <c r="AA39" s="23">
        <f>+'HUGO M '!C39</f>
        <v/>
      </c>
      <c r="AB39" s="17">
        <f>(AA39*100)/AA$8</f>
        <v/>
      </c>
      <c r="AC39" s="23">
        <f>+'JEANCLO M '!C39</f>
        <v/>
      </c>
      <c r="AD39" s="17">
        <f>(AC39*100)/AC$8</f>
        <v/>
      </c>
      <c r="AE39" s="23">
        <f>+'THOMAS M'!G39</f>
        <v/>
      </c>
      <c r="AF39" s="17">
        <f>(AE39*100)/AE$8</f>
        <v/>
      </c>
      <c r="AG39" s="23">
        <f>+'CATALINA M'!G39</f>
        <v/>
      </c>
      <c r="AH39" s="17">
        <f>(AG39*100)/AG$8</f>
        <v/>
      </c>
      <c r="AI39" s="23">
        <f>+C39+E39+G39+I39+K39+M39+O39+Q39+S39+U39+W39+Y39+AA39+AC39+AE39+AG39</f>
        <v/>
      </c>
      <c r="AJ39" s="17">
        <f>(AI39*100)/AI$8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+'GLR5 M'!C40</f>
        <v/>
      </c>
      <c r="D40" s="17">
        <f>(C40*100)/C$8</f>
        <v/>
      </c>
      <c r="E40" s="23">
        <f>+'HTR8 M'!C40</f>
        <v/>
      </c>
      <c r="F40" s="17">
        <f>(E40*100)/E$8</f>
        <v/>
      </c>
      <c r="G40" s="23">
        <f>+'TIRR M'!C40</f>
        <v/>
      </c>
      <c r="H40" s="17">
        <f>(G40*100)/G$8</f>
        <v/>
      </c>
      <c r="I40" s="23">
        <f>+'VR7 M '!C40</f>
        <v/>
      </c>
      <c r="J40" s="17">
        <f>(I40*100)/I$8</f>
        <v/>
      </c>
      <c r="K40" s="23">
        <f>+'TURVILLA M'!C40</f>
        <v/>
      </c>
      <c r="L40" s="17">
        <f>(K40*100)/K$8</f>
        <v/>
      </c>
      <c r="M40" s="23">
        <f>+'HART M'!C40</f>
        <v/>
      </c>
      <c r="N40" s="17">
        <f>(M40*100)/M$8</f>
        <v/>
      </c>
      <c r="O40" s="23">
        <f>+'VICTOIRE M'!C40</f>
        <v/>
      </c>
      <c r="P40" s="17">
        <f>(O40*100)/O$8</f>
        <v/>
      </c>
      <c r="Q40" s="23">
        <f>+'TH4 M '!C40</f>
        <v/>
      </c>
      <c r="R40" s="17">
        <f>(Q40*100)/Q$8</f>
        <v/>
      </c>
      <c r="S40" s="23">
        <f>+'DIVES M'!C40</f>
        <v/>
      </c>
      <c r="T40" s="17">
        <f>(S40*100)/S$8</f>
        <v/>
      </c>
      <c r="U40" s="23">
        <f>+'R314 M '!C40</f>
        <v/>
      </c>
      <c r="V40" s="17">
        <f>(U40*100)/U$8</f>
        <v/>
      </c>
      <c r="W40" s="23">
        <f>+'LYSE M '!C40</f>
        <v/>
      </c>
      <c r="X40" s="17">
        <f>(W40*100)/W$8</f>
        <v/>
      </c>
      <c r="Y40" s="23">
        <f>+'ARTHUR M '!C40</f>
        <v/>
      </c>
      <c r="Z40" s="17">
        <f>(Y40*100)/Y$8</f>
        <v/>
      </c>
      <c r="AA40" s="23">
        <f>+'HUGO M '!C40</f>
        <v/>
      </c>
      <c r="AB40" s="17">
        <f>(AA40*100)/AA$8</f>
        <v/>
      </c>
      <c r="AC40" s="23">
        <f>+'JEANCLO M '!C40</f>
        <v/>
      </c>
      <c r="AD40" s="17">
        <f>(AC40*100)/AC$8</f>
        <v/>
      </c>
      <c r="AE40" s="23">
        <f>+'THOMAS M'!G40</f>
        <v/>
      </c>
      <c r="AF40" s="17">
        <f>(AE40*100)/AE$8</f>
        <v/>
      </c>
      <c r="AG40" s="23">
        <f>+'CATALINA M'!G40</f>
        <v/>
      </c>
      <c r="AH40" s="17">
        <f>(AG40*100)/AG$8</f>
        <v/>
      </c>
      <c r="AI40" s="23">
        <f>+C40+E40+G40+I40+K40+M40+O40+Q40+S40+U40+W40+Y40+AA40+AC40+AE40+AG40</f>
        <v/>
      </c>
      <c r="AJ40" s="17">
        <f>(AI40*100)/AI$8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+'GLR5 M'!C41</f>
        <v/>
      </c>
      <c r="D41" s="17">
        <f>(C41*100)/C$8</f>
        <v/>
      </c>
      <c r="E41" s="23">
        <f>+'HTR8 M'!C41</f>
        <v/>
      </c>
      <c r="F41" s="17">
        <f>(E41*100)/E$8</f>
        <v/>
      </c>
      <c r="G41" s="23">
        <f>+'TIRR M'!C41</f>
        <v/>
      </c>
      <c r="H41" s="17">
        <f>(G41*100)/G$8</f>
        <v/>
      </c>
      <c r="I41" s="23">
        <f>+'VR7 M '!C41</f>
        <v/>
      </c>
      <c r="J41" s="17">
        <f>(I41*100)/I$8</f>
        <v/>
      </c>
      <c r="K41" s="23">
        <f>+'TURVILLA M'!C41</f>
        <v/>
      </c>
      <c r="L41" s="17">
        <f>(K41*100)/K$8</f>
        <v/>
      </c>
      <c r="M41" s="23">
        <f>+'HART M'!C41</f>
        <v/>
      </c>
      <c r="N41" s="17">
        <f>(M41*100)/M$8</f>
        <v/>
      </c>
      <c r="O41" s="23">
        <f>+'VICTOIRE M'!C41</f>
        <v/>
      </c>
      <c r="P41" s="17">
        <f>(O41*100)/O$8</f>
        <v/>
      </c>
      <c r="Q41" s="23">
        <f>+'TH4 M '!C41</f>
        <v/>
      </c>
      <c r="R41" s="17">
        <f>(Q41*100)/Q$8</f>
        <v/>
      </c>
      <c r="S41" s="23">
        <f>+'DIVES M'!C41</f>
        <v/>
      </c>
      <c r="T41" s="17">
        <f>(S41*100)/S$8</f>
        <v/>
      </c>
      <c r="U41" s="23">
        <f>+'R314 M '!C41</f>
        <v/>
      </c>
      <c r="V41" s="17">
        <f>(U41*100)/U$8</f>
        <v/>
      </c>
      <c r="W41" s="23">
        <f>+'LYSE M '!C41</f>
        <v/>
      </c>
      <c r="X41" s="17">
        <f>(W41*100)/W$8</f>
        <v/>
      </c>
      <c r="Y41" s="23">
        <f>+'ARTHUR M '!C41</f>
        <v/>
      </c>
      <c r="Z41" s="17">
        <f>(Y41*100)/Y$8</f>
        <v/>
      </c>
      <c r="AA41" s="23">
        <f>+'HUGO M '!C41</f>
        <v/>
      </c>
      <c r="AB41" s="17">
        <f>(AA41*100)/AA$8</f>
        <v/>
      </c>
      <c r="AC41" s="23">
        <f>+'JEANCLO M '!C41</f>
        <v/>
      </c>
      <c r="AD41" s="17">
        <f>(AC41*100)/AC$8</f>
        <v/>
      </c>
      <c r="AE41" s="23">
        <f>+'THOMAS M'!G41</f>
        <v/>
      </c>
      <c r="AF41" s="17">
        <f>(AE41*100)/AE$8</f>
        <v/>
      </c>
      <c r="AG41" s="23">
        <f>+'CATALINA M'!G41</f>
        <v/>
      </c>
      <c r="AH41" s="17">
        <f>(AG41*100)/AG$8</f>
        <v/>
      </c>
      <c r="AI41" s="23">
        <f>+C41+E41+G41+I41+K41+M41+O41+Q41+S41+U41+W41+Y41+AA41+AC41+AE41+AG41</f>
        <v/>
      </c>
      <c r="AJ41" s="17">
        <f>(AI41*100)/AI$8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+'GLR5 M'!C42</f>
        <v/>
      </c>
      <c r="D42" s="50">
        <f>(C42*100)/C$8</f>
        <v/>
      </c>
      <c r="E42" s="49">
        <f>+'HTR8 M'!C42</f>
        <v/>
      </c>
      <c r="F42" s="50">
        <f>(E42*100)/E$8</f>
        <v/>
      </c>
      <c r="G42" s="49">
        <f>+'TIRR M'!C42</f>
        <v/>
      </c>
      <c r="H42" s="50">
        <f>(G42*100)/G$8</f>
        <v/>
      </c>
      <c r="I42" s="49">
        <f>+'VR7 M '!C42</f>
        <v/>
      </c>
      <c r="J42" s="50">
        <f>(I42*100)/I$8</f>
        <v/>
      </c>
      <c r="K42" s="49">
        <f>+'TURVILLA M'!C42</f>
        <v/>
      </c>
      <c r="L42" s="50">
        <f>(K42*100)/K$8</f>
        <v/>
      </c>
      <c r="M42" s="49">
        <f>+'HART M'!C42</f>
        <v/>
      </c>
      <c r="N42" s="50">
        <f>(M42*100)/M$8</f>
        <v/>
      </c>
      <c r="O42" s="49">
        <f>+'VICTOIRE M'!C42</f>
        <v/>
      </c>
      <c r="P42" s="50">
        <f>(O42*100)/O$8</f>
        <v/>
      </c>
      <c r="Q42" s="49">
        <f>+'TH4 M '!C42</f>
        <v/>
      </c>
      <c r="R42" s="50">
        <f>(Q42*100)/Q$8</f>
        <v/>
      </c>
      <c r="S42" s="49">
        <f>+'DIVES M'!C42</f>
        <v/>
      </c>
      <c r="T42" s="50">
        <f>(S42*100)/S$8</f>
        <v/>
      </c>
      <c r="U42" s="49">
        <f>+'R314 M '!C42</f>
        <v/>
      </c>
      <c r="V42" s="50">
        <f>(U42*100)/U$8</f>
        <v/>
      </c>
      <c r="W42" s="49">
        <f>+'LYSE M '!C42</f>
        <v/>
      </c>
      <c r="X42" s="50">
        <f>(W42*100)/W$8</f>
        <v/>
      </c>
      <c r="Y42" s="49">
        <f>+'ARTHUR M '!C42</f>
        <v/>
      </c>
      <c r="Z42" s="50">
        <f>(Y42*100)/Y$8</f>
        <v/>
      </c>
      <c r="AA42" s="49">
        <f>+'HUGO M '!C42</f>
        <v/>
      </c>
      <c r="AB42" s="50">
        <f>(AA42*100)/AA$8</f>
        <v/>
      </c>
      <c r="AC42" s="49">
        <f>+'JEANCLO M '!C42</f>
        <v/>
      </c>
      <c r="AD42" s="50">
        <f>(AC42*100)/AC$8</f>
        <v/>
      </c>
      <c r="AE42" s="49">
        <f>+'THOMAS M'!G42</f>
        <v/>
      </c>
      <c r="AF42" s="50">
        <f>(AE42*100)/AE$8</f>
        <v/>
      </c>
      <c r="AG42" s="49">
        <f>+'CATALINA M'!G42</f>
        <v/>
      </c>
      <c r="AH42" s="50">
        <f>(AG42*100)/AG$8</f>
        <v/>
      </c>
      <c r="AI42" s="49">
        <f>+C42+E42+G42+I42+K42+M42+O42+Q42+S42+U42+W42+Y42+AA42+AC42+AE42+AG42</f>
        <v/>
      </c>
      <c r="AJ42" s="50">
        <f>(AI42*100)/AI$8</f>
        <v/>
      </c>
    </row>
    <row r="43" ht="7.15" customHeight="1" s="161" thickTop="1">
      <c r="A43" s="13" t="n"/>
      <c r="B43" s="443" t="n"/>
      <c r="C43" s="388" t="n"/>
      <c r="D43" s="10" t="n"/>
      <c r="E43" s="388" t="n"/>
      <c r="F43" s="10" t="n"/>
      <c r="G43" s="388" t="n"/>
      <c r="H43" s="10" t="n"/>
      <c r="I43" s="388" t="n"/>
      <c r="J43" s="10" t="n"/>
      <c r="K43" s="388" t="n"/>
      <c r="L43" s="10" t="n"/>
      <c r="M43" s="388" t="n"/>
      <c r="N43" s="10" t="n"/>
      <c r="O43" s="388" t="n"/>
      <c r="P43" s="10" t="n"/>
      <c r="Q43" s="388" t="n"/>
      <c r="R43" s="10" t="n"/>
      <c r="S43" s="388" t="n"/>
      <c r="T43" s="10" t="n"/>
      <c r="U43" s="388" t="n"/>
      <c r="V43" s="10" t="n"/>
      <c r="W43" s="388" t="n"/>
      <c r="X43" s="10" t="n"/>
      <c r="Y43" s="388" t="n"/>
      <c r="Z43" s="10" t="n"/>
      <c r="AA43" s="388" t="n"/>
      <c r="AB43" s="10" t="n"/>
      <c r="AC43" s="388" t="n"/>
      <c r="AD43" s="10" t="n"/>
      <c r="AE43" s="388" t="n"/>
      <c r="AF43" s="10" t="n"/>
      <c r="AG43" s="388" t="n"/>
      <c r="AH43" s="10" t="n"/>
      <c r="AI43" s="388" t="n"/>
      <c r="AJ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+'GLR5 M'!C44</f>
        <v/>
      </c>
      <c r="D44" s="71">
        <f>(C44*100)/C$8</f>
        <v/>
      </c>
      <c r="E44" s="70">
        <f>+'HTR8 M'!C44</f>
        <v/>
      </c>
      <c r="F44" s="71">
        <f>(E44*100)/E$8</f>
        <v/>
      </c>
      <c r="G44" s="70">
        <f>+'TIRR M'!C44</f>
        <v/>
      </c>
      <c r="H44" s="71">
        <f>(G44*100)/G$8</f>
        <v/>
      </c>
      <c r="I44" s="70">
        <f>+'VR7 M '!C44</f>
        <v/>
      </c>
      <c r="J44" s="71">
        <f>(I44*100)/I$8</f>
        <v/>
      </c>
      <c r="K44" s="70">
        <f>+'TURVILLA M'!C44</f>
        <v/>
      </c>
      <c r="L44" s="71">
        <f>(K44*100)/K$8</f>
        <v/>
      </c>
      <c r="M44" s="70">
        <f>+'HART M'!C44</f>
        <v/>
      </c>
      <c r="N44" s="71">
        <f>(M44*100)/M$8</f>
        <v/>
      </c>
      <c r="O44" s="70">
        <f>+'VICTOIRE M'!C44</f>
        <v/>
      </c>
      <c r="P44" s="71">
        <f>(O44*100)/O$8</f>
        <v/>
      </c>
      <c r="Q44" s="70">
        <f>+'TH4 M '!C44</f>
        <v/>
      </c>
      <c r="R44" s="71">
        <f>(Q44*100)/Q$8</f>
        <v/>
      </c>
      <c r="S44" s="70">
        <f>+'DIVES M'!C44</f>
        <v/>
      </c>
      <c r="T44" s="71">
        <f>(S44*100)/S$8</f>
        <v/>
      </c>
      <c r="U44" s="70">
        <f>+'R314 M '!C44</f>
        <v/>
      </c>
      <c r="V44" s="71">
        <f>(U44*100)/U$8</f>
        <v/>
      </c>
      <c r="W44" s="70">
        <f>+'LYSE M '!C44</f>
        <v/>
      </c>
      <c r="X44" s="71">
        <f>(W44*100)/W$8</f>
        <v/>
      </c>
      <c r="Y44" s="70">
        <f>+'ARTHUR M '!C44</f>
        <v/>
      </c>
      <c r="Z44" s="71">
        <f>(Y44*100)/Y$8</f>
        <v/>
      </c>
      <c r="AA44" s="70">
        <f>+'HUGO M '!C44</f>
        <v/>
      </c>
      <c r="AB44" s="71">
        <f>(AA44*100)/AA$8</f>
        <v/>
      </c>
      <c r="AC44" s="70">
        <f>+'JEANCLO M '!C44</f>
        <v/>
      </c>
      <c r="AD44" s="71">
        <f>(AC44*100)/AC$8</f>
        <v/>
      </c>
      <c r="AE44" s="70">
        <f>+'THOMAS M'!G44</f>
        <v/>
      </c>
      <c r="AF44" s="71">
        <f>(AE44*100)/AE$8</f>
        <v/>
      </c>
      <c r="AG44" s="70">
        <f>+'CATALINA M'!G44</f>
        <v/>
      </c>
      <c r="AH44" s="71">
        <f>(AG44*100)/AG$8</f>
        <v/>
      </c>
      <c r="AI44" s="70">
        <f>+C44+E44+G44+I44+K44+M44+O44+Q44+S44+U44+W44+Y44+AA44+AC44+AE44+AG44</f>
        <v/>
      </c>
      <c r="AJ44" s="71">
        <f>(AI44*100)/AI$8</f>
        <v/>
      </c>
    </row>
    <row r="45" ht="7.15" customHeight="1" s="161" thickTop="1">
      <c r="A45" s="13" t="n"/>
      <c r="B45" s="443" t="n"/>
      <c r="C45" s="388" t="n"/>
      <c r="D45" s="10" t="n"/>
      <c r="E45" s="388" t="n"/>
      <c r="F45" s="10" t="n"/>
      <c r="G45" s="388" t="n"/>
      <c r="H45" s="10" t="n"/>
      <c r="I45" s="388" t="n"/>
      <c r="J45" s="10" t="n"/>
      <c r="K45" s="388" t="n"/>
      <c r="L45" s="10" t="n"/>
      <c r="M45" s="388" t="n"/>
      <c r="N45" s="10" t="n"/>
      <c r="O45" s="388" t="n"/>
      <c r="P45" s="10" t="n"/>
      <c r="Q45" s="388" t="n"/>
      <c r="R45" s="10" t="n"/>
      <c r="S45" s="388" t="n"/>
      <c r="T45" s="10" t="n"/>
      <c r="U45" s="388" t="n"/>
      <c r="V45" s="10" t="n"/>
      <c r="W45" s="388" t="n"/>
      <c r="X45" s="10" t="n"/>
      <c r="Y45" s="388" t="n"/>
      <c r="Z45" s="10" t="n"/>
      <c r="AA45" s="388" t="n"/>
      <c r="AB45" s="10" t="n"/>
      <c r="AC45" s="388" t="n"/>
      <c r="AD45" s="10" t="n"/>
      <c r="AE45" s="388" t="n"/>
      <c r="AF45" s="10" t="n"/>
      <c r="AG45" s="388" t="n"/>
      <c r="AH45" s="10" t="n"/>
      <c r="AI45" s="388" t="n"/>
      <c r="AJ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+'GLR5 M'!C46</f>
        <v/>
      </c>
      <c r="D46" s="17">
        <f>(C46*100)/C$8</f>
        <v/>
      </c>
      <c r="E46" s="23">
        <f>+'HTR8 M'!C46</f>
        <v/>
      </c>
      <c r="F46" s="17">
        <f>(E46*100)/E$8</f>
        <v/>
      </c>
      <c r="G46" s="23">
        <f>+'TIRR M'!C46</f>
        <v/>
      </c>
      <c r="H46" s="17">
        <f>(G46*100)/G$8</f>
        <v/>
      </c>
      <c r="I46" s="23">
        <f>+'VR7 M '!C46</f>
        <v/>
      </c>
      <c r="J46" s="17">
        <f>(I46*100)/I$8</f>
        <v/>
      </c>
      <c r="K46" s="23">
        <f>+'TURVILLA M'!C46</f>
        <v/>
      </c>
      <c r="L46" s="17">
        <f>(K46*100)/K$8</f>
        <v/>
      </c>
      <c r="M46" s="23">
        <f>+'HART M'!C46</f>
        <v/>
      </c>
      <c r="N46" s="17">
        <f>(M46*100)/M$8</f>
        <v/>
      </c>
      <c r="O46" s="23">
        <f>+'VICTOIRE M'!C46</f>
        <v/>
      </c>
      <c r="P46" s="17">
        <f>(O46*100)/O$8</f>
        <v/>
      </c>
      <c r="Q46" s="23">
        <f>+'TH4 M '!C46</f>
        <v/>
      </c>
      <c r="R46" s="17">
        <f>(Q46*100)/Q$8</f>
        <v/>
      </c>
      <c r="S46" s="23">
        <f>+'DIVES M'!C46</f>
        <v/>
      </c>
      <c r="T46" s="17">
        <f>(S46*100)/S$8</f>
        <v/>
      </c>
      <c r="U46" s="23">
        <f>+'R314 M '!C46</f>
        <v/>
      </c>
      <c r="V46" s="17">
        <f>(U46*100)/U$8</f>
        <v/>
      </c>
      <c r="W46" s="23">
        <f>+'LYSE M '!C46</f>
        <v/>
      </c>
      <c r="X46" s="17">
        <f>(W46*100)/W$8</f>
        <v/>
      </c>
      <c r="Y46" s="23">
        <f>+'ARTHUR M '!C46</f>
        <v/>
      </c>
      <c r="Z46" s="17">
        <f>(Y46*100)/Y$8</f>
        <v/>
      </c>
      <c r="AA46" s="23">
        <f>+'HUGO M '!C46</f>
        <v/>
      </c>
      <c r="AB46" s="17">
        <f>(AA46*100)/AA$8</f>
        <v/>
      </c>
      <c r="AC46" s="23">
        <f>+'JEANCLO M '!C46</f>
        <v/>
      </c>
      <c r="AD46" s="17">
        <f>(AC46*100)/AC$8</f>
        <v/>
      </c>
      <c r="AE46" s="23">
        <f>+'THOMAS M'!G46</f>
        <v/>
      </c>
      <c r="AF46" s="17">
        <f>(AE46*100)/AE$8</f>
        <v/>
      </c>
      <c r="AG46" s="23">
        <f>+'CATALINA M'!G46</f>
        <v/>
      </c>
      <c r="AH46" s="17">
        <f>(AG46*100)/AG$8</f>
        <v/>
      </c>
      <c r="AI46" s="23">
        <f>+C46+E46+G46+I46+K46+M46+O46+Q46+S46+U46+W46+Y46+AA46+AC46+AE46+AG46</f>
        <v/>
      </c>
      <c r="AJ46" s="17">
        <f>(AI46*100)/AI$8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+'GLR5 M'!C47</f>
        <v/>
      </c>
      <c r="D47" s="17">
        <f>(C47*100)/C$8</f>
        <v/>
      </c>
      <c r="E47" s="23">
        <f>+'HTR8 M'!C47</f>
        <v/>
      </c>
      <c r="F47" s="17">
        <f>(E47*100)/E$8</f>
        <v/>
      </c>
      <c r="G47" s="23">
        <f>+'TIRR M'!C47</f>
        <v/>
      </c>
      <c r="H47" s="17">
        <f>(G47*100)/G$8</f>
        <v/>
      </c>
      <c r="I47" s="23">
        <f>+'VR7 M '!C47</f>
        <v/>
      </c>
      <c r="J47" s="17">
        <f>(I47*100)/I$8</f>
        <v/>
      </c>
      <c r="K47" s="23">
        <f>+'TURVILLA M'!C47</f>
        <v/>
      </c>
      <c r="L47" s="17">
        <f>(K47*100)/K$8</f>
        <v/>
      </c>
      <c r="M47" s="23">
        <f>+'HART M'!C47</f>
        <v/>
      </c>
      <c r="N47" s="17">
        <f>(M47*100)/M$8</f>
        <v/>
      </c>
      <c r="O47" s="23">
        <f>+'VICTOIRE M'!C47</f>
        <v/>
      </c>
      <c r="P47" s="17">
        <f>(O47*100)/O$8</f>
        <v/>
      </c>
      <c r="Q47" s="23">
        <f>+'TH4 M '!C47</f>
        <v/>
      </c>
      <c r="R47" s="17">
        <f>(Q47*100)/Q$8</f>
        <v/>
      </c>
      <c r="S47" s="23">
        <f>+'DIVES M'!C47</f>
        <v/>
      </c>
      <c r="T47" s="17">
        <f>(S47*100)/S$8</f>
        <v/>
      </c>
      <c r="U47" s="23">
        <f>+'R314 M '!C47</f>
        <v/>
      </c>
      <c r="V47" s="17">
        <f>(U47*100)/U$8</f>
        <v/>
      </c>
      <c r="W47" s="23">
        <f>+'LYSE M '!C47</f>
        <v/>
      </c>
      <c r="X47" s="17">
        <f>(W47*100)/W$8</f>
        <v/>
      </c>
      <c r="Y47" s="23">
        <f>+'ARTHUR M '!C47</f>
        <v/>
      </c>
      <c r="Z47" s="17">
        <f>(Y47*100)/Y$8</f>
        <v/>
      </c>
      <c r="AA47" s="23">
        <f>+'HUGO M '!C47</f>
        <v/>
      </c>
      <c r="AB47" s="17">
        <f>(AA47*100)/AA$8</f>
        <v/>
      </c>
      <c r="AC47" s="23">
        <f>+'JEANCLO M '!C47</f>
        <v/>
      </c>
      <c r="AD47" s="17">
        <f>(AC47*100)/AC$8</f>
        <v/>
      </c>
      <c r="AE47" s="23">
        <f>+'THOMAS M'!G47</f>
        <v/>
      </c>
      <c r="AF47" s="17">
        <f>(AE47*100)/AE$8</f>
        <v/>
      </c>
      <c r="AG47" s="23">
        <f>+'CATALINA M'!G47</f>
        <v/>
      </c>
      <c r="AH47" s="17">
        <f>(AG47*100)/AG$8</f>
        <v/>
      </c>
      <c r="AI47" s="23">
        <f>+C47+E47+G47+I47+K47+M47+O47+Q47+S47+U47+W47+Y47+AA47+AC47+AE47+AG47</f>
        <v/>
      </c>
      <c r="AJ47" s="17">
        <f>(AI47*100)/AI$8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+'GLR5 M'!C48</f>
        <v/>
      </c>
      <c r="D48" s="17">
        <f>(C48*100)/C$8</f>
        <v/>
      </c>
      <c r="E48" s="23">
        <f>+'HTR8 M'!C48</f>
        <v/>
      </c>
      <c r="F48" s="17">
        <f>(E48*100)/E$8</f>
        <v/>
      </c>
      <c r="G48" s="23">
        <f>+'TIRR M'!C48</f>
        <v/>
      </c>
      <c r="H48" s="17">
        <f>(G48*100)/G$8</f>
        <v/>
      </c>
      <c r="I48" s="23">
        <f>+'VR7 M '!C48</f>
        <v/>
      </c>
      <c r="J48" s="17">
        <f>(I48*100)/I$8</f>
        <v/>
      </c>
      <c r="K48" s="23">
        <f>+'TURVILLA M'!C48</f>
        <v/>
      </c>
      <c r="L48" s="17">
        <f>(K48*100)/K$8</f>
        <v/>
      </c>
      <c r="M48" s="23">
        <f>+'HART M'!C48</f>
        <v/>
      </c>
      <c r="N48" s="17">
        <f>(M48*100)/M$8</f>
        <v/>
      </c>
      <c r="O48" s="23">
        <f>+'VICTOIRE M'!C48</f>
        <v/>
      </c>
      <c r="P48" s="17">
        <f>(O48*100)/O$8</f>
        <v/>
      </c>
      <c r="Q48" s="23">
        <f>+'TH4 M '!C48</f>
        <v/>
      </c>
      <c r="R48" s="17">
        <f>(Q48*100)/Q$8</f>
        <v/>
      </c>
      <c r="S48" s="23">
        <f>+'DIVES M'!C48</f>
        <v/>
      </c>
      <c r="T48" s="17">
        <f>(S48*100)/S$8</f>
        <v/>
      </c>
      <c r="U48" s="23">
        <f>+'R314 M '!C48</f>
        <v/>
      </c>
      <c r="V48" s="17">
        <f>(U48*100)/U$8</f>
        <v/>
      </c>
      <c r="W48" s="23">
        <f>+'LYSE M '!C48</f>
        <v/>
      </c>
      <c r="X48" s="17">
        <f>(W48*100)/W$8</f>
        <v/>
      </c>
      <c r="Y48" s="23">
        <f>+'ARTHUR M '!C48</f>
        <v/>
      </c>
      <c r="Z48" s="17">
        <f>(Y48*100)/Y$8</f>
        <v/>
      </c>
      <c r="AA48" s="23">
        <f>+'HUGO M '!C48</f>
        <v/>
      </c>
      <c r="AB48" s="17">
        <f>(AA48*100)/AA$8</f>
        <v/>
      </c>
      <c r="AC48" s="23">
        <f>+'JEANCLO M '!C48</f>
        <v/>
      </c>
      <c r="AD48" s="17">
        <f>(AC48*100)/AC$8</f>
        <v/>
      </c>
      <c r="AE48" s="23">
        <f>+'THOMAS M'!G48</f>
        <v/>
      </c>
      <c r="AF48" s="17">
        <f>(AE48*100)/AE$8</f>
        <v/>
      </c>
      <c r="AG48" s="23">
        <f>+'CATALINA M'!G48</f>
        <v/>
      </c>
      <c r="AH48" s="17">
        <f>(AG48*100)/AG$8</f>
        <v/>
      </c>
      <c r="AI48" s="23">
        <f>+C48+E48+G48+I48+K48+M48+O48+Q48+S48+U48+W48+Y48+AA48+AC48+AE48+AG48</f>
        <v/>
      </c>
      <c r="AJ48" s="17">
        <f>(AI48*100)/AI$8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+'GLR5 M'!C49</f>
        <v/>
      </c>
      <c r="D49" s="50">
        <f>(C49*100)/C$8</f>
        <v/>
      </c>
      <c r="E49" s="49">
        <f>+'HTR8 M'!C49</f>
        <v/>
      </c>
      <c r="F49" s="50">
        <f>(E49*100)/E$8</f>
        <v/>
      </c>
      <c r="G49" s="49">
        <f>+'TIRR M'!C49</f>
        <v/>
      </c>
      <c r="H49" s="50">
        <f>(G49*100)/G$8</f>
        <v/>
      </c>
      <c r="I49" s="49">
        <f>+'VR7 M '!C49</f>
        <v/>
      </c>
      <c r="J49" s="50">
        <f>(I49*100)/I$8</f>
        <v/>
      </c>
      <c r="K49" s="49">
        <f>+'TURVILLA M'!C49</f>
        <v/>
      </c>
      <c r="L49" s="50">
        <f>(K49*100)/K$8</f>
        <v/>
      </c>
      <c r="M49" s="49">
        <f>+'HART M'!C49</f>
        <v/>
      </c>
      <c r="N49" s="50">
        <f>(M49*100)/M$8</f>
        <v/>
      </c>
      <c r="O49" s="49">
        <f>+'VICTOIRE M'!C49</f>
        <v/>
      </c>
      <c r="P49" s="50">
        <f>(O49*100)/O$8</f>
        <v/>
      </c>
      <c r="Q49" s="49">
        <f>+'TH4 M '!C49</f>
        <v/>
      </c>
      <c r="R49" s="50">
        <f>(Q49*100)/Q$8</f>
        <v/>
      </c>
      <c r="S49" s="49">
        <f>+'DIVES M'!C49</f>
        <v/>
      </c>
      <c r="T49" s="50">
        <f>(S49*100)/S$8</f>
        <v/>
      </c>
      <c r="U49" s="49">
        <f>+'R314 M '!C49</f>
        <v/>
      </c>
      <c r="V49" s="50">
        <f>(U49*100)/U$8</f>
        <v/>
      </c>
      <c r="W49" s="49">
        <f>+'LYSE M '!C49</f>
        <v/>
      </c>
      <c r="X49" s="50">
        <f>(W49*100)/W$8</f>
        <v/>
      </c>
      <c r="Y49" s="49">
        <f>+'ARTHUR M '!C49</f>
        <v/>
      </c>
      <c r="Z49" s="50">
        <f>(Y49*100)/Y$8</f>
        <v/>
      </c>
      <c r="AA49" s="49">
        <f>+'HUGO M '!C49</f>
        <v/>
      </c>
      <c r="AB49" s="50">
        <f>(AA49*100)/AA$8</f>
        <v/>
      </c>
      <c r="AC49" s="49">
        <f>+'JEANCLO M '!C49</f>
        <v/>
      </c>
      <c r="AD49" s="50">
        <f>(AC49*100)/AC$8</f>
        <v/>
      </c>
      <c r="AE49" s="49">
        <f>+'THOMAS M'!G49</f>
        <v/>
      </c>
      <c r="AF49" s="50">
        <f>(AE49*100)/AE$8</f>
        <v/>
      </c>
      <c r="AG49" s="49">
        <f>+'CATALINA M'!G49</f>
        <v/>
      </c>
      <c r="AH49" s="50">
        <f>(AG49*100)/AG$8</f>
        <v/>
      </c>
      <c r="AI49" s="49">
        <f>+C49+E49+G49+I49+K49+M49+O49+Q49+S49+U49+W49+Y49+AA49+AC49+AE49+AG49</f>
        <v/>
      </c>
      <c r="AJ49" s="50">
        <f>(AI49*100)/AI$8</f>
        <v/>
      </c>
    </row>
    <row r="50" ht="7.15" customHeight="1" s="161" thickTop="1">
      <c r="A50" s="13" t="n"/>
      <c r="B50" s="443" t="n"/>
      <c r="C50" s="388" t="n"/>
      <c r="D50" s="10" t="n"/>
      <c r="E50" s="388" t="n"/>
      <c r="F50" s="10" t="n"/>
      <c r="G50" s="388" t="n"/>
      <c r="H50" s="10" t="n"/>
      <c r="I50" s="388" t="n"/>
      <c r="J50" s="10" t="n"/>
      <c r="K50" s="388" t="n"/>
      <c r="L50" s="10" t="n"/>
      <c r="M50" s="388" t="n"/>
      <c r="N50" s="10" t="n"/>
      <c r="O50" s="388" t="n"/>
      <c r="P50" s="10" t="n"/>
      <c r="Q50" s="388" t="n"/>
      <c r="R50" s="10" t="n"/>
      <c r="S50" s="388" t="n"/>
      <c r="T50" s="10" t="n"/>
      <c r="U50" s="388" t="n"/>
      <c r="V50" s="10" t="n"/>
      <c r="W50" s="388" t="n"/>
      <c r="X50" s="10" t="n"/>
      <c r="Y50" s="388" t="n"/>
      <c r="Z50" s="10" t="n"/>
      <c r="AA50" s="388" t="n"/>
      <c r="AB50" s="10" t="n"/>
      <c r="AC50" s="388" t="n"/>
      <c r="AD50" s="10" t="n"/>
      <c r="AE50" s="388" t="n"/>
      <c r="AF50" s="10" t="n"/>
      <c r="AG50" s="388" t="n"/>
      <c r="AH50" s="10" t="n"/>
      <c r="AI50" s="388">
        <f>+C50+E50+G50+I50+K50+M50+O50+Q50+S50+U50+W50+Y50+AA50+AC50+AE50</f>
        <v/>
      </c>
      <c r="AJ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+'GLR5 M'!C51</f>
        <v/>
      </c>
      <c r="D51" s="17">
        <f>(C51*100)/C$8</f>
        <v/>
      </c>
      <c r="E51" s="23">
        <f>+'HTR8 M'!C51</f>
        <v/>
      </c>
      <c r="F51" s="17">
        <f>(E51*100)/E$8</f>
        <v/>
      </c>
      <c r="G51" s="23">
        <f>+'TIRR M'!C51</f>
        <v/>
      </c>
      <c r="H51" s="17">
        <f>(G51*100)/G$8</f>
        <v/>
      </c>
      <c r="I51" s="23">
        <f>+'VR7 M '!C51</f>
        <v/>
      </c>
      <c r="J51" s="17">
        <f>(I51*100)/I$8</f>
        <v/>
      </c>
      <c r="K51" s="23">
        <f>+'TURVILLA M'!C51</f>
        <v/>
      </c>
      <c r="L51" s="17">
        <f>(K51*100)/K$8</f>
        <v/>
      </c>
      <c r="M51" s="23">
        <f>+'HART M'!C51</f>
        <v/>
      </c>
      <c r="N51" s="17">
        <f>(M51*100)/M$8</f>
        <v/>
      </c>
      <c r="O51" s="23">
        <f>+'VICTOIRE M'!C51</f>
        <v/>
      </c>
      <c r="P51" s="17">
        <f>(O51*100)/O$8</f>
        <v/>
      </c>
      <c r="Q51" s="23">
        <f>+'TH4 M '!C51</f>
        <v/>
      </c>
      <c r="R51" s="17">
        <f>(Q51*100)/Q$8</f>
        <v/>
      </c>
      <c r="S51" s="23">
        <f>+'DIVES M'!C51</f>
        <v/>
      </c>
      <c r="T51" s="17">
        <f>(S51*100)/S$8</f>
        <v/>
      </c>
      <c r="U51" s="23">
        <f>+'R314 M '!C51</f>
        <v/>
      </c>
      <c r="V51" s="17">
        <f>(U51*100)/U$8</f>
        <v/>
      </c>
      <c r="W51" s="23">
        <f>+'LYSE M '!C51</f>
        <v/>
      </c>
      <c r="X51" s="17">
        <f>(W51*100)/W$8</f>
        <v/>
      </c>
      <c r="Y51" s="23">
        <f>+'ARTHUR M '!C51</f>
        <v/>
      </c>
      <c r="Z51" s="17">
        <f>(Y51*100)/Y$8</f>
        <v/>
      </c>
      <c r="AA51" s="23">
        <f>+'HUGO M '!C51</f>
        <v/>
      </c>
      <c r="AB51" s="17">
        <f>(AA51*100)/AA$8</f>
        <v/>
      </c>
      <c r="AC51" s="23">
        <f>+'JEANCLO M '!C51</f>
        <v/>
      </c>
      <c r="AD51" s="17">
        <f>(AC51*100)/AC$8</f>
        <v/>
      </c>
      <c r="AE51" s="23">
        <f>+'THOMAS M'!G51</f>
        <v/>
      </c>
      <c r="AF51" s="17">
        <f>(AE51*100)/AE$8</f>
        <v/>
      </c>
      <c r="AG51" s="23">
        <f>+'CATALINA M'!G51</f>
        <v/>
      </c>
      <c r="AH51" s="17">
        <f>(AG51*100)/AG$8</f>
        <v/>
      </c>
      <c r="AI51" s="23">
        <f>+C51+E51+G51+I51+K51+M51+O51+Q51+S51+U51+W51+Y51+AA51+AC51+AE51+AG51</f>
        <v/>
      </c>
      <c r="AJ51" s="17">
        <f>(AI51*100)/AI$8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+'GLR5 M'!C52</f>
        <v/>
      </c>
      <c r="D52" s="17">
        <f>(C52*100)/C$8</f>
        <v/>
      </c>
      <c r="E52" s="23">
        <f>+'HTR8 M'!C52</f>
        <v/>
      </c>
      <c r="F52" s="17">
        <f>(E52*100)/E$8</f>
        <v/>
      </c>
      <c r="G52" s="23">
        <f>+'TIRR M'!C52</f>
        <v/>
      </c>
      <c r="H52" s="17">
        <f>(G52*100)/G$8</f>
        <v/>
      </c>
      <c r="I52" s="23">
        <f>+'VR7 M '!C52</f>
        <v/>
      </c>
      <c r="J52" s="17">
        <f>(I52*100)/I$8</f>
        <v/>
      </c>
      <c r="K52" s="23">
        <f>+'TURVILLA M'!C52</f>
        <v/>
      </c>
      <c r="L52" s="17">
        <f>(K52*100)/K$8</f>
        <v/>
      </c>
      <c r="M52" s="23">
        <f>+'HART M'!C52</f>
        <v/>
      </c>
      <c r="N52" s="17">
        <f>(M52*100)/M$8</f>
        <v/>
      </c>
      <c r="O52" s="23">
        <f>+'VICTOIRE M'!C52</f>
        <v/>
      </c>
      <c r="P52" s="17">
        <f>(O52*100)/O$8</f>
        <v/>
      </c>
      <c r="Q52" s="23">
        <f>+'TH4 M '!C52</f>
        <v/>
      </c>
      <c r="R52" s="17">
        <f>(Q52*100)/Q$8</f>
        <v/>
      </c>
      <c r="S52" s="23">
        <f>+'DIVES M'!C52</f>
        <v/>
      </c>
      <c r="T52" s="17">
        <f>(S52*100)/S$8</f>
        <v/>
      </c>
      <c r="U52" s="23">
        <f>+'R314 M '!C52</f>
        <v/>
      </c>
      <c r="V52" s="17">
        <f>(U52*100)/U$8</f>
        <v/>
      </c>
      <c r="W52" s="23">
        <f>+'LYSE M '!C52</f>
        <v/>
      </c>
      <c r="X52" s="17">
        <f>(W52*100)/W$8</f>
        <v/>
      </c>
      <c r="Y52" s="23">
        <f>+'ARTHUR M '!C52</f>
        <v/>
      </c>
      <c r="Z52" s="17">
        <f>(Y52*100)/Y$8</f>
        <v/>
      </c>
      <c r="AA52" s="23">
        <f>+'HUGO M '!C52</f>
        <v/>
      </c>
      <c r="AB52" s="17">
        <f>(AA52*100)/AA$8</f>
        <v/>
      </c>
      <c r="AC52" s="23">
        <f>+'JEANCLO M '!C52</f>
        <v/>
      </c>
      <c r="AD52" s="17">
        <f>(AC52*100)/AC$8</f>
        <v/>
      </c>
      <c r="AE52" s="23">
        <f>+'THOMAS M'!G52</f>
        <v/>
      </c>
      <c r="AF52" s="17">
        <f>(AE52*100)/AE$8</f>
        <v/>
      </c>
      <c r="AG52" s="23">
        <f>+'CATALINA M'!G52</f>
        <v/>
      </c>
      <c r="AH52" s="17">
        <f>(AG52*100)/AG$8</f>
        <v/>
      </c>
      <c r="AI52" s="23">
        <f>+C52+E52+G52+I52+K52+M52+O52+Q52+S52+U52+W52+Y52+AA52+AC52+AE52+AG52</f>
        <v/>
      </c>
      <c r="AJ52" s="17">
        <f>(AI52*100)/AI$8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+'GLR5 M'!C53</f>
        <v/>
      </c>
      <c r="D53" s="17">
        <f>(C53*100)/C$8</f>
        <v/>
      </c>
      <c r="E53" s="23">
        <f>+'HTR8 M'!C53</f>
        <v/>
      </c>
      <c r="F53" s="17">
        <f>(E53*100)/E$8</f>
        <v/>
      </c>
      <c r="G53" s="23">
        <f>+'TIRR M'!C53</f>
        <v/>
      </c>
      <c r="H53" s="17">
        <f>(G53*100)/G$8</f>
        <v/>
      </c>
      <c r="I53" s="23">
        <f>+'VR7 M '!C53</f>
        <v/>
      </c>
      <c r="J53" s="17">
        <f>(I53*100)/I$8</f>
        <v/>
      </c>
      <c r="K53" s="23">
        <f>+'TURVILLA M'!C53</f>
        <v/>
      </c>
      <c r="L53" s="17">
        <f>(K53*100)/K$8</f>
        <v/>
      </c>
      <c r="M53" s="23">
        <f>+'HART M'!C53</f>
        <v/>
      </c>
      <c r="N53" s="17">
        <f>(M53*100)/M$8</f>
        <v/>
      </c>
      <c r="O53" s="23">
        <f>+'VICTOIRE M'!C53</f>
        <v/>
      </c>
      <c r="P53" s="17">
        <f>(O53*100)/O$8</f>
        <v/>
      </c>
      <c r="Q53" s="23">
        <f>+'TH4 M '!C53</f>
        <v/>
      </c>
      <c r="R53" s="17">
        <f>(Q53*100)/Q$8</f>
        <v/>
      </c>
      <c r="S53" s="23">
        <f>+'DIVES M'!C53</f>
        <v/>
      </c>
      <c r="T53" s="17">
        <f>(S53*100)/S$8</f>
        <v/>
      </c>
      <c r="U53" s="23">
        <f>+'R314 M '!C53</f>
        <v/>
      </c>
      <c r="V53" s="17">
        <f>(U53*100)/U$8</f>
        <v/>
      </c>
      <c r="W53" s="23">
        <f>+'LYSE M '!C53</f>
        <v/>
      </c>
      <c r="X53" s="17">
        <f>(W53*100)/W$8</f>
        <v/>
      </c>
      <c r="Y53" s="23">
        <f>+'ARTHUR M '!C53</f>
        <v/>
      </c>
      <c r="Z53" s="17">
        <f>(Y53*100)/Y$8</f>
        <v/>
      </c>
      <c r="AA53" s="23">
        <f>+'HUGO M '!C53</f>
        <v/>
      </c>
      <c r="AB53" s="17">
        <f>(AA53*100)/AA$8</f>
        <v/>
      </c>
      <c r="AC53" s="23">
        <f>+'JEANCLO M '!C53</f>
        <v/>
      </c>
      <c r="AD53" s="17">
        <f>(AC53*100)/AC$8</f>
        <v/>
      </c>
      <c r="AE53" s="23">
        <f>+'THOMAS M'!G53</f>
        <v/>
      </c>
      <c r="AF53" s="17">
        <f>(AE53*100)/AE$8</f>
        <v/>
      </c>
      <c r="AG53" s="23">
        <f>+'CATALINA M'!G53</f>
        <v/>
      </c>
      <c r="AH53" s="17">
        <f>(AG53*100)/AG$8</f>
        <v/>
      </c>
      <c r="AI53" s="23">
        <f>+C53+E53+G53+I53+K53+M53+O53+Q53+S53+U53+W53+Y53+AA53+AC53+AE53+AG53</f>
        <v/>
      </c>
      <c r="AJ53" s="17">
        <f>(AI53*100)/AI$8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+'GLR5 M'!C54</f>
        <v/>
      </c>
      <c r="D54" s="17">
        <f>(C54*100)/C$8</f>
        <v/>
      </c>
      <c r="E54" s="23">
        <f>+'HTR8 M'!C54</f>
        <v/>
      </c>
      <c r="F54" s="17">
        <f>(E54*100)/E$8</f>
        <v/>
      </c>
      <c r="G54" s="23">
        <f>+'TIRR M'!C54</f>
        <v/>
      </c>
      <c r="H54" s="17">
        <f>(G54*100)/G$8</f>
        <v/>
      </c>
      <c r="I54" s="23">
        <f>+'VR7 M '!C54</f>
        <v/>
      </c>
      <c r="J54" s="17">
        <f>(I54*100)/I$8</f>
        <v/>
      </c>
      <c r="K54" s="23">
        <f>+'TURVILLA M'!C54</f>
        <v/>
      </c>
      <c r="L54" s="17">
        <f>(K54*100)/K$8</f>
        <v/>
      </c>
      <c r="M54" s="23">
        <f>+'HART M'!C54</f>
        <v/>
      </c>
      <c r="N54" s="17">
        <f>(M54*100)/M$8</f>
        <v/>
      </c>
      <c r="O54" s="23">
        <f>+'VICTOIRE M'!C54</f>
        <v/>
      </c>
      <c r="P54" s="17">
        <f>(O54*100)/O$8</f>
        <v/>
      </c>
      <c r="Q54" s="23">
        <f>+'TH4 M '!C54</f>
        <v/>
      </c>
      <c r="R54" s="17">
        <f>(Q54*100)/Q$8</f>
        <v/>
      </c>
      <c r="S54" s="23">
        <f>+'DIVES M'!C54</f>
        <v/>
      </c>
      <c r="T54" s="17">
        <f>(S54*100)/S$8</f>
        <v/>
      </c>
      <c r="U54" s="23">
        <f>+'R314 M '!C54</f>
        <v/>
      </c>
      <c r="V54" s="17">
        <f>(U54*100)/U$8</f>
        <v/>
      </c>
      <c r="W54" s="23">
        <f>+'LYSE M '!C54</f>
        <v/>
      </c>
      <c r="X54" s="17">
        <f>(W54*100)/W$8</f>
        <v/>
      </c>
      <c r="Y54" s="23">
        <f>+'ARTHUR M '!C54</f>
        <v/>
      </c>
      <c r="Z54" s="17">
        <f>(Y54*100)/Y$8</f>
        <v/>
      </c>
      <c r="AA54" s="23">
        <f>+'HUGO M '!C54</f>
        <v/>
      </c>
      <c r="AB54" s="17">
        <f>(AA54*100)/AA$8</f>
        <v/>
      </c>
      <c r="AC54" s="23">
        <f>+'JEANCLO M '!C54</f>
        <v/>
      </c>
      <c r="AD54" s="17">
        <f>(AC54*100)/AC$8</f>
        <v/>
      </c>
      <c r="AE54" s="23">
        <f>+'THOMAS M'!G54</f>
        <v/>
      </c>
      <c r="AF54" s="17">
        <f>(AE54*100)/AE$8</f>
        <v/>
      </c>
      <c r="AG54" s="23">
        <f>+'CATALINA M'!G54</f>
        <v/>
      </c>
      <c r="AH54" s="17">
        <f>(AG54*100)/AG$8</f>
        <v/>
      </c>
      <c r="AI54" s="23">
        <f>+C54+E54+G54+I54+K54+M54+O54+Q54+S54+U54+W54+Y54+AA54+AC54+AE54+AG54</f>
        <v/>
      </c>
      <c r="AJ54" s="17">
        <f>(AI54*100)/AI$8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+'GLR5 M'!C55</f>
        <v/>
      </c>
      <c r="D55" s="17">
        <f>(C55*100)/C$8</f>
        <v/>
      </c>
      <c r="E55" s="23">
        <f>+'HTR8 M'!C55</f>
        <v/>
      </c>
      <c r="F55" s="17">
        <f>(E55*100)/E$8</f>
        <v/>
      </c>
      <c r="G55" s="23">
        <f>+'TIRR M'!C55</f>
        <v/>
      </c>
      <c r="H55" s="17">
        <f>(G55*100)/G$8</f>
        <v/>
      </c>
      <c r="I55" s="23">
        <f>+'VR7 M '!C55</f>
        <v/>
      </c>
      <c r="J55" s="17">
        <f>(I55*100)/I$8</f>
        <v/>
      </c>
      <c r="K55" s="23">
        <f>+'TURVILLA M'!C55</f>
        <v/>
      </c>
      <c r="L55" s="17">
        <f>(K55*100)/K$8</f>
        <v/>
      </c>
      <c r="M55" s="23">
        <f>+'HART M'!C55</f>
        <v/>
      </c>
      <c r="N55" s="17">
        <f>(M55*100)/M$8</f>
        <v/>
      </c>
      <c r="O55" s="23">
        <f>+'VICTOIRE M'!C55</f>
        <v/>
      </c>
      <c r="P55" s="17">
        <f>(O55*100)/O$8</f>
        <v/>
      </c>
      <c r="Q55" s="23">
        <f>+'TH4 M '!C55</f>
        <v/>
      </c>
      <c r="R55" s="17">
        <f>(Q55*100)/Q$8</f>
        <v/>
      </c>
      <c r="S55" s="23">
        <f>+'DIVES M'!C55</f>
        <v/>
      </c>
      <c r="T55" s="17">
        <f>(S55*100)/S$8</f>
        <v/>
      </c>
      <c r="U55" s="23">
        <f>+'R314 M '!C55</f>
        <v/>
      </c>
      <c r="V55" s="17">
        <f>(U55*100)/U$8</f>
        <v/>
      </c>
      <c r="W55" s="23">
        <f>+'LYSE M '!C55</f>
        <v/>
      </c>
      <c r="X55" s="17">
        <f>(W55*100)/W$8</f>
        <v/>
      </c>
      <c r="Y55" s="23">
        <f>+'ARTHUR M '!C55</f>
        <v/>
      </c>
      <c r="Z55" s="17">
        <f>(Y55*100)/Y$8</f>
        <v/>
      </c>
      <c r="AA55" s="23">
        <f>+'HUGO M '!C55</f>
        <v/>
      </c>
      <c r="AB55" s="17">
        <f>(AA55*100)/AA$8</f>
        <v/>
      </c>
      <c r="AC55" s="23">
        <f>+'JEANCLO M '!C55</f>
        <v/>
      </c>
      <c r="AD55" s="17">
        <f>(AC55*100)/AC$8</f>
        <v/>
      </c>
      <c r="AE55" s="23">
        <f>+'THOMAS M'!G55</f>
        <v/>
      </c>
      <c r="AF55" s="17">
        <f>(AE55*100)/AE$8</f>
        <v/>
      </c>
      <c r="AG55" s="23">
        <f>+'CATALINA M'!G55</f>
        <v/>
      </c>
      <c r="AH55" s="17">
        <f>(AG55*100)/AG$8</f>
        <v/>
      </c>
      <c r="AI55" s="23">
        <f>+C55+E55+G55+I55+K55+M55+O55+Q55+S55+U55+W55+Y55+AA55+AC55+AE55+AG55</f>
        <v/>
      </c>
      <c r="AJ55" s="17">
        <f>(AI55*100)/AI$8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+'GLR5 M'!C56</f>
        <v/>
      </c>
      <c r="D56" s="17">
        <f>(C56*100)/C$8</f>
        <v/>
      </c>
      <c r="E56" s="23">
        <f>+'HTR8 M'!C56</f>
        <v/>
      </c>
      <c r="F56" s="17">
        <f>(E56*100)/E$8</f>
        <v/>
      </c>
      <c r="G56" s="23">
        <f>+'TIRR M'!C56</f>
        <v/>
      </c>
      <c r="H56" s="17">
        <f>(G56*100)/G$8</f>
        <v/>
      </c>
      <c r="I56" s="23">
        <f>+'VR7 M '!C56</f>
        <v/>
      </c>
      <c r="J56" s="17">
        <f>(I56*100)/I$8</f>
        <v/>
      </c>
      <c r="K56" s="23">
        <f>+'TURVILLA M'!C56</f>
        <v/>
      </c>
      <c r="L56" s="17">
        <f>(K56*100)/K$8</f>
        <v/>
      </c>
      <c r="M56" s="23">
        <f>+'HART M'!C56</f>
        <v/>
      </c>
      <c r="N56" s="17">
        <f>(M56*100)/M$8</f>
        <v/>
      </c>
      <c r="O56" s="23">
        <f>+'VICTOIRE M'!C56</f>
        <v/>
      </c>
      <c r="P56" s="17">
        <f>(O56*100)/O$8</f>
        <v/>
      </c>
      <c r="Q56" s="23">
        <f>+'TH4 M '!C56</f>
        <v/>
      </c>
      <c r="R56" s="17">
        <f>(Q56*100)/Q$8</f>
        <v/>
      </c>
      <c r="S56" s="23">
        <f>+'DIVES M'!C56</f>
        <v/>
      </c>
      <c r="T56" s="17">
        <f>(S56*100)/S$8</f>
        <v/>
      </c>
      <c r="U56" s="23">
        <f>+'R314 M '!C56</f>
        <v/>
      </c>
      <c r="V56" s="17">
        <f>(U56*100)/U$8</f>
        <v/>
      </c>
      <c r="W56" s="23">
        <f>+'LYSE M '!C56</f>
        <v/>
      </c>
      <c r="X56" s="17">
        <f>(W56*100)/W$8</f>
        <v/>
      </c>
      <c r="Y56" s="23">
        <f>+'ARTHUR M '!C56</f>
        <v/>
      </c>
      <c r="Z56" s="17">
        <f>(Y56*100)/Y$8</f>
        <v/>
      </c>
      <c r="AA56" s="23">
        <f>+'HUGO M '!C56</f>
        <v/>
      </c>
      <c r="AB56" s="17">
        <f>(AA56*100)/AA$8</f>
        <v/>
      </c>
      <c r="AC56" s="23">
        <f>+'JEANCLO M '!C56</f>
        <v/>
      </c>
      <c r="AD56" s="17">
        <f>(AC56*100)/AC$8</f>
        <v/>
      </c>
      <c r="AE56" s="23">
        <f>+'THOMAS M'!G56</f>
        <v/>
      </c>
      <c r="AF56" s="17">
        <f>(AE56*100)/AE$8</f>
        <v/>
      </c>
      <c r="AG56" s="23">
        <f>+'CATALINA M'!G56</f>
        <v/>
      </c>
      <c r="AH56" s="17">
        <f>(AG56*100)/AG$8</f>
        <v/>
      </c>
      <c r="AI56" s="23">
        <f>+C56+E56+G56+I56+K56+M56+O56+Q56+S56+U56+W56+Y56+AA56+AC56+AE56+AG56</f>
        <v/>
      </c>
      <c r="AJ56" s="17">
        <f>(AI56*100)/AI$8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+'GLR5 M'!C57</f>
        <v/>
      </c>
      <c r="D57" s="17">
        <f>(C57*100)/C$8</f>
        <v/>
      </c>
      <c r="E57" s="23">
        <f>+'HTR8 M'!C57</f>
        <v/>
      </c>
      <c r="F57" s="17">
        <f>(E57*100)/E$8</f>
        <v/>
      </c>
      <c r="G57" s="23">
        <f>+'TIRR M'!C57</f>
        <v/>
      </c>
      <c r="H57" s="17">
        <f>(G57*100)/G$8</f>
        <v/>
      </c>
      <c r="I57" s="23">
        <f>+'VR7 M '!C57</f>
        <v/>
      </c>
      <c r="J57" s="17">
        <f>(I57*100)/I$8</f>
        <v/>
      </c>
      <c r="K57" s="23">
        <f>+'TURVILLA M'!C57</f>
        <v/>
      </c>
      <c r="L57" s="17">
        <f>(K57*100)/K$8</f>
        <v/>
      </c>
      <c r="M57" s="23">
        <f>+'HART M'!C57</f>
        <v/>
      </c>
      <c r="N57" s="17">
        <f>(M57*100)/M$8</f>
        <v/>
      </c>
      <c r="O57" s="23">
        <f>+'VICTOIRE M'!C57</f>
        <v/>
      </c>
      <c r="P57" s="17">
        <f>(O57*100)/O$8</f>
        <v/>
      </c>
      <c r="Q57" s="23">
        <f>+'TH4 M '!C57</f>
        <v/>
      </c>
      <c r="R57" s="17">
        <f>(Q57*100)/Q$8</f>
        <v/>
      </c>
      <c r="S57" s="23">
        <f>+'DIVES M'!C57</f>
        <v/>
      </c>
      <c r="T57" s="17">
        <f>(S57*100)/S$8</f>
        <v/>
      </c>
      <c r="U57" s="23">
        <f>+'R314 M '!C57</f>
        <v/>
      </c>
      <c r="V57" s="17">
        <f>(U57*100)/U$8</f>
        <v/>
      </c>
      <c r="W57" s="23">
        <f>+'LYSE M '!C57</f>
        <v/>
      </c>
      <c r="X57" s="17">
        <f>(W57*100)/W$8</f>
        <v/>
      </c>
      <c r="Y57" s="23">
        <f>+'ARTHUR M '!C57</f>
        <v/>
      </c>
      <c r="Z57" s="17">
        <f>(Y57*100)/Y$8</f>
        <v/>
      </c>
      <c r="AA57" s="23">
        <f>+'HUGO M '!C57</f>
        <v/>
      </c>
      <c r="AB57" s="17">
        <f>(AA57*100)/AA$8</f>
        <v/>
      </c>
      <c r="AC57" s="23">
        <f>+'JEANCLO M '!C57</f>
        <v/>
      </c>
      <c r="AD57" s="17">
        <f>(AC57*100)/AC$8</f>
        <v/>
      </c>
      <c r="AE57" s="23">
        <f>+'THOMAS M'!G57</f>
        <v/>
      </c>
      <c r="AF57" s="17">
        <f>(AE57*100)/AE$8</f>
        <v/>
      </c>
      <c r="AG57" s="23">
        <f>+'CATALINA M'!G57</f>
        <v/>
      </c>
      <c r="AH57" s="17">
        <f>(AG57*100)/AG$8</f>
        <v/>
      </c>
      <c r="AI57" s="23">
        <f>+C57+E57+G57+I57+K57+M57+O57+Q57+S57+U57+W57+Y57+AA57+AC57+AE57+AG57</f>
        <v/>
      </c>
      <c r="AJ57" s="17">
        <f>(AI57*100)/AI$8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+'GLR5 M'!C58</f>
        <v/>
      </c>
      <c r="D58" s="17">
        <f>(C58*100)/C$8</f>
        <v/>
      </c>
      <c r="E58" s="23">
        <f>+'HTR8 M'!C58</f>
        <v/>
      </c>
      <c r="F58" s="17">
        <f>(E58*100)/E$8</f>
        <v/>
      </c>
      <c r="G58" s="23">
        <f>+'TIRR M'!C58</f>
        <v/>
      </c>
      <c r="H58" s="17">
        <f>(G58*100)/G$8</f>
        <v/>
      </c>
      <c r="I58" s="23">
        <f>+'VR7 M '!C58</f>
        <v/>
      </c>
      <c r="J58" s="17">
        <f>(I58*100)/I$8</f>
        <v/>
      </c>
      <c r="K58" s="23">
        <f>+'TURVILLA M'!C58</f>
        <v/>
      </c>
      <c r="L58" s="17">
        <f>(K58*100)/K$8</f>
        <v/>
      </c>
      <c r="M58" s="23">
        <f>+'HART M'!C58</f>
        <v/>
      </c>
      <c r="N58" s="17">
        <f>(M58*100)/M$8</f>
        <v/>
      </c>
      <c r="O58" s="23">
        <f>+'VICTOIRE M'!C58</f>
        <v/>
      </c>
      <c r="P58" s="17">
        <f>(O58*100)/O$8</f>
        <v/>
      </c>
      <c r="Q58" s="23">
        <f>+'TH4 M '!C58</f>
        <v/>
      </c>
      <c r="R58" s="17">
        <f>(Q58*100)/Q$8</f>
        <v/>
      </c>
      <c r="S58" s="23">
        <f>+'DIVES M'!C58</f>
        <v/>
      </c>
      <c r="T58" s="17">
        <f>(S58*100)/S$8</f>
        <v/>
      </c>
      <c r="U58" s="23">
        <f>+'R314 M '!C58</f>
        <v/>
      </c>
      <c r="V58" s="17">
        <f>(U58*100)/U$8</f>
        <v/>
      </c>
      <c r="W58" s="23">
        <f>+'LYSE M '!C58</f>
        <v/>
      </c>
      <c r="X58" s="17">
        <f>(W58*100)/W$8</f>
        <v/>
      </c>
      <c r="Y58" s="23">
        <f>+'ARTHUR M '!C58</f>
        <v/>
      </c>
      <c r="Z58" s="17">
        <f>(Y58*100)/Y$8</f>
        <v/>
      </c>
      <c r="AA58" s="23">
        <f>+'HUGO M '!C58</f>
        <v/>
      </c>
      <c r="AB58" s="17">
        <f>(AA58*100)/AA$8</f>
        <v/>
      </c>
      <c r="AC58" s="23">
        <f>+'JEANCLO M '!C58</f>
        <v/>
      </c>
      <c r="AD58" s="17">
        <f>(AC58*100)/AC$8</f>
        <v/>
      </c>
      <c r="AE58" s="23">
        <f>+'THOMAS M'!G58</f>
        <v/>
      </c>
      <c r="AF58" s="17">
        <f>(AE58*100)/AE$8</f>
        <v/>
      </c>
      <c r="AG58" s="23">
        <f>+'CATALINA M'!G58</f>
        <v/>
      </c>
      <c r="AH58" s="17">
        <f>(AG58*100)/AG$8</f>
        <v/>
      </c>
      <c r="AI58" s="23">
        <f>+C58+E58+G58+I58+K58+M58+O58+Q58+S58+U58+W58+Y58+AA58+AC58+AE58+AG58</f>
        <v/>
      </c>
      <c r="AJ58" s="17">
        <f>(AI58*100)/AI$8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+'GLR5 M'!C59</f>
        <v/>
      </c>
      <c r="D59" s="50">
        <f>(C59*100)/C$8</f>
        <v/>
      </c>
      <c r="E59" s="49">
        <f>+'HTR8 M'!C59</f>
        <v/>
      </c>
      <c r="F59" s="50">
        <f>(E59*100)/E$8</f>
        <v/>
      </c>
      <c r="G59" s="49">
        <f>+'TIRR M'!C59</f>
        <v/>
      </c>
      <c r="H59" s="50">
        <f>(G59*100)/G$8</f>
        <v/>
      </c>
      <c r="I59" s="49">
        <f>+'VR7 M '!C59</f>
        <v/>
      </c>
      <c r="J59" s="50">
        <f>(I59*100)/I$8</f>
        <v/>
      </c>
      <c r="K59" s="49">
        <f>+'TURVILLA M'!C59</f>
        <v/>
      </c>
      <c r="L59" s="50">
        <f>(K59*100)/K$8</f>
        <v/>
      </c>
      <c r="M59" s="49">
        <f>+'HART M'!C59</f>
        <v/>
      </c>
      <c r="N59" s="50">
        <f>(M59*100)/M$8</f>
        <v/>
      </c>
      <c r="O59" s="49">
        <f>+'VICTOIRE M'!C59</f>
        <v/>
      </c>
      <c r="P59" s="50">
        <f>(O59*100)/O$8</f>
        <v/>
      </c>
      <c r="Q59" s="49">
        <f>+'TH4 M '!C59</f>
        <v/>
      </c>
      <c r="R59" s="50">
        <f>(Q59*100)/Q$8</f>
        <v/>
      </c>
      <c r="S59" s="49">
        <f>+'DIVES M'!C59</f>
        <v/>
      </c>
      <c r="T59" s="50">
        <f>(S59*100)/S$8</f>
        <v/>
      </c>
      <c r="U59" s="49">
        <f>+'R314 M '!C59</f>
        <v/>
      </c>
      <c r="V59" s="50">
        <f>(U59*100)/U$8</f>
        <v/>
      </c>
      <c r="W59" s="49">
        <f>+'LYSE M '!C59</f>
        <v/>
      </c>
      <c r="X59" s="50">
        <f>(W59*100)/W$8</f>
        <v/>
      </c>
      <c r="Y59" s="49">
        <f>+'ARTHUR M '!C59</f>
        <v/>
      </c>
      <c r="Z59" s="50">
        <f>(Y59*100)/Y$8</f>
        <v/>
      </c>
      <c r="AA59" s="49">
        <f>+'HUGO M '!C59</f>
        <v/>
      </c>
      <c r="AB59" s="50">
        <f>(AA59*100)/AA$8</f>
        <v/>
      </c>
      <c r="AC59" s="49">
        <f>+'JEANCLO M '!C59</f>
        <v/>
      </c>
      <c r="AD59" s="50">
        <f>(AC59*100)/AC$8</f>
        <v/>
      </c>
      <c r="AE59" s="49">
        <f>+'THOMAS M'!G59</f>
        <v/>
      </c>
      <c r="AF59" s="50">
        <f>(AE59*100)/AE$8</f>
        <v/>
      </c>
      <c r="AG59" s="49">
        <f>+'CATALINA M'!G59</f>
        <v/>
      </c>
      <c r="AH59" s="50">
        <f>(AG59*100)/AG$8</f>
        <v/>
      </c>
      <c r="AI59" s="49">
        <f>+C59+E59+G59+I59+K59+M59+O59+Q59+S59+U59+W59+Y59+AA59+AC59+AE59+AG59</f>
        <v/>
      </c>
      <c r="AJ59" s="50">
        <f>(AI59*100)/AI$8</f>
        <v/>
      </c>
    </row>
    <row r="60" ht="7.15" customHeight="1" s="161" thickTop="1">
      <c r="A60" s="13" t="n"/>
      <c r="B60" s="443" t="n"/>
      <c r="C60" s="388" t="n"/>
      <c r="D60" s="10" t="n"/>
      <c r="E60" s="388" t="n"/>
      <c r="F60" s="10" t="n"/>
      <c r="G60" s="388" t="n"/>
      <c r="H60" s="10" t="n"/>
      <c r="I60" s="388" t="n"/>
      <c r="J60" s="10" t="n"/>
      <c r="K60" s="388" t="n"/>
      <c r="L60" s="10" t="n"/>
      <c r="M60" s="388" t="n"/>
      <c r="N60" s="10" t="n"/>
      <c r="O60" s="388" t="n"/>
      <c r="P60" s="10" t="n"/>
      <c r="Q60" s="388" t="n"/>
      <c r="R60" s="10" t="n"/>
      <c r="S60" s="388" t="n"/>
      <c r="T60" s="10" t="n"/>
      <c r="U60" s="388" t="n"/>
      <c r="V60" s="10" t="n"/>
      <c r="W60" s="388" t="n"/>
      <c r="X60" s="10" t="n"/>
      <c r="Y60" s="388" t="n"/>
      <c r="Z60" s="10" t="n"/>
      <c r="AA60" s="388" t="n"/>
      <c r="AB60" s="10" t="n"/>
      <c r="AC60" s="388" t="n"/>
      <c r="AD60" s="10" t="n"/>
      <c r="AE60" s="388" t="n"/>
      <c r="AF60" s="10" t="n"/>
      <c r="AG60" s="388" t="n"/>
      <c r="AH60" s="10" t="n"/>
      <c r="AI60" s="388" t="n"/>
      <c r="AJ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+'GLR5 M'!C61</f>
        <v/>
      </c>
      <c r="D61" s="71">
        <f>(C61*100)/C$8</f>
        <v/>
      </c>
      <c r="E61" s="70">
        <f>+'HTR8 M'!C61</f>
        <v/>
      </c>
      <c r="F61" s="71">
        <f>(E61*100)/E$8</f>
        <v/>
      </c>
      <c r="G61" s="70">
        <f>+'TIRR M'!C61</f>
        <v/>
      </c>
      <c r="H61" s="71">
        <f>(G61*100)/G$8</f>
        <v/>
      </c>
      <c r="I61" s="70">
        <f>+'VR7 M '!C61</f>
        <v/>
      </c>
      <c r="J61" s="71">
        <f>(I61*100)/I$8</f>
        <v/>
      </c>
      <c r="K61" s="70">
        <f>+'TURVILLA M'!C61</f>
        <v/>
      </c>
      <c r="L61" s="71">
        <f>(K61*100)/K$8</f>
        <v/>
      </c>
      <c r="M61" s="70">
        <f>+'HART M'!C61</f>
        <v/>
      </c>
      <c r="N61" s="71">
        <f>(M61*100)/M$8</f>
        <v/>
      </c>
      <c r="O61" s="70">
        <f>+'VICTOIRE M'!C61</f>
        <v/>
      </c>
      <c r="P61" s="71">
        <f>(O61*100)/O$8</f>
        <v/>
      </c>
      <c r="Q61" s="70">
        <f>+'TH4 M '!C61</f>
        <v/>
      </c>
      <c r="R61" s="71">
        <f>(Q61*100)/Q$8</f>
        <v/>
      </c>
      <c r="S61" s="70">
        <f>+'DIVES M'!C61</f>
        <v/>
      </c>
      <c r="T61" s="71">
        <f>(S61*100)/S$8</f>
        <v/>
      </c>
      <c r="U61" s="70">
        <f>+'R314 M '!C61</f>
        <v/>
      </c>
      <c r="V61" s="71">
        <f>(U61*100)/U$8</f>
        <v/>
      </c>
      <c r="W61" s="70">
        <f>+'LYSE M '!C61</f>
        <v/>
      </c>
      <c r="X61" s="71">
        <f>(W61*100)/W$8</f>
        <v/>
      </c>
      <c r="Y61" s="70">
        <f>+'ARTHUR M '!C61</f>
        <v/>
      </c>
      <c r="Z61" s="71">
        <f>(Y61*100)/Y$8</f>
        <v/>
      </c>
      <c r="AA61" s="70">
        <f>+'HUGO M '!C61</f>
        <v/>
      </c>
      <c r="AB61" s="71">
        <f>(AA61*100)/AA$8</f>
        <v/>
      </c>
      <c r="AC61" s="70">
        <f>+'JEANCLO M '!C61</f>
        <v/>
      </c>
      <c r="AD61" s="71">
        <f>(AC61*100)/AC$8</f>
        <v/>
      </c>
      <c r="AE61" s="70">
        <f>+'THOMAS M'!G61</f>
        <v/>
      </c>
      <c r="AF61" s="71">
        <f>(AE61*100)/AE$8</f>
        <v/>
      </c>
      <c r="AG61" s="70">
        <f>+'CATALINA M'!G61</f>
        <v/>
      </c>
      <c r="AH61" s="71">
        <f>(AG61*100)/AG$8</f>
        <v/>
      </c>
      <c r="AI61" s="70">
        <f>+C61+E61+G61+I61+K61+M61+O61+Q61+S61+U61+W61+Y61+AA61+AC61+AE61+AG61</f>
        <v/>
      </c>
      <c r="AJ61" s="71">
        <f>(AI61*100)/AI$8</f>
        <v/>
      </c>
    </row>
    <row r="62" ht="7.15" customHeight="1" s="161" thickTop="1">
      <c r="A62" s="13" t="n"/>
      <c r="B62" s="443" t="n"/>
      <c r="C62" s="388" t="n"/>
      <c r="D62" s="10" t="n"/>
      <c r="E62" s="388" t="n"/>
      <c r="F62" s="10" t="n"/>
      <c r="G62" s="388" t="n"/>
      <c r="H62" s="10" t="n"/>
      <c r="I62" s="388" t="n"/>
      <c r="J62" s="10" t="n"/>
      <c r="K62" s="388" t="n"/>
      <c r="L62" s="10" t="n"/>
      <c r="M62" s="388" t="n"/>
      <c r="N62" s="10" t="n"/>
      <c r="O62" s="388" t="n"/>
      <c r="P62" s="10" t="n"/>
      <c r="Q62" s="388" t="n"/>
      <c r="R62" s="10" t="n"/>
      <c r="S62" s="388" t="n"/>
      <c r="T62" s="10" t="n"/>
      <c r="U62" s="388" t="n"/>
      <c r="V62" s="10" t="n"/>
      <c r="W62" s="388" t="n"/>
      <c r="X62" s="10" t="n"/>
      <c r="Y62" s="388" t="n"/>
      <c r="Z62" s="10" t="n"/>
      <c r="AA62" s="388" t="n"/>
      <c r="AB62" s="10" t="n"/>
      <c r="AC62" s="388" t="n"/>
      <c r="AD62" s="10" t="n"/>
      <c r="AE62" s="388" t="n"/>
      <c r="AF62" s="10" t="n"/>
      <c r="AG62" s="388" t="n"/>
      <c r="AH62" s="10" t="n"/>
      <c r="AI62" s="388" t="n"/>
      <c r="AJ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+'GLR5 M'!C63</f>
        <v/>
      </c>
      <c r="D63" s="17">
        <f>(C63*100)/C$8</f>
        <v/>
      </c>
      <c r="E63" s="23">
        <f>+'HTR8 M'!C63</f>
        <v/>
      </c>
      <c r="F63" s="17">
        <f>(E63*100)/E$8</f>
        <v/>
      </c>
      <c r="G63" s="23">
        <f>+'TIRR M'!C63</f>
        <v/>
      </c>
      <c r="H63" s="17">
        <f>(G63*100)/G$8</f>
        <v/>
      </c>
      <c r="I63" s="23">
        <f>+'VR7 M '!C63</f>
        <v/>
      </c>
      <c r="J63" s="17">
        <f>(I63*100)/I$8</f>
        <v/>
      </c>
      <c r="K63" s="23">
        <f>+'TURVILLA M'!C63</f>
        <v/>
      </c>
      <c r="L63" s="17">
        <f>(K63*100)/K$8</f>
        <v/>
      </c>
      <c r="M63" s="23">
        <f>+'HART M'!C63</f>
        <v/>
      </c>
      <c r="N63" s="17">
        <f>(M63*100)/M$8</f>
        <v/>
      </c>
      <c r="O63" s="23">
        <f>+'VICTOIRE M'!C63</f>
        <v/>
      </c>
      <c r="P63" s="17">
        <f>(O63*100)/O$8</f>
        <v/>
      </c>
      <c r="Q63" s="23">
        <f>+'TH4 M '!C63</f>
        <v/>
      </c>
      <c r="R63" s="17">
        <f>(Q63*100)/Q$8</f>
        <v/>
      </c>
      <c r="S63" s="23">
        <f>+'DIVES M'!C63</f>
        <v/>
      </c>
      <c r="T63" s="17">
        <f>(S63*100)/S$8</f>
        <v/>
      </c>
      <c r="U63" s="23">
        <f>+'R314 M '!C63</f>
        <v/>
      </c>
      <c r="V63" s="17">
        <f>(U63*100)/U$8</f>
        <v/>
      </c>
      <c r="W63" s="23">
        <f>+'LYSE M '!C63</f>
        <v/>
      </c>
      <c r="X63" s="17">
        <f>(W63*100)/W$8</f>
        <v/>
      </c>
      <c r="Y63" s="23">
        <f>+'ARTHUR M '!C63</f>
        <v/>
      </c>
      <c r="Z63" s="17">
        <f>(Y63*100)/Y$8</f>
        <v/>
      </c>
      <c r="AA63" s="23">
        <f>+'HUGO M '!C63</f>
        <v/>
      </c>
      <c r="AB63" s="17">
        <f>(AA63*100)/AA$8</f>
        <v/>
      </c>
      <c r="AC63" s="23">
        <f>+'JEANCLO M '!C63</f>
        <v/>
      </c>
      <c r="AD63" s="17">
        <f>(AC63*100)/AC$8</f>
        <v/>
      </c>
      <c r="AE63" s="23">
        <f>+'THOMAS M'!G63</f>
        <v/>
      </c>
      <c r="AF63" s="17">
        <f>(AE63*100)/AE$8</f>
        <v/>
      </c>
      <c r="AG63" s="23">
        <f>+'CATALINA M'!G63</f>
        <v/>
      </c>
      <c r="AH63" s="17">
        <f>(AG63*100)/AG$8</f>
        <v/>
      </c>
      <c r="AI63" s="23">
        <f>+C63+E63+G63+I63+K63+M63+O63+Q63+S63+U63+W63+Y63+AA63+AC63+AE63+AG63</f>
        <v/>
      </c>
      <c r="AJ63" s="17">
        <f>(AI63*100)/AI$8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+'GLR5 M'!C64</f>
        <v/>
      </c>
      <c r="D64" s="17">
        <f>(C64*100)/C$8</f>
        <v/>
      </c>
      <c r="E64" s="23">
        <f>+'HTR8 M'!C64</f>
        <v/>
      </c>
      <c r="F64" s="17">
        <f>(E64*100)/E$8</f>
        <v/>
      </c>
      <c r="G64" s="23">
        <f>+'TIRR M'!C64</f>
        <v/>
      </c>
      <c r="H64" s="17">
        <f>(G64*100)/G$8</f>
        <v/>
      </c>
      <c r="I64" s="23">
        <f>+'VR7 M '!C64</f>
        <v/>
      </c>
      <c r="J64" s="17">
        <f>(I64*100)/I$8</f>
        <v/>
      </c>
      <c r="K64" s="23">
        <f>+'TURVILLA M'!C64</f>
        <v/>
      </c>
      <c r="L64" s="17">
        <f>(K64*100)/K$8</f>
        <v/>
      </c>
      <c r="M64" s="23">
        <f>+'HART M'!C64</f>
        <v/>
      </c>
      <c r="N64" s="17">
        <f>(M64*100)/M$8</f>
        <v/>
      </c>
      <c r="O64" s="23">
        <f>+'VICTOIRE M'!C64</f>
        <v/>
      </c>
      <c r="P64" s="17">
        <f>(O64*100)/O$8</f>
        <v/>
      </c>
      <c r="Q64" s="23">
        <f>+'TH4 M '!C64</f>
        <v/>
      </c>
      <c r="R64" s="17">
        <f>(Q64*100)/Q$8</f>
        <v/>
      </c>
      <c r="S64" s="23">
        <f>+'DIVES M'!C64</f>
        <v/>
      </c>
      <c r="T64" s="17">
        <f>(S64*100)/S$8</f>
        <v/>
      </c>
      <c r="U64" s="23">
        <f>+'R314 M '!C64</f>
        <v/>
      </c>
      <c r="V64" s="17">
        <f>(U64*100)/U$8</f>
        <v/>
      </c>
      <c r="W64" s="23">
        <f>+'LYSE M '!C64</f>
        <v/>
      </c>
      <c r="X64" s="17">
        <f>(W64*100)/W$8</f>
        <v/>
      </c>
      <c r="Y64" s="23">
        <f>+'ARTHUR M '!C64</f>
        <v/>
      </c>
      <c r="Z64" s="17">
        <f>(Y64*100)/Y$8</f>
        <v/>
      </c>
      <c r="AA64" s="23">
        <f>+'HUGO M '!C64</f>
        <v/>
      </c>
      <c r="AB64" s="17">
        <f>(AA64*100)/AA$8</f>
        <v/>
      </c>
      <c r="AC64" s="23">
        <f>+'JEANCLO M '!C64</f>
        <v/>
      </c>
      <c r="AD64" s="17">
        <f>(AC64*100)/AC$8</f>
        <v/>
      </c>
      <c r="AE64" s="23">
        <f>+'THOMAS M'!G64</f>
        <v/>
      </c>
      <c r="AF64" s="17">
        <f>(AE64*100)/AE$8</f>
        <v/>
      </c>
      <c r="AG64" s="23">
        <f>+'CATALINA M'!G64</f>
        <v/>
      </c>
      <c r="AH64" s="17">
        <f>(AG64*100)/AG$8</f>
        <v/>
      </c>
      <c r="AI64" s="23">
        <f>+C64+E64+G64+I64+K64+M64+O64+Q64+S64+U64+W64+Y64+AA64+AC64+AE64+AG64</f>
        <v/>
      </c>
      <c r="AJ64" s="17">
        <f>(AI64*100)/AI$8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67">
        <f>+E63-E64</f>
        <v/>
      </c>
      <c r="F65" s="56">
        <f>(E65*100)/E$8</f>
        <v/>
      </c>
      <c r="G65" s="67">
        <f>+G63-G64</f>
        <v/>
      </c>
      <c r="H65" s="56">
        <f>(G65*100)/G$8</f>
        <v/>
      </c>
      <c r="I65" s="67">
        <f>+I63-I64</f>
        <v/>
      </c>
      <c r="J65" s="56">
        <f>(I65*100)/I$8</f>
        <v/>
      </c>
      <c r="K65" s="67">
        <f>+K63-K64</f>
        <v/>
      </c>
      <c r="L65" s="56">
        <f>(K65*100)/K$8</f>
        <v/>
      </c>
      <c r="M65" s="67">
        <f>+M63-M64</f>
        <v/>
      </c>
      <c r="N65" s="56">
        <f>(M65*100)/M$8</f>
        <v/>
      </c>
      <c r="O65" s="67">
        <f>+O63-O64</f>
        <v/>
      </c>
      <c r="P65" s="56">
        <f>(O65*100)/O$8</f>
        <v/>
      </c>
      <c r="Q65" s="67">
        <f>+Q63-Q64</f>
        <v/>
      </c>
      <c r="R65" s="56">
        <f>(Q65*100)/Q$8</f>
        <v/>
      </c>
      <c r="S65" s="67">
        <f>+S63-S64</f>
        <v/>
      </c>
      <c r="T65" s="56">
        <f>(S65*100)/S$8</f>
        <v/>
      </c>
      <c r="U65" s="67">
        <f>+U63-U64</f>
        <v/>
      </c>
      <c r="V65" s="56">
        <f>(U65*100)/U$8</f>
        <v/>
      </c>
      <c r="W65" s="67">
        <f>+W63-W64</f>
        <v/>
      </c>
      <c r="X65" s="56">
        <f>(W65*100)/W$8</f>
        <v/>
      </c>
      <c r="Y65" s="67">
        <f>+'ARTHUR M '!C65</f>
        <v/>
      </c>
      <c r="Z65" s="56">
        <f>(Y65*100)/Y$8</f>
        <v/>
      </c>
      <c r="AA65" s="67">
        <f>+AA63-AA64</f>
        <v/>
      </c>
      <c r="AB65" s="56">
        <f>(AA65*100)/AA$8</f>
        <v/>
      </c>
      <c r="AC65" s="67">
        <f>+'JEANCLO M '!C65</f>
        <v/>
      </c>
      <c r="AD65" s="56">
        <f>(AC65*100)/AC$8</f>
        <v/>
      </c>
      <c r="AE65" s="67">
        <f>+AE63-AE64</f>
        <v/>
      </c>
      <c r="AF65" s="56">
        <f>(AE65*100)/AE$8</f>
        <v/>
      </c>
      <c r="AG65" s="67">
        <f>+AG63-AG64</f>
        <v/>
      </c>
      <c r="AH65" s="56">
        <f>(AG65*100)/AG$8</f>
        <v/>
      </c>
      <c r="AI65" s="67">
        <f>+C65+E65+G65+I65+K65+M65+O65+Q65+S65+U65+W65+Y65+AA65+AC65+AE65+AG65</f>
        <v/>
      </c>
      <c r="AJ65" s="56">
        <f>(AI65*100)/AI$8</f>
        <v/>
      </c>
    </row>
    <row r="66" ht="7.15" customFormat="1" customHeight="1" s="390">
      <c r="A66" s="13" t="n"/>
      <c r="B66" s="437" t="n"/>
      <c r="C66" s="15" t="n"/>
      <c r="D66" s="17" t="n"/>
      <c r="E66" s="15" t="n"/>
      <c r="F66" s="17" t="n"/>
      <c r="G66" s="15" t="n"/>
      <c r="H66" s="17" t="n"/>
      <c r="I66" s="15" t="n"/>
      <c r="J66" s="17" t="n"/>
      <c r="K66" s="15" t="n"/>
      <c r="L66" s="17" t="n"/>
      <c r="M66" s="15" t="n"/>
      <c r="N66" s="17" t="n"/>
      <c r="O66" s="15" t="n"/>
      <c r="P66" s="17" t="n"/>
      <c r="Q66" s="15" t="n"/>
      <c r="R66" s="17" t="n"/>
      <c r="S66" s="15" t="n"/>
      <c r="T66" s="17" t="n"/>
      <c r="U66" s="15" t="n"/>
      <c r="V66" s="17" t="n"/>
      <c r="W66" s="15" t="n"/>
      <c r="X66" s="17" t="n"/>
      <c r="Y66" s="15" t="n"/>
      <c r="Z66" s="17" t="n"/>
      <c r="AA66" s="15" t="n"/>
      <c r="AB66" s="17" t="n"/>
      <c r="AC66" s="15" t="n"/>
      <c r="AD66" s="17" t="n"/>
      <c r="AE66" s="15" t="n"/>
      <c r="AF66" s="17" t="n"/>
      <c r="AG66" s="15" t="n"/>
      <c r="AH66" s="17" t="n"/>
      <c r="AI66" s="15" t="n"/>
      <c r="AJ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+'GLR5 M'!C67</f>
        <v/>
      </c>
      <c r="D67" s="17">
        <f>(C67*100)/C$8</f>
        <v/>
      </c>
      <c r="E67" s="15">
        <f>+'HTR8 M'!C67</f>
        <v/>
      </c>
      <c r="F67" s="17">
        <f>(E67*100)/E$8</f>
        <v/>
      </c>
      <c r="G67" s="15">
        <f>+'TIRR M'!C67</f>
        <v/>
      </c>
      <c r="H67" s="17">
        <f>(G67*100)/G$8</f>
        <v/>
      </c>
      <c r="I67" s="15">
        <f>+'VR7 M '!C67</f>
        <v/>
      </c>
      <c r="J67" s="17">
        <f>(I67*100)/I$8</f>
        <v/>
      </c>
      <c r="K67" s="15">
        <f>+'TURVILLA M'!C67</f>
        <v/>
      </c>
      <c r="L67" s="17">
        <f>(K67*100)/K$8</f>
        <v/>
      </c>
      <c r="M67" s="15">
        <f>+'HART M'!C67</f>
        <v/>
      </c>
      <c r="N67" s="17">
        <f>(M67*100)/M$8</f>
        <v/>
      </c>
      <c r="O67" s="15">
        <f>+'VICTOIRE M'!C67</f>
        <v/>
      </c>
      <c r="P67" s="17">
        <f>(O67*100)/O$8</f>
        <v/>
      </c>
      <c r="Q67" s="15">
        <f>+'TH4 M '!C67</f>
        <v/>
      </c>
      <c r="R67" s="17">
        <f>(Q67*100)/Q$8</f>
        <v/>
      </c>
      <c r="S67" s="15">
        <f>+'DIVES M'!C67</f>
        <v/>
      </c>
      <c r="T67" s="17">
        <f>(S67*100)/S$8</f>
        <v/>
      </c>
      <c r="U67" s="15">
        <f>+'R314 M '!C67</f>
        <v/>
      </c>
      <c r="V67" s="17">
        <f>(U67*100)/U$8</f>
        <v/>
      </c>
      <c r="W67" s="15">
        <f>+'LYSE M '!C67</f>
        <v/>
      </c>
      <c r="X67" s="17">
        <f>(W67*100)/W$8</f>
        <v/>
      </c>
      <c r="Y67" s="15">
        <f>+'ARTHUR M '!C67</f>
        <v/>
      </c>
      <c r="Z67" s="17">
        <f>(Y67*100)/Y$8</f>
        <v/>
      </c>
      <c r="AA67" s="15">
        <f>+'HUGO M '!C67</f>
        <v/>
      </c>
      <c r="AB67" s="17">
        <f>(AA67*100)/AA$8</f>
        <v/>
      </c>
      <c r="AC67" s="15">
        <f>+'JEANCLO M '!C67</f>
        <v/>
      </c>
      <c r="AD67" s="17">
        <f>(AC67*100)/AC$8</f>
        <v/>
      </c>
      <c r="AE67" s="15">
        <f>+'THOMAS M'!G67</f>
        <v/>
      </c>
      <c r="AF67" s="17">
        <f>(AE67*100)/AE$8</f>
        <v/>
      </c>
      <c r="AG67" s="15">
        <f>+'CATALINA M'!G67</f>
        <v/>
      </c>
      <c r="AH67" s="17">
        <f>(AG67*100)/AG$8</f>
        <v/>
      </c>
      <c r="AI67" s="15">
        <f>+C67+E67+G67+I67+K67+M67+O67+Q67+S67+U67+W67+Y67+AA67+AC67+AE67+AG67</f>
        <v/>
      </c>
      <c r="AJ67" s="17">
        <f>(AI67*100)/AI$8</f>
        <v/>
      </c>
    </row>
    <row r="68" ht="7.15" customFormat="1" customHeight="1" s="390">
      <c r="A68" s="13" t="n"/>
      <c r="B68" s="437" t="n"/>
      <c r="C68" s="15" t="n"/>
      <c r="D68" s="17" t="n"/>
      <c r="E68" s="15" t="n"/>
      <c r="F68" s="17" t="n"/>
      <c r="G68" s="15" t="n"/>
      <c r="H68" s="17" t="n"/>
      <c r="I68" s="15" t="n"/>
      <c r="J68" s="17" t="n"/>
      <c r="K68" s="15" t="n"/>
      <c r="L68" s="17" t="n"/>
      <c r="M68" s="15" t="n"/>
      <c r="N68" s="17" t="n"/>
      <c r="O68" s="15" t="n"/>
      <c r="P68" s="17" t="n"/>
      <c r="Q68" s="15" t="n"/>
      <c r="R68" s="17" t="n"/>
      <c r="S68" s="15" t="n"/>
      <c r="T68" s="17" t="n"/>
      <c r="U68" s="15" t="n"/>
      <c r="V68" s="17" t="n"/>
      <c r="W68" s="15" t="n"/>
      <c r="X68" s="17" t="n"/>
      <c r="Y68" s="15" t="n"/>
      <c r="Z68" s="17" t="n"/>
      <c r="AA68" s="15" t="n"/>
      <c r="AB68" s="17" t="n"/>
      <c r="AC68" s="15" t="n"/>
      <c r="AD68" s="17" t="n"/>
      <c r="AE68" s="15" t="n"/>
      <c r="AF68" s="17" t="n"/>
      <c r="AG68" s="15" t="n"/>
      <c r="AH68" s="17" t="n"/>
      <c r="AI68" s="15" t="n"/>
      <c r="AJ68" s="17" t="n"/>
    </row>
    <row r="69" customFormat="1" s="390">
      <c r="A69" s="13" t="n"/>
      <c r="B69" s="443" t="inlineStr">
        <is>
          <t>REVENU NET D'EXPLOITATION</t>
        </is>
      </c>
      <c r="C69" s="22">
        <f>+'GLR5 M'!C69</f>
        <v/>
      </c>
      <c r="D69" s="10">
        <f>(C69*100)/C$8</f>
        <v/>
      </c>
      <c r="E69" s="22">
        <f>+'HTR8 M'!C69</f>
        <v/>
      </c>
      <c r="F69" s="10">
        <f>(E69*100)/E$8</f>
        <v/>
      </c>
      <c r="G69" s="22">
        <f>+'TIRR M'!C69</f>
        <v/>
      </c>
      <c r="H69" s="10">
        <f>(G69*100)/G$8</f>
        <v/>
      </c>
      <c r="I69" s="22">
        <f>+'VR7 M '!C69</f>
        <v/>
      </c>
      <c r="J69" s="10">
        <f>(I69*100)/I$8</f>
        <v/>
      </c>
      <c r="K69" s="22">
        <f>+'TURVILLA M'!C69</f>
        <v/>
      </c>
      <c r="L69" s="10">
        <f>(K69*100)/K$8</f>
        <v/>
      </c>
      <c r="M69" s="22">
        <f>+'HART M'!C69</f>
        <v/>
      </c>
      <c r="N69" s="10">
        <f>(M69*100)/M$8</f>
        <v/>
      </c>
      <c r="O69" s="22">
        <f>+'VICTOIRE M'!C69</f>
        <v/>
      </c>
      <c r="P69" s="10">
        <f>(O69*100)/O$8</f>
        <v/>
      </c>
      <c r="Q69" s="22">
        <f>+'TH4 M '!C69</f>
        <v/>
      </c>
      <c r="R69" s="10">
        <f>(Q69*100)/Q$8</f>
        <v/>
      </c>
      <c r="S69" s="22">
        <f>+'DIVES M'!C69</f>
        <v/>
      </c>
      <c r="T69" s="10">
        <f>(S69*100)/S$8</f>
        <v/>
      </c>
      <c r="U69" s="22">
        <f>+'R314 M '!C69</f>
        <v/>
      </c>
      <c r="V69" s="10">
        <f>(U69*100)/U$8</f>
        <v/>
      </c>
      <c r="W69" s="22">
        <f>+'LYSE M '!C69</f>
        <v/>
      </c>
      <c r="X69" s="10">
        <f>(W69*100)/W$8</f>
        <v/>
      </c>
      <c r="Y69" s="22">
        <f>+'ARTHUR M '!C69</f>
        <v/>
      </c>
      <c r="Z69" s="10">
        <f>(Y69*100)/Y$8</f>
        <v/>
      </c>
      <c r="AA69" s="22">
        <f>+'HUGO M '!C69</f>
        <v/>
      </c>
      <c r="AB69" s="10">
        <f>(AA69*100)/AA$8</f>
        <v/>
      </c>
      <c r="AC69" s="22">
        <f>+'JEANCLO M '!C69</f>
        <v/>
      </c>
      <c r="AD69" s="10">
        <f>(AC69*100)/AC$8</f>
        <v/>
      </c>
      <c r="AE69" s="22">
        <f>+'THOMAS M'!G69</f>
        <v/>
      </c>
      <c r="AF69" s="10">
        <f>(AE69*100)/AE$8</f>
        <v/>
      </c>
      <c r="AG69" s="22">
        <f>+'CATALINA M'!G69</f>
        <v/>
      </c>
      <c r="AH69" s="10">
        <f>(AG69*100)/AG$8</f>
        <v/>
      </c>
      <c r="AI69" s="22">
        <f>+C69+E69+G69+I69+K69+M69+O69+Q69+S69+U69+W69+Y69+AA69+AC69+AE69+AG69</f>
        <v/>
      </c>
      <c r="AJ69" s="10">
        <f>(AI69*100)/AI$8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+'GLR5 M'!C70</f>
        <v/>
      </c>
      <c r="D70" s="50">
        <f>(C70*100)/C$8</f>
        <v/>
      </c>
      <c r="E70" s="49">
        <f>+'HTR8 M'!C70</f>
        <v/>
      </c>
      <c r="F70" s="50">
        <f>(E70*100)/E$8</f>
        <v/>
      </c>
      <c r="G70" s="49">
        <f>+'TIRR M'!C70</f>
        <v/>
      </c>
      <c r="H70" s="50">
        <f>(G70*100)/G$8</f>
        <v/>
      </c>
      <c r="I70" s="49">
        <f>+'VR7 M '!C70</f>
        <v/>
      </c>
      <c r="J70" s="50">
        <f>(I70*100)/I$8</f>
        <v/>
      </c>
      <c r="K70" s="49">
        <f>+'TURVILLA M'!C70</f>
        <v/>
      </c>
      <c r="L70" s="50">
        <f>(K70*100)/K$8</f>
        <v/>
      </c>
      <c r="M70" s="49">
        <f>+'HART M'!C70</f>
        <v/>
      </c>
      <c r="N70" s="50">
        <f>(M70*100)/M$8</f>
        <v/>
      </c>
      <c r="O70" s="49">
        <f>+'VICTOIRE M'!C70</f>
        <v/>
      </c>
      <c r="P70" s="50">
        <f>(O70*100)/O$8</f>
        <v/>
      </c>
      <c r="Q70" s="49">
        <f>+'TH4 M '!C70</f>
        <v/>
      </c>
      <c r="R70" s="50">
        <f>(Q70*100)/Q$8</f>
        <v/>
      </c>
      <c r="S70" s="49">
        <f>+'DIVES M'!C70</f>
        <v/>
      </c>
      <c r="T70" s="50">
        <f>(S70*100)/S$8</f>
        <v/>
      </c>
      <c r="U70" s="49">
        <f>+'R314 M '!C70</f>
        <v/>
      </c>
      <c r="V70" s="50">
        <f>(U70*100)/U$8</f>
        <v/>
      </c>
      <c r="W70" s="49">
        <f>+'LYSE M '!C70</f>
        <v/>
      </c>
      <c r="X70" s="50">
        <f>(W70*100)/W$8</f>
        <v/>
      </c>
      <c r="Y70" s="49">
        <f>+'ARTHUR M '!C70</f>
        <v/>
      </c>
      <c r="Z70" s="50">
        <f>(Y70*100)/Y$8</f>
        <v/>
      </c>
      <c r="AA70" s="49">
        <f>+'HUGO M '!C70</f>
        <v/>
      </c>
      <c r="AB70" s="50">
        <f>(AA70*100)/AA$8</f>
        <v/>
      </c>
      <c r="AC70" s="49">
        <f>+'JEANCLO M '!C70</f>
        <v/>
      </c>
      <c r="AD70" s="50">
        <f>(AC70*100)/AC$8</f>
        <v/>
      </c>
      <c r="AE70" s="49">
        <f>+'THOMAS M'!G70</f>
        <v/>
      </c>
      <c r="AF70" s="50">
        <f>(AE70*100)/AE$8</f>
        <v/>
      </c>
      <c r="AG70" s="49">
        <f>+'CATALINA M'!G70</f>
        <v/>
      </c>
      <c r="AH70" s="50">
        <f>(AG70*100)/AG$8</f>
        <v/>
      </c>
      <c r="AI70" s="49">
        <f>+C70+E70+G70+I70+K70+M70+O70+Q70+S70+U70+W70+Y70+AA70+AC70+AE70+AG70</f>
        <v/>
      </c>
      <c r="AJ70" s="50">
        <f>(AI70*100)/AI$8</f>
        <v/>
      </c>
    </row>
    <row r="71" ht="7.15" customHeight="1" s="161" thickTop="1">
      <c r="A71" s="13" t="n"/>
      <c r="B71" s="443" t="n"/>
      <c r="C71" s="12" t="n"/>
      <c r="D71" s="10" t="n"/>
      <c r="E71" s="12" t="n"/>
      <c r="F71" s="10" t="n"/>
      <c r="G71" s="12" t="n"/>
      <c r="H71" s="10" t="n"/>
      <c r="I71" s="12" t="n"/>
      <c r="J71" s="10" t="n"/>
      <c r="K71" s="12" t="n"/>
      <c r="L71" s="10" t="n"/>
      <c r="M71" s="12" t="n"/>
      <c r="N71" s="10" t="n"/>
      <c r="O71" s="12" t="n"/>
      <c r="P71" s="10" t="n"/>
      <c r="Q71" s="12" t="n"/>
      <c r="R71" s="10" t="n"/>
      <c r="S71" s="12" t="n"/>
      <c r="T71" s="10" t="n"/>
      <c r="U71" s="12" t="n"/>
      <c r="V71" s="10" t="n"/>
      <c r="W71" s="12" t="n"/>
      <c r="X71" s="10" t="n"/>
      <c r="Y71" s="12" t="n"/>
      <c r="Z71" s="10" t="n"/>
      <c r="AA71" s="12" t="n"/>
      <c r="AB71" s="10" t="n"/>
      <c r="AC71" s="12" t="n"/>
      <c r="AD71" s="10" t="n"/>
      <c r="AE71" s="12" t="n"/>
      <c r="AF71" s="10" t="n"/>
      <c r="AG71" s="12" t="n"/>
      <c r="AH71" s="10" t="n"/>
      <c r="AI71" s="12" t="n"/>
      <c r="AJ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+'GLR5 M'!C72</f>
        <v/>
      </c>
      <c r="D72" s="17">
        <f>(C72*100)/C$8</f>
        <v/>
      </c>
      <c r="E72" s="15">
        <f>+'HTR8 M'!C72</f>
        <v/>
      </c>
      <c r="F72" s="17">
        <f>(E72*100)/E$8</f>
        <v/>
      </c>
      <c r="G72" s="15">
        <f>+'TIRR M'!C72</f>
        <v/>
      </c>
      <c r="H72" s="17">
        <f>(G72*100)/G$8</f>
        <v/>
      </c>
      <c r="I72" s="15">
        <f>+'VR7 M '!C72</f>
        <v/>
      </c>
      <c r="J72" s="17">
        <f>(I72*100)/I$8</f>
        <v/>
      </c>
      <c r="K72" s="15">
        <f>+'TURVILLA M'!C72</f>
        <v/>
      </c>
      <c r="L72" s="17">
        <f>(K72*100)/K$8</f>
        <v/>
      </c>
      <c r="M72" s="15">
        <f>+'HART M'!C72</f>
        <v/>
      </c>
      <c r="N72" s="17">
        <f>(M72*100)/M$8</f>
        <v/>
      </c>
      <c r="O72" s="15">
        <f>+'VICTOIRE M'!C72</f>
        <v/>
      </c>
      <c r="P72" s="17">
        <f>(O72*100)/O$8</f>
        <v/>
      </c>
      <c r="Q72" s="15">
        <f>+'TH4 M '!C72</f>
        <v/>
      </c>
      <c r="R72" s="17">
        <f>(Q72*100)/Q$8</f>
        <v/>
      </c>
      <c r="S72" s="15">
        <f>+'DIVES M'!C72</f>
        <v/>
      </c>
      <c r="T72" s="17">
        <f>(S72*100)/S$8</f>
        <v/>
      </c>
      <c r="U72" s="15">
        <f>+'R314 M '!C72</f>
        <v/>
      </c>
      <c r="V72" s="17">
        <f>(U72*100)/U$8</f>
        <v/>
      </c>
      <c r="W72" s="15">
        <f>+'LYSE M '!C72</f>
        <v/>
      </c>
      <c r="X72" s="17">
        <f>(W72*100)/W$8</f>
        <v/>
      </c>
      <c r="Y72" s="15">
        <f>+'ARTHUR M '!C72</f>
        <v/>
      </c>
      <c r="Z72" s="17">
        <f>(Y72*100)/Y$8</f>
        <v/>
      </c>
      <c r="AA72" s="15">
        <f>+'HUGO M '!C72</f>
        <v/>
      </c>
      <c r="AB72" s="17">
        <f>(AA72*100)/AA$8</f>
        <v/>
      </c>
      <c r="AC72" s="15">
        <f>+'JEANCLO M '!C72</f>
        <v/>
      </c>
      <c r="AD72" s="17">
        <f>(AC72*100)/AC$8</f>
        <v/>
      </c>
      <c r="AE72" s="15">
        <f>+'THOMAS M'!G72</f>
        <v/>
      </c>
      <c r="AF72" s="17">
        <f>(AE72*100)/AE$8</f>
        <v/>
      </c>
      <c r="AG72" s="15">
        <f>+'CATALINA M'!G72</f>
        <v/>
      </c>
      <c r="AH72" s="17">
        <f>(AG72*100)/AG$8</f>
        <v/>
      </c>
      <c r="AI72" s="15">
        <f>+C72+E72+G72+I72+K72+M72+O72+Q72+S72+U72+W72+Y72+AA72+AC72+AE72+AG72</f>
        <v/>
      </c>
      <c r="AJ72" s="17">
        <f>(AI72*100)/AI$8</f>
        <v/>
      </c>
    </row>
    <row r="73" ht="7.15" customHeight="1" s="161">
      <c r="A73" s="13" t="n"/>
      <c r="B73" s="443" t="n"/>
      <c r="C73" s="12" t="n"/>
      <c r="D73" s="10" t="n"/>
      <c r="E73" s="12" t="n"/>
      <c r="F73" s="10" t="n"/>
      <c r="G73" s="12" t="n"/>
      <c r="H73" s="10" t="n"/>
      <c r="I73" s="12" t="n"/>
      <c r="J73" s="10" t="n"/>
      <c r="K73" s="12" t="n"/>
      <c r="L73" s="10" t="n"/>
      <c r="M73" s="12" t="n"/>
      <c r="N73" s="10" t="n"/>
      <c r="O73" s="12" t="n"/>
      <c r="P73" s="10" t="n"/>
      <c r="Q73" s="12" t="n"/>
      <c r="R73" s="10" t="n"/>
      <c r="S73" s="12" t="n"/>
      <c r="T73" s="10" t="n"/>
      <c r="U73" s="12" t="n"/>
      <c r="V73" s="10" t="n"/>
      <c r="W73" s="12" t="n"/>
      <c r="X73" s="10" t="n"/>
      <c r="Y73" s="12" t="n"/>
      <c r="Z73" s="10" t="n"/>
      <c r="AA73" s="12" t="n"/>
      <c r="AB73" s="10" t="n"/>
      <c r="AC73" s="12" t="n"/>
      <c r="AD73" s="10" t="n"/>
      <c r="AE73" s="12" t="n"/>
      <c r="AF73" s="10" t="n"/>
      <c r="AG73" s="12" t="n"/>
      <c r="AH73" s="10" t="n"/>
      <c r="AI73" s="12" t="n"/>
      <c r="AJ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+'GLR5 M'!C74</f>
        <v/>
      </c>
      <c r="D74" s="10">
        <f>(C74*100)/C$8</f>
        <v/>
      </c>
      <c r="E74" s="22">
        <f>+'HTR8 M'!C74</f>
        <v/>
      </c>
      <c r="F74" s="10">
        <f>(E74*100)/E$8</f>
        <v/>
      </c>
      <c r="G74" s="22">
        <f>+'TIRR M'!C74</f>
        <v/>
      </c>
      <c r="H74" s="10">
        <f>(G74*100)/G$8</f>
        <v/>
      </c>
      <c r="I74" s="22">
        <f>+'VR7 M '!C74</f>
        <v/>
      </c>
      <c r="J74" s="10">
        <f>(I74*100)/I$8</f>
        <v/>
      </c>
      <c r="K74" s="22">
        <f>+'TURVILLA M'!C74</f>
        <v/>
      </c>
      <c r="L74" s="10">
        <f>(K74*100)/K$8</f>
        <v/>
      </c>
      <c r="M74" s="22">
        <f>+'HART M'!C74</f>
        <v/>
      </c>
      <c r="N74" s="10">
        <f>(M74*100)/M$8</f>
        <v/>
      </c>
      <c r="O74" s="22">
        <f>+'VICTOIRE M'!C74</f>
        <v/>
      </c>
      <c r="P74" s="10">
        <f>(O74*100)/O$8</f>
        <v/>
      </c>
      <c r="Q74" s="22">
        <f>+'TH4 M '!C74</f>
        <v/>
      </c>
      <c r="R74" s="10">
        <f>(Q74*100)/Q$8</f>
        <v/>
      </c>
      <c r="S74" s="22">
        <f>+'DIVES M'!C74</f>
        <v/>
      </c>
      <c r="T74" s="10">
        <f>(S74*100)/S$8</f>
        <v/>
      </c>
      <c r="U74" s="22">
        <f>+'R314 M '!C74</f>
        <v/>
      </c>
      <c r="V74" s="10">
        <f>(U74*100)/U$8</f>
        <v/>
      </c>
      <c r="W74" s="22">
        <f>+'LYSE M '!C74</f>
        <v/>
      </c>
      <c r="X74" s="10">
        <f>(W74*100)/W$8</f>
        <v/>
      </c>
      <c r="Y74" s="22">
        <f>+'ARTHUR M '!C74</f>
        <v/>
      </c>
      <c r="Z74" s="10">
        <f>(Y74*100)/Y$8</f>
        <v/>
      </c>
      <c r="AA74" s="22">
        <f>+'HUGO M '!C74</f>
        <v/>
      </c>
      <c r="AB74" s="10">
        <f>(AA74*100)/AA$8</f>
        <v/>
      </c>
      <c r="AC74" s="22">
        <f>+'JEANCLO M '!C74</f>
        <v/>
      </c>
      <c r="AD74" s="10">
        <f>(AC74*100)/AC$8</f>
        <v/>
      </c>
      <c r="AE74" s="22">
        <f>+'THOMAS M'!G74</f>
        <v/>
      </c>
      <c r="AF74" s="10">
        <f>(AE74*100)/AE$8</f>
        <v/>
      </c>
      <c r="AG74" s="22">
        <f>+'CATALINA M'!G74</f>
        <v/>
      </c>
      <c r="AH74" s="10">
        <f>(AG74*100)/AG$8</f>
        <v/>
      </c>
      <c r="AI74" s="22">
        <f>+C74+E74+G74+I74+K74+M74+O74+Q74+S74+U74+W74+Y74+AA74+AC74+AE74+AG74</f>
        <v/>
      </c>
      <c r="AJ74" s="10">
        <f>(AI74*100)/AI$8</f>
        <v/>
      </c>
    </row>
    <row r="75" ht="7.15" customHeight="1" s="161">
      <c r="A75" s="13" t="n"/>
      <c r="B75" s="443" t="n"/>
      <c r="C75" s="12" t="n"/>
      <c r="D75" s="10" t="n"/>
      <c r="E75" s="12" t="n"/>
      <c r="F75" s="10" t="n"/>
      <c r="G75" s="12" t="n"/>
      <c r="H75" s="10" t="n"/>
      <c r="I75" s="12" t="n"/>
      <c r="J75" s="10" t="n"/>
      <c r="K75" s="12" t="n"/>
      <c r="L75" s="10" t="n"/>
      <c r="M75" s="12" t="n"/>
      <c r="N75" s="10" t="n"/>
      <c r="O75" s="12" t="n"/>
      <c r="P75" s="10" t="n"/>
      <c r="Q75" s="12" t="n"/>
      <c r="R75" s="10" t="n"/>
      <c r="S75" s="12" t="n"/>
      <c r="T75" s="10" t="n"/>
      <c r="U75" s="12" t="n"/>
      <c r="V75" s="10" t="n"/>
      <c r="W75" s="12" t="n"/>
      <c r="X75" s="10" t="n"/>
      <c r="Y75" s="12" t="n"/>
      <c r="Z75" s="10" t="n"/>
      <c r="AA75" s="12" t="n"/>
      <c r="AB75" s="10" t="n"/>
      <c r="AC75" s="12" t="n"/>
      <c r="AD75" s="10" t="n"/>
      <c r="AE75" s="12" t="n"/>
      <c r="AF75" s="10" t="n"/>
      <c r="AG75" s="12" t="n"/>
      <c r="AH75" s="10" t="n"/>
      <c r="AI75" s="12" t="n"/>
      <c r="AJ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0">
        <f>E69-E74+E72</f>
        <v/>
      </c>
      <c r="F76" s="71">
        <f>(E76*100)/E$8</f>
        <v/>
      </c>
      <c r="G76" s="70">
        <f>G69-G74+G72</f>
        <v/>
      </c>
      <c r="H76" s="71">
        <f>(G76*100)/G$8</f>
        <v/>
      </c>
      <c r="I76" s="70">
        <f>I69-I74+I72</f>
        <v/>
      </c>
      <c r="J76" s="71">
        <f>(I76*100)/I$8</f>
        <v/>
      </c>
      <c r="K76" s="70">
        <f>K69-K74+K72</f>
        <v/>
      </c>
      <c r="L76" s="71">
        <f>(K76*100)/K$8</f>
        <v/>
      </c>
      <c r="M76" s="70">
        <f>M69-M74+M72</f>
        <v/>
      </c>
      <c r="N76" s="71">
        <f>(M76*100)/M$8</f>
        <v/>
      </c>
      <c r="O76" s="70">
        <f>O69-O74+O72</f>
        <v/>
      </c>
      <c r="P76" s="71">
        <f>(O76*100)/O$8</f>
        <v/>
      </c>
      <c r="Q76" s="70">
        <f>Q69-Q74+Q72</f>
        <v/>
      </c>
      <c r="R76" s="71">
        <f>(Q76*100)/Q$8</f>
        <v/>
      </c>
      <c r="S76" s="70">
        <f>S69-S74+S72</f>
        <v/>
      </c>
      <c r="T76" s="71">
        <f>(S76*100)/S$8</f>
        <v/>
      </c>
      <c r="U76" s="70">
        <f>U69-U74+U72</f>
        <v/>
      </c>
      <c r="V76" s="71">
        <f>(U76*100)/U$8</f>
        <v/>
      </c>
      <c r="W76" s="70">
        <f>W69-W74+W72</f>
        <v/>
      </c>
      <c r="X76" s="71">
        <f>(W76*100)/W$8</f>
        <v/>
      </c>
      <c r="Y76" s="70">
        <f>+'ARTHUR M '!C76</f>
        <v/>
      </c>
      <c r="Z76" s="71">
        <f>(Y76*100)/Y$8</f>
        <v/>
      </c>
      <c r="AA76" s="70">
        <f>AA69-AA74+AA72</f>
        <v/>
      </c>
      <c r="AB76" s="71">
        <f>(AA76*100)/AA$8</f>
        <v/>
      </c>
      <c r="AC76" s="70">
        <f>+'JEANCLO M '!C76</f>
        <v/>
      </c>
      <c r="AD76" s="71">
        <f>(AC76*100)/AC$8</f>
        <v/>
      </c>
      <c r="AE76" s="70">
        <f>AE69-AE74+AE72</f>
        <v/>
      </c>
      <c r="AF76" s="71">
        <f>(AE76*100)/AE$8</f>
        <v/>
      </c>
      <c r="AG76" s="70">
        <f>AG69-AG74+AG72</f>
        <v/>
      </c>
      <c r="AH76" s="71">
        <f>(AG76*100)/AG$8</f>
        <v/>
      </c>
      <c r="AI76" s="70">
        <f>+C76+E76+G76+I76+K76+M76+O76+Q76+S76+U76+W76+Y76+AA76+AC76+AE76+AG76</f>
        <v/>
      </c>
      <c r="AJ76" s="71">
        <f>(AI76*100)/AI$8</f>
        <v/>
      </c>
    </row>
    <row r="77" ht="13.5" customHeight="1" s="161" thickTop="1">
      <c r="A77" s="13" t="n"/>
      <c r="B77" s="443" t="n"/>
      <c r="C77" s="445" t="n"/>
      <c r="D77" s="446" t="n"/>
      <c r="E77" s="445" t="n"/>
      <c r="F77" s="446" t="n"/>
      <c r="G77" s="445" t="n"/>
      <c r="H77" s="446" t="n"/>
      <c r="I77" s="445" t="n"/>
      <c r="J77" s="446" t="n"/>
      <c r="K77" s="445" t="n"/>
      <c r="L77" s="446" t="n"/>
      <c r="M77" s="445" t="n"/>
      <c r="N77" s="446" t="n"/>
      <c r="O77" s="445" t="n"/>
      <c r="P77" s="446" t="n"/>
      <c r="Q77" s="445" t="n"/>
      <c r="R77" s="446" t="n"/>
      <c r="S77" s="445" t="n"/>
      <c r="T77" s="446" t="n"/>
      <c r="U77" s="445" t="n"/>
      <c r="V77" s="446" t="n"/>
      <c r="W77" s="445" t="n"/>
      <c r="X77" s="446" t="n"/>
      <c r="Y77" s="445" t="n"/>
      <c r="Z77" s="446" t="n"/>
      <c r="AA77" s="445" t="n"/>
      <c r="AB77" s="446" t="n"/>
      <c r="AC77" s="445" t="n"/>
      <c r="AD77" s="446" t="n"/>
      <c r="AE77" s="445" t="n"/>
      <c r="AF77" s="446" t="n"/>
      <c r="AG77" s="445" t="n"/>
      <c r="AH77" s="446" t="n"/>
      <c r="AI77" s="445" t="n"/>
      <c r="AJ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 t="array" ref="C78">+'GLR5 M'!C78:C78</f>
        <v/>
      </c>
      <c r="D78" s="450" t="n"/>
      <c r="E78" s="449">
        <f>+'HTR8 M'!C78</f>
        <v/>
      </c>
      <c r="F78" s="450" t="n"/>
      <c r="G78" s="449">
        <f>+'TIRR M'!C78</f>
        <v/>
      </c>
      <c r="H78" s="450" t="n"/>
      <c r="I78" s="449">
        <f>+'VR7 M '!C78</f>
        <v/>
      </c>
      <c r="J78" s="450" t="n"/>
      <c r="K78" s="449">
        <f>+'TURVILLA M'!C78</f>
        <v/>
      </c>
      <c r="L78" s="450" t="n"/>
      <c r="M78" s="449">
        <f>+'HART M'!C78</f>
        <v/>
      </c>
      <c r="N78" s="450" t="n"/>
      <c r="O78" s="449">
        <f>+'VICTOIRE M'!C78</f>
        <v/>
      </c>
      <c r="P78" s="450" t="n"/>
      <c r="Q78" s="449">
        <f>+'TH4 M '!C78</f>
        <v/>
      </c>
      <c r="R78" s="450" t="n"/>
      <c r="S78" s="449">
        <f>+'DIVES M'!C78</f>
        <v/>
      </c>
      <c r="T78" s="450" t="n"/>
      <c r="U78" s="449">
        <f>+'R314 M '!C78</f>
        <v/>
      </c>
      <c r="V78" s="450" t="n"/>
      <c r="W78" s="449">
        <f>+'LYSE M '!C78</f>
        <v/>
      </c>
      <c r="X78" s="450" t="n"/>
      <c r="Y78" s="449">
        <f>+'ARTHUR M '!C78</f>
        <v/>
      </c>
      <c r="Z78" s="450" t="n"/>
      <c r="AA78" s="449">
        <f>+'HUGO M '!C78</f>
        <v/>
      </c>
      <c r="AB78" s="450" t="n"/>
      <c r="AC78" s="449">
        <f>+'JEANCLO M '!C78</f>
        <v/>
      </c>
      <c r="AD78" s="450" t="n"/>
      <c r="AE78" s="449">
        <f>+'THOMAS M'!G78</f>
        <v/>
      </c>
      <c r="AF78" s="450" t="n"/>
      <c r="AG78" s="449">
        <f>+'CATALINA M'!G78</f>
        <v/>
      </c>
      <c r="AH78" s="450" t="n"/>
      <c r="AI78" s="449">
        <f>+C78+E78+G78+I78+K78+M78+O78+Q78+S78+U78+W78+Y78+AA78+AC78+AE78+AG78</f>
        <v/>
      </c>
      <c r="AJ78" s="450" t="n"/>
    </row>
    <row r="79" ht="13.5" customHeight="1" s="161" thickTop="1">
      <c r="A79" s="13" t="n"/>
      <c r="B79" s="452" t="n"/>
      <c r="C79" s="25" t="n"/>
      <c r="D79" s="26" t="n"/>
      <c r="E79" s="25" t="n"/>
      <c r="F79" s="26" t="n"/>
      <c r="G79" s="25" t="n"/>
      <c r="H79" s="26" t="n"/>
      <c r="I79" s="25" t="n"/>
      <c r="J79" s="26" t="n"/>
      <c r="K79" s="25" t="n"/>
      <c r="L79" s="26" t="n"/>
      <c r="M79" s="25" t="n"/>
      <c r="N79" s="26" t="n"/>
      <c r="O79" s="25" t="n"/>
      <c r="P79" s="26" t="n"/>
      <c r="Q79" s="25" t="n"/>
      <c r="R79" s="26" t="n"/>
      <c r="S79" s="25" t="n"/>
      <c r="T79" s="26" t="n"/>
      <c r="U79" s="25" t="n"/>
      <c r="V79" s="26" t="n"/>
      <c r="W79" s="25" t="n"/>
      <c r="X79" s="26" t="n"/>
      <c r="Y79" s="25" t="n"/>
      <c r="Z79" s="26" t="n"/>
      <c r="AA79" s="25" t="n"/>
      <c r="AB79" s="26" t="n"/>
      <c r="AC79" s="25" t="n"/>
      <c r="AD79" s="26" t="n"/>
      <c r="AE79" s="25" t="n"/>
      <c r="AF79" s="26" t="n"/>
      <c r="AG79" s="25" t="n"/>
      <c r="AH79" s="26" t="n"/>
      <c r="AI79" s="25" t="n"/>
      <c r="AJ79" s="26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49">
        <f t="array" ref="C80">+'GLR5 M'!C80:C80</f>
        <v/>
      </c>
      <c r="D80" s="450" t="n"/>
      <c r="E80" s="453">
        <f>+'HTR8 M'!C80</f>
        <v/>
      </c>
      <c r="F80" s="450" t="n"/>
      <c r="G80" s="453">
        <f>+'TIRR M'!C80</f>
        <v/>
      </c>
      <c r="H80" s="450" t="n"/>
      <c r="I80" s="453">
        <f>+'VR7 M '!C80</f>
        <v/>
      </c>
      <c r="J80" s="450" t="n"/>
      <c r="K80" s="453">
        <f>+'TURVILLA M'!C80</f>
        <v/>
      </c>
      <c r="L80" s="450" t="n"/>
      <c r="M80" s="453">
        <f>+'HART M'!C80</f>
        <v/>
      </c>
      <c r="N80" s="450" t="n"/>
      <c r="O80" s="453">
        <f>+'VICTOIRE M'!C80</f>
        <v/>
      </c>
      <c r="P80" s="450" t="n"/>
      <c r="Q80" s="453">
        <f>+'TH4 M '!C80</f>
        <v/>
      </c>
      <c r="R80" s="450" t="n"/>
      <c r="S80" s="453">
        <f>+'DIVES M'!C80</f>
        <v/>
      </c>
      <c r="T80" s="450" t="n"/>
      <c r="U80" s="453">
        <f>+'R314 M '!C80</f>
        <v/>
      </c>
      <c r="V80" s="450" t="n"/>
      <c r="W80" s="453">
        <f>+'LYSE M '!C80</f>
        <v/>
      </c>
      <c r="X80" s="450" t="n"/>
      <c r="Y80" s="453">
        <f>+'ARTHUR M '!C80</f>
        <v/>
      </c>
      <c r="Z80" s="450" t="n"/>
      <c r="AA80" s="453">
        <f>+'HUGO M '!C80</f>
        <v/>
      </c>
      <c r="AB80" s="450" t="n"/>
      <c r="AC80" s="453">
        <f>+'JEANCLO M '!C80</f>
        <v/>
      </c>
      <c r="AD80" s="450" t="n"/>
      <c r="AE80" s="453">
        <f>+'THOMAS M'!G80</f>
        <v/>
      </c>
      <c r="AF80" s="450" t="n"/>
      <c r="AG80" s="453">
        <f>+'CATALINA M'!G80</f>
        <v/>
      </c>
      <c r="AH80" s="450" t="n"/>
      <c r="AI80" s="453">
        <f>+(VLOOKUP(PARAMETRES!$C$2,DONNÉES!$B$236:$H$247,2,FALSE))</f>
        <v/>
      </c>
      <c r="AJ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  <c r="I81" s="29" t="n"/>
      <c r="J81" s="30" t="n"/>
      <c r="K81" s="29" t="n"/>
      <c r="L81" s="30" t="n"/>
      <c r="M81" s="29" t="n"/>
      <c r="N81" s="30" t="n"/>
      <c r="O81" s="29" t="n"/>
      <c r="P81" s="30" t="n"/>
      <c r="Q81" s="29" t="n"/>
      <c r="R81" s="30" t="n"/>
      <c r="S81" s="29" t="n"/>
      <c r="T81" s="30" t="n"/>
      <c r="U81" s="29" t="n"/>
      <c r="V81" s="30" t="n"/>
      <c r="W81" s="29" t="n"/>
      <c r="X81" s="30" t="n"/>
      <c r="Y81" s="29" t="n"/>
      <c r="Z81" s="30" t="n"/>
      <c r="AA81" s="29" t="n"/>
      <c r="AB81" s="30" t="n"/>
      <c r="AC81" s="29" t="n"/>
      <c r="AD81" s="30" t="n"/>
      <c r="AE81" s="29" t="n"/>
      <c r="AF81" s="30" t="n"/>
      <c r="AG81" s="29" t="n"/>
      <c r="AH81" s="30" t="n"/>
      <c r="AI81" s="29" t="n"/>
      <c r="AJ81" s="30" t="n"/>
    </row>
  </sheetData>
  <mergeCells count="71">
    <mergeCell ref="C77:D77"/>
    <mergeCell ref="O78:P78"/>
    <mergeCell ref="U78:V78"/>
    <mergeCell ref="G77:H77"/>
    <mergeCell ref="W78:X78"/>
    <mergeCell ref="I77:J77"/>
    <mergeCell ref="AI78:AJ78"/>
    <mergeCell ref="O77:P77"/>
    <mergeCell ref="Q77:R77"/>
    <mergeCell ref="C5:D5"/>
    <mergeCell ref="I80:J80"/>
    <mergeCell ref="E5:F5"/>
    <mergeCell ref="K5:L5"/>
    <mergeCell ref="K80:L80"/>
    <mergeCell ref="M5:N5"/>
    <mergeCell ref="U80:V80"/>
    <mergeCell ref="W80:X80"/>
    <mergeCell ref="W5:X5"/>
    <mergeCell ref="S77:T77"/>
    <mergeCell ref="AC78:AD78"/>
    <mergeCell ref="B3:AJ3"/>
    <mergeCell ref="U77:V77"/>
    <mergeCell ref="AA77:AB77"/>
    <mergeCell ref="AC77:AD77"/>
    <mergeCell ref="AE77:AF77"/>
    <mergeCell ref="O5:P5"/>
    <mergeCell ref="M78:N78"/>
    <mergeCell ref="Q5:R5"/>
    <mergeCell ref="AG77:AH77"/>
    <mergeCell ref="AI80:AJ80"/>
    <mergeCell ref="Y5:Z5"/>
    <mergeCell ref="AA5:AB5"/>
    <mergeCell ref="AG80:AH80"/>
    <mergeCell ref="AC5:AD5"/>
    <mergeCell ref="AI5:AJ5"/>
    <mergeCell ref="E78:F78"/>
    <mergeCell ref="C80:D80"/>
    <mergeCell ref="G78:H78"/>
    <mergeCell ref="Y78:Z78"/>
    <mergeCell ref="A5:A6"/>
    <mergeCell ref="AA78:AB78"/>
    <mergeCell ref="Q78:R78"/>
    <mergeCell ref="S78:T78"/>
    <mergeCell ref="E77:F77"/>
    <mergeCell ref="AE78:AF78"/>
    <mergeCell ref="K77:L77"/>
    <mergeCell ref="M77:N77"/>
    <mergeCell ref="E80:F80"/>
    <mergeCell ref="G5:H5"/>
    <mergeCell ref="M80:N80"/>
    <mergeCell ref="G80:H80"/>
    <mergeCell ref="Y80:Z80"/>
    <mergeCell ref="O80:P80"/>
    <mergeCell ref="I5:J5"/>
    <mergeCell ref="AA80:AB80"/>
    <mergeCell ref="Q80:R80"/>
    <mergeCell ref="S80:T80"/>
    <mergeCell ref="B5:B6"/>
    <mergeCell ref="W77:X77"/>
    <mergeCell ref="AG78:AH78"/>
    <mergeCell ref="Y77:Z77"/>
    <mergeCell ref="I78:J78"/>
    <mergeCell ref="AI77:AJ77"/>
    <mergeCell ref="S5:T5"/>
    <mergeCell ref="U5:V5"/>
    <mergeCell ref="AC80:AD80"/>
    <mergeCell ref="AE5:AF5"/>
    <mergeCell ref="AE80:AF80"/>
    <mergeCell ref="AG5:AH5"/>
    <mergeCell ref="C78:D78"/>
    <mergeCell ref="K78:L78"/>
  </mergeCells>
  <pageMargins left="0.7086614173228347" right="0.7086614173228347" top="0.7480314960629921" bottom="0.7480314960629921" header="0.3149606299212598" footer="0.3149606299212598"/>
  <pageSetup orientation="landscape" paperSize="9" scale="40" fitToWidth="2"/>
  <headerFooter>
    <oddHeader/>
    <oddFooter>&amp;C&amp;"Helv,Gras"&amp;11 Page &amp;P / &amp;N</oddFooter>
    <evenHeader/>
    <evenFooter/>
    <firstHeader/>
    <firstFooter/>
  </headerFooter>
  <colBreaks count="1" manualBreakCount="1">
    <brk id="24" min="0" max="1048575" man="1"/>
  </colBreaks>
</worksheet>
</file>

<file path=xl/worksheets/sheet33.xml><?xml version="1.0" encoding="utf-8"?>
<worksheet xmlns="http://schemas.openxmlformats.org/spreadsheetml/2006/main">
  <sheetPr>
    <tabColor theme="9" tint="0.5999938962981048"/>
    <outlinePr summaryBelow="1" summaryRight="1"/>
    <pageSetUpPr fitToPage="1"/>
  </sheetPr>
  <dimension ref="A1:AJ81"/>
  <sheetViews>
    <sheetView showGridLines="0" view="pageBreakPreview" topLeftCell="L58" zoomScaleNormal="70" zoomScaleSheetLayoutView="100" zoomScalePageLayoutView="5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12.5703125" customWidth="1" style="20" min="9" max="9"/>
    <col width="8.42578125" customWidth="1" style="21" min="10" max="10"/>
    <col width="12.5703125" customWidth="1" style="20" min="11" max="11"/>
    <col width="8.42578125" customWidth="1" style="21" min="12" max="12"/>
    <col width="12.5703125" customWidth="1" style="20" min="13" max="13"/>
    <col width="8.42578125" customWidth="1" style="21" min="14" max="14"/>
    <col width="12.5703125" customWidth="1" style="20" min="15" max="15"/>
    <col width="8.42578125" customWidth="1" style="21" min="16" max="16"/>
    <col width="12.5703125" customWidth="1" style="20" min="17" max="17"/>
    <col width="8.42578125" customWidth="1" style="21" min="18" max="18"/>
    <col width="12.5703125" customWidth="1" style="20" min="19" max="19"/>
    <col width="8.42578125" customWidth="1" style="21" min="20" max="20"/>
    <col width="12.5703125" customWidth="1" style="20" min="21" max="21"/>
    <col width="8.42578125" customWidth="1" style="21" min="22" max="22"/>
    <col width="12.5703125" customWidth="1" style="20" min="23" max="23"/>
    <col width="8.42578125" customWidth="1" style="21" min="24" max="24"/>
    <col width="12.5703125" customWidth="1" style="20" min="25" max="25"/>
    <col width="8.42578125" customWidth="1" style="21" min="26" max="26"/>
    <col width="12.5703125" customWidth="1" style="20" min="27" max="27"/>
    <col width="8.42578125" customWidth="1" style="21" min="28" max="28"/>
    <col width="12.5703125" customWidth="1" style="20" min="29" max="29"/>
    <col width="8.42578125" customWidth="1" style="21" min="30" max="30"/>
    <col width="12.5703125" customWidth="1" style="20" min="31" max="31"/>
    <col width="8.42578125" customWidth="1" style="21" min="32" max="32"/>
    <col width="12.5703125" customWidth="1" style="20" min="33" max="33"/>
    <col width="8.42578125" customWidth="1" style="21" min="34" max="34"/>
    <col width="12.5703125" customWidth="1" style="20" min="35" max="35"/>
    <col width="8.42578125" customWidth="1" style="21" min="36" max="36"/>
    <col width="7" customWidth="1" style="370" min="37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  <c r="I1" s="347" t="n"/>
      <c r="J1" s="373" t="n"/>
      <c r="K1" s="347" t="n"/>
      <c r="L1" s="373" t="n"/>
      <c r="M1" s="347" t="n"/>
      <c r="N1" s="373" t="n"/>
      <c r="O1" s="347" t="n"/>
      <c r="P1" s="373" t="n"/>
      <c r="Q1" s="347" t="n"/>
      <c r="R1" s="373" t="n"/>
      <c r="S1" s="347" t="n"/>
      <c r="T1" s="373" t="n"/>
      <c r="U1" s="347" t="n"/>
      <c r="V1" s="373" t="n"/>
      <c r="W1" s="347" t="n"/>
      <c r="X1" s="373" t="n"/>
      <c r="Y1" s="347" t="n"/>
      <c r="Z1" s="373" t="n"/>
      <c r="AA1" s="347" t="n"/>
      <c r="AB1" s="373" t="n"/>
      <c r="AC1" s="347" t="n"/>
      <c r="AD1" s="373" t="n"/>
      <c r="AE1" s="347" t="n"/>
      <c r="AF1" s="373" t="n"/>
      <c r="AG1" s="347" t="n"/>
      <c r="AH1" s="373" t="n"/>
      <c r="AI1" s="347" t="n"/>
      <c r="AJ1" s="373" t="n"/>
    </row>
    <row r="2">
      <c r="B2" s="372" t="n"/>
      <c r="C2" s="347" t="n"/>
      <c r="D2" s="347" t="n"/>
      <c r="E2" s="347" t="n"/>
      <c r="F2" s="347" t="n"/>
      <c r="G2" s="347" t="n"/>
      <c r="H2" s="347" t="n"/>
      <c r="I2" s="347" t="n"/>
      <c r="J2" s="347" t="n"/>
      <c r="K2" s="347" t="n"/>
      <c r="L2" s="347" t="n"/>
      <c r="M2" s="347" t="n"/>
      <c r="N2" s="347" t="n"/>
      <c r="O2" s="347" t="n"/>
      <c r="P2" s="347" t="n"/>
      <c r="Q2" s="347" t="n"/>
      <c r="R2" s="347" t="n"/>
      <c r="S2" s="347" t="n"/>
      <c r="T2" s="347" t="n"/>
      <c r="U2" s="347" t="n"/>
      <c r="V2" s="347" t="n"/>
      <c r="W2" s="347" t="n"/>
      <c r="X2" s="347" t="n"/>
      <c r="Y2" s="347" t="n"/>
      <c r="Z2" s="347" t="n"/>
      <c r="AA2" s="347" t="n"/>
      <c r="AB2" s="347" t="n"/>
      <c r="AC2" s="347" t="n"/>
      <c r="AD2" s="347" t="n"/>
      <c r="AE2" s="347" t="n"/>
      <c r="AF2" s="347" t="n"/>
      <c r="AG2" s="347" t="n"/>
      <c r="AH2" s="347" t="n"/>
      <c r="AI2" s="347" t="n"/>
      <c r="AJ2" s="347" t="n"/>
    </row>
    <row r="3" ht="15.75" customHeight="1" s="161">
      <c r="B3" s="374">
        <f>CONCATENATE("P&amp;L cumulés au ",DONNÉES!B5)</f>
        <v/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468" t="inlineStr">
        <is>
          <t>GLR5</t>
        </is>
      </c>
      <c r="D5" s="427" t="n"/>
      <c r="E5" s="468" t="inlineStr">
        <is>
          <t>HTR8</t>
        </is>
      </c>
      <c r="F5" s="427" t="n"/>
      <c r="G5" s="468" t="inlineStr">
        <is>
          <t>TIRR</t>
        </is>
      </c>
      <c r="H5" s="427" t="n"/>
      <c r="I5" s="468" t="inlineStr">
        <is>
          <t>VR7</t>
        </is>
      </c>
      <c r="J5" s="427" t="n"/>
      <c r="K5" s="468" t="inlineStr">
        <is>
          <t>TURVILLA</t>
        </is>
      </c>
      <c r="L5" s="427" t="n"/>
      <c r="M5" s="468" t="inlineStr">
        <is>
          <t>HART</t>
        </is>
      </c>
      <c r="N5" s="427" t="n"/>
      <c r="O5" s="468" t="inlineStr">
        <is>
          <t>VICTOIRE'S</t>
        </is>
      </c>
      <c r="P5" s="427" t="n"/>
      <c r="Q5" s="468" t="inlineStr">
        <is>
          <t>TH4</t>
        </is>
      </c>
      <c r="R5" s="427" t="n"/>
      <c r="S5" s="468" t="inlineStr">
        <is>
          <t>TL DIVES</t>
        </is>
      </c>
      <c r="T5" s="427" t="n"/>
      <c r="U5" s="468" t="inlineStr">
        <is>
          <t>R3 14</t>
        </is>
      </c>
      <c r="V5" s="427" t="n"/>
      <c r="W5" s="468" t="inlineStr">
        <is>
          <t>LYSE</t>
        </is>
      </c>
      <c r="X5" s="427" t="n"/>
      <c r="Y5" s="468" t="inlineStr">
        <is>
          <t>ARTHUR</t>
        </is>
      </c>
      <c r="Z5" s="427" t="n"/>
      <c r="AA5" s="468" t="inlineStr">
        <is>
          <t>HUGO</t>
        </is>
      </c>
      <c r="AB5" s="427" t="n"/>
      <c r="AC5" s="468" t="inlineStr">
        <is>
          <t>JEANCLO</t>
        </is>
      </c>
      <c r="AD5" s="427" t="n"/>
      <c r="AE5" s="468" t="inlineStr">
        <is>
          <t>THOMAS</t>
        </is>
      </c>
      <c r="AF5" s="427" t="n"/>
      <c r="AG5" s="468" t="inlineStr">
        <is>
          <t>CATALINA</t>
        </is>
      </c>
      <c r="AH5" s="427" t="n"/>
      <c r="AI5" s="468" t="inlineStr">
        <is>
          <t>TOTAL</t>
        </is>
      </c>
      <c r="AJ5" s="427" t="n"/>
    </row>
    <row r="6" ht="16.9" customFormat="1" customHeight="1" s="371" thickBot="1">
      <c r="A6" s="382" t="n"/>
      <c r="B6" s="382" t="n"/>
      <c r="C6" s="469" t="inlineStr">
        <is>
          <t>Sommes</t>
        </is>
      </c>
      <c r="D6" s="470" t="inlineStr">
        <is>
          <t>%</t>
        </is>
      </c>
      <c r="E6" s="469" t="inlineStr">
        <is>
          <t>Sommes</t>
        </is>
      </c>
      <c r="F6" s="470" t="inlineStr">
        <is>
          <t>%</t>
        </is>
      </c>
      <c r="G6" s="469" t="inlineStr">
        <is>
          <t>Sommes</t>
        </is>
      </c>
      <c r="H6" s="470" t="inlineStr">
        <is>
          <t>%</t>
        </is>
      </c>
      <c r="I6" s="469" t="inlineStr">
        <is>
          <t>Sommes</t>
        </is>
      </c>
      <c r="J6" s="470" t="inlineStr">
        <is>
          <t>%</t>
        </is>
      </c>
      <c r="K6" s="469" t="inlineStr">
        <is>
          <t>Sommes</t>
        </is>
      </c>
      <c r="L6" s="470" t="inlineStr">
        <is>
          <t>%</t>
        </is>
      </c>
      <c r="M6" s="469" t="inlineStr">
        <is>
          <t>Sommes</t>
        </is>
      </c>
      <c r="N6" s="470" t="inlineStr">
        <is>
          <t>%</t>
        </is>
      </c>
      <c r="O6" s="469" t="inlineStr">
        <is>
          <t>Sommes</t>
        </is>
      </c>
      <c r="P6" s="470" t="inlineStr">
        <is>
          <t>%</t>
        </is>
      </c>
      <c r="Q6" s="469" t="inlineStr">
        <is>
          <t>Sommes</t>
        </is>
      </c>
      <c r="R6" s="470" t="inlineStr">
        <is>
          <t>%</t>
        </is>
      </c>
      <c r="S6" s="469" t="inlineStr">
        <is>
          <t>Sommes</t>
        </is>
      </c>
      <c r="T6" s="470" t="inlineStr">
        <is>
          <t>%</t>
        </is>
      </c>
      <c r="U6" s="469" t="inlineStr">
        <is>
          <t>Sommes</t>
        </is>
      </c>
      <c r="V6" s="470" t="inlineStr">
        <is>
          <t>%</t>
        </is>
      </c>
      <c r="W6" s="469" t="inlineStr">
        <is>
          <t>Sommes</t>
        </is>
      </c>
      <c r="X6" s="470" t="inlineStr">
        <is>
          <t>%</t>
        </is>
      </c>
      <c r="Y6" s="469" t="inlineStr">
        <is>
          <t>Sommes</t>
        </is>
      </c>
      <c r="Z6" s="470" t="inlineStr">
        <is>
          <t>%</t>
        </is>
      </c>
      <c r="AA6" s="469" t="inlineStr">
        <is>
          <t>Sommes</t>
        </is>
      </c>
      <c r="AB6" s="470" t="inlineStr">
        <is>
          <t>%</t>
        </is>
      </c>
      <c r="AC6" s="469" t="inlineStr">
        <is>
          <t>Sommes</t>
        </is>
      </c>
      <c r="AD6" s="470" t="inlineStr">
        <is>
          <t>%</t>
        </is>
      </c>
      <c r="AE6" s="469" t="inlineStr">
        <is>
          <t>Sommes</t>
        </is>
      </c>
      <c r="AF6" s="470" t="inlineStr">
        <is>
          <t>%</t>
        </is>
      </c>
      <c r="AG6" s="469" t="inlineStr">
        <is>
          <t>Sommes</t>
        </is>
      </c>
      <c r="AH6" s="470" t="inlineStr">
        <is>
          <t>%</t>
        </is>
      </c>
      <c r="AI6" s="469" t="inlineStr">
        <is>
          <t>Sommes</t>
        </is>
      </c>
      <c r="AJ6" s="470" t="inlineStr">
        <is>
          <t>%</t>
        </is>
      </c>
    </row>
    <row r="7">
      <c r="A7" s="431" t="n"/>
      <c r="B7" s="387" t="n"/>
      <c r="C7" s="432" t="n"/>
      <c r="D7" s="433" t="n"/>
      <c r="E7" s="432" t="n"/>
      <c r="F7" s="433" t="n"/>
      <c r="G7" s="432" t="n"/>
      <c r="H7" s="433" t="n"/>
      <c r="I7" s="432" t="n"/>
      <c r="J7" s="433" t="n"/>
      <c r="K7" s="432" t="n"/>
      <c r="L7" s="433" t="n"/>
      <c r="M7" s="432" t="n"/>
      <c r="N7" s="433" t="n"/>
      <c r="O7" s="432" t="n"/>
      <c r="P7" s="433" t="n"/>
      <c r="Q7" s="432" t="n"/>
      <c r="R7" s="433" t="n"/>
      <c r="S7" s="432" t="n"/>
      <c r="T7" s="433" t="n"/>
      <c r="U7" s="432" t="n"/>
      <c r="V7" s="433" t="n"/>
      <c r="W7" s="432" t="n"/>
      <c r="X7" s="433" t="n"/>
      <c r="Y7" s="432" t="n"/>
      <c r="Z7" s="433" t="n"/>
      <c r="AA7" s="432" t="n"/>
      <c r="AB7" s="433" t="n"/>
      <c r="AC7" s="432" t="n"/>
      <c r="AD7" s="433" t="n"/>
      <c r="AE7" s="432" t="n"/>
      <c r="AF7" s="433" t="n"/>
      <c r="AG7" s="432" t="n"/>
      <c r="AH7" s="433" t="n"/>
      <c r="AI7" s="432" t="n"/>
      <c r="AJ7" s="433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+'GLR5 A'!C8</f>
        <v/>
      </c>
      <c r="D8" s="71">
        <f>(C8*100)/C$8</f>
        <v/>
      </c>
      <c r="E8" s="70">
        <f>+'HTR8 A'!C8</f>
        <v/>
      </c>
      <c r="F8" s="71">
        <f>(E8*100)/E$8</f>
        <v/>
      </c>
      <c r="G8" s="70">
        <f>+'TIRR A'!C8</f>
        <v/>
      </c>
      <c r="H8" s="71">
        <f>(G8*100)/G$8</f>
        <v/>
      </c>
      <c r="I8" s="70">
        <f>+'VR7 A'!C8</f>
        <v/>
      </c>
      <c r="J8" s="71">
        <f>(I8*100)/I$8</f>
        <v/>
      </c>
      <c r="K8" s="70">
        <f>+'TURVILLA A'!C8</f>
        <v/>
      </c>
      <c r="L8" s="71">
        <f>(K8*100)/K$8</f>
        <v/>
      </c>
      <c r="M8" s="70">
        <f>+'HART A'!C8</f>
        <v/>
      </c>
      <c r="N8" s="71">
        <f>(M8*100)/M$8</f>
        <v/>
      </c>
      <c r="O8" s="70">
        <f>+'VICTOIRE A'!C8</f>
        <v/>
      </c>
      <c r="P8" s="71">
        <f>(O8*100)/O$8</f>
        <v/>
      </c>
      <c r="Q8" s="70">
        <f>+'TH4 A'!C8</f>
        <v/>
      </c>
      <c r="R8" s="71">
        <f>(Q8*100)/Q$8</f>
        <v/>
      </c>
      <c r="S8" s="70">
        <f>+'DIVES A'!C8</f>
        <v/>
      </c>
      <c r="T8" s="71">
        <f>(S8*100)/S$8</f>
        <v/>
      </c>
      <c r="U8" s="70">
        <f>+'R314 A'!C8</f>
        <v/>
      </c>
      <c r="V8" s="71">
        <f>(U8*100)/U$8</f>
        <v/>
      </c>
      <c r="W8" s="70">
        <f>+'LYSE A'!C8</f>
        <v/>
      </c>
      <c r="X8" s="71">
        <f>(W8*100)/W$8</f>
        <v/>
      </c>
      <c r="Y8" s="70">
        <f>+'ARTHUR A'!C8</f>
        <v/>
      </c>
      <c r="Z8" s="71">
        <f>(Y8*100)/Y$8</f>
        <v/>
      </c>
      <c r="AA8" s="70">
        <f>+'HUGO A'!C8</f>
        <v/>
      </c>
      <c r="AB8" s="71">
        <f>(AA8*100)/AA$8</f>
        <v/>
      </c>
      <c r="AC8" s="70">
        <f>+'JEANCLO A'!C8</f>
        <v/>
      </c>
      <c r="AD8" s="71">
        <f>(AC8*100)/AC$8</f>
        <v/>
      </c>
      <c r="AE8" s="70">
        <f>+'THOMAS A'!C8</f>
        <v/>
      </c>
      <c r="AF8" s="71">
        <f>(AE8*100)/AE$8</f>
        <v/>
      </c>
      <c r="AG8" s="70">
        <f>+'CATALINA A'!C8</f>
        <v/>
      </c>
      <c r="AH8" s="71">
        <f>(AG8*100)/AG$8</f>
        <v/>
      </c>
      <c r="AI8" s="70">
        <f>+C8+E8+G8+I8+K8+M8+O8+Q8+S8+U8+W8+Y8+AA8+AC8+AE8+AG8</f>
        <v/>
      </c>
      <c r="AJ8" s="71">
        <f>(AI8*100)/AI$8</f>
        <v/>
      </c>
    </row>
    <row r="9" ht="7.15" customHeight="1" s="161" thickTop="1">
      <c r="A9" s="435" t="n"/>
      <c r="B9" s="435" t="n"/>
      <c r="C9" s="436" t="n"/>
      <c r="D9" s="10" t="n"/>
      <c r="E9" s="436" t="n"/>
      <c r="F9" s="10" t="n"/>
      <c r="G9" s="436" t="n"/>
      <c r="H9" s="10" t="n"/>
      <c r="I9" s="436" t="n"/>
      <c r="J9" s="10" t="n"/>
      <c r="K9" s="436" t="n"/>
      <c r="L9" s="10" t="n"/>
      <c r="M9" s="436" t="n"/>
      <c r="N9" s="10" t="n"/>
      <c r="O9" s="436" t="n"/>
      <c r="P9" s="10" t="n"/>
      <c r="Q9" s="436" t="n"/>
      <c r="R9" s="10" t="n"/>
      <c r="S9" s="436" t="n"/>
      <c r="T9" s="10" t="n"/>
      <c r="U9" s="436" t="n"/>
      <c r="V9" s="10" t="n"/>
      <c r="W9" s="436" t="n"/>
      <c r="X9" s="10" t="n"/>
      <c r="Y9" s="436" t="n"/>
      <c r="Z9" s="10" t="n"/>
      <c r="AA9" s="436" t="n"/>
      <c r="AB9" s="10" t="n"/>
      <c r="AC9" s="436" t="n"/>
      <c r="AD9" s="10" t="n"/>
      <c r="AE9" s="436" t="n"/>
      <c r="AF9" s="10" t="n"/>
      <c r="AG9" s="436" t="n"/>
      <c r="AH9" s="10" t="n"/>
      <c r="AI9" s="436" t="n"/>
      <c r="AJ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+'GLR5 A'!C10</f>
        <v/>
      </c>
      <c r="D10" s="17">
        <f>(C10*100)/C$8</f>
        <v/>
      </c>
      <c r="E10" s="23">
        <f>+'HTR8 A'!C10</f>
        <v/>
      </c>
      <c r="F10" s="17">
        <f>(E10*100)/E$8</f>
        <v/>
      </c>
      <c r="G10" s="23">
        <f>+'TIRR A'!C10</f>
        <v/>
      </c>
      <c r="H10" s="17">
        <f>(G10*100)/G$8</f>
        <v/>
      </c>
      <c r="I10" s="23">
        <f>+'VR7 A'!C10</f>
        <v/>
      </c>
      <c r="J10" s="17">
        <f>(I10*100)/I$8</f>
        <v/>
      </c>
      <c r="K10" s="23">
        <f>+'TURVILLA A'!C10</f>
        <v/>
      </c>
      <c r="L10" s="17">
        <f>(K10*100)/K$8</f>
        <v/>
      </c>
      <c r="M10" s="23">
        <f>+'HART A'!C10</f>
        <v/>
      </c>
      <c r="N10" s="17">
        <f>(M10*100)/M$8</f>
        <v/>
      </c>
      <c r="O10" s="23">
        <f>+'VICTOIRE A'!C10</f>
        <v/>
      </c>
      <c r="P10" s="17">
        <f>(O10*100)/O$8</f>
        <v/>
      </c>
      <c r="Q10" s="23">
        <f>+'TH4 A'!C10</f>
        <v/>
      </c>
      <c r="R10" s="17">
        <f>(Q10*100)/Q$8</f>
        <v/>
      </c>
      <c r="S10" s="23">
        <f>+'DIVES A'!C10</f>
        <v/>
      </c>
      <c r="T10" s="17">
        <f>(S10*100)/S$8</f>
        <v/>
      </c>
      <c r="U10" s="23">
        <f>+'R314 A'!C10</f>
        <v/>
      </c>
      <c r="V10" s="17">
        <f>(U10*100)/U$8</f>
        <v/>
      </c>
      <c r="W10" s="23">
        <f>+'LYSE A'!C10</f>
        <v/>
      </c>
      <c r="X10" s="17">
        <f>(W10*100)/W$8</f>
        <v/>
      </c>
      <c r="Y10" s="23">
        <f>+'ARTHUR A'!C10</f>
        <v/>
      </c>
      <c r="Z10" s="17">
        <f>(Y10*100)/Y$8</f>
        <v/>
      </c>
      <c r="AA10" s="23">
        <f>+'HUGO A'!C10</f>
        <v/>
      </c>
      <c r="AB10" s="17">
        <f>(AA10*100)/AA$8</f>
        <v/>
      </c>
      <c r="AC10" s="23">
        <f>+'JEANCLO A'!C10</f>
        <v/>
      </c>
      <c r="AD10" s="17">
        <f>(AC10*100)/AC$8</f>
        <v/>
      </c>
      <c r="AE10" s="23">
        <f>+'THOMAS A'!C10</f>
        <v/>
      </c>
      <c r="AF10" s="17">
        <f>(AE10*100)/AE$8</f>
        <v/>
      </c>
      <c r="AG10" s="23">
        <f>+'CATALINA A'!C10</f>
        <v/>
      </c>
      <c r="AH10" s="17">
        <f>(AG10*100)/AG$8</f>
        <v/>
      </c>
      <c r="AI10" s="23">
        <f>+C10+E10+G10+I10+K10+M10+O10+Q10+S10+U10+W10+Y10+AA10+AC10+AE10+AG10</f>
        <v/>
      </c>
      <c r="AJ10" s="17">
        <f>(AI10*100)/AI$8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+'GLR5 A'!C11</f>
        <v/>
      </c>
      <c r="D11" s="17">
        <f>(C11*100)/C$8</f>
        <v/>
      </c>
      <c r="E11" s="23">
        <f>+'HTR8 A'!C11</f>
        <v/>
      </c>
      <c r="F11" s="17">
        <f>(E11*100)/E$8</f>
        <v/>
      </c>
      <c r="G11" s="23">
        <f>+'TIRR A'!C11</f>
        <v/>
      </c>
      <c r="H11" s="17">
        <f>(G11*100)/G$8</f>
        <v/>
      </c>
      <c r="I11" s="23">
        <f>+'VR7 A'!C11</f>
        <v/>
      </c>
      <c r="J11" s="17">
        <f>(I11*100)/I$8</f>
        <v/>
      </c>
      <c r="K11" s="23">
        <f>+'TURVILLA A'!C11</f>
        <v/>
      </c>
      <c r="L11" s="17">
        <f>(K11*100)/K$8</f>
        <v/>
      </c>
      <c r="M11" s="23">
        <f>+'HART A'!C11</f>
        <v/>
      </c>
      <c r="N11" s="17">
        <f>(M11*100)/M$8</f>
        <v/>
      </c>
      <c r="O11" s="23">
        <f>+'VICTOIRE A'!C11</f>
        <v/>
      </c>
      <c r="P11" s="17">
        <f>(O11*100)/O$8</f>
        <v/>
      </c>
      <c r="Q11" s="23">
        <f>+'TH4 A'!C11</f>
        <v/>
      </c>
      <c r="R11" s="17">
        <f>(Q11*100)/Q$8</f>
        <v/>
      </c>
      <c r="S11" s="23">
        <f>+'DIVES A'!C11</f>
        <v/>
      </c>
      <c r="T11" s="17">
        <f>(S11*100)/S$8</f>
        <v/>
      </c>
      <c r="U11" s="23">
        <f>+'R314 A'!C11</f>
        <v/>
      </c>
      <c r="V11" s="17">
        <f>(U11*100)/U$8</f>
        <v/>
      </c>
      <c r="W11" s="23">
        <f>+'LYSE A'!C11</f>
        <v/>
      </c>
      <c r="X11" s="17">
        <f>(W11*100)/W$8</f>
        <v/>
      </c>
      <c r="Y11" s="23">
        <f>+'ARTHUR A'!C11</f>
        <v/>
      </c>
      <c r="Z11" s="17">
        <f>(Y11*100)/Y$8</f>
        <v/>
      </c>
      <c r="AA11" s="23">
        <f>+'HUGO A'!C11</f>
        <v/>
      </c>
      <c r="AB11" s="17">
        <f>(AA11*100)/AA$8</f>
        <v/>
      </c>
      <c r="AC11" s="23">
        <f>+'JEANCLO A'!C11</f>
        <v/>
      </c>
      <c r="AD11" s="17">
        <f>(AC11*100)/AC$8</f>
        <v/>
      </c>
      <c r="AE11" s="23">
        <f>+'THOMAS A'!C11</f>
        <v/>
      </c>
      <c r="AF11" s="17">
        <f>(AE11*100)/AE$8</f>
        <v/>
      </c>
      <c r="AG11" s="23">
        <f>+'CATALINA A'!C11</f>
        <v/>
      </c>
      <c r="AH11" s="17">
        <f>(AG11*100)/AG$8</f>
        <v/>
      </c>
      <c r="AI11" s="23">
        <f>+C11+E11+G11+I11+K11+M11+O11+Q11+S11+U11+W11+Y11+AA11+AC11+AE11+AG11</f>
        <v/>
      </c>
      <c r="AJ11" s="17">
        <f>(AI11*100)/AI$8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+'GLR5 A'!C12</f>
        <v/>
      </c>
      <c r="D12" s="17">
        <f>(C12*100)/C$8</f>
        <v/>
      </c>
      <c r="E12" s="23">
        <f>+'HTR8 A'!C12</f>
        <v/>
      </c>
      <c r="F12" s="17">
        <f>(E12*100)/E$8</f>
        <v/>
      </c>
      <c r="G12" s="23">
        <f>+'TIRR A'!C12</f>
        <v/>
      </c>
      <c r="H12" s="17">
        <f>(G12*100)/G$8</f>
        <v/>
      </c>
      <c r="I12" s="23">
        <f>+'VR7 A'!C12</f>
        <v/>
      </c>
      <c r="J12" s="17">
        <f>(I12*100)/I$8</f>
        <v/>
      </c>
      <c r="K12" s="23">
        <f>+'TURVILLA A'!C12</f>
        <v/>
      </c>
      <c r="L12" s="17">
        <f>(K12*100)/K$8</f>
        <v/>
      </c>
      <c r="M12" s="23">
        <f>+'HART A'!C12</f>
        <v/>
      </c>
      <c r="N12" s="17">
        <f>(M12*100)/M$8</f>
        <v/>
      </c>
      <c r="O12" s="23">
        <f>+'VICTOIRE A'!C12</f>
        <v/>
      </c>
      <c r="P12" s="17">
        <f>(O12*100)/O$8</f>
        <v/>
      </c>
      <c r="Q12" s="23">
        <f>+'TH4 A'!C12</f>
        <v/>
      </c>
      <c r="R12" s="17">
        <f>(Q12*100)/Q$8</f>
        <v/>
      </c>
      <c r="S12" s="23">
        <f>+'DIVES A'!C12</f>
        <v/>
      </c>
      <c r="T12" s="17">
        <f>(S12*100)/S$8</f>
        <v/>
      </c>
      <c r="U12" s="23">
        <f>+'R314 A'!C12</f>
        <v/>
      </c>
      <c r="V12" s="17">
        <f>(U12*100)/U$8</f>
        <v/>
      </c>
      <c r="W12" s="23">
        <f>+'LYSE A'!C12</f>
        <v/>
      </c>
      <c r="X12" s="17">
        <f>(W12*100)/W$8</f>
        <v/>
      </c>
      <c r="Y12" s="23">
        <f>+'ARTHUR A'!C12</f>
        <v/>
      </c>
      <c r="Z12" s="17">
        <f>(Y12*100)/Y$8</f>
        <v/>
      </c>
      <c r="AA12" s="23">
        <f>+'HUGO A'!C12</f>
        <v/>
      </c>
      <c r="AB12" s="17">
        <f>(AA12*100)/AA$8</f>
        <v/>
      </c>
      <c r="AC12" s="23">
        <f>+'JEANCLO A'!C12</f>
        <v/>
      </c>
      <c r="AD12" s="17">
        <f>(AC12*100)/AC$8</f>
        <v/>
      </c>
      <c r="AE12" s="23">
        <f>+'THOMAS A'!C12</f>
        <v/>
      </c>
      <c r="AF12" s="17">
        <f>(AE12*100)/AE$8</f>
        <v/>
      </c>
      <c r="AG12" s="23">
        <f>+'CATALINA A'!C12</f>
        <v/>
      </c>
      <c r="AH12" s="17">
        <f>(AG12*100)/AG$8</f>
        <v/>
      </c>
      <c r="AI12" s="23">
        <f>+C12+E12+G12+I12+K12+M12+O12+Q12+S12+U12+W12+Y12+AA12+AC12+AE12+AG12</f>
        <v/>
      </c>
      <c r="AJ12" s="17">
        <f>(AI12*100)/AI$8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+'GLR5 A'!C13</f>
        <v/>
      </c>
      <c r="D13" s="56">
        <f>(C13*100)/C$8</f>
        <v/>
      </c>
      <c r="E13" s="55">
        <f>+'HTR8 A'!C13</f>
        <v/>
      </c>
      <c r="F13" s="56">
        <f>(E13*100)/E$8</f>
        <v/>
      </c>
      <c r="G13" s="55">
        <f>+'TIRR A'!C13</f>
        <v/>
      </c>
      <c r="H13" s="56">
        <f>(G13*100)/G$8</f>
        <v/>
      </c>
      <c r="I13" s="55">
        <f>+'VR7 A'!C13</f>
        <v/>
      </c>
      <c r="J13" s="56">
        <f>(I13*100)/I$8</f>
        <v/>
      </c>
      <c r="K13" s="55">
        <f>+'TURVILLA A'!C13</f>
        <v/>
      </c>
      <c r="L13" s="56">
        <f>(K13*100)/K$8</f>
        <v/>
      </c>
      <c r="M13" s="55">
        <f>+'HART A'!C13</f>
        <v/>
      </c>
      <c r="N13" s="56">
        <f>(M13*100)/M$8</f>
        <v/>
      </c>
      <c r="O13" s="55">
        <f>+'VICTOIRE A'!C13</f>
        <v/>
      </c>
      <c r="P13" s="56">
        <f>(O13*100)/O$8</f>
        <v/>
      </c>
      <c r="Q13" s="55">
        <f>+'TH4 A'!C13</f>
        <v/>
      </c>
      <c r="R13" s="56">
        <f>(Q13*100)/Q$8</f>
        <v/>
      </c>
      <c r="S13" s="55">
        <f>+'DIVES A'!C13</f>
        <v/>
      </c>
      <c r="T13" s="56">
        <f>(S13*100)/S$8</f>
        <v/>
      </c>
      <c r="U13" s="55">
        <f>+'R314 A'!C13</f>
        <v/>
      </c>
      <c r="V13" s="56">
        <f>(U13*100)/U$8</f>
        <v/>
      </c>
      <c r="W13" s="55">
        <f>+'LYSE A'!C13</f>
        <v/>
      </c>
      <c r="X13" s="56">
        <f>(W13*100)/W$8</f>
        <v/>
      </c>
      <c r="Y13" s="55">
        <f>+'ARTHUR A'!C13</f>
        <v/>
      </c>
      <c r="Z13" s="56">
        <f>(Y13*100)/Y$8</f>
        <v/>
      </c>
      <c r="AA13" s="55">
        <f>+'HUGO A'!C13</f>
        <v/>
      </c>
      <c r="AB13" s="56">
        <f>(AA13*100)/AA$8</f>
        <v/>
      </c>
      <c r="AC13" s="55">
        <f>+'JEANCLO A'!C13</f>
        <v/>
      </c>
      <c r="AD13" s="56">
        <f>(AC13*100)/AC$8</f>
        <v/>
      </c>
      <c r="AE13" s="55">
        <f>+'THOMAS A'!C13</f>
        <v/>
      </c>
      <c r="AF13" s="56">
        <f>(AE13*100)/AE$8</f>
        <v/>
      </c>
      <c r="AG13" s="55">
        <f>+'CATALINA A'!C13</f>
        <v/>
      </c>
      <c r="AH13" s="56">
        <f>(AG13*100)/AG$8</f>
        <v/>
      </c>
      <c r="AI13" s="55">
        <f>+C13+E13+G13+I13+K13+M13+O13+Q13+S13+U13+W13+Y13+AA13+AC13+AE13+AG13</f>
        <v/>
      </c>
      <c r="AJ13" s="56">
        <f>(AI13*100)/AI$8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+'GLR5 A'!C14</f>
        <v/>
      </c>
      <c r="D14" s="17">
        <f>(C14*100)/C$8</f>
        <v/>
      </c>
      <c r="E14" s="23">
        <f>+'HTR8 A'!C14</f>
        <v/>
      </c>
      <c r="F14" s="17">
        <f>(E14*100)/E$8</f>
        <v/>
      </c>
      <c r="G14" s="23">
        <f>+'TIRR A'!C14</f>
        <v/>
      </c>
      <c r="H14" s="17">
        <f>(G14*100)/G$8</f>
        <v/>
      </c>
      <c r="I14" s="23">
        <f>+'VR7 A'!C14</f>
        <v/>
      </c>
      <c r="J14" s="17">
        <f>(I14*100)/I$8</f>
        <v/>
      </c>
      <c r="K14" s="23">
        <f>+'TURVILLA A'!C14</f>
        <v/>
      </c>
      <c r="L14" s="17">
        <f>(K14*100)/K$8</f>
        <v/>
      </c>
      <c r="M14" s="23">
        <f>+'HART A'!C14</f>
        <v/>
      </c>
      <c r="N14" s="17">
        <f>(M14*100)/M$8</f>
        <v/>
      </c>
      <c r="O14" s="23">
        <f>+'VICTOIRE A'!C14</f>
        <v/>
      </c>
      <c r="P14" s="17">
        <f>(O14*100)/O$8</f>
        <v/>
      </c>
      <c r="Q14" s="23">
        <f>+'TH4 A'!C14</f>
        <v/>
      </c>
      <c r="R14" s="17">
        <f>(Q14*100)/Q$8</f>
        <v/>
      </c>
      <c r="S14" s="23">
        <f>+'DIVES A'!C14</f>
        <v/>
      </c>
      <c r="T14" s="17">
        <f>(S14*100)/S$8</f>
        <v/>
      </c>
      <c r="U14" s="23">
        <f>+'R314 A'!C14</f>
        <v/>
      </c>
      <c r="V14" s="17">
        <f>(U14*100)/U$8</f>
        <v/>
      </c>
      <c r="W14" s="23">
        <f>+'LYSE A'!C14</f>
        <v/>
      </c>
      <c r="X14" s="17">
        <f>(W14*100)/W$8</f>
        <v/>
      </c>
      <c r="Y14" s="23">
        <f>+'ARTHUR A'!C14</f>
        <v/>
      </c>
      <c r="Z14" s="17">
        <f>(Y14*100)/Y$8</f>
        <v/>
      </c>
      <c r="AA14" s="23">
        <f>+'HUGO A'!C14</f>
        <v/>
      </c>
      <c r="AB14" s="17">
        <f>(AA14*100)/AA$8</f>
        <v/>
      </c>
      <c r="AC14" s="23">
        <f>+'JEANCLO A'!C14</f>
        <v/>
      </c>
      <c r="AD14" s="17">
        <f>(AC14*100)/AC$8</f>
        <v/>
      </c>
      <c r="AE14" s="23">
        <f>+'THOMAS A'!C14</f>
        <v/>
      </c>
      <c r="AF14" s="17">
        <f>(AE14*100)/AE$8</f>
        <v/>
      </c>
      <c r="AG14" s="23">
        <f>+'CATALINA A'!C14</f>
        <v/>
      </c>
      <c r="AH14" s="17">
        <f>(AG14*100)/AG$8</f>
        <v/>
      </c>
      <c r="AI14" s="23">
        <f>+C14+E14+G14+I14+K14+M14+O14+Q14+S14+U14+W14+Y14+AA14+AC14+AE14+AG14</f>
        <v/>
      </c>
      <c r="AJ14" s="17">
        <f>(AI14*100)/AI$8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+'GLR5 A'!C15</f>
        <v/>
      </c>
      <c r="D15" s="17">
        <f>(C15*100)/C$8</f>
        <v/>
      </c>
      <c r="E15" s="23">
        <f>+'HTR8 A'!C15</f>
        <v/>
      </c>
      <c r="F15" s="17">
        <f>(E15*100)/E$8</f>
        <v/>
      </c>
      <c r="G15" s="23">
        <f>+'TIRR A'!C15</f>
        <v/>
      </c>
      <c r="H15" s="17">
        <f>(G15*100)/G$8</f>
        <v/>
      </c>
      <c r="I15" s="23">
        <f>+'VR7 A'!C15</f>
        <v/>
      </c>
      <c r="J15" s="17">
        <f>(I15*100)/I$8</f>
        <v/>
      </c>
      <c r="K15" s="23">
        <f>+'TURVILLA A'!C15</f>
        <v/>
      </c>
      <c r="L15" s="17">
        <f>(K15*100)/K$8</f>
        <v/>
      </c>
      <c r="M15" s="23">
        <f>+'HART A'!C15</f>
        <v/>
      </c>
      <c r="N15" s="17">
        <f>(M15*100)/M$8</f>
        <v/>
      </c>
      <c r="O15" s="23">
        <f>+'VICTOIRE A'!C15</f>
        <v/>
      </c>
      <c r="P15" s="17">
        <f>(O15*100)/O$8</f>
        <v/>
      </c>
      <c r="Q15" s="23">
        <f>+'TH4 A'!C15</f>
        <v/>
      </c>
      <c r="R15" s="17">
        <f>(Q15*100)/Q$8</f>
        <v/>
      </c>
      <c r="S15" s="23">
        <f>+'DIVES A'!C15</f>
        <v/>
      </c>
      <c r="T15" s="17">
        <f>(S15*100)/S$8</f>
        <v/>
      </c>
      <c r="U15" s="23">
        <f>+'R314 A'!C15</f>
        <v/>
      </c>
      <c r="V15" s="17">
        <f>(U15*100)/U$8</f>
        <v/>
      </c>
      <c r="W15" s="23">
        <f>+'LYSE A'!C15</f>
        <v/>
      </c>
      <c r="X15" s="17">
        <f>(W15*100)/W$8</f>
        <v/>
      </c>
      <c r="Y15" s="23">
        <f>+'ARTHUR A'!C15</f>
        <v/>
      </c>
      <c r="Z15" s="17">
        <f>(Y15*100)/Y$8</f>
        <v/>
      </c>
      <c r="AA15" s="23">
        <f>+'HUGO A'!C15</f>
        <v/>
      </c>
      <c r="AB15" s="17">
        <f>(AA15*100)/AA$8</f>
        <v/>
      </c>
      <c r="AC15" s="23">
        <f>+'JEANCLO A'!C15</f>
        <v/>
      </c>
      <c r="AD15" s="17">
        <f>(AC15*100)/AC$8</f>
        <v/>
      </c>
      <c r="AE15" s="23">
        <f>+'THOMAS A'!C15</f>
        <v/>
      </c>
      <c r="AF15" s="17">
        <f>(AE15*100)/AE$8</f>
        <v/>
      </c>
      <c r="AG15" s="23">
        <f>+'CATALINA A'!C15</f>
        <v/>
      </c>
      <c r="AH15" s="17">
        <f>(AG15*100)/AG$8</f>
        <v/>
      </c>
      <c r="AI15" s="23">
        <f>+C15+E15+G15+I15+K15+M15+O15+Q15+S15+U15+W15+Y15+AA15+AC15+AE15+AG15</f>
        <v/>
      </c>
      <c r="AJ15" s="17">
        <f>(AI15*100)/AI$8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+'GLR5 A'!C16</f>
        <v/>
      </c>
      <c r="D16" s="50">
        <f>(C16*100)/C$8</f>
        <v/>
      </c>
      <c r="E16" s="49">
        <f>+'HTR8 A'!C16</f>
        <v/>
      </c>
      <c r="F16" s="50">
        <f>(E16*100)/E$8</f>
        <v/>
      </c>
      <c r="G16" s="49">
        <f>+'TIRR A'!C16</f>
        <v/>
      </c>
      <c r="H16" s="50">
        <f>(G16*100)/G$8</f>
        <v/>
      </c>
      <c r="I16" s="49">
        <f>+'VR7 A'!C16</f>
        <v/>
      </c>
      <c r="J16" s="50">
        <f>(I16*100)/I$8</f>
        <v/>
      </c>
      <c r="K16" s="49">
        <f>+'TURVILLA A'!C16</f>
        <v/>
      </c>
      <c r="L16" s="50">
        <f>(K16*100)/K$8</f>
        <v/>
      </c>
      <c r="M16" s="49">
        <f>+'HART A'!C16</f>
        <v/>
      </c>
      <c r="N16" s="50">
        <f>(M16*100)/M$8</f>
        <v/>
      </c>
      <c r="O16" s="49">
        <f>+'VICTOIRE A'!C16</f>
        <v/>
      </c>
      <c r="P16" s="50">
        <f>(O16*100)/O$8</f>
        <v/>
      </c>
      <c r="Q16" s="49">
        <f>+'TH4 A'!C16</f>
        <v/>
      </c>
      <c r="R16" s="50">
        <f>(Q16*100)/Q$8</f>
        <v/>
      </c>
      <c r="S16" s="49">
        <f>+'DIVES A'!C16</f>
        <v/>
      </c>
      <c r="T16" s="50">
        <f>(S16*100)/S$8</f>
        <v/>
      </c>
      <c r="U16" s="49">
        <f>+'R314 A'!C16</f>
        <v/>
      </c>
      <c r="V16" s="50">
        <f>(U16*100)/U$8</f>
        <v/>
      </c>
      <c r="W16" s="49">
        <f>+'LYSE A'!C16</f>
        <v/>
      </c>
      <c r="X16" s="50">
        <f>(W16*100)/W$8</f>
        <v/>
      </c>
      <c r="Y16" s="49">
        <f>+'ARTHUR A'!C16</f>
        <v/>
      </c>
      <c r="Z16" s="50">
        <f>(Y16*100)/Y$8</f>
        <v/>
      </c>
      <c r="AA16" s="49">
        <f>+'HUGO A'!C16</f>
        <v/>
      </c>
      <c r="AB16" s="50">
        <f>(AA16*100)/AA$8</f>
        <v/>
      </c>
      <c r="AC16" s="49">
        <f>+'JEANCLO A'!C16</f>
        <v/>
      </c>
      <c r="AD16" s="50">
        <f>(AC16*100)/AC$8</f>
        <v/>
      </c>
      <c r="AE16" s="49">
        <f>+'THOMAS A'!C16</f>
        <v/>
      </c>
      <c r="AF16" s="50">
        <f>(AE16*100)/AE$8</f>
        <v/>
      </c>
      <c r="AG16" s="49">
        <f>+'CATALINA A'!C16</f>
        <v/>
      </c>
      <c r="AH16" s="50">
        <f>(AG16*100)/AG$8</f>
        <v/>
      </c>
      <c r="AI16" s="49">
        <f>+C16+E16+G16+I16+K16+M16+O16+Q16+S16+U16+W16+Y16+AA16+AC16+AE16+AG16</f>
        <v/>
      </c>
      <c r="AJ16" s="50">
        <f>(AI16*100)/AI$8</f>
        <v/>
      </c>
    </row>
    <row r="17" ht="14.25" customHeight="1" s="161" thickBot="1" thickTop="1">
      <c r="A17" s="435" t="n"/>
      <c r="B17" s="441" t="n"/>
      <c r="C17" s="442" t="n"/>
      <c r="D17" s="54" t="n"/>
      <c r="E17" s="442" t="n"/>
      <c r="F17" s="54" t="n"/>
      <c r="G17" s="442" t="n"/>
      <c r="H17" s="54" t="n"/>
      <c r="I17" s="442" t="n"/>
      <c r="J17" s="54" t="n"/>
      <c r="K17" s="442" t="n"/>
      <c r="L17" s="54" t="n"/>
      <c r="M17" s="442" t="n"/>
      <c r="N17" s="54" t="n"/>
      <c r="O17" s="442" t="n"/>
      <c r="P17" s="54" t="n"/>
      <c r="Q17" s="442" t="n"/>
      <c r="R17" s="54" t="n"/>
      <c r="S17" s="442" t="n"/>
      <c r="T17" s="54" t="n"/>
      <c r="U17" s="442" t="n"/>
      <c r="V17" s="54" t="n"/>
      <c r="W17" s="442" t="n"/>
      <c r="X17" s="54" t="n"/>
      <c r="Y17" s="442" t="n"/>
      <c r="Z17" s="54" t="n"/>
      <c r="AA17" s="442" t="n"/>
      <c r="AB17" s="54" t="n"/>
      <c r="AC17" s="442" t="n"/>
      <c r="AD17" s="54" t="n"/>
      <c r="AE17" s="442" t="n"/>
      <c r="AF17" s="54" t="n"/>
      <c r="AG17" s="442" t="n"/>
      <c r="AH17" s="54" t="n"/>
      <c r="AI17" s="442" t="n"/>
      <c r="AJ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+'GLR5 A'!C18</f>
        <v/>
      </c>
      <c r="D18" s="71">
        <f>(C18*100)/C$8</f>
        <v/>
      </c>
      <c r="E18" s="70">
        <f>+'HTR8 A'!C18</f>
        <v/>
      </c>
      <c r="F18" s="71">
        <f>(E18*100)/E$8</f>
        <v/>
      </c>
      <c r="G18" s="70">
        <f>+'TIRR A'!C18</f>
        <v/>
      </c>
      <c r="H18" s="71">
        <f>(G18*100)/G$8</f>
        <v/>
      </c>
      <c r="I18" s="70">
        <f>+'VR7 A'!C18</f>
        <v/>
      </c>
      <c r="J18" s="71">
        <f>(I18*100)/I$8</f>
        <v/>
      </c>
      <c r="K18" s="70">
        <f>+'TURVILLA A'!C18</f>
        <v/>
      </c>
      <c r="L18" s="71">
        <f>(K18*100)/K$8</f>
        <v/>
      </c>
      <c r="M18" s="70">
        <f>+'HART A'!C18</f>
        <v/>
      </c>
      <c r="N18" s="71">
        <f>(M18*100)/M$8</f>
        <v/>
      </c>
      <c r="O18" s="70">
        <f>+'VICTOIRE A'!C18</f>
        <v/>
      </c>
      <c r="P18" s="71">
        <f>(O18*100)/O$8</f>
        <v/>
      </c>
      <c r="Q18" s="70">
        <f>+'TH4 A'!C18</f>
        <v/>
      </c>
      <c r="R18" s="71">
        <f>(Q18*100)/Q$8</f>
        <v/>
      </c>
      <c r="S18" s="70">
        <f>+'DIVES A'!C18</f>
        <v/>
      </c>
      <c r="T18" s="71">
        <f>(S18*100)/S$8</f>
        <v/>
      </c>
      <c r="U18" s="70">
        <f>+'R314 A'!C18</f>
        <v/>
      </c>
      <c r="V18" s="71">
        <f>(U18*100)/U$8</f>
        <v/>
      </c>
      <c r="W18" s="70">
        <f>+'LYSE A'!C18</f>
        <v/>
      </c>
      <c r="X18" s="71">
        <f>(W18*100)/W$8</f>
        <v/>
      </c>
      <c r="Y18" s="70">
        <f>+'ARTHUR A'!C18</f>
        <v/>
      </c>
      <c r="Z18" s="71">
        <f>(Y18*100)/Y$8</f>
        <v/>
      </c>
      <c r="AA18" s="70">
        <f>+'HUGO A'!C18</f>
        <v/>
      </c>
      <c r="AB18" s="71">
        <f>(AA18*100)/AA$8</f>
        <v/>
      </c>
      <c r="AC18" s="70">
        <f>+'JEANCLO A'!C18</f>
        <v/>
      </c>
      <c r="AD18" s="71">
        <f>(AC18*100)/AC$8</f>
        <v/>
      </c>
      <c r="AE18" s="70">
        <f>+'THOMAS A'!C18</f>
        <v/>
      </c>
      <c r="AF18" s="71">
        <f>(AE18*100)/AE$8</f>
        <v/>
      </c>
      <c r="AG18" s="70">
        <f>+'CATALINA A'!C18</f>
        <v/>
      </c>
      <c r="AH18" s="71">
        <f>(AG18*100)/AG$8</f>
        <v/>
      </c>
      <c r="AI18" s="70">
        <f>+C18+E18+G18+I18+K18+M18+O18+Q18+S18+U18+W18+Y18+AA18+AC18+AE18+AG18</f>
        <v/>
      </c>
      <c r="AJ18" s="71">
        <f>(AI18*100)/AI$8</f>
        <v/>
      </c>
    </row>
    <row r="19" ht="7.15" customHeight="1" s="161" thickTop="1">
      <c r="A19" s="435" t="n"/>
      <c r="B19" s="443" t="n"/>
      <c r="C19" s="388" t="n"/>
      <c r="D19" s="10" t="n"/>
      <c r="E19" s="388" t="n"/>
      <c r="F19" s="10" t="n"/>
      <c r="G19" s="388" t="n"/>
      <c r="H19" s="10" t="n"/>
      <c r="I19" s="388" t="n"/>
      <c r="J19" s="10" t="n"/>
      <c r="K19" s="388" t="n"/>
      <c r="L19" s="10" t="n"/>
      <c r="M19" s="388" t="n"/>
      <c r="N19" s="10" t="n"/>
      <c r="O19" s="388" t="n"/>
      <c r="P19" s="10" t="n"/>
      <c r="Q19" s="388" t="n"/>
      <c r="R19" s="10" t="n"/>
      <c r="S19" s="388" t="n"/>
      <c r="T19" s="10" t="n"/>
      <c r="U19" s="388" t="n"/>
      <c r="V19" s="10" t="n"/>
      <c r="W19" s="388" t="n"/>
      <c r="X19" s="10" t="n"/>
      <c r="Y19" s="388" t="n"/>
      <c r="Z19" s="10" t="n"/>
      <c r="AA19" s="388" t="n"/>
      <c r="AB19" s="10" t="n"/>
      <c r="AC19" s="388" t="n"/>
      <c r="AD19" s="10" t="n"/>
      <c r="AE19" s="388" t="n"/>
      <c r="AF19" s="10" t="n"/>
      <c r="AG19" s="388" t="n"/>
      <c r="AH19" s="10" t="n"/>
      <c r="AI19" s="388" t="n"/>
      <c r="AJ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+'GLR5 A'!C20</f>
        <v/>
      </c>
      <c r="D20" s="17">
        <f>(C20*100)/C$8</f>
        <v/>
      </c>
      <c r="E20" s="23">
        <f>+'HTR8 A'!C20</f>
        <v/>
      </c>
      <c r="F20" s="17">
        <f>(E20*100)/E$8</f>
        <v/>
      </c>
      <c r="G20" s="23">
        <f>+'TIRR A'!C20</f>
        <v/>
      </c>
      <c r="H20" s="17">
        <f>(G20*100)/G$8</f>
        <v/>
      </c>
      <c r="I20" s="23">
        <f>+'VR7 A'!C20</f>
        <v/>
      </c>
      <c r="J20" s="17">
        <f>(I20*100)/I$8</f>
        <v/>
      </c>
      <c r="K20" s="23">
        <f>+'TURVILLA A'!C20</f>
        <v/>
      </c>
      <c r="L20" s="17">
        <f>(K20*100)/K$8</f>
        <v/>
      </c>
      <c r="M20" s="23">
        <f>+'HART A'!C20</f>
        <v/>
      </c>
      <c r="N20" s="17">
        <f>(M20*100)/M$8</f>
        <v/>
      </c>
      <c r="O20" s="23">
        <f>+'VICTOIRE A'!C20</f>
        <v/>
      </c>
      <c r="P20" s="17">
        <f>(O20*100)/O$8</f>
        <v/>
      </c>
      <c r="Q20" s="23">
        <f>+'TH4 A'!C20</f>
        <v/>
      </c>
      <c r="R20" s="17">
        <f>(Q20*100)/Q$8</f>
        <v/>
      </c>
      <c r="S20" s="23">
        <f>+'DIVES A'!C20</f>
        <v/>
      </c>
      <c r="T20" s="17">
        <f>(S20*100)/S$8</f>
        <v/>
      </c>
      <c r="U20" s="23">
        <f>+'R314 A'!C20</f>
        <v/>
      </c>
      <c r="V20" s="17">
        <f>(U20*100)/U$8</f>
        <v/>
      </c>
      <c r="W20" s="23">
        <f>+'LYSE A'!C20</f>
        <v/>
      </c>
      <c r="X20" s="17">
        <f>(W20*100)/W$8</f>
        <v/>
      </c>
      <c r="Y20" s="23">
        <f>+'ARTHUR A'!C20</f>
        <v/>
      </c>
      <c r="Z20" s="17">
        <f>(Y20*100)/Y$8</f>
        <v/>
      </c>
      <c r="AA20" s="23">
        <f>+'HUGO A'!C20</f>
        <v/>
      </c>
      <c r="AB20" s="17">
        <f>(AA20*100)/AA$8</f>
        <v/>
      </c>
      <c r="AC20" s="23">
        <f>+'JEANCLO A'!C20</f>
        <v/>
      </c>
      <c r="AD20" s="17">
        <f>(AC20*100)/AC$8</f>
        <v/>
      </c>
      <c r="AE20" s="23">
        <f>+'THOMAS A'!C20</f>
        <v/>
      </c>
      <c r="AF20" s="17">
        <f>(AE20*100)/AE$8</f>
        <v/>
      </c>
      <c r="AG20" s="23">
        <f>+'CATALINA A'!C20</f>
        <v/>
      </c>
      <c r="AH20" s="17">
        <f>(AG20*100)/AG$8</f>
        <v/>
      </c>
      <c r="AI20" s="23">
        <f>+C20+E20+G20+I20+K20+M20+O20+Q20+S20+U20+W20+Y20+AA20+AC20+AE20+AG20</f>
        <v/>
      </c>
      <c r="AJ20" s="17">
        <f>(AI20*100)/AI$8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+'GLR5 A'!C21</f>
        <v/>
      </c>
      <c r="D21" s="17">
        <f>(C21*100)/C$8</f>
        <v/>
      </c>
      <c r="E21" s="23">
        <f>+'HTR8 A'!C21</f>
        <v/>
      </c>
      <c r="F21" s="17">
        <f>(E21*100)/E$8</f>
        <v/>
      </c>
      <c r="G21" s="23">
        <f>+'TIRR A'!C21</f>
        <v/>
      </c>
      <c r="H21" s="17">
        <f>(G21*100)/G$8</f>
        <v/>
      </c>
      <c r="I21" s="23">
        <f>+'VR7 A'!C21</f>
        <v/>
      </c>
      <c r="J21" s="17">
        <f>(I21*100)/I$8</f>
        <v/>
      </c>
      <c r="K21" s="23">
        <f>+'TURVILLA A'!C21</f>
        <v/>
      </c>
      <c r="L21" s="17">
        <f>(K21*100)/K$8</f>
        <v/>
      </c>
      <c r="M21" s="23">
        <f>+'HART A'!C21</f>
        <v/>
      </c>
      <c r="N21" s="17">
        <f>(M21*100)/M$8</f>
        <v/>
      </c>
      <c r="O21" s="23">
        <f>+'VICTOIRE A'!C21</f>
        <v/>
      </c>
      <c r="P21" s="17">
        <f>(O21*100)/O$8</f>
        <v/>
      </c>
      <c r="Q21" s="23">
        <f>+'TH4 A'!C21</f>
        <v/>
      </c>
      <c r="R21" s="17">
        <f>(Q21*100)/Q$8</f>
        <v/>
      </c>
      <c r="S21" s="23">
        <f>+'DIVES A'!C21</f>
        <v/>
      </c>
      <c r="T21" s="17">
        <f>(S21*100)/S$8</f>
        <v/>
      </c>
      <c r="U21" s="23">
        <f>+'R314 A'!C21</f>
        <v/>
      </c>
      <c r="V21" s="17">
        <f>(U21*100)/U$8</f>
        <v/>
      </c>
      <c r="W21" s="23">
        <f>+'LYSE A'!C21</f>
        <v/>
      </c>
      <c r="X21" s="17">
        <f>(W21*100)/W$8</f>
        <v/>
      </c>
      <c r="Y21" s="23">
        <f>+'ARTHUR A'!C21</f>
        <v/>
      </c>
      <c r="Z21" s="17">
        <f>(Y21*100)/Y$8</f>
        <v/>
      </c>
      <c r="AA21" s="23">
        <f>+'HUGO A'!C21</f>
        <v/>
      </c>
      <c r="AB21" s="17">
        <f>(AA21*100)/AA$8</f>
        <v/>
      </c>
      <c r="AC21" s="23">
        <f>+'JEANCLO A'!C21</f>
        <v/>
      </c>
      <c r="AD21" s="17">
        <f>(AC21*100)/AC$8</f>
        <v/>
      </c>
      <c r="AE21" s="23">
        <f>+'THOMAS A'!C21</f>
        <v/>
      </c>
      <c r="AF21" s="17">
        <f>(AE21*100)/AE$8</f>
        <v/>
      </c>
      <c r="AG21" s="23">
        <f>+'CATALINA A'!C21</f>
        <v/>
      </c>
      <c r="AH21" s="17">
        <f>(AG21*100)/AG$8</f>
        <v/>
      </c>
      <c r="AI21" s="23">
        <f>+C21+E21+G21+I21+K21+M21+O21+Q21+S21+U21+W21+Y21+AA21+AC21+AE21+AG21</f>
        <v/>
      </c>
      <c r="AJ21" s="17">
        <f>(AI21*100)/AI$8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+'GLR5 A'!C22</f>
        <v/>
      </c>
      <c r="D22" s="17">
        <f>(C22*100)/C$8</f>
        <v/>
      </c>
      <c r="E22" s="23">
        <f>+'HTR8 A'!C22</f>
        <v/>
      </c>
      <c r="F22" s="17">
        <f>(E22*100)/E$8</f>
        <v/>
      </c>
      <c r="G22" s="23">
        <f>+'TIRR A'!C22</f>
        <v/>
      </c>
      <c r="H22" s="17">
        <f>(G22*100)/G$8</f>
        <v/>
      </c>
      <c r="I22" s="23">
        <f>+'VR7 A'!C22</f>
        <v/>
      </c>
      <c r="J22" s="17">
        <f>(I22*100)/I$8</f>
        <v/>
      </c>
      <c r="K22" s="23">
        <f>+'TURVILLA A'!C22</f>
        <v/>
      </c>
      <c r="L22" s="17">
        <f>(K22*100)/K$8</f>
        <v/>
      </c>
      <c r="M22" s="23">
        <f>+'HART A'!C22</f>
        <v/>
      </c>
      <c r="N22" s="17">
        <f>(M22*100)/M$8</f>
        <v/>
      </c>
      <c r="O22" s="23">
        <f>+'VICTOIRE A'!C22</f>
        <v/>
      </c>
      <c r="P22" s="17">
        <f>(O22*100)/O$8</f>
        <v/>
      </c>
      <c r="Q22" s="23">
        <f>+'TH4 A'!C22</f>
        <v/>
      </c>
      <c r="R22" s="17">
        <f>(Q22*100)/Q$8</f>
        <v/>
      </c>
      <c r="S22" s="23">
        <f>+'DIVES A'!C22</f>
        <v/>
      </c>
      <c r="T22" s="17">
        <f>(S22*100)/S$8</f>
        <v/>
      </c>
      <c r="U22" s="23">
        <f>+'R314 A'!C22</f>
        <v/>
      </c>
      <c r="V22" s="17">
        <f>(U22*100)/U$8</f>
        <v/>
      </c>
      <c r="W22" s="23">
        <f>+'LYSE A'!C22</f>
        <v/>
      </c>
      <c r="X22" s="17">
        <f>(W22*100)/W$8</f>
        <v/>
      </c>
      <c r="Y22" s="23">
        <f>+'ARTHUR A'!C22</f>
        <v/>
      </c>
      <c r="Z22" s="17">
        <f>(Y22*100)/Y$8</f>
        <v/>
      </c>
      <c r="AA22" s="23">
        <f>+'HUGO A'!C22</f>
        <v/>
      </c>
      <c r="AB22" s="17">
        <f>(AA22*100)/AA$8</f>
        <v/>
      </c>
      <c r="AC22" s="23">
        <f>+'JEANCLO A'!C22</f>
        <v/>
      </c>
      <c r="AD22" s="17">
        <f>(AC22*100)/AC$8</f>
        <v/>
      </c>
      <c r="AE22" s="23">
        <f>+'THOMAS A'!C22</f>
        <v/>
      </c>
      <c r="AF22" s="17">
        <f>(AE22*100)/AE$8</f>
        <v/>
      </c>
      <c r="AG22" s="23">
        <f>+'CATALINA A'!C22</f>
        <v/>
      </c>
      <c r="AH22" s="17">
        <f>(AG22*100)/AG$8</f>
        <v/>
      </c>
      <c r="AI22" s="23">
        <f>+C22+E22+G22+I22+K22+M22+O22+Q22+S22+U22+W22+Y22+AA22+AC22+AE22+AG22</f>
        <v/>
      </c>
      <c r="AJ22" s="17">
        <f>(AI22*100)/AI$8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+'GLR5 A'!C23</f>
        <v/>
      </c>
      <c r="D23" s="17">
        <f>(C23*100)/C$8</f>
        <v/>
      </c>
      <c r="E23" s="23">
        <f>+'HTR8 A'!C23</f>
        <v/>
      </c>
      <c r="F23" s="17">
        <f>(E23*100)/E$8</f>
        <v/>
      </c>
      <c r="G23" s="23">
        <f>+'TIRR A'!C23</f>
        <v/>
      </c>
      <c r="H23" s="17">
        <f>(G23*100)/G$8</f>
        <v/>
      </c>
      <c r="I23" s="23">
        <f>+'VR7 A'!C23</f>
        <v/>
      </c>
      <c r="J23" s="17">
        <f>(I23*100)/I$8</f>
        <v/>
      </c>
      <c r="K23" s="23">
        <f>+'TURVILLA A'!C23</f>
        <v/>
      </c>
      <c r="L23" s="17">
        <f>(K23*100)/K$8</f>
        <v/>
      </c>
      <c r="M23" s="23">
        <f>+'HART A'!C23</f>
        <v/>
      </c>
      <c r="N23" s="17">
        <f>(M23*100)/M$8</f>
        <v/>
      </c>
      <c r="O23" s="23">
        <f>+'VICTOIRE A'!C23</f>
        <v/>
      </c>
      <c r="P23" s="17">
        <f>(O23*100)/O$8</f>
        <v/>
      </c>
      <c r="Q23" s="23">
        <f>+'TH4 A'!C23</f>
        <v/>
      </c>
      <c r="R23" s="17">
        <f>(Q23*100)/Q$8</f>
        <v/>
      </c>
      <c r="S23" s="23">
        <f>+'DIVES A'!C23</f>
        <v/>
      </c>
      <c r="T23" s="17">
        <f>(S23*100)/S$8</f>
        <v/>
      </c>
      <c r="U23" s="23">
        <f>+'R314 A'!C23</f>
        <v/>
      </c>
      <c r="V23" s="17">
        <f>(U23*100)/U$8</f>
        <v/>
      </c>
      <c r="W23" s="23">
        <f>+'LYSE A'!C23</f>
        <v/>
      </c>
      <c r="X23" s="17">
        <f>(W23*100)/W$8</f>
        <v/>
      </c>
      <c r="Y23" s="23">
        <f>+'ARTHUR A'!C23</f>
        <v/>
      </c>
      <c r="Z23" s="17">
        <f>(Y23*100)/Y$8</f>
        <v/>
      </c>
      <c r="AA23" s="23">
        <f>+'HUGO A'!C23</f>
        <v/>
      </c>
      <c r="AB23" s="17">
        <f>(AA23*100)/AA$8</f>
        <v/>
      </c>
      <c r="AC23" s="23">
        <f>+'JEANCLO A'!C23</f>
        <v/>
      </c>
      <c r="AD23" s="17">
        <f>(AC23*100)/AC$8</f>
        <v/>
      </c>
      <c r="AE23" s="23">
        <f>+'THOMAS A'!C23</f>
        <v/>
      </c>
      <c r="AF23" s="17">
        <f>(AE23*100)/AE$8</f>
        <v/>
      </c>
      <c r="AG23" s="23">
        <f>+'CATALINA A'!C23</f>
        <v/>
      </c>
      <c r="AH23" s="17">
        <f>(AG23*100)/AG$8</f>
        <v/>
      </c>
      <c r="AI23" s="23">
        <f>+C23+E23+G23+I23+K23+M23+O23+Q23+S23+U23+W23+Y23+AA23+AC23+AE23+AG23</f>
        <v/>
      </c>
      <c r="AJ23" s="17">
        <f>(AI23*100)/AI$8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+'GLR5 A'!C24</f>
        <v/>
      </c>
      <c r="D24" s="17">
        <f>(C24*100)/C$8</f>
        <v/>
      </c>
      <c r="E24" s="23">
        <f>+'HTR8 A'!C24</f>
        <v/>
      </c>
      <c r="F24" s="17">
        <f>(E24*100)/E$8</f>
        <v/>
      </c>
      <c r="G24" s="23">
        <f>+'TIRR A'!C24</f>
        <v/>
      </c>
      <c r="H24" s="17">
        <f>(G24*100)/G$8</f>
        <v/>
      </c>
      <c r="I24" s="23">
        <f>+'VR7 A'!C24</f>
        <v/>
      </c>
      <c r="J24" s="17">
        <f>(I24*100)/I$8</f>
        <v/>
      </c>
      <c r="K24" s="23">
        <f>+'TURVILLA A'!C24</f>
        <v/>
      </c>
      <c r="L24" s="17">
        <f>(K24*100)/K$8</f>
        <v/>
      </c>
      <c r="M24" s="23">
        <f>+'HART A'!C24</f>
        <v/>
      </c>
      <c r="N24" s="17">
        <f>(M24*100)/M$8</f>
        <v/>
      </c>
      <c r="O24" s="23">
        <f>+'VICTOIRE A'!C24</f>
        <v/>
      </c>
      <c r="P24" s="17">
        <f>(O24*100)/O$8</f>
        <v/>
      </c>
      <c r="Q24" s="23">
        <f>+'TH4 A'!C24</f>
        <v/>
      </c>
      <c r="R24" s="17">
        <f>(Q24*100)/Q$8</f>
        <v/>
      </c>
      <c r="S24" s="23">
        <f>+'DIVES A'!C24</f>
        <v/>
      </c>
      <c r="T24" s="17">
        <f>(S24*100)/S$8</f>
        <v/>
      </c>
      <c r="U24" s="23">
        <f>+'R314 A'!C24</f>
        <v/>
      </c>
      <c r="V24" s="17">
        <f>(U24*100)/U$8</f>
        <v/>
      </c>
      <c r="W24" s="23">
        <f>+'LYSE A'!C24</f>
        <v/>
      </c>
      <c r="X24" s="17">
        <f>(W24*100)/W$8</f>
        <v/>
      </c>
      <c r="Y24" s="23">
        <f>+'ARTHUR A'!C24</f>
        <v/>
      </c>
      <c r="Z24" s="17">
        <f>(Y24*100)/Y$8</f>
        <v/>
      </c>
      <c r="AA24" s="23">
        <f>+'HUGO A'!C24</f>
        <v/>
      </c>
      <c r="AB24" s="17">
        <f>(AA24*100)/AA$8</f>
        <v/>
      </c>
      <c r="AC24" s="23">
        <f>+'JEANCLO A'!C24</f>
        <v/>
      </c>
      <c r="AD24" s="17">
        <f>(AC24*100)/AC$8</f>
        <v/>
      </c>
      <c r="AE24" s="23">
        <f>+'THOMAS A'!C24</f>
        <v/>
      </c>
      <c r="AF24" s="17">
        <f>(AE24*100)/AE$8</f>
        <v/>
      </c>
      <c r="AG24" s="23">
        <f>+'CATALINA A'!C24</f>
        <v/>
      </c>
      <c r="AH24" s="17">
        <f>(AG24*100)/AG$8</f>
        <v/>
      </c>
      <c r="AI24" s="23">
        <f>+C24+E24+G24+I24+K24+M24+O24+Q24+S24+U24+W24+Y24+AA24+AC24+AE24+AG24</f>
        <v/>
      </c>
      <c r="AJ24" s="17">
        <f>(AI24*100)/AI$8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+'GLR5 A'!C25</f>
        <v/>
      </c>
      <c r="D25" s="17">
        <f>(C25*100)/C$8</f>
        <v/>
      </c>
      <c r="E25" s="23">
        <f>+'HTR8 A'!C25</f>
        <v/>
      </c>
      <c r="F25" s="17">
        <f>(E25*100)/E$8</f>
        <v/>
      </c>
      <c r="G25" s="23">
        <f>+'TIRR A'!C25</f>
        <v/>
      </c>
      <c r="H25" s="17">
        <f>(G25*100)/G$8</f>
        <v/>
      </c>
      <c r="I25" s="23">
        <f>+'VR7 A'!C25</f>
        <v/>
      </c>
      <c r="J25" s="17">
        <f>(I25*100)/I$8</f>
        <v/>
      </c>
      <c r="K25" s="23">
        <f>+'TURVILLA A'!C25</f>
        <v/>
      </c>
      <c r="L25" s="17">
        <f>(K25*100)/K$8</f>
        <v/>
      </c>
      <c r="M25" s="23">
        <f>+'HART A'!C25</f>
        <v/>
      </c>
      <c r="N25" s="17">
        <f>(M25*100)/M$8</f>
        <v/>
      </c>
      <c r="O25" s="23">
        <f>+'VICTOIRE A'!C25</f>
        <v/>
      </c>
      <c r="P25" s="17">
        <f>(O25*100)/O$8</f>
        <v/>
      </c>
      <c r="Q25" s="23">
        <f>+'TH4 A'!C25</f>
        <v/>
      </c>
      <c r="R25" s="17">
        <f>(Q25*100)/Q$8</f>
        <v/>
      </c>
      <c r="S25" s="23">
        <f>+'DIVES A'!C25</f>
        <v/>
      </c>
      <c r="T25" s="17">
        <f>(S25*100)/S$8</f>
        <v/>
      </c>
      <c r="U25" s="23">
        <f>+'R314 A'!C25</f>
        <v/>
      </c>
      <c r="V25" s="17">
        <f>(U25*100)/U$8</f>
        <v/>
      </c>
      <c r="W25" s="23">
        <f>+'LYSE A'!C25</f>
        <v/>
      </c>
      <c r="X25" s="17">
        <f>(W25*100)/W$8</f>
        <v/>
      </c>
      <c r="Y25" s="23">
        <f>+'ARTHUR A'!C25</f>
        <v/>
      </c>
      <c r="Z25" s="17">
        <f>(Y25*100)/Y$8</f>
        <v/>
      </c>
      <c r="AA25" s="23">
        <f>+'HUGO A'!C25</f>
        <v/>
      </c>
      <c r="AB25" s="17">
        <f>(AA25*100)/AA$8</f>
        <v/>
      </c>
      <c r="AC25" s="23">
        <f>+'JEANCLO A'!C25</f>
        <v/>
      </c>
      <c r="AD25" s="17">
        <f>(AC25*100)/AC$8</f>
        <v/>
      </c>
      <c r="AE25" s="23">
        <f>+'THOMAS A'!C25</f>
        <v/>
      </c>
      <c r="AF25" s="17">
        <f>(AE25*100)/AE$8</f>
        <v/>
      </c>
      <c r="AG25" s="23">
        <f>+'CATALINA A'!C25</f>
        <v/>
      </c>
      <c r="AH25" s="17">
        <f>(AG25*100)/AG$8</f>
        <v/>
      </c>
      <c r="AI25" s="23">
        <f>+C25+E25+G25+I25+K25+M25+O25+Q25+S25+U25+W25+Y25+AA25+AC25+AE25+AG25</f>
        <v/>
      </c>
      <c r="AJ25" s="17">
        <f>(AI25*100)/AI$8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+'GLR5 A'!C26</f>
        <v/>
      </c>
      <c r="D26" s="50">
        <f>(C26*100)/C$8</f>
        <v/>
      </c>
      <c r="E26" s="49">
        <f>+'HTR8 A'!C26</f>
        <v/>
      </c>
      <c r="F26" s="50">
        <f>(E26*100)/E$8</f>
        <v/>
      </c>
      <c r="G26" s="49">
        <f>+'TIRR A'!C26</f>
        <v/>
      </c>
      <c r="H26" s="50">
        <f>(G26*100)/G$8</f>
        <v/>
      </c>
      <c r="I26" s="49">
        <f>+'VR7 A'!C26</f>
        <v/>
      </c>
      <c r="J26" s="50">
        <f>(I26*100)/I$8</f>
        <v/>
      </c>
      <c r="K26" s="49">
        <f>+'TURVILLA A'!C26</f>
        <v/>
      </c>
      <c r="L26" s="50">
        <f>(K26*100)/K$8</f>
        <v/>
      </c>
      <c r="M26" s="49">
        <f>+'HART A'!C26</f>
        <v/>
      </c>
      <c r="N26" s="50">
        <f>(M26*100)/M$8</f>
        <v/>
      </c>
      <c r="O26" s="49">
        <f>+'VICTOIRE A'!C26</f>
        <v/>
      </c>
      <c r="P26" s="50">
        <f>(O26*100)/O$8</f>
        <v/>
      </c>
      <c r="Q26" s="49">
        <f>+'TH4 A'!C26</f>
        <v/>
      </c>
      <c r="R26" s="50">
        <f>(Q26*100)/Q$8</f>
        <v/>
      </c>
      <c r="S26" s="49">
        <f>+'DIVES A'!C26</f>
        <v/>
      </c>
      <c r="T26" s="50">
        <f>(S26*100)/S$8</f>
        <v/>
      </c>
      <c r="U26" s="49">
        <f>+'R314 A'!C26</f>
        <v/>
      </c>
      <c r="V26" s="50">
        <f>(U26*100)/U$8</f>
        <v/>
      </c>
      <c r="W26" s="49">
        <f>+'LYSE A'!C26</f>
        <v/>
      </c>
      <c r="X26" s="50">
        <f>(W26*100)/W$8</f>
        <v/>
      </c>
      <c r="Y26" s="49">
        <f>+'ARTHUR A'!C26</f>
        <v/>
      </c>
      <c r="Z26" s="50">
        <f>(Y26*100)/Y$8</f>
        <v/>
      </c>
      <c r="AA26" s="49">
        <f>+'HUGO A'!C26</f>
        <v/>
      </c>
      <c r="AB26" s="50">
        <f>(AA26*100)/AA$8</f>
        <v/>
      </c>
      <c r="AC26" s="49">
        <f>+'JEANCLO A'!C26</f>
        <v/>
      </c>
      <c r="AD26" s="50">
        <f>(AC26*100)/AC$8</f>
        <v/>
      </c>
      <c r="AE26" s="49">
        <f>+'THOMAS A'!C26</f>
        <v/>
      </c>
      <c r="AF26" s="50">
        <f>(AE26*100)/AE$8</f>
        <v/>
      </c>
      <c r="AG26" s="49">
        <f>+'CATALINA A'!C26</f>
        <v/>
      </c>
      <c r="AH26" s="50">
        <f>(AG26*100)/AG$8</f>
        <v/>
      </c>
      <c r="AI26" s="49">
        <f>+C26+E26+G26+I26+K26+M26+O26+Q26+S26+U26+W26+Y26+AA26+AC26+AE26+AG26</f>
        <v/>
      </c>
      <c r="AJ26" s="50">
        <f>(AI26*100)/AI$8</f>
        <v/>
      </c>
    </row>
    <row r="27" ht="7.15" customHeight="1" s="161" thickTop="1">
      <c r="A27" s="435" t="n"/>
      <c r="B27" s="443" t="n"/>
      <c r="C27" s="388" t="n"/>
      <c r="D27" s="10" t="n"/>
      <c r="E27" s="388" t="n"/>
      <c r="F27" s="10" t="n"/>
      <c r="G27" s="388" t="n"/>
      <c r="H27" s="10" t="n"/>
      <c r="I27" s="388" t="n"/>
      <c r="J27" s="10" t="n"/>
      <c r="K27" s="388" t="n"/>
      <c r="L27" s="10" t="n"/>
      <c r="M27" s="388" t="n"/>
      <c r="N27" s="10" t="n"/>
      <c r="O27" s="388" t="n"/>
      <c r="P27" s="10" t="n"/>
      <c r="Q27" s="388" t="n"/>
      <c r="R27" s="10" t="n"/>
      <c r="S27" s="388" t="n"/>
      <c r="T27" s="10" t="n"/>
      <c r="U27" s="388" t="n"/>
      <c r="V27" s="10" t="n"/>
      <c r="W27" s="388" t="n"/>
      <c r="X27" s="10" t="n"/>
      <c r="Y27" s="388" t="n"/>
      <c r="Z27" s="10" t="n"/>
      <c r="AA27" s="388" t="n"/>
      <c r="AB27" s="10" t="n"/>
      <c r="AC27" s="388" t="n"/>
      <c r="AD27" s="10" t="n"/>
      <c r="AE27" s="388" t="n"/>
      <c r="AF27" s="10" t="n"/>
      <c r="AG27" s="388" t="n"/>
      <c r="AH27" s="10" t="n"/>
      <c r="AI27" s="388" t="n"/>
      <c r="AJ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+'GLR5 A'!C28</f>
        <v/>
      </c>
      <c r="D28" s="17">
        <f>(C28*100)/C$8</f>
        <v/>
      </c>
      <c r="E28" s="23">
        <f>+'HTR8 A'!C28</f>
        <v/>
      </c>
      <c r="F28" s="17">
        <f>(E28*100)/E$8</f>
        <v/>
      </c>
      <c r="G28" s="23">
        <f>+'TIRR A'!C28</f>
        <v/>
      </c>
      <c r="H28" s="17">
        <f>(G28*100)/G$8</f>
        <v/>
      </c>
      <c r="I28" s="23">
        <f>+'VR7 A'!C28</f>
        <v/>
      </c>
      <c r="J28" s="17">
        <f>(I28*100)/I$8</f>
        <v/>
      </c>
      <c r="K28" s="23">
        <f>+'TURVILLA A'!C28</f>
        <v/>
      </c>
      <c r="L28" s="17">
        <f>(K28*100)/K$8</f>
        <v/>
      </c>
      <c r="M28" s="23">
        <f>+'HART A'!C28</f>
        <v/>
      </c>
      <c r="N28" s="17">
        <f>(M28*100)/M$8</f>
        <v/>
      </c>
      <c r="O28" s="23">
        <f>+'VICTOIRE A'!C28</f>
        <v/>
      </c>
      <c r="P28" s="17">
        <f>(O28*100)/O$8</f>
        <v/>
      </c>
      <c r="Q28" s="23">
        <f>+'TH4 A'!C28</f>
        <v/>
      </c>
      <c r="R28" s="17">
        <f>(Q28*100)/Q$8</f>
        <v/>
      </c>
      <c r="S28" s="23">
        <f>+'DIVES A'!C28</f>
        <v/>
      </c>
      <c r="T28" s="17">
        <f>(S28*100)/S$8</f>
        <v/>
      </c>
      <c r="U28" s="23">
        <f>+'R314 A'!C28</f>
        <v/>
      </c>
      <c r="V28" s="17">
        <f>(U28*100)/U$8</f>
        <v/>
      </c>
      <c r="W28" s="23">
        <f>+'LYSE A'!C28</f>
        <v/>
      </c>
      <c r="X28" s="17">
        <f>(W28*100)/W$8</f>
        <v/>
      </c>
      <c r="Y28" s="23">
        <f>+'ARTHUR A'!C28</f>
        <v/>
      </c>
      <c r="Z28" s="17">
        <f>(Y28*100)/Y$8</f>
        <v/>
      </c>
      <c r="AA28" s="23">
        <f>+'HUGO A'!C28</f>
        <v/>
      </c>
      <c r="AB28" s="17">
        <f>(AA28*100)/AA$8</f>
        <v/>
      </c>
      <c r="AC28" s="23">
        <f>+'JEANCLO A'!C28</f>
        <v/>
      </c>
      <c r="AD28" s="17">
        <f>(AC28*100)/AC$8</f>
        <v/>
      </c>
      <c r="AE28" s="23">
        <f>+'THOMAS A'!C28</f>
        <v/>
      </c>
      <c r="AF28" s="17">
        <f>(AE28*100)/AE$8</f>
        <v/>
      </c>
      <c r="AG28" s="23">
        <f>+'CATALINA A'!C28</f>
        <v/>
      </c>
      <c r="AH28" s="17">
        <f>(AG28*100)/AG$8</f>
        <v/>
      </c>
      <c r="AI28" s="23">
        <f>+C28+E28+G28+I28+K28+M28+O28+Q28+S28+U28+W28+Y28+AA28+AC28+AE28+AG28</f>
        <v/>
      </c>
      <c r="AJ28" s="17">
        <f>(AI28*100)/AI$8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+'GLR5 A'!C29</f>
        <v/>
      </c>
      <c r="D29" s="17">
        <f>(C29*100)/C$8</f>
        <v/>
      </c>
      <c r="E29" s="23">
        <f>+'HTR8 A'!C29</f>
        <v/>
      </c>
      <c r="F29" s="17">
        <f>(E29*100)/E$8</f>
        <v/>
      </c>
      <c r="G29" s="23">
        <f>+'TIRR A'!C29</f>
        <v/>
      </c>
      <c r="H29" s="17">
        <f>(G29*100)/G$8</f>
        <v/>
      </c>
      <c r="I29" s="23">
        <f>+'VR7 A'!C29</f>
        <v/>
      </c>
      <c r="J29" s="17">
        <f>(I29*100)/I$8</f>
        <v/>
      </c>
      <c r="K29" s="23">
        <f>+'TURVILLA A'!C29</f>
        <v/>
      </c>
      <c r="L29" s="17">
        <f>(K29*100)/K$8</f>
        <v/>
      </c>
      <c r="M29" s="23">
        <f>+'HART A'!C29</f>
        <v/>
      </c>
      <c r="N29" s="17">
        <f>(M29*100)/M$8</f>
        <v/>
      </c>
      <c r="O29" s="23">
        <f>+'VICTOIRE A'!C29</f>
        <v/>
      </c>
      <c r="P29" s="17">
        <f>(O29*100)/O$8</f>
        <v/>
      </c>
      <c r="Q29" s="23">
        <f>+'TH4 A'!C29</f>
        <v/>
      </c>
      <c r="R29" s="17">
        <f>(Q29*100)/Q$8</f>
        <v/>
      </c>
      <c r="S29" s="23">
        <f>+'DIVES A'!C29</f>
        <v/>
      </c>
      <c r="T29" s="17">
        <f>(S29*100)/S$8</f>
        <v/>
      </c>
      <c r="U29" s="23">
        <f>+'R314 A'!C29</f>
        <v/>
      </c>
      <c r="V29" s="17">
        <f>(U29*100)/U$8</f>
        <v/>
      </c>
      <c r="W29" s="23">
        <f>+'LYSE A'!C29</f>
        <v/>
      </c>
      <c r="X29" s="17">
        <f>(W29*100)/W$8</f>
        <v/>
      </c>
      <c r="Y29" s="23">
        <f>+'ARTHUR A'!C29</f>
        <v/>
      </c>
      <c r="Z29" s="17">
        <f>(Y29*100)/Y$8</f>
        <v/>
      </c>
      <c r="AA29" s="23">
        <f>+'HUGO A'!C29</f>
        <v/>
      </c>
      <c r="AB29" s="17">
        <f>(AA29*100)/AA$8</f>
        <v/>
      </c>
      <c r="AC29" s="23">
        <f>+'JEANCLO A'!C29</f>
        <v/>
      </c>
      <c r="AD29" s="17">
        <f>(AC29*100)/AC$8</f>
        <v/>
      </c>
      <c r="AE29" s="23">
        <f>+'THOMAS A'!C29</f>
        <v/>
      </c>
      <c r="AF29" s="17">
        <f>(AE29*100)/AE$8</f>
        <v/>
      </c>
      <c r="AG29" s="23">
        <f>+'CATALINA A'!C29</f>
        <v/>
      </c>
      <c r="AH29" s="17">
        <f>(AG29*100)/AG$8</f>
        <v/>
      </c>
      <c r="AI29" s="23">
        <f>+C29+E29+G29+I29+K29+M29+O29+Q29+S29+U29+W29+Y29+AA29+AC29+AE29+AG29</f>
        <v/>
      </c>
      <c r="AJ29" s="17">
        <f>(AI29*100)/AI$8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+'GLR5 A'!C30</f>
        <v/>
      </c>
      <c r="D30" s="17">
        <f>(C30*100)/C$8</f>
        <v/>
      </c>
      <c r="E30" s="23">
        <f>+'HTR8 A'!C30</f>
        <v/>
      </c>
      <c r="F30" s="17">
        <f>(E30*100)/E$8</f>
        <v/>
      </c>
      <c r="G30" s="23">
        <f>+'TIRR A'!C30</f>
        <v/>
      </c>
      <c r="H30" s="17">
        <f>(G30*100)/G$8</f>
        <v/>
      </c>
      <c r="I30" s="23">
        <f>+'VR7 A'!C30</f>
        <v/>
      </c>
      <c r="J30" s="17">
        <f>(I30*100)/I$8</f>
        <v/>
      </c>
      <c r="K30" s="23">
        <f>+'TURVILLA A'!C30</f>
        <v/>
      </c>
      <c r="L30" s="17">
        <f>(K30*100)/K$8</f>
        <v/>
      </c>
      <c r="M30" s="23">
        <f>+'HART A'!C30</f>
        <v/>
      </c>
      <c r="N30" s="17">
        <f>(M30*100)/M$8</f>
        <v/>
      </c>
      <c r="O30" s="23">
        <f>+'VICTOIRE A'!C30</f>
        <v/>
      </c>
      <c r="P30" s="17">
        <f>(O30*100)/O$8</f>
        <v/>
      </c>
      <c r="Q30" s="23">
        <f>+'TH4 A'!C30</f>
        <v/>
      </c>
      <c r="R30" s="17">
        <f>(Q30*100)/Q$8</f>
        <v/>
      </c>
      <c r="S30" s="23">
        <f>+'DIVES A'!C30</f>
        <v/>
      </c>
      <c r="T30" s="17">
        <f>(S30*100)/S$8</f>
        <v/>
      </c>
      <c r="U30" s="23">
        <f>+'R314 A'!C30</f>
        <v/>
      </c>
      <c r="V30" s="17">
        <f>(U30*100)/U$8</f>
        <v/>
      </c>
      <c r="W30" s="23">
        <f>+'LYSE A'!C30</f>
        <v/>
      </c>
      <c r="X30" s="17">
        <f>(W30*100)/W$8</f>
        <v/>
      </c>
      <c r="Y30" s="23">
        <f>+'ARTHUR A'!C30</f>
        <v/>
      </c>
      <c r="Z30" s="17">
        <f>(Y30*100)/Y$8</f>
        <v/>
      </c>
      <c r="AA30" s="23">
        <f>+'HUGO A'!C30</f>
        <v/>
      </c>
      <c r="AB30" s="17">
        <f>(AA30*100)/AA$8</f>
        <v/>
      </c>
      <c r="AC30" s="23">
        <f>+'JEANCLO A'!C30</f>
        <v/>
      </c>
      <c r="AD30" s="17">
        <f>(AC30*100)/AC$8</f>
        <v/>
      </c>
      <c r="AE30" s="23">
        <f>+'THOMAS A'!C30</f>
        <v/>
      </c>
      <c r="AF30" s="17">
        <f>(AE30*100)/AE$8</f>
        <v/>
      </c>
      <c r="AG30" s="23">
        <f>+'CATALINA A'!C30</f>
        <v/>
      </c>
      <c r="AH30" s="17">
        <f>(AG30*100)/AG$8</f>
        <v/>
      </c>
      <c r="AI30" s="23">
        <f>+C30+E30+G30+I30+K30+M30+O30+Q30+S30+U30+W30+Y30+AA30+AC30+AE30+AG30</f>
        <v/>
      </c>
      <c r="AJ30" s="17">
        <f>(AI30*100)/AI$8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+'GLR5 A'!C31</f>
        <v/>
      </c>
      <c r="D31" s="17">
        <f>(C31*100)/C$8</f>
        <v/>
      </c>
      <c r="E31" s="23">
        <f>+'HTR8 A'!C31</f>
        <v/>
      </c>
      <c r="F31" s="17">
        <f>(E31*100)/E$8</f>
        <v/>
      </c>
      <c r="G31" s="23">
        <f>+'TIRR A'!C31</f>
        <v/>
      </c>
      <c r="H31" s="17">
        <f>(G31*100)/G$8</f>
        <v/>
      </c>
      <c r="I31" s="23">
        <f>+'VR7 A'!C31</f>
        <v/>
      </c>
      <c r="J31" s="17">
        <f>(I31*100)/I$8</f>
        <v/>
      </c>
      <c r="K31" s="23">
        <f>+'TURVILLA A'!C31</f>
        <v/>
      </c>
      <c r="L31" s="17">
        <f>(K31*100)/K$8</f>
        <v/>
      </c>
      <c r="M31" s="23">
        <f>+'HART A'!C31</f>
        <v/>
      </c>
      <c r="N31" s="17">
        <f>(M31*100)/M$8</f>
        <v/>
      </c>
      <c r="O31" s="23">
        <f>+'VICTOIRE A'!C31</f>
        <v/>
      </c>
      <c r="P31" s="17">
        <f>(O31*100)/O$8</f>
        <v/>
      </c>
      <c r="Q31" s="23">
        <f>+'TH4 A'!C31</f>
        <v/>
      </c>
      <c r="R31" s="17">
        <f>(Q31*100)/Q$8</f>
        <v/>
      </c>
      <c r="S31" s="23">
        <f>+'DIVES A'!C31</f>
        <v/>
      </c>
      <c r="T31" s="17">
        <f>(S31*100)/S$8</f>
        <v/>
      </c>
      <c r="U31" s="23">
        <f>+'R314 A'!C31</f>
        <v/>
      </c>
      <c r="V31" s="17">
        <f>(U31*100)/U$8</f>
        <v/>
      </c>
      <c r="W31" s="23">
        <f>+'LYSE A'!C31</f>
        <v/>
      </c>
      <c r="X31" s="17">
        <f>(W31*100)/W$8</f>
        <v/>
      </c>
      <c r="Y31" s="23">
        <f>+'ARTHUR A'!C31</f>
        <v/>
      </c>
      <c r="Z31" s="17">
        <f>(Y31*100)/Y$8</f>
        <v/>
      </c>
      <c r="AA31" s="23">
        <f>+'HUGO A'!C31</f>
        <v/>
      </c>
      <c r="AB31" s="17">
        <f>(AA31*100)/AA$8</f>
        <v/>
      </c>
      <c r="AC31" s="23">
        <f>+'JEANCLO A'!C31</f>
        <v/>
      </c>
      <c r="AD31" s="17">
        <f>(AC31*100)/AC$8</f>
        <v/>
      </c>
      <c r="AE31" s="23">
        <f>+'THOMAS A'!C31</f>
        <v/>
      </c>
      <c r="AF31" s="17">
        <f>(AE31*100)/AE$8</f>
        <v/>
      </c>
      <c r="AG31" s="23">
        <f>+'CATALINA A'!C31</f>
        <v/>
      </c>
      <c r="AH31" s="17">
        <f>(AG31*100)/AG$8</f>
        <v/>
      </c>
      <c r="AI31" s="23">
        <f>+C31+E31+G31+I31+K31+M31+O31+Q31+S31+U31+W31+Y31+AA31+AC31+AE31+AG31</f>
        <v/>
      </c>
      <c r="AJ31" s="17">
        <f>(AI31*100)/AI$8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+'GLR5 A'!C32</f>
        <v/>
      </c>
      <c r="D32" s="17">
        <f>(C32*100)/C$8</f>
        <v/>
      </c>
      <c r="E32" s="23">
        <f>+'HTR8 A'!C32</f>
        <v/>
      </c>
      <c r="F32" s="17">
        <f>(E32*100)/E$8</f>
        <v/>
      </c>
      <c r="G32" s="23">
        <f>+'TIRR A'!C32</f>
        <v/>
      </c>
      <c r="H32" s="17">
        <f>(G32*100)/G$8</f>
        <v/>
      </c>
      <c r="I32" s="23">
        <f>+'VR7 A'!C32</f>
        <v/>
      </c>
      <c r="J32" s="17">
        <f>(I32*100)/I$8</f>
        <v/>
      </c>
      <c r="K32" s="23">
        <f>+'TURVILLA A'!C32</f>
        <v/>
      </c>
      <c r="L32" s="17">
        <f>(K32*100)/K$8</f>
        <v/>
      </c>
      <c r="M32" s="23">
        <f>+'HART A'!C32</f>
        <v/>
      </c>
      <c r="N32" s="17">
        <f>(M32*100)/M$8</f>
        <v/>
      </c>
      <c r="O32" s="23">
        <f>+'VICTOIRE A'!C32</f>
        <v/>
      </c>
      <c r="P32" s="17">
        <f>(O32*100)/O$8</f>
        <v/>
      </c>
      <c r="Q32" s="23">
        <f>+'TH4 A'!C32</f>
        <v/>
      </c>
      <c r="R32" s="17">
        <f>(Q32*100)/Q$8</f>
        <v/>
      </c>
      <c r="S32" s="23">
        <f>+'DIVES A'!C32</f>
        <v/>
      </c>
      <c r="T32" s="17">
        <f>(S32*100)/S$8</f>
        <v/>
      </c>
      <c r="U32" s="23">
        <f>+'R314 A'!C32</f>
        <v/>
      </c>
      <c r="V32" s="17">
        <f>(U32*100)/U$8</f>
        <v/>
      </c>
      <c r="W32" s="23">
        <f>+'LYSE A'!C32</f>
        <v/>
      </c>
      <c r="X32" s="17">
        <f>(W32*100)/W$8</f>
        <v/>
      </c>
      <c r="Y32" s="23">
        <f>+'ARTHUR A'!C32</f>
        <v/>
      </c>
      <c r="Z32" s="17">
        <f>(Y32*100)/Y$8</f>
        <v/>
      </c>
      <c r="AA32" s="23">
        <f>+'HUGO A'!C32</f>
        <v/>
      </c>
      <c r="AB32" s="17">
        <f>(AA32*100)/AA$8</f>
        <v/>
      </c>
      <c r="AC32" s="23">
        <f>+'JEANCLO A'!C32</f>
        <v/>
      </c>
      <c r="AD32" s="17">
        <f>(AC32*100)/AC$8</f>
        <v/>
      </c>
      <c r="AE32" s="23">
        <f>+'THOMAS A'!C32</f>
        <v/>
      </c>
      <c r="AF32" s="17">
        <f>(AE32*100)/AE$8</f>
        <v/>
      </c>
      <c r="AG32" s="23">
        <f>+'CATALINA A'!C32</f>
        <v/>
      </c>
      <c r="AH32" s="17">
        <f>(AG32*100)/AG$8</f>
        <v/>
      </c>
      <c r="AI32" s="23">
        <f>+C32+E32+G32+I32+K32+M32+O32+Q32+S32+U32+W32+Y32+AA32+AC32+AE32+AG32</f>
        <v/>
      </c>
      <c r="AJ32" s="17">
        <f>(AI32*100)/AI$8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+'GLR5 A'!C33</f>
        <v/>
      </c>
      <c r="D33" s="50">
        <f>(C33*100)/C$8</f>
        <v/>
      </c>
      <c r="E33" s="49">
        <f>+'HTR8 A'!C33</f>
        <v/>
      </c>
      <c r="F33" s="50">
        <f>(E33*100)/E$8</f>
        <v/>
      </c>
      <c r="G33" s="49">
        <f>+'TIRR A'!C33</f>
        <v/>
      </c>
      <c r="H33" s="50">
        <f>(G33*100)/G$8</f>
        <v/>
      </c>
      <c r="I33" s="49">
        <f>+'VR7 A'!C33</f>
        <v/>
      </c>
      <c r="J33" s="50">
        <f>(I33*100)/I$8</f>
        <v/>
      </c>
      <c r="K33" s="49">
        <f>+'TURVILLA A'!C33</f>
        <v/>
      </c>
      <c r="L33" s="50">
        <f>(K33*100)/K$8</f>
        <v/>
      </c>
      <c r="M33" s="49">
        <f>+'HART A'!C33</f>
        <v/>
      </c>
      <c r="N33" s="50">
        <f>(M33*100)/M$8</f>
        <v/>
      </c>
      <c r="O33" s="49">
        <f>+'VICTOIRE A'!C33</f>
        <v/>
      </c>
      <c r="P33" s="50">
        <f>(O33*100)/O$8</f>
        <v/>
      </c>
      <c r="Q33" s="49">
        <f>+'TH4 A'!C33</f>
        <v/>
      </c>
      <c r="R33" s="50">
        <f>(Q33*100)/Q$8</f>
        <v/>
      </c>
      <c r="S33" s="49">
        <f>+'DIVES A'!C33</f>
        <v/>
      </c>
      <c r="T33" s="50">
        <f>(S33*100)/S$8</f>
        <v/>
      </c>
      <c r="U33" s="49">
        <f>+'R314 A'!C33</f>
        <v/>
      </c>
      <c r="V33" s="50">
        <f>(U33*100)/U$8</f>
        <v/>
      </c>
      <c r="W33" s="49">
        <f>+'LYSE A'!C33</f>
        <v/>
      </c>
      <c r="X33" s="50">
        <f>(W33*100)/W$8</f>
        <v/>
      </c>
      <c r="Y33" s="49">
        <f>+'ARTHUR A'!C33</f>
        <v/>
      </c>
      <c r="Z33" s="50">
        <f>(Y33*100)/Y$8</f>
        <v/>
      </c>
      <c r="AA33" s="49">
        <f>+'HUGO A'!C33</f>
        <v/>
      </c>
      <c r="AB33" s="50">
        <f>(AA33*100)/AA$8</f>
        <v/>
      </c>
      <c r="AC33" s="49">
        <f>+'JEANCLO A'!C33</f>
        <v/>
      </c>
      <c r="AD33" s="50">
        <f>(AC33*100)/AC$8</f>
        <v/>
      </c>
      <c r="AE33" s="49">
        <f>+'THOMAS A'!C33</f>
        <v/>
      </c>
      <c r="AF33" s="50">
        <f>(AE33*100)/AE$8</f>
        <v/>
      </c>
      <c r="AG33" s="49">
        <f>+'CATALINA A'!C33</f>
        <v/>
      </c>
      <c r="AH33" s="50">
        <f>(AG33*100)/AG$8</f>
        <v/>
      </c>
      <c r="AI33" s="49">
        <f>+C33+E33+G33+I33+K33+M33+O33+Q33+S33+U33+W33+Y33+AA33+AC33+AE33+AG33</f>
        <v/>
      </c>
      <c r="AJ33" s="50">
        <f>(AI33*100)/AI$8</f>
        <v/>
      </c>
    </row>
    <row r="34" ht="7.15" customHeight="1" s="161" thickTop="1">
      <c r="A34" s="435" t="n"/>
      <c r="B34" s="443" t="n"/>
      <c r="C34" s="388" t="n"/>
      <c r="D34" s="10" t="n"/>
      <c r="E34" s="388" t="n"/>
      <c r="F34" s="10" t="n"/>
      <c r="G34" s="388" t="n"/>
      <c r="H34" s="10" t="n"/>
      <c r="I34" s="388" t="n"/>
      <c r="J34" s="10" t="n"/>
      <c r="K34" s="388" t="n"/>
      <c r="L34" s="10" t="n"/>
      <c r="M34" s="388" t="n"/>
      <c r="N34" s="10" t="n"/>
      <c r="O34" s="388" t="n"/>
      <c r="P34" s="10" t="n"/>
      <c r="Q34" s="388" t="n"/>
      <c r="R34" s="10" t="n"/>
      <c r="S34" s="388" t="n"/>
      <c r="T34" s="10" t="n"/>
      <c r="U34" s="388" t="n"/>
      <c r="V34" s="10" t="n"/>
      <c r="W34" s="388" t="n"/>
      <c r="X34" s="10" t="n"/>
      <c r="Y34" s="388" t="n"/>
      <c r="Z34" s="10" t="n"/>
      <c r="AA34" s="388" t="n"/>
      <c r="AB34" s="10" t="n"/>
      <c r="AC34" s="388" t="n"/>
      <c r="AD34" s="10" t="n"/>
      <c r="AE34" s="388" t="n"/>
      <c r="AF34" s="10" t="n"/>
      <c r="AG34" s="388" t="n"/>
      <c r="AH34" s="10" t="n"/>
      <c r="AI34" s="388" t="n"/>
      <c r="AJ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+'GLR5 A'!C35</f>
        <v/>
      </c>
      <c r="D35" s="17">
        <f>(C35*100)/C$8</f>
        <v/>
      </c>
      <c r="E35" s="23">
        <f>+'HTR8 A'!C35</f>
        <v/>
      </c>
      <c r="F35" s="17">
        <f>(E35*100)/E$8</f>
        <v/>
      </c>
      <c r="G35" s="23">
        <f>+'TIRR A'!C35</f>
        <v/>
      </c>
      <c r="H35" s="17">
        <f>(G35*100)/G$8</f>
        <v/>
      </c>
      <c r="I35" s="23">
        <f>+'VR7 A'!C35</f>
        <v/>
      </c>
      <c r="J35" s="17">
        <f>(I35*100)/I$8</f>
        <v/>
      </c>
      <c r="K35" s="23">
        <f>+'TURVILLA A'!C35</f>
        <v/>
      </c>
      <c r="L35" s="17">
        <f>(K35*100)/K$8</f>
        <v/>
      </c>
      <c r="M35" s="23">
        <f>+'HART A'!C35</f>
        <v/>
      </c>
      <c r="N35" s="17">
        <f>(M35*100)/M$8</f>
        <v/>
      </c>
      <c r="O35" s="23">
        <f>+'VICTOIRE A'!C35</f>
        <v/>
      </c>
      <c r="P35" s="17">
        <f>(O35*100)/O$8</f>
        <v/>
      </c>
      <c r="Q35" s="23">
        <f>+'TH4 A'!C35</f>
        <v/>
      </c>
      <c r="R35" s="17">
        <f>(Q35*100)/Q$8</f>
        <v/>
      </c>
      <c r="S35" s="23">
        <f>+'DIVES A'!C35</f>
        <v/>
      </c>
      <c r="T35" s="17">
        <f>(S35*100)/S$8</f>
        <v/>
      </c>
      <c r="U35" s="23">
        <f>+'R314 A'!C35</f>
        <v/>
      </c>
      <c r="V35" s="17">
        <f>(U35*100)/U$8</f>
        <v/>
      </c>
      <c r="W35" s="23">
        <f>+'LYSE A'!C35</f>
        <v/>
      </c>
      <c r="X35" s="17">
        <f>(W35*100)/W$8</f>
        <v/>
      </c>
      <c r="Y35" s="23">
        <f>+'ARTHUR A'!C35</f>
        <v/>
      </c>
      <c r="Z35" s="17">
        <f>(Y35*100)/Y$8</f>
        <v/>
      </c>
      <c r="AA35" s="23">
        <f>+'HUGO A'!C35</f>
        <v/>
      </c>
      <c r="AB35" s="17">
        <f>(AA35*100)/AA$8</f>
        <v/>
      </c>
      <c r="AC35" s="23">
        <f>+'JEANCLO A'!C35</f>
        <v/>
      </c>
      <c r="AD35" s="17">
        <f>(AC35*100)/AC$8</f>
        <v/>
      </c>
      <c r="AE35" s="23">
        <f>+'THOMAS A'!C35</f>
        <v/>
      </c>
      <c r="AF35" s="17">
        <f>(AE35*100)/AE$8</f>
        <v/>
      </c>
      <c r="AG35" s="23">
        <f>+'CATALINA A'!C35</f>
        <v/>
      </c>
      <c r="AH35" s="17">
        <f>(AG35*100)/AG$8</f>
        <v/>
      </c>
      <c r="AI35" s="23">
        <f>+C35+E35+G35+I35+K35+M35+O35+Q35+S35+U35+W35+Y35+AA35+AC35+AE35+AG35</f>
        <v/>
      </c>
      <c r="AJ35" s="17">
        <f>(AI35*100)/AI$8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+'GLR5 A'!C36</f>
        <v/>
      </c>
      <c r="D36" s="17">
        <f>(C36*100)/C$8</f>
        <v/>
      </c>
      <c r="E36" s="23">
        <f>+'HTR8 A'!C36</f>
        <v/>
      </c>
      <c r="F36" s="17">
        <f>(E36*100)/E$8</f>
        <v/>
      </c>
      <c r="G36" s="23">
        <f>+'TIRR A'!C36</f>
        <v/>
      </c>
      <c r="H36" s="17">
        <f>(G36*100)/G$8</f>
        <v/>
      </c>
      <c r="I36" s="23">
        <f>+'VR7 A'!C36</f>
        <v/>
      </c>
      <c r="J36" s="17">
        <f>(I36*100)/I$8</f>
        <v/>
      </c>
      <c r="K36" s="23">
        <f>+'TURVILLA A'!C36</f>
        <v/>
      </c>
      <c r="L36" s="17">
        <f>(K36*100)/K$8</f>
        <v/>
      </c>
      <c r="M36" s="23">
        <f>+'HART A'!C36</f>
        <v/>
      </c>
      <c r="N36" s="17">
        <f>(M36*100)/M$8</f>
        <v/>
      </c>
      <c r="O36" s="23">
        <f>+'VICTOIRE A'!C36</f>
        <v/>
      </c>
      <c r="P36" s="17">
        <f>(O36*100)/O$8</f>
        <v/>
      </c>
      <c r="Q36" s="23">
        <f>+'TH4 A'!C36</f>
        <v/>
      </c>
      <c r="R36" s="17">
        <f>(Q36*100)/Q$8</f>
        <v/>
      </c>
      <c r="S36" s="23">
        <f>+'DIVES A'!C36</f>
        <v/>
      </c>
      <c r="T36" s="17">
        <f>(S36*100)/S$8</f>
        <v/>
      </c>
      <c r="U36" s="23">
        <f>+'R314 A'!C36</f>
        <v/>
      </c>
      <c r="V36" s="17">
        <f>(U36*100)/U$8</f>
        <v/>
      </c>
      <c r="W36" s="23">
        <f>+'LYSE A'!C36</f>
        <v/>
      </c>
      <c r="X36" s="17">
        <f>(W36*100)/W$8</f>
        <v/>
      </c>
      <c r="Y36" s="23">
        <f>+'ARTHUR A'!C36</f>
        <v/>
      </c>
      <c r="Z36" s="17">
        <f>(Y36*100)/Y$8</f>
        <v/>
      </c>
      <c r="AA36" s="23">
        <f>+'HUGO A'!C36</f>
        <v/>
      </c>
      <c r="AB36" s="17">
        <f>(AA36*100)/AA$8</f>
        <v/>
      </c>
      <c r="AC36" s="23">
        <f>+'JEANCLO A'!C36</f>
        <v/>
      </c>
      <c r="AD36" s="17">
        <f>(AC36*100)/AC$8</f>
        <v/>
      </c>
      <c r="AE36" s="23">
        <f>+'THOMAS A'!C36</f>
        <v/>
      </c>
      <c r="AF36" s="17">
        <f>(AE36*100)/AE$8</f>
        <v/>
      </c>
      <c r="AG36" s="23">
        <f>+'CATALINA A'!C36</f>
        <v/>
      </c>
      <c r="AH36" s="17">
        <f>(AG36*100)/AG$8</f>
        <v/>
      </c>
      <c r="AI36" s="23">
        <f>+C36+E36+G36+I36+K36+M36+O36+Q36+S36+U36+W36+Y36+AA36+AC36+AE36+AG36</f>
        <v/>
      </c>
      <c r="AJ36" s="17">
        <f>(AI36*100)/AI$8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+'GLR5 A'!C37</f>
        <v/>
      </c>
      <c r="D37" s="17">
        <f>(C37*100)/C$8</f>
        <v/>
      </c>
      <c r="E37" s="23">
        <f>+'HTR8 A'!C37</f>
        <v/>
      </c>
      <c r="F37" s="17">
        <f>(E37*100)/E$8</f>
        <v/>
      </c>
      <c r="G37" s="23">
        <f>+'TIRR A'!C37</f>
        <v/>
      </c>
      <c r="H37" s="17">
        <f>(G37*100)/G$8</f>
        <v/>
      </c>
      <c r="I37" s="23">
        <f>+'VR7 A'!C37</f>
        <v/>
      </c>
      <c r="J37" s="17">
        <f>(I37*100)/I$8</f>
        <v/>
      </c>
      <c r="K37" s="23">
        <f>+'TURVILLA A'!C37</f>
        <v/>
      </c>
      <c r="L37" s="17">
        <f>(K37*100)/K$8</f>
        <v/>
      </c>
      <c r="M37" s="23">
        <f>+'HART A'!C37</f>
        <v/>
      </c>
      <c r="N37" s="17">
        <f>(M37*100)/M$8</f>
        <v/>
      </c>
      <c r="O37" s="23">
        <f>+'VICTOIRE A'!C37</f>
        <v/>
      </c>
      <c r="P37" s="17">
        <f>(O37*100)/O$8</f>
        <v/>
      </c>
      <c r="Q37" s="23">
        <f>+'TH4 A'!C37</f>
        <v/>
      </c>
      <c r="R37" s="17">
        <f>(Q37*100)/Q$8</f>
        <v/>
      </c>
      <c r="S37" s="23">
        <f>+'DIVES A'!C37</f>
        <v/>
      </c>
      <c r="T37" s="17">
        <f>(S37*100)/S$8</f>
        <v/>
      </c>
      <c r="U37" s="23">
        <f>+'R314 A'!C37</f>
        <v/>
      </c>
      <c r="V37" s="17">
        <f>(U37*100)/U$8</f>
        <v/>
      </c>
      <c r="W37" s="23">
        <f>+'LYSE A'!C37</f>
        <v/>
      </c>
      <c r="X37" s="17">
        <f>(W37*100)/W$8</f>
        <v/>
      </c>
      <c r="Y37" s="23">
        <f>+'ARTHUR A'!C37</f>
        <v/>
      </c>
      <c r="Z37" s="17">
        <f>(Y37*100)/Y$8</f>
        <v/>
      </c>
      <c r="AA37" s="23">
        <f>+'HUGO A'!C37</f>
        <v/>
      </c>
      <c r="AB37" s="17">
        <f>(AA37*100)/AA$8</f>
        <v/>
      </c>
      <c r="AC37" s="23">
        <f>+'JEANCLO A'!C37</f>
        <v/>
      </c>
      <c r="AD37" s="17">
        <f>(AC37*100)/AC$8</f>
        <v/>
      </c>
      <c r="AE37" s="23">
        <f>+'THOMAS A'!C37</f>
        <v/>
      </c>
      <c r="AF37" s="17">
        <f>(AE37*100)/AE$8</f>
        <v/>
      </c>
      <c r="AG37" s="23">
        <f>+'CATALINA A'!C37</f>
        <v/>
      </c>
      <c r="AH37" s="17">
        <f>(AG37*100)/AG$8</f>
        <v/>
      </c>
      <c r="AI37" s="23">
        <f>+C37+E37+G37+I37+K37+M37+O37+Q37+S37+U37+W37+Y37+AA37+AC37+AE37+AG37</f>
        <v/>
      </c>
      <c r="AJ37" s="17">
        <f>(AI37*100)/AI$8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+'GLR5 A'!C38</f>
        <v/>
      </c>
      <c r="D38" s="17">
        <f>(C38*100)/C$8</f>
        <v/>
      </c>
      <c r="E38" s="23">
        <f>+'HTR8 A'!C38</f>
        <v/>
      </c>
      <c r="F38" s="17">
        <f>(E38*100)/E$8</f>
        <v/>
      </c>
      <c r="G38" s="23">
        <f>+'TIRR A'!C38</f>
        <v/>
      </c>
      <c r="H38" s="17">
        <f>(G38*100)/G$8</f>
        <v/>
      </c>
      <c r="I38" s="23">
        <f>+'VR7 A'!C38</f>
        <v/>
      </c>
      <c r="J38" s="17">
        <f>(I38*100)/I$8</f>
        <v/>
      </c>
      <c r="K38" s="23">
        <f>+'TURVILLA A'!C38</f>
        <v/>
      </c>
      <c r="L38" s="17">
        <f>(K38*100)/K$8</f>
        <v/>
      </c>
      <c r="M38" s="23">
        <f>+'HART A'!C38</f>
        <v/>
      </c>
      <c r="N38" s="17">
        <f>(M38*100)/M$8</f>
        <v/>
      </c>
      <c r="O38" s="23">
        <f>+'VICTOIRE A'!C38</f>
        <v/>
      </c>
      <c r="P38" s="17">
        <f>(O38*100)/O$8</f>
        <v/>
      </c>
      <c r="Q38" s="23">
        <f>+'TH4 A'!C38</f>
        <v/>
      </c>
      <c r="R38" s="17">
        <f>(Q38*100)/Q$8</f>
        <v/>
      </c>
      <c r="S38" s="23">
        <f>+'DIVES A'!C38</f>
        <v/>
      </c>
      <c r="T38" s="17">
        <f>(S38*100)/S$8</f>
        <v/>
      </c>
      <c r="U38" s="23">
        <f>+'R314 A'!C38</f>
        <v/>
      </c>
      <c r="V38" s="17">
        <f>(U38*100)/U$8</f>
        <v/>
      </c>
      <c r="W38" s="23">
        <f>+'LYSE A'!C38</f>
        <v/>
      </c>
      <c r="X38" s="17">
        <f>(W38*100)/W$8</f>
        <v/>
      </c>
      <c r="Y38" s="23">
        <f>+'ARTHUR A'!C38</f>
        <v/>
      </c>
      <c r="Z38" s="17">
        <f>(Y38*100)/Y$8</f>
        <v/>
      </c>
      <c r="AA38" s="23">
        <f>+'HUGO A'!C38</f>
        <v/>
      </c>
      <c r="AB38" s="17">
        <f>(AA38*100)/AA$8</f>
        <v/>
      </c>
      <c r="AC38" s="23">
        <f>+'JEANCLO A'!C38</f>
        <v/>
      </c>
      <c r="AD38" s="17">
        <f>(AC38*100)/AC$8</f>
        <v/>
      </c>
      <c r="AE38" s="23">
        <f>+'THOMAS A'!C38</f>
        <v/>
      </c>
      <c r="AF38" s="17">
        <f>(AE38*100)/AE$8</f>
        <v/>
      </c>
      <c r="AG38" s="23">
        <f>+'CATALINA A'!C38</f>
        <v/>
      </c>
      <c r="AH38" s="17">
        <f>(AG38*100)/AG$8</f>
        <v/>
      </c>
      <c r="AI38" s="23">
        <f>+C38+E38+G38+I38+K38+M38+O38+Q38+S38+U38+W38+Y38+AA38+AC38+AE38+AG38</f>
        <v/>
      </c>
      <c r="AJ38" s="17">
        <f>(AI38*100)/AI$8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+'GLR5 A'!C39</f>
        <v/>
      </c>
      <c r="D39" s="17">
        <f>(C39*100)/C$8</f>
        <v/>
      </c>
      <c r="E39" s="23">
        <f>+'HTR8 A'!C39</f>
        <v/>
      </c>
      <c r="F39" s="17">
        <f>(E39*100)/E$8</f>
        <v/>
      </c>
      <c r="G39" s="23">
        <f>+'TIRR A'!C39</f>
        <v/>
      </c>
      <c r="H39" s="17">
        <f>(G39*100)/G$8</f>
        <v/>
      </c>
      <c r="I39" s="23">
        <f>+'VR7 A'!C39</f>
        <v/>
      </c>
      <c r="J39" s="17">
        <f>(I39*100)/I$8</f>
        <v/>
      </c>
      <c r="K39" s="23">
        <f>+'TURVILLA A'!C39</f>
        <v/>
      </c>
      <c r="L39" s="17">
        <f>(K39*100)/K$8</f>
        <v/>
      </c>
      <c r="M39" s="23">
        <f>+'HART A'!C39</f>
        <v/>
      </c>
      <c r="N39" s="17">
        <f>(M39*100)/M$8</f>
        <v/>
      </c>
      <c r="O39" s="23">
        <f>+'VICTOIRE A'!C39</f>
        <v/>
      </c>
      <c r="P39" s="17">
        <f>(O39*100)/O$8</f>
        <v/>
      </c>
      <c r="Q39" s="23">
        <f>+'TH4 A'!C39</f>
        <v/>
      </c>
      <c r="R39" s="17">
        <f>(Q39*100)/Q$8</f>
        <v/>
      </c>
      <c r="S39" s="23">
        <f>+'DIVES A'!C39</f>
        <v/>
      </c>
      <c r="T39" s="17">
        <f>(S39*100)/S$8</f>
        <v/>
      </c>
      <c r="U39" s="23">
        <f>+'R314 A'!C39</f>
        <v/>
      </c>
      <c r="V39" s="17">
        <f>(U39*100)/U$8</f>
        <v/>
      </c>
      <c r="W39" s="23">
        <f>+'LYSE A'!C39</f>
        <v/>
      </c>
      <c r="X39" s="17">
        <f>(W39*100)/W$8</f>
        <v/>
      </c>
      <c r="Y39" s="23">
        <f>+'ARTHUR A'!C39</f>
        <v/>
      </c>
      <c r="Z39" s="17">
        <f>(Y39*100)/Y$8</f>
        <v/>
      </c>
      <c r="AA39" s="23">
        <f>+'HUGO A'!C39</f>
        <v/>
      </c>
      <c r="AB39" s="17">
        <f>(AA39*100)/AA$8</f>
        <v/>
      </c>
      <c r="AC39" s="23">
        <f>+'JEANCLO A'!C39</f>
        <v/>
      </c>
      <c r="AD39" s="17">
        <f>(AC39*100)/AC$8</f>
        <v/>
      </c>
      <c r="AE39" s="23">
        <f>+'THOMAS A'!C39</f>
        <v/>
      </c>
      <c r="AF39" s="17">
        <f>(AE39*100)/AE$8</f>
        <v/>
      </c>
      <c r="AG39" s="23">
        <f>+'CATALINA A'!C39</f>
        <v/>
      </c>
      <c r="AH39" s="17">
        <f>(AG39*100)/AG$8</f>
        <v/>
      </c>
      <c r="AI39" s="23">
        <f>+C39+E39+G39+I39+K39+M39+O39+Q39+S39+U39+W39+Y39+AA39+AC39+AE39+AG39</f>
        <v/>
      </c>
      <c r="AJ39" s="17">
        <f>(AI39*100)/AI$8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+'GLR5 A'!C40</f>
        <v/>
      </c>
      <c r="D40" s="17">
        <f>(C40*100)/C$8</f>
        <v/>
      </c>
      <c r="E40" s="23">
        <f>+'HTR8 A'!C40</f>
        <v/>
      </c>
      <c r="F40" s="17">
        <f>(E40*100)/E$8</f>
        <v/>
      </c>
      <c r="G40" s="23">
        <f>+'TIRR A'!C40</f>
        <v/>
      </c>
      <c r="H40" s="17">
        <f>(G40*100)/G$8</f>
        <v/>
      </c>
      <c r="I40" s="23">
        <f>+'VR7 A'!C40</f>
        <v/>
      </c>
      <c r="J40" s="17">
        <f>(I40*100)/I$8</f>
        <v/>
      </c>
      <c r="K40" s="23">
        <f>+'TURVILLA A'!C40</f>
        <v/>
      </c>
      <c r="L40" s="17">
        <f>(K40*100)/K$8</f>
        <v/>
      </c>
      <c r="M40" s="23">
        <f>+'HART A'!C40</f>
        <v/>
      </c>
      <c r="N40" s="17">
        <f>(M40*100)/M$8</f>
        <v/>
      </c>
      <c r="O40" s="23">
        <f>+'VICTOIRE A'!C40</f>
        <v/>
      </c>
      <c r="P40" s="17">
        <f>(O40*100)/O$8</f>
        <v/>
      </c>
      <c r="Q40" s="23">
        <f>+'TH4 A'!C40</f>
        <v/>
      </c>
      <c r="R40" s="17">
        <f>(Q40*100)/Q$8</f>
        <v/>
      </c>
      <c r="S40" s="23">
        <f>+'DIVES A'!C40</f>
        <v/>
      </c>
      <c r="T40" s="17">
        <f>(S40*100)/S$8</f>
        <v/>
      </c>
      <c r="U40" s="23">
        <f>+'R314 A'!C40</f>
        <v/>
      </c>
      <c r="V40" s="17">
        <f>(U40*100)/U$8</f>
        <v/>
      </c>
      <c r="W40" s="23">
        <f>+'LYSE A'!C40</f>
        <v/>
      </c>
      <c r="X40" s="17">
        <f>(W40*100)/W$8</f>
        <v/>
      </c>
      <c r="Y40" s="23">
        <f>+'ARTHUR A'!C40</f>
        <v/>
      </c>
      <c r="Z40" s="17">
        <f>(Y40*100)/Y$8</f>
        <v/>
      </c>
      <c r="AA40" s="23">
        <f>+'HUGO A'!C40</f>
        <v/>
      </c>
      <c r="AB40" s="17">
        <f>(AA40*100)/AA$8</f>
        <v/>
      </c>
      <c r="AC40" s="23">
        <f>+'JEANCLO A'!C40</f>
        <v/>
      </c>
      <c r="AD40" s="17">
        <f>(AC40*100)/AC$8</f>
        <v/>
      </c>
      <c r="AE40" s="23">
        <f>+'THOMAS A'!C40</f>
        <v/>
      </c>
      <c r="AF40" s="17">
        <f>(AE40*100)/AE$8</f>
        <v/>
      </c>
      <c r="AG40" s="23">
        <f>+'CATALINA A'!C40</f>
        <v/>
      </c>
      <c r="AH40" s="17">
        <f>(AG40*100)/AG$8</f>
        <v/>
      </c>
      <c r="AI40" s="23">
        <f>+C40+E40+G40+I40+K40+M40+O40+Q40+S40+U40+W40+Y40+AA40+AC40+AE40+AG40</f>
        <v/>
      </c>
      <c r="AJ40" s="17">
        <f>(AI40*100)/AI$8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+'GLR5 A'!C41</f>
        <v/>
      </c>
      <c r="D41" s="17">
        <f>(C41*100)/C$8</f>
        <v/>
      </c>
      <c r="E41" s="23">
        <f>+'HTR8 A'!C41</f>
        <v/>
      </c>
      <c r="F41" s="17">
        <f>(E41*100)/E$8</f>
        <v/>
      </c>
      <c r="G41" s="23">
        <f>+'TIRR A'!C41</f>
        <v/>
      </c>
      <c r="H41" s="17">
        <f>(G41*100)/G$8</f>
        <v/>
      </c>
      <c r="I41" s="23">
        <f>+'VR7 A'!C41</f>
        <v/>
      </c>
      <c r="J41" s="17">
        <f>(I41*100)/I$8</f>
        <v/>
      </c>
      <c r="K41" s="23">
        <f>+'TURVILLA A'!C41</f>
        <v/>
      </c>
      <c r="L41" s="17">
        <f>(K41*100)/K$8</f>
        <v/>
      </c>
      <c r="M41" s="23">
        <f>+'HART A'!C41</f>
        <v/>
      </c>
      <c r="N41" s="17">
        <f>(M41*100)/M$8</f>
        <v/>
      </c>
      <c r="O41" s="23">
        <f>+'VICTOIRE A'!C41</f>
        <v/>
      </c>
      <c r="P41" s="17">
        <f>(O41*100)/O$8</f>
        <v/>
      </c>
      <c r="Q41" s="23">
        <f>+'TH4 A'!C41</f>
        <v/>
      </c>
      <c r="R41" s="17">
        <f>(Q41*100)/Q$8</f>
        <v/>
      </c>
      <c r="S41" s="23">
        <f>+'DIVES A'!C41</f>
        <v/>
      </c>
      <c r="T41" s="17">
        <f>(S41*100)/S$8</f>
        <v/>
      </c>
      <c r="U41" s="23">
        <f>+'R314 A'!C41</f>
        <v/>
      </c>
      <c r="V41" s="17">
        <f>(U41*100)/U$8</f>
        <v/>
      </c>
      <c r="W41" s="23">
        <f>+'LYSE A'!C41</f>
        <v/>
      </c>
      <c r="X41" s="17">
        <f>(W41*100)/W$8</f>
        <v/>
      </c>
      <c r="Y41" s="23">
        <f>+'ARTHUR A'!C41</f>
        <v/>
      </c>
      <c r="Z41" s="17">
        <f>(Y41*100)/Y$8</f>
        <v/>
      </c>
      <c r="AA41" s="23">
        <f>+'HUGO A'!C41</f>
        <v/>
      </c>
      <c r="AB41" s="17">
        <f>(AA41*100)/AA$8</f>
        <v/>
      </c>
      <c r="AC41" s="23">
        <f>+'JEANCLO A'!C41</f>
        <v/>
      </c>
      <c r="AD41" s="17">
        <f>(AC41*100)/AC$8</f>
        <v/>
      </c>
      <c r="AE41" s="23">
        <f>+'THOMAS A'!C41</f>
        <v/>
      </c>
      <c r="AF41" s="17">
        <f>(AE41*100)/AE$8</f>
        <v/>
      </c>
      <c r="AG41" s="23">
        <f>+'CATALINA A'!C41</f>
        <v/>
      </c>
      <c r="AH41" s="17">
        <f>(AG41*100)/AG$8</f>
        <v/>
      </c>
      <c r="AI41" s="23">
        <f>+C41+E41+G41+I41+K41+M41+O41+Q41+S41+U41+W41+Y41+AA41+AC41+AE41+AG41</f>
        <v/>
      </c>
      <c r="AJ41" s="17">
        <f>(AI41*100)/AI$8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+'GLR5 A'!C42</f>
        <v/>
      </c>
      <c r="D42" s="50">
        <f>(C42*100)/C$8</f>
        <v/>
      </c>
      <c r="E42" s="49">
        <f>+'HTR8 A'!C42</f>
        <v/>
      </c>
      <c r="F42" s="50">
        <f>(E42*100)/E$8</f>
        <v/>
      </c>
      <c r="G42" s="49">
        <f>+'TIRR A'!C42</f>
        <v/>
      </c>
      <c r="H42" s="50">
        <f>(G42*100)/G$8</f>
        <v/>
      </c>
      <c r="I42" s="49">
        <f>+'VR7 A'!C42</f>
        <v/>
      </c>
      <c r="J42" s="50">
        <f>(I42*100)/I$8</f>
        <v/>
      </c>
      <c r="K42" s="49">
        <f>+'TURVILLA A'!C42</f>
        <v/>
      </c>
      <c r="L42" s="50">
        <f>(K42*100)/K$8</f>
        <v/>
      </c>
      <c r="M42" s="49">
        <f>+'HART A'!C42</f>
        <v/>
      </c>
      <c r="N42" s="50">
        <f>(M42*100)/M$8</f>
        <v/>
      </c>
      <c r="O42" s="49">
        <f>+'VICTOIRE A'!C42</f>
        <v/>
      </c>
      <c r="P42" s="50">
        <f>(O42*100)/O$8</f>
        <v/>
      </c>
      <c r="Q42" s="49">
        <f>+'TH4 A'!C42</f>
        <v/>
      </c>
      <c r="R42" s="50">
        <f>(Q42*100)/Q$8</f>
        <v/>
      </c>
      <c r="S42" s="49">
        <f>+'DIVES A'!C42</f>
        <v/>
      </c>
      <c r="T42" s="50">
        <f>(S42*100)/S$8</f>
        <v/>
      </c>
      <c r="U42" s="49">
        <f>+'R314 A'!C42</f>
        <v/>
      </c>
      <c r="V42" s="50">
        <f>(U42*100)/U$8</f>
        <v/>
      </c>
      <c r="W42" s="49">
        <f>+'LYSE A'!C42</f>
        <v/>
      </c>
      <c r="X42" s="50">
        <f>(W42*100)/W$8</f>
        <v/>
      </c>
      <c r="Y42" s="49">
        <f>+'ARTHUR A'!C42</f>
        <v/>
      </c>
      <c r="Z42" s="50">
        <f>(Y42*100)/Y$8</f>
        <v/>
      </c>
      <c r="AA42" s="49">
        <f>+'HUGO A'!C42</f>
        <v/>
      </c>
      <c r="AB42" s="50">
        <f>(AA42*100)/AA$8</f>
        <v/>
      </c>
      <c r="AC42" s="49">
        <f>+'JEANCLO A'!C42</f>
        <v/>
      </c>
      <c r="AD42" s="50">
        <f>(AC42*100)/AC$8</f>
        <v/>
      </c>
      <c r="AE42" s="49">
        <f>+'THOMAS A'!C42</f>
        <v/>
      </c>
      <c r="AF42" s="50">
        <f>(AE42*100)/AE$8</f>
        <v/>
      </c>
      <c r="AG42" s="49">
        <f>+'CATALINA A'!C42</f>
        <v/>
      </c>
      <c r="AH42" s="50">
        <f>(AG42*100)/AG$8</f>
        <v/>
      </c>
      <c r="AI42" s="49">
        <f>+C42+E42+G42+I42+K42+M42+O42+Q42+S42+U42+W42+Y42+AA42+AC42+AE42+AG42</f>
        <v/>
      </c>
      <c r="AJ42" s="50">
        <f>(AI42*100)/AI$8</f>
        <v/>
      </c>
    </row>
    <row r="43" ht="7.15" customHeight="1" s="161" thickTop="1">
      <c r="A43" s="13" t="n"/>
      <c r="B43" s="443" t="n"/>
      <c r="C43" s="388" t="n"/>
      <c r="D43" s="10" t="n"/>
      <c r="E43" s="388" t="n"/>
      <c r="F43" s="10" t="n"/>
      <c r="G43" s="388" t="n"/>
      <c r="H43" s="10" t="n"/>
      <c r="I43" s="388" t="n"/>
      <c r="J43" s="10" t="n"/>
      <c r="K43" s="388" t="n"/>
      <c r="L43" s="10" t="n"/>
      <c r="M43" s="388" t="n"/>
      <c r="N43" s="10" t="n"/>
      <c r="O43" s="388" t="n"/>
      <c r="P43" s="10" t="n"/>
      <c r="Q43" s="388" t="n"/>
      <c r="R43" s="10" t="n"/>
      <c r="S43" s="388" t="n"/>
      <c r="T43" s="10" t="n"/>
      <c r="U43" s="388" t="n"/>
      <c r="V43" s="10" t="n"/>
      <c r="W43" s="388" t="n"/>
      <c r="X43" s="10" t="n"/>
      <c r="Y43" s="388" t="n"/>
      <c r="Z43" s="10" t="n"/>
      <c r="AA43" s="388" t="n"/>
      <c r="AB43" s="10" t="n"/>
      <c r="AC43" s="388" t="n"/>
      <c r="AD43" s="10" t="n"/>
      <c r="AE43" s="388" t="n"/>
      <c r="AF43" s="10" t="n"/>
      <c r="AG43" s="388" t="n"/>
      <c r="AH43" s="10" t="n"/>
      <c r="AI43" s="388" t="n"/>
      <c r="AJ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+'GLR5 A'!C44</f>
        <v/>
      </c>
      <c r="D44" s="71">
        <f>(C44*100)/C$8</f>
        <v/>
      </c>
      <c r="E44" s="70">
        <f>+'HTR8 A'!C44</f>
        <v/>
      </c>
      <c r="F44" s="71">
        <f>(E44*100)/E$8</f>
        <v/>
      </c>
      <c r="G44" s="70">
        <f>+'TIRR A'!C44</f>
        <v/>
      </c>
      <c r="H44" s="71">
        <f>(G44*100)/G$8</f>
        <v/>
      </c>
      <c r="I44" s="70">
        <f>+'VR7 A'!C44</f>
        <v/>
      </c>
      <c r="J44" s="71">
        <f>(I44*100)/I$8</f>
        <v/>
      </c>
      <c r="K44" s="70">
        <f>+'TURVILLA A'!C44</f>
        <v/>
      </c>
      <c r="L44" s="71">
        <f>(K44*100)/K$8</f>
        <v/>
      </c>
      <c r="M44" s="70">
        <f>+'HART A'!C44</f>
        <v/>
      </c>
      <c r="N44" s="71">
        <f>(M44*100)/M$8</f>
        <v/>
      </c>
      <c r="O44" s="70">
        <f>+'VICTOIRE A'!C44</f>
        <v/>
      </c>
      <c r="P44" s="71">
        <f>(O44*100)/O$8</f>
        <v/>
      </c>
      <c r="Q44" s="70">
        <f>+'TH4 A'!C44</f>
        <v/>
      </c>
      <c r="R44" s="71">
        <f>(Q44*100)/Q$8</f>
        <v/>
      </c>
      <c r="S44" s="70">
        <f>+'DIVES A'!C44</f>
        <v/>
      </c>
      <c r="T44" s="71">
        <f>(S44*100)/S$8</f>
        <v/>
      </c>
      <c r="U44" s="70">
        <f>+'R314 A'!C44</f>
        <v/>
      </c>
      <c r="V44" s="71">
        <f>(U44*100)/U$8</f>
        <v/>
      </c>
      <c r="W44" s="70">
        <f>+'LYSE A'!C44</f>
        <v/>
      </c>
      <c r="X44" s="71">
        <f>(W44*100)/W$8</f>
        <v/>
      </c>
      <c r="Y44" s="70">
        <f>+'ARTHUR A'!C44</f>
        <v/>
      </c>
      <c r="Z44" s="71">
        <f>(Y44*100)/Y$8</f>
        <v/>
      </c>
      <c r="AA44" s="70">
        <f>+'HUGO A'!C44</f>
        <v/>
      </c>
      <c r="AB44" s="71">
        <f>(AA44*100)/AA$8</f>
        <v/>
      </c>
      <c r="AC44" s="70">
        <f>+'JEANCLO A'!C44</f>
        <v/>
      </c>
      <c r="AD44" s="71">
        <f>(AC44*100)/AC$8</f>
        <v/>
      </c>
      <c r="AE44" s="70">
        <f>+'THOMAS A'!C44</f>
        <v/>
      </c>
      <c r="AF44" s="71">
        <f>(AE44*100)/AE$8</f>
        <v/>
      </c>
      <c r="AG44" s="70">
        <f>+'CATALINA A'!C44</f>
        <v/>
      </c>
      <c r="AH44" s="71">
        <f>(AG44*100)/AG$8</f>
        <v/>
      </c>
      <c r="AI44" s="70">
        <f>+C44+E44+G44+I44+K44+M44+O44+Q44+S44+U44+W44+Y44+AA44+AC44+AE44+AG44</f>
        <v/>
      </c>
      <c r="AJ44" s="71">
        <f>(AI44*100)/AI$8</f>
        <v/>
      </c>
    </row>
    <row r="45" ht="7.15" customHeight="1" s="161" thickTop="1">
      <c r="A45" s="13" t="n"/>
      <c r="B45" s="443" t="n"/>
      <c r="C45" s="388" t="n"/>
      <c r="D45" s="10" t="n"/>
      <c r="E45" s="388" t="n"/>
      <c r="F45" s="10" t="n"/>
      <c r="G45" s="388" t="n"/>
      <c r="H45" s="10" t="n"/>
      <c r="I45" s="388" t="n"/>
      <c r="J45" s="10" t="n"/>
      <c r="K45" s="388" t="n"/>
      <c r="L45" s="10" t="n"/>
      <c r="M45" s="388" t="n"/>
      <c r="N45" s="10" t="n"/>
      <c r="O45" s="388" t="n"/>
      <c r="P45" s="10" t="n"/>
      <c r="Q45" s="388" t="n"/>
      <c r="R45" s="10" t="n"/>
      <c r="S45" s="388" t="n"/>
      <c r="T45" s="10" t="n"/>
      <c r="U45" s="388" t="n"/>
      <c r="V45" s="10" t="n"/>
      <c r="W45" s="388" t="n"/>
      <c r="X45" s="10" t="n"/>
      <c r="Y45" s="388" t="n"/>
      <c r="Z45" s="10" t="n"/>
      <c r="AA45" s="388" t="n"/>
      <c r="AB45" s="10" t="n"/>
      <c r="AC45" s="388" t="n"/>
      <c r="AD45" s="10" t="n"/>
      <c r="AE45" s="388" t="n"/>
      <c r="AF45" s="10" t="n"/>
      <c r="AG45" s="388" t="n"/>
      <c r="AH45" s="10" t="n"/>
      <c r="AI45" s="388" t="n"/>
      <c r="AJ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+'GLR5 A'!C46</f>
        <v/>
      </c>
      <c r="D46" s="17">
        <f>(C46*100)/C$8</f>
        <v/>
      </c>
      <c r="E46" s="23">
        <f>+'HTR8 A'!C46</f>
        <v/>
      </c>
      <c r="F46" s="17">
        <f>(E46*100)/E$8</f>
        <v/>
      </c>
      <c r="G46" s="23">
        <f>+'TIRR A'!C46</f>
        <v/>
      </c>
      <c r="H46" s="17">
        <f>(G46*100)/G$8</f>
        <v/>
      </c>
      <c r="I46" s="23">
        <f>+'VR7 A'!C46</f>
        <v/>
      </c>
      <c r="J46" s="17">
        <f>(I46*100)/I$8</f>
        <v/>
      </c>
      <c r="K46" s="23">
        <f>+'TURVILLA A'!C46</f>
        <v/>
      </c>
      <c r="L46" s="17">
        <f>(K46*100)/K$8</f>
        <v/>
      </c>
      <c r="M46" s="23">
        <f>+'HART A'!C46</f>
        <v/>
      </c>
      <c r="N46" s="17">
        <f>(M46*100)/M$8</f>
        <v/>
      </c>
      <c r="O46" s="23">
        <f>+'VICTOIRE A'!C46</f>
        <v/>
      </c>
      <c r="P46" s="17">
        <f>(O46*100)/O$8</f>
        <v/>
      </c>
      <c r="Q46" s="23">
        <f>+'TH4 A'!C46</f>
        <v/>
      </c>
      <c r="R46" s="17">
        <f>(Q46*100)/Q$8</f>
        <v/>
      </c>
      <c r="S46" s="23">
        <f>+'DIVES A'!C46</f>
        <v/>
      </c>
      <c r="T46" s="17">
        <f>(S46*100)/S$8</f>
        <v/>
      </c>
      <c r="U46" s="23">
        <f>+'R314 A'!C46</f>
        <v/>
      </c>
      <c r="V46" s="17">
        <f>(U46*100)/U$8</f>
        <v/>
      </c>
      <c r="W46" s="23">
        <f>+'LYSE A'!C46</f>
        <v/>
      </c>
      <c r="X46" s="17">
        <f>(W46*100)/W$8</f>
        <v/>
      </c>
      <c r="Y46" s="23">
        <f>+'ARTHUR A'!C46</f>
        <v/>
      </c>
      <c r="Z46" s="17">
        <f>(Y46*100)/Y$8</f>
        <v/>
      </c>
      <c r="AA46" s="23">
        <f>+'HUGO A'!C46</f>
        <v/>
      </c>
      <c r="AB46" s="17">
        <f>(AA46*100)/AA$8</f>
        <v/>
      </c>
      <c r="AC46" s="23">
        <f>+'JEANCLO A'!C46</f>
        <v/>
      </c>
      <c r="AD46" s="17">
        <f>(AC46*100)/AC$8</f>
        <v/>
      </c>
      <c r="AE46" s="23">
        <f>+'THOMAS A'!C46</f>
        <v/>
      </c>
      <c r="AF46" s="17">
        <f>(AE46*100)/AE$8</f>
        <v/>
      </c>
      <c r="AG46" s="23">
        <f>+'CATALINA A'!C46</f>
        <v/>
      </c>
      <c r="AH46" s="17">
        <f>(AG46*100)/AG$8</f>
        <v/>
      </c>
      <c r="AI46" s="23">
        <f>+C46+E46+G46+I46+K46+M46+O46+Q46+S46+U46+W46+Y46+AA46+AC46+AE46+AG46</f>
        <v/>
      </c>
      <c r="AJ46" s="17">
        <f>(AI46*100)/AI$8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+'GLR5 A'!C47</f>
        <v/>
      </c>
      <c r="D47" s="17">
        <f>(C47*100)/C$8</f>
        <v/>
      </c>
      <c r="E47" s="23">
        <f>+'HTR8 A'!C47</f>
        <v/>
      </c>
      <c r="F47" s="17">
        <f>(E47*100)/E$8</f>
        <v/>
      </c>
      <c r="G47" s="23">
        <f>+'TIRR A'!C47</f>
        <v/>
      </c>
      <c r="H47" s="17">
        <f>(G47*100)/G$8</f>
        <v/>
      </c>
      <c r="I47" s="23">
        <f>+'VR7 A'!C47</f>
        <v/>
      </c>
      <c r="J47" s="17">
        <f>(I47*100)/I$8</f>
        <v/>
      </c>
      <c r="K47" s="23">
        <f>+'TURVILLA A'!C47</f>
        <v/>
      </c>
      <c r="L47" s="17">
        <f>(K47*100)/K$8</f>
        <v/>
      </c>
      <c r="M47" s="23">
        <f>+'HART A'!C47</f>
        <v/>
      </c>
      <c r="N47" s="17">
        <f>(M47*100)/M$8</f>
        <v/>
      </c>
      <c r="O47" s="23">
        <f>+'VICTOIRE A'!C47</f>
        <v/>
      </c>
      <c r="P47" s="17">
        <f>(O47*100)/O$8</f>
        <v/>
      </c>
      <c r="Q47" s="23">
        <f>+'TH4 A'!C47</f>
        <v/>
      </c>
      <c r="R47" s="17">
        <f>(Q47*100)/Q$8</f>
        <v/>
      </c>
      <c r="S47" s="23">
        <f>+'DIVES A'!C47</f>
        <v/>
      </c>
      <c r="T47" s="17">
        <f>(S47*100)/S$8</f>
        <v/>
      </c>
      <c r="U47" s="23">
        <f>+'R314 A'!C47</f>
        <v/>
      </c>
      <c r="V47" s="17">
        <f>(U47*100)/U$8</f>
        <v/>
      </c>
      <c r="W47" s="23">
        <f>+'LYSE A'!C47</f>
        <v/>
      </c>
      <c r="X47" s="17">
        <f>(W47*100)/W$8</f>
        <v/>
      </c>
      <c r="Y47" s="23">
        <f>+'ARTHUR A'!C47</f>
        <v/>
      </c>
      <c r="Z47" s="17">
        <f>(Y47*100)/Y$8</f>
        <v/>
      </c>
      <c r="AA47" s="23">
        <f>+'HUGO A'!C47</f>
        <v/>
      </c>
      <c r="AB47" s="17">
        <f>(AA47*100)/AA$8</f>
        <v/>
      </c>
      <c r="AC47" s="23">
        <f>+'JEANCLO A'!C47</f>
        <v/>
      </c>
      <c r="AD47" s="17">
        <f>(AC47*100)/AC$8</f>
        <v/>
      </c>
      <c r="AE47" s="23">
        <f>+'THOMAS A'!C47</f>
        <v/>
      </c>
      <c r="AF47" s="17">
        <f>(AE47*100)/AE$8</f>
        <v/>
      </c>
      <c r="AG47" s="23">
        <f>+'CATALINA A'!C47</f>
        <v/>
      </c>
      <c r="AH47" s="17">
        <f>(AG47*100)/AG$8</f>
        <v/>
      </c>
      <c r="AI47" s="23">
        <f>+C47+E47+G47+I47+K47+M47+O47+Q47+S47+U47+W47+Y47+AA47+AC47+AE47+AG47</f>
        <v/>
      </c>
      <c r="AJ47" s="17">
        <f>(AI47*100)/AI$8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+'GLR5 A'!C48</f>
        <v/>
      </c>
      <c r="D48" s="17">
        <f>(C48*100)/C$8</f>
        <v/>
      </c>
      <c r="E48" s="23">
        <f>+'HTR8 A'!C48</f>
        <v/>
      </c>
      <c r="F48" s="17">
        <f>(E48*100)/E$8</f>
        <v/>
      </c>
      <c r="G48" s="23">
        <f>+'TIRR A'!C48</f>
        <v/>
      </c>
      <c r="H48" s="17">
        <f>(G48*100)/G$8</f>
        <v/>
      </c>
      <c r="I48" s="23">
        <f>+'VR7 A'!C48</f>
        <v/>
      </c>
      <c r="J48" s="17">
        <f>(I48*100)/I$8</f>
        <v/>
      </c>
      <c r="K48" s="23">
        <f>+'TURVILLA A'!C48</f>
        <v/>
      </c>
      <c r="L48" s="17">
        <f>(K48*100)/K$8</f>
        <v/>
      </c>
      <c r="M48" s="23">
        <f>+'HART A'!C48</f>
        <v/>
      </c>
      <c r="N48" s="17">
        <f>(M48*100)/M$8</f>
        <v/>
      </c>
      <c r="O48" s="23">
        <f>+'VICTOIRE A'!C48</f>
        <v/>
      </c>
      <c r="P48" s="17">
        <f>(O48*100)/O$8</f>
        <v/>
      </c>
      <c r="Q48" s="23">
        <f>+'TH4 A'!C48</f>
        <v/>
      </c>
      <c r="R48" s="17">
        <f>(Q48*100)/Q$8</f>
        <v/>
      </c>
      <c r="S48" s="23">
        <f>+'DIVES A'!C48</f>
        <v/>
      </c>
      <c r="T48" s="17">
        <f>(S48*100)/S$8</f>
        <v/>
      </c>
      <c r="U48" s="23">
        <f>+'R314 A'!C48</f>
        <v/>
      </c>
      <c r="V48" s="17">
        <f>(U48*100)/U$8</f>
        <v/>
      </c>
      <c r="W48" s="23">
        <f>+'LYSE A'!C48</f>
        <v/>
      </c>
      <c r="X48" s="17">
        <f>(W48*100)/W$8</f>
        <v/>
      </c>
      <c r="Y48" s="23">
        <f>+'ARTHUR A'!C48</f>
        <v/>
      </c>
      <c r="Z48" s="17">
        <f>(Y48*100)/Y$8</f>
        <v/>
      </c>
      <c r="AA48" s="23">
        <f>+'HUGO A'!C48</f>
        <v/>
      </c>
      <c r="AB48" s="17">
        <f>(AA48*100)/AA$8</f>
        <v/>
      </c>
      <c r="AC48" s="23">
        <f>+'JEANCLO A'!C48</f>
        <v/>
      </c>
      <c r="AD48" s="17">
        <f>(AC48*100)/AC$8</f>
        <v/>
      </c>
      <c r="AE48" s="23">
        <f>+'THOMAS A'!C48</f>
        <v/>
      </c>
      <c r="AF48" s="17">
        <f>(AE48*100)/AE$8</f>
        <v/>
      </c>
      <c r="AG48" s="23">
        <f>+'CATALINA A'!C48</f>
        <v/>
      </c>
      <c r="AH48" s="17">
        <f>(AG48*100)/AG$8</f>
        <v/>
      </c>
      <c r="AI48" s="23">
        <f>+C48+E48+G48+I48+K48+M48+O48+Q48+S48+U48+W48+Y48+AA48+AC48+AE48+AG48</f>
        <v/>
      </c>
      <c r="AJ48" s="17">
        <f>(AI48*100)/AI$8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+'GLR5 A'!C49</f>
        <v/>
      </c>
      <c r="D49" s="50">
        <f>(C49*100)/C$8</f>
        <v/>
      </c>
      <c r="E49" s="49">
        <f>+'HTR8 A'!C49</f>
        <v/>
      </c>
      <c r="F49" s="50">
        <f>(E49*100)/E$8</f>
        <v/>
      </c>
      <c r="G49" s="49">
        <f>+'TIRR A'!C49</f>
        <v/>
      </c>
      <c r="H49" s="50">
        <f>(G49*100)/G$8</f>
        <v/>
      </c>
      <c r="I49" s="49">
        <f>+'VR7 A'!C49</f>
        <v/>
      </c>
      <c r="J49" s="50">
        <f>(I49*100)/I$8</f>
        <v/>
      </c>
      <c r="K49" s="49">
        <f>+'TURVILLA A'!C49</f>
        <v/>
      </c>
      <c r="L49" s="50">
        <f>(K49*100)/K$8</f>
        <v/>
      </c>
      <c r="M49" s="49">
        <f>+'HART A'!C49</f>
        <v/>
      </c>
      <c r="N49" s="50">
        <f>(M49*100)/M$8</f>
        <v/>
      </c>
      <c r="O49" s="49">
        <f>+'VICTOIRE A'!C49</f>
        <v/>
      </c>
      <c r="P49" s="50">
        <f>(O49*100)/O$8</f>
        <v/>
      </c>
      <c r="Q49" s="49">
        <f>+'TH4 A'!C49</f>
        <v/>
      </c>
      <c r="R49" s="50">
        <f>(Q49*100)/Q$8</f>
        <v/>
      </c>
      <c r="S49" s="49">
        <f>+'DIVES A'!C49</f>
        <v/>
      </c>
      <c r="T49" s="50">
        <f>(S49*100)/S$8</f>
        <v/>
      </c>
      <c r="U49" s="49">
        <f>+'R314 A'!C49</f>
        <v/>
      </c>
      <c r="V49" s="50">
        <f>(U49*100)/U$8</f>
        <v/>
      </c>
      <c r="W49" s="49">
        <f>+'LYSE A'!C49</f>
        <v/>
      </c>
      <c r="X49" s="50">
        <f>(W49*100)/W$8</f>
        <v/>
      </c>
      <c r="Y49" s="49">
        <f>+'ARTHUR A'!C49</f>
        <v/>
      </c>
      <c r="Z49" s="50">
        <f>(Y49*100)/Y$8</f>
        <v/>
      </c>
      <c r="AA49" s="49">
        <f>+'HUGO A'!C49</f>
        <v/>
      </c>
      <c r="AB49" s="50">
        <f>(AA49*100)/AA$8</f>
        <v/>
      </c>
      <c r="AC49" s="49">
        <f>+'JEANCLO A'!C49</f>
        <v/>
      </c>
      <c r="AD49" s="50">
        <f>(AC49*100)/AC$8</f>
        <v/>
      </c>
      <c r="AE49" s="49">
        <f>+'THOMAS A'!C49</f>
        <v/>
      </c>
      <c r="AF49" s="50">
        <f>(AE49*100)/AE$8</f>
        <v/>
      </c>
      <c r="AG49" s="49">
        <f>+'CATALINA A'!C49</f>
        <v/>
      </c>
      <c r="AH49" s="50">
        <f>(AG49*100)/AG$8</f>
        <v/>
      </c>
      <c r="AI49" s="49">
        <f>+C49+E49+G49+I49+K49+M49+O49+Q49+S49+U49+W49+Y49+AA49+AC49+AE49+AG49</f>
        <v/>
      </c>
      <c r="AJ49" s="50">
        <f>(AI49*100)/AI$8</f>
        <v/>
      </c>
    </row>
    <row r="50" ht="7.15" customHeight="1" s="161" thickTop="1">
      <c r="A50" s="13" t="n"/>
      <c r="B50" s="443" t="n"/>
      <c r="C50" s="388" t="n"/>
      <c r="D50" s="10" t="n"/>
      <c r="E50" s="388" t="n"/>
      <c r="F50" s="10" t="n"/>
      <c r="G50" s="388" t="n"/>
      <c r="H50" s="10" t="n"/>
      <c r="I50" s="388" t="n"/>
      <c r="J50" s="10" t="n"/>
      <c r="K50" s="388" t="n"/>
      <c r="L50" s="10" t="n"/>
      <c r="M50" s="388" t="n"/>
      <c r="N50" s="10" t="n"/>
      <c r="O50" s="388" t="n"/>
      <c r="P50" s="10" t="n"/>
      <c r="Q50" s="388" t="n"/>
      <c r="R50" s="10" t="n"/>
      <c r="S50" s="388" t="n"/>
      <c r="T50" s="10" t="n"/>
      <c r="U50" s="388" t="n"/>
      <c r="V50" s="10" t="n"/>
      <c r="W50" s="388" t="n"/>
      <c r="X50" s="10" t="n"/>
      <c r="Y50" s="388" t="n"/>
      <c r="Z50" s="10" t="n"/>
      <c r="AA50" s="388" t="n"/>
      <c r="AB50" s="10" t="n"/>
      <c r="AC50" s="388" t="n"/>
      <c r="AD50" s="10" t="n"/>
      <c r="AE50" s="388" t="n"/>
      <c r="AF50" s="10" t="n"/>
      <c r="AG50" s="388" t="n"/>
      <c r="AH50" s="10" t="n"/>
      <c r="AI50" s="388" t="n"/>
      <c r="AJ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+'GLR5 A'!C51</f>
        <v/>
      </c>
      <c r="D51" s="17">
        <f>(C51*100)/C$8</f>
        <v/>
      </c>
      <c r="E51" s="23">
        <f>+'HTR8 A'!C51</f>
        <v/>
      </c>
      <c r="F51" s="17">
        <f>(E51*100)/E$8</f>
        <v/>
      </c>
      <c r="G51" s="23">
        <f>+'TIRR A'!C51</f>
        <v/>
      </c>
      <c r="H51" s="17">
        <f>(G51*100)/G$8</f>
        <v/>
      </c>
      <c r="I51" s="23">
        <f>+'VR7 A'!C51</f>
        <v/>
      </c>
      <c r="J51" s="17">
        <f>(I51*100)/I$8</f>
        <v/>
      </c>
      <c r="K51" s="23">
        <f>+'TURVILLA A'!C51</f>
        <v/>
      </c>
      <c r="L51" s="17">
        <f>(K51*100)/K$8</f>
        <v/>
      </c>
      <c r="M51" s="23">
        <f>+'HART A'!C51</f>
        <v/>
      </c>
      <c r="N51" s="17">
        <f>(M51*100)/M$8</f>
        <v/>
      </c>
      <c r="O51" s="23">
        <f>+'VICTOIRE A'!C51</f>
        <v/>
      </c>
      <c r="P51" s="17">
        <f>(O51*100)/O$8</f>
        <v/>
      </c>
      <c r="Q51" s="23">
        <f>+'TH4 A'!C51</f>
        <v/>
      </c>
      <c r="R51" s="17">
        <f>(Q51*100)/Q$8</f>
        <v/>
      </c>
      <c r="S51" s="23">
        <f>+'DIVES A'!C51</f>
        <v/>
      </c>
      <c r="T51" s="17">
        <f>(S51*100)/S$8</f>
        <v/>
      </c>
      <c r="U51" s="23">
        <f>+'R314 A'!C51</f>
        <v/>
      </c>
      <c r="V51" s="17">
        <f>(U51*100)/U$8</f>
        <v/>
      </c>
      <c r="W51" s="23">
        <f>+'LYSE A'!C51</f>
        <v/>
      </c>
      <c r="X51" s="17">
        <f>(W51*100)/W$8</f>
        <v/>
      </c>
      <c r="Y51" s="23">
        <f>+'ARTHUR A'!C51</f>
        <v/>
      </c>
      <c r="Z51" s="17">
        <f>(Y51*100)/Y$8</f>
        <v/>
      </c>
      <c r="AA51" s="23">
        <f>+'HUGO A'!C51</f>
        <v/>
      </c>
      <c r="AB51" s="17">
        <f>(AA51*100)/AA$8</f>
        <v/>
      </c>
      <c r="AC51" s="23">
        <f>+'JEANCLO A'!C51</f>
        <v/>
      </c>
      <c r="AD51" s="17">
        <f>(AC51*100)/AC$8</f>
        <v/>
      </c>
      <c r="AE51" s="23">
        <f>+'THOMAS A'!C51</f>
        <v/>
      </c>
      <c r="AF51" s="17">
        <f>(AE51*100)/AE$8</f>
        <v/>
      </c>
      <c r="AG51" s="23">
        <f>+'CATALINA A'!C51</f>
        <v/>
      </c>
      <c r="AH51" s="17">
        <f>(AG51*100)/AG$8</f>
        <v/>
      </c>
      <c r="AI51" s="23">
        <f>+C51+E51+G51+I51+K51+M51+O51+Q51+S51+U51+W51+Y51+AA51+AC51+AE51+AG51</f>
        <v/>
      </c>
      <c r="AJ51" s="17">
        <f>(AI51*100)/AI$8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+'GLR5 A'!C52</f>
        <v/>
      </c>
      <c r="D52" s="17">
        <f>(C52*100)/C$8</f>
        <v/>
      </c>
      <c r="E52" s="23">
        <f>+'HTR8 A'!C52</f>
        <v/>
      </c>
      <c r="F52" s="17">
        <f>(E52*100)/E$8</f>
        <v/>
      </c>
      <c r="G52" s="23">
        <f>+'TIRR A'!C52</f>
        <v/>
      </c>
      <c r="H52" s="17">
        <f>(G52*100)/G$8</f>
        <v/>
      </c>
      <c r="I52" s="23">
        <f>+'VR7 A'!C52</f>
        <v/>
      </c>
      <c r="J52" s="17">
        <f>(I52*100)/I$8</f>
        <v/>
      </c>
      <c r="K52" s="23">
        <f>+'TURVILLA A'!C52</f>
        <v/>
      </c>
      <c r="L52" s="17">
        <f>(K52*100)/K$8</f>
        <v/>
      </c>
      <c r="M52" s="23">
        <f>+'HART A'!C52</f>
        <v/>
      </c>
      <c r="N52" s="17">
        <f>(M52*100)/M$8</f>
        <v/>
      </c>
      <c r="O52" s="23">
        <f>+'VICTOIRE A'!C52</f>
        <v/>
      </c>
      <c r="P52" s="17">
        <f>(O52*100)/O$8</f>
        <v/>
      </c>
      <c r="Q52" s="23">
        <f>+'TH4 A'!C52</f>
        <v/>
      </c>
      <c r="R52" s="17">
        <f>(Q52*100)/Q$8</f>
        <v/>
      </c>
      <c r="S52" s="23">
        <f>+'DIVES A'!C52</f>
        <v/>
      </c>
      <c r="T52" s="17">
        <f>(S52*100)/S$8</f>
        <v/>
      </c>
      <c r="U52" s="23">
        <f>+'R314 A'!C52</f>
        <v/>
      </c>
      <c r="V52" s="17">
        <f>(U52*100)/U$8</f>
        <v/>
      </c>
      <c r="W52" s="23">
        <f>+'LYSE A'!C52</f>
        <v/>
      </c>
      <c r="X52" s="17">
        <f>(W52*100)/W$8</f>
        <v/>
      </c>
      <c r="Y52" s="23">
        <f>+'ARTHUR A'!C52</f>
        <v/>
      </c>
      <c r="Z52" s="17">
        <f>(Y52*100)/Y$8</f>
        <v/>
      </c>
      <c r="AA52" s="23">
        <f>+'HUGO A'!C52</f>
        <v/>
      </c>
      <c r="AB52" s="17">
        <f>(AA52*100)/AA$8</f>
        <v/>
      </c>
      <c r="AC52" s="23">
        <f>+'JEANCLO A'!C52</f>
        <v/>
      </c>
      <c r="AD52" s="17">
        <f>(AC52*100)/AC$8</f>
        <v/>
      </c>
      <c r="AE52" s="23">
        <f>+'THOMAS A'!C52</f>
        <v/>
      </c>
      <c r="AF52" s="17">
        <f>(AE52*100)/AE$8</f>
        <v/>
      </c>
      <c r="AG52" s="23">
        <f>+'CATALINA A'!C52</f>
        <v/>
      </c>
      <c r="AH52" s="17">
        <f>(AG52*100)/AG$8</f>
        <v/>
      </c>
      <c r="AI52" s="23">
        <f>+C52+E52+G52+I52+K52+M52+O52+Q52+S52+U52+W52+Y52+AA52+AC52+AE52+AG52</f>
        <v/>
      </c>
      <c r="AJ52" s="17">
        <f>(AI52*100)/AI$8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+'GLR5 A'!C53</f>
        <v/>
      </c>
      <c r="D53" s="17">
        <f>(C53*100)/C$8</f>
        <v/>
      </c>
      <c r="E53" s="23">
        <f>+'HTR8 A'!C53</f>
        <v/>
      </c>
      <c r="F53" s="17">
        <f>(E53*100)/E$8</f>
        <v/>
      </c>
      <c r="G53" s="23">
        <f>+'TIRR A'!C53</f>
        <v/>
      </c>
      <c r="H53" s="17">
        <f>(G53*100)/G$8</f>
        <v/>
      </c>
      <c r="I53" s="23">
        <f>+'VR7 A'!C53</f>
        <v/>
      </c>
      <c r="J53" s="17">
        <f>(I53*100)/I$8</f>
        <v/>
      </c>
      <c r="K53" s="23">
        <f>+'TURVILLA A'!C53</f>
        <v/>
      </c>
      <c r="L53" s="17">
        <f>(K53*100)/K$8</f>
        <v/>
      </c>
      <c r="M53" s="23">
        <f>+'HART A'!C53</f>
        <v/>
      </c>
      <c r="N53" s="17">
        <f>(M53*100)/M$8</f>
        <v/>
      </c>
      <c r="O53" s="23">
        <f>+'VICTOIRE A'!C53</f>
        <v/>
      </c>
      <c r="P53" s="17">
        <f>(O53*100)/O$8</f>
        <v/>
      </c>
      <c r="Q53" s="23">
        <f>+'TH4 A'!C53</f>
        <v/>
      </c>
      <c r="R53" s="17">
        <f>(Q53*100)/Q$8</f>
        <v/>
      </c>
      <c r="S53" s="23">
        <f>+'DIVES A'!C53</f>
        <v/>
      </c>
      <c r="T53" s="17">
        <f>(S53*100)/S$8</f>
        <v/>
      </c>
      <c r="U53" s="23">
        <f>+'R314 A'!C53</f>
        <v/>
      </c>
      <c r="V53" s="17">
        <f>(U53*100)/U$8</f>
        <v/>
      </c>
      <c r="W53" s="23">
        <f>+'LYSE A'!C53</f>
        <v/>
      </c>
      <c r="X53" s="17">
        <f>(W53*100)/W$8</f>
        <v/>
      </c>
      <c r="Y53" s="23">
        <f>+'ARTHUR A'!C53</f>
        <v/>
      </c>
      <c r="Z53" s="17">
        <f>(Y53*100)/Y$8</f>
        <v/>
      </c>
      <c r="AA53" s="23">
        <f>+'HUGO A'!C53</f>
        <v/>
      </c>
      <c r="AB53" s="17">
        <f>(AA53*100)/AA$8</f>
        <v/>
      </c>
      <c r="AC53" s="23">
        <f>+'JEANCLO A'!C53</f>
        <v/>
      </c>
      <c r="AD53" s="17">
        <f>(AC53*100)/AC$8</f>
        <v/>
      </c>
      <c r="AE53" s="23">
        <f>+'THOMAS A'!C53</f>
        <v/>
      </c>
      <c r="AF53" s="17">
        <f>(AE53*100)/AE$8</f>
        <v/>
      </c>
      <c r="AG53" s="23">
        <f>+'CATALINA A'!C53</f>
        <v/>
      </c>
      <c r="AH53" s="17">
        <f>(AG53*100)/AG$8</f>
        <v/>
      </c>
      <c r="AI53" s="23">
        <f>+C53+E53+G53+I53+K53+M53+O53+Q53+S53+U53+W53+Y53+AA53+AC53+AE53+AG53</f>
        <v/>
      </c>
      <c r="AJ53" s="17">
        <f>(AI53*100)/AI$8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+'GLR5 A'!C54</f>
        <v/>
      </c>
      <c r="D54" s="17">
        <f>(C54*100)/C$8</f>
        <v/>
      </c>
      <c r="E54" s="23">
        <f>+'HTR8 A'!C54</f>
        <v/>
      </c>
      <c r="F54" s="17">
        <f>(E54*100)/E$8</f>
        <v/>
      </c>
      <c r="G54" s="23">
        <f>+'TIRR A'!C54</f>
        <v/>
      </c>
      <c r="H54" s="17">
        <f>(G54*100)/G$8</f>
        <v/>
      </c>
      <c r="I54" s="23">
        <f>+'VR7 A'!C54</f>
        <v/>
      </c>
      <c r="J54" s="17">
        <f>(I54*100)/I$8</f>
        <v/>
      </c>
      <c r="K54" s="23">
        <f>+'TURVILLA A'!C54</f>
        <v/>
      </c>
      <c r="L54" s="17">
        <f>(K54*100)/K$8</f>
        <v/>
      </c>
      <c r="M54" s="23">
        <f>+'HART A'!C54</f>
        <v/>
      </c>
      <c r="N54" s="17">
        <f>(M54*100)/M$8</f>
        <v/>
      </c>
      <c r="O54" s="23">
        <f>+'VICTOIRE A'!C54</f>
        <v/>
      </c>
      <c r="P54" s="17">
        <f>(O54*100)/O$8</f>
        <v/>
      </c>
      <c r="Q54" s="23">
        <f>+'TH4 A'!C54</f>
        <v/>
      </c>
      <c r="R54" s="17">
        <f>(Q54*100)/Q$8</f>
        <v/>
      </c>
      <c r="S54" s="23">
        <f>+'DIVES A'!C54</f>
        <v/>
      </c>
      <c r="T54" s="17">
        <f>(S54*100)/S$8</f>
        <v/>
      </c>
      <c r="U54" s="23">
        <f>+'R314 A'!C54</f>
        <v/>
      </c>
      <c r="V54" s="17">
        <f>(U54*100)/U$8</f>
        <v/>
      </c>
      <c r="W54" s="23">
        <f>+'LYSE A'!C54</f>
        <v/>
      </c>
      <c r="X54" s="17">
        <f>(W54*100)/W$8</f>
        <v/>
      </c>
      <c r="Y54" s="23">
        <f>+'ARTHUR A'!C54</f>
        <v/>
      </c>
      <c r="Z54" s="17">
        <f>(Y54*100)/Y$8</f>
        <v/>
      </c>
      <c r="AA54" s="23">
        <f>+'HUGO A'!C54</f>
        <v/>
      </c>
      <c r="AB54" s="17">
        <f>(AA54*100)/AA$8</f>
        <v/>
      </c>
      <c r="AC54" s="23">
        <f>+'JEANCLO A'!C54</f>
        <v/>
      </c>
      <c r="AD54" s="17">
        <f>(AC54*100)/AC$8</f>
        <v/>
      </c>
      <c r="AE54" s="23">
        <f>+'THOMAS A'!C54</f>
        <v/>
      </c>
      <c r="AF54" s="17">
        <f>(AE54*100)/AE$8</f>
        <v/>
      </c>
      <c r="AG54" s="23">
        <f>+'CATALINA A'!C54</f>
        <v/>
      </c>
      <c r="AH54" s="17">
        <f>(AG54*100)/AG$8</f>
        <v/>
      </c>
      <c r="AI54" s="23">
        <f>+C54+E54+G54+I54+K54+M54+O54+Q54+S54+U54+W54+Y54+AA54+AC54+AE54+AG54</f>
        <v/>
      </c>
      <c r="AJ54" s="17">
        <f>(AI54*100)/AI$8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+'GLR5 A'!C55</f>
        <v/>
      </c>
      <c r="D55" s="17">
        <f>(C55*100)/C$8</f>
        <v/>
      </c>
      <c r="E55" s="23">
        <f>+'HTR8 A'!C55</f>
        <v/>
      </c>
      <c r="F55" s="17">
        <f>(E55*100)/E$8</f>
        <v/>
      </c>
      <c r="G55" s="23">
        <f>+'TIRR A'!C55</f>
        <v/>
      </c>
      <c r="H55" s="17">
        <f>(G55*100)/G$8</f>
        <v/>
      </c>
      <c r="I55" s="23">
        <f>+'VR7 A'!C55</f>
        <v/>
      </c>
      <c r="J55" s="17">
        <f>(I55*100)/I$8</f>
        <v/>
      </c>
      <c r="K55" s="23">
        <f>+'TURVILLA A'!C55</f>
        <v/>
      </c>
      <c r="L55" s="17">
        <f>(K55*100)/K$8</f>
        <v/>
      </c>
      <c r="M55" s="23">
        <f>+'HART A'!C55</f>
        <v/>
      </c>
      <c r="N55" s="17">
        <f>(M55*100)/M$8</f>
        <v/>
      </c>
      <c r="O55" s="23">
        <f>+'VICTOIRE A'!C55</f>
        <v/>
      </c>
      <c r="P55" s="17">
        <f>(O55*100)/O$8</f>
        <v/>
      </c>
      <c r="Q55" s="23">
        <f>+'TH4 A'!C55</f>
        <v/>
      </c>
      <c r="R55" s="17">
        <f>(Q55*100)/Q$8</f>
        <v/>
      </c>
      <c r="S55" s="23">
        <f>+'DIVES A'!C55</f>
        <v/>
      </c>
      <c r="T55" s="17">
        <f>(S55*100)/S$8</f>
        <v/>
      </c>
      <c r="U55" s="23">
        <f>+'R314 A'!C55</f>
        <v/>
      </c>
      <c r="V55" s="17">
        <f>(U55*100)/U$8</f>
        <v/>
      </c>
      <c r="W55" s="23">
        <f>+'LYSE A'!C55</f>
        <v/>
      </c>
      <c r="X55" s="17">
        <f>(W55*100)/W$8</f>
        <v/>
      </c>
      <c r="Y55" s="23">
        <f>+'ARTHUR A'!C55</f>
        <v/>
      </c>
      <c r="Z55" s="17">
        <f>(Y55*100)/Y$8</f>
        <v/>
      </c>
      <c r="AA55" s="23">
        <f>+'HUGO A'!C55</f>
        <v/>
      </c>
      <c r="AB55" s="17">
        <f>(AA55*100)/AA$8</f>
        <v/>
      </c>
      <c r="AC55" s="23">
        <f>+'JEANCLO A'!C55</f>
        <v/>
      </c>
      <c r="AD55" s="17">
        <f>(AC55*100)/AC$8</f>
        <v/>
      </c>
      <c r="AE55" s="23">
        <f>+'THOMAS A'!C55</f>
        <v/>
      </c>
      <c r="AF55" s="17">
        <f>(AE55*100)/AE$8</f>
        <v/>
      </c>
      <c r="AG55" s="23">
        <f>+'CATALINA A'!C55</f>
        <v/>
      </c>
      <c r="AH55" s="17">
        <f>(AG55*100)/AG$8</f>
        <v/>
      </c>
      <c r="AI55" s="23">
        <f>+C55+E55+G55+I55+K55+M55+O55+Q55+S55+U55+W55+Y55+AA55+AC55+AE55+AG55</f>
        <v/>
      </c>
      <c r="AJ55" s="17">
        <f>(AI55*100)/AI$8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+'GLR5 A'!C56</f>
        <v/>
      </c>
      <c r="D56" s="17">
        <f>(C56*100)/C$8</f>
        <v/>
      </c>
      <c r="E56" s="23">
        <f>+'HTR8 A'!C56</f>
        <v/>
      </c>
      <c r="F56" s="17">
        <f>(E56*100)/E$8</f>
        <v/>
      </c>
      <c r="G56" s="23">
        <f>+'TIRR A'!C56</f>
        <v/>
      </c>
      <c r="H56" s="17">
        <f>(G56*100)/G$8</f>
        <v/>
      </c>
      <c r="I56" s="23">
        <f>+'VR7 A'!C56</f>
        <v/>
      </c>
      <c r="J56" s="17">
        <f>(I56*100)/I$8</f>
        <v/>
      </c>
      <c r="K56" s="23">
        <f>+'TURVILLA A'!C56</f>
        <v/>
      </c>
      <c r="L56" s="17">
        <f>(K56*100)/K$8</f>
        <v/>
      </c>
      <c r="M56" s="23">
        <f>+'HART A'!C56</f>
        <v/>
      </c>
      <c r="N56" s="17">
        <f>(M56*100)/M$8</f>
        <v/>
      </c>
      <c r="O56" s="23">
        <f>+'VICTOIRE A'!C56</f>
        <v/>
      </c>
      <c r="P56" s="17">
        <f>(O56*100)/O$8</f>
        <v/>
      </c>
      <c r="Q56" s="23">
        <f>+'TH4 A'!C56</f>
        <v/>
      </c>
      <c r="R56" s="17">
        <f>(Q56*100)/Q$8</f>
        <v/>
      </c>
      <c r="S56" s="23">
        <f>+'DIVES A'!C56</f>
        <v/>
      </c>
      <c r="T56" s="17">
        <f>(S56*100)/S$8</f>
        <v/>
      </c>
      <c r="U56" s="23">
        <f>+'R314 A'!C56</f>
        <v/>
      </c>
      <c r="V56" s="17">
        <f>(U56*100)/U$8</f>
        <v/>
      </c>
      <c r="W56" s="23">
        <f>+'LYSE A'!C56</f>
        <v/>
      </c>
      <c r="X56" s="17">
        <f>(W56*100)/W$8</f>
        <v/>
      </c>
      <c r="Y56" s="23">
        <f>+'ARTHUR A'!C56</f>
        <v/>
      </c>
      <c r="Z56" s="17">
        <f>(Y56*100)/Y$8</f>
        <v/>
      </c>
      <c r="AA56" s="23">
        <f>+'HUGO A'!C56</f>
        <v/>
      </c>
      <c r="AB56" s="17">
        <f>(AA56*100)/AA$8</f>
        <v/>
      </c>
      <c r="AC56" s="23">
        <f>+'JEANCLO A'!C56</f>
        <v/>
      </c>
      <c r="AD56" s="17">
        <f>(AC56*100)/AC$8</f>
        <v/>
      </c>
      <c r="AE56" s="23">
        <f>+'THOMAS A'!C56</f>
        <v/>
      </c>
      <c r="AF56" s="17">
        <f>(AE56*100)/AE$8</f>
        <v/>
      </c>
      <c r="AG56" s="23">
        <f>+'CATALINA A'!C56</f>
        <v/>
      </c>
      <c r="AH56" s="17">
        <f>(AG56*100)/AG$8</f>
        <v/>
      </c>
      <c r="AI56" s="23">
        <f>+C56+E56+G56+I56+K56+M56+O56+Q56+S56+U56+W56+Y56+AA56+AC56+AE56+AG56</f>
        <v/>
      </c>
      <c r="AJ56" s="17">
        <f>(AI56*100)/AI$8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+'GLR5 A'!C57</f>
        <v/>
      </c>
      <c r="D57" s="17">
        <f>(C57*100)/C$8</f>
        <v/>
      </c>
      <c r="E57" s="23">
        <f>+'HTR8 A'!C57</f>
        <v/>
      </c>
      <c r="F57" s="17">
        <f>(E57*100)/E$8</f>
        <v/>
      </c>
      <c r="G57" s="23">
        <f>+'TIRR A'!C57</f>
        <v/>
      </c>
      <c r="H57" s="17">
        <f>(G57*100)/G$8</f>
        <v/>
      </c>
      <c r="I57" s="23">
        <f>+'VR7 A'!C57</f>
        <v/>
      </c>
      <c r="J57" s="17">
        <f>(I57*100)/I$8</f>
        <v/>
      </c>
      <c r="K57" s="23">
        <f>+'TURVILLA A'!C57</f>
        <v/>
      </c>
      <c r="L57" s="17">
        <f>(K57*100)/K$8</f>
        <v/>
      </c>
      <c r="M57" s="23">
        <f>+'HART A'!C57</f>
        <v/>
      </c>
      <c r="N57" s="17">
        <f>(M57*100)/M$8</f>
        <v/>
      </c>
      <c r="O57" s="23">
        <f>+'VICTOIRE A'!C57</f>
        <v/>
      </c>
      <c r="P57" s="17">
        <f>(O57*100)/O$8</f>
        <v/>
      </c>
      <c r="Q57" s="23">
        <f>+'TH4 A'!C57</f>
        <v/>
      </c>
      <c r="R57" s="17">
        <f>(Q57*100)/Q$8</f>
        <v/>
      </c>
      <c r="S57" s="23">
        <f>+'DIVES A'!C57</f>
        <v/>
      </c>
      <c r="T57" s="17">
        <f>(S57*100)/S$8</f>
        <v/>
      </c>
      <c r="U57" s="23">
        <f>+'R314 A'!C57</f>
        <v/>
      </c>
      <c r="V57" s="17">
        <f>(U57*100)/U$8</f>
        <v/>
      </c>
      <c r="W57" s="23">
        <f>+'LYSE A'!C57</f>
        <v/>
      </c>
      <c r="X57" s="17">
        <f>(W57*100)/W$8</f>
        <v/>
      </c>
      <c r="Y57" s="23">
        <f>+'ARTHUR A'!C57</f>
        <v/>
      </c>
      <c r="Z57" s="17">
        <f>(Y57*100)/Y$8</f>
        <v/>
      </c>
      <c r="AA57" s="23">
        <f>+'HUGO A'!C57</f>
        <v/>
      </c>
      <c r="AB57" s="17">
        <f>(AA57*100)/AA$8</f>
        <v/>
      </c>
      <c r="AC57" s="23">
        <f>+'JEANCLO A'!C57</f>
        <v/>
      </c>
      <c r="AD57" s="17">
        <f>(AC57*100)/AC$8</f>
        <v/>
      </c>
      <c r="AE57" s="23">
        <f>+'THOMAS A'!C57</f>
        <v/>
      </c>
      <c r="AF57" s="17">
        <f>(AE57*100)/AE$8</f>
        <v/>
      </c>
      <c r="AG57" s="23">
        <f>+'CATALINA A'!C57</f>
        <v/>
      </c>
      <c r="AH57" s="17">
        <f>(AG57*100)/AG$8</f>
        <v/>
      </c>
      <c r="AI57" s="23">
        <f>+C57+E57+G57+I57+K57+M57+O57+Q57+S57+U57+W57+Y57+AA57+AC57+AE57+AG57</f>
        <v/>
      </c>
      <c r="AJ57" s="17">
        <f>(AI57*100)/AI$8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+'GLR5 A'!C58</f>
        <v/>
      </c>
      <c r="D58" s="17">
        <f>(C58*100)/C$8</f>
        <v/>
      </c>
      <c r="E58" s="23">
        <f>+'HTR8 A'!C58</f>
        <v/>
      </c>
      <c r="F58" s="17">
        <f>(E58*100)/E$8</f>
        <v/>
      </c>
      <c r="G58" s="23">
        <f>+'TIRR A'!C58</f>
        <v/>
      </c>
      <c r="H58" s="17">
        <f>(G58*100)/G$8</f>
        <v/>
      </c>
      <c r="I58" s="23">
        <f>+'VR7 A'!C58</f>
        <v/>
      </c>
      <c r="J58" s="17">
        <f>(I58*100)/I$8</f>
        <v/>
      </c>
      <c r="K58" s="23">
        <f>+'TURVILLA A'!C58</f>
        <v/>
      </c>
      <c r="L58" s="17">
        <f>(K58*100)/K$8</f>
        <v/>
      </c>
      <c r="M58" s="23">
        <f>+'HART A'!C58</f>
        <v/>
      </c>
      <c r="N58" s="17">
        <f>(M58*100)/M$8</f>
        <v/>
      </c>
      <c r="O58" s="23">
        <f>+'VICTOIRE A'!C58</f>
        <v/>
      </c>
      <c r="P58" s="17">
        <f>(O58*100)/O$8</f>
        <v/>
      </c>
      <c r="Q58" s="23">
        <f>+'TH4 A'!C58</f>
        <v/>
      </c>
      <c r="R58" s="17">
        <f>(Q58*100)/Q$8</f>
        <v/>
      </c>
      <c r="S58" s="23">
        <f>+'DIVES A'!C58</f>
        <v/>
      </c>
      <c r="T58" s="17">
        <f>(S58*100)/S$8</f>
        <v/>
      </c>
      <c r="U58" s="23">
        <f>+'R314 A'!C58</f>
        <v/>
      </c>
      <c r="V58" s="17">
        <f>(U58*100)/U$8</f>
        <v/>
      </c>
      <c r="W58" s="23">
        <f>+'LYSE A'!C58</f>
        <v/>
      </c>
      <c r="X58" s="17">
        <f>(W58*100)/W$8</f>
        <v/>
      </c>
      <c r="Y58" s="23">
        <f>+'ARTHUR A'!C58</f>
        <v/>
      </c>
      <c r="Z58" s="17">
        <f>(Y58*100)/Y$8</f>
        <v/>
      </c>
      <c r="AA58" s="23">
        <f>+'HUGO A'!C58</f>
        <v/>
      </c>
      <c r="AB58" s="17">
        <f>(AA58*100)/AA$8</f>
        <v/>
      </c>
      <c r="AC58" s="23">
        <f>+'JEANCLO A'!C58</f>
        <v/>
      </c>
      <c r="AD58" s="17">
        <f>(AC58*100)/AC$8</f>
        <v/>
      </c>
      <c r="AE58" s="23">
        <f>+'THOMAS A'!C58</f>
        <v/>
      </c>
      <c r="AF58" s="17">
        <f>(AE58*100)/AE$8</f>
        <v/>
      </c>
      <c r="AG58" s="23">
        <f>+'CATALINA A'!C58</f>
        <v/>
      </c>
      <c r="AH58" s="17">
        <f>(AG58*100)/AG$8</f>
        <v/>
      </c>
      <c r="AI58" s="23">
        <f>+C58+E58+G58+I58+K58+M58+O58+Q58+S58+U58+W58+Y58+AA58+AC58+AE58+AG58</f>
        <v/>
      </c>
      <c r="AJ58" s="17">
        <f>(AI58*100)/AI$8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+'GLR5 A'!C59</f>
        <v/>
      </c>
      <c r="D59" s="50">
        <f>(C59*100)/C$8</f>
        <v/>
      </c>
      <c r="E59" s="49">
        <f>+'HTR8 A'!C59</f>
        <v/>
      </c>
      <c r="F59" s="50">
        <f>(E59*100)/E$8</f>
        <v/>
      </c>
      <c r="G59" s="49">
        <f>+'TIRR A'!C59</f>
        <v/>
      </c>
      <c r="H59" s="50">
        <f>(G59*100)/G$8</f>
        <v/>
      </c>
      <c r="I59" s="49">
        <f>+'VR7 A'!C59</f>
        <v/>
      </c>
      <c r="J59" s="50">
        <f>(I59*100)/I$8</f>
        <v/>
      </c>
      <c r="K59" s="49">
        <f>+'TURVILLA A'!C59</f>
        <v/>
      </c>
      <c r="L59" s="50">
        <f>(K59*100)/K$8</f>
        <v/>
      </c>
      <c r="M59" s="49">
        <f>+'HART A'!C59</f>
        <v/>
      </c>
      <c r="N59" s="50">
        <f>(M59*100)/M$8</f>
        <v/>
      </c>
      <c r="O59" s="49">
        <f>+'VICTOIRE A'!C59</f>
        <v/>
      </c>
      <c r="P59" s="50">
        <f>(O59*100)/O$8</f>
        <v/>
      </c>
      <c r="Q59" s="49">
        <f>+'TH4 A'!C59</f>
        <v/>
      </c>
      <c r="R59" s="50">
        <f>(Q59*100)/Q$8</f>
        <v/>
      </c>
      <c r="S59" s="49">
        <f>+'DIVES A'!C59</f>
        <v/>
      </c>
      <c r="T59" s="50">
        <f>(S59*100)/S$8</f>
        <v/>
      </c>
      <c r="U59" s="49">
        <f>+'R314 A'!C59</f>
        <v/>
      </c>
      <c r="V59" s="50">
        <f>(U59*100)/U$8</f>
        <v/>
      </c>
      <c r="W59" s="49">
        <f>+'LYSE A'!C59</f>
        <v/>
      </c>
      <c r="X59" s="50">
        <f>(W59*100)/W$8</f>
        <v/>
      </c>
      <c r="Y59" s="49">
        <f>+'ARTHUR A'!C59</f>
        <v/>
      </c>
      <c r="Z59" s="50">
        <f>(Y59*100)/Y$8</f>
        <v/>
      </c>
      <c r="AA59" s="49">
        <f>+'HUGO A'!C59</f>
        <v/>
      </c>
      <c r="AB59" s="50">
        <f>(AA59*100)/AA$8</f>
        <v/>
      </c>
      <c r="AC59" s="49">
        <f>+'JEANCLO A'!C59</f>
        <v/>
      </c>
      <c r="AD59" s="50">
        <f>(AC59*100)/AC$8</f>
        <v/>
      </c>
      <c r="AE59" s="49">
        <f>+'THOMAS A'!C59</f>
        <v/>
      </c>
      <c r="AF59" s="50">
        <f>(AE59*100)/AE$8</f>
        <v/>
      </c>
      <c r="AG59" s="49">
        <f>+'CATALINA A'!C59</f>
        <v/>
      </c>
      <c r="AH59" s="50">
        <f>(AG59*100)/AG$8</f>
        <v/>
      </c>
      <c r="AI59" s="49">
        <f>+C59+E59+G59+I59+K59+M59+O59+Q59+S59+U59+W59+Y59+AA59+AC59+AE59+AG59</f>
        <v/>
      </c>
      <c r="AJ59" s="50">
        <f>(AI59*100)/AI$8</f>
        <v/>
      </c>
    </row>
    <row r="60" ht="7.15" customHeight="1" s="161" thickTop="1">
      <c r="A60" s="13" t="n"/>
      <c r="B60" s="443" t="n"/>
      <c r="C60" s="388" t="n"/>
      <c r="D60" s="10" t="n"/>
      <c r="E60" s="388" t="n"/>
      <c r="F60" s="10" t="n"/>
      <c r="G60" s="388" t="n"/>
      <c r="H60" s="10" t="n"/>
      <c r="I60" s="388" t="n"/>
      <c r="J60" s="10" t="n"/>
      <c r="K60" s="388" t="n"/>
      <c r="L60" s="10" t="n"/>
      <c r="M60" s="388" t="n"/>
      <c r="N60" s="10" t="n"/>
      <c r="O60" s="388" t="n"/>
      <c r="P60" s="10" t="n"/>
      <c r="Q60" s="388" t="n"/>
      <c r="R60" s="10" t="n"/>
      <c r="S60" s="388" t="n"/>
      <c r="T60" s="10" t="n"/>
      <c r="U60" s="388" t="n"/>
      <c r="V60" s="10" t="n"/>
      <c r="W60" s="388" t="n"/>
      <c r="X60" s="10" t="n"/>
      <c r="Y60" s="388" t="n"/>
      <c r="Z60" s="10" t="n"/>
      <c r="AA60" s="388" t="n"/>
      <c r="AB60" s="10" t="n"/>
      <c r="AC60" s="388" t="n"/>
      <c r="AD60" s="10" t="n"/>
      <c r="AE60" s="388" t="n"/>
      <c r="AF60" s="10" t="n"/>
      <c r="AG60" s="388" t="n"/>
      <c r="AH60" s="10" t="n"/>
      <c r="AI60" s="388" t="n"/>
      <c r="AJ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+'GLR5 A'!C61</f>
        <v/>
      </c>
      <c r="D61" s="71">
        <f>(C61*100)/C$8</f>
        <v/>
      </c>
      <c r="E61" s="70">
        <f>+'HTR8 A'!C61</f>
        <v/>
      </c>
      <c r="F61" s="71">
        <f>(E61*100)/E$8</f>
        <v/>
      </c>
      <c r="G61" s="70">
        <f>+'TIRR A'!C61</f>
        <v/>
      </c>
      <c r="H61" s="71">
        <f>(G61*100)/G$8</f>
        <v/>
      </c>
      <c r="I61" s="70">
        <f>+'VR7 A'!C61</f>
        <v/>
      </c>
      <c r="J61" s="71">
        <f>(I61*100)/I$8</f>
        <v/>
      </c>
      <c r="K61" s="70">
        <f>+'TURVILLA A'!C61</f>
        <v/>
      </c>
      <c r="L61" s="71">
        <f>(K61*100)/K$8</f>
        <v/>
      </c>
      <c r="M61" s="70">
        <f>+'HART A'!C61</f>
        <v/>
      </c>
      <c r="N61" s="71">
        <f>(M61*100)/M$8</f>
        <v/>
      </c>
      <c r="O61" s="70">
        <f>+'VICTOIRE A'!C61</f>
        <v/>
      </c>
      <c r="P61" s="71">
        <f>(O61*100)/O$8</f>
        <v/>
      </c>
      <c r="Q61" s="70">
        <f>+'TH4 A'!C61</f>
        <v/>
      </c>
      <c r="R61" s="71">
        <f>(Q61*100)/Q$8</f>
        <v/>
      </c>
      <c r="S61" s="70">
        <f>+'DIVES A'!C61</f>
        <v/>
      </c>
      <c r="T61" s="71">
        <f>(S61*100)/S$8</f>
        <v/>
      </c>
      <c r="U61" s="70">
        <f>+'R314 A'!C61</f>
        <v/>
      </c>
      <c r="V61" s="71">
        <f>(U61*100)/U$8</f>
        <v/>
      </c>
      <c r="W61" s="70">
        <f>+'LYSE A'!C61</f>
        <v/>
      </c>
      <c r="X61" s="71">
        <f>(W61*100)/W$8</f>
        <v/>
      </c>
      <c r="Y61" s="70">
        <f>+'ARTHUR A'!C61</f>
        <v/>
      </c>
      <c r="Z61" s="71">
        <f>(Y61*100)/Y$8</f>
        <v/>
      </c>
      <c r="AA61" s="70">
        <f>+'HUGO A'!C61</f>
        <v/>
      </c>
      <c r="AB61" s="71">
        <f>(AA61*100)/AA$8</f>
        <v/>
      </c>
      <c r="AC61" s="70">
        <f>+'JEANCLO A'!C61</f>
        <v/>
      </c>
      <c r="AD61" s="71">
        <f>(AC61*100)/AC$8</f>
        <v/>
      </c>
      <c r="AE61" s="70">
        <f>+'THOMAS A'!C61</f>
        <v/>
      </c>
      <c r="AF61" s="71">
        <f>(AE61*100)/AE$8</f>
        <v/>
      </c>
      <c r="AG61" s="70">
        <f>+'CATALINA A'!C61</f>
        <v/>
      </c>
      <c r="AH61" s="71">
        <f>(AG61*100)/AG$8</f>
        <v/>
      </c>
      <c r="AI61" s="70">
        <f>+C61+E61+G61+I61+K61+M61+O61+Q61+S61+U61+W61+Y61+AA61+AC61+AE61+AG61</f>
        <v/>
      </c>
      <c r="AJ61" s="71">
        <f>(AI61*100)/AI$8</f>
        <v/>
      </c>
    </row>
    <row r="62" ht="7.15" customHeight="1" s="161" thickTop="1">
      <c r="A62" s="13" t="n"/>
      <c r="B62" s="443" t="n"/>
      <c r="C62" s="388" t="n"/>
      <c r="D62" s="10" t="n"/>
      <c r="E62" s="388" t="n"/>
      <c r="F62" s="10" t="n"/>
      <c r="G62" s="388" t="n"/>
      <c r="H62" s="10" t="n"/>
      <c r="I62" s="388" t="n"/>
      <c r="J62" s="10" t="n"/>
      <c r="K62" s="388" t="n"/>
      <c r="L62" s="10" t="n"/>
      <c r="M62" s="388" t="n"/>
      <c r="N62" s="10" t="n"/>
      <c r="O62" s="388" t="n"/>
      <c r="P62" s="10" t="n"/>
      <c r="Q62" s="388" t="n"/>
      <c r="R62" s="10" t="n"/>
      <c r="S62" s="388" t="n"/>
      <c r="T62" s="10" t="n"/>
      <c r="U62" s="388" t="n"/>
      <c r="V62" s="10" t="n"/>
      <c r="W62" s="388" t="n"/>
      <c r="X62" s="10" t="n"/>
      <c r="Y62" s="388" t="n"/>
      <c r="Z62" s="10" t="n"/>
      <c r="AA62" s="388" t="n"/>
      <c r="AB62" s="10" t="n"/>
      <c r="AC62" s="388" t="n"/>
      <c r="AD62" s="10" t="n"/>
      <c r="AE62" s="388" t="n"/>
      <c r="AF62" s="10" t="n"/>
      <c r="AG62" s="388" t="n"/>
      <c r="AH62" s="10" t="n"/>
      <c r="AI62" s="388" t="n"/>
      <c r="AJ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+'GLR5 A'!C63</f>
        <v/>
      </c>
      <c r="D63" s="17">
        <f>(C63*100)/C$8</f>
        <v/>
      </c>
      <c r="E63" s="23">
        <f>+'HTR8 A'!C63</f>
        <v/>
      </c>
      <c r="F63" s="17">
        <f>(E63*100)/E$8</f>
        <v/>
      </c>
      <c r="G63" s="23">
        <f>+'TIRR A'!C63</f>
        <v/>
      </c>
      <c r="H63" s="17">
        <f>(G63*100)/G$8</f>
        <v/>
      </c>
      <c r="I63" s="23">
        <f>+'VR7 A'!C63</f>
        <v/>
      </c>
      <c r="J63" s="17">
        <f>(I63*100)/I$8</f>
        <v/>
      </c>
      <c r="K63" s="23">
        <f>+'TURVILLA A'!C63</f>
        <v/>
      </c>
      <c r="L63" s="17">
        <f>(K63*100)/K$8</f>
        <v/>
      </c>
      <c r="M63" s="23">
        <f>+'HART A'!C63</f>
        <v/>
      </c>
      <c r="N63" s="17">
        <f>(M63*100)/M$8</f>
        <v/>
      </c>
      <c r="O63" s="23">
        <f>+'VICTOIRE A'!C63</f>
        <v/>
      </c>
      <c r="P63" s="17">
        <f>(O63*100)/O$8</f>
        <v/>
      </c>
      <c r="Q63" s="23">
        <f>+'TH4 A'!C63</f>
        <v/>
      </c>
      <c r="R63" s="17">
        <f>(Q63*100)/Q$8</f>
        <v/>
      </c>
      <c r="S63" s="23">
        <f>+'DIVES A'!C63</f>
        <v/>
      </c>
      <c r="T63" s="17">
        <f>(S63*100)/S$8</f>
        <v/>
      </c>
      <c r="U63" s="23">
        <f>+'R314 A'!C63</f>
        <v/>
      </c>
      <c r="V63" s="17">
        <f>(U63*100)/U$8</f>
        <v/>
      </c>
      <c r="W63" s="23">
        <f>+'LYSE A'!C63</f>
        <v/>
      </c>
      <c r="X63" s="17">
        <f>(W63*100)/W$8</f>
        <v/>
      </c>
      <c r="Y63" s="23">
        <f>+'ARTHUR A'!C63</f>
        <v/>
      </c>
      <c r="Z63" s="17">
        <f>(Y63*100)/Y$8</f>
        <v/>
      </c>
      <c r="AA63" s="23">
        <f>+'HUGO A'!C63</f>
        <v/>
      </c>
      <c r="AB63" s="17">
        <f>(AA63*100)/AA$8</f>
        <v/>
      </c>
      <c r="AC63" s="23">
        <f>+'JEANCLO A'!C63</f>
        <v/>
      </c>
      <c r="AD63" s="17">
        <f>(AC63*100)/AC$8</f>
        <v/>
      </c>
      <c r="AE63" s="23">
        <f>+'THOMAS A'!C63</f>
        <v/>
      </c>
      <c r="AF63" s="17">
        <f>(AE63*100)/AE$8</f>
        <v/>
      </c>
      <c r="AG63" s="23">
        <f>+'CATALINA A'!C63</f>
        <v/>
      </c>
      <c r="AH63" s="17">
        <f>(AG63*100)/AG$8</f>
        <v/>
      </c>
      <c r="AI63" s="23">
        <f>+C63+E63+G63+I63+K63+M63+O63+Q63+S63+U63+W63+Y63+AA63+AC63+AE63+AG63</f>
        <v/>
      </c>
      <c r="AJ63" s="17">
        <f>(AI63*100)/AI$8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+'GLR5 A'!C64</f>
        <v/>
      </c>
      <c r="D64" s="17">
        <f>(C64*100)/C$8</f>
        <v/>
      </c>
      <c r="E64" s="23">
        <f>+'HTR8 A'!C64</f>
        <v/>
      </c>
      <c r="F64" s="17">
        <f>(E64*100)/E$8</f>
        <v/>
      </c>
      <c r="G64" s="23">
        <f>+'TIRR A'!C64</f>
        <v/>
      </c>
      <c r="H64" s="17">
        <f>(G64*100)/G$8</f>
        <v/>
      </c>
      <c r="I64" s="23">
        <f>+'VR7 A'!C64</f>
        <v/>
      </c>
      <c r="J64" s="17">
        <f>(I64*100)/I$8</f>
        <v/>
      </c>
      <c r="K64" s="23">
        <f>+'TURVILLA A'!C64</f>
        <v/>
      </c>
      <c r="L64" s="17">
        <f>(K64*100)/K$8</f>
        <v/>
      </c>
      <c r="M64" s="23">
        <f>+'HART A'!C64</f>
        <v/>
      </c>
      <c r="N64" s="17">
        <f>(M64*100)/M$8</f>
        <v/>
      </c>
      <c r="O64" s="23">
        <f>+'VICTOIRE A'!C64</f>
        <v/>
      </c>
      <c r="P64" s="17">
        <f>(O64*100)/O$8</f>
        <v/>
      </c>
      <c r="Q64" s="23">
        <f>+'TH4 A'!C64</f>
        <v/>
      </c>
      <c r="R64" s="17">
        <f>(Q64*100)/Q$8</f>
        <v/>
      </c>
      <c r="S64" s="23">
        <f>+'DIVES A'!C64</f>
        <v/>
      </c>
      <c r="T64" s="17">
        <f>(S64*100)/S$8</f>
        <v/>
      </c>
      <c r="U64" s="23">
        <f>+'R314 A'!C64</f>
        <v/>
      </c>
      <c r="V64" s="17">
        <f>(U64*100)/U$8</f>
        <v/>
      </c>
      <c r="W64" s="23">
        <f>+'LYSE A'!C64</f>
        <v/>
      </c>
      <c r="X64" s="17">
        <f>(W64*100)/W$8</f>
        <v/>
      </c>
      <c r="Y64" s="23">
        <f>+'ARTHUR A'!C64</f>
        <v/>
      </c>
      <c r="Z64" s="17">
        <f>(Y64*100)/Y$8</f>
        <v/>
      </c>
      <c r="AA64" s="23">
        <f>+'HUGO A'!C64</f>
        <v/>
      </c>
      <c r="AB64" s="17">
        <f>(AA64*100)/AA$8</f>
        <v/>
      </c>
      <c r="AC64" s="23">
        <f>+'JEANCLO A'!C64</f>
        <v/>
      </c>
      <c r="AD64" s="17">
        <f>(AC64*100)/AC$8</f>
        <v/>
      </c>
      <c r="AE64" s="23">
        <f>+'THOMAS A'!C64</f>
        <v/>
      </c>
      <c r="AF64" s="17">
        <f>(AE64*100)/AE$8</f>
        <v/>
      </c>
      <c r="AG64" s="23">
        <f>+'CATALINA A'!C64</f>
        <v/>
      </c>
      <c r="AH64" s="17">
        <f>(AG64*100)/AG$8</f>
        <v/>
      </c>
      <c r="AI64" s="23">
        <f>+C64+E64+G64+I64+K64+M64+O64+Q64+S64+U64+W64+Y64+AA64+AC64+AE64+AG64</f>
        <v/>
      </c>
      <c r="AJ64" s="17">
        <f>(AI64*100)/AI$8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67">
        <f>+E63-E64</f>
        <v/>
      </c>
      <c r="F65" s="56">
        <f>(E65*100)/E$8</f>
        <v/>
      </c>
      <c r="G65" s="67">
        <f>+G63-G64</f>
        <v/>
      </c>
      <c r="H65" s="56">
        <f>(G65*100)/G$8</f>
        <v/>
      </c>
      <c r="I65" s="67">
        <f>+I63-I64</f>
        <v/>
      </c>
      <c r="J65" s="56">
        <f>(I65*100)/I$8</f>
        <v/>
      </c>
      <c r="K65" s="67">
        <f>+K63-K64</f>
        <v/>
      </c>
      <c r="L65" s="56">
        <f>(K65*100)/K$8</f>
        <v/>
      </c>
      <c r="M65" s="67">
        <f>+M63-M64</f>
        <v/>
      </c>
      <c r="N65" s="56">
        <f>(M65*100)/M$8</f>
        <v/>
      </c>
      <c r="O65" s="67">
        <f>+O63-O64</f>
        <v/>
      </c>
      <c r="P65" s="56">
        <f>(O65*100)/O$8</f>
        <v/>
      </c>
      <c r="Q65" s="67">
        <f>+Q63-Q64</f>
        <v/>
      </c>
      <c r="R65" s="56">
        <f>(Q65*100)/Q$8</f>
        <v/>
      </c>
      <c r="S65" s="67">
        <f>+S63-S64</f>
        <v/>
      </c>
      <c r="T65" s="56">
        <f>(S65*100)/S$8</f>
        <v/>
      </c>
      <c r="U65" s="67">
        <f>+U63-U64</f>
        <v/>
      </c>
      <c r="V65" s="56">
        <f>(U65*100)/U$8</f>
        <v/>
      </c>
      <c r="W65" s="67">
        <f>+W63-W64</f>
        <v/>
      </c>
      <c r="X65" s="56">
        <f>(W65*100)/W$8</f>
        <v/>
      </c>
      <c r="Y65" s="67">
        <f>+'ARTHUR A'!C65</f>
        <v/>
      </c>
      <c r="Z65" s="56">
        <f>(Y65*100)/Y$8</f>
        <v/>
      </c>
      <c r="AA65" s="67">
        <f>+'HUGO A'!C65</f>
        <v/>
      </c>
      <c r="AB65" s="56">
        <f>(AA65*100)/AA$8</f>
        <v/>
      </c>
      <c r="AC65" s="67">
        <f>+'JEANCLO A'!C65</f>
        <v/>
      </c>
      <c r="AD65" s="56">
        <f>(AC65*100)/AC$8</f>
        <v/>
      </c>
      <c r="AE65" s="67">
        <f>+'THOMAS A'!C65</f>
        <v/>
      </c>
      <c r="AF65" s="56">
        <f>(AE65*100)/AE$8</f>
        <v/>
      </c>
      <c r="AG65" s="67">
        <f>+'CATALINA A'!C65</f>
        <v/>
      </c>
      <c r="AH65" s="56">
        <f>(AG65*100)/AG$8</f>
        <v/>
      </c>
      <c r="AI65" s="67">
        <f>+C65+E65+G65+I65+K65+M65+O65+Q65+S65+U65+W65+Y65+AA65+AC65+AE65+AG65</f>
        <v/>
      </c>
      <c r="AJ65" s="56">
        <f>(AI65*100)/AI$8</f>
        <v/>
      </c>
    </row>
    <row r="66" ht="7.15" customFormat="1" customHeight="1" s="390">
      <c r="A66" s="13" t="n"/>
      <c r="B66" s="437" t="n"/>
      <c r="C66" s="15" t="n"/>
      <c r="D66" s="17" t="n"/>
      <c r="E66" s="15" t="n"/>
      <c r="F66" s="17" t="n"/>
      <c r="G66" s="15" t="n"/>
      <c r="H66" s="17" t="n"/>
      <c r="I66" s="15" t="n"/>
      <c r="J66" s="17" t="n"/>
      <c r="K66" s="15" t="n"/>
      <c r="L66" s="17" t="n"/>
      <c r="M66" s="15" t="n"/>
      <c r="N66" s="17" t="n"/>
      <c r="O66" s="15" t="n"/>
      <c r="P66" s="17" t="n"/>
      <c r="Q66" s="15" t="n"/>
      <c r="R66" s="17" t="n"/>
      <c r="S66" s="15" t="n"/>
      <c r="T66" s="17" t="n"/>
      <c r="U66" s="15" t="n"/>
      <c r="V66" s="17" t="n"/>
      <c r="W66" s="15" t="n"/>
      <c r="X66" s="17" t="n"/>
      <c r="Y66" s="15" t="n"/>
      <c r="Z66" s="17" t="n"/>
      <c r="AA66" s="15" t="n"/>
      <c r="AB66" s="17" t="n"/>
      <c r="AC66" s="15" t="n"/>
      <c r="AD66" s="17" t="n"/>
      <c r="AE66" s="15" t="n"/>
      <c r="AF66" s="17" t="n"/>
      <c r="AG66" s="15" t="n"/>
      <c r="AH66" s="17" t="n"/>
      <c r="AI66" s="15" t="n"/>
      <c r="AJ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+'GLR5 A'!C67</f>
        <v/>
      </c>
      <c r="D67" s="17">
        <f>(C67*100)/C$8</f>
        <v/>
      </c>
      <c r="E67" s="15">
        <f>+'HTR8 A'!C67</f>
        <v/>
      </c>
      <c r="F67" s="17">
        <f>(E67*100)/E$8</f>
        <v/>
      </c>
      <c r="G67" s="15">
        <f>+'TIRR A'!C67</f>
        <v/>
      </c>
      <c r="H67" s="17">
        <f>(G67*100)/G$8</f>
        <v/>
      </c>
      <c r="I67" s="15">
        <f>+'VR7 A'!C67</f>
        <v/>
      </c>
      <c r="J67" s="17">
        <f>(I67*100)/I$8</f>
        <v/>
      </c>
      <c r="K67" s="15">
        <f>+'TURVILLA A'!C67</f>
        <v/>
      </c>
      <c r="L67" s="17">
        <f>(K67*100)/K$8</f>
        <v/>
      </c>
      <c r="M67" s="15">
        <f>+'HART A'!C67</f>
        <v/>
      </c>
      <c r="N67" s="17">
        <f>(M67*100)/M$8</f>
        <v/>
      </c>
      <c r="O67" s="15">
        <f>+'VICTOIRE A'!C67</f>
        <v/>
      </c>
      <c r="P67" s="17">
        <f>(O67*100)/O$8</f>
        <v/>
      </c>
      <c r="Q67" s="15">
        <f>+'TH4 A'!C67</f>
        <v/>
      </c>
      <c r="R67" s="17">
        <f>(Q67*100)/Q$8</f>
        <v/>
      </c>
      <c r="S67" s="15">
        <f>+'DIVES A'!C67</f>
        <v/>
      </c>
      <c r="T67" s="17">
        <f>(S67*100)/S$8</f>
        <v/>
      </c>
      <c r="U67" s="15">
        <f>+'R314 A'!C67</f>
        <v/>
      </c>
      <c r="V67" s="17">
        <f>(U67*100)/U$8</f>
        <v/>
      </c>
      <c r="W67" s="15">
        <f>+'LYSE A'!C67</f>
        <v/>
      </c>
      <c r="X67" s="17">
        <f>(W67*100)/W$8</f>
        <v/>
      </c>
      <c r="Y67" s="15">
        <f>+'ARTHUR A'!C67</f>
        <v/>
      </c>
      <c r="Z67" s="17">
        <f>(Y67*100)/Y$8</f>
        <v/>
      </c>
      <c r="AA67" s="15">
        <f>+'HUGO A'!C67</f>
        <v/>
      </c>
      <c r="AB67" s="17">
        <f>(AA67*100)/AA$8</f>
        <v/>
      </c>
      <c r="AC67" s="15">
        <f>+'JEANCLO A'!C67</f>
        <v/>
      </c>
      <c r="AD67" s="17">
        <f>(AC67*100)/AC$8</f>
        <v/>
      </c>
      <c r="AE67" s="15">
        <f>+'THOMAS A'!C67</f>
        <v/>
      </c>
      <c r="AF67" s="17">
        <f>(AE67*100)/AE$8</f>
        <v/>
      </c>
      <c r="AG67" s="15">
        <f>+'CATALINA A'!C67</f>
        <v/>
      </c>
      <c r="AH67" s="17">
        <f>(AG67*100)/AG$8</f>
        <v/>
      </c>
      <c r="AI67" s="15">
        <f>+C67+E67+G67+I67+K67+M67+O67+Q67+S67+U67+W67+Y67+AA67+AC67+AE67+AG67</f>
        <v/>
      </c>
      <c r="AJ67" s="17">
        <f>(AI67*100)/AI$8</f>
        <v/>
      </c>
    </row>
    <row r="68" ht="7.15" customFormat="1" customHeight="1" s="390">
      <c r="A68" s="13" t="n"/>
      <c r="B68" s="437" t="n"/>
      <c r="C68" s="15" t="n"/>
      <c r="D68" s="17" t="n"/>
      <c r="E68" s="15" t="n"/>
      <c r="F68" s="17" t="n"/>
      <c r="G68" s="15" t="n"/>
      <c r="H68" s="17" t="n"/>
      <c r="I68" s="15" t="n"/>
      <c r="J68" s="17" t="n"/>
      <c r="K68" s="15" t="n"/>
      <c r="L68" s="17" t="n"/>
      <c r="M68" s="15" t="n"/>
      <c r="N68" s="17" t="n"/>
      <c r="O68" s="15" t="n"/>
      <c r="P68" s="17" t="n"/>
      <c r="Q68" s="15" t="n"/>
      <c r="R68" s="17" t="n"/>
      <c r="S68" s="15" t="n"/>
      <c r="T68" s="17" t="n"/>
      <c r="U68" s="15" t="n"/>
      <c r="V68" s="17" t="n"/>
      <c r="W68" s="15" t="n"/>
      <c r="X68" s="17" t="n"/>
      <c r="Y68" s="15" t="n"/>
      <c r="Z68" s="17" t="n"/>
      <c r="AA68" s="15" t="n"/>
      <c r="AB68" s="17" t="n"/>
      <c r="AC68" s="15" t="n"/>
      <c r="AD68" s="17" t="n"/>
      <c r="AE68" s="15" t="n"/>
      <c r="AF68" s="17" t="n"/>
      <c r="AG68" s="15" t="n"/>
      <c r="AH68" s="17" t="n"/>
      <c r="AI68" s="15" t="n"/>
      <c r="AJ68" s="17" t="n"/>
    </row>
    <row r="69" customFormat="1" s="390">
      <c r="A69" s="13" t="n"/>
      <c r="B69" s="443" t="inlineStr">
        <is>
          <t>REVENU NET D'EXPLOITATION</t>
        </is>
      </c>
      <c r="C69" s="22">
        <f>+'GLR5 A'!C69</f>
        <v/>
      </c>
      <c r="D69" s="10">
        <f>(C69*100)/C$8</f>
        <v/>
      </c>
      <c r="E69" s="22">
        <f>+'HTR8 A'!C69</f>
        <v/>
      </c>
      <c r="F69" s="10">
        <f>(E69*100)/E$8</f>
        <v/>
      </c>
      <c r="G69" s="22">
        <f>+'TIRR A'!C69</f>
        <v/>
      </c>
      <c r="H69" s="10">
        <f>(G69*100)/G$8</f>
        <v/>
      </c>
      <c r="I69" s="22">
        <f>+'VR7 A'!C69</f>
        <v/>
      </c>
      <c r="J69" s="10">
        <f>(I69*100)/I$8</f>
        <v/>
      </c>
      <c r="K69" s="22">
        <f>+'TURVILLA A'!C69</f>
        <v/>
      </c>
      <c r="L69" s="10">
        <f>(K69*100)/K$8</f>
        <v/>
      </c>
      <c r="M69" s="22">
        <f>+'HART A'!C69</f>
        <v/>
      </c>
      <c r="N69" s="10">
        <f>(M69*100)/M$8</f>
        <v/>
      </c>
      <c r="O69" s="22">
        <f>+'VICTOIRE A'!C69</f>
        <v/>
      </c>
      <c r="P69" s="10">
        <f>(O69*100)/O$8</f>
        <v/>
      </c>
      <c r="Q69" s="22">
        <f>+'TH4 A'!C69</f>
        <v/>
      </c>
      <c r="R69" s="10">
        <f>(Q69*100)/Q$8</f>
        <v/>
      </c>
      <c r="S69" s="22">
        <f>+'DIVES A'!C69</f>
        <v/>
      </c>
      <c r="T69" s="10">
        <f>(S69*100)/S$8</f>
        <v/>
      </c>
      <c r="U69" s="22">
        <f>+'R314 A'!C69</f>
        <v/>
      </c>
      <c r="V69" s="10">
        <f>(U69*100)/U$8</f>
        <v/>
      </c>
      <c r="W69" s="22">
        <f>+'LYSE A'!C69</f>
        <v/>
      </c>
      <c r="X69" s="10">
        <f>(W69*100)/W$8</f>
        <v/>
      </c>
      <c r="Y69" s="22">
        <f>+'ARTHUR A'!C69</f>
        <v/>
      </c>
      <c r="Z69" s="10">
        <f>(Y69*100)/Y$8</f>
        <v/>
      </c>
      <c r="AA69" s="22">
        <f>+'HUGO A'!C69</f>
        <v/>
      </c>
      <c r="AB69" s="10">
        <f>(AA69*100)/AA$8</f>
        <v/>
      </c>
      <c r="AC69" s="22">
        <f>+'JEANCLO A'!C69</f>
        <v/>
      </c>
      <c r="AD69" s="10">
        <f>(AC69*100)/AC$8</f>
        <v/>
      </c>
      <c r="AE69" s="22">
        <f>+'THOMAS A'!C69</f>
        <v/>
      </c>
      <c r="AF69" s="10">
        <f>(AE69*100)/AE$8</f>
        <v/>
      </c>
      <c r="AG69" s="22">
        <f>+'CATALINA A'!C69</f>
        <v/>
      </c>
      <c r="AH69" s="10">
        <f>(AG69*100)/AG$8</f>
        <v/>
      </c>
      <c r="AI69" s="22">
        <f>+C69+E69+G69+I69+K69+M69+O69+Q69+S69+U69+W69+Y69+AA69+AC69+AE69+AG69</f>
        <v/>
      </c>
      <c r="AJ69" s="10">
        <f>(AI69*100)/AI$8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+'GLR5 A'!C70</f>
        <v/>
      </c>
      <c r="D70" s="50">
        <f>(C70*100)/C$8</f>
        <v/>
      </c>
      <c r="E70" s="49">
        <f>+'HTR8 A'!C70</f>
        <v/>
      </c>
      <c r="F70" s="50">
        <f>(E70*100)/E$8</f>
        <v/>
      </c>
      <c r="G70" s="49">
        <f>+'TIRR A'!C70</f>
        <v/>
      </c>
      <c r="H70" s="50">
        <f>(G70*100)/G$8</f>
        <v/>
      </c>
      <c r="I70" s="49">
        <f>+'VR7 A'!C70</f>
        <v/>
      </c>
      <c r="J70" s="50">
        <f>(I70*100)/I$8</f>
        <v/>
      </c>
      <c r="K70" s="49">
        <f>+'TURVILLA A'!C70</f>
        <v/>
      </c>
      <c r="L70" s="50">
        <f>(K70*100)/K$8</f>
        <v/>
      </c>
      <c r="M70" s="49">
        <f>+'HART A'!C70</f>
        <v/>
      </c>
      <c r="N70" s="50">
        <f>(M70*100)/M$8</f>
        <v/>
      </c>
      <c r="O70" s="49">
        <f>+'VICTOIRE A'!C70</f>
        <v/>
      </c>
      <c r="P70" s="50">
        <f>(O70*100)/O$8</f>
        <v/>
      </c>
      <c r="Q70" s="49">
        <f>+'TH4 A'!C70</f>
        <v/>
      </c>
      <c r="R70" s="50">
        <f>(Q70*100)/Q$8</f>
        <v/>
      </c>
      <c r="S70" s="49">
        <f>+'DIVES A'!C70</f>
        <v/>
      </c>
      <c r="T70" s="50">
        <f>(S70*100)/S$8</f>
        <v/>
      </c>
      <c r="U70" s="49">
        <f>+'R314 A'!C70</f>
        <v/>
      </c>
      <c r="V70" s="50">
        <f>(U70*100)/U$8</f>
        <v/>
      </c>
      <c r="W70" s="49">
        <f>+'LYSE A'!C70</f>
        <v/>
      </c>
      <c r="X70" s="50">
        <f>(W70*100)/W$8</f>
        <v/>
      </c>
      <c r="Y70" s="49">
        <f>+'ARTHUR A'!C70</f>
        <v/>
      </c>
      <c r="Z70" s="50">
        <f>(Y70*100)/Y$8</f>
        <v/>
      </c>
      <c r="AA70" s="49">
        <f>+'HUGO A'!C70</f>
        <v/>
      </c>
      <c r="AB70" s="50">
        <f>(AA70*100)/AA$8</f>
        <v/>
      </c>
      <c r="AC70" s="49">
        <f>+'JEANCLO A'!C70</f>
        <v/>
      </c>
      <c r="AD70" s="50">
        <f>(AC70*100)/AC$8</f>
        <v/>
      </c>
      <c r="AE70" s="49">
        <f>+'THOMAS A'!C70</f>
        <v/>
      </c>
      <c r="AF70" s="50">
        <f>(AE70*100)/AE$8</f>
        <v/>
      </c>
      <c r="AG70" s="49">
        <f>+'CATALINA A'!C70</f>
        <v/>
      </c>
      <c r="AH70" s="50">
        <f>(AG70*100)/AG$8</f>
        <v/>
      </c>
      <c r="AI70" s="49">
        <f>+C70+E70+G70+I70+K70+M70+O70+Q70+S70+U70+W70+Y70+AA70+AC70+AE70+AG70</f>
        <v/>
      </c>
      <c r="AJ70" s="50">
        <f>(AI70*100)/AI$8</f>
        <v/>
      </c>
    </row>
    <row r="71" ht="7.15" customHeight="1" s="161" thickTop="1">
      <c r="A71" s="13" t="n"/>
      <c r="B71" s="443" t="n"/>
      <c r="C71" s="12" t="n"/>
      <c r="D71" s="10" t="n"/>
      <c r="E71" s="12" t="n"/>
      <c r="F71" s="10" t="n"/>
      <c r="G71" s="12" t="n"/>
      <c r="H71" s="10" t="n"/>
      <c r="I71" s="12" t="n"/>
      <c r="J71" s="10" t="n"/>
      <c r="K71" s="12" t="n"/>
      <c r="L71" s="10" t="n"/>
      <c r="M71" s="12" t="n"/>
      <c r="N71" s="10" t="n"/>
      <c r="O71" s="12" t="n"/>
      <c r="P71" s="10" t="n"/>
      <c r="Q71" s="12" t="n"/>
      <c r="R71" s="10" t="n"/>
      <c r="S71" s="12" t="n"/>
      <c r="T71" s="10" t="n"/>
      <c r="U71" s="12" t="n"/>
      <c r="V71" s="10" t="n"/>
      <c r="W71" s="12" t="n"/>
      <c r="X71" s="10" t="n"/>
      <c r="Y71" s="12" t="n"/>
      <c r="Z71" s="10" t="n"/>
      <c r="AA71" s="12" t="n"/>
      <c r="AB71" s="10" t="n"/>
      <c r="AC71" s="12" t="n"/>
      <c r="AD71" s="10" t="n"/>
      <c r="AE71" s="12" t="n"/>
      <c r="AF71" s="10" t="n"/>
      <c r="AG71" s="12" t="n"/>
      <c r="AH71" s="10" t="n"/>
      <c r="AI71" s="12" t="n"/>
      <c r="AJ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+'GLR5 A'!C72</f>
        <v/>
      </c>
      <c r="D72" s="17">
        <f>(C72*100)/C$8</f>
        <v/>
      </c>
      <c r="E72" s="15">
        <f>+'HTR8 A'!C72</f>
        <v/>
      </c>
      <c r="F72" s="17">
        <f>(E72*100)/E$8</f>
        <v/>
      </c>
      <c r="G72" s="15">
        <f>+'TIRR A'!C72</f>
        <v/>
      </c>
      <c r="H72" s="17">
        <f>(G72*100)/G$8</f>
        <v/>
      </c>
      <c r="I72" s="15">
        <f>+'VR7 A'!C72</f>
        <v/>
      </c>
      <c r="J72" s="17">
        <f>(I72*100)/I$8</f>
        <v/>
      </c>
      <c r="K72" s="15">
        <f>+'TURVILLA A'!C72</f>
        <v/>
      </c>
      <c r="L72" s="17">
        <f>(K72*100)/K$8</f>
        <v/>
      </c>
      <c r="M72" s="15">
        <f>+'HART A'!C72</f>
        <v/>
      </c>
      <c r="N72" s="17">
        <f>(M72*100)/M$8</f>
        <v/>
      </c>
      <c r="O72" s="15">
        <f>+'VICTOIRE A'!C72</f>
        <v/>
      </c>
      <c r="P72" s="17">
        <f>(O72*100)/O$8</f>
        <v/>
      </c>
      <c r="Q72" s="15">
        <f>+'TH4 A'!C72</f>
        <v/>
      </c>
      <c r="R72" s="17">
        <f>(Q72*100)/Q$8</f>
        <v/>
      </c>
      <c r="S72" s="15">
        <f>+'DIVES A'!C72</f>
        <v/>
      </c>
      <c r="T72" s="17">
        <f>(S72*100)/S$8</f>
        <v/>
      </c>
      <c r="U72" s="15">
        <f>+'R314 A'!C72</f>
        <v/>
      </c>
      <c r="V72" s="17">
        <f>(U72*100)/U$8</f>
        <v/>
      </c>
      <c r="W72" s="15">
        <f>+'LYSE A'!C72</f>
        <v/>
      </c>
      <c r="X72" s="17">
        <f>(W72*100)/W$8</f>
        <v/>
      </c>
      <c r="Y72" s="15">
        <f>+'ARTHUR A'!C72</f>
        <v/>
      </c>
      <c r="Z72" s="17">
        <f>(Y72*100)/Y$8</f>
        <v/>
      </c>
      <c r="AA72" s="15">
        <f>+'HUGO A'!C72</f>
        <v/>
      </c>
      <c r="AB72" s="17">
        <f>(AA72*100)/AA$8</f>
        <v/>
      </c>
      <c r="AC72" s="15">
        <f>+'JEANCLO A'!C72</f>
        <v/>
      </c>
      <c r="AD72" s="17">
        <f>(AC72*100)/AC$8</f>
        <v/>
      </c>
      <c r="AE72" s="15">
        <f>+'THOMAS A'!C72</f>
        <v/>
      </c>
      <c r="AF72" s="17">
        <f>(AE72*100)/AE$8</f>
        <v/>
      </c>
      <c r="AG72" s="15">
        <f>+'CATALINA A'!C72</f>
        <v/>
      </c>
      <c r="AH72" s="17">
        <f>(AG72*100)/AG$8</f>
        <v/>
      </c>
      <c r="AI72" s="15">
        <f>+C72+E72+G72+I72+K72+M72+O72+Q72+S72+U72+W72+Y72+AA72+AC72+AE72+AG72</f>
        <v/>
      </c>
      <c r="AJ72" s="17">
        <f>(AI72*100)/AI$8</f>
        <v/>
      </c>
    </row>
    <row r="73" ht="7.15" customHeight="1" s="161">
      <c r="A73" s="13" t="n"/>
      <c r="B73" s="443" t="n"/>
      <c r="C73" s="12" t="n"/>
      <c r="D73" s="10" t="n"/>
      <c r="E73" s="12" t="n"/>
      <c r="F73" s="10" t="n"/>
      <c r="G73" s="12" t="n"/>
      <c r="H73" s="10" t="n"/>
      <c r="I73" s="12" t="n"/>
      <c r="J73" s="10" t="n"/>
      <c r="K73" s="12" t="n"/>
      <c r="L73" s="10" t="n"/>
      <c r="M73" s="12" t="n"/>
      <c r="N73" s="10" t="n"/>
      <c r="O73" s="12" t="n"/>
      <c r="P73" s="10" t="n"/>
      <c r="Q73" s="12" t="n"/>
      <c r="R73" s="10" t="n"/>
      <c r="S73" s="12" t="n"/>
      <c r="T73" s="10" t="n"/>
      <c r="U73" s="12" t="n"/>
      <c r="V73" s="10" t="n"/>
      <c r="W73" s="12" t="n"/>
      <c r="X73" s="10" t="n"/>
      <c r="Y73" s="12" t="n"/>
      <c r="Z73" s="10" t="n"/>
      <c r="AA73" s="12" t="n"/>
      <c r="AB73" s="10" t="n"/>
      <c r="AC73" s="12" t="n"/>
      <c r="AD73" s="10" t="n"/>
      <c r="AE73" s="12" t="n"/>
      <c r="AF73" s="10" t="n"/>
      <c r="AG73" s="12" t="n"/>
      <c r="AH73" s="10" t="n"/>
      <c r="AI73" s="12" t="n"/>
      <c r="AJ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+'GLR5 A'!C74</f>
        <v/>
      </c>
      <c r="D74" s="10">
        <f>(C74*100)/C$8</f>
        <v/>
      </c>
      <c r="E74" s="22">
        <f>+'HTR8 A'!C74</f>
        <v/>
      </c>
      <c r="F74" s="10">
        <f>(E74*100)/E$8</f>
        <v/>
      </c>
      <c r="G74" s="22">
        <f>+'TIRR A'!C74</f>
        <v/>
      </c>
      <c r="H74" s="10">
        <f>(G74*100)/G$8</f>
        <v/>
      </c>
      <c r="I74" s="22">
        <f>+'VR7 A'!C74</f>
        <v/>
      </c>
      <c r="J74" s="10">
        <f>(I74*100)/I$8</f>
        <v/>
      </c>
      <c r="K74" s="22">
        <f>+'TURVILLA A'!C74</f>
        <v/>
      </c>
      <c r="L74" s="10">
        <f>(K74*100)/K$8</f>
        <v/>
      </c>
      <c r="M74" s="22">
        <f>+'HART A'!C74</f>
        <v/>
      </c>
      <c r="N74" s="10">
        <f>(M74*100)/M$8</f>
        <v/>
      </c>
      <c r="O74" s="22">
        <f>+'VICTOIRE A'!C74</f>
        <v/>
      </c>
      <c r="P74" s="10">
        <f>(O74*100)/O$8</f>
        <v/>
      </c>
      <c r="Q74" s="22">
        <f>+'TH4 A'!C74</f>
        <v/>
      </c>
      <c r="R74" s="10">
        <f>(Q74*100)/Q$8</f>
        <v/>
      </c>
      <c r="S74" s="22">
        <f>+'DIVES A'!C74</f>
        <v/>
      </c>
      <c r="T74" s="10">
        <f>(S74*100)/S$8</f>
        <v/>
      </c>
      <c r="U74" s="22">
        <f>+'R314 A'!C74</f>
        <v/>
      </c>
      <c r="V74" s="10">
        <f>(U74*100)/U$8</f>
        <v/>
      </c>
      <c r="W74" s="22">
        <f>+'LYSE A'!C74</f>
        <v/>
      </c>
      <c r="X74" s="10">
        <f>(W74*100)/W$8</f>
        <v/>
      </c>
      <c r="Y74" s="22">
        <f>+'ARTHUR A'!C74</f>
        <v/>
      </c>
      <c r="Z74" s="10">
        <f>(Y74*100)/Y$8</f>
        <v/>
      </c>
      <c r="AA74" s="22">
        <f>+'HUGO A'!C74</f>
        <v/>
      </c>
      <c r="AB74" s="10">
        <f>(AA74*100)/AA$8</f>
        <v/>
      </c>
      <c r="AC74" s="22">
        <f>+'JEANCLO A'!C74</f>
        <v/>
      </c>
      <c r="AD74" s="10">
        <f>(AC74*100)/AC$8</f>
        <v/>
      </c>
      <c r="AE74" s="22">
        <f>+'THOMAS A'!C74</f>
        <v/>
      </c>
      <c r="AF74" s="10">
        <f>(AE74*100)/AE$8</f>
        <v/>
      </c>
      <c r="AG74" s="22">
        <f>+'CATALINA A'!C74</f>
        <v/>
      </c>
      <c r="AH74" s="10">
        <f>(AG74*100)/AG$8</f>
        <v/>
      </c>
      <c r="AI74" s="22">
        <f>+C74+E74+G74+I74+K74+M74+O74+Q74+S74+U74+W74+Y74+AA74+AC74+AE74+AG74</f>
        <v/>
      </c>
      <c r="AJ74" s="10">
        <f>(AI74*100)/AI$8</f>
        <v/>
      </c>
    </row>
    <row r="75" ht="7.15" customHeight="1" s="161">
      <c r="A75" s="13" t="n"/>
      <c r="B75" s="443" t="n"/>
      <c r="C75" s="12" t="n"/>
      <c r="D75" s="10" t="n"/>
      <c r="E75" s="12" t="n"/>
      <c r="F75" s="10" t="n"/>
      <c r="G75" s="12" t="n"/>
      <c r="H75" s="10" t="n"/>
      <c r="I75" s="12" t="n"/>
      <c r="J75" s="10" t="n"/>
      <c r="K75" s="12" t="n"/>
      <c r="L75" s="10" t="n"/>
      <c r="M75" s="12" t="n"/>
      <c r="N75" s="10" t="n"/>
      <c r="O75" s="12" t="n"/>
      <c r="P75" s="10" t="n"/>
      <c r="Q75" s="12" t="n"/>
      <c r="R75" s="10" t="n"/>
      <c r="S75" s="12" t="n"/>
      <c r="T75" s="10" t="n"/>
      <c r="U75" s="12" t="n"/>
      <c r="V75" s="10" t="n"/>
      <c r="W75" s="12" t="n"/>
      <c r="X75" s="10" t="n"/>
      <c r="Y75" s="12" t="n"/>
      <c r="Z75" s="10" t="n"/>
      <c r="AA75" s="12" t="n"/>
      <c r="AB75" s="10" t="n"/>
      <c r="AC75" s="12" t="n"/>
      <c r="AD75" s="10" t="n"/>
      <c r="AE75" s="12" t="n"/>
      <c r="AF75" s="10" t="n"/>
      <c r="AG75" s="12" t="n"/>
      <c r="AH75" s="10" t="n"/>
      <c r="AI75" s="12" t="n"/>
      <c r="AJ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0">
        <f>E69-E74+E72</f>
        <v/>
      </c>
      <c r="F76" s="71">
        <f>(E76*100)/E$8</f>
        <v/>
      </c>
      <c r="G76" s="70">
        <f>G69-G74+G72</f>
        <v/>
      </c>
      <c r="H76" s="71">
        <f>(G76*100)/G$8</f>
        <v/>
      </c>
      <c r="I76" s="70">
        <f>I69-I74+I72</f>
        <v/>
      </c>
      <c r="J76" s="71">
        <f>(I76*100)/I$8</f>
        <v/>
      </c>
      <c r="K76" s="70">
        <f>K69-K74+K72</f>
        <v/>
      </c>
      <c r="L76" s="71">
        <f>(K76*100)/K$8</f>
        <v/>
      </c>
      <c r="M76" s="70">
        <f>M69-M74+M72</f>
        <v/>
      </c>
      <c r="N76" s="71">
        <f>(M76*100)/M$8</f>
        <v/>
      </c>
      <c r="O76" s="70">
        <f>O69-O74+O72</f>
        <v/>
      </c>
      <c r="P76" s="71">
        <f>(O76*100)/O$8</f>
        <v/>
      </c>
      <c r="Q76" s="70">
        <f>Q69-Q74+Q72</f>
        <v/>
      </c>
      <c r="R76" s="71">
        <f>(Q76*100)/Q$8</f>
        <v/>
      </c>
      <c r="S76" s="70">
        <f>S69-S74+S72</f>
        <v/>
      </c>
      <c r="T76" s="71">
        <f>(S76*100)/S$8</f>
        <v/>
      </c>
      <c r="U76" s="70">
        <f>U69-U74+U72</f>
        <v/>
      </c>
      <c r="V76" s="71">
        <f>(U76*100)/U$8</f>
        <v/>
      </c>
      <c r="W76" s="70">
        <f>W69-W74+W72</f>
        <v/>
      </c>
      <c r="X76" s="71">
        <f>(W76*100)/W$8</f>
        <v/>
      </c>
      <c r="Y76" s="70">
        <f>+'ARTHUR A'!C76</f>
        <v/>
      </c>
      <c r="Z76" s="71">
        <f>(Y76*100)/Y$8</f>
        <v/>
      </c>
      <c r="AA76" s="70">
        <f>+'HUGO A'!C76</f>
        <v/>
      </c>
      <c r="AB76" s="71">
        <f>(AA76*100)/AA$8</f>
        <v/>
      </c>
      <c r="AC76" s="70">
        <f>+'JEANCLO A'!C76</f>
        <v/>
      </c>
      <c r="AD76" s="71">
        <f>(AC76*100)/AC$8</f>
        <v/>
      </c>
      <c r="AE76" s="70">
        <f>+'THOMAS A'!C76</f>
        <v/>
      </c>
      <c r="AF76" s="71">
        <f>(AE76*100)/AE$8</f>
        <v/>
      </c>
      <c r="AG76" s="70">
        <f>+'CATALINA A'!C76</f>
        <v/>
      </c>
      <c r="AH76" s="71">
        <f>(AG76*100)/AG$8</f>
        <v/>
      </c>
      <c r="AI76" s="70">
        <f>+C76+E76+G76+I76+K76+M76+O76+Q76+S76+U76+W76+Y76+AA76+AC76+AE76+AG76</f>
        <v/>
      </c>
      <c r="AJ76" s="71">
        <f>(AI76*100)/AI$8</f>
        <v/>
      </c>
    </row>
    <row r="77" ht="13.5" customHeight="1" s="161" thickTop="1">
      <c r="A77" s="13" t="n"/>
      <c r="B77" s="443" t="n"/>
      <c r="C77" s="445" t="n"/>
      <c r="D77" s="446" t="n"/>
      <c r="E77" s="445" t="n"/>
      <c r="F77" s="446" t="n"/>
      <c r="G77" s="445" t="n"/>
      <c r="H77" s="446" t="n"/>
      <c r="I77" s="445" t="n"/>
      <c r="J77" s="446" t="n"/>
      <c r="K77" s="445" t="n"/>
      <c r="L77" s="446" t="n"/>
      <c r="M77" s="445" t="n"/>
      <c r="N77" s="446" t="n"/>
      <c r="O77" s="445" t="n"/>
      <c r="P77" s="446" t="n"/>
      <c r="Q77" s="445" t="n"/>
      <c r="R77" s="446" t="n"/>
      <c r="S77" s="445" t="n"/>
      <c r="T77" s="446" t="n"/>
      <c r="U77" s="445" t="n"/>
      <c r="V77" s="446" t="n"/>
      <c r="W77" s="445" t="n"/>
      <c r="X77" s="446" t="n"/>
      <c r="Y77" s="445" t="n"/>
      <c r="Z77" s="446" t="n"/>
      <c r="AA77" s="445" t="n"/>
      <c r="AB77" s="446" t="n"/>
      <c r="AC77" s="445" t="n"/>
      <c r="AD77" s="446" t="n"/>
      <c r="AE77" s="445" t="n"/>
      <c r="AF77" s="446" t="n"/>
      <c r="AG77" s="445" t="n"/>
      <c r="AH77" s="446" t="n"/>
      <c r="AI77" s="445" t="n"/>
      <c r="AJ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VLOOKUP(PARAMETRES!$C$2,DONNÉES!$J$188:$P$199,2,FALSE)</f>
        <v/>
      </c>
      <c r="D78" s="450" t="n"/>
      <c r="E78" s="449">
        <f>VLOOKUP(PARAMETRES!$C$2,DONNÉES!$R$188:$X$199,2,FALSE)</f>
        <v/>
      </c>
      <c r="F78" s="450" t="n"/>
      <c r="G78" s="449">
        <f>VLOOKUP(PARAMETRES!$C$2,DONNÉES!$Z$188:$AF$199,2,FALSE)</f>
        <v/>
      </c>
      <c r="H78" s="450" t="n"/>
      <c r="I78" s="449">
        <f>VLOOKUP(PARAMETRES!$C$2,DONNÉES!$AH$188:$AN$199,2,FALSE)</f>
        <v/>
      </c>
      <c r="J78" s="450" t="n"/>
      <c r="K78" s="449">
        <f>VLOOKUP(PARAMETRES!$C$2,DONNÉES!$AP$188:$AV$199,2,FALSE)</f>
        <v/>
      </c>
      <c r="L78" s="450" t="n"/>
      <c r="M78" s="449">
        <f>VLOOKUP(PARAMETRES!$C$2,DONNÉES!$AX$188:$BD$199,2,FALSE)</f>
        <v/>
      </c>
      <c r="N78" s="450" t="n"/>
      <c r="O78" s="449">
        <f>VLOOKUP(PARAMETRES!$C$2,DONNÉES!$BF$188:$BL$199,2,FALSE)</f>
        <v/>
      </c>
      <c r="P78" s="450" t="n"/>
      <c r="Q78" s="449">
        <f>VLOOKUP(PARAMETRES!$C$2,DONNÉES!$BN$188:$BT$199,2,FALSE)</f>
        <v/>
      </c>
      <c r="R78" s="450" t="n"/>
      <c r="S78" s="449">
        <f>VLOOKUP(PARAMETRES!$C$2,DONNÉES!$BV$188:$CB$199,2,FALSE)</f>
        <v/>
      </c>
      <c r="T78" s="450" t="n"/>
      <c r="U78" s="449">
        <f>VLOOKUP(PARAMETRES!$C$2,DONNÉES!$CD$188:$CJ$199,2,FALSE)</f>
        <v/>
      </c>
      <c r="V78" s="450" t="n"/>
      <c r="W78" s="449">
        <f>VLOOKUP(PARAMETRES!$C$2,DONNÉES!$CL$188:$CR$199,2,FALSE)</f>
        <v/>
      </c>
      <c r="X78" s="450" t="n"/>
      <c r="Y78" s="449">
        <f>VLOOKUP(PARAMETRES!$C$2,DONNÉES!$CT$188:$CZ$199,2,FALSE)</f>
        <v/>
      </c>
      <c r="Z78" s="450" t="n"/>
      <c r="AA78" s="449">
        <f>VLOOKUP(PARAMETRES!$C$2,DONNÉES!$DB$188:$DH$199,2,FALSE)</f>
        <v/>
      </c>
      <c r="AB78" s="450" t="n"/>
      <c r="AC78" s="449">
        <f>VLOOKUP(PARAMETRES!$C$2,DONNÉES!$DJ$188:$DP$199,2,FALSE)</f>
        <v/>
      </c>
      <c r="AD78" s="450" t="n"/>
      <c r="AE78" s="449">
        <f>VLOOKUP(PARAMETRES!$C$2,DONNÉES!$DR$188:$DX$199,2,FALSE)</f>
        <v/>
      </c>
      <c r="AF78" s="450" t="n"/>
      <c r="AG78" s="449">
        <f>VLOOKUP(PARAMETRES!$C$2,DONNÉES!$DZ$188:$EF$199,2,FALSE)</f>
        <v/>
      </c>
      <c r="AH78" s="450" t="n"/>
      <c r="AI78" s="449">
        <f>SUM(C78:AG78)</f>
        <v/>
      </c>
      <c r="AJ78" s="450" t="n"/>
    </row>
    <row r="79" ht="13.5" customHeight="1" s="161" thickTop="1">
      <c r="A79" s="13" t="n"/>
      <c r="B79" s="452" t="n"/>
      <c r="C79" s="25" t="n"/>
      <c r="D79" s="26" t="n"/>
      <c r="E79" s="25" t="n"/>
      <c r="F79" s="26" t="n"/>
      <c r="G79" s="25" t="n"/>
      <c r="H79" s="26" t="n"/>
      <c r="I79" s="25" t="n"/>
      <c r="J79" s="26" t="n"/>
      <c r="K79" s="25" t="n"/>
      <c r="L79" s="26" t="n"/>
      <c r="M79" s="25" t="n"/>
      <c r="N79" s="26" t="n"/>
      <c r="O79" s="25" t="n"/>
      <c r="P79" s="26" t="n"/>
      <c r="Q79" s="25" t="n"/>
      <c r="R79" s="26" t="n"/>
      <c r="S79" s="25" t="n"/>
      <c r="T79" s="26" t="n"/>
      <c r="U79" s="25" t="n"/>
      <c r="V79" s="26" t="n"/>
      <c r="W79" s="25" t="n"/>
      <c r="X79" s="26" t="n"/>
      <c r="Y79" s="25" t="n"/>
      <c r="Z79" s="26" t="n"/>
      <c r="AA79" s="25" t="n"/>
      <c r="AB79" s="26" t="n"/>
      <c r="AC79" s="25" t="n"/>
      <c r="AD79" s="26" t="n"/>
      <c r="AE79" s="25" t="n"/>
      <c r="AF79" s="26" t="n"/>
      <c r="AG79" s="25" t="n"/>
      <c r="AH79" s="26" t="n"/>
      <c r="AI79" s="25" t="n"/>
      <c r="AJ79" s="26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VLOOKUP(PARAMETRES!$C$2,DONNÉES!$J$284:$P$295,2,FALSE)</f>
        <v/>
      </c>
      <c r="D80" s="450" t="n"/>
      <c r="E80" s="453">
        <f>VLOOKUP(PARAMETRES!$C$2,DONNÉES!$R$284:$X$295,2,FALSE)</f>
        <v/>
      </c>
      <c r="F80" s="450" t="n"/>
      <c r="G80" s="453">
        <f>VLOOKUP(PARAMETRES!$C$2,DONNÉES!$Z$284:$AF$295,2,FALSE)</f>
        <v/>
      </c>
      <c r="H80" s="450" t="n"/>
      <c r="I80" s="453">
        <f>VLOOKUP(PARAMETRES!$C$2,DONNÉES!$AH$284:$AN$295,2,FALSE)</f>
        <v/>
      </c>
      <c r="J80" s="450" t="n"/>
      <c r="K80" s="453">
        <f>VLOOKUP(PARAMETRES!$C$2,DONNÉES!$AP$284:$AV$295,2,FALSE)</f>
        <v/>
      </c>
      <c r="L80" s="450" t="n"/>
      <c r="M80" s="453">
        <f>VLOOKUP(PARAMETRES!$C$2,DONNÉES!$AX$284:$BD$295,2,FALSE)</f>
        <v/>
      </c>
      <c r="N80" s="450" t="n"/>
      <c r="O80" s="453">
        <f>VLOOKUP(PARAMETRES!$C$2,DONNÉES!$BF$284:$BL$295,2,FALSE)</f>
        <v/>
      </c>
      <c r="P80" s="450" t="n"/>
      <c r="Q80" s="453">
        <f>VLOOKUP(PARAMETRES!$C$2,DONNÉES!$BN$284:$BT$295,2,FALSE)</f>
        <v/>
      </c>
      <c r="R80" s="450" t="n"/>
      <c r="S80" s="453">
        <f>VLOOKUP(PARAMETRES!$C$2,DONNÉES!$BV$284:$CB$295,2,FALSE)</f>
        <v/>
      </c>
      <c r="T80" s="450" t="n"/>
      <c r="U80" s="453">
        <f>VLOOKUP(PARAMETRES!$C$2,DONNÉES!$CD$284:$CJ$295,2,FALSE)</f>
        <v/>
      </c>
      <c r="V80" s="450" t="n"/>
      <c r="W80" s="453">
        <f>VLOOKUP(PARAMETRES!$C$2,DONNÉES!$CL$284:$CR$295,2,FALSE)</f>
        <v/>
      </c>
      <c r="X80" s="450" t="n"/>
      <c r="Y80" s="453">
        <f>VLOOKUP(PARAMETRES!$C$2,DONNÉES!$CT$284:$ZR$295,2,FALSE)</f>
        <v/>
      </c>
      <c r="Z80" s="450" t="n"/>
      <c r="AA80" s="453">
        <f>VLOOKUP(PARAMETRES!$C$2,DONNÉES!$DB$284:$DH$295,2,FALSE)</f>
        <v/>
      </c>
      <c r="AB80" s="450" t="n"/>
      <c r="AC80" s="453">
        <f>VLOOKUP(PARAMETRES!$C$2,DONNÉES!$DJ$284:$DP$295,2,FALSE)</f>
        <v/>
      </c>
      <c r="AD80" s="450" t="n"/>
      <c r="AE80" s="453">
        <f>VLOOKUP(PARAMETRES!$C$2,DONNÉES!$DR$284:$DX$295,2,FALSE)</f>
        <v/>
      </c>
      <c r="AF80" s="450" t="n"/>
      <c r="AG80" s="453">
        <f>VLOOKUP(PARAMETRES!$C$2,DONNÉES!$DZ$284:$EF$295,2,FALSE)</f>
        <v/>
      </c>
      <c r="AH80" s="450" t="n"/>
      <c r="AI80" s="453">
        <f>VLOOKUP(PARAMETRES!$C$2,DONNÉES!$B$236:$H$247,2,FALSE)</f>
        <v/>
      </c>
      <c r="AJ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  <c r="I81" s="29" t="n"/>
      <c r="J81" s="30" t="n"/>
      <c r="K81" s="29" t="n"/>
      <c r="L81" s="30" t="n"/>
      <c r="M81" s="29" t="n"/>
      <c r="N81" s="30" t="n"/>
      <c r="O81" s="29" t="n"/>
      <c r="P81" s="30" t="n"/>
      <c r="Q81" s="29" t="n"/>
      <c r="R81" s="30" t="n"/>
      <c r="S81" s="29" t="n"/>
      <c r="T81" s="30" t="n"/>
      <c r="U81" s="29" t="n"/>
      <c r="V81" s="30" t="n"/>
      <c r="W81" s="29" t="n"/>
      <c r="X81" s="30" t="n"/>
      <c r="Y81" s="29" t="n"/>
      <c r="Z81" s="30" t="n"/>
      <c r="AA81" s="29" t="n"/>
      <c r="AB81" s="30" t="n"/>
      <c r="AC81" s="29" t="n"/>
      <c r="AD81" s="30" t="n"/>
      <c r="AE81" s="29" t="n"/>
      <c r="AF81" s="30" t="n"/>
      <c r="AG81" s="29" t="n"/>
      <c r="AH81" s="30" t="n"/>
      <c r="AI81" s="29" t="n"/>
      <c r="AJ81" s="30" t="n"/>
    </row>
  </sheetData>
  <mergeCells count="71">
    <mergeCell ref="C77:D77"/>
    <mergeCell ref="O78:P78"/>
    <mergeCell ref="U78:V78"/>
    <mergeCell ref="G77:H77"/>
    <mergeCell ref="W78:X78"/>
    <mergeCell ref="I77:J77"/>
    <mergeCell ref="AI78:AJ78"/>
    <mergeCell ref="O77:P77"/>
    <mergeCell ref="Q77:R77"/>
    <mergeCell ref="C5:D5"/>
    <mergeCell ref="I80:J80"/>
    <mergeCell ref="E5:F5"/>
    <mergeCell ref="K80:L80"/>
    <mergeCell ref="K5:L5"/>
    <mergeCell ref="M5:N5"/>
    <mergeCell ref="U80:V80"/>
    <mergeCell ref="W5:X5"/>
    <mergeCell ref="W80:X80"/>
    <mergeCell ref="S77:T77"/>
    <mergeCell ref="AC78:AD78"/>
    <mergeCell ref="B3:AJ3"/>
    <mergeCell ref="U77:V77"/>
    <mergeCell ref="AA77:AB77"/>
    <mergeCell ref="C78:D78"/>
    <mergeCell ref="AC77:AD77"/>
    <mergeCell ref="AE77:AF77"/>
    <mergeCell ref="O5:P5"/>
    <mergeCell ref="M78:N78"/>
    <mergeCell ref="AG77:AH77"/>
    <mergeCell ref="Q5:R5"/>
    <mergeCell ref="AI80:AJ80"/>
    <mergeCell ref="Y5:Z5"/>
    <mergeCell ref="AA5:AB5"/>
    <mergeCell ref="AG80:AH80"/>
    <mergeCell ref="AC5:AD5"/>
    <mergeCell ref="C80:D80"/>
    <mergeCell ref="E78:F78"/>
    <mergeCell ref="G78:H78"/>
    <mergeCell ref="Y78:Z78"/>
    <mergeCell ref="A5:A6"/>
    <mergeCell ref="AA78:AB78"/>
    <mergeCell ref="Q78:R78"/>
    <mergeCell ref="S78:T78"/>
    <mergeCell ref="E77:F77"/>
    <mergeCell ref="AE78:AF78"/>
    <mergeCell ref="K77:L77"/>
    <mergeCell ref="M77:N77"/>
    <mergeCell ref="E80:F80"/>
    <mergeCell ref="G80:H80"/>
    <mergeCell ref="M80:N80"/>
    <mergeCell ref="G5:H5"/>
    <mergeCell ref="Y80:Z80"/>
    <mergeCell ref="O80:P80"/>
    <mergeCell ref="I5:J5"/>
    <mergeCell ref="AA80:AB80"/>
    <mergeCell ref="Q80:R80"/>
    <mergeCell ref="S80:T80"/>
    <mergeCell ref="B5:B6"/>
    <mergeCell ref="W77:X77"/>
    <mergeCell ref="AG78:AH78"/>
    <mergeCell ref="Y77:Z77"/>
    <mergeCell ref="I78:J78"/>
    <mergeCell ref="AI77:AJ77"/>
    <mergeCell ref="S5:T5"/>
    <mergeCell ref="U5:V5"/>
    <mergeCell ref="AC80:AD80"/>
    <mergeCell ref="AE5:AF5"/>
    <mergeCell ref="AE80:AF80"/>
    <mergeCell ref="AG5:AH5"/>
    <mergeCell ref="AI5:AJ5"/>
    <mergeCell ref="K78:L78"/>
  </mergeCells>
  <pageMargins left="0.7086614173228347" right="0.7086614173228347" top="0.7480314960629921" bottom="0.7480314960629921" header="0.3149606299212598" footer="0.3149606299212598"/>
  <pageSetup orientation="landscape" paperSize="9" scale="49" fitToWidth="2"/>
  <headerFooter>
    <oddHeader/>
    <oddFooter>&amp;C&amp;"Helv,Gras"&amp;11 Page &amp;P / &amp;N</oddFooter>
    <evenHeader/>
    <evenFooter/>
    <firstHeader/>
    <firstFooter/>
  </headerFooter>
  <rowBreaks count="1" manualBreakCount="1">
    <brk id="50" min="0" max="33" man="1"/>
  </rowBreaks>
  <colBreaks count="1" manualBreakCount="1">
    <brk id="16" min="0" max="80" man="1"/>
  </colBreaks>
</worksheet>
</file>

<file path=xl/worksheets/sheet34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29"/>
  <sheetViews>
    <sheetView showGridLines="0" zoomScaleNormal="100" zoomScaleSheetLayoutView="100" workbookViewId="0">
      <selection activeCell="G26" activeCellId="2" sqref="E16 M26 G26"/>
    </sheetView>
  </sheetViews>
  <sheetFormatPr baseColWidth="10" defaultRowHeight="12.75"/>
  <sheetData>
    <row r="1">
      <c r="A1" s="372" t="n"/>
      <c r="B1" s="347" t="n"/>
      <c r="C1" s="347" t="n"/>
      <c r="D1" s="347" t="n"/>
      <c r="E1" s="347" t="n"/>
      <c r="F1" s="347" t="n"/>
      <c r="G1" s="347" t="n"/>
      <c r="H1" s="373" t="n"/>
    </row>
    <row r="2">
      <c r="C2" s="280" t="n"/>
      <c r="E2" s="280" t="n"/>
      <c r="G2" s="280" t="n"/>
    </row>
    <row r="3">
      <c r="C3" s="280" t="n"/>
      <c r="E3" s="280" t="n"/>
      <c r="G3" s="280" t="n"/>
    </row>
    <row r="4" ht="15" customHeight="1" s="161">
      <c r="A4" s="412" t="n"/>
    </row>
    <row r="5">
      <c r="A5" s="347" t="n"/>
    </row>
    <row r="6" ht="27" customHeight="1" s="161">
      <c r="A6" s="413" t="n"/>
    </row>
    <row r="7">
      <c r="A7" s="347" t="n"/>
    </row>
    <row r="8" ht="26.25" customHeight="1" s="161">
      <c r="A8" s="413" t="n"/>
    </row>
    <row r="9">
      <c r="A9" s="347" t="n"/>
    </row>
    <row r="10">
      <c r="A10" s="347" t="n"/>
    </row>
    <row r="11">
      <c r="A11" s="347" t="n"/>
    </row>
    <row r="12">
      <c r="A12" s="347" t="n"/>
    </row>
    <row r="13">
      <c r="A13" s="347" t="n"/>
    </row>
    <row r="14">
      <c r="A14" s="347" t="n"/>
    </row>
    <row r="15">
      <c r="A15" s="347" t="n"/>
    </row>
    <row r="16">
      <c r="A16" s="347" t="n"/>
    </row>
    <row r="17">
      <c r="A17" s="347" t="n"/>
    </row>
    <row r="18">
      <c r="A18" s="347" t="n"/>
    </row>
    <row r="19">
      <c r="A19" s="347" t="n"/>
    </row>
    <row r="20">
      <c r="A20" s="347" t="n"/>
    </row>
    <row r="21">
      <c r="A21" s="347" t="n"/>
    </row>
    <row r="22">
      <c r="A22" s="347" t="n"/>
    </row>
    <row r="23">
      <c r="A23" s="347" t="n"/>
    </row>
    <row r="24">
      <c r="A24" s="347" t="n"/>
    </row>
    <row r="25">
      <c r="A25" s="347" t="n"/>
    </row>
    <row r="26">
      <c r="A26" s="347" t="n"/>
    </row>
    <row r="27">
      <c r="A27" s="347" t="n"/>
    </row>
    <row r="28">
      <c r="A28" s="347" t="n"/>
    </row>
    <row r="29">
      <c r="A29" s="347" t="n"/>
    </row>
  </sheetData>
  <mergeCells count="2">
    <mergeCell ref="A8:H8"/>
    <mergeCell ref="A6:H6"/>
  </mergeCells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&amp;K00+000Page &amp;P / &amp;N</oddFooter>
    <evenHeader/>
    <evenFooter/>
    <firstHeader/>
    <firstFooter/>
  </headerFooter>
</worksheet>
</file>

<file path=xl/worksheets/sheet35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2:I39"/>
  <sheetViews>
    <sheetView showGridLines="0" topLeftCell="A15" zoomScaleNormal="85" zoomScaleSheetLayoutView="100" zoomScalePageLayoutView="85" workbookViewId="0">
      <selection activeCell="G26" activeCellId="2" sqref="E16 M26 G26"/>
    </sheetView>
  </sheetViews>
  <sheetFormatPr baseColWidth="10" defaultColWidth="11.42578125" defaultRowHeight="17.25"/>
  <cols>
    <col width="4.5703125" customWidth="1" style="416" min="1" max="1"/>
    <col width="13" bestFit="1" customWidth="1" style="416" min="2" max="2"/>
    <col width="11.42578125" customWidth="1" style="416" min="3" max="7"/>
    <col hidden="1" width="0.28515625" customWidth="1" style="416" min="8" max="8"/>
    <col width="11.42578125" customWidth="1" style="416" min="9" max="16384"/>
  </cols>
  <sheetData>
    <row r="2">
      <c r="C2" s="41" t="n"/>
      <c r="E2" s="41" t="n"/>
      <c r="G2" s="41" t="n"/>
    </row>
    <row r="3" ht="25.5" customFormat="1" customHeight="1" s="417">
      <c r="A3" s="418" t="n"/>
      <c r="B3" s="419" t="n"/>
      <c r="C3" s="40" t="n"/>
      <c r="D3" s="419" t="n"/>
      <c r="E3" s="40" t="n"/>
      <c r="F3" s="419" t="n"/>
      <c r="G3" s="40" t="n"/>
      <c r="H3" s="419" t="n"/>
    </row>
    <row r="4">
      <c r="A4" s="420" t="n"/>
      <c r="B4" s="421" t="n"/>
      <c r="C4" s="421" t="n"/>
      <c r="D4" s="421" t="n"/>
      <c r="E4" s="421" t="n"/>
      <c r="F4" s="421" t="n"/>
      <c r="G4" s="421" t="n"/>
      <c r="H4" s="421" t="n"/>
    </row>
    <row r="5">
      <c r="A5" s="420" t="n"/>
      <c r="B5" s="421" t="n"/>
      <c r="C5" s="422" t="n"/>
      <c r="D5" s="421" t="n"/>
      <c r="E5" s="421" t="n"/>
      <c r="F5" s="421" t="n"/>
      <c r="G5" s="421" t="n"/>
      <c r="H5" s="421" t="n"/>
    </row>
    <row r="6">
      <c r="A6" s="420" t="n"/>
      <c r="B6" s="421" t="n"/>
      <c r="C6" s="421" t="n"/>
      <c r="D6" s="421" t="n"/>
      <c r="E6" s="421" t="n"/>
      <c r="F6" s="421" t="n"/>
      <c r="G6" s="421" t="n"/>
      <c r="H6" s="421" t="n"/>
    </row>
    <row r="7">
      <c r="A7" s="420" t="n"/>
      <c r="B7" s="421" t="n"/>
      <c r="C7" s="421" t="n"/>
      <c r="D7" s="421" t="n"/>
      <c r="E7" s="421" t="n"/>
      <c r="F7" s="421" t="n"/>
      <c r="G7" s="421" t="n"/>
      <c r="H7" s="421" t="n"/>
    </row>
    <row r="8">
      <c r="A8" s="420" t="n"/>
      <c r="B8" s="421" t="n"/>
      <c r="C8" s="421" t="n"/>
      <c r="D8" s="421" t="n"/>
      <c r="E8" s="421" t="n"/>
      <c r="F8" s="421" t="n"/>
      <c r="G8" s="421" t="n"/>
      <c r="H8" s="421" t="n"/>
    </row>
    <row r="9">
      <c r="A9" s="420" t="n"/>
      <c r="B9" s="421" t="n"/>
      <c r="C9" s="421" t="n"/>
      <c r="D9" s="421" t="n"/>
      <c r="E9" s="421" t="n"/>
      <c r="F9" s="421" t="n"/>
      <c r="G9" s="421" t="n"/>
      <c r="H9" s="421" t="n"/>
    </row>
    <row r="10">
      <c r="A10" s="420" t="n"/>
      <c r="B10" s="421" t="n"/>
      <c r="C10" s="421" t="n"/>
      <c r="D10" s="421" t="n"/>
      <c r="E10" s="421" t="n"/>
      <c r="F10" s="421" t="n"/>
      <c r="G10" s="421" t="n"/>
      <c r="H10" s="421" t="n"/>
    </row>
    <row r="11">
      <c r="A11" s="421" t="n"/>
      <c r="B11" s="421" t="n"/>
      <c r="C11" s="421" t="n"/>
      <c r="D11" s="421" t="n"/>
      <c r="E11" s="421" t="n"/>
      <c r="F11" s="421" t="n"/>
      <c r="G11" s="421" t="n"/>
    </row>
    <row r="12">
      <c r="A12" s="421" t="n"/>
      <c r="B12" s="421" t="n"/>
      <c r="C12" s="421" t="n"/>
      <c r="D12" s="421" t="n"/>
      <c r="E12" s="421" t="n"/>
      <c r="F12" s="421" t="n"/>
      <c r="G12" s="421" t="n"/>
    </row>
    <row r="13">
      <c r="A13" s="421" t="n"/>
      <c r="B13" s="421" t="n"/>
      <c r="C13" s="421" t="n"/>
      <c r="D13" s="421" t="n"/>
      <c r="E13" s="421" t="n"/>
      <c r="F13" s="421" t="n"/>
      <c r="G13" s="421" t="n"/>
    </row>
    <row r="14">
      <c r="A14" s="421" t="n"/>
      <c r="B14" s="421" t="n"/>
      <c r="C14" s="421" t="n"/>
      <c r="D14" s="421" t="n"/>
      <c r="E14" s="421" t="n"/>
      <c r="F14" s="421" t="n"/>
      <c r="G14" s="421" t="n"/>
    </row>
    <row r="15">
      <c r="A15" s="421" t="n"/>
      <c r="B15" s="421" t="n"/>
      <c r="C15" s="421" t="n"/>
      <c r="D15" s="421" t="n"/>
      <c r="E15" s="421" t="n"/>
      <c r="F15" s="421" t="n"/>
      <c r="G15" s="421" t="n"/>
    </row>
    <row r="16">
      <c r="A16" s="421" t="n"/>
      <c r="B16" s="421" t="n"/>
      <c r="C16" s="421" t="n"/>
      <c r="D16" s="421" t="n"/>
      <c r="E16" s="421" t="n"/>
      <c r="F16" s="421" t="n"/>
      <c r="G16" s="421" t="n"/>
    </row>
    <row r="17">
      <c r="A17" s="421" t="n"/>
      <c r="B17" s="421" t="n"/>
      <c r="C17" s="421" t="n"/>
      <c r="D17" s="421" t="n"/>
      <c r="E17" s="421" t="n"/>
      <c r="F17" s="421" t="n"/>
      <c r="G17" s="421" t="n"/>
    </row>
    <row r="18" ht="7.5" customHeight="1" s="161">
      <c r="A18" s="423" t="n"/>
      <c r="B18" s="421" t="n"/>
      <c r="C18" s="421" t="n"/>
      <c r="D18" s="421" t="n"/>
      <c r="E18" s="421" t="n"/>
      <c r="F18" s="421" t="n"/>
      <c r="G18" s="421" t="n"/>
    </row>
    <row r="19">
      <c r="A19" s="421" t="n"/>
      <c r="B19" s="421" t="n"/>
      <c r="C19" s="421" t="n"/>
      <c r="D19" s="421" t="n"/>
      <c r="E19" s="421" t="n"/>
      <c r="F19" s="421" t="n"/>
      <c r="G19" s="421" t="n"/>
      <c r="I19" s="416" t="inlineStr">
        <is>
          <t xml:space="preserve">   </t>
        </is>
      </c>
    </row>
    <row r="20" ht="58.5" customHeight="1" s="161">
      <c r="A20" s="424" t="n"/>
    </row>
    <row r="21" ht="6" customHeight="1" s="161">
      <c r="A21" s="421" t="n"/>
      <c r="B21" s="421" t="n"/>
      <c r="C21" s="421" t="n"/>
      <c r="D21" s="421" t="n"/>
      <c r="E21" s="421" t="n"/>
      <c r="F21" s="421" t="n"/>
      <c r="G21" s="421" t="n"/>
    </row>
    <row r="22">
      <c r="A22" s="421" t="n"/>
      <c r="B22" s="421" t="n"/>
      <c r="C22" s="421" t="n"/>
      <c r="D22" s="421" t="n"/>
      <c r="E22" s="421" t="n"/>
      <c r="F22" s="421" t="n"/>
      <c r="G22" s="421" t="n"/>
    </row>
    <row r="23">
      <c r="A23" s="421" t="n"/>
      <c r="B23" s="421" t="n"/>
      <c r="C23" s="421" t="n"/>
      <c r="D23" s="421" t="n"/>
      <c r="E23" s="421" t="n"/>
      <c r="F23" s="421" t="n"/>
      <c r="G23" s="421" t="n"/>
    </row>
    <row r="39">
      <c r="A39" s="307" t="n"/>
      <c r="B39" s="307" t="n"/>
      <c r="H39" s="421" t="inlineStr">
        <is>
          <t xml:space="preserve">      </t>
        </is>
      </c>
    </row>
  </sheetData>
  <mergeCells count="2">
    <mergeCell ref="A20:I20"/>
    <mergeCell ref="B39:G39"/>
  </mergeCells>
  <pageMargins left="0.7086614173228347" right="0.7086614173228347" top="0.7480314960629921" bottom="0.7480314960629921" header="0.3149606299212598" footer="0.3149606299212598"/>
  <pageSetup orientation="portrait" paperSize="9"/>
  <headerFooter>
    <oddHeader/>
    <oddFooter>&amp;C&amp;"Helv,Gras"&amp;11 &amp;K00+000Page &amp;P / &amp;N</oddFooter>
    <evenHeader/>
    <evenFooter/>
    <firstHeader/>
    <firstFooter/>
  </headerFooter>
</worksheet>
</file>

<file path=xl/worksheets/sheet36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36" zoomScale="85" zoomScaleNormal="85" zoomScaleSheetLayoutView="115" zoomScalePageLayoutView="85" workbookViewId="0">
      <selection activeCell="E76" sqref="E7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GLR5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GLR5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GLR5'!$G:$G,'BAL N GLR5'!$I:$I,$A8,'BAL N GLR5'!$J:$J,"T")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-SUMIFS(DONNEES_N1_NOUVEAU[MONTANT],DONNEES_N1_NOUVEAU[TL2],A8,DONNEES_N1_NOUVEAU[MOIS],DONNÉES!$C$5,DONNEES_N1_NOUVEAU[SOCIETE],"GLR5")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GLR5'!$G:$G,'BAL N GLR5'!$I:$I,$A10,'BAL N GLR5'!$J:$J,"T")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SUMIFS(DONNEES_N1_NOUVEAU[MONTANT],DONNEES_N1_NOUVEAU[TL2],A10,DONNEES_N1_NOUVEAU[MOIS],DONNÉES!$C$5,DONNEES_N1_NOUVEAU[SOCIETE],"GLR5")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GLR5'!$G:$G,'BAL N GLR5'!$I:$I,$A11,'BAL N GLR5'!$J:$J,"T")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SUMIFS(DONNEES_N1_NOUVEAU[MONTANT],DONNEES_N1_NOUVEAU[TL2],A11,DONNEES_N1_NOUVEAU[MOIS],DONNÉES!$C$5,DONNEES_N1_NOUVEAU[SOCIETE],"GLR5")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GLR5'!$G:$G,'BAL N GLR5'!$I:$I,$A12,'BAL N GLR5'!$J:$J,"T")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SUMIFS(DONNEES_N1_NOUVEAU[MONTANT],DONNEES_N1_NOUVEAU[TL2],A12,DONNEES_N1_NOUVEAU[MOIS],DONNÉES!$C$5,DONNEES_N1_NOUVEAU[SOCIETE],"GLR5")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GLR5'!$G:$G,'BAL N GLR5'!$I:$I,$A14,'BAL N GLR5'!$J:$J,"T")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SUMIFS(DONNEES_N1_NOUVEAU[MONTANT],DONNEES_N1_NOUVEAU[TL2],A14,DONNEES_N1_NOUVEAU[MOIS],DONNÉES!$C$5,DONNEES_N1_NOUVEAU[SOCIETE],"GLR5")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GLR5'!$G:$G,'BAL N GLR5'!$I:$I,$A15,'BAL N GLR5'!$J:$J,"T")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SUMIFS(DONNEES_N1_NOUVEAU[MONTANT],DONNEES_N1_NOUVEAU[TL2],A15,DONNEES_N1_NOUVEAU[MOIS],DONNÉES!$C$5,DONNEES_N1_NOUVEAU[SOCIETE],"GLR5")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GLR5'!$G:$G,'BAL N GLR5'!$I:$I,$A20,'BAL N GLR5'!$J:$J,"T")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SUMIFS(DONNEES_N1_NOUVEAU[MONTANT],DONNEES_N1_NOUVEAU[TL2],A20,DONNEES_N1_NOUVEAU[MOIS],DONNÉES!$C$5,DONNEES_N1_NOUVEAU[SOCIETE],"GLR5")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GLR5'!$G:$G,'BAL N GLR5'!$I:$I,$A21,'BAL N GLR5'!$J:$J,"T")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SUMIFS(DONNEES_N1_NOUVEAU[MONTANT],DONNEES_N1_NOUVEAU[TL2],A21,DONNEES_N1_NOUVEAU[MOIS],DONNÉES!$C$5,DONNEES_N1_NOUVEAU[SOCIETE],"GLR5")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GLR5'!$G:$G,'BAL N GLR5'!$I:$I,$A22,'BAL N GLR5'!$J:$J,"T")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SUMIFS(DONNEES_N1_NOUVEAU[MONTANT],DONNEES_N1_NOUVEAU[TL2],A22,DONNEES_N1_NOUVEAU[MOIS],DONNÉES!$C$5,DONNEES_N1_NOUVEAU[SOCIETE],"GLR5")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GLR5'!$G:$G,'BAL N GLR5'!$I:$I,$A23,'BAL N GLR5'!$J:$J,"T")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SUMIFS(DONNEES_N1_NOUVEAU[MONTANT],DONNEES_N1_NOUVEAU[TL2],A23,DONNEES_N1_NOUVEAU[MOIS],DONNÉES!$C$5,DONNEES_N1_NOUVEAU[SOCIETE],"GLR5")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GLR5'!$G:$G,'BAL N GLR5'!$I:$I,$A24,'BAL N GLR5'!$J:$J,"T")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SUMIFS(DONNEES_N1_NOUVEAU[MONTANT],DONNEES_N1_NOUVEAU[TL2],A24,DONNEES_N1_NOUVEAU[MOIS],DONNÉES!$C$5,DONNEES_N1_NOUVEAU[SOCIETE],"GLR5")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GLR5'!$G:$G,'BAL N GLR5'!$I:$I,$A25,'BAL N GLR5'!$J:$J,"T")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SUMIFS(DONNEES_N1_NOUVEAU[MONTANT],DONNEES_N1_NOUVEAU[TL2],A25,DONNEES_N1_NOUVEAU[MOIS],DONNÉES!$C$5,DONNEES_N1_NOUVEAU[SOCIETE],"GLR5")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GLR5'!$G:$G,'BAL N GLR5'!$I:$I,$A28,'BAL N GLR5'!$J:$J,"T")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SUMIFS(DONNEES_N1_NOUVEAU[MONTANT],DONNEES_N1_NOUVEAU[TL2],A28,DONNEES_N1_NOUVEAU[MOIS],DONNÉES!$C$5,DONNEES_N1_NOUVEAU[SOCIETE],"GLR5")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GLR5'!$G:$G,'BAL N GLR5'!$I:$I,$A29,'BAL N GLR5'!$J:$J,"T")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SUMIFS(DONNEES_N1_NOUVEAU[MONTANT],DONNEES_N1_NOUVEAU[TL2],A29,DONNEES_N1_NOUVEAU[MOIS],DONNÉES!$C$5,DONNEES_N1_NOUVEAU[SOCIETE],"GLR5")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GLR5'!$G:$G,'BAL N GLR5'!$I:$I,$A30,'BAL N GLR5'!$J:$J,"T")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SUMIFS(DONNEES_N1_NOUVEAU[MONTANT],DONNEES_N1_NOUVEAU[TL2],A30,DONNEES_N1_NOUVEAU[MOIS],DONNÉES!$C$5,DONNEES_N1_NOUVEAU[SOCIETE],"GLR5")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GLR5'!$G:$G,'BAL N GLR5'!$I:$I,$A31,'BAL N GLR5'!$J:$J,"T")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SUMIFS(DONNEES_N1_NOUVEAU[MONTANT],DONNEES_N1_NOUVEAU[TL2],A31,DONNEES_N1_NOUVEAU[MOIS],DONNÉES!$C$5,DONNEES_N1_NOUVEAU[SOCIETE],"GLR5")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GLR5'!$G:$G,'BAL N GLR5'!$I:$I,$A32,'BAL N GLR5'!$J:$J,"T")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SUMIFS(DONNEES_N1_NOUVEAU[MONTANT],DONNEES_N1_NOUVEAU[TL2],A32,DONNEES_N1_NOUVEAU[MOIS],DONNÉES!$C$5,DONNEES_N1_NOUVEAU[SOCIETE],"GLR5")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GLR5'!$G:$G,'BAL N GLR5'!$I:$I,$A35,'BAL N GLR5'!$J:$J,"T")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SUMIFS(DONNEES_N1_NOUVEAU[MONTANT],DONNEES_N1_NOUVEAU[TL2],A35,DONNEES_N1_NOUVEAU[MOIS],DONNÉES!$C$5,DONNEES_N1_NOUVEAU[SOCIETE],"GLR5")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GLR5'!$G:$G,'BAL N GLR5'!$I:$I,$A36,'BAL N GLR5'!$J:$J,"T")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SUMIFS(DONNEES_N1_NOUVEAU[MONTANT],DONNEES_N1_NOUVEAU[TL2],A36,DONNEES_N1_NOUVEAU[MOIS],DONNÉES!$C$5,DONNEES_N1_NOUVEAU[SOCIETE],"GLR5")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GLR5'!$G:$G,'BAL N GLR5'!$I:$I,$A37,'BAL N GLR5'!$J:$J,"T")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SUMIFS(DONNEES_N1_NOUVEAU[MONTANT],DONNEES_N1_NOUVEAU[TL2],A37,DONNEES_N1_NOUVEAU[MOIS],DONNÉES!$C$5,DONNEES_N1_NOUVEAU[SOCIETE],"GLR5")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GLR5'!$G:$G,'BAL N GLR5'!$I:$I,$A38,'BAL N GLR5'!$J:$J,"T")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SUMIFS(DONNEES_N1_NOUVEAU[MONTANT],DONNEES_N1_NOUVEAU[TL2],A38,DONNEES_N1_NOUVEAU[MOIS],DONNÉES!$C$5,DONNEES_N1_NOUVEAU[SOCIETE],"GLR5")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GLR5'!$G:$G,'BAL N GLR5'!$I:$I,$A39,'BAL N GLR5'!$J:$J,"T")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SUMIFS(DONNEES_N1_NOUVEAU[MONTANT],DONNEES_N1_NOUVEAU[TL2],A39,DONNEES_N1_NOUVEAU[MOIS],DONNÉES!$C$5,DONNEES_N1_NOUVEAU[SOCIETE],"GLR5")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GLR5'!$G:$G,'BAL N GLR5'!$I:$I,$A40,'BAL N GLR5'!$J:$J,"T")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SUMIFS(DONNEES_N1_NOUVEAU[MONTANT],DONNEES_N1_NOUVEAU[TL2],A40,DONNEES_N1_NOUVEAU[MOIS],DONNÉES!$C$5,DONNEES_N1_NOUVEAU[SOCIETE],"GLR5")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GLR5'!$G:$G,'BAL N GLR5'!$I:$I,$A41,'BAL N GLR5'!$J:$J,"T")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SUMIFS(DONNEES_N1_NOUVEAU[MONTANT],DONNEES_N1_NOUVEAU[TL2],A41,DONNEES_N1_NOUVEAU[MOIS],DONNÉES!$C$5,DONNEES_N1_NOUVEAU[SOCIETE],"GLR5")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GLR5'!$G:$G,'BAL N GLR5'!$I:$I,$A46,'BAL N GLR5'!$J:$J,"T")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SUMIFS(DONNEES_N1_NOUVEAU[MONTANT],DONNEES_N1_NOUVEAU[TL2],A46,DONNEES_N1_NOUVEAU[MOIS],DONNÉES!$C$5,DONNEES_N1_NOUVEAU[SOCIETE],"GLR5")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GLR5'!$G:$G,'BAL N GLR5'!$I:$I,$A47,'BAL N GLR5'!$J:$J,"T")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SUMIFS(DONNEES_N1_NOUVEAU[MONTANT],DONNEES_N1_NOUVEAU[TL2],A47,DONNEES_N1_NOUVEAU[MOIS],DONNÉES!$C$5,DONNEES_N1_NOUVEAU[SOCIETE],"GLR5")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GLR5'!$G:$G,'BAL N GLR5'!$I:$I,$A48,'BAL N GLR5'!$J:$J,"T")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SUMIFS(DONNEES_N1_NOUVEAU[MONTANT],DONNEES_N1_NOUVEAU[TL2],A48,DONNEES_N1_NOUVEAU[MOIS],DONNÉES!$C$5,DONNEES_N1_NOUVEAU[SOCIETE],"GLR5")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GLR5'!$G:$G,'BAL N GLR5'!$I:$I,$A51,'BAL N GLR5'!$J:$J,"T")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SUMIFS(DONNEES_N1_NOUVEAU[MONTANT],DONNEES_N1_NOUVEAU[TL2],A51,DONNEES_N1_NOUVEAU[MOIS],DONNÉES!$C$5,DONNEES_N1_NOUVEAU[SOCIETE],"GLR5")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GLR5'!$G:$G,'BAL N GLR5'!$I:$I,$A52,'BAL N GLR5'!$J:$J,"T")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SUMIFS(DONNEES_N1_NOUVEAU[MONTANT],DONNEES_N1_NOUVEAU[TL2],A52,DONNEES_N1_NOUVEAU[MOIS],DONNÉES!$C$5,DONNEES_N1_NOUVEAU[SOCIETE],"GLR5")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GLR5'!$G:$G,'BAL N GLR5'!$I:$I,$A53,'BAL N GLR5'!$J:$J,"T")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SUMIFS(DONNEES_N1_NOUVEAU[MONTANT],DONNEES_N1_NOUVEAU[TL2],A53,DONNEES_N1_NOUVEAU[MOIS],DONNÉES!$C$5,DONNEES_N1_NOUVEAU[SOCIETE],"GLR5")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GLR5'!$G:$G,'BAL N GLR5'!$I:$I,$A54,'BAL N GLR5'!$J:$J,"T")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SUMIFS(DONNEES_N1_NOUVEAU[MONTANT],DONNEES_N1_NOUVEAU[TL2],A54,DONNEES_N1_NOUVEAU[MOIS],DONNÉES!$C$5,DONNEES_N1_NOUVEAU[SOCIETE],"GLR5")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GLR5'!$G:$G,'BAL N GLR5'!$I:$I,$A55,'BAL N GLR5'!$J:$J,"T")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SUMIFS(DONNEES_N1_NOUVEAU[MONTANT],DONNEES_N1_NOUVEAU[TL2],A55,DONNEES_N1_NOUVEAU[MOIS],DONNÉES!$C$5,DONNEES_N1_NOUVEAU[SOCIETE],"GLR5")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GLR5'!$G:$G,'BAL N GLR5'!$I:$I,$A56,'BAL N GLR5'!$J:$J,"T")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SUMIFS(DONNEES_N1_NOUVEAU[MONTANT],DONNEES_N1_NOUVEAU[TL2],A56,DONNEES_N1_NOUVEAU[MOIS],DONNÉES!$C$5,DONNEES_N1_NOUVEAU[SOCIETE],"GLR5")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GLR5'!$G:$G,'BAL N GLR5'!$I:$I,$A57,'BAL N GLR5'!$J:$J,"T")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SUMIFS(DONNEES_N1_NOUVEAU[MONTANT],DONNEES_N1_NOUVEAU[TL2],A57,DONNEES_N1_NOUVEAU[MOIS],DONNÉES!$C$5,DONNEES_N1_NOUVEAU[SOCIETE],"GLR5")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GLR5'!$G:$G,'BAL N GLR5'!$I:$I,$A58,'BAL N GLR5'!$J:$J,"T")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SUMIFS(DONNEES_N1_NOUVEAU[MONTANT],DONNEES_N1_NOUVEAU[TL2],A58,DONNEES_N1_NOUVEAU[MOIS],DONNÉES!$C$5,DONNEES_N1_NOUVEAU[SOCIETE],"GLR5")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GLR5'!$G:$G,'BAL N GLR5'!$I:$I,$A63,'BAL N GLR5'!$J:$J,"T")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-SUMIFS(DONNEES_N1_NOUVEAU[MONTANT],DONNEES_N1_NOUVEAU[TL2],A63,DONNEES_N1_NOUVEAU[MOIS],DONNÉES!$C$5,DONNEES_N1_NOUVEAU[SOCIETE],"GLR5")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GLR5'!$G:$G,'BAL N GLR5'!$I:$I,$A64,'BAL N GLR5'!$J:$J,"T")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SUMIFS(DONNEES_N1_NOUVEAU[MONTANT],DONNEES_N1_NOUVEAU[TL2],A64,DONNEES_N1_NOUVEAU[MOIS],DONNÉES!$C$5,DONNEES_N1_NOUVEAU[SOCIETE],"GLR5")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GLR5'!$G:$G,'BAL N GLR5'!$I:$I,$A67,'BAL N GLR5'!$J:$J,"T")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-SUMIFS(DONNEES_N1_NOUVEAU[MONTANT],DONNEES_N1_NOUVEAU[TL2],A67,DONNEES_N1_NOUVEAU[MOIS],DONNÉES!$C$5,DONNEES_N1_NOUVEAU[SOCIETE],"GLR5")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GLR5'!$G:$G,'BAL N GLR5'!$I:$I,$A72,'BAL N GLR5'!$J:$J,"T")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-SUMIFS(DONNEES_N1_NOUVEAU[MONTANT],DONNEES_N1_NOUVEAU[TL2],A72,DONNEES_N1_NOUVEAU[MOIS],DONNÉES!$C$5,DONNEES_N1_NOUVEAU[SOCIETE],"GLR5")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GLR5'!$G:$G,'BAL N GLR5'!$I:$I,$A74,'BAL N GLR5'!$J:$J,"T")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SUMIFS(DONNEES_N1_NOUVEAU[MONTANT],DONNEES_N1_NOUVEAU[TL2],A74,DONNEES_N1_NOUVEAU[MOIS],DONNÉES!$C$5,DONNEES_N1_NOUVEAU[SOCIETE],"GLR5")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VLOOKUP(PARAMETRES!$C$2,TRANSGLR5[],2,FALSE)</f>
        <v/>
      </c>
      <c r="D78" s="450" t="n"/>
      <c r="E78" s="449">
        <f>VLOOKUP(PARAMETRES!$C$2,TRANSGLR5[],3,FALSE)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VLOOKUP(PARAMETRES!$C$2,PMGLR5[],2,FALSE)</f>
        <v/>
      </c>
      <c r="D80" s="450" t="n"/>
      <c r="E80" s="453">
        <f>VLOOKUP(PARAMETRES!$C$2,PMGLR5[],3,FALSE)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38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topLeftCell="A22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HTR8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HTR8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HTR8'!$G:$G,'BAL N HTR8'!$I:$I,$A8,'BAL N HTR8'!$J:$J,"T")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-SUMIFS(DONNEES_N1_NOUVEAU[MONTANT],DONNEES_N1_NOUVEAU[TL2],A8,DONNEES_N1_NOUVEAU[MOIS],DONNÉES!$C$5,DONNEES_N1_NOUVEAU[SOCIETE],"HTR8")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HTR8'!$G:$G,'BAL N HTR8'!$I:$I,$A10,'BAL N HTR8'!$J:$J,"T")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SUMIFS(DONNEES_N1_NOUVEAU[MONTANT],DONNEES_N1_NOUVEAU[TL2],A10,DONNEES_N1_NOUVEAU[MOIS],DONNÉES!$C$5,DONNEES_N1_NOUVEAU[SOCIETE],"HTR8")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HTR8'!$G:$G,'BAL N HTR8'!$I:$I,$A11,'BAL N HTR8'!$J:$J,"T")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SUMIFS(DONNEES_N1_NOUVEAU[MONTANT],DONNEES_N1_NOUVEAU[TL2],A11,DONNEES_N1_NOUVEAU[MOIS],DONNÉES!$C$5,DONNEES_N1_NOUVEAU[SOCIETE],"HTR8")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HTR8'!$G:$G,'BAL N HTR8'!$I:$I,$A12,'BAL N HTR8'!$J:$J,"T")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SUMIFS(DONNEES_N1_NOUVEAU[MONTANT],DONNEES_N1_NOUVEAU[TL2],A12,DONNEES_N1_NOUVEAU[MOIS],DONNÉES!$C$5,DONNEES_N1_NOUVEAU[SOCIETE],"HTR8")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HTR8'!$G:$G,'BAL N HTR8'!$I:$I,$A14,'BAL N HTR8'!$J:$J,"T")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SUMIFS(DONNEES_N1_NOUVEAU[MONTANT],DONNEES_N1_NOUVEAU[TL2],A14,DONNEES_N1_NOUVEAU[MOIS],DONNÉES!$C$5,DONNEES_N1_NOUVEAU[SOCIETE],"HTR8")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HTR8'!$G:$G,'BAL N HTR8'!$I:$I,$A15,'BAL N HTR8'!$J:$J,"T")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SUMIFS(DONNEES_N1_NOUVEAU[MONTANT],DONNEES_N1_NOUVEAU[TL2],A15,DONNEES_N1_NOUVEAU[MOIS],DONNÉES!$C$5,DONNEES_N1_NOUVEAU[SOCIETE],"HTR8")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HTR8'!$G:$G,'BAL N HTR8'!$I:$I,$A20,'BAL N HTR8'!$J:$J,"T")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SUMIFS(DONNEES_N1_NOUVEAU[MONTANT],DONNEES_N1_NOUVEAU[TL2],A20,DONNEES_N1_NOUVEAU[MOIS],DONNÉES!$C$5,DONNEES_N1_NOUVEAU[SOCIETE],"HTR8")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HTR8'!$G:$G,'BAL N HTR8'!$I:$I,$A21,'BAL N HTR8'!$J:$J,"T")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SUMIFS(DONNEES_N1_NOUVEAU[MONTANT],DONNEES_N1_NOUVEAU[TL2],A21,DONNEES_N1_NOUVEAU[MOIS],DONNÉES!$C$5,DONNEES_N1_NOUVEAU[SOCIETE],"HTR8")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HTR8'!$G:$G,'BAL N HTR8'!$I:$I,$A22,'BAL N HTR8'!$J:$J,"T")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SUMIFS(DONNEES_N1_NOUVEAU[MONTANT],DONNEES_N1_NOUVEAU[TL2],A22,DONNEES_N1_NOUVEAU[MOIS],DONNÉES!$C$5,DONNEES_N1_NOUVEAU[SOCIETE],"HTR8")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HTR8'!$G:$G,'BAL N HTR8'!$I:$I,$A23,'BAL N HTR8'!$J:$J,"T")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SUMIFS(DONNEES_N1_NOUVEAU[MONTANT],DONNEES_N1_NOUVEAU[TL2],A23,DONNEES_N1_NOUVEAU[MOIS],DONNÉES!$C$5,DONNEES_N1_NOUVEAU[SOCIETE],"HTR8")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HTR8'!$G:$G,'BAL N HTR8'!$I:$I,$A24,'BAL N HTR8'!$J:$J,"T")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SUMIFS(DONNEES_N1_NOUVEAU[MONTANT],DONNEES_N1_NOUVEAU[TL2],A24,DONNEES_N1_NOUVEAU[MOIS],DONNÉES!$C$5,DONNEES_N1_NOUVEAU[SOCIETE],"HTR8")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HTR8'!$G:$G,'BAL N HTR8'!$I:$I,$A25,'BAL N HTR8'!$J:$J,"T")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SUMIFS(DONNEES_N1_NOUVEAU[MONTANT],DONNEES_N1_NOUVEAU[TL2],A25,DONNEES_N1_NOUVEAU[MOIS],DONNÉES!$C$5,DONNEES_N1_NOUVEAU[SOCIETE],"HTR8")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HTR8'!$G:$G,'BAL N HTR8'!$I:$I,$A28,'BAL N HTR8'!$J:$J,"T")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SUMIFS(DONNEES_N1_NOUVEAU[MONTANT],DONNEES_N1_NOUVEAU[TL2],A28,DONNEES_N1_NOUVEAU[MOIS],DONNÉES!$C$5,DONNEES_N1_NOUVEAU[SOCIETE],"HTR8")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HTR8'!$G:$G,'BAL N HTR8'!$I:$I,$A29,'BAL N HTR8'!$J:$J,"T")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SUMIFS(DONNEES_N1_NOUVEAU[MONTANT],DONNEES_N1_NOUVEAU[TL2],A29,DONNEES_N1_NOUVEAU[MOIS],DONNÉES!$C$5,DONNEES_N1_NOUVEAU[SOCIETE],"HTR8")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HTR8'!$G:$G,'BAL N HTR8'!$I:$I,$A30,'BAL N HTR8'!$J:$J,"T")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SUMIFS(DONNEES_N1_NOUVEAU[MONTANT],DONNEES_N1_NOUVEAU[TL2],A30,DONNEES_N1_NOUVEAU[MOIS],DONNÉES!$C$5,DONNEES_N1_NOUVEAU[SOCIETE],"HTR8")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HTR8'!$G:$G,'BAL N HTR8'!$I:$I,$A31,'BAL N HTR8'!$J:$J,"T")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SUMIFS(DONNEES_N1_NOUVEAU[MONTANT],DONNEES_N1_NOUVEAU[TL2],A31,DONNEES_N1_NOUVEAU[MOIS],DONNÉES!$C$5,DONNEES_N1_NOUVEAU[SOCIETE],"HTR8")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HTR8'!$G:$G,'BAL N HTR8'!$I:$I,$A32,'BAL N HTR8'!$J:$J,"T")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SUMIFS(DONNEES_N1_NOUVEAU[MONTANT],DONNEES_N1_NOUVEAU[TL2],A32,DONNEES_N1_NOUVEAU[MOIS],DONNÉES!$C$5,DONNEES_N1_NOUVEAU[SOCIETE],"HTR8")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HTR8'!$G:$G,'BAL N HTR8'!$I:$I,$A35,'BAL N HTR8'!$J:$J,"T")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SUMIFS(DONNEES_N1_NOUVEAU[MONTANT],DONNEES_N1_NOUVEAU[TL2],A35,DONNEES_N1_NOUVEAU[MOIS],DONNÉES!$C$5,DONNEES_N1_NOUVEAU[SOCIETE],"HTR8")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HTR8'!$G:$G,'BAL N HTR8'!$I:$I,$A36,'BAL N HTR8'!$J:$J,"T")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SUMIFS(DONNEES_N1_NOUVEAU[MONTANT],DONNEES_N1_NOUVEAU[TL2],A36,DONNEES_N1_NOUVEAU[MOIS],DONNÉES!$C$5,DONNEES_N1_NOUVEAU[SOCIETE],"HTR8")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HTR8'!$G:$G,'BAL N HTR8'!$I:$I,$A37,'BAL N HTR8'!$J:$J,"T")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SUMIFS(DONNEES_N1_NOUVEAU[MONTANT],DONNEES_N1_NOUVEAU[TL2],A37,DONNEES_N1_NOUVEAU[MOIS],DONNÉES!$C$5,DONNEES_N1_NOUVEAU[SOCIETE],"HTR8")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HTR8'!$G:$G,'BAL N HTR8'!$I:$I,$A38,'BAL N HTR8'!$J:$J,"T")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SUMIFS(DONNEES_N1_NOUVEAU[MONTANT],DONNEES_N1_NOUVEAU[TL2],A38,DONNEES_N1_NOUVEAU[MOIS],DONNÉES!$C$5,DONNEES_N1_NOUVEAU[SOCIETE],"HTR8")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HTR8'!$G:$G,'BAL N HTR8'!$I:$I,$A39,'BAL N HTR8'!$J:$J,"T")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SUMIFS(DONNEES_N1_NOUVEAU[MONTANT],DONNEES_N1_NOUVEAU[TL2],A39,DONNEES_N1_NOUVEAU[MOIS],DONNÉES!$C$5,DONNEES_N1_NOUVEAU[SOCIETE],"HTR8")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HTR8'!$G:$G,'BAL N HTR8'!$I:$I,$A40,'BAL N HTR8'!$J:$J,"T")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SUMIFS(DONNEES_N1_NOUVEAU[MONTANT],DONNEES_N1_NOUVEAU[TL2],A40,DONNEES_N1_NOUVEAU[MOIS],DONNÉES!$C$5,DONNEES_N1_NOUVEAU[SOCIETE],"HTR8")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HTR8'!$G:$G,'BAL N HTR8'!$I:$I,$A41,'BAL N HTR8'!$J:$J,"T")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SUMIFS(DONNEES_N1_NOUVEAU[MONTANT],DONNEES_N1_NOUVEAU[TL2],A41,DONNEES_N1_NOUVEAU[MOIS],DONNÉES!$C$5,DONNEES_N1_NOUVEAU[SOCIETE],"HTR8")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HTR8'!$G:$G,'BAL N HTR8'!$I:$I,$A46,'BAL N HTR8'!$J:$J,"T")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SUMIFS(DONNEES_N1_NOUVEAU[MONTANT],DONNEES_N1_NOUVEAU[TL2],A46,DONNEES_N1_NOUVEAU[MOIS],DONNÉES!$C$5,DONNEES_N1_NOUVEAU[SOCIETE],"HTR8")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HTR8'!$G:$G,'BAL N HTR8'!$I:$I,$A47,'BAL N HTR8'!$J:$J,"T")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SUMIFS(DONNEES_N1_NOUVEAU[MONTANT],DONNEES_N1_NOUVEAU[TL2],A47,DONNEES_N1_NOUVEAU[MOIS],DONNÉES!$C$5,DONNEES_N1_NOUVEAU[SOCIETE],"HTR8")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HTR8'!$G:$G,'BAL N HTR8'!$I:$I,$A48,'BAL N HTR8'!$J:$J,"T")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SUMIFS(DONNEES_N1_NOUVEAU[MONTANT],DONNEES_N1_NOUVEAU[TL2],A48,DONNEES_N1_NOUVEAU[MOIS],DONNÉES!$C$5,DONNEES_N1_NOUVEAU[SOCIETE],"HTR8")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HTR8'!$G:$G,'BAL N HTR8'!$I:$I,$A51,'BAL N HTR8'!$J:$J,"T")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SUMIFS(DONNEES_N1_NOUVEAU[MONTANT],DONNEES_N1_NOUVEAU[TL2],A51,DONNEES_N1_NOUVEAU[MOIS],DONNÉES!$C$5,DONNEES_N1_NOUVEAU[SOCIETE],"HTR8")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HTR8'!$G:$G,'BAL N HTR8'!$I:$I,$A52,'BAL N HTR8'!$J:$J,"T")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SUMIFS(DONNEES_N1_NOUVEAU[MONTANT],DONNEES_N1_NOUVEAU[TL2],A52,DONNEES_N1_NOUVEAU[MOIS],DONNÉES!$C$5,DONNEES_N1_NOUVEAU[SOCIETE],"HTR8")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HTR8'!$G:$G,'BAL N HTR8'!$I:$I,$A53,'BAL N HTR8'!$J:$J,"T")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SUMIFS(DONNEES_N1_NOUVEAU[MONTANT],DONNEES_N1_NOUVEAU[TL2],A53,DONNEES_N1_NOUVEAU[MOIS],DONNÉES!$C$5,DONNEES_N1_NOUVEAU[SOCIETE],"HTR8")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HTR8'!$G:$G,'BAL N HTR8'!$I:$I,$A54,'BAL N HTR8'!$J:$J,"T")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SUMIFS(DONNEES_N1_NOUVEAU[MONTANT],DONNEES_N1_NOUVEAU[TL2],A54,DONNEES_N1_NOUVEAU[MOIS],DONNÉES!$C$5,DONNEES_N1_NOUVEAU[SOCIETE],"HTR8")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HTR8'!$G:$G,'BAL N HTR8'!$I:$I,$A55,'BAL N HTR8'!$J:$J,"T")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SUMIFS(DONNEES_N1_NOUVEAU[MONTANT],DONNEES_N1_NOUVEAU[TL2],A55,DONNEES_N1_NOUVEAU[MOIS],DONNÉES!$C$5,DONNEES_N1_NOUVEAU[SOCIETE],"HTR8")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HTR8'!$G:$G,'BAL N HTR8'!$I:$I,$A56,'BAL N HTR8'!$J:$J,"T")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SUMIFS(DONNEES_N1_NOUVEAU[MONTANT],DONNEES_N1_NOUVEAU[TL2],A56,DONNEES_N1_NOUVEAU[MOIS],DONNÉES!$C$5,DONNEES_N1_NOUVEAU[SOCIETE],"HTR8")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HTR8'!$G:$G,'BAL N HTR8'!$I:$I,$A57,'BAL N HTR8'!$J:$J,"T")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SUMIFS(DONNEES_N1_NOUVEAU[MONTANT],DONNEES_N1_NOUVEAU[TL2],A57,DONNEES_N1_NOUVEAU[MOIS],DONNÉES!$C$5,DONNEES_N1_NOUVEAU[SOCIETE],"HTR8")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HTR8'!$G:$G,'BAL N HTR8'!$I:$I,$A58,'BAL N HTR8'!$J:$J,"T")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SUMIFS(DONNEES_N1_NOUVEAU[MONTANT],DONNEES_N1_NOUVEAU[TL2],A58,DONNEES_N1_NOUVEAU[MOIS],DONNÉES!$C$5,DONNEES_N1_NOUVEAU[SOCIETE],"HTR8")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HTR8'!$G:$G,'BAL N HTR8'!$I:$I,$A63,'BAL N HTR8'!$J:$J,"T")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-SUMIFS(DONNEES_N1_NOUVEAU[MONTANT],DONNEES_N1_NOUVEAU[TL2],A63,DONNEES_N1_NOUVEAU[MOIS],DONNÉES!$C$5,DONNEES_N1_NOUVEAU[SOCIETE],"HTR8")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HTR8'!$G:$G,'BAL N HTR8'!$I:$I,$A64,'BAL N HTR8'!$J:$J,"T")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SUMIFS(DONNEES_N1_NOUVEAU[MONTANT],DONNEES_N1_NOUVEAU[TL2],A64,DONNEES_N1_NOUVEAU[MOIS],DONNÉES!$C$5,DONNEES_N1_NOUVEAU[SOCIETE],"HTR8")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HTR8'!$G:$G,'BAL N HTR8'!$I:$I,$A67,'BAL N HTR8'!$J:$J,"T")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-SUMIFS(DONNEES_N1_NOUVEAU[MONTANT],DONNEES_N1_NOUVEAU[TL2],A67,DONNEES_N1_NOUVEAU[MOIS],DONNÉES!$C$5,DONNEES_N1_NOUVEAU[SOCIETE],"HTR8")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HTR8'!$G:$G,'BAL N HTR8'!$I:$I,$A72,'BAL N HTR8'!$J:$J,"T")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-SUMIFS(DONNEES_N1_NOUVEAU[MONTANT],DONNEES_N1_NOUVEAU[TL2],A72,DONNEES_N1_NOUVEAU[MOIS],DONNÉES!$C$5,DONNEES_N1_NOUVEAU[SOCIETE],"HTR8")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HTR8'!$G:$G,'BAL N HTR8'!$I:$I,$A74,'BAL N HTR8'!$J:$J,"T")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SUMIFS(DONNEES_N1_NOUVEAU[MONTANT],DONNEES_N1_NOUVEAU[TL2],A74,DONNEES_N1_NOUVEAU[MOIS],DONNÉES!$C$5,DONNEES_N1_NOUVEAU[SOCIETE],"HTR8")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VLOOKUP(PARAMETRES!$C$2,TRANSHTR8[],2,FALSE)</f>
        <v/>
      </c>
      <c r="D78" s="450" t="n"/>
      <c r="E78" s="449">
        <f>VLOOKUP(PARAMETRES!$C$2,TRANSHTR8[],3,FALSE)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VLOOKUP(PARAMETRES!$C$2,PMHTR8[],2,FALSE)</f>
        <v/>
      </c>
      <c r="D80" s="450" t="n"/>
      <c r="E80" s="453">
        <f>VLOOKUP(PARAMETRES!$C$2,PMHTR8[],3,FALSE)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40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topLeftCell="A4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6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TIRR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TIRR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TIRR'!$G:$G,'BAL N TIRR'!$I:$I,$A8,'BAL N TIRR'!$J:$J,"T")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-SUMIFS(DONNEES_N1_NOUVEAU[MONTANT],DONNEES_N1_NOUVEAU[TL2],A8,DONNEES_N1_NOUVEAU[MOIS],DONNÉES!$C$5,DONNEES_N1_NOUVEAU[SOCIETE],"TIRR")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TIRR'!$G:$G,'BAL N TIRR'!$I:$I,$A10,'BAL N TIRR'!$J:$J,"T")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SUMIFS(DONNEES_N1_NOUVEAU[MONTANT],DONNEES_N1_NOUVEAU[TL2],A10,DONNEES_N1_NOUVEAU[MOIS],DONNÉES!$C$5,DONNEES_N1_NOUVEAU[SOCIETE],"TIRR")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TIRR'!$G:$G,'BAL N TIRR'!$I:$I,$A11,'BAL N TIRR'!$J:$J,"T")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SUMIFS(DONNEES_N1_NOUVEAU[MONTANT],DONNEES_N1_NOUVEAU[TL2],A11,DONNEES_N1_NOUVEAU[MOIS],DONNÉES!$C$5,DONNEES_N1_NOUVEAU[SOCIETE],"TIRR")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TIRR'!$G:$G,'BAL N TIRR'!$I:$I,$A12,'BAL N TIRR'!$J:$J,"T")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SUMIFS(DONNEES_N1_NOUVEAU[MONTANT],DONNEES_N1_NOUVEAU[TL2],A12,DONNEES_N1_NOUVEAU[MOIS],DONNÉES!$C$5,DONNEES_N1_NOUVEAU[SOCIETE],"TIRR")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TIRR'!$G:$G,'BAL N TIRR'!$I:$I,$A14,'BAL N TIRR'!$J:$J,"T")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SUMIFS(DONNEES_N1_NOUVEAU[MONTANT],DONNEES_N1_NOUVEAU[TL2],A14,DONNEES_N1_NOUVEAU[MOIS],DONNÉES!$C$5,DONNEES_N1_NOUVEAU[SOCIETE],"TIRR")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TIRR'!$G:$G,'BAL N TIRR'!$I:$I,$A15,'BAL N TIRR'!$J:$J,"T")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SUMIFS(DONNEES_N1_NOUVEAU[MONTANT],DONNEES_N1_NOUVEAU[TL2],A15,DONNEES_N1_NOUVEAU[MOIS],DONNÉES!$C$5,DONNEES_N1_NOUVEAU[SOCIETE],"TIRR")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TIRR'!$G:$G,'BAL N TIRR'!$I:$I,$A20,'BAL N TIRR'!$J:$J,"T")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SUMIFS(DONNEES_N1_NOUVEAU[MONTANT],DONNEES_N1_NOUVEAU[TL2],A20,DONNEES_N1_NOUVEAU[MOIS],DONNÉES!$C$5,DONNEES_N1_NOUVEAU[SOCIETE],"TIRR")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TIRR'!$G:$G,'BAL N TIRR'!$I:$I,$A21,'BAL N TIRR'!$J:$J,"T")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SUMIFS(DONNEES_N1_NOUVEAU[MONTANT],DONNEES_N1_NOUVEAU[TL2],A21,DONNEES_N1_NOUVEAU[MOIS],DONNÉES!$C$5,DONNEES_N1_NOUVEAU[SOCIETE],"TIRR")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TIRR'!$G:$G,'BAL N TIRR'!$I:$I,$A22,'BAL N TIRR'!$J:$J,"T")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SUMIFS(DONNEES_N1_NOUVEAU[MONTANT],DONNEES_N1_NOUVEAU[TL2],A22,DONNEES_N1_NOUVEAU[MOIS],DONNÉES!$C$5,DONNEES_N1_NOUVEAU[SOCIETE],"TIRR")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TIRR'!$G:$G,'BAL N TIRR'!$I:$I,$A23,'BAL N TIRR'!$J:$J,"T")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SUMIFS(DONNEES_N1_NOUVEAU[MONTANT],DONNEES_N1_NOUVEAU[TL2],A23,DONNEES_N1_NOUVEAU[MOIS],DONNÉES!$C$5,DONNEES_N1_NOUVEAU[SOCIETE],"TIRR")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TIRR'!$G:$G,'BAL N TIRR'!$I:$I,$A24,'BAL N TIRR'!$J:$J,"T")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SUMIFS(DONNEES_N1_NOUVEAU[MONTANT],DONNEES_N1_NOUVEAU[TL2],A24,DONNEES_N1_NOUVEAU[MOIS],DONNÉES!$C$5,DONNEES_N1_NOUVEAU[SOCIETE],"TIRR")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TIRR'!$G:$G,'BAL N TIRR'!$I:$I,$A25,'BAL N TIRR'!$J:$J,"T")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SUMIFS(DONNEES_N1_NOUVEAU[MONTANT],DONNEES_N1_NOUVEAU[TL2],A25,DONNEES_N1_NOUVEAU[MOIS],DONNÉES!$C$5,DONNEES_N1_NOUVEAU[SOCIETE],"TIRR")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TIRR'!$G:$G,'BAL N TIRR'!$I:$I,$A28,'BAL N TIRR'!$J:$J,"T")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SUMIFS(DONNEES_N1_NOUVEAU[MONTANT],DONNEES_N1_NOUVEAU[TL2],A28,DONNEES_N1_NOUVEAU[MOIS],DONNÉES!$C$5,DONNEES_N1_NOUVEAU[SOCIETE],"TIRR")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TIRR'!$G:$G,'BAL N TIRR'!$I:$I,$A29,'BAL N TIRR'!$J:$J,"T")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SUMIFS(DONNEES_N1_NOUVEAU[MONTANT],DONNEES_N1_NOUVEAU[TL2],A29,DONNEES_N1_NOUVEAU[MOIS],DONNÉES!$C$5,DONNEES_N1_NOUVEAU[SOCIETE],"TIRR")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TIRR'!$G:$G,'BAL N TIRR'!$I:$I,$A30,'BAL N TIRR'!$J:$J,"T")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SUMIFS(DONNEES_N1_NOUVEAU[MONTANT],DONNEES_N1_NOUVEAU[TL2],A30,DONNEES_N1_NOUVEAU[MOIS],DONNÉES!$C$5,DONNEES_N1_NOUVEAU[SOCIETE],"TIRR")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TIRR'!$G:$G,'BAL N TIRR'!$I:$I,$A31,'BAL N TIRR'!$J:$J,"T")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SUMIFS(DONNEES_N1_NOUVEAU[MONTANT],DONNEES_N1_NOUVEAU[TL2],A31,DONNEES_N1_NOUVEAU[MOIS],DONNÉES!$C$5,DONNEES_N1_NOUVEAU[SOCIETE],"TIRR")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TIRR'!$G:$G,'BAL N TIRR'!$I:$I,$A32,'BAL N TIRR'!$J:$J,"T")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SUMIFS(DONNEES_N1_NOUVEAU[MONTANT],DONNEES_N1_NOUVEAU[TL2],A32,DONNEES_N1_NOUVEAU[MOIS],DONNÉES!$C$5,DONNEES_N1_NOUVEAU[SOCIETE],"TIRR")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TIRR'!$G:$G,'BAL N TIRR'!$I:$I,$A35,'BAL N TIRR'!$J:$J,"T")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SUMIFS(DONNEES_N1_NOUVEAU[MONTANT],DONNEES_N1_NOUVEAU[TL2],A35,DONNEES_N1_NOUVEAU[MOIS],DONNÉES!$C$5,DONNEES_N1_NOUVEAU[SOCIETE],"TIRR")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TIRR'!$G:$G,'BAL N TIRR'!$I:$I,$A36,'BAL N TIRR'!$J:$J,"T")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SUMIFS(DONNEES_N1_NOUVEAU[MONTANT],DONNEES_N1_NOUVEAU[TL2],A36,DONNEES_N1_NOUVEAU[MOIS],DONNÉES!$C$5,DONNEES_N1_NOUVEAU[SOCIETE],"TIRR")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TIRR'!$G:$G,'BAL N TIRR'!$I:$I,$A37,'BAL N TIRR'!$J:$J,"T")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SUMIFS(DONNEES_N1_NOUVEAU[MONTANT],DONNEES_N1_NOUVEAU[TL2],A37,DONNEES_N1_NOUVEAU[MOIS],DONNÉES!$C$5,DONNEES_N1_NOUVEAU[SOCIETE],"TIRR")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TIRR'!$G:$G,'BAL N TIRR'!$I:$I,$A38,'BAL N TIRR'!$J:$J,"T")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SUMIFS(DONNEES_N1_NOUVEAU[MONTANT],DONNEES_N1_NOUVEAU[TL2],A38,DONNEES_N1_NOUVEAU[MOIS],DONNÉES!$C$5,DONNEES_N1_NOUVEAU[SOCIETE],"TIRR")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TIRR'!$G:$G,'BAL N TIRR'!$I:$I,$A39,'BAL N TIRR'!$J:$J,"T")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SUMIFS(DONNEES_N1_NOUVEAU[MONTANT],DONNEES_N1_NOUVEAU[TL2],A39,DONNEES_N1_NOUVEAU[MOIS],DONNÉES!$C$5,DONNEES_N1_NOUVEAU[SOCIETE],"TIRR")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TIRR'!$G:$G,'BAL N TIRR'!$I:$I,$A40,'BAL N TIRR'!$J:$J,"T")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SUMIFS(DONNEES_N1_NOUVEAU[MONTANT],DONNEES_N1_NOUVEAU[TL2],A40,DONNEES_N1_NOUVEAU[MOIS],DONNÉES!$C$5,DONNEES_N1_NOUVEAU[SOCIETE],"TIRR")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TIRR'!$G:$G,'BAL N TIRR'!$I:$I,$A41,'BAL N TIRR'!$J:$J,"T")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SUMIFS(DONNEES_N1_NOUVEAU[MONTANT],DONNEES_N1_NOUVEAU[TL2],A41,DONNEES_N1_NOUVEAU[MOIS],DONNÉES!$C$5,DONNEES_N1_NOUVEAU[SOCIETE],"TIRR")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TIRR'!$G:$G,'BAL N TIRR'!$I:$I,$A46,'BAL N TIRR'!$J:$J,"T")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SUMIFS(DONNEES_N1_NOUVEAU[MONTANT],DONNEES_N1_NOUVEAU[TL2],A46,DONNEES_N1_NOUVEAU[MOIS],DONNÉES!$C$5,DONNEES_N1_NOUVEAU[SOCIETE],"TIRR")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TIRR'!$G:$G,'BAL N TIRR'!$I:$I,$A47,'BAL N TIRR'!$J:$J,"T")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SUMIFS(DONNEES_N1_NOUVEAU[MONTANT],DONNEES_N1_NOUVEAU[TL2],A47,DONNEES_N1_NOUVEAU[MOIS],DONNÉES!$C$5,DONNEES_N1_NOUVEAU[SOCIETE],"TIRR")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TIRR'!$G:$G,'BAL N TIRR'!$I:$I,$A48,'BAL N TIRR'!$J:$J,"T")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SUMIFS(DONNEES_N1_NOUVEAU[MONTANT],DONNEES_N1_NOUVEAU[TL2],A48,DONNEES_N1_NOUVEAU[MOIS],DONNÉES!$C$5,DONNEES_N1_NOUVEAU[SOCIETE],"TIRR")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TIRR'!$G:$G,'BAL N TIRR'!$I:$I,$A51,'BAL N TIRR'!$J:$J,"T")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SUMIFS(DONNEES_N1_NOUVEAU[MONTANT],DONNEES_N1_NOUVEAU[TL2],A51,DONNEES_N1_NOUVEAU[MOIS],DONNÉES!$C$5,DONNEES_N1_NOUVEAU[SOCIETE],"TIRR")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TIRR'!$G:$G,'BAL N TIRR'!$I:$I,$A52,'BAL N TIRR'!$J:$J,"T")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SUMIFS(DONNEES_N1_NOUVEAU[MONTANT],DONNEES_N1_NOUVEAU[TL2],A52,DONNEES_N1_NOUVEAU[MOIS],DONNÉES!$C$5,DONNEES_N1_NOUVEAU[SOCIETE],"TIRR")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TIRR'!$G:$G,'BAL N TIRR'!$I:$I,$A53,'BAL N TIRR'!$J:$J,"T")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SUMIFS(DONNEES_N1_NOUVEAU[MONTANT],DONNEES_N1_NOUVEAU[TL2],A53,DONNEES_N1_NOUVEAU[MOIS],DONNÉES!$C$5,DONNEES_N1_NOUVEAU[SOCIETE],"TIRR")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TIRR'!$G:$G,'BAL N TIRR'!$I:$I,$A54,'BAL N TIRR'!$J:$J,"T")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SUMIFS(DONNEES_N1_NOUVEAU[MONTANT],DONNEES_N1_NOUVEAU[TL2],A54,DONNEES_N1_NOUVEAU[MOIS],DONNÉES!$C$5,DONNEES_N1_NOUVEAU[SOCIETE],"TIRR")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TIRR'!$G:$G,'BAL N TIRR'!$I:$I,$A55,'BAL N TIRR'!$J:$J,"T")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SUMIFS(DONNEES_N1_NOUVEAU[MONTANT],DONNEES_N1_NOUVEAU[TL2],A55,DONNEES_N1_NOUVEAU[MOIS],DONNÉES!$C$5,DONNEES_N1_NOUVEAU[SOCIETE],"TIRR")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TIRR'!$G:$G,'BAL N TIRR'!$I:$I,$A56,'BAL N TIRR'!$J:$J,"T")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SUMIFS(DONNEES_N1_NOUVEAU[MONTANT],DONNEES_N1_NOUVEAU[TL2],A56,DONNEES_N1_NOUVEAU[MOIS],DONNÉES!$C$5,DONNEES_N1_NOUVEAU[SOCIETE],"TIRR")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TIRR'!$G:$G,'BAL N TIRR'!$I:$I,$A57,'BAL N TIRR'!$J:$J,"T")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SUMIFS(DONNEES_N1_NOUVEAU[MONTANT],DONNEES_N1_NOUVEAU[TL2],A57,DONNEES_N1_NOUVEAU[MOIS],DONNÉES!$C$5,DONNEES_N1_NOUVEAU[SOCIETE],"TIRR")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TIRR'!$G:$G,'BAL N TIRR'!$I:$I,$A58,'BAL N TIRR'!$J:$J,"T")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SUMIFS(DONNEES_N1_NOUVEAU[MONTANT],DONNEES_N1_NOUVEAU[TL2],A58,DONNEES_N1_NOUVEAU[MOIS],DONNÉES!$C$5,DONNEES_N1_NOUVEAU[SOCIETE],"TIRR")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TIRR'!$G:$G,'BAL N TIRR'!$I:$I,$A63,'BAL N TIRR'!$J:$J,"T")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-SUMIFS(DONNEES_N1_NOUVEAU[MONTANT],DONNEES_N1_NOUVEAU[TL2],A63,DONNEES_N1_NOUVEAU[MOIS],DONNÉES!$C$5,DONNEES_N1_NOUVEAU[SOCIETE],"TIRR")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TIRR'!$G:$G,'BAL N TIRR'!$I:$I,$A64,'BAL N TIRR'!$J:$J,"T")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SUMIFS(DONNEES_N1_NOUVEAU[MONTANT],DONNEES_N1_NOUVEAU[TL2],A64,DONNEES_N1_NOUVEAU[MOIS],DONNÉES!$C$5,DONNEES_N1_NOUVEAU[SOCIETE],"TIRR")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TIRR'!$G:$G,'BAL N TIRR'!$I:$I,$A67,'BAL N TIRR'!$J:$J,"T")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-SUMIFS(DONNEES_N1_NOUVEAU[MONTANT],DONNEES_N1_NOUVEAU[TL2],A67,DONNEES_N1_NOUVEAU[MOIS],DONNÉES!$C$5,DONNEES_N1_NOUVEAU[SOCIETE],"TIRR")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TIRR'!$G:$G,'BAL N TIRR'!$I:$I,$A72,'BAL N TIRR'!$J:$J,"T")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-SUMIFS(DONNEES_N1_NOUVEAU[MONTANT],DONNEES_N1_NOUVEAU[TL2],A72,DONNEES_N1_NOUVEAU[MOIS],DONNÉES!$C$5,DONNEES_N1_NOUVEAU[SOCIETE],"TIRR")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TIRR'!$G:$G,'BAL N TIRR'!$I:$I,$A74,'BAL N TIRR'!$J:$J,"T")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SUMIFS(DONNEES_N1_NOUVEAU[MONTANT],DONNEES_N1_NOUVEAU[TL2],A74,DONNEES_N1_NOUVEAU[MOIS],DONNÉES!$C$5,DONNEES_N1_NOUVEAU[SOCIETE],"TIRR")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VLOOKUP(PARAMETRES!$C$2,TRANSTIRR[],2,FALSE)</f>
        <v/>
      </c>
      <c r="D78" s="450" t="n"/>
      <c r="E78" s="449">
        <f>VLOOKUP(PARAMETRES!$C$2,TRANSTIRR[],3,FALSE)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VLOOKUP(PARAMETRES!$C$2,PMTIRR[],2,FALSE)</f>
        <v/>
      </c>
      <c r="D80" s="450" t="n"/>
      <c r="E80" s="453">
        <f>VLOOKUP(PARAMETRES!$C$2,PMTIRR[],3,FALSE)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42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topLeftCell="A10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46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VR7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VR7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VR7'!$G:$G,'BAL N VR7'!$I:$I,$A8,'BAL N VR7'!$J:$J,"T")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-SUMIFS(DONNEES_N1_NOUVEAU[MONTANT],DONNEES_N1_NOUVEAU[TL2],A8,DONNEES_N1_NOUVEAU[MOIS],DONNÉES!$C$5,DONNEES_N1_NOUVEAU[SOCIETE],"VR7")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VR7'!$G:$G,'BAL N VR7'!$I:$I,$A10,'BAL N VR7'!$J:$J,"T")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SUMIFS(DONNEES_N1_NOUVEAU[MONTANT],DONNEES_N1_NOUVEAU[TL2],A10,DONNEES_N1_NOUVEAU[MOIS],DONNÉES!$C$5,DONNEES_N1_NOUVEAU[SOCIETE],"VR7")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VR7'!$G:$G,'BAL N VR7'!$I:$I,$A11,'BAL N VR7'!$J:$J,"T")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SUMIFS(DONNEES_N1_NOUVEAU[MONTANT],DONNEES_N1_NOUVEAU[TL2],A11,DONNEES_N1_NOUVEAU[MOIS],DONNÉES!$C$5,DONNEES_N1_NOUVEAU[SOCIETE],"VR7")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VR7'!$G:$G,'BAL N VR7'!$I:$I,$A12,'BAL N VR7'!$J:$J,"T")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SUMIFS(DONNEES_N1_NOUVEAU[MONTANT],DONNEES_N1_NOUVEAU[TL2],A12,DONNEES_N1_NOUVEAU[MOIS],DONNÉES!$C$5,DONNEES_N1_NOUVEAU[SOCIETE],"VR7")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VR7'!$G:$G,'BAL N VR7'!$I:$I,$A14,'BAL N VR7'!$J:$J,"T")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SUMIFS(DONNEES_N1_NOUVEAU[MONTANT],DONNEES_N1_NOUVEAU[TL2],A14,DONNEES_N1_NOUVEAU[MOIS],DONNÉES!$C$5,DONNEES_N1_NOUVEAU[SOCIETE],"VR7")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VR7'!$G:$G,'BAL N VR7'!$I:$I,$A15,'BAL N VR7'!$J:$J,"T")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SUMIFS(DONNEES_N1_NOUVEAU[MONTANT],DONNEES_N1_NOUVEAU[TL2],A15,DONNEES_N1_NOUVEAU[MOIS],DONNÉES!$C$5,DONNEES_N1_NOUVEAU[SOCIETE],"VR7")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VR7'!$G:$G,'BAL N VR7'!$I:$I,$A20,'BAL N VR7'!$J:$J,"T")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SUMIFS(DONNEES_N1_NOUVEAU[MONTANT],DONNEES_N1_NOUVEAU[TL2],A20,DONNEES_N1_NOUVEAU[MOIS],DONNÉES!$C$5,DONNEES_N1_NOUVEAU[SOCIETE],"VR7")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VR7'!$G:$G,'BAL N VR7'!$I:$I,$A21,'BAL N VR7'!$J:$J,"T")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SUMIFS(DONNEES_N1_NOUVEAU[MONTANT],DONNEES_N1_NOUVEAU[TL2],A21,DONNEES_N1_NOUVEAU[MOIS],DONNÉES!$C$5,DONNEES_N1_NOUVEAU[SOCIETE],"VR7")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VR7'!$G:$G,'BAL N VR7'!$I:$I,$A22,'BAL N VR7'!$J:$J,"T")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SUMIFS(DONNEES_N1_NOUVEAU[MONTANT],DONNEES_N1_NOUVEAU[TL2],A22,DONNEES_N1_NOUVEAU[MOIS],DONNÉES!$C$5,DONNEES_N1_NOUVEAU[SOCIETE],"VR7")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VR7'!$G:$G,'BAL N VR7'!$I:$I,$A23,'BAL N VR7'!$J:$J,"T")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SUMIFS(DONNEES_N1_NOUVEAU[MONTANT],DONNEES_N1_NOUVEAU[TL2],A23,DONNEES_N1_NOUVEAU[MOIS],DONNÉES!$C$5,DONNEES_N1_NOUVEAU[SOCIETE],"VR7")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VR7'!$G:$G,'BAL N VR7'!$I:$I,$A24,'BAL N VR7'!$J:$J,"T")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SUMIFS(DONNEES_N1_NOUVEAU[MONTANT],DONNEES_N1_NOUVEAU[TL2],A24,DONNEES_N1_NOUVEAU[MOIS],DONNÉES!$C$5,DONNEES_N1_NOUVEAU[SOCIETE],"VR7")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VR7'!$G:$G,'BAL N VR7'!$I:$I,$A25,'BAL N VR7'!$J:$J,"T")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SUMIFS(DONNEES_N1_NOUVEAU[MONTANT],DONNEES_N1_NOUVEAU[TL2],A25,DONNEES_N1_NOUVEAU[MOIS],DONNÉES!$C$5,DONNEES_N1_NOUVEAU[SOCIETE],"VR7")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VR7'!$G:$G,'BAL N VR7'!$I:$I,$A28,'BAL N VR7'!$J:$J,"T")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SUMIFS(DONNEES_N1_NOUVEAU[MONTANT],DONNEES_N1_NOUVEAU[TL2],A28,DONNEES_N1_NOUVEAU[MOIS],DONNÉES!$C$5,DONNEES_N1_NOUVEAU[SOCIETE],"VR7")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VR7'!$G:$G,'BAL N VR7'!$I:$I,$A29,'BAL N VR7'!$J:$J,"T")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SUMIFS(DONNEES_N1_NOUVEAU[MONTANT],DONNEES_N1_NOUVEAU[TL2],A29,DONNEES_N1_NOUVEAU[MOIS],DONNÉES!$C$5,DONNEES_N1_NOUVEAU[SOCIETE],"VR7")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VR7'!$G:$G,'BAL N VR7'!$I:$I,$A30,'BAL N VR7'!$J:$J,"T")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SUMIFS(DONNEES_N1_NOUVEAU[MONTANT],DONNEES_N1_NOUVEAU[TL2],A30,DONNEES_N1_NOUVEAU[MOIS],DONNÉES!$C$5,DONNEES_N1_NOUVEAU[SOCIETE],"VR7")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VR7'!$G:$G,'BAL N VR7'!$I:$I,$A31,'BAL N VR7'!$J:$J,"T")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SUMIFS(DONNEES_N1_NOUVEAU[MONTANT],DONNEES_N1_NOUVEAU[TL2],A31,DONNEES_N1_NOUVEAU[MOIS],DONNÉES!$C$5,DONNEES_N1_NOUVEAU[SOCIETE],"VR7")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VR7'!$G:$G,'BAL N VR7'!$I:$I,$A32,'BAL N VR7'!$J:$J,"T")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SUMIFS(DONNEES_N1_NOUVEAU[MONTANT],DONNEES_N1_NOUVEAU[TL2],A32,DONNEES_N1_NOUVEAU[MOIS],DONNÉES!$C$5,DONNEES_N1_NOUVEAU[SOCIETE],"VR7")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VR7'!$G:$G,'BAL N VR7'!$I:$I,$A35,'BAL N VR7'!$J:$J,"T")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SUMIFS(DONNEES_N1_NOUVEAU[MONTANT],DONNEES_N1_NOUVEAU[TL2],A35,DONNEES_N1_NOUVEAU[MOIS],DONNÉES!$C$5,DONNEES_N1_NOUVEAU[SOCIETE],"VR7")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VR7'!$G:$G,'BAL N VR7'!$I:$I,$A36,'BAL N VR7'!$J:$J,"T")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SUMIFS(DONNEES_N1_NOUVEAU[MONTANT],DONNEES_N1_NOUVEAU[TL2],A36,DONNEES_N1_NOUVEAU[MOIS],DONNÉES!$C$5,DONNEES_N1_NOUVEAU[SOCIETE],"VR7")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VR7'!$G:$G,'BAL N VR7'!$I:$I,$A37,'BAL N VR7'!$J:$J,"T")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SUMIFS(DONNEES_N1_NOUVEAU[MONTANT],DONNEES_N1_NOUVEAU[TL2],A37,DONNEES_N1_NOUVEAU[MOIS],DONNÉES!$C$5,DONNEES_N1_NOUVEAU[SOCIETE],"VR7")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VR7'!$G:$G,'BAL N VR7'!$I:$I,$A38,'BAL N VR7'!$J:$J,"T")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SUMIFS(DONNEES_N1_NOUVEAU[MONTANT],DONNEES_N1_NOUVEAU[TL2],A38,DONNEES_N1_NOUVEAU[MOIS],DONNÉES!$C$5,DONNEES_N1_NOUVEAU[SOCIETE],"VR7")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VR7'!$G:$G,'BAL N VR7'!$I:$I,$A39,'BAL N VR7'!$J:$J,"T")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SUMIFS(DONNEES_N1_NOUVEAU[MONTANT],DONNEES_N1_NOUVEAU[TL2],A39,DONNEES_N1_NOUVEAU[MOIS],DONNÉES!$C$5,DONNEES_N1_NOUVEAU[SOCIETE],"VR7")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VR7'!$G:$G,'BAL N VR7'!$I:$I,$A40,'BAL N VR7'!$J:$J,"T")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SUMIFS(DONNEES_N1_NOUVEAU[MONTANT],DONNEES_N1_NOUVEAU[TL2],A40,DONNEES_N1_NOUVEAU[MOIS],DONNÉES!$C$5,DONNEES_N1_NOUVEAU[SOCIETE],"VR7")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VR7'!$G:$G,'BAL N VR7'!$I:$I,$A41,'BAL N VR7'!$J:$J,"T")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SUMIFS(DONNEES_N1_NOUVEAU[MONTANT],DONNEES_N1_NOUVEAU[TL2],A41,DONNEES_N1_NOUVEAU[MOIS],DONNÉES!$C$5,DONNEES_N1_NOUVEAU[SOCIETE],"VR7")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VR7'!$G:$G,'BAL N VR7'!$I:$I,$A46,'BAL N VR7'!$J:$J,"T")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SUMIFS(DONNEES_N1_NOUVEAU[MONTANT],DONNEES_N1_NOUVEAU[TL2],A46,DONNEES_N1_NOUVEAU[MOIS],DONNÉES!$C$5,DONNEES_N1_NOUVEAU[SOCIETE],"VR7")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VR7'!$G:$G,'BAL N VR7'!$I:$I,$A47,'BAL N VR7'!$J:$J,"T")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SUMIFS(DONNEES_N1_NOUVEAU[MONTANT],DONNEES_N1_NOUVEAU[TL2],A47,DONNEES_N1_NOUVEAU[MOIS],DONNÉES!$C$5,DONNEES_N1_NOUVEAU[SOCIETE],"VR7")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VR7'!$G:$G,'BAL N VR7'!$I:$I,$A48,'BAL N VR7'!$J:$J,"T")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SUMIFS(DONNEES_N1_NOUVEAU[MONTANT],DONNEES_N1_NOUVEAU[TL2],A48,DONNEES_N1_NOUVEAU[MOIS],DONNÉES!$C$5,DONNEES_N1_NOUVEAU[SOCIETE],"VR7")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inlineStr">
        <is>
          <t xml:space="preserve"> </t>
        </is>
      </c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VR7'!$G:$G,'BAL N VR7'!$I:$I,$A51,'BAL N VR7'!$J:$J,"T")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SUMIFS(DONNEES_N1_NOUVEAU[MONTANT],DONNEES_N1_NOUVEAU[TL2],A51,DONNEES_N1_NOUVEAU[MOIS],DONNÉES!$C$5,DONNEES_N1_NOUVEAU[SOCIETE],"VR7")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VR7'!$G:$G,'BAL N VR7'!$I:$I,$A52,'BAL N VR7'!$J:$J,"T")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SUMIFS(DONNEES_N1_NOUVEAU[MONTANT],DONNEES_N1_NOUVEAU[TL2],A52,DONNEES_N1_NOUVEAU[MOIS],DONNÉES!$C$5,DONNEES_N1_NOUVEAU[SOCIETE],"VR7")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VR7'!$G:$G,'BAL N VR7'!$I:$I,$A53,'BAL N VR7'!$J:$J,"T")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SUMIFS(DONNEES_N1_NOUVEAU[MONTANT],DONNEES_N1_NOUVEAU[TL2],A53,DONNEES_N1_NOUVEAU[MOIS],DONNÉES!$C$5,DONNEES_N1_NOUVEAU[SOCIETE],"VR7")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VR7'!$G:$G,'BAL N VR7'!$I:$I,$A54,'BAL N VR7'!$J:$J,"T")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SUMIFS(DONNEES_N1_NOUVEAU[MONTANT],DONNEES_N1_NOUVEAU[TL2],A54,DONNEES_N1_NOUVEAU[MOIS],DONNÉES!$C$5,DONNEES_N1_NOUVEAU[SOCIETE],"VR7")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VR7'!$G:$G,'BAL N VR7'!$I:$I,$A55,'BAL N VR7'!$J:$J,"T")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SUMIFS(DONNEES_N1_NOUVEAU[MONTANT],DONNEES_N1_NOUVEAU[TL2],A55,DONNEES_N1_NOUVEAU[MOIS],DONNÉES!$C$5,DONNEES_N1_NOUVEAU[SOCIETE],"VR7")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VR7'!$G:$G,'BAL N VR7'!$I:$I,$A56,'BAL N VR7'!$J:$J,"T")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SUMIFS(DONNEES_N1_NOUVEAU[MONTANT],DONNEES_N1_NOUVEAU[TL2],A56,DONNEES_N1_NOUVEAU[MOIS],DONNÉES!$C$5,DONNEES_N1_NOUVEAU[SOCIETE],"VR7")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VR7'!$G:$G,'BAL N VR7'!$I:$I,$A57,'BAL N VR7'!$J:$J,"T")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SUMIFS(DONNEES_N1_NOUVEAU[MONTANT],DONNEES_N1_NOUVEAU[TL2],A57,DONNEES_N1_NOUVEAU[MOIS],DONNÉES!$C$5,DONNEES_N1_NOUVEAU[SOCIETE],"VR7")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VR7'!$G:$G,'BAL N VR7'!$I:$I,$A58,'BAL N VR7'!$J:$J,"T")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SUMIFS(DONNEES_N1_NOUVEAU[MONTANT],DONNEES_N1_NOUVEAU[TL2],A58,DONNEES_N1_NOUVEAU[MOIS],DONNÉES!$C$5,DONNEES_N1_NOUVEAU[SOCIETE],"VR7")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VR7'!$G:$G,'BAL N VR7'!$I:$I,$A63,'BAL N VR7'!$J:$J,"T")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-SUMIFS(DONNEES_N1_NOUVEAU[MONTANT],DONNEES_N1_NOUVEAU[TL2],A63,DONNEES_N1_NOUVEAU[MOIS],DONNÉES!$C$5,DONNEES_N1_NOUVEAU[SOCIETE],"VR7")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VR7'!$G:$G,'BAL N VR7'!$I:$I,$A64,'BAL N VR7'!$J:$J,"T")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SUMIFS(DONNEES_N1_NOUVEAU[MONTANT],DONNEES_N1_NOUVEAU[TL2],A64,DONNEES_N1_NOUVEAU[MOIS],DONNÉES!$C$5,DONNEES_N1_NOUVEAU[SOCIETE],"VR7")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VR7'!$G:$G,'BAL N VR7'!$I:$I,$A67,'BAL N VR7'!$J:$J,"T")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-SUMIFS(DONNEES_N1_NOUVEAU[MONTANT],DONNEES_N1_NOUVEAU[TL2],A67,DONNEES_N1_NOUVEAU[MOIS],DONNÉES!$C$5,DONNEES_N1_NOUVEAU[SOCIETE],"VR7")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VR7'!$G:$G,'BAL N VR7'!$I:$I,$A72,'BAL N VR7'!$J:$J,"T")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-SUMIFS(DONNEES_N1_NOUVEAU[MONTANT],DONNEES_N1_NOUVEAU[TL2],A72,DONNEES_N1_NOUVEAU[MOIS],DONNÉES!$C$5,DONNEES_N1_NOUVEAU[SOCIETE],"VR7")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VR7'!$G:$G,'BAL N VR7'!$I:$I,$A74,'BAL N VR7'!$J:$J,"T")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SUMIFS(DONNEES_N1_NOUVEAU[MONTANT],DONNEES_N1_NOUVEAU[TL2],A74,DONNEES_N1_NOUVEAU[MOIS],DONNÉES!$C$5,DONNEES_N1_NOUVEAU[SOCIETE],"VR7")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VLOOKUP(PARAMETRES!$C$2,TRANSVR7[],2,FALSE)</f>
        <v/>
      </c>
      <c r="D78" s="450" t="n"/>
      <c r="E78" s="449">
        <f>VLOOKUP(PARAMETRES!$C$2,TRANSVR7[],3,FALSE)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VLOOKUP(PARAMETRES!$C$2,PMVR7[],2,FALSE)</f>
        <v/>
      </c>
      <c r="D80" s="450" t="n"/>
      <c r="E80" s="453">
        <f>VLOOKUP(PARAMETRES!$C$2,PMVR7[],3,FALSE)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44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topLeftCell="A28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3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TURVILLA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TURVILLA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TURVILLA'!$G:$G,'BAL N TURVILLA'!$I:$I,$A8,'BAL N TURVILLA'!$J:$J,"T")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-SUMIFS(DONNEES_N1_NOUVEAU[MONTANT],DONNEES_N1_NOUVEAU[TL2],A8,DONNEES_N1_NOUVEAU[MOIS],DONNÉES!$C$5,DONNEES_N1_NOUVEAU[SOCIETE],"TURVILLA")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TURVILLA'!$G:$G,'BAL N TURVILLA'!$I:$I,$A10,'BAL N TURVILLA'!$J:$J,"T")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SUMIFS(DONNEES_N1_NOUVEAU[MONTANT],DONNEES_N1_NOUVEAU[TL2],A10,DONNEES_N1_NOUVEAU[MOIS],DONNÉES!$C$5,DONNEES_N1_NOUVEAU[SOCIETE],"TURVILLA")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TURVILLA'!$G:$G,'BAL N TURVILLA'!$I:$I,$A11,'BAL N TURVILLA'!$J:$J,"T")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SUMIFS(DONNEES_N1_NOUVEAU[MONTANT],DONNEES_N1_NOUVEAU[TL2],A11,DONNEES_N1_NOUVEAU[MOIS],DONNÉES!$C$5,DONNEES_N1_NOUVEAU[SOCIETE],"TURVILLA")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TURVILLA'!$G:$G,'BAL N TURVILLA'!$I:$I,$A12,'BAL N TURVILLA'!$J:$J,"T")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SUMIFS(DONNEES_N1_NOUVEAU[MONTANT],DONNEES_N1_NOUVEAU[TL2],A12,DONNEES_N1_NOUVEAU[MOIS],DONNÉES!$C$5,DONNEES_N1_NOUVEAU[SOCIETE],"TURVILLA")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TURVILLA'!$G:$G,'BAL N TURVILLA'!$I:$I,$A14,'BAL N TURVILLA'!$J:$J,"T")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SUMIFS(DONNEES_N1_NOUVEAU[MONTANT],DONNEES_N1_NOUVEAU[TL2],A14,DONNEES_N1_NOUVEAU[MOIS],DONNÉES!$C$5,DONNEES_N1_NOUVEAU[SOCIETE],"TURVILLA")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TURVILLA'!$G:$G,'BAL N TURVILLA'!$I:$I,$A15,'BAL N TURVILLA'!$J:$J,"T")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SUMIFS(DONNEES_N1_NOUVEAU[MONTANT],DONNEES_N1_NOUVEAU[TL2],A15,DONNEES_N1_NOUVEAU[MOIS],DONNÉES!$C$5,DONNEES_N1_NOUVEAU[SOCIETE],"TURVILLA")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TURVILLA'!$G:$G,'BAL N TURVILLA'!$I:$I,$A20,'BAL N TURVILLA'!$J:$J,"T")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SUMIFS(DONNEES_N1_NOUVEAU[MONTANT],DONNEES_N1_NOUVEAU[TL2],A20,DONNEES_N1_NOUVEAU[MOIS],DONNÉES!$C$5,DONNEES_N1_NOUVEAU[SOCIETE],"TURVILLA")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TURVILLA'!$G:$G,'BAL N TURVILLA'!$I:$I,$A21,'BAL N TURVILLA'!$J:$J,"T")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SUMIFS(DONNEES_N1_NOUVEAU[MONTANT],DONNEES_N1_NOUVEAU[TL2],A21,DONNEES_N1_NOUVEAU[MOIS],DONNÉES!$C$5,DONNEES_N1_NOUVEAU[SOCIETE],"TURVILLA")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TURVILLA'!$G:$G,'BAL N TURVILLA'!$I:$I,$A22,'BAL N TURVILLA'!$J:$J,"T")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SUMIFS(DONNEES_N1_NOUVEAU[MONTANT],DONNEES_N1_NOUVEAU[TL2],A22,DONNEES_N1_NOUVEAU[MOIS],DONNÉES!$C$5,DONNEES_N1_NOUVEAU[SOCIETE],"TURVILLA")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TURVILLA'!$G:$G,'BAL N TURVILLA'!$I:$I,$A23,'BAL N TURVILLA'!$J:$J,"T")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SUMIFS(DONNEES_N1_NOUVEAU[MONTANT],DONNEES_N1_NOUVEAU[TL2],A23,DONNEES_N1_NOUVEAU[MOIS],DONNÉES!$C$5,DONNEES_N1_NOUVEAU[SOCIETE],"TURVILLA")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TURVILLA'!$G:$G,'BAL N TURVILLA'!$I:$I,$A24,'BAL N TURVILLA'!$J:$J,"T")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SUMIFS(DONNEES_N1_NOUVEAU[MONTANT],DONNEES_N1_NOUVEAU[TL2],A24,DONNEES_N1_NOUVEAU[MOIS],DONNÉES!$C$5,DONNEES_N1_NOUVEAU[SOCIETE],"TURVILLA")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TURVILLA'!$G:$G,'BAL N TURVILLA'!$I:$I,$A25,'BAL N TURVILLA'!$J:$J,"T")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SUMIFS(DONNEES_N1_NOUVEAU[MONTANT],DONNEES_N1_NOUVEAU[TL2],A25,DONNEES_N1_NOUVEAU[MOIS],DONNÉES!$C$5,DONNEES_N1_NOUVEAU[SOCIETE],"TURVILLA")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TURVILLA'!$G:$G,'BAL N TURVILLA'!$I:$I,$A28,'BAL N TURVILLA'!$J:$J,"T")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SUMIFS(DONNEES_N1_NOUVEAU[MONTANT],DONNEES_N1_NOUVEAU[TL2],A28,DONNEES_N1_NOUVEAU[MOIS],DONNÉES!$C$5,DONNEES_N1_NOUVEAU[SOCIETE],"TURVILLA")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TURVILLA'!$G:$G,'BAL N TURVILLA'!$I:$I,$A29,'BAL N TURVILLA'!$J:$J,"T")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SUMIFS(DONNEES_N1_NOUVEAU[MONTANT],DONNEES_N1_NOUVEAU[TL2],A29,DONNEES_N1_NOUVEAU[MOIS],DONNÉES!$C$5,DONNEES_N1_NOUVEAU[SOCIETE],"TURVILLA")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TURVILLA'!$G:$G,'BAL N TURVILLA'!$I:$I,$A30,'BAL N TURVILLA'!$J:$J,"T")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SUMIFS(DONNEES_N1_NOUVEAU[MONTANT],DONNEES_N1_NOUVEAU[TL2],A30,DONNEES_N1_NOUVEAU[MOIS],DONNÉES!$C$5,DONNEES_N1_NOUVEAU[SOCIETE],"TURVILLA")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TURVILLA'!$G:$G,'BAL N TURVILLA'!$I:$I,$A31,'BAL N TURVILLA'!$J:$J,"T")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SUMIFS(DONNEES_N1_NOUVEAU[MONTANT],DONNEES_N1_NOUVEAU[TL2],A31,DONNEES_N1_NOUVEAU[MOIS],DONNÉES!$C$5,DONNEES_N1_NOUVEAU[SOCIETE],"TURVILLA")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TURVILLA'!$G:$G,'BAL N TURVILLA'!$I:$I,$A32,'BAL N TURVILLA'!$J:$J,"T")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SUMIFS(DONNEES_N1_NOUVEAU[MONTANT],DONNEES_N1_NOUVEAU[TL2],A32,DONNEES_N1_NOUVEAU[MOIS],DONNÉES!$C$5,DONNEES_N1_NOUVEAU[SOCIETE],"TURVILLA")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TURVILLA'!$G:$G,'BAL N TURVILLA'!$I:$I,$A35,'BAL N TURVILLA'!$J:$J,"T")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SUMIFS(DONNEES_N1_NOUVEAU[MONTANT],DONNEES_N1_NOUVEAU[TL2],A35,DONNEES_N1_NOUVEAU[MOIS],DONNÉES!$C$5,DONNEES_N1_NOUVEAU[SOCIETE],"TURVILLA")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TURVILLA'!$G:$G,'BAL N TURVILLA'!$I:$I,$A36,'BAL N TURVILLA'!$J:$J,"T")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SUMIFS(DONNEES_N1_NOUVEAU[MONTANT],DONNEES_N1_NOUVEAU[TL2],A36,DONNEES_N1_NOUVEAU[MOIS],DONNÉES!$C$5,DONNEES_N1_NOUVEAU[SOCIETE],"TURVILLA")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TURVILLA'!$G:$G,'BAL N TURVILLA'!$I:$I,$A37,'BAL N TURVILLA'!$J:$J,"T")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SUMIFS(DONNEES_N1_NOUVEAU[MONTANT],DONNEES_N1_NOUVEAU[TL2],A37,DONNEES_N1_NOUVEAU[MOIS],DONNÉES!$C$5,DONNEES_N1_NOUVEAU[SOCIETE],"TURVILLA")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TURVILLA'!$G:$G,'BAL N TURVILLA'!$I:$I,$A38,'BAL N TURVILLA'!$J:$J,"T")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SUMIFS(DONNEES_N1_NOUVEAU[MONTANT],DONNEES_N1_NOUVEAU[TL2],A38,DONNEES_N1_NOUVEAU[MOIS],DONNÉES!$C$5,DONNEES_N1_NOUVEAU[SOCIETE],"TURVILLA")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TURVILLA'!$G:$G,'BAL N TURVILLA'!$I:$I,$A39,'BAL N TURVILLA'!$J:$J,"T")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SUMIFS(DONNEES_N1_NOUVEAU[MONTANT],DONNEES_N1_NOUVEAU[TL2],A39,DONNEES_N1_NOUVEAU[MOIS],DONNÉES!$C$5,DONNEES_N1_NOUVEAU[SOCIETE],"TURVILLA")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TURVILLA'!$G:$G,'BAL N TURVILLA'!$I:$I,$A40,'BAL N TURVILLA'!$J:$J,"T")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SUMIFS(DONNEES_N1_NOUVEAU[MONTANT],DONNEES_N1_NOUVEAU[TL2],A40,DONNEES_N1_NOUVEAU[MOIS],DONNÉES!$C$5,DONNEES_N1_NOUVEAU[SOCIETE],"TURVILLA")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TURVILLA'!$G:$G,'BAL N TURVILLA'!$I:$I,$A41,'BAL N TURVILLA'!$J:$J,"T")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SUMIFS(DONNEES_N1_NOUVEAU[MONTANT],DONNEES_N1_NOUVEAU[TL2],A41,DONNEES_N1_NOUVEAU[MOIS],DONNÉES!$C$5,DONNEES_N1_NOUVEAU[SOCIETE],"TURVILLA")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TURVILLA'!$G:$G,'BAL N TURVILLA'!$I:$I,$A46,'BAL N TURVILLA'!$J:$J,"T")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SUMIFS(DONNEES_N1_NOUVEAU[MONTANT],DONNEES_N1_NOUVEAU[TL2],A46,DONNEES_N1_NOUVEAU[MOIS],DONNÉES!$C$5,DONNEES_N1_NOUVEAU[SOCIETE],"TURVILLA")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TURVILLA'!$G:$G,'BAL N TURVILLA'!$I:$I,$A47,'BAL N TURVILLA'!$J:$J,"T")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SUMIFS(DONNEES_N1_NOUVEAU[MONTANT],DONNEES_N1_NOUVEAU[TL2],A47,DONNEES_N1_NOUVEAU[MOIS],DONNÉES!$C$5,DONNEES_N1_NOUVEAU[SOCIETE],"TURVILLA")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TURVILLA'!$G:$G,'BAL N TURVILLA'!$I:$I,$A48,'BAL N TURVILLA'!$J:$J,"T")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SUMIFS(DONNEES_N1_NOUVEAU[MONTANT],DONNEES_N1_NOUVEAU[TL2],A48,DONNEES_N1_NOUVEAU[MOIS],DONNÉES!$C$5,DONNEES_N1_NOUVEAU[SOCIETE],"TURVILLA")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TURVILLA'!$G:$G,'BAL N TURVILLA'!$I:$I,$A51,'BAL N TURVILLA'!$J:$J,"T")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SUMIFS(DONNEES_N1_NOUVEAU[MONTANT],DONNEES_N1_NOUVEAU[TL2],A51,DONNEES_N1_NOUVEAU[MOIS],DONNÉES!$C$5,DONNEES_N1_NOUVEAU[SOCIETE],"TURVILLA")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TURVILLA'!$G:$G,'BAL N TURVILLA'!$I:$I,$A52,'BAL N TURVILLA'!$J:$J,"T")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SUMIFS(DONNEES_N1_NOUVEAU[MONTANT],DONNEES_N1_NOUVEAU[TL2],A52,DONNEES_N1_NOUVEAU[MOIS],DONNÉES!$C$5,DONNEES_N1_NOUVEAU[SOCIETE],"TURVILLA")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TURVILLA'!$G:$G,'BAL N TURVILLA'!$I:$I,$A53,'BAL N TURVILLA'!$J:$J,"T")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SUMIFS(DONNEES_N1_NOUVEAU[MONTANT],DONNEES_N1_NOUVEAU[TL2],A53,DONNEES_N1_NOUVEAU[MOIS],DONNÉES!$C$5,DONNEES_N1_NOUVEAU[SOCIETE],"TURVILLA")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TURVILLA'!$G:$G,'BAL N TURVILLA'!$I:$I,$A54,'BAL N TURVILLA'!$J:$J,"T")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SUMIFS(DONNEES_N1_NOUVEAU[MONTANT],DONNEES_N1_NOUVEAU[TL2],A54,DONNEES_N1_NOUVEAU[MOIS],DONNÉES!$C$5,DONNEES_N1_NOUVEAU[SOCIETE],"TURVILLA")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TURVILLA'!$G:$G,'BAL N TURVILLA'!$I:$I,$A55,'BAL N TURVILLA'!$J:$J,"T")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SUMIFS(DONNEES_N1_NOUVEAU[MONTANT],DONNEES_N1_NOUVEAU[TL2],A55,DONNEES_N1_NOUVEAU[MOIS],DONNÉES!$C$5,DONNEES_N1_NOUVEAU[SOCIETE],"TURVILLA")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TURVILLA'!$G:$G,'BAL N TURVILLA'!$I:$I,$A56,'BAL N TURVILLA'!$J:$J,"T")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SUMIFS(DONNEES_N1_NOUVEAU[MONTANT],DONNEES_N1_NOUVEAU[TL2],A56,DONNEES_N1_NOUVEAU[MOIS],DONNÉES!$C$5,DONNEES_N1_NOUVEAU[SOCIETE],"TURVILLA")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TURVILLA'!$G:$G,'BAL N TURVILLA'!$I:$I,$A57,'BAL N TURVILLA'!$J:$J,"T")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SUMIFS(DONNEES_N1_NOUVEAU[MONTANT],DONNEES_N1_NOUVEAU[TL2],A57,DONNEES_N1_NOUVEAU[MOIS],DONNÉES!$C$5,DONNEES_N1_NOUVEAU[SOCIETE],"TURVILLA")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TURVILLA'!$G:$G,'BAL N TURVILLA'!$I:$I,$A58,'BAL N TURVILLA'!$J:$J,"T")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SUMIFS(DONNEES_N1_NOUVEAU[MONTANT],DONNEES_N1_NOUVEAU[TL2],A58,DONNEES_N1_NOUVEAU[MOIS],DONNÉES!$C$5,DONNEES_N1_NOUVEAU[SOCIETE],"TURVILLA")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TURVILLA'!$G:$G,'BAL N TURVILLA'!$I:$I,$A63,'BAL N TURVILLA'!$J:$J,"T")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-SUMIFS(DONNEES_N1_NOUVEAU[MONTANT],DONNEES_N1_NOUVEAU[TL2],A63,DONNEES_N1_NOUVEAU[MOIS],DONNÉES!$C$5,DONNEES_N1_NOUVEAU[SOCIETE],"TURVILLA")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TURVILLA'!$G:$G,'BAL N TURVILLA'!$I:$I,$A64,'BAL N TURVILLA'!$J:$J,"T")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SUMIFS(DONNEES_N1_NOUVEAU[MONTANT],DONNEES_N1_NOUVEAU[TL2],A64,DONNEES_N1_NOUVEAU[MOIS],DONNÉES!$C$5,DONNEES_N1_NOUVEAU[SOCIETE],"TURVILLA")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TURVILLA'!$G:$G,'BAL N TURVILLA'!$I:$I,$A67,'BAL N TURVILLA'!$J:$J,"T")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-SUMIFS(DONNEES_N1_NOUVEAU[MONTANT],DONNEES_N1_NOUVEAU[TL2],A67,DONNEES_N1_NOUVEAU[MOIS],DONNÉES!$C$5,DONNEES_N1_NOUVEAU[SOCIETE],"TURVILLA")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TURVILLA'!$G:$G,'BAL N TURVILLA'!$I:$I,$A72,'BAL N TURVILLA'!$J:$J,"T")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-SUMIFS(DONNEES_N1_NOUVEAU[MONTANT],DONNEES_N1_NOUVEAU[TL2],A72,DONNEES_N1_NOUVEAU[MOIS],DONNÉES!$C$5,DONNEES_N1_NOUVEAU[SOCIETE],"TURVILLA")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TURVILLA'!$G:$G,'BAL N TURVILLA'!$I:$I,$A74,'BAL N TURVILLA'!$J:$J,"T")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SUMIFS(DONNEES_N1_NOUVEAU[MONTANT],DONNEES_N1_NOUVEAU[TL2],A74,DONNEES_N1_NOUVEAU[MOIS],DONNÉES!$C$5,DONNEES_N1_NOUVEAU[SOCIETE],"TURVILLA")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VLOOKUP(PARAMETRES!$C$2,TRANSTURV[],2,FALSE)</f>
        <v/>
      </c>
      <c r="D78" s="450" t="n"/>
      <c r="E78" s="449">
        <f>VLOOKUP(PARAMETRES!$C$2,TRANSTURV[],3,FALSE)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VLOOKUP(PARAMETRES!$C$2,PMTURV[],2,FALSE)</f>
        <v/>
      </c>
      <c r="D80" s="450" t="n"/>
      <c r="E80" s="453">
        <f>VLOOKUP(PARAMETRES!$C$2,PMTURV[],3,FALSE)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46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topLeftCell="A25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47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HART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HART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HART'!$G:$G,'BAL N HART'!$I:$I,$A8,'BAL N HART'!$J:$J,"T")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-SUMIFS(DONNEES_N1_NOUVEAU[MONTANT],DONNEES_N1_NOUVEAU[TL2],A8,DONNEES_N1_NOUVEAU[MOIS],DONNÉES!$C$5,DONNEES_N1_NOUVEAU[SOCIETE],"HART")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HART'!$G:$G,'BAL N HART'!$I:$I,$A10,'BAL N HART'!$J:$J,"T")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SUMIFS(DONNEES_N1_NOUVEAU[MONTANT],DONNEES_N1_NOUVEAU[TL2],A10,DONNEES_N1_NOUVEAU[MOIS],DONNÉES!$C$5,DONNEES_N1_NOUVEAU[SOCIETE],"HART")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HART'!$G:$G,'BAL N HART'!$I:$I,$A11,'BAL N HART'!$J:$J,"T")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SUMIFS(DONNEES_N1_NOUVEAU[MONTANT],DONNEES_N1_NOUVEAU[TL2],A11,DONNEES_N1_NOUVEAU[MOIS],DONNÉES!$C$5,DONNEES_N1_NOUVEAU[SOCIETE],"HART")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HART'!$G:$G,'BAL N HART'!$I:$I,$A12,'BAL N HART'!$J:$J,"T")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SUMIFS(DONNEES_N1_NOUVEAU[MONTANT],DONNEES_N1_NOUVEAU[TL2],A12,DONNEES_N1_NOUVEAU[MOIS],DONNÉES!$C$5,DONNEES_N1_NOUVEAU[SOCIETE],"HART")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HART'!$G:$G,'BAL N HART'!$I:$I,$A14,'BAL N HART'!$J:$J,"T")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SUMIFS(DONNEES_N1_NOUVEAU[MONTANT],DONNEES_N1_NOUVEAU[TL2],A14,DONNEES_N1_NOUVEAU[MOIS],DONNÉES!$C$5,DONNEES_N1_NOUVEAU[SOCIETE],"HART")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HART'!$G:$G,'BAL N HART'!$I:$I,$A15,'BAL N HART'!$J:$J,"T")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SUMIFS(DONNEES_N1_NOUVEAU[MONTANT],DONNEES_N1_NOUVEAU[TL2],A15,DONNEES_N1_NOUVEAU[MOIS],DONNÉES!$C$5,DONNEES_N1_NOUVEAU[SOCIETE],"HART")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HART'!$G:$G,'BAL N HART'!$I:$I,$A20,'BAL N HART'!$J:$J,"T")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SUMIFS(DONNEES_N1_NOUVEAU[MONTANT],DONNEES_N1_NOUVEAU[TL2],A20,DONNEES_N1_NOUVEAU[MOIS],DONNÉES!$C$5,DONNEES_N1_NOUVEAU[SOCIETE],"HART")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HART'!$G:$G,'BAL N HART'!$I:$I,$A21,'BAL N HART'!$J:$J,"T")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SUMIFS(DONNEES_N1_NOUVEAU[MONTANT],DONNEES_N1_NOUVEAU[TL2],A21,DONNEES_N1_NOUVEAU[MOIS],DONNÉES!$C$5,DONNEES_N1_NOUVEAU[SOCIETE],"HART")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HART'!$G:$G,'BAL N HART'!$I:$I,$A22,'BAL N HART'!$J:$J,"T")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SUMIFS(DONNEES_N1_NOUVEAU[MONTANT],DONNEES_N1_NOUVEAU[TL2],A22,DONNEES_N1_NOUVEAU[MOIS],DONNÉES!$C$5,DONNEES_N1_NOUVEAU[SOCIETE],"HART")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HART'!$G:$G,'BAL N HART'!$I:$I,$A23,'BAL N HART'!$J:$J,"T")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SUMIFS(DONNEES_N1_NOUVEAU[MONTANT],DONNEES_N1_NOUVEAU[TL2],A23,DONNEES_N1_NOUVEAU[MOIS],DONNÉES!$C$5,DONNEES_N1_NOUVEAU[SOCIETE],"HART")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HART'!$G:$G,'BAL N HART'!$I:$I,$A24,'BAL N HART'!$J:$J,"T")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SUMIFS(DONNEES_N1_NOUVEAU[MONTANT],DONNEES_N1_NOUVEAU[TL2],A24,DONNEES_N1_NOUVEAU[MOIS],DONNÉES!$C$5,DONNEES_N1_NOUVEAU[SOCIETE],"HART")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HART'!$G:$G,'BAL N HART'!$I:$I,$A25,'BAL N HART'!$J:$J,"T")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SUMIFS(DONNEES_N1_NOUVEAU[MONTANT],DONNEES_N1_NOUVEAU[TL2],A25,DONNEES_N1_NOUVEAU[MOIS],DONNÉES!$C$5,DONNEES_N1_NOUVEAU[SOCIETE],"HART")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HART'!$G:$G,'BAL N HART'!$I:$I,$A28,'BAL N HART'!$J:$J,"T")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SUMIFS(DONNEES_N1_NOUVEAU[MONTANT],DONNEES_N1_NOUVEAU[TL2],A28,DONNEES_N1_NOUVEAU[MOIS],DONNÉES!$C$5,DONNEES_N1_NOUVEAU[SOCIETE],"HART")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HART'!$G:$G,'BAL N HART'!$I:$I,$A29,'BAL N HART'!$J:$J,"T")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SUMIFS(DONNEES_N1_NOUVEAU[MONTANT],DONNEES_N1_NOUVEAU[TL2],A29,DONNEES_N1_NOUVEAU[MOIS],DONNÉES!$C$5,DONNEES_N1_NOUVEAU[SOCIETE],"HART")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HART'!$G:$G,'BAL N HART'!$I:$I,$A30,'BAL N HART'!$J:$J,"T")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SUMIFS(DONNEES_N1_NOUVEAU[MONTANT],DONNEES_N1_NOUVEAU[TL2],A30,DONNEES_N1_NOUVEAU[MOIS],DONNÉES!$C$5,DONNEES_N1_NOUVEAU[SOCIETE],"HART")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HART'!$G:$G,'BAL N HART'!$I:$I,$A31,'BAL N HART'!$J:$J,"T")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SUMIFS(DONNEES_N1_NOUVEAU[MONTANT],DONNEES_N1_NOUVEAU[TL2],A31,DONNEES_N1_NOUVEAU[MOIS],DONNÉES!$C$5,DONNEES_N1_NOUVEAU[SOCIETE],"HART")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HART'!$G:$G,'BAL N HART'!$I:$I,$A32,'BAL N HART'!$J:$J,"T")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SUMIFS(DONNEES_N1_NOUVEAU[MONTANT],DONNEES_N1_NOUVEAU[TL2],A32,DONNEES_N1_NOUVEAU[MOIS],DONNÉES!$C$5,DONNEES_N1_NOUVEAU[SOCIETE],"HART")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HART'!$G:$G,'BAL N HART'!$I:$I,$A35,'BAL N HART'!$J:$J,"T")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SUMIFS(DONNEES_N1_NOUVEAU[MONTANT],DONNEES_N1_NOUVEAU[TL2],A35,DONNEES_N1_NOUVEAU[MOIS],DONNÉES!$C$5,DONNEES_N1_NOUVEAU[SOCIETE],"HART")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HART'!$G:$G,'BAL N HART'!$I:$I,$A36,'BAL N HART'!$J:$J,"T")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SUMIFS(DONNEES_N1_NOUVEAU[MONTANT],DONNEES_N1_NOUVEAU[TL2],A36,DONNEES_N1_NOUVEAU[MOIS],DONNÉES!$C$5,DONNEES_N1_NOUVEAU[SOCIETE],"HART")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HART'!$G:$G,'BAL N HART'!$I:$I,$A37,'BAL N HART'!$J:$J,"T")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SUMIFS(DONNEES_N1_NOUVEAU[MONTANT],DONNEES_N1_NOUVEAU[TL2],A37,DONNEES_N1_NOUVEAU[MOIS],DONNÉES!$C$5,DONNEES_N1_NOUVEAU[SOCIETE],"HART")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HART'!$G:$G,'BAL N HART'!$I:$I,$A38,'BAL N HART'!$J:$J,"T")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SUMIFS(DONNEES_N1_NOUVEAU[MONTANT],DONNEES_N1_NOUVEAU[TL2],A38,DONNEES_N1_NOUVEAU[MOIS],DONNÉES!$C$5,DONNEES_N1_NOUVEAU[SOCIETE],"HART")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HART'!$G:$G,'BAL N HART'!$I:$I,$A39,'BAL N HART'!$J:$J,"T")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SUMIFS(DONNEES_N1_NOUVEAU[MONTANT],DONNEES_N1_NOUVEAU[TL2],A39,DONNEES_N1_NOUVEAU[MOIS],DONNÉES!$C$5,DONNEES_N1_NOUVEAU[SOCIETE],"HART")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HART'!$G:$G,'BAL N HART'!$I:$I,$A40,'BAL N HART'!$J:$J,"T")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SUMIFS(DONNEES_N1_NOUVEAU[MONTANT],DONNEES_N1_NOUVEAU[TL2],A40,DONNEES_N1_NOUVEAU[MOIS],DONNÉES!$C$5,DONNEES_N1_NOUVEAU[SOCIETE],"HART")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HART'!$G:$G,'BAL N HART'!$I:$I,$A41,'BAL N HART'!$J:$J,"T")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SUMIFS(DONNEES_N1_NOUVEAU[MONTANT],DONNEES_N1_NOUVEAU[TL2],A41,DONNEES_N1_NOUVEAU[MOIS],DONNÉES!$C$5,DONNEES_N1_NOUVEAU[SOCIETE],"HART")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HART'!$G:$G,'BAL N HART'!$I:$I,$A46,'BAL N HART'!$J:$J,"T")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SUMIFS(DONNEES_N1_NOUVEAU[MONTANT],DONNEES_N1_NOUVEAU[TL2],A46,DONNEES_N1_NOUVEAU[MOIS],DONNÉES!$C$5,DONNEES_N1_NOUVEAU[SOCIETE],"HART")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HART'!$G:$G,'BAL N HART'!$I:$I,$A47,'BAL N HART'!$J:$J,"T")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SUMIFS(DONNEES_N1_NOUVEAU[MONTANT],DONNEES_N1_NOUVEAU[TL2],A47,DONNEES_N1_NOUVEAU[MOIS],DONNÉES!$C$5,DONNEES_N1_NOUVEAU[SOCIETE],"HART")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HART'!$G:$G,'BAL N HART'!$I:$I,$A48,'BAL N HART'!$J:$J,"T")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SUMIFS(DONNEES_N1_NOUVEAU[MONTANT],DONNEES_N1_NOUVEAU[TL2],A48,DONNEES_N1_NOUVEAU[MOIS],DONNÉES!$C$5,DONNEES_N1_NOUVEAU[SOCIETE],"HART")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HART'!$G:$G,'BAL N HART'!$I:$I,$A51,'BAL N HART'!$J:$J,"T")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SUMIFS(DONNEES_N1_NOUVEAU[MONTANT],DONNEES_N1_NOUVEAU[TL2],A51,DONNEES_N1_NOUVEAU[MOIS],DONNÉES!$C$5,DONNEES_N1_NOUVEAU[SOCIETE],"HART")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HART'!$G:$G,'BAL N HART'!$I:$I,$A52,'BAL N HART'!$J:$J,"T")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SUMIFS(DONNEES_N1_NOUVEAU[MONTANT],DONNEES_N1_NOUVEAU[TL2],A52,DONNEES_N1_NOUVEAU[MOIS],DONNÉES!$C$5,DONNEES_N1_NOUVEAU[SOCIETE],"HART")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HART'!$G:$G,'BAL N HART'!$I:$I,$A53,'BAL N HART'!$J:$J,"T")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SUMIFS(DONNEES_N1_NOUVEAU[MONTANT],DONNEES_N1_NOUVEAU[TL2],A53,DONNEES_N1_NOUVEAU[MOIS],DONNÉES!$C$5,DONNEES_N1_NOUVEAU[SOCIETE],"HART")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HART'!$G:$G,'BAL N HART'!$I:$I,$A54,'BAL N HART'!$J:$J,"T")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SUMIFS(DONNEES_N1_NOUVEAU[MONTANT],DONNEES_N1_NOUVEAU[TL2],A54,DONNEES_N1_NOUVEAU[MOIS],DONNÉES!$C$5,DONNEES_N1_NOUVEAU[SOCIETE],"HART")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HART'!$G:$G,'BAL N HART'!$I:$I,$A55,'BAL N HART'!$J:$J,"T")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SUMIFS(DONNEES_N1_NOUVEAU[MONTANT],DONNEES_N1_NOUVEAU[TL2],A55,DONNEES_N1_NOUVEAU[MOIS],DONNÉES!$C$5,DONNEES_N1_NOUVEAU[SOCIETE],"HART")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HART'!$G:$G,'BAL N HART'!$I:$I,$A56,'BAL N HART'!$J:$J,"T")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SUMIFS(DONNEES_N1_NOUVEAU[MONTANT],DONNEES_N1_NOUVEAU[TL2],A56,DONNEES_N1_NOUVEAU[MOIS],DONNÉES!$C$5,DONNEES_N1_NOUVEAU[SOCIETE],"HART")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HART'!$G:$G,'BAL N HART'!$I:$I,$A57,'BAL N HART'!$J:$J,"T")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SUMIFS(DONNEES_N1_NOUVEAU[MONTANT],DONNEES_N1_NOUVEAU[TL2],A57,DONNEES_N1_NOUVEAU[MOIS],DONNÉES!$C$5,DONNEES_N1_NOUVEAU[SOCIETE],"HART")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HART'!$G:$G,'BAL N HART'!$I:$I,$A58,'BAL N HART'!$J:$J,"T")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SUMIFS(DONNEES_N1_NOUVEAU[MONTANT],DONNEES_N1_NOUVEAU[TL2],A58,DONNEES_N1_NOUVEAU[MOIS],DONNÉES!$C$5,DONNEES_N1_NOUVEAU[SOCIETE],"HART")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HART'!$G:$G,'BAL N HART'!$I:$I,$A63,'BAL N HART'!$J:$J,"T")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-SUMIFS(DONNEES_N1_NOUVEAU[MONTANT],DONNEES_N1_NOUVEAU[TL2],A63,DONNEES_N1_NOUVEAU[MOIS],DONNÉES!$C$5,DONNEES_N1_NOUVEAU[SOCIETE],"HART")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HART'!$G:$G,'BAL N HART'!$I:$I,$A64,'BAL N HART'!$J:$J,"T")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SUMIFS(DONNEES_N1_NOUVEAU[MONTANT],DONNEES_N1_NOUVEAU[TL2],A64,DONNEES_N1_NOUVEAU[MOIS],DONNÉES!$C$5,DONNEES_N1_NOUVEAU[SOCIETE],"HART")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HART'!$G:$G,'BAL N HART'!$I:$I,$A67,'BAL N HART'!$J:$J,"T")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-SUMIFS(DONNEES_N1_NOUVEAU[MONTANT],DONNEES_N1_NOUVEAU[TL2],A67,DONNEES_N1_NOUVEAU[MOIS],DONNÉES!$C$5,DONNEES_N1_NOUVEAU[SOCIETE],"HART")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HART'!$G:$G,'BAL N HART'!$I:$I,$A72,'BAL N HART'!$J:$J,"T")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-SUMIFS(DONNEES_N1_NOUVEAU[MONTANT],DONNEES_N1_NOUVEAU[TL2],A72,DONNEES_N1_NOUVEAU[MOIS],DONNÉES!$C$5,DONNEES_N1_NOUVEAU[SOCIETE],"HART")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HART'!$G:$G,'BAL N HART'!$I:$I,$A74,'BAL N HART'!$J:$J,"T")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SUMIFS(DONNEES_N1_NOUVEAU[MONTANT],DONNEES_N1_NOUVEAU[TL2],A74,DONNEES_N1_NOUVEAU[MOIS],DONNÉES!$C$5,DONNEES_N1_NOUVEAU[SOCIETE],"HART")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VLOOKUP(PARAMETRES!$C$2,TRANSHART[],2,FALSE)</f>
        <v/>
      </c>
      <c r="D78" s="450" t="n"/>
      <c r="E78" s="449">
        <f>VLOOKUP(PARAMETRES!$C$2,TRANSHART[],3,FALSE)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VLOOKUP(PARAMETRES!$C$2,PMHART[],2,FALSE)</f>
        <v/>
      </c>
      <c r="D80" s="450" t="n"/>
      <c r="E80" s="453">
        <f>VLOOKUP(PARAMETRES!$C$2,PMHART[],3,FALSE)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48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topLeftCell="A4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3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VICTOIRE'S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VICTOIRE'S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VICTOIRE'!$G:$G,'BAL N VICTOIRE'!$I:$I,$A8,'BAL N VICTOIRE'!$J:$J,"T")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-SUMIFS(DONNEES_N1_NOUVEAU[MONTANT],DONNEES_N1_NOUVEAU[TL2],A8,DONNEES_N1_NOUVEAU[MOIS],DONNÉES!$C$5,DONNEES_N1_NOUVEAU[SOCIETE],"VICTOIRE")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VICTOIRE'!$G:$G,'BAL N VICTOIRE'!$I:$I,$A10,'BAL N VICTOIRE'!$J:$J,"T")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SUMIFS(DONNEES_N1_NOUVEAU[MONTANT],DONNEES_N1_NOUVEAU[TL2],A10,DONNEES_N1_NOUVEAU[MOIS],DONNÉES!$C$5,DONNEES_N1_NOUVEAU[SOCIETE],"VICTOIRE")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VICTOIRE'!$G:$G,'BAL N VICTOIRE'!$I:$I,$A11,'BAL N VICTOIRE'!$J:$J,"T")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SUMIFS(DONNEES_N1_NOUVEAU[MONTANT],DONNEES_N1_NOUVEAU[TL2],A11,DONNEES_N1_NOUVEAU[MOIS],DONNÉES!$C$5,DONNEES_N1_NOUVEAU[SOCIETE],"VICTOIRE")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VICTOIRE'!$G:$G,'BAL N VICTOIRE'!$I:$I,$A12,'BAL N VICTOIRE'!$J:$J,"T")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SUMIFS(DONNEES_N1_NOUVEAU[MONTANT],DONNEES_N1_NOUVEAU[TL2],A12,DONNEES_N1_NOUVEAU[MOIS],DONNÉES!$C$5,DONNEES_N1_NOUVEAU[SOCIETE],"VICTOIRE")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VICTOIRE'!$G:$G,'BAL N VICTOIRE'!$I:$I,$A14,'BAL N VICTOIRE'!$J:$J,"T")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SUMIFS(DONNEES_N1_NOUVEAU[MONTANT],DONNEES_N1_NOUVEAU[TL2],A14,DONNEES_N1_NOUVEAU[MOIS],DONNÉES!$C$5,DONNEES_N1_NOUVEAU[SOCIETE],"VICTOIRE")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VICTOIRE'!$G:$G,'BAL N VICTOIRE'!$I:$I,$A15,'BAL N VICTOIRE'!$J:$J,"T")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SUMIFS(DONNEES_N1_NOUVEAU[MONTANT],DONNEES_N1_NOUVEAU[TL2],A15,DONNEES_N1_NOUVEAU[MOIS],DONNÉES!$C$5,DONNEES_N1_NOUVEAU[SOCIETE],"VICTOIRE")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VICTOIRE'!$G:$G,'BAL N VICTOIRE'!$I:$I,$A20,'BAL N VICTOIRE'!$J:$J,"T")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SUMIFS(DONNEES_N1_NOUVEAU[MONTANT],DONNEES_N1_NOUVEAU[TL2],A20,DONNEES_N1_NOUVEAU[MOIS],DONNÉES!$C$5,DONNEES_N1_NOUVEAU[SOCIETE],"VICTOIRE")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VICTOIRE'!$G:$G,'BAL N VICTOIRE'!$I:$I,$A21,'BAL N VICTOIRE'!$J:$J,"T")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SUMIFS(DONNEES_N1_NOUVEAU[MONTANT],DONNEES_N1_NOUVEAU[TL2],A21,DONNEES_N1_NOUVEAU[MOIS],DONNÉES!$C$5,DONNEES_N1_NOUVEAU[SOCIETE],"VICTOIRE")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VICTOIRE'!$G:$G,'BAL N VICTOIRE'!$I:$I,$A22,'BAL N VICTOIRE'!$J:$J,"T")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SUMIFS(DONNEES_N1_NOUVEAU[MONTANT],DONNEES_N1_NOUVEAU[TL2],A22,DONNEES_N1_NOUVEAU[MOIS],DONNÉES!$C$5,DONNEES_N1_NOUVEAU[SOCIETE],"VICTOIRE")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VICTOIRE'!$G:$G,'BAL N VICTOIRE'!$I:$I,$A23,'BAL N VICTOIRE'!$J:$J,"T")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SUMIFS(DONNEES_N1_NOUVEAU[MONTANT],DONNEES_N1_NOUVEAU[TL2],A23,DONNEES_N1_NOUVEAU[MOIS],DONNÉES!$C$5,DONNEES_N1_NOUVEAU[SOCIETE],"VICTOIRE")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VICTOIRE'!$G:$G,'BAL N VICTOIRE'!$I:$I,$A24,'BAL N VICTOIRE'!$J:$J,"T")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SUMIFS(DONNEES_N1_NOUVEAU[MONTANT],DONNEES_N1_NOUVEAU[TL2],A24,DONNEES_N1_NOUVEAU[MOIS],DONNÉES!$C$5,DONNEES_N1_NOUVEAU[SOCIETE],"VICTOIRE")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VICTOIRE'!$G:$G,'BAL N VICTOIRE'!$I:$I,$A25,'BAL N VICTOIRE'!$J:$J,"T")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SUMIFS(DONNEES_N1_NOUVEAU[MONTANT],DONNEES_N1_NOUVEAU[TL2],A25,DONNEES_N1_NOUVEAU[MOIS],DONNÉES!$C$5,DONNEES_N1_NOUVEAU[SOCIETE],"VICTOIRE")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VICTOIRE'!$G:$G,'BAL N VICTOIRE'!$I:$I,$A28,'BAL N VICTOIRE'!$J:$J,"T")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SUMIFS(DONNEES_N1_NOUVEAU[MONTANT],DONNEES_N1_NOUVEAU[TL2],A28,DONNEES_N1_NOUVEAU[MOIS],DONNÉES!$C$5,DONNEES_N1_NOUVEAU[SOCIETE],"VICTOIRE")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VICTOIRE'!$G:$G,'BAL N VICTOIRE'!$I:$I,$A29,'BAL N VICTOIRE'!$J:$J,"T")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SUMIFS(DONNEES_N1_NOUVEAU[MONTANT],DONNEES_N1_NOUVEAU[TL2],A29,DONNEES_N1_NOUVEAU[MOIS],DONNÉES!$C$5,DONNEES_N1_NOUVEAU[SOCIETE],"VICTOIRE")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VICTOIRE'!$G:$G,'BAL N VICTOIRE'!$I:$I,$A30,'BAL N VICTOIRE'!$J:$J,"T")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SUMIFS(DONNEES_N1_NOUVEAU[MONTANT],DONNEES_N1_NOUVEAU[TL2],A30,DONNEES_N1_NOUVEAU[MOIS],DONNÉES!$C$5,DONNEES_N1_NOUVEAU[SOCIETE],"VICTOIRE")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VICTOIRE'!$G:$G,'BAL N VICTOIRE'!$I:$I,$A31,'BAL N VICTOIRE'!$J:$J,"T")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SUMIFS(DONNEES_N1_NOUVEAU[MONTANT],DONNEES_N1_NOUVEAU[TL2],A31,DONNEES_N1_NOUVEAU[MOIS],DONNÉES!$C$5,DONNEES_N1_NOUVEAU[SOCIETE],"VICTOIRE")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VICTOIRE'!$G:$G,'BAL N VICTOIRE'!$I:$I,$A32,'BAL N VICTOIRE'!$J:$J,"T")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SUMIFS(DONNEES_N1_NOUVEAU[MONTANT],DONNEES_N1_NOUVEAU[TL2],A32,DONNEES_N1_NOUVEAU[MOIS],DONNÉES!$C$5,DONNEES_N1_NOUVEAU[SOCIETE],"VICTOIRE")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VICTOIRE'!$G:$G,'BAL N VICTOIRE'!$I:$I,$A35,'BAL N VICTOIRE'!$J:$J,"T")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SUMIFS(DONNEES_N1_NOUVEAU[MONTANT],DONNEES_N1_NOUVEAU[TL2],A35,DONNEES_N1_NOUVEAU[MOIS],DONNÉES!$C$5,DONNEES_N1_NOUVEAU[SOCIETE],"VICTOIRE")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VICTOIRE'!$G:$G,'BAL N VICTOIRE'!$I:$I,$A36,'BAL N VICTOIRE'!$J:$J,"T")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SUMIFS(DONNEES_N1_NOUVEAU[MONTANT],DONNEES_N1_NOUVEAU[TL2],A36,DONNEES_N1_NOUVEAU[MOIS],DONNÉES!$C$5,DONNEES_N1_NOUVEAU[SOCIETE],"VICTOIRE")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VICTOIRE'!$G:$G,'BAL N VICTOIRE'!$I:$I,$A37,'BAL N VICTOIRE'!$J:$J,"T")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SUMIFS(DONNEES_N1_NOUVEAU[MONTANT],DONNEES_N1_NOUVEAU[TL2],A37,DONNEES_N1_NOUVEAU[MOIS],DONNÉES!$C$5,DONNEES_N1_NOUVEAU[SOCIETE],"VICTOIRE")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VICTOIRE'!$G:$G,'BAL N VICTOIRE'!$I:$I,$A38,'BAL N VICTOIRE'!$J:$J,"T")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SUMIFS(DONNEES_N1_NOUVEAU[MONTANT],DONNEES_N1_NOUVEAU[TL2],A38,DONNEES_N1_NOUVEAU[MOIS],DONNÉES!$C$5,DONNEES_N1_NOUVEAU[SOCIETE],"VICTOIRE")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VICTOIRE'!$G:$G,'BAL N VICTOIRE'!$I:$I,$A39,'BAL N VICTOIRE'!$J:$J,"T")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SUMIFS(DONNEES_N1_NOUVEAU[MONTANT],DONNEES_N1_NOUVEAU[TL2],A39,DONNEES_N1_NOUVEAU[MOIS],DONNÉES!$C$5,DONNEES_N1_NOUVEAU[SOCIETE],"VICTOIRE")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VICTOIRE'!$G:$G,'BAL N VICTOIRE'!$I:$I,$A40,'BAL N VICTOIRE'!$J:$J,"T")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SUMIFS(DONNEES_N1_NOUVEAU[MONTANT],DONNEES_N1_NOUVEAU[TL2],A40,DONNEES_N1_NOUVEAU[MOIS],DONNÉES!$C$5,DONNEES_N1_NOUVEAU[SOCIETE],"VICTOIRE")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VICTOIRE'!$G:$G,'BAL N VICTOIRE'!$I:$I,$A41,'BAL N VICTOIRE'!$J:$J,"T")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SUMIFS(DONNEES_N1_NOUVEAU[MONTANT],DONNEES_N1_NOUVEAU[TL2],A41,DONNEES_N1_NOUVEAU[MOIS],DONNÉES!$C$5,DONNEES_N1_NOUVEAU[SOCIETE],"VICTOIRE")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VICTOIRE'!$G:$G,'BAL N VICTOIRE'!$I:$I,$A46,'BAL N VICTOIRE'!$J:$J,"T")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SUMIFS(DONNEES_N1_NOUVEAU[MONTANT],DONNEES_N1_NOUVEAU[TL2],A46,DONNEES_N1_NOUVEAU[MOIS],DONNÉES!$C$5,DONNEES_N1_NOUVEAU[SOCIETE],"VICTOIRE")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VICTOIRE'!$G:$G,'BAL N VICTOIRE'!$I:$I,$A47,'BAL N VICTOIRE'!$J:$J,"T")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SUMIFS(DONNEES_N1_NOUVEAU[MONTANT],DONNEES_N1_NOUVEAU[TL2],A47,DONNEES_N1_NOUVEAU[MOIS],DONNÉES!$C$5,DONNEES_N1_NOUVEAU[SOCIETE],"VICTOIRE")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VICTOIRE'!$G:$G,'BAL N VICTOIRE'!$I:$I,$A48,'BAL N VICTOIRE'!$J:$J,"T")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SUMIFS(DONNEES_N1_NOUVEAU[MONTANT],DONNEES_N1_NOUVEAU[TL2],A48,DONNEES_N1_NOUVEAU[MOIS],DONNÉES!$C$5,DONNEES_N1_NOUVEAU[SOCIETE],"VICTOIRE")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VICTOIRE'!$G:$G,'BAL N VICTOIRE'!$I:$I,$A51,'BAL N VICTOIRE'!$J:$J,"T")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SUMIFS(DONNEES_N1_NOUVEAU[MONTANT],DONNEES_N1_NOUVEAU[TL2],A51,DONNEES_N1_NOUVEAU[MOIS],DONNÉES!$C$5,DONNEES_N1_NOUVEAU[SOCIETE],"VICTOIRE")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VICTOIRE'!$G:$G,'BAL N VICTOIRE'!$I:$I,$A52,'BAL N VICTOIRE'!$J:$J,"T")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SUMIFS(DONNEES_N1_NOUVEAU[MONTANT],DONNEES_N1_NOUVEAU[TL2],A52,DONNEES_N1_NOUVEAU[MOIS],DONNÉES!$C$5,DONNEES_N1_NOUVEAU[SOCIETE],"VICTOIRE")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VICTOIRE'!$G:$G,'BAL N VICTOIRE'!$I:$I,$A53,'BAL N VICTOIRE'!$J:$J,"T")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SUMIFS(DONNEES_N1_NOUVEAU[MONTANT],DONNEES_N1_NOUVEAU[TL2],A53,DONNEES_N1_NOUVEAU[MOIS],DONNÉES!$C$5,DONNEES_N1_NOUVEAU[SOCIETE],"VICTOIRE")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VICTOIRE'!$G:$G,'BAL N VICTOIRE'!$I:$I,$A54,'BAL N VICTOIRE'!$J:$J,"T")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SUMIFS(DONNEES_N1_NOUVEAU[MONTANT],DONNEES_N1_NOUVEAU[TL2],A54,DONNEES_N1_NOUVEAU[MOIS],DONNÉES!$C$5,DONNEES_N1_NOUVEAU[SOCIETE],"VICTOIRE")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VICTOIRE'!$G:$G,'BAL N VICTOIRE'!$I:$I,$A55,'BAL N VICTOIRE'!$J:$J,"T")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SUMIFS(DONNEES_N1_NOUVEAU[MONTANT],DONNEES_N1_NOUVEAU[TL2],A55,DONNEES_N1_NOUVEAU[MOIS],DONNÉES!$C$5,DONNEES_N1_NOUVEAU[SOCIETE],"VICTOIRE")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VICTOIRE'!$G:$G,'BAL N VICTOIRE'!$I:$I,$A56,'BAL N VICTOIRE'!$J:$J,"T")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SUMIFS(DONNEES_N1_NOUVEAU[MONTANT],DONNEES_N1_NOUVEAU[TL2],A56,DONNEES_N1_NOUVEAU[MOIS],DONNÉES!$C$5,DONNEES_N1_NOUVEAU[SOCIETE],"VICTOIRE")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VICTOIRE'!$G:$G,'BAL N VICTOIRE'!$I:$I,$A57,'BAL N VICTOIRE'!$J:$J,"T")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SUMIFS(DONNEES_N1_NOUVEAU[MONTANT],DONNEES_N1_NOUVEAU[TL2],A57,DONNEES_N1_NOUVEAU[MOIS],DONNÉES!$C$5,DONNEES_N1_NOUVEAU[SOCIETE],"VICTOIRE")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VICTOIRE'!$G:$G,'BAL N VICTOIRE'!$I:$I,$A58,'BAL N VICTOIRE'!$J:$J,"T")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SUMIFS(DONNEES_N1_NOUVEAU[MONTANT],DONNEES_N1_NOUVEAU[TL2],A58,DONNEES_N1_NOUVEAU[MOIS],DONNÉES!$C$5,DONNEES_N1_NOUVEAU[SOCIETE],"VICTOIRE")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VICTOIRE'!$G:$G,'BAL N VICTOIRE'!$I:$I,$A63,'BAL N VICTOIRE'!$J:$J,"T")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-SUMIFS(DONNEES_N1_NOUVEAU[MONTANT],DONNEES_N1_NOUVEAU[TL2],A63,DONNEES_N1_NOUVEAU[MOIS],DONNÉES!$C$5,DONNEES_N1_NOUVEAU[SOCIETE],"VICTOIRE")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VICTOIRE'!$G:$G,'BAL N VICTOIRE'!$I:$I,$A64,'BAL N VICTOIRE'!$J:$J,"T")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SUMIFS(DONNEES_N1_NOUVEAU[MONTANT],DONNEES_N1_NOUVEAU[TL2],A64,DONNEES_N1_NOUVEAU[MOIS],DONNÉES!$C$5,DONNEES_N1_NOUVEAU[SOCIETE],"VICTOIRE")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VICTOIRE'!$G:$G,'BAL N VICTOIRE'!$I:$I,$A67,'BAL N VICTOIRE'!$J:$J,"T")</f>
        <v/>
      </c>
      <c r="D67" s="17">
        <f>(C67*100)/C$8</f>
        <v/>
      </c>
      <c r="E67" s="16">
        <f>SUMIFS(DONNEES_N1_NOUVEAU[MONTANT],DONNEES_N1_NOUVEAU[TL2],A67,DONNEES_N1_NOUVEAU[MOIS],DONNÉES!$C$5,DONNEES_N1_NOUVEAU[SOCIETE],"VICTOIRE")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E18-E61+E65-E67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VICTOIRE'!$G:$G,'BAL N VICTOIRE'!$I:$I,$A72,'BAL N VICTOIRE'!$J:$J,"T")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-SUMIFS(DONNEES_N1_NOUVEAU[MONTANT],DONNEES_N1_NOUVEAU[TL2],A72,DONNEES_N1_NOUVEAU[MOIS],DONNÉES!$C$5,DONNEES_N1_NOUVEAU[SOCIETE],"VICTOIRE")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VICTOIRE'!$G:$G,'BAL N VICTOIRE'!$I:$I,$A74,'BAL N VICTOIRE'!$J:$J,"T")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SUMIFS(DONNEES_N1_NOUVEAU[MONTANT],DONNEES_N1_NOUVEAU[TL2],A74,DONNEES_N1_NOUVEAU[MOIS],DONNÉES!$C$5,DONNEES_N1_NOUVEAU[SOCIETE],"VICTOIRE")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VLOOKUP(PARAMETRES!$C$2,TRANSVICT[],2,FALSE)</f>
        <v/>
      </c>
      <c r="D78" s="450" t="n"/>
      <c r="E78" s="449">
        <f>VLOOKUP(PARAMETRES!$C$2,TRANSVICT[],3,FALSE)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VLOOKUP(PARAMETRES!$C$2,PMVICT[],2,FALSE)</f>
        <v/>
      </c>
      <c r="D80" s="450" t="n"/>
      <c r="E80" s="453">
        <f>VLOOKUP(PARAMETRES!$C$2,PMVICT[],3,FALSE)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50.xml><?xml version="1.0" encoding="utf-8"?>
<worksheet xmlns="http://schemas.openxmlformats.org/spreadsheetml/2006/main">
  <sheetPr codeName="Feuil51">
    <tabColor rgb="FFFFFF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TH4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TH4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TH4'!$G:$G,'BAL N TH4'!$I:$I,$A8,'BAL N TH4'!$J:$J,"T")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-SUMIFS(DONNEES_N1_NOUVEAU[MONTANT],DONNEES_N1_NOUVEAU[TL2],A8,DONNEES_N1_NOUVEAU[MOIS],DONNÉES!$C$5,DONNEES_N1_NOUVEAU[SOCIETE],"th4")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TH4'!$G:$G,'BAL N TH4'!$I:$I,$A10,'BAL N TH4'!$J:$J,"T")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SUMIFS(DONNEES_N1_NOUVEAU[MONTANT],DONNEES_N1_NOUVEAU[TL2],A10,DONNEES_N1_NOUVEAU[MOIS],DONNÉES!$C$5,DONNEES_N1_NOUVEAU[SOCIETE],"th4")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TH4'!$G:$G,'BAL N TH4'!$I:$I,$A11,'BAL N TH4'!$J:$J,"T")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SUMIFS(DONNEES_N1_NOUVEAU[MONTANT],DONNEES_N1_NOUVEAU[TL2],A11,DONNEES_N1_NOUVEAU[MOIS],DONNÉES!$C$5,DONNEES_N1_NOUVEAU[SOCIETE],"th4")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TH4'!$G:$G,'BAL N TH4'!$I:$I,$A12,'BAL N TH4'!$J:$J,"T")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SUMIFS(DONNEES_N1_NOUVEAU[MONTANT],DONNEES_N1_NOUVEAU[TL2],A12,DONNEES_N1_NOUVEAU[MOIS],DONNÉES!$C$5,DONNEES_N1_NOUVEAU[SOCIETE],"th4")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TH4'!$G:$G,'BAL N TH4'!$I:$I,$A14,'BAL N TH4'!$J:$J,"T")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SUMIFS(DONNEES_N1_NOUVEAU[MONTANT],DONNEES_N1_NOUVEAU[TL2],A14,DONNEES_N1_NOUVEAU[MOIS],DONNÉES!$C$5,DONNEES_N1_NOUVEAU[SOCIETE],"th4")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TH4'!$G:$G,'BAL N TH4'!$I:$I,$A15,'BAL N TH4'!$J:$J,"T")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SUMIFS(DONNEES_N1_NOUVEAU[MONTANT],DONNEES_N1_NOUVEAU[TL2],A15,DONNEES_N1_NOUVEAU[MOIS],DONNÉES!$C$5,DONNEES_N1_NOUVEAU[SOCIETE],"th4")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TH4'!$G:$G,'BAL N TH4'!$I:$I,$A20,'BAL N TH4'!$J:$J,"T")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SUMIFS(DONNEES_N1_NOUVEAU[MONTANT],DONNEES_N1_NOUVEAU[TL2],A20,DONNEES_N1_NOUVEAU[MOIS],DONNÉES!$C$5,DONNEES_N1_NOUVEAU[SOCIETE],"th4")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TH4'!$G:$G,'BAL N TH4'!$I:$I,$A21,'BAL N TH4'!$J:$J,"T")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SUMIFS(DONNEES_N1_NOUVEAU[MONTANT],DONNEES_N1_NOUVEAU[TL2],A21,DONNEES_N1_NOUVEAU[MOIS],DONNÉES!$C$5,DONNEES_N1_NOUVEAU[SOCIETE],"th4")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TH4'!$G:$G,'BAL N TH4'!$I:$I,$A22,'BAL N TH4'!$J:$J,"T")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SUMIFS(DONNEES_N1_NOUVEAU[MONTANT],DONNEES_N1_NOUVEAU[TL2],A22,DONNEES_N1_NOUVEAU[MOIS],DONNÉES!$C$5,DONNEES_N1_NOUVEAU[SOCIETE],"th4")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TH4'!$G:$G,'BAL N TH4'!$I:$I,$A23,'BAL N TH4'!$J:$J,"T")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SUMIFS(DONNEES_N1_NOUVEAU[MONTANT],DONNEES_N1_NOUVEAU[TL2],A23,DONNEES_N1_NOUVEAU[MOIS],DONNÉES!$C$5,DONNEES_N1_NOUVEAU[SOCIETE],"th4")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TH4'!$G:$G,'BAL N TH4'!$I:$I,$A24,'BAL N TH4'!$J:$J,"T")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SUMIFS(DONNEES_N1_NOUVEAU[MONTANT],DONNEES_N1_NOUVEAU[TL2],A24,DONNEES_N1_NOUVEAU[MOIS],DONNÉES!$C$5,DONNEES_N1_NOUVEAU[SOCIETE],"th4")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TH4'!$G:$G,'BAL N TH4'!$I:$I,$A25,'BAL N TH4'!$J:$J,"T")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SUMIFS(DONNEES_N1_NOUVEAU[MONTANT],DONNEES_N1_NOUVEAU[TL2],A25,DONNEES_N1_NOUVEAU[MOIS],DONNÉES!$C$5,DONNEES_N1_NOUVEAU[SOCIETE],"th4")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TH4'!$G:$G,'BAL N TH4'!$I:$I,$A28,'BAL N TH4'!$J:$J,"T")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SUMIFS(DONNEES_N1_NOUVEAU[MONTANT],DONNEES_N1_NOUVEAU[TL2],A28,DONNEES_N1_NOUVEAU[MOIS],DONNÉES!$C$5,DONNEES_N1_NOUVEAU[SOCIETE],"th4")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TH4'!$G:$G,'BAL N TH4'!$I:$I,$A29,'BAL N TH4'!$J:$J,"T")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SUMIFS(DONNEES_N1_NOUVEAU[MONTANT],DONNEES_N1_NOUVEAU[TL2],A29,DONNEES_N1_NOUVEAU[MOIS],DONNÉES!$C$5,DONNEES_N1_NOUVEAU[SOCIETE],"th4")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TH4'!$G:$G,'BAL N TH4'!$I:$I,$A30,'BAL N TH4'!$J:$J,"T")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SUMIFS(DONNEES_N1_NOUVEAU[MONTANT],DONNEES_N1_NOUVEAU[TL2],A30,DONNEES_N1_NOUVEAU[MOIS],DONNÉES!$C$5,DONNEES_N1_NOUVEAU[SOCIETE],"th4")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TH4'!$G:$G,'BAL N TH4'!$I:$I,$A31,'BAL N TH4'!$J:$J,"T")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SUMIFS(DONNEES_N1_NOUVEAU[MONTANT],DONNEES_N1_NOUVEAU[TL2],A31,DONNEES_N1_NOUVEAU[MOIS],DONNÉES!$C$5,DONNEES_N1_NOUVEAU[SOCIETE],"th4")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TH4'!$G:$G,'BAL N TH4'!$I:$I,$A32,'BAL N TH4'!$J:$J,"T")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SUMIFS(DONNEES_N1_NOUVEAU[MONTANT],DONNEES_N1_NOUVEAU[TL2],A32,DONNEES_N1_NOUVEAU[MOIS],DONNÉES!$C$5,DONNEES_N1_NOUVEAU[SOCIETE],"th4")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TH4'!$G:$G,'BAL N TH4'!$I:$I,$A35,'BAL N TH4'!$J:$J,"T")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SUMIFS(DONNEES_N1_NOUVEAU[MONTANT],DONNEES_N1_NOUVEAU[TL2],A35,DONNEES_N1_NOUVEAU[MOIS],DONNÉES!$C$5,DONNEES_N1_NOUVEAU[SOCIETE],"th4")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TH4'!$G:$G,'BAL N TH4'!$I:$I,$A36,'BAL N TH4'!$J:$J,"T")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SUMIFS(DONNEES_N1_NOUVEAU[MONTANT],DONNEES_N1_NOUVEAU[TL2],A36,DONNEES_N1_NOUVEAU[MOIS],DONNÉES!$C$5,DONNEES_N1_NOUVEAU[SOCIETE],"th4")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TH4'!$G:$G,'BAL N TH4'!$I:$I,$A37,'BAL N TH4'!$J:$J,"T")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SUMIFS(DONNEES_N1_NOUVEAU[MONTANT],DONNEES_N1_NOUVEAU[TL2],A37,DONNEES_N1_NOUVEAU[MOIS],DONNÉES!$C$5,DONNEES_N1_NOUVEAU[SOCIETE],"th4")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TH4'!$G:$G,'BAL N TH4'!$I:$I,$A38,'BAL N TH4'!$J:$J,"T")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SUMIFS(DONNEES_N1_NOUVEAU[MONTANT],DONNEES_N1_NOUVEAU[TL2],A38,DONNEES_N1_NOUVEAU[MOIS],DONNÉES!$C$5,DONNEES_N1_NOUVEAU[SOCIETE],"th4")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TH4'!$G:$G,'BAL N TH4'!$I:$I,$A39,'BAL N TH4'!$J:$J,"T")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SUMIFS(DONNEES_N1_NOUVEAU[MONTANT],DONNEES_N1_NOUVEAU[TL2],A39,DONNEES_N1_NOUVEAU[MOIS],DONNÉES!$C$5,DONNEES_N1_NOUVEAU[SOCIETE],"th4")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TH4'!$G:$G,'BAL N TH4'!$I:$I,$A40,'BAL N TH4'!$J:$J,"T")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SUMIFS(DONNEES_N1_NOUVEAU[MONTANT],DONNEES_N1_NOUVEAU[TL2],A40,DONNEES_N1_NOUVEAU[MOIS],DONNÉES!$C$5,DONNEES_N1_NOUVEAU[SOCIETE],"th4")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TH4'!$G:$G,'BAL N TH4'!$I:$I,$A41,'BAL N TH4'!$J:$J,"T")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SUMIFS(DONNEES_N1_NOUVEAU[MONTANT],DONNEES_N1_NOUVEAU[TL2],A41,DONNEES_N1_NOUVEAU[MOIS],DONNÉES!$C$5,DONNEES_N1_NOUVEAU[SOCIETE],"th4")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TH4'!$G:$G,'BAL N TH4'!$I:$I,$A46,'BAL N TH4'!$J:$J,"T")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SUMIFS(DONNEES_N1_NOUVEAU[MONTANT],DONNEES_N1_NOUVEAU[TL2],A46,DONNEES_N1_NOUVEAU[MOIS],DONNÉES!$C$5,DONNEES_N1_NOUVEAU[SOCIETE],"th4")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TH4'!$G:$G,'BAL N TH4'!$I:$I,$A47,'BAL N TH4'!$J:$J,"T")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SUMIFS(DONNEES_N1_NOUVEAU[MONTANT],DONNEES_N1_NOUVEAU[TL2],A47,DONNEES_N1_NOUVEAU[MOIS],DONNÉES!$C$5,DONNEES_N1_NOUVEAU[SOCIETE],"th4")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TH4'!$G:$G,'BAL N TH4'!$I:$I,$A48,'BAL N TH4'!$J:$J,"T")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SUMIFS(DONNEES_N1_NOUVEAU[MONTANT],DONNEES_N1_NOUVEAU[TL2],A48,DONNEES_N1_NOUVEAU[MOIS],DONNÉES!$C$5,DONNEES_N1_NOUVEAU[SOCIETE],"th4")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TH4'!$G:$G,'BAL N TH4'!$I:$I,$A51,'BAL N TH4'!$J:$J,"T")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SUMIFS(DONNEES_N1_NOUVEAU[MONTANT],DONNEES_N1_NOUVEAU[TL2],A51,DONNEES_N1_NOUVEAU[MOIS],DONNÉES!$C$5,DONNEES_N1_NOUVEAU[SOCIETE],"th4")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TH4'!$G:$G,'BAL N TH4'!$I:$I,$A52,'BAL N TH4'!$J:$J,"T")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SUMIFS(DONNEES_N1_NOUVEAU[MONTANT],DONNEES_N1_NOUVEAU[TL2],A52,DONNEES_N1_NOUVEAU[MOIS],DONNÉES!$C$5,DONNEES_N1_NOUVEAU[SOCIETE],"th4")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TH4'!$G:$G,'BAL N TH4'!$I:$I,$A53,'BAL N TH4'!$J:$J,"T")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SUMIFS(DONNEES_N1_NOUVEAU[MONTANT],DONNEES_N1_NOUVEAU[TL2],A53,DONNEES_N1_NOUVEAU[MOIS],DONNÉES!$C$5,DONNEES_N1_NOUVEAU[SOCIETE],"th4")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TH4'!$G:$G,'BAL N TH4'!$I:$I,$A54,'BAL N TH4'!$J:$J,"T")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SUMIFS(DONNEES_N1_NOUVEAU[MONTANT],DONNEES_N1_NOUVEAU[TL2],A54,DONNEES_N1_NOUVEAU[MOIS],DONNÉES!$C$5,DONNEES_N1_NOUVEAU[SOCIETE],"th4")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TH4'!$G:$G,'BAL N TH4'!$I:$I,$A55,'BAL N TH4'!$J:$J,"T")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SUMIFS(DONNEES_N1_NOUVEAU[MONTANT],DONNEES_N1_NOUVEAU[TL2],A55,DONNEES_N1_NOUVEAU[MOIS],DONNÉES!$C$5,DONNEES_N1_NOUVEAU[SOCIETE],"th4")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TH4'!$G:$G,'BAL N TH4'!$I:$I,$A56,'BAL N TH4'!$J:$J,"T")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SUMIFS(DONNEES_N1_NOUVEAU[MONTANT],DONNEES_N1_NOUVEAU[TL2],A56,DONNEES_N1_NOUVEAU[MOIS],DONNÉES!$C$5,DONNEES_N1_NOUVEAU[SOCIETE],"th4")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TH4'!$G:$G,'BAL N TH4'!$I:$I,$A57,'BAL N TH4'!$J:$J,"T")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SUMIFS(DONNEES_N1_NOUVEAU[MONTANT],DONNEES_N1_NOUVEAU[TL2],A57,DONNEES_N1_NOUVEAU[MOIS],DONNÉES!$C$5,DONNEES_N1_NOUVEAU[SOCIETE],"th4")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TH4'!$G:$G,'BAL N TH4'!$I:$I,$A58,'BAL N TH4'!$J:$J,"T")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SUMIFS(DONNEES_N1_NOUVEAU[MONTANT],DONNEES_N1_NOUVEAU[TL2],A58,DONNEES_N1_NOUVEAU[MOIS],DONNÉES!$C$5,DONNEES_N1_NOUVEAU[SOCIETE],"th4")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TH4'!$G:$G,'BAL N TH4'!$I:$I,$A63,'BAL N TH4'!$J:$J,"T")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-SUMIFS(DONNEES_N1_NOUVEAU[MONTANT],DONNEES_N1_NOUVEAU[TL2],A63,DONNEES_N1_NOUVEAU[MOIS],DONNÉES!$C$5,DONNEES_N1_NOUVEAU[SOCIETE],"th4")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TH4'!$G:$G,'BAL N TH4'!$I:$I,$A64,'BAL N TH4'!$J:$J,"T")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SUMIFS(DONNEES_N1_NOUVEAU[MONTANT],DONNEES_N1_NOUVEAU[TL2],A64,DONNEES_N1_NOUVEAU[MOIS],DONNÉES!$C$5,DONNEES_N1_NOUVEAU[SOCIETE],"th4")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TH4'!$G:$G,'BAL N TH4'!$I:$I,$A67,'BAL N TH4'!$J:$J,"T")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-SUMIFS(DONNEES_N1_NOUVEAU[MONTANT],DONNEES_N1_NOUVEAU[TL2],A67,DONNEES_N1_NOUVEAU[MOIS],DONNÉES!$C$5,DONNEES_N1_NOUVEAU[SOCIETE],"th4")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TH4'!$G:$G,'BAL N TH4'!$I:$I,$A72,'BAL N TH4'!$J:$J,"T")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-SUMIFS(DONNEES_N1_NOUVEAU[MONTANT],DONNEES_N1_NOUVEAU[TL2],A72,DONNEES_N1_NOUVEAU[MOIS],DONNÉES!$C$5,DONNEES_N1_NOUVEAU[SOCIETE],"th4")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TH4'!$G:$G,'BAL N TH4'!$I:$I,$A74,'BAL N TH4'!$J:$J,"T")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SUMIFS(DONNEES_N1_NOUVEAU[MONTANT],DONNEES_N1_NOUVEAU[TL2],A74,DONNEES_N1_NOUVEAU[MOIS],DONNÉES!$C$5,DONNEES_N1_NOUVEAU[SOCIETE],"th4")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VLOOKUP(PARAMETRES!$C$2,TRANSTH4[],2,FALSE)</f>
        <v/>
      </c>
      <c r="D78" s="450" t="n"/>
      <c r="E78" s="449">
        <f>VLOOKUP(PARAMETRES!$C$2,TRANSTH4[],3,FALSE)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VLOOKUP(PARAMETRES!$C$2,PMTH4[],2,FALSE)</f>
        <v/>
      </c>
      <c r="D80" s="450" t="n"/>
      <c r="E80" s="453">
        <f>VLOOKUP(PARAMETRES!$C$2,PMTH4[],3,FALSE)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52.xml><?xml version="1.0" encoding="utf-8"?>
<worksheet xmlns="http://schemas.openxmlformats.org/spreadsheetml/2006/main">
  <sheetPr codeName="Feuil49">
    <tabColor rgb="FFFFFF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1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TL DIVES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TL DIVES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DIVES'!$G:$G,'BAL N DIVES'!$I:$I,$A8,'BAL N DIVES'!$J:$J,"T")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-SUMIFS(DONNEES_N1_NOUVEAU[MONTANT],DONNEES_N1_NOUVEAU[TL2],A8,DONNEES_N1_NOUVEAU[MOIS],DONNÉES!$C$5,DONNEES_N1_NOUVEAU[SOCIETE],"DIVES")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DIVES'!$G:$G,'BAL N DIVES'!$I:$I,$A10,'BAL N DIVES'!$J:$J,"T")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SUMIFS(DONNEES_N1_NOUVEAU[MONTANT],DONNEES_N1_NOUVEAU[TL2],A10,DONNEES_N1_NOUVEAU[MOIS],DONNÉES!$C$5,DONNEES_N1_NOUVEAU[SOCIETE],"DIVES")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DIVES'!$G:$G,'BAL N DIVES'!$I:$I,$A11,'BAL N DIVES'!$J:$J,"T")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SUMIFS(DONNEES_N1_NOUVEAU[MONTANT],DONNEES_N1_NOUVEAU[TL2],A11,DONNEES_N1_NOUVEAU[MOIS],DONNÉES!$C$5,DONNEES_N1_NOUVEAU[SOCIETE],"DIVES")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DIVES'!$G:$G,'BAL N DIVES'!$I:$I,$A12,'BAL N DIVES'!$J:$J,"T")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SUMIFS(DONNEES_N1_NOUVEAU[MONTANT],DONNEES_N1_NOUVEAU[TL2],A12,DONNEES_N1_NOUVEAU[MOIS],DONNÉES!$C$5,DONNEES_N1_NOUVEAU[SOCIETE],"DIVES")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DIVES'!$G:$G,'BAL N DIVES'!$I:$I,$A14,'BAL N DIVES'!$J:$J,"T")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SUMIFS(DONNEES_N1_NOUVEAU[MONTANT],DONNEES_N1_NOUVEAU[TL2],A14,DONNEES_N1_NOUVEAU[MOIS],DONNÉES!$C$5,DONNEES_N1_NOUVEAU[SOCIETE],"DIVES")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DIVES'!$G:$G,'BAL N DIVES'!$I:$I,$A15,'BAL N DIVES'!$J:$J,"T")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SUMIFS(DONNEES_N1_NOUVEAU[MONTANT],DONNEES_N1_NOUVEAU[TL2],A15,DONNEES_N1_NOUVEAU[MOIS],DONNÉES!$C$5,DONNEES_N1_NOUVEAU[SOCIETE],"DIVES")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DIVES'!$G:$G,'BAL N DIVES'!$I:$I,$A20,'BAL N DIVES'!$J:$J,"T")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SUMIFS(DONNEES_N1_NOUVEAU[MONTANT],DONNEES_N1_NOUVEAU[TL2],A20,DONNEES_N1_NOUVEAU[MOIS],DONNÉES!$C$5,DONNEES_N1_NOUVEAU[SOCIETE],"DIVES")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DIVES'!$G:$G,'BAL N DIVES'!$I:$I,$A21,'BAL N DIVES'!$J:$J,"T")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SUMIFS(DONNEES_N1_NOUVEAU[MONTANT],DONNEES_N1_NOUVEAU[TL2],A21,DONNEES_N1_NOUVEAU[MOIS],DONNÉES!$C$5,DONNEES_N1_NOUVEAU[SOCIETE],"DIVES")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DIVES'!$G:$G,'BAL N DIVES'!$I:$I,$A22,'BAL N DIVES'!$J:$J,"T")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SUMIFS(DONNEES_N1_NOUVEAU[MONTANT],DONNEES_N1_NOUVEAU[TL2],A22,DONNEES_N1_NOUVEAU[MOIS],DONNÉES!$C$5,DONNEES_N1_NOUVEAU[SOCIETE],"DIVES")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DIVES'!$G:$G,'BAL N DIVES'!$I:$I,$A23,'BAL N DIVES'!$J:$J,"T")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SUMIFS(DONNEES_N1_NOUVEAU[MONTANT],DONNEES_N1_NOUVEAU[TL2],A23,DONNEES_N1_NOUVEAU[MOIS],DONNÉES!$C$5,DONNEES_N1_NOUVEAU[SOCIETE],"DIVES")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DIVES'!$G:$G,'BAL N DIVES'!$I:$I,$A24,'BAL N DIVES'!$J:$J,"T")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SUMIFS(DONNEES_N1_NOUVEAU[MONTANT],DONNEES_N1_NOUVEAU[TL2],A24,DONNEES_N1_NOUVEAU[MOIS],DONNÉES!$C$5,DONNEES_N1_NOUVEAU[SOCIETE],"DIVES")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DIVES'!$G:$G,'BAL N DIVES'!$I:$I,$A25,'BAL N DIVES'!$J:$J,"T")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SUMIFS(DONNEES_N1_NOUVEAU[MONTANT],DONNEES_N1_NOUVEAU[TL2],A25,DONNEES_N1_NOUVEAU[MOIS],DONNÉES!$C$5,DONNEES_N1_NOUVEAU[SOCIETE],"DIVES")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DIVES'!$G:$G,'BAL N DIVES'!$I:$I,$A28,'BAL N DIVES'!$J:$J,"T")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SUMIFS(DONNEES_N1_NOUVEAU[MONTANT],DONNEES_N1_NOUVEAU[TL2],A28,DONNEES_N1_NOUVEAU[MOIS],DONNÉES!$C$5,DONNEES_N1_NOUVEAU[SOCIETE],"DIVES")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DIVES'!$G:$G,'BAL N DIVES'!$I:$I,$A29,'BAL N DIVES'!$J:$J,"T")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SUMIFS(DONNEES_N1_NOUVEAU[MONTANT],DONNEES_N1_NOUVEAU[TL2],A29,DONNEES_N1_NOUVEAU[MOIS],DONNÉES!$C$5,DONNEES_N1_NOUVEAU[SOCIETE],"DIVES")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DIVES'!$G:$G,'BAL N DIVES'!$I:$I,$A30,'BAL N DIVES'!$J:$J,"T")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SUMIFS(DONNEES_N1_NOUVEAU[MONTANT],DONNEES_N1_NOUVEAU[TL2],A30,DONNEES_N1_NOUVEAU[MOIS],DONNÉES!$C$5,DONNEES_N1_NOUVEAU[SOCIETE],"DIVES")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DIVES'!$G:$G,'BAL N DIVES'!$I:$I,$A31,'BAL N DIVES'!$J:$J,"T")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SUMIFS(DONNEES_N1_NOUVEAU[MONTANT],DONNEES_N1_NOUVEAU[TL2],A31,DONNEES_N1_NOUVEAU[MOIS],DONNÉES!$C$5,DONNEES_N1_NOUVEAU[SOCIETE],"DIVES")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DIVES'!$G:$G,'BAL N DIVES'!$I:$I,$A32,'BAL N DIVES'!$J:$J,"T")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SUMIFS(DONNEES_N1_NOUVEAU[MONTANT],DONNEES_N1_NOUVEAU[TL2],A32,DONNEES_N1_NOUVEAU[MOIS],DONNÉES!$C$5,DONNEES_N1_NOUVEAU[SOCIETE],"DIVES")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DIVES'!$G:$G,'BAL N DIVES'!$I:$I,$A35,'BAL N DIVES'!$J:$J,"T")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SUMIFS(DONNEES_N1_NOUVEAU[MONTANT],DONNEES_N1_NOUVEAU[TL2],A35,DONNEES_N1_NOUVEAU[MOIS],DONNÉES!$C$5,DONNEES_N1_NOUVEAU[SOCIETE],"DIVES")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DIVES'!$G:$G,'BAL N DIVES'!$I:$I,$A36,'BAL N DIVES'!$J:$J,"T")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SUMIFS(DONNEES_N1_NOUVEAU[MONTANT],DONNEES_N1_NOUVEAU[TL2],A36,DONNEES_N1_NOUVEAU[MOIS],DONNÉES!$C$5,DONNEES_N1_NOUVEAU[SOCIETE],"DIVES")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DIVES'!$G:$G,'BAL N DIVES'!$I:$I,$A37,'BAL N DIVES'!$J:$J,"T")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SUMIFS(DONNEES_N1_NOUVEAU[MONTANT],DONNEES_N1_NOUVEAU[TL2],A37,DONNEES_N1_NOUVEAU[MOIS],DONNÉES!$C$5,DONNEES_N1_NOUVEAU[SOCIETE],"DIVES")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DIVES'!$G:$G,'BAL N DIVES'!$I:$I,$A38,'BAL N DIVES'!$J:$J,"T")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SUMIFS(DONNEES_N1_NOUVEAU[MONTANT],DONNEES_N1_NOUVEAU[TL2],A38,DONNEES_N1_NOUVEAU[MOIS],DONNÉES!$C$5,DONNEES_N1_NOUVEAU[SOCIETE],"DIVES")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DIVES'!$G:$G,'BAL N DIVES'!$I:$I,$A39,'BAL N DIVES'!$J:$J,"T")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SUMIFS(DONNEES_N1_NOUVEAU[MONTANT],DONNEES_N1_NOUVEAU[TL2],A39,DONNEES_N1_NOUVEAU[MOIS],DONNÉES!$C$5,DONNEES_N1_NOUVEAU[SOCIETE],"DIVES")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DIVES'!$G:$G,'BAL N DIVES'!$I:$I,$A40,'BAL N DIVES'!$J:$J,"T")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SUMIFS(DONNEES_N1_NOUVEAU[MONTANT],DONNEES_N1_NOUVEAU[TL2],A40,DONNEES_N1_NOUVEAU[MOIS],DONNÉES!$C$5,DONNEES_N1_NOUVEAU[SOCIETE],"DIVES")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DIVES'!$G:$G,'BAL N DIVES'!$I:$I,$A41,'BAL N DIVES'!$J:$J,"T")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SUMIFS(DONNEES_N1_NOUVEAU[MONTANT],DONNEES_N1_NOUVEAU[TL2],A41,DONNEES_N1_NOUVEAU[MOIS],DONNÉES!$C$5,DONNEES_N1_NOUVEAU[SOCIETE],"DIVES")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DIVES'!$G:$G,'BAL N DIVES'!$I:$I,$A46,'BAL N DIVES'!$J:$J,"T")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SUMIFS(DONNEES_N1_NOUVEAU[MONTANT],DONNEES_N1_NOUVEAU[TL2],A46,DONNEES_N1_NOUVEAU[MOIS],DONNÉES!$C$5,DONNEES_N1_NOUVEAU[SOCIETE],"DIVES")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DIVES'!$G:$G,'BAL N DIVES'!$I:$I,$A47,'BAL N DIVES'!$J:$J,"T")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SUMIFS(DONNEES_N1_NOUVEAU[MONTANT],DONNEES_N1_NOUVEAU[TL2],A47,DONNEES_N1_NOUVEAU[MOIS],DONNÉES!$C$5,DONNEES_N1_NOUVEAU[SOCIETE],"DIVES")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DIVES'!$G:$G,'BAL N DIVES'!$I:$I,$A48,'BAL N DIVES'!$J:$J,"T")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SUMIFS(DONNEES_N1_NOUVEAU[MONTANT],DONNEES_N1_NOUVEAU[TL2],A48,DONNEES_N1_NOUVEAU[MOIS],DONNÉES!$C$5,DONNEES_N1_NOUVEAU[SOCIETE],"DIVES")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DIVES'!$G:$G,'BAL N DIVES'!$I:$I,$A51,'BAL N DIVES'!$J:$J,"T")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SUMIFS(DONNEES_N1_NOUVEAU[MONTANT],DONNEES_N1_NOUVEAU[TL2],A51,DONNEES_N1_NOUVEAU[MOIS],DONNÉES!$C$5,DONNEES_N1_NOUVEAU[SOCIETE],"DIVES")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DIVES'!$G:$G,'BAL N DIVES'!$I:$I,$A52,'BAL N DIVES'!$J:$J,"T")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SUMIFS(DONNEES_N1_NOUVEAU[MONTANT],DONNEES_N1_NOUVEAU[TL2],A52,DONNEES_N1_NOUVEAU[MOIS],DONNÉES!$C$5,DONNEES_N1_NOUVEAU[SOCIETE],"DIVES")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DIVES'!$G:$G,'BAL N DIVES'!$I:$I,$A53,'BAL N DIVES'!$J:$J,"T")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SUMIFS(DONNEES_N1_NOUVEAU[MONTANT],DONNEES_N1_NOUVEAU[TL2],A53,DONNEES_N1_NOUVEAU[MOIS],DONNÉES!$C$5,DONNEES_N1_NOUVEAU[SOCIETE],"DIVES")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DIVES'!$G:$G,'BAL N DIVES'!$I:$I,$A54,'BAL N DIVES'!$J:$J,"T")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SUMIFS(DONNEES_N1_NOUVEAU[MONTANT],DONNEES_N1_NOUVEAU[TL2],A54,DONNEES_N1_NOUVEAU[MOIS],DONNÉES!$C$5,DONNEES_N1_NOUVEAU[SOCIETE],"DIVES")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DIVES'!$G:$G,'BAL N DIVES'!$I:$I,$A55,'BAL N DIVES'!$J:$J,"T")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SUMIFS(DONNEES_N1_NOUVEAU[MONTANT],DONNEES_N1_NOUVEAU[TL2],A55,DONNEES_N1_NOUVEAU[MOIS],DONNÉES!$C$5,DONNEES_N1_NOUVEAU[SOCIETE],"DIVES")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DIVES'!$G:$G,'BAL N DIVES'!$I:$I,$A56,'BAL N DIVES'!$J:$J,"T")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SUMIFS(DONNEES_N1_NOUVEAU[MONTANT],DONNEES_N1_NOUVEAU[TL2],A56,DONNEES_N1_NOUVEAU[MOIS],DONNÉES!$C$5,DONNEES_N1_NOUVEAU[SOCIETE],"DIVES")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DIVES'!$G:$G,'BAL N DIVES'!$I:$I,$A57,'BAL N DIVES'!$J:$J,"T")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SUMIFS(DONNEES_N1_NOUVEAU[MONTANT],DONNEES_N1_NOUVEAU[TL2],A57,DONNEES_N1_NOUVEAU[MOIS],DONNÉES!$C$5,DONNEES_N1_NOUVEAU[SOCIETE],"DIVES")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DIVES'!$G:$G,'BAL N DIVES'!$I:$I,$A58,'BAL N DIVES'!$J:$J,"T")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SUMIFS(DONNEES_N1_NOUVEAU[MONTANT],DONNEES_N1_NOUVEAU[TL2],A58,DONNEES_N1_NOUVEAU[MOIS],DONNÉES!$C$5,DONNEES_N1_NOUVEAU[SOCIETE],"DIVES")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DIVES'!$G:$G,'BAL N DIVES'!$I:$I,$A63,'BAL N DIVES'!$J:$J,"T")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-SUMIFS(DONNEES_N1_NOUVEAU[MONTANT],DONNEES_N1_NOUVEAU[TL2],A63,DONNEES_N1_NOUVEAU[MOIS],DONNÉES!$C$5,DONNEES_N1_NOUVEAU[SOCIETE],"DIVES")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DIVES'!$G:$G,'BAL N DIVES'!$I:$I,$A64,'BAL N DIVES'!$J:$J,"T")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SUMIFS(DONNEES_N1_NOUVEAU[MONTANT],DONNEES_N1_NOUVEAU[TL2],A64,DONNEES_N1_NOUVEAU[MOIS],DONNÉES!$C$5,DONNEES_N1_NOUVEAU[SOCIETE],"DIVES")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DIVES'!$G:$G,'BAL N DIVES'!$I:$I,$A67,'BAL N DIVES'!$J:$J,"T")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-SUMIFS(DONNEES_N1_NOUVEAU[MONTANT],DONNEES_N1_NOUVEAU[TL2],A67,DONNEES_N1_NOUVEAU[MOIS],DONNÉES!$C$5,DONNEES_N1_NOUVEAU[SOCIETE],"DIVES")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DIVES'!$G:$G,'BAL N DIVES'!$I:$I,$A72,'BAL N DIVES'!$J:$J,"T")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-SUMIFS(DONNEES_N1_NOUVEAU[MONTANT],DONNEES_N1_NOUVEAU[TL2],A72,DONNEES_N1_NOUVEAU[MOIS],DONNÉES!$C$5,DONNEES_N1_NOUVEAU[SOCIETE],"DIVES")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DIVES'!$G:$G,'BAL N DIVES'!$I:$I,$A74,'BAL N DIVES'!$J:$J,"T")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SUMIFS(DONNEES_N1_NOUVEAU[MONTANT],DONNEES_N1_NOUVEAU[TL2],A74,DONNEES_N1_NOUVEAU[MOIS],DONNÉES!$C$5,DONNEES_N1_NOUVEAU[SOCIETE],"DIVES")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VLOOKUP(PARAMETRES!$C$2,TRANSDIVES[],2,FALSE)</f>
        <v/>
      </c>
      <c r="D78" s="450" t="n"/>
      <c r="E78" s="449">
        <f>VLOOKUP(PARAMETRES!$C$2,TRANSDIVES[],3,FALSE)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VLOOKUP(PARAMETRES!$C$2,PMDIVES[],2,FALSE)</f>
        <v/>
      </c>
      <c r="D80" s="450" t="n"/>
      <c r="E80" s="453">
        <f>VLOOKUP(PARAMETRES!$C$2,PMDIVES[],3,FALSE)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54.xml><?xml version="1.0" encoding="utf-8"?>
<worksheet xmlns="http://schemas.openxmlformats.org/spreadsheetml/2006/main">
  <sheetPr codeName="Feuil45">
    <tabColor rgb="FFFFFF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47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R3 14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R3 14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R314'!$G:$G,'BAL N R314'!$I:$I,$A8,'BAL N R314'!$J:$J,"T")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-SUMIFS(DONNEES_N1_NOUVEAU[MONTANT],DONNEES_N1_NOUVEAU[TL2],A8,DONNEES_N1_NOUVEAU[MOIS],DONNÉES!$C$5,DONNEES_N1_NOUVEAU[SOCIETE],"R314")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R314'!$G:$G,'BAL N R314'!$I:$I,$A10,'BAL N R314'!$J:$J,"T")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SUMIFS(DONNEES_N1_NOUVEAU[MONTANT],DONNEES_N1_NOUVEAU[TL2],A10,DONNEES_N1_NOUVEAU[MOIS],DONNÉES!$C$5,DONNEES_N1_NOUVEAU[SOCIETE],"R314")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R314'!$G:$G,'BAL N R314'!$I:$I,$A11,'BAL N R314'!$J:$J,"T")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SUMIFS(DONNEES_N1_NOUVEAU[MONTANT],DONNEES_N1_NOUVEAU[TL2],A11,DONNEES_N1_NOUVEAU[MOIS],DONNÉES!$C$5,DONNEES_N1_NOUVEAU[SOCIETE],"R314")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R314'!$G:$G,'BAL N R314'!$I:$I,$A12,'BAL N R314'!$J:$J,"T")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SUMIFS(DONNEES_N1_NOUVEAU[MONTANT],DONNEES_N1_NOUVEAU[TL2],A12,DONNEES_N1_NOUVEAU[MOIS],DONNÉES!$C$5,DONNEES_N1_NOUVEAU[SOCIETE],"R314")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R314'!$G:$G,'BAL N R314'!$I:$I,$A14,'BAL N R314'!$J:$J,"T")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SUMIFS(DONNEES_N1_NOUVEAU[MONTANT],DONNEES_N1_NOUVEAU[TL2],A14,DONNEES_N1_NOUVEAU[MOIS],DONNÉES!$C$5,DONNEES_N1_NOUVEAU[SOCIETE],"R314")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R314'!$G:$G,'BAL N R314'!$I:$I,$A15,'BAL N R314'!$J:$J,"T")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SUMIFS(DONNEES_N1_NOUVEAU[MONTANT],DONNEES_N1_NOUVEAU[TL2],A15,DONNEES_N1_NOUVEAU[MOIS],DONNÉES!$C$5,DONNEES_N1_NOUVEAU[SOCIETE],"R314")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R314'!$G:$G,'BAL N R314'!$I:$I,$A20,'BAL N R314'!$J:$J,"T")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SUMIFS(DONNEES_N1_NOUVEAU[MONTANT],DONNEES_N1_NOUVEAU[TL2],A20,DONNEES_N1_NOUVEAU[MOIS],DONNÉES!$C$5,DONNEES_N1_NOUVEAU[SOCIETE],"R314")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R314'!$G:$G,'BAL N R314'!$I:$I,$A21,'BAL N R314'!$J:$J,"T")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SUMIFS(DONNEES_N1_NOUVEAU[MONTANT],DONNEES_N1_NOUVEAU[TL2],A21,DONNEES_N1_NOUVEAU[MOIS],DONNÉES!$C$5,DONNEES_N1_NOUVEAU[SOCIETE],"R314")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R314'!$G:$G,'BAL N R314'!$I:$I,$A22,'BAL N R314'!$J:$J,"T")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SUMIFS(DONNEES_N1_NOUVEAU[MONTANT],DONNEES_N1_NOUVEAU[TL2],A22,DONNEES_N1_NOUVEAU[MOIS],DONNÉES!$C$5,DONNEES_N1_NOUVEAU[SOCIETE],"R314")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R314'!$G:$G,'BAL N R314'!$I:$I,$A23,'BAL N R314'!$J:$J,"T")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SUMIFS(DONNEES_N1_NOUVEAU[MONTANT],DONNEES_N1_NOUVEAU[TL2],A23,DONNEES_N1_NOUVEAU[MOIS],DONNÉES!$C$5,DONNEES_N1_NOUVEAU[SOCIETE],"R314")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R314'!$G:$G,'BAL N R314'!$I:$I,$A24,'BAL N R314'!$J:$J,"T")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SUMIFS(DONNEES_N1_NOUVEAU[MONTANT],DONNEES_N1_NOUVEAU[TL2],A24,DONNEES_N1_NOUVEAU[MOIS],DONNÉES!$C$5,DONNEES_N1_NOUVEAU[SOCIETE],"R314")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R314'!$G:$G,'BAL N R314'!$I:$I,$A25,'BAL N R314'!$J:$J,"T")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SUMIFS(DONNEES_N1_NOUVEAU[MONTANT],DONNEES_N1_NOUVEAU[TL2],A25,DONNEES_N1_NOUVEAU[MOIS],DONNÉES!$C$5,DONNEES_N1_NOUVEAU[SOCIETE],"R314")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R314'!$G:$G,'BAL N R314'!$I:$I,$A28,'BAL N R314'!$J:$J,"T")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SUMIFS(DONNEES_N1_NOUVEAU[MONTANT],DONNEES_N1_NOUVEAU[TL2],A28,DONNEES_N1_NOUVEAU[MOIS],DONNÉES!$C$5,DONNEES_N1_NOUVEAU[SOCIETE],"R314")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R314'!$G:$G,'BAL N R314'!$I:$I,$A29,'BAL N R314'!$J:$J,"T")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SUMIFS(DONNEES_N1_NOUVEAU[MONTANT],DONNEES_N1_NOUVEAU[TL2],A29,DONNEES_N1_NOUVEAU[MOIS],DONNÉES!$C$5,DONNEES_N1_NOUVEAU[SOCIETE],"R314")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R314'!$G:$G,'BAL N R314'!$I:$I,$A30,'BAL N R314'!$J:$J,"T")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SUMIFS(DONNEES_N1_NOUVEAU[MONTANT],DONNEES_N1_NOUVEAU[TL2],A30,DONNEES_N1_NOUVEAU[MOIS],DONNÉES!$C$5,DONNEES_N1_NOUVEAU[SOCIETE],"R314")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R314'!$G:$G,'BAL N R314'!$I:$I,$A31,'BAL N R314'!$J:$J,"T")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SUMIFS(DONNEES_N1_NOUVEAU[MONTANT],DONNEES_N1_NOUVEAU[TL2],A31,DONNEES_N1_NOUVEAU[MOIS],DONNÉES!$C$5,DONNEES_N1_NOUVEAU[SOCIETE],"R314")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R314'!$G:$G,'BAL N R314'!$I:$I,$A32,'BAL N R314'!$J:$J,"T")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SUMIFS(DONNEES_N1_NOUVEAU[MONTANT],DONNEES_N1_NOUVEAU[TL2],A32,DONNEES_N1_NOUVEAU[MOIS],DONNÉES!$C$5,DONNEES_N1_NOUVEAU[SOCIETE],"R314")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R314'!$G:$G,'BAL N R314'!$I:$I,$A35,'BAL N R314'!$J:$J,"T")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SUMIFS(DONNEES_N1_NOUVEAU[MONTANT],DONNEES_N1_NOUVEAU[TL2],A35,DONNEES_N1_NOUVEAU[MOIS],DONNÉES!$C$5,DONNEES_N1_NOUVEAU[SOCIETE],"R314")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R314'!$G:$G,'BAL N R314'!$I:$I,$A36,'BAL N R314'!$J:$J,"T")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SUMIFS(DONNEES_N1_NOUVEAU[MONTANT],DONNEES_N1_NOUVEAU[TL2],A36,DONNEES_N1_NOUVEAU[MOIS],DONNÉES!$C$5,DONNEES_N1_NOUVEAU[SOCIETE],"R314")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R314'!$G:$G,'BAL N R314'!$I:$I,$A37,'BAL N R314'!$J:$J,"T")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SUMIFS(DONNEES_N1_NOUVEAU[MONTANT],DONNEES_N1_NOUVEAU[TL2],A37,DONNEES_N1_NOUVEAU[MOIS],DONNÉES!$C$5,DONNEES_N1_NOUVEAU[SOCIETE],"R314")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R314'!$G:$G,'BAL N R314'!$I:$I,$A38,'BAL N R314'!$J:$J,"T")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SUMIFS(DONNEES_N1_NOUVEAU[MONTANT],DONNEES_N1_NOUVEAU[TL2],A38,DONNEES_N1_NOUVEAU[MOIS],DONNÉES!$C$5,DONNEES_N1_NOUVEAU[SOCIETE],"R314")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R314'!$G:$G,'BAL N R314'!$I:$I,$A39,'BAL N R314'!$J:$J,"T")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SUMIFS(DONNEES_N1_NOUVEAU[MONTANT],DONNEES_N1_NOUVEAU[TL2],A39,DONNEES_N1_NOUVEAU[MOIS],DONNÉES!$C$5,DONNEES_N1_NOUVEAU[SOCIETE],"R314")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R314'!$G:$G,'BAL N R314'!$I:$I,$A40,'BAL N R314'!$J:$J,"T")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SUMIFS(DONNEES_N1_NOUVEAU[MONTANT],DONNEES_N1_NOUVEAU[TL2],A40,DONNEES_N1_NOUVEAU[MOIS],DONNÉES!$C$5,DONNEES_N1_NOUVEAU[SOCIETE],"R314")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R314'!$G:$G,'BAL N R314'!$I:$I,$A41,'BAL N R314'!$J:$J,"T")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SUMIFS(DONNEES_N1_NOUVEAU[MONTANT],DONNEES_N1_NOUVEAU[TL2],A41,DONNEES_N1_NOUVEAU[MOIS],DONNÉES!$C$5,DONNEES_N1_NOUVEAU[SOCIETE],"R314")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R314'!$G:$G,'BAL N R314'!$I:$I,$A46,'BAL N R314'!$J:$J,"T")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SUMIFS(DONNEES_N1_NOUVEAU[MONTANT],DONNEES_N1_NOUVEAU[TL2],A46,DONNEES_N1_NOUVEAU[MOIS],DONNÉES!$C$5,DONNEES_N1_NOUVEAU[SOCIETE],"R314")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R314'!$G:$G,'BAL N R314'!$I:$I,$A47,'BAL N R314'!$J:$J,"T")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SUMIFS(DONNEES_N1_NOUVEAU[MONTANT],DONNEES_N1_NOUVEAU[TL2],A47,DONNEES_N1_NOUVEAU[MOIS],DONNÉES!$C$5,DONNEES_N1_NOUVEAU[SOCIETE],"R314")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R314'!$G:$G,'BAL N R314'!$I:$I,$A48,'BAL N R314'!$J:$J,"T")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SUMIFS(DONNEES_N1_NOUVEAU[MONTANT],DONNEES_N1_NOUVEAU[TL2],A48,DONNEES_N1_NOUVEAU[MOIS],DONNÉES!$C$5,DONNEES_N1_NOUVEAU[SOCIETE],"R314")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R314'!$G:$G,'BAL N R314'!$I:$I,$A51,'BAL N R314'!$J:$J,"T")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SUMIFS(DONNEES_N1_NOUVEAU[MONTANT],DONNEES_N1_NOUVEAU[TL2],A51,DONNEES_N1_NOUVEAU[MOIS],DONNÉES!$C$5,DONNEES_N1_NOUVEAU[SOCIETE],"R314")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R314'!$G:$G,'BAL N R314'!$I:$I,$A52,'BAL N R314'!$J:$J,"T")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SUMIFS(DONNEES_N1_NOUVEAU[MONTANT],DONNEES_N1_NOUVEAU[TL2],A52,DONNEES_N1_NOUVEAU[MOIS],DONNÉES!$C$5,DONNEES_N1_NOUVEAU[SOCIETE],"R314")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R314'!$G:$G,'BAL N R314'!$I:$I,$A53,'BAL N R314'!$J:$J,"T")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SUMIFS(DONNEES_N1_NOUVEAU[MONTANT],DONNEES_N1_NOUVEAU[TL2],A53,DONNEES_N1_NOUVEAU[MOIS],DONNÉES!$C$5,DONNEES_N1_NOUVEAU[SOCIETE],"R314")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R314'!$G:$G,'BAL N R314'!$I:$I,$A54,'BAL N R314'!$J:$J,"T")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SUMIFS(DONNEES_N1_NOUVEAU[MONTANT],DONNEES_N1_NOUVEAU[TL2],A54,DONNEES_N1_NOUVEAU[MOIS],DONNÉES!$C$5,DONNEES_N1_NOUVEAU[SOCIETE],"R314")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R314'!$G:$G,'BAL N R314'!$I:$I,$A55,'BAL N R314'!$J:$J,"T")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SUMIFS(DONNEES_N1_NOUVEAU[MONTANT],DONNEES_N1_NOUVEAU[TL2],A55,DONNEES_N1_NOUVEAU[MOIS],DONNÉES!$C$5,DONNEES_N1_NOUVEAU[SOCIETE],"R314")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R314'!$G:$G,'BAL N R314'!$I:$I,$A56,'BAL N R314'!$J:$J,"T")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SUMIFS(DONNEES_N1_NOUVEAU[MONTANT],DONNEES_N1_NOUVEAU[TL2],A56,DONNEES_N1_NOUVEAU[MOIS],DONNÉES!$C$5,DONNEES_N1_NOUVEAU[SOCIETE],"R314")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R314'!$G:$G,'BAL N R314'!$I:$I,$A57,'BAL N R314'!$J:$J,"T")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SUMIFS(DONNEES_N1_NOUVEAU[MONTANT],DONNEES_N1_NOUVEAU[TL2],A57,DONNEES_N1_NOUVEAU[MOIS],DONNÉES!$C$5,DONNEES_N1_NOUVEAU[SOCIETE],"R314")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R314'!$G:$G,'BAL N R314'!$I:$I,$A58,'BAL N R314'!$J:$J,"T")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SUMIFS(DONNEES_N1_NOUVEAU[MONTANT],DONNEES_N1_NOUVEAU[TL2],A58,DONNEES_N1_NOUVEAU[MOIS],DONNÉES!$C$5,DONNEES_N1_NOUVEAU[SOCIETE],"R314")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R314'!$G:$G,'BAL N R314'!$I:$I,$A63,'BAL N R314'!$J:$J,"T")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-SUMIFS(DONNEES_N1_NOUVEAU[MONTANT],DONNEES_N1_NOUVEAU[TL2],A63,DONNEES_N1_NOUVEAU[MOIS],DONNÉES!$C$5,DONNEES_N1_NOUVEAU[SOCIETE],"R314")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R314'!$G:$G,'BAL N R314'!$I:$I,$A64,'BAL N R314'!$J:$J,"T")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SUMIFS(DONNEES_N1_NOUVEAU[MONTANT],DONNEES_N1_NOUVEAU[TL2],A64,DONNEES_N1_NOUVEAU[MOIS],DONNÉES!$C$5,DONNEES_N1_NOUVEAU[SOCIETE],"R314")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R314'!$G:$G,'BAL N R314'!$I:$I,$A67,'BAL N R314'!$J:$J,"T")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-SUMIFS(DONNEES_N1_NOUVEAU[MONTANT],DONNEES_N1_NOUVEAU[TL2],A67,DONNEES_N1_NOUVEAU[MOIS],DONNÉES!$C$5,DONNEES_N1_NOUVEAU[SOCIETE],"R314")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R314'!$G:$G,'BAL N R314'!$I:$I,$A72,'BAL N R314'!$J:$J,"T")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-SUMIFS(DONNEES_N1_NOUVEAU[MONTANT],DONNEES_N1_NOUVEAU[TL2],A72,DONNEES_N1_NOUVEAU[MOIS],DONNÉES!$C$5,DONNEES_N1_NOUVEAU[SOCIETE],"R314")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R314'!$G:$G,'BAL N R314'!$I:$I,$A74,'BAL N R314'!$J:$J,"T")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SUMIFS(DONNEES_N1_NOUVEAU[MONTANT],DONNEES_N1_NOUVEAU[TL2],A74,DONNEES_N1_NOUVEAU[MOIS],DONNÉES!$C$5,DONNEES_N1_NOUVEAU[SOCIETE],"R314")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0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VLOOKUP(PARAMETRES!$C$2,TRANSR314[],2,FALSE)</f>
        <v/>
      </c>
      <c r="D78" s="450" t="n"/>
      <c r="E78" s="449">
        <f>VLOOKUP(PARAMETRES!$C$2,TRANSR314[],3,FALSE)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VLOOKUP(PARAMETRES!$C$2,PMCR314[],2,FALSE)</f>
        <v/>
      </c>
      <c r="D80" s="450" t="n"/>
      <c r="E80" s="453">
        <f>VLOOKUP(PARAMETRES!$C$2,PMCR314[],3,FALSE)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56.xml><?xml version="1.0" encoding="utf-8"?>
<worksheet xmlns="http://schemas.openxmlformats.org/spreadsheetml/2006/main">
  <sheetPr codeName="Feuil47">
    <tabColor rgb="FFFFFF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K35" sqref="K35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42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LYSE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LYSE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LYSE'!$G:$G,'BAL N LYSE'!$I:$I,$A8,'BAL N LYSE'!$J:$J,"T")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-SUMIFS(DONNEES_N1_NOUVEAU[MONTANT],DONNEES_N1_NOUVEAU[TL2],A8,DONNEES_N1_NOUVEAU[MOIS],DONNÉES!$C$5,DONNEES_N1_NOUVEAU[SOCIETE],"LYSE")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LYSE'!$G:$G,'BAL N LYSE'!$I:$I,$A10,'BAL N LYSE'!$J:$J,"T")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SUMIFS(DONNEES_N1_NOUVEAU[MONTANT],DONNEES_N1_NOUVEAU[TL2],A10,DONNEES_N1_NOUVEAU[MOIS],DONNÉES!$C$5,DONNEES_N1_NOUVEAU[SOCIETE],"LYSE")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LYSE'!$G:$G,'BAL N LYSE'!$I:$I,$A11,'BAL N LYSE'!$J:$J,"T")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SUMIFS(DONNEES_N1_NOUVEAU[MONTANT],DONNEES_N1_NOUVEAU[TL2],A11,DONNEES_N1_NOUVEAU[MOIS],DONNÉES!$C$5,DONNEES_N1_NOUVEAU[SOCIETE],"LYSE")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LYSE'!$G:$G,'BAL N LYSE'!$I:$I,$A12,'BAL N LYSE'!$J:$J,"T")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SUMIFS(DONNEES_N1_NOUVEAU[MONTANT],DONNEES_N1_NOUVEAU[TL2],A12,DONNEES_N1_NOUVEAU[MOIS],DONNÉES!$C$5,DONNEES_N1_NOUVEAU[SOCIETE],"LYSE")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LYSE'!$G:$G,'BAL N LYSE'!$I:$I,$A14,'BAL N LYSE'!$J:$J,"T")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SUMIFS(DONNEES_N1_NOUVEAU[MONTANT],DONNEES_N1_NOUVEAU[TL2],A14,DONNEES_N1_NOUVEAU[MOIS],DONNÉES!$C$5,DONNEES_N1_NOUVEAU[SOCIETE],"LYSE")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LYSE'!$G:$G,'BAL N LYSE'!$I:$I,$A15,'BAL N LYSE'!$J:$J,"T")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SUMIFS(DONNEES_N1_NOUVEAU[MONTANT],DONNEES_N1_NOUVEAU[TL2],A15,DONNEES_N1_NOUVEAU[MOIS],DONNÉES!$C$5,DONNEES_N1_NOUVEAU[SOCIETE],"LYSE")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LYSE'!$G:$G,'BAL N LYSE'!$I:$I,$A20,'BAL N LYSE'!$J:$J,"T")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SUMIFS(DONNEES_N1_NOUVEAU[MONTANT],DONNEES_N1_NOUVEAU[TL2],A20,DONNEES_N1_NOUVEAU[MOIS],DONNÉES!$C$5,DONNEES_N1_NOUVEAU[SOCIETE],"LYSE")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LYSE'!$G:$G,'BAL N LYSE'!$I:$I,$A21,'BAL N LYSE'!$J:$J,"T")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SUMIFS(DONNEES_N1_NOUVEAU[MONTANT],DONNEES_N1_NOUVEAU[TL2],A21,DONNEES_N1_NOUVEAU[MOIS],DONNÉES!$C$5,DONNEES_N1_NOUVEAU[SOCIETE],"LYSE")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LYSE'!$G:$G,'BAL N LYSE'!$I:$I,$A22,'BAL N LYSE'!$J:$J,"T")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SUMIFS(DONNEES_N1_NOUVEAU[MONTANT],DONNEES_N1_NOUVEAU[TL2],A22,DONNEES_N1_NOUVEAU[MOIS],DONNÉES!$C$5,DONNEES_N1_NOUVEAU[SOCIETE],"LYSE")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LYSE'!$G:$G,'BAL N LYSE'!$I:$I,$A23,'BAL N LYSE'!$J:$J,"T")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SUMIFS(DONNEES_N1_NOUVEAU[MONTANT],DONNEES_N1_NOUVEAU[TL2],A23,DONNEES_N1_NOUVEAU[MOIS],DONNÉES!$C$5,DONNEES_N1_NOUVEAU[SOCIETE],"LYSE")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LYSE'!$G:$G,'BAL N LYSE'!$I:$I,$A24,'BAL N LYSE'!$J:$J,"T")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SUMIFS(DONNEES_N1_NOUVEAU[MONTANT],DONNEES_N1_NOUVEAU[TL2],A24,DONNEES_N1_NOUVEAU[MOIS],DONNÉES!$C$5,DONNEES_N1_NOUVEAU[SOCIETE],"LYSE")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LYSE'!$G:$G,'BAL N LYSE'!$I:$I,$A25,'BAL N LYSE'!$J:$J,"T")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SUMIFS(DONNEES_N1_NOUVEAU[MONTANT],DONNEES_N1_NOUVEAU[TL2],A25,DONNEES_N1_NOUVEAU[MOIS],DONNÉES!$C$5,DONNEES_N1_NOUVEAU[SOCIETE],"LYSE")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LYSE'!$G:$G,'BAL N LYSE'!$I:$I,$A28,'BAL N LYSE'!$J:$J,"T")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SUMIFS(DONNEES_N1_NOUVEAU[MONTANT],DONNEES_N1_NOUVEAU[TL2],A28,DONNEES_N1_NOUVEAU[MOIS],DONNÉES!$C$5,DONNEES_N1_NOUVEAU[SOCIETE],"LYSE")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LYSE'!$G:$G,'BAL N LYSE'!$I:$I,$A29,'BAL N LYSE'!$J:$J,"T")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SUMIFS(DONNEES_N1_NOUVEAU[MONTANT],DONNEES_N1_NOUVEAU[TL2],A29,DONNEES_N1_NOUVEAU[MOIS],DONNÉES!$C$5,DONNEES_N1_NOUVEAU[SOCIETE],"LYSE")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LYSE'!$G:$G,'BAL N LYSE'!$I:$I,$A30,'BAL N LYSE'!$J:$J,"T")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SUMIFS(DONNEES_N1_NOUVEAU[MONTANT],DONNEES_N1_NOUVEAU[TL2],A30,DONNEES_N1_NOUVEAU[MOIS],DONNÉES!$C$5,DONNEES_N1_NOUVEAU[SOCIETE],"LYSE")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LYSE'!$G:$G,'BAL N LYSE'!$I:$I,$A31,'BAL N LYSE'!$J:$J,"T")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SUMIFS(DONNEES_N1_NOUVEAU[MONTANT],DONNEES_N1_NOUVEAU[TL2],A31,DONNEES_N1_NOUVEAU[MOIS],DONNÉES!$C$5,DONNEES_N1_NOUVEAU[SOCIETE],"LYSE")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LYSE'!$G:$G,'BAL N LYSE'!$I:$I,$A32,'BAL N LYSE'!$J:$J,"T")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SUMIFS(DONNEES_N1_NOUVEAU[MONTANT],DONNEES_N1_NOUVEAU[TL2],A32,DONNEES_N1_NOUVEAU[MOIS],DONNÉES!$C$5,DONNEES_N1_NOUVEAU[SOCIETE],"LYSE")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LYSE'!$G:$G,'BAL N LYSE'!$I:$I,$A35,'BAL N LYSE'!$J:$J,"T")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SUMIFS(DONNEES_N1_NOUVEAU[MONTANT],DONNEES_N1_NOUVEAU[TL2],A35,DONNEES_N1_NOUVEAU[MOIS],DONNÉES!$C$5,DONNEES_N1_NOUVEAU[SOCIETE],"LYSE")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LYSE'!$G:$G,'BAL N LYSE'!$I:$I,$A36,'BAL N LYSE'!$J:$J,"T")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SUMIFS(DONNEES_N1_NOUVEAU[MONTANT],DONNEES_N1_NOUVEAU[TL2],A36,DONNEES_N1_NOUVEAU[MOIS],DONNÉES!$C$5,DONNEES_N1_NOUVEAU[SOCIETE],"LYSE")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LYSE'!$G:$G,'BAL N LYSE'!$I:$I,$A37,'BAL N LYSE'!$J:$J,"T")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SUMIFS(DONNEES_N1_NOUVEAU[MONTANT],DONNEES_N1_NOUVEAU[TL2],A37,DONNEES_N1_NOUVEAU[MOIS],DONNÉES!$C$5,DONNEES_N1_NOUVEAU[SOCIETE],"LYSE")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LYSE'!$G:$G,'BAL N LYSE'!$I:$I,$A38,'BAL N LYSE'!$J:$J,"T")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SUMIFS(DONNEES_N1_NOUVEAU[MONTANT],DONNEES_N1_NOUVEAU[TL2],A38,DONNEES_N1_NOUVEAU[MOIS],DONNÉES!$C$5,DONNEES_N1_NOUVEAU[SOCIETE],"LYSE")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LYSE'!$G:$G,'BAL N LYSE'!$I:$I,$A39,'BAL N LYSE'!$J:$J,"T")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SUMIFS(DONNEES_N1_NOUVEAU[MONTANT],DONNEES_N1_NOUVEAU[TL2],A39,DONNEES_N1_NOUVEAU[MOIS],DONNÉES!$C$5,DONNEES_N1_NOUVEAU[SOCIETE],"LYSE")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LYSE'!$G:$G,'BAL N LYSE'!$I:$I,$A40,'BAL N LYSE'!$J:$J,"T")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SUMIFS(DONNEES_N1_NOUVEAU[MONTANT],DONNEES_N1_NOUVEAU[TL2],A40,DONNEES_N1_NOUVEAU[MOIS],DONNÉES!$C$5,DONNEES_N1_NOUVEAU[SOCIETE],"LYSE")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LYSE'!$G:$G,'BAL N LYSE'!$I:$I,$A41,'BAL N LYSE'!$J:$J,"T")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SUMIFS(DONNEES_N1_NOUVEAU[MONTANT],DONNEES_N1_NOUVEAU[TL2],A41,DONNEES_N1_NOUVEAU[MOIS],DONNÉES!$C$5,DONNEES_N1_NOUVEAU[SOCIETE],"LYSE")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LYSE'!$G:$G,'BAL N LYSE'!$I:$I,$A46,'BAL N LYSE'!$J:$J,"T")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SUMIFS(DONNEES_N1_NOUVEAU[MONTANT],DONNEES_N1_NOUVEAU[TL2],A46,DONNEES_N1_NOUVEAU[MOIS],DONNÉES!$C$5,DONNEES_N1_NOUVEAU[SOCIETE],"LYSE")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LYSE'!$G:$G,'BAL N LYSE'!$I:$I,$A47,'BAL N LYSE'!$J:$J,"T")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SUMIFS(DONNEES_N1_NOUVEAU[MONTANT],DONNEES_N1_NOUVEAU[TL2],A47,DONNEES_N1_NOUVEAU[MOIS],DONNÉES!$C$5,DONNEES_N1_NOUVEAU[SOCIETE],"LYSE")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LYSE'!$G:$G,'BAL N LYSE'!$I:$I,$A48,'BAL N LYSE'!$J:$J,"T")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SUMIFS(DONNEES_N1_NOUVEAU[MONTANT],DONNEES_N1_NOUVEAU[TL2],A48,DONNEES_N1_NOUVEAU[MOIS],DONNÉES!$C$5,DONNEES_N1_NOUVEAU[SOCIETE],"LYSE")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LYSE'!$G:$G,'BAL N LYSE'!$I:$I,$A51,'BAL N LYSE'!$J:$J,"T")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SUMIFS(DONNEES_N1_NOUVEAU[MONTANT],DONNEES_N1_NOUVEAU[TL2],A51,DONNEES_N1_NOUVEAU[MOIS],DONNÉES!$C$5,DONNEES_N1_NOUVEAU[SOCIETE],"LYSE")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LYSE'!$G:$G,'BAL N LYSE'!$I:$I,$A52,'BAL N LYSE'!$J:$J,"T")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SUMIFS(DONNEES_N1_NOUVEAU[MONTANT],DONNEES_N1_NOUVEAU[TL2],A52,DONNEES_N1_NOUVEAU[MOIS],DONNÉES!$C$5,DONNEES_N1_NOUVEAU[SOCIETE],"LYSE")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LYSE'!$G:$G,'BAL N LYSE'!$I:$I,$A53,'BAL N LYSE'!$J:$J,"T")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SUMIFS(DONNEES_N1_NOUVEAU[MONTANT],DONNEES_N1_NOUVEAU[TL2],A53,DONNEES_N1_NOUVEAU[MOIS],DONNÉES!$C$5,DONNEES_N1_NOUVEAU[SOCIETE],"LYSE")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LYSE'!$G:$G,'BAL N LYSE'!$I:$I,$A54,'BAL N LYSE'!$J:$J,"T")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SUMIFS(DONNEES_N1_NOUVEAU[MONTANT],DONNEES_N1_NOUVEAU[TL2],A54,DONNEES_N1_NOUVEAU[MOIS],DONNÉES!$C$5,DONNEES_N1_NOUVEAU[SOCIETE],"LYSE")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LYSE'!$G:$G,'BAL N LYSE'!$I:$I,$A55,'BAL N LYSE'!$J:$J,"T")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SUMIFS(DONNEES_N1_NOUVEAU[MONTANT],DONNEES_N1_NOUVEAU[TL2],A55,DONNEES_N1_NOUVEAU[MOIS],DONNÉES!$C$5,DONNEES_N1_NOUVEAU[SOCIETE],"LYSE")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LYSE'!$G:$G,'BAL N LYSE'!$I:$I,$A56,'BAL N LYSE'!$J:$J,"T")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SUMIFS(DONNEES_N1_NOUVEAU[MONTANT],DONNEES_N1_NOUVEAU[TL2],A56,DONNEES_N1_NOUVEAU[MOIS],DONNÉES!$C$5,DONNEES_N1_NOUVEAU[SOCIETE],"LYSE")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LYSE'!$G:$G,'BAL N LYSE'!$I:$I,$A57,'BAL N LYSE'!$J:$J,"T")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SUMIFS(DONNEES_N1_NOUVEAU[MONTANT],DONNEES_N1_NOUVEAU[TL2],A57,DONNEES_N1_NOUVEAU[MOIS],DONNÉES!$C$5,DONNEES_N1_NOUVEAU[SOCIETE],"LYSE")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LYSE'!$G:$G,'BAL N LYSE'!$I:$I,$A58,'BAL N LYSE'!$J:$J,"T")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SUMIFS(DONNEES_N1_NOUVEAU[MONTANT],DONNEES_N1_NOUVEAU[TL2],A58,DONNEES_N1_NOUVEAU[MOIS],DONNÉES!$C$5,DONNEES_N1_NOUVEAU[SOCIETE],"LYSE")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LYSE'!$G:$G,'BAL N LYSE'!$I:$I,$A63,'BAL N LYSE'!$J:$J,"T")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-SUMIFS(DONNEES_N1_NOUVEAU[MONTANT],DONNEES_N1_NOUVEAU[TL2],A63,DONNEES_N1_NOUVEAU[MOIS],DONNÉES!$C$5,DONNEES_N1_NOUVEAU[SOCIETE],"LYSE")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LYSE'!$G:$G,'BAL N LYSE'!$I:$I,$A64,'BAL N LYSE'!$J:$J,"T")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SUMIFS(DONNEES_N1_NOUVEAU[MONTANT],DONNEES_N1_NOUVEAU[TL2],A64,DONNEES_N1_NOUVEAU[MOIS],DONNÉES!$C$5,DONNEES_N1_NOUVEAU[SOCIETE],"LYSE")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LYSE'!$G:$G,'BAL N LYSE'!$I:$I,$A67,'BAL N LYSE'!$J:$J,"T")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-SUMIFS(DONNEES_N1_NOUVEAU[MONTANT],DONNEES_N1_NOUVEAU[TL2],A67,DONNEES_N1_NOUVEAU[MOIS],DONNÉES!$C$5,DONNEES_N1_NOUVEAU[SOCIETE],"LYSE")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LYSE'!$G:$G,'BAL N LYSE'!$I:$I,$A72,'BAL N LYSE'!$J:$J,"T")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-SUMIFS(DONNEES_N1_NOUVEAU[MONTANT],DONNEES_N1_NOUVEAU[TL2],A72,DONNEES_N1_NOUVEAU[MOIS],DONNÉES!$C$5,DONNEES_N1_NOUVEAU[SOCIETE],"LYSE")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LYSE'!$G:$G,'BAL N LYSE'!$I:$I,$A74,'BAL N LYSE'!$J:$J,"T")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SUMIFS(DONNEES_N1_NOUVEAU[MONTANT],DONNEES_N1_NOUVEAU[TL2],A74,DONNEES_N1_NOUVEAU[MOIS],DONNÉES!$C$5,DONNEES_N1_NOUVEAU[SOCIETE],"LYSE")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VLOOKUP(PARAMETRES!$C$2,TRANSLYSE[],2,FALSE)</f>
        <v/>
      </c>
      <c r="D78" s="450" t="n"/>
      <c r="E78" s="449">
        <f>VLOOKUP(PARAMETRES!$C$2,TRANSLYSE[],3,FALSE)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VLOOKUP(PARAMETRES!$C$2,PMLYSE[],2,FALSE)</f>
        <v/>
      </c>
      <c r="D80" s="450" t="n"/>
      <c r="E80" s="453">
        <f>VLOOKUP(PARAMETRES!$C$2,PMLYSE[],3,FALSE)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58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topLeftCell="A10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21" zoomScaleNormal="100" zoomScaleSheetLayoutView="115" zoomScalePageLayoutView="85" workbookViewId="0">
      <selection activeCell="D46" sqref="D1:I104857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ARTHUR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ARTHUR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ARTHUR'!$G:$G,'BAL N ARTHUR'!$I:$I,$A8,'BAL N ARTHUR'!$J:$J,"T")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-SUMIFS(DONNEES_N1_NOUVEAU[MONTANT],DONNEES_N1_NOUVEAU[TL2],A8,DONNEES_N1_NOUVEAU[MOIS],DONNÉES!$C$5,DONNEES_N1_NOUVEAU[SOCIETE],"ARTHUR")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ARTHUR'!$G:$G,'BAL N ARTHUR'!$I:$I,$A10,'BAL N ARTHUR'!$J:$J,"T")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SUMIFS(DONNEES_N1_NOUVEAU[MONTANT],DONNEES_N1_NOUVEAU[TL2],A10,DONNEES_N1_NOUVEAU[MOIS],DONNÉES!$C$5,DONNEES_N1_NOUVEAU[SOCIETE],"ARTHUR")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ARTHUR'!$G:$G,'BAL N ARTHUR'!$I:$I,$A11,'BAL N ARTHUR'!$J:$J,"T")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SUMIFS(DONNEES_N1_NOUVEAU[MONTANT],DONNEES_N1_NOUVEAU[TL2],A11,DONNEES_N1_NOUVEAU[MOIS],DONNÉES!$C$5,DONNEES_N1_NOUVEAU[SOCIETE],"ARTHUR")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ARTHUR'!$G:$G,'BAL N ARTHUR'!$I:$I,$A12,'BAL N ARTHUR'!$J:$J,"T")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SUMIFS(DONNEES_N1_NOUVEAU[MONTANT],DONNEES_N1_NOUVEAU[TL2],A12,DONNEES_N1_NOUVEAU[MOIS],DONNÉES!$C$5,DONNEES_N1_NOUVEAU[SOCIETE],"ARTHUR")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ARTHUR'!$G:$G,'BAL N ARTHUR'!$I:$I,$A14,'BAL N ARTHUR'!$J:$J,"T")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SUMIFS(DONNEES_N1_NOUVEAU[MONTANT],DONNEES_N1_NOUVEAU[TL2],A14,DONNEES_N1_NOUVEAU[MOIS],DONNÉES!$C$5,DONNEES_N1_NOUVEAU[SOCIETE],"ARTHUR")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ARTHUR'!$G:$G,'BAL N ARTHUR'!$I:$I,$A15,'BAL N ARTHUR'!$J:$J,"T")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SUMIFS(DONNEES_N1_NOUVEAU[MONTANT],DONNEES_N1_NOUVEAU[TL2],A15,DONNEES_N1_NOUVEAU[MOIS],DONNÉES!$C$5,DONNEES_N1_NOUVEAU[SOCIETE],"ARTHUR")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ARTHUR'!$G:$G,'BAL N ARTHUR'!$I:$I,$A20,'BAL N ARTHUR'!$J:$J,"T")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SUMIFS(DONNEES_N1_NOUVEAU[MONTANT],DONNEES_N1_NOUVEAU[TL2],A20,DONNEES_N1_NOUVEAU[MOIS],DONNÉES!$C$5,DONNEES_N1_NOUVEAU[SOCIETE],"ARTHUR")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ARTHUR'!$G:$G,'BAL N ARTHUR'!$I:$I,$A21,'BAL N ARTHUR'!$J:$J,"T")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SUMIFS(DONNEES_N1_NOUVEAU[MONTANT],DONNEES_N1_NOUVEAU[TL2],A21,DONNEES_N1_NOUVEAU[MOIS],DONNÉES!$C$5,DONNEES_N1_NOUVEAU[SOCIETE],"ARTHUR")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ARTHUR'!$G:$G,'BAL N ARTHUR'!$I:$I,$A22,'BAL N ARTHUR'!$J:$J,"T")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SUMIFS(DONNEES_N1_NOUVEAU[MONTANT],DONNEES_N1_NOUVEAU[TL2],A22,DONNEES_N1_NOUVEAU[MOIS],DONNÉES!$C$5,DONNEES_N1_NOUVEAU[SOCIETE],"ARTHUR")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ARTHUR'!$G:$G,'BAL N ARTHUR'!$I:$I,$A23,'BAL N ARTHUR'!$J:$J,"T")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SUMIFS(DONNEES_N1_NOUVEAU[MONTANT],DONNEES_N1_NOUVEAU[TL2],A23,DONNEES_N1_NOUVEAU[MOIS],DONNÉES!$C$5,DONNEES_N1_NOUVEAU[SOCIETE],"ARTHUR")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ARTHUR'!$G:$G,'BAL N ARTHUR'!$I:$I,$A24,'BAL N ARTHUR'!$J:$J,"T")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SUMIFS(DONNEES_N1_NOUVEAU[MONTANT],DONNEES_N1_NOUVEAU[TL2],A24,DONNEES_N1_NOUVEAU[MOIS],DONNÉES!$C$5,DONNEES_N1_NOUVEAU[SOCIETE],"ARTHUR")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ARTHUR'!$G:$G,'BAL N ARTHUR'!$I:$I,$A25,'BAL N ARTHUR'!$J:$J,"T")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SUMIFS(DONNEES_N1_NOUVEAU[MONTANT],DONNEES_N1_NOUVEAU[TL2],A25,DONNEES_N1_NOUVEAU[MOIS],DONNÉES!$C$5,DONNEES_N1_NOUVEAU[SOCIETE],"ARTHUR")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ARTHUR'!$G:$G,'BAL N ARTHUR'!$I:$I,$A28,'BAL N ARTHUR'!$J:$J,"T")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SUMIFS(DONNEES_N1_NOUVEAU[MONTANT],DONNEES_N1_NOUVEAU[TL2],A28,DONNEES_N1_NOUVEAU[MOIS],DONNÉES!$C$5,DONNEES_N1_NOUVEAU[SOCIETE],"ARTHUR")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ARTHUR'!$G:$G,'BAL N ARTHUR'!$I:$I,$A29,'BAL N ARTHUR'!$J:$J,"T")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SUMIFS(DONNEES_N1_NOUVEAU[MONTANT],DONNEES_N1_NOUVEAU[TL2],A29,DONNEES_N1_NOUVEAU[MOIS],DONNÉES!$C$5,DONNEES_N1_NOUVEAU[SOCIETE],"ARTHUR")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ARTHUR'!$G:$G,'BAL N ARTHUR'!$I:$I,$A30,'BAL N ARTHUR'!$J:$J,"T")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SUMIFS(DONNEES_N1_NOUVEAU[MONTANT],DONNEES_N1_NOUVEAU[TL2],A30,DONNEES_N1_NOUVEAU[MOIS],DONNÉES!$C$5,DONNEES_N1_NOUVEAU[SOCIETE],"ARTHUR")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ARTHUR'!$G:$G,'BAL N ARTHUR'!$I:$I,$A31,'BAL N ARTHUR'!$J:$J,"T")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SUMIFS(DONNEES_N1_NOUVEAU[MONTANT],DONNEES_N1_NOUVEAU[TL2],A31,DONNEES_N1_NOUVEAU[MOIS],DONNÉES!$C$5,DONNEES_N1_NOUVEAU[SOCIETE],"ARTHUR")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ARTHUR'!$G:$G,'BAL N ARTHUR'!$I:$I,$A32,'BAL N ARTHUR'!$J:$J,"T")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SUMIFS(DONNEES_N1_NOUVEAU[MONTANT],DONNEES_N1_NOUVEAU[TL2],A32,DONNEES_N1_NOUVEAU[MOIS],DONNÉES!$C$5,DONNEES_N1_NOUVEAU[SOCIETE],"ARTHUR")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ARTHUR'!$G:$G,'BAL N ARTHUR'!$I:$I,$A35,'BAL N ARTHUR'!$J:$J,"T")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SUMIFS(DONNEES_N1_NOUVEAU[MONTANT],DONNEES_N1_NOUVEAU[TL2],A35,DONNEES_N1_NOUVEAU[MOIS],DONNÉES!$C$5,DONNEES_N1_NOUVEAU[SOCIETE],"ARTHUR")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ARTHUR'!$G:$G,'BAL N ARTHUR'!$I:$I,$A36,'BAL N ARTHUR'!$J:$J,"T")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SUMIFS(DONNEES_N1_NOUVEAU[MONTANT],DONNEES_N1_NOUVEAU[TL2],A36,DONNEES_N1_NOUVEAU[MOIS],DONNÉES!$C$5,DONNEES_N1_NOUVEAU[SOCIETE],"ARTHUR")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ARTHUR'!$G:$G,'BAL N ARTHUR'!$I:$I,$A37,'BAL N ARTHUR'!$J:$J,"T")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SUMIFS(DONNEES_N1_NOUVEAU[MONTANT],DONNEES_N1_NOUVEAU[TL2],A37,DONNEES_N1_NOUVEAU[MOIS],DONNÉES!$C$5,DONNEES_N1_NOUVEAU[SOCIETE],"ARTHUR")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ARTHUR'!$G:$G,'BAL N ARTHUR'!$I:$I,$A38,'BAL N ARTHUR'!$J:$J,"T")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SUMIFS(DONNEES_N1_NOUVEAU[MONTANT],DONNEES_N1_NOUVEAU[TL2],A38,DONNEES_N1_NOUVEAU[MOIS],DONNÉES!$C$5,DONNEES_N1_NOUVEAU[SOCIETE],"ARTHUR")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ARTHUR'!$G:$G,'BAL N ARTHUR'!$I:$I,$A39,'BAL N ARTHUR'!$J:$J,"T")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SUMIFS(DONNEES_N1_NOUVEAU[MONTANT],DONNEES_N1_NOUVEAU[TL2],A39,DONNEES_N1_NOUVEAU[MOIS],DONNÉES!$C$5,DONNEES_N1_NOUVEAU[SOCIETE],"ARTHUR")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ARTHUR'!$G:$G,'BAL N ARTHUR'!$I:$I,$A40,'BAL N ARTHUR'!$J:$J,"T")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SUMIFS(DONNEES_N1_NOUVEAU[MONTANT],DONNEES_N1_NOUVEAU[TL2],A40,DONNEES_N1_NOUVEAU[MOIS],DONNÉES!$C$5,DONNEES_N1_NOUVEAU[SOCIETE],"ARTHUR")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ARTHUR'!$G:$G,'BAL N ARTHUR'!$I:$I,$A41,'BAL N ARTHUR'!$J:$J,"T")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SUMIFS(DONNEES_N1_NOUVEAU[MONTANT],DONNEES_N1_NOUVEAU[TL2],A41,DONNEES_N1_NOUVEAU[MOIS],DONNÉES!$C$5,DONNEES_N1_NOUVEAU[SOCIETE],"ARTHUR")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ARTHUR'!$G:$G,'BAL N ARTHUR'!$I:$I,$A46,'BAL N ARTHUR'!$J:$J,"T")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SUMIFS(DONNEES_N1_NOUVEAU[MONTANT],DONNEES_N1_NOUVEAU[TL2],A46,DONNEES_N1_NOUVEAU[MOIS],DONNÉES!$C$5,DONNEES_N1_NOUVEAU[SOCIETE],"ARTHUR")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ARTHUR'!$G:$G,'BAL N ARTHUR'!$I:$I,$A47,'BAL N ARTHUR'!$J:$J,"T")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SUMIFS(DONNEES_N1_NOUVEAU[MONTANT],DONNEES_N1_NOUVEAU[TL2],A47,DONNEES_N1_NOUVEAU[MOIS],DONNÉES!$C$5,DONNEES_N1_NOUVEAU[SOCIETE],"ARTHUR")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ARTHUR'!$G:$G,'BAL N ARTHUR'!$I:$I,$A48,'BAL N ARTHUR'!$J:$J,"T")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SUMIFS(DONNEES_N1_NOUVEAU[MONTANT],DONNEES_N1_NOUVEAU[TL2],A48,DONNEES_N1_NOUVEAU[MOIS],DONNÉES!$C$5,DONNEES_N1_NOUVEAU[SOCIETE],"ARTHUR")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ARTHUR'!$G:$G,'BAL N ARTHUR'!$I:$I,$A51,'BAL N ARTHUR'!$J:$J,"T")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SUMIFS(DONNEES_N1_NOUVEAU[MONTANT],DONNEES_N1_NOUVEAU[TL2],A51,DONNEES_N1_NOUVEAU[MOIS],DONNÉES!$C$5,DONNEES_N1_NOUVEAU[SOCIETE],"ARTHUR")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ARTHUR'!$G:$G,'BAL N ARTHUR'!$I:$I,$A52,'BAL N ARTHUR'!$J:$J,"T")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SUMIFS(DONNEES_N1_NOUVEAU[MONTANT],DONNEES_N1_NOUVEAU[TL2],A52,DONNEES_N1_NOUVEAU[MOIS],DONNÉES!$C$5,DONNEES_N1_NOUVEAU[SOCIETE],"ARTHUR")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ARTHUR'!$G:$G,'BAL N ARTHUR'!$I:$I,$A53,'BAL N ARTHUR'!$J:$J,"T")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SUMIFS(DONNEES_N1_NOUVEAU[MONTANT],DONNEES_N1_NOUVEAU[TL2],A53,DONNEES_N1_NOUVEAU[MOIS],DONNÉES!$C$5,DONNEES_N1_NOUVEAU[SOCIETE],"ARTHUR")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ARTHUR'!$G:$G,'BAL N ARTHUR'!$I:$I,$A54,'BAL N ARTHUR'!$J:$J,"T")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SUMIFS(DONNEES_N1_NOUVEAU[MONTANT],DONNEES_N1_NOUVEAU[TL2],A54,DONNEES_N1_NOUVEAU[MOIS],DONNÉES!$C$5,DONNEES_N1_NOUVEAU[SOCIETE],"ARTHUR")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ARTHUR'!$G:$G,'BAL N ARTHUR'!$I:$I,$A55,'BAL N ARTHUR'!$J:$J,"T")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SUMIFS(DONNEES_N1_NOUVEAU[MONTANT],DONNEES_N1_NOUVEAU[TL2],A55,DONNEES_N1_NOUVEAU[MOIS],DONNÉES!$C$5,DONNEES_N1_NOUVEAU[SOCIETE],"ARTHUR")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ARTHUR'!$G:$G,'BAL N ARTHUR'!$I:$I,$A56,'BAL N ARTHUR'!$J:$J,"T")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SUMIFS(DONNEES_N1_NOUVEAU[MONTANT],DONNEES_N1_NOUVEAU[TL2],A56,DONNEES_N1_NOUVEAU[MOIS],DONNÉES!$C$5,DONNEES_N1_NOUVEAU[SOCIETE],"ARTHUR")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ARTHUR'!$G:$G,'BAL N ARTHUR'!$I:$I,$A57,'BAL N ARTHUR'!$J:$J,"T")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SUMIFS(DONNEES_N1_NOUVEAU[MONTANT],DONNEES_N1_NOUVEAU[TL2],A57,DONNEES_N1_NOUVEAU[MOIS],DONNÉES!$C$5,DONNEES_N1_NOUVEAU[SOCIETE],"ARTHUR")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ARTHUR'!$G:$G,'BAL N ARTHUR'!$I:$I,$A58,'BAL N ARTHUR'!$J:$J,"T")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SUMIFS(DONNEES_N1_NOUVEAU[MONTANT],DONNEES_N1_NOUVEAU[TL2],A58,DONNEES_N1_NOUVEAU[MOIS],DONNÉES!$C$5,DONNEES_N1_NOUVEAU[SOCIETE],"ARTHUR")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ARTHUR'!$G:$G,'BAL N ARTHUR'!$I:$I,$A63,'BAL N ARTHUR'!$J:$J,"T")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-SUMIFS(DONNEES_N1_NOUVEAU[MONTANT],DONNEES_N1_NOUVEAU[TL2],A63,DONNEES_N1_NOUVEAU[MOIS],DONNÉES!$C$5,DONNEES_N1_NOUVEAU[SOCIETE],"ARTHUR")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ARTHUR'!$G:$G,'BAL N ARTHUR'!$I:$I,$A64,'BAL N ARTHUR'!$J:$J,"T")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SUMIFS(DONNEES_N1_NOUVEAU[MONTANT],DONNEES_N1_NOUVEAU[TL2],A64,DONNEES_N1_NOUVEAU[MOIS],DONNÉES!$C$5,DONNEES_N1_NOUVEAU[SOCIETE],"ARTHUR")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ARTHUR'!$G:$G,'BAL N ARTHUR'!$I:$I,$A67,'BAL N ARTHUR'!$J:$J,"T")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-SUMIFS(DONNEES_N1_NOUVEAU[MONTANT],DONNEES_N1_NOUVEAU[TL2],A67,DONNEES_N1_NOUVEAU[MOIS],DONNÉES!$C$5,DONNEES_N1_NOUVEAU[SOCIETE],"ARTHUR")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ARTHUR'!$G:$G,'BAL N ARTHUR'!$I:$I,$A72,'BAL N ARTHUR'!$J:$J,"T")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-SUMIFS(DONNEES_N1_NOUVEAU[MONTANT],DONNEES_N1_NOUVEAU[TL2],A72,DONNEES_N1_NOUVEAU[MOIS],DONNÉES!$C$5,DONNEES_N1_NOUVEAU[SOCIETE],"ARTHUR")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ARTHUR'!$G:$G,'BAL N ARTHUR'!$I:$I,$A74,'BAL N ARTHUR'!$J:$J,"T")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SUMIFS(DONNEES_N1_NOUVEAU[MONTANT],DONNEES_N1_NOUVEAU[TL2],A74,DONNEES_N1_NOUVEAU[MOIS],DONNÉES!$C$5,DONNEES_N1_NOUVEAU[SOCIETE],"ARTHUR")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VLOOKUP(PARAMETRES!$C$2,TRANSARTH[],2,FALSE)</f>
        <v/>
      </c>
      <c r="D78" s="450" t="n"/>
      <c r="E78" s="449">
        <f>VLOOKUP(PARAMETRES!$C$2,TRANSARTH[],3,FALSE)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VLOOKUP(PARAMETRES!$C$2,PMARTH[],2,FALSE)</f>
        <v/>
      </c>
      <c r="D80" s="450" t="n"/>
      <c r="E80" s="453">
        <f>VLOOKUP(PARAMETRES!$C$2,PMARTH[],3,FALSE)</f>
        <v/>
      </c>
      <c r="F80" s="450" t="n"/>
      <c r="G80" s="471">
        <f>C80-E80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60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46" zoomScaleNormal="100" zoomScaleSheetLayoutView="115" zoomScalePageLayoutView="85" workbookViewId="0">
      <selection activeCell="D46" sqref="D1:I104857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HUGO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HUGO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HUGO'!$G:$G,'BAL N HUGO'!$I:$I,$A8,'BAL N HUGO'!$J:$J,"T")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-SUMIFS(DONNEES_N1_NOUVEAU[MONTANT],DONNEES_N1_NOUVEAU[TL2],A8,DONNEES_N1_NOUVEAU[MOIS],DONNÉES!$C$5,DONNEES_N1_NOUVEAU[SOCIETE],"HUGO")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HUGO'!$G:$G,'BAL N HUGO'!$I:$I,$A10,'BAL N HUGO'!$J:$J,"T")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SUMIFS(DONNEES_N1_NOUVEAU[MONTANT],DONNEES_N1_NOUVEAU[TL2],A10,DONNEES_N1_NOUVEAU[MOIS],DONNÉES!$C$5,DONNEES_N1_NOUVEAU[SOCIETE],"HUGO")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HUGO'!$G:$G,'BAL N HUGO'!$I:$I,$A11,'BAL N HUGO'!$J:$J,"T")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SUMIFS(DONNEES_N1_NOUVEAU[MONTANT],DONNEES_N1_NOUVEAU[TL2],A11,DONNEES_N1_NOUVEAU[MOIS],DONNÉES!$C$5,DONNEES_N1_NOUVEAU[SOCIETE],"HUGO")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HUGO'!$G:$G,'BAL N HUGO'!$I:$I,$A12,'BAL N HUGO'!$J:$J,"T")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SUMIFS(DONNEES_N1_NOUVEAU[MONTANT],DONNEES_N1_NOUVEAU[TL2],A12,DONNEES_N1_NOUVEAU[MOIS],DONNÉES!$C$5,DONNEES_N1_NOUVEAU[SOCIETE],"HUGO")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HUGO'!$G:$G,'BAL N HUGO'!$I:$I,$A14,'BAL N HUGO'!$J:$J,"T")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SUMIFS(DONNEES_N1_NOUVEAU[MONTANT],DONNEES_N1_NOUVEAU[TL2],A14,DONNEES_N1_NOUVEAU[MOIS],DONNÉES!$C$5,DONNEES_N1_NOUVEAU[SOCIETE],"HUGO")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HUGO'!$G:$G,'BAL N HUGO'!$I:$I,$A15,'BAL N HUGO'!$J:$J,"T")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SUMIFS(DONNEES_N1_NOUVEAU[MONTANT],DONNEES_N1_NOUVEAU[TL2],A15,DONNEES_N1_NOUVEAU[MOIS],DONNÉES!$C$5,DONNEES_N1_NOUVEAU[SOCIETE],"HUGO")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HUGO'!$G:$G,'BAL N HUGO'!$I:$I,$A20,'BAL N HUGO'!$J:$J,"T")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SUMIFS(DONNEES_N1_NOUVEAU[MONTANT],DONNEES_N1_NOUVEAU[TL2],A20,DONNEES_N1_NOUVEAU[MOIS],DONNÉES!$C$5,DONNEES_N1_NOUVEAU[SOCIETE],"HUGO")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HUGO'!$G:$G,'BAL N HUGO'!$I:$I,$A21,'BAL N HUGO'!$J:$J,"T")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SUMIFS(DONNEES_N1_NOUVEAU[MONTANT],DONNEES_N1_NOUVEAU[TL2],A21,DONNEES_N1_NOUVEAU[MOIS],DONNÉES!$C$5,DONNEES_N1_NOUVEAU[SOCIETE],"HUGO")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HUGO'!$G:$G,'BAL N HUGO'!$I:$I,$A22,'BAL N HUGO'!$J:$J,"T")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SUMIFS(DONNEES_N1_NOUVEAU[MONTANT],DONNEES_N1_NOUVEAU[TL2],A22,DONNEES_N1_NOUVEAU[MOIS],DONNÉES!$C$5,DONNEES_N1_NOUVEAU[SOCIETE],"HUGO")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HUGO'!$G:$G,'BAL N HUGO'!$I:$I,$A23,'BAL N HUGO'!$J:$J,"T")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SUMIFS(DONNEES_N1_NOUVEAU[MONTANT],DONNEES_N1_NOUVEAU[TL2],A23,DONNEES_N1_NOUVEAU[MOIS],DONNÉES!$C$5,DONNEES_N1_NOUVEAU[SOCIETE],"HUGO")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HUGO'!$G:$G,'BAL N HUGO'!$I:$I,$A24,'BAL N HUGO'!$J:$J,"T")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SUMIFS(DONNEES_N1_NOUVEAU[MONTANT],DONNEES_N1_NOUVEAU[TL2],A24,DONNEES_N1_NOUVEAU[MOIS],DONNÉES!$C$5,DONNEES_N1_NOUVEAU[SOCIETE],"HUGO")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HUGO'!$G:$G,'BAL N HUGO'!$I:$I,$A25,'BAL N HUGO'!$J:$J,"T")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SUMIFS(DONNEES_N1_NOUVEAU[MONTANT],DONNEES_N1_NOUVEAU[TL2],A25,DONNEES_N1_NOUVEAU[MOIS],DONNÉES!$C$5,DONNEES_N1_NOUVEAU[SOCIETE],"HUGO")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HUGO'!$G:$G,'BAL N HUGO'!$I:$I,$A28,'BAL N HUGO'!$J:$J,"T")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SUMIFS(DONNEES_N1_NOUVEAU[MONTANT],DONNEES_N1_NOUVEAU[TL2],A28,DONNEES_N1_NOUVEAU[MOIS],DONNÉES!$C$5,DONNEES_N1_NOUVEAU[SOCIETE],"HUGO")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HUGO'!$G:$G,'BAL N HUGO'!$I:$I,$A29,'BAL N HUGO'!$J:$J,"T")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SUMIFS(DONNEES_N1_NOUVEAU[MONTANT],DONNEES_N1_NOUVEAU[TL2],A29,DONNEES_N1_NOUVEAU[MOIS],DONNÉES!$C$5,DONNEES_N1_NOUVEAU[SOCIETE],"HUGO")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HUGO'!$G:$G,'BAL N HUGO'!$I:$I,$A30,'BAL N HUGO'!$J:$J,"T")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SUMIFS(DONNEES_N1_NOUVEAU[MONTANT],DONNEES_N1_NOUVEAU[TL2],A30,DONNEES_N1_NOUVEAU[MOIS],DONNÉES!$C$5,DONNEES_N1_NOUVEAU[SOCIETE],"HUGO")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HUGO'!$G:$G,'BAL N HUGO'!$I:$I,$A31,'BAL N HUGO'!$J:$J,"T")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SUMIFS(DONNEES_N1_NOUVEAU[MONTANT],DONNEES_N1_NOUVEAU[TL2],A31,DONNEES_N1_NOUVEAU[MOIS],DONNÉES!$C$5,DONNEES_N1_NOUVEAU[SOCIETE],"HUGO")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HUGO'!$G:$G,'BAL N HUGO'!$I:$I,$A32,'BAL N HUGO'!$J:$J,"T")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SUMIFS(DONNEES_N1_NOUVEAU[MONTANT],DONNEES_N1_NOUVEAU[TL2],A32,DONNEES_N1_NOUVEAU[MOIS],DONNÉES!$C$5,DONNEES_N1_NOUVEAU[SOCIETE],"HUGO")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HUGO'!$G:$G,'BAL N HUGO'!$I:$I,$A35,'BAL N HUGO'!$J:$J,"T")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SUMIFS(DONNEES_N1_NOUVEAU[MONTANT],DONNEES_N1_NOUVEAU[TL2],A35,DONNEES_N1_NOUVEAU[MOIS],DONNÉES!$C$5,DONNEES_N1_NOUVEAU[SOCIETE],"HUGO")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HUGO'!$G:$G,'BAL N HUGO'!$I:$I,$A36,'BAL N HUGO'!$J:$J,"T")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SUMIFS(DONNEES_N1_NOUVEAU[MONTANT],DONNEES_N1_NOUVEAU[TL2],A36,DONNEES_N1_NOUVEAU[MOIS],DONNÉES!$C$5,DONNEES_N1_NOUVEAU[SOCIETE],"HUGO")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HUGO'!$G:$G,'BAL N HUGO'!$I:$I,$A37,'BAL N HUGO'!$J:$J,"T")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SUMIFS(DONNEES_N1_NOUVEAU[MONTANT],DONNEES_N1_NOUVEAU[TL2],A37,DONNEES_N1_NOUVEAU[MOIS],DONNÉES!$C$5,DONNEES_N1_NOUVEAU[SOCIETE],"HUGO")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HUGO'!$G:$G,'BAL N HUGO'!$I:$I,$A38,'BAL N HUGO'!$J:$J,"T")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SUMIFS(DONNEES_N1_NOUVEAU[MONTANT],DONNEES_N1_NOUVEAU[TL2],A38,DONNEES_N1_NOUVEAU[MOIS],DONNÉES!$C$5,DONNEES_N1_NOUVEAU[SOCIETE],"HUGO")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HUGO'!$G:$G,'BAL N HUGO'!$I:$I,$A39,'BAL N HUGO'!$J:$J,"T")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SUMIFS(DONNEES_N1_NOUVEAU[MONTANT],DONNEES_N1_NOUVEAU[TL2],A39,DONNEES_N1_NOUVEAU[MOIS],DONNÉES!$C$5,DONNEES_N1_NOUVEAU[SOCIETE],"HUGO")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HUGO'!$G:$G,'BAL N HUGO'!$I:$I,$A40,'BAL N HUGO'!$J:$J,"T")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SUMIFS(DONNEES_N1_NOUVEAU[MONTANT],DONNEES_N1_NOUVEAU[TL2],A40,DONNEES_N1_NOUVEAU[MOIS],DONNÉES!$C$5,DONNEES_N1_NOUVEAU[SOCIETE],"HUGO")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HUGO'!$G:$G,'BAL N HUGO'!$I:$I,$A41,'BAL N HUGO'!$J:$J,"T")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SUMIFS(DONNEES_N1_NOUVEAU[MONTANT],DONNEES_N1_NOUVEAU[TL2],A41,DONNEES_N1_NOUVEAU[MOIS],DONNÉES!$C$5,DONNEES_N1_NOUVEAU[SOCIETE],"HUGO")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HUGO'!$G:$G,'BAL N HUGO'!$I:$I,$A46,'BAL N HUGO'!$J:$J,"T")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SUMIFS(DONNEES_N1_NOUVEAU[MONTANT],DONNEES_N1_NOUVEAU[TL2],A46,DONNEES_N1_NOUVEAU[MOIS],DONNÉES!$C$5,DONNEES_N1_NOUVEAU[SOCIETE],"HUGO")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HUGO'!$G:$G,'BAL N HUGO'!$I:$I,$A47,'BAL N HUGO'!$J:$J,"T")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SUMIFS(DONNEES_N1_NOUVEAU[MONTANT],DONNEES_N1_NOUVEAU[TL2],A47,DONNEES_N1_NOUVEAU[MOIS],DONNÉES!$C$5,DONNEES_N1_NOUVEAU[SOCIETE],"HUGO")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HUGO'!$G:$G,'BAL N HUGO'!$I:$I,$A48,'BAL N HUGO'!$J:$J,"T")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SUMIFS(DONNEES_N1_NOUVEAU[MONTANT],DONNEES_N1_NOUVEAU[TL2],A48,DONNEES_N1_NOUVEAU[MOIS],DONNÉES!$C$5,DONNEES_N1_NOUVEAU[SOCIETE],"HUGO")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HUGO'!$G:$G,'BAL N HUGO'!$I:$I,$A51,'BAL N HUGO'!$J:$J,"T")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SUMIFS(DONNEES_N1_NOUVEAU[MONTANT],DONNEES_N1_NOUVEAU[TL2],A51,DONNEES_N1_NOUVEAU[MOIS],DONNÉES!$C$5,DONNEES_N1_NOUVEAU[SOCIETE],"HUGO")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HUGO'!$G:$G,'BAL N HUGO'!$I:$I,$A52,'BAL N HUGO'!$J:$J,"T")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SUMIFS(DONNEES_N1_NOUVEAU[MONTANT],DONNEES_N1_NOUVEAU[TL2],A52,DONNEES_N1_NOUVEAU[MOIS],DONNÉES!$C$5,DONNEES_N1_NOUVEAU[SOCIETE],"HUGO")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HUGO'!$G:$G,'BAL N HUGO'!$I:$I,$A53,'BAL N HUGO'!$J:$J,"T")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SUMIFS(DONNEES_N1_NOUVEAU[MONTANT],DONNEES_N1_NOUVEAU[TL2],A53,DONNEES_N1_NOUVEAU[MOIS],DONNÉES!$C$5,DONNEES_N1_NOUVEAU[SOCIETE],"HUGO")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HUGO'!$G:$G,'BAL N HUGO'!$I:$I,$A54,'BAL N HUGO'!$J:$J,"T")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SUMIFS(DONNEES_N1_NOUVEAU[MONTANT],DONNEES_N1_NOUVEAU[TL2],A54,DONNEES_N1_NOUVEAU[MOIS],DONNÉES!$C$5,DONNEES_N1_NOUVEAU[SOCIETE],"HUGO")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HUGO'!$G:$G,'BAL N HUGO'!$I:$I,$A55,'BAL N HUGO'!$J:$J,"T")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SUMIFS(DONNEES_N1_NOUVEAU[MONTANT],DONNEES_N1_NOUVEAU[TL2],A55,DONNEES_N1_NOUVEAU[MOIS],DONNÉES!$C$5,DONNEES_N1_NOUVEAU[SOCIETE],"HUGO")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HUGO'!$G:$G,'BAL N HUGO'!$I:$I,$A56,'BAL N HUGO'!$J:$J,"T")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SUMIFS(DONNEES_N1_NOUVEAU[MONTANT],DONNEES_N1_NOUVEAU[TL2],A56,DONNEES_N1_NOUVEAU[MOIS],DONNÉES!$C$5,DONNEES_N1_NOUVEAU[SOCIETE],"HUGO")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HUGO'!$G:$G,'BAL N HUGO'!$I:$I,$A57,'BAL N HUGO'!$J:$J,"T")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SUMIFS(DONNEES_N1_NOUVEAU[MONTANT],DONNEES_N1_NOUVEAU[TL2],A57,DONNEES_N1_NOUVEAU[MOIS],DONNÉES!$C$5,DONNEES_N1_NOUVEAU[SOCIETE],"HUGO")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HUGO'!$G:$G,'BAL N HUGO'!$I:$I,$A58,'BAL N HUGO'!$J:$J,"T")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SUMIFS(DONNEES_N1_NOUVEAU[MONTANT],DONNEES_N1_NOUVEAU[TL2],A58,DONNEES_N1_NOUVEAU[MOIS],DONNÉES!$C$5,DONNEES_N1_NOUVEAU[SOCIETE],"HUGO")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HUGO'!$G:$G,'BAL N HUGO'!$I:$I,$A63,'BAL N HUGO'!$J:$J,"T")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-SUMIFS(DONNEES_N1_NOUVEAU[MONTANT],DONNEES_N1_NOUVEAU[TL2],A63,DONNEES_N1_NOUVEAU[MOIS],DONNÉES!$C$5,DONNEES_N1_NOUVEAU[SOCIETE],"HUGO")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HUGO'!$G:$G,'BAL N HUGO'!$I:$I,$A64,'BAL N HUGO'!$J:$J,"T")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SUMIFS(DONNEES_N1_NOUVEAU[MONTANT],DONNEES_N1_NOUVEAU[TL2],A64,DONNEES_N1_NOUVEAU[MOIS],DONNÉES!$C$5,DONNEES_N1_NOUVEAU[SOCIETE],"HUGO")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HUGO'!$G:$G,'BAL N HUGO'!$I:$I,$A67,'BAL N HUGO'!$J:$J,"T")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-SUMIFS(DONNEES_N1_NOUVEAU[MONTANT],DONNEES_N1_NOUVEAU[TL2],A67,DONNEES_N1_NOUVEAU[MOIS],DONNÉES!$C$5,DONNEES_N1_NOUVEAU[SOCIETE],"HUGO")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HUGO'!$G:$G,'BAL N HUGO'!$I:$I,$A72,'BAL N HUGO'!$J:$J,"T")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-SUMIFS(DONNEES_N1_NOUVEAU[MONTANT],DONNEES_N1_NOUVEAU[TL2],A72,DONNEES_N1_NOUVEAU[MOIS],DONNÉES!$C$5,DONNEES_N1_NOUVEAU[SOCIETE],"HUGO")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HUGO'!$G:$G,'BAL N HUGO'!$I:$I,$A74,'BAL N HUGO'!$J:$J,"T")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SUMIFS(DONNEES_N1_NOUVEAU[MONTANT],DONNEES_N1_NOUVEAU[TL2],A74,DONNEES_N1_NOUVEAU[MOIS],DONNÉES!$C$5,DONNEES_N1_NOUVEAU[SOCIETE],"HUGO")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VLOOKUP(PARAMETRES!$C$2,TRANSHUGO[],2,FALSE)</f>
        <v/>
      </c>
      <c r="D78" s="450" t="n"/>
      <c r="E78" s="449">
        <f>VLOOKUP(PARAMETRES!$C$2,TRANSHUGO[],3,FALSE)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VLOOKUP(PARAMETRES!$C$2,PMHUGO[],2,FALSE)</f>
        <v/>
      </c>
      <c r="D80" s="450" t="n"/>
      <c r="E80" s="453">
        <f>VLOOKUP(PARAMETRES!$C$2,PMHUGO[],3,FALSE)</f>
        <v/>
      </c>
      <c r="F80" s="450" t="n"/>
      <c r="G80" s="471">
        <f>C80-E80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62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43" zoomScaleNormal="100" zoomScaleSheetLayoutView="115" zoomScalePageLayoutView="85" workbookViewId="0">
      <selection activeCell="D43" sqref="D1:I104857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JEANCLO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JEANCLO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JEANCLO'!$G:$G,'BAL N JEANCLO'!$I:$I,$A8,'BAL N JEANCLO'!$J:$J,"T")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-SUMIFS(DONNEES_N1_NOUVEAU[MONTANT],DONNEES_N1_NOUVEAU[TL2],A8,DONNEES_N1_NOUVEAU[MOIS],DONNÉES!$C$5,DONNEES_N1_NOUVEAU[SOCIETE],"JEANCLO")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JEANCLO'!$G:$G,'BAL N JEANCLO'!$I:$I,$A10,'BAL N JEANCLO'!$J:$J,"T")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SUMIFS(DONNEES_N1_NOUVEAU[MONTANT],DONNEES_N1_NOUVEAU[TL2],A10,DONNEES_N1_NOUVEAU[MOIS],DONNÉES!$C$5,DONNEES_N1_NOUVEAU[SOCIETE],"JEANCLO")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JEANCLO'!$G:$G,'BAL N JEANCLO'!$I:$I,$A11,'BAL N JEANCLO'!$J:$J,"T")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SUMIFS(DONNEES_N1_NOUVEAU[MONTANT],DONNEES_N1_NOUVEAU[TL2],A11,DONNEES_N1_NOUVEAU[MOIS],DONNÉES!$C$5,DONNEES_N1_NOUVEAU[SOCIETE],"JEANCLO")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JEANCLO'!$G:$G,'BAL N JEANCLO'!$I:$I,$A12,'BAL N JEANCLO'!$J:$J,"T")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SUMIFS(DONNEES_N1_NOUVEAU[MONTANT],DONNEES_N1_NOUVEAU[TL2],A12,DONNEES_N1_NOUVEAU[MOIS],DONNÉES!$C$5,DONNEES_N1_NOUVEAU[SOCIETE],"JEANCLO")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JEANCLO'!$G:$G,'BAL N JEANCLO'!$I:$I,$A14,'BAL N JEANCLO'!$J:$J,"T")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SUMIFS(DONNEES_N1_NOUVEAU[MONTANT],DONNEES_N1_NOUVEAU[TL2],A14,DONNEES_N1_NOUVEAU[MOIS],DONNÉES!$C$5,DONNEES_N1_NOUVEAU[SOCIETE],"JEANCLO")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JEANCLO'!$G:$G,'BAL N JEANCLO'!$I:$I,$A15,'BAL N JEANCLO'!$J:$J,"T")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SUMIFS(DONNEES_N1_NOUVEAU[MONTANT],DONNEES_N1_NOUVEAU[TL2],A15,DONNEES_N1_NOUVEAU[MOIS],DONNÉES!$C$5,DONNEES_N1_NOUVEAU[SOCIETE],"JEANCLO")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JEANCLO'!$G:$G,'BAL N JEANCLO'!$I:$I,$A20,'BAL N JEANCLO'!$J:$J,"T")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SUMIFS(DONNEES_N1_NOUVEAU[MONTANT],DONNEES_N1_NOUVEAU[TL2],A20,DONNEES_N1_NOUVEAU[MOIS],DONNÉES!$C$5,DONNEES_N1_NOUVEAU[SOCIETE],"JEANCLO")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JEANCLO'!$G:$G,'BAL N JEANCLO'!$I:$I,$A21,'BAL N JEANCLO'!$J:$J,"T")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SUMIFS(DONNEES_N1_NOUVEAU[MONTANT],DONNEES_N1_NOUVEAU[TL2],A21,DONNEES_N1_NOUVEAU[MOIS],DONNÉES!$C$5,DONNEES_N1_NOUVEAU[SOCIETE],"JEANCLO")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JEANCLO'!$G:$G,'BAL N JEANCLO'!$I:$I,$A22,'BAL N JEANCLO'!$J:$J,"T")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SUMIFS(DONNEES_N1_NOUVEAU[MONTANT],DONNEES_N1_NOUVEAU[TL2],A22,DONNEES_N1_NOUVEAU[MOIS],DONNÉES!$C$5,DONNEES_N1_NOUVEAU[SOCIETE],"JEANCLO")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JEANCLO'!$G:$G,'BAL N JEANCLO'!$I:$I,$A23,'BAL N JEANCLO'!$J:$J,"T")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SUMIFS(DONNEES_N1_NOUVEAU[MONTANT],DONNEES_N1_NOUVEAU[TL2],A23,DONNEES_N1_NOUVEAU[MOIS],DONNÉES!$C$5,DONNEES_N1_NOUVEAU[SOCIETE],"JEANCLO")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JEANCLO'!$G:$G,'BAL N JEANCLO'!$I:$I,$A24,'BAL N JEANCLO'!$J:$J,"T")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SUMIFS(DONNEES_N1_NOUVEAU[MONTANT],DONNEES_N1_NOUVEAU[TL2],A24,DONNEES_N1_NOUVEAU[MOIS],DONNÉES!$C$5,DONNEES_N1_NOUVEAU[SOCIETE],"JEANCLO")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JEANCLO'!$G:$G,'BAL N JEANCLO'!$I:$I,$A25,'BAL N JEANCLO'!$J:$J,"T")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SUMIFS(DONNEES_N1_NOUVEAU[MONTANT],DONNEES_N1_NOUVEAU[TL2],A25,DONNEES_N1_NOUVEAU[MOIS],DONNÉES!$C$5,DONNEES_N1_NOUVEAU[SOCIETE],"JEANCLO")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JEANCLO'!$G:$G,'BAL N JEANCLO'!$I:$I,$A28,'BAL N JEANCLO'!$J:$J,"T")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SUMIFS(DONNEES_N1_NOUVEAU[MONTANT],DONNEES_N1_NOUVEAU[TL2],A28,DONNEES_N1_NOUVEAU[MOIS],DONNÉES!$C$5,DONNEES_N1_NOUVEAU[SOCIETE],"JEANCLO")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JEANCLO'!$G:$G,'BAL N JEANCLO'!$I:$I,$A29,'BAL N JEANCLO'!$J:$J,"T")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SUMIFS(DONNEES_N1_NOUVEAU[MONTANT],DONNEES_N1_NOUVEAU[TL2],A29,DONNEES_N1_NOUVEAU[MOIS],DONNÉES!$C$5,DONNEES_N1_NOUVEAU[SOCIETE],"JEANCLO")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JEANCLO'!$G:$G,'BAL N JEANCLO'!$I:$I,$A30,'BAL N JEANCLO'!$J:$J,"T")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SUMIFS(DONNEES_N1_NOUVEAU[MONTANT],DONNEES_N1_NOUVEAU[TL2],A30,DONNEES_N1_NOUVEAU[MOIS],DONNÉES!$C$5,DONNEES_N1_NOUVEAU[SOCIETE],"JEANCLO")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JEANCLO'!$G:$G,'BAL N JEANCLO'!$I:$I,$A31,'BAL N JEANCLO'!$J:$J,"T")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SUMIFS(DONNEES_N1_NOUVEAU[MONTANT],DONNEES_N1_NOUVEAU[TL2],A31,DONNEES_N1_NOUVEAU[MOIS],DONNÉES!$C$5,DONNEES_N1_NOUVEAU[SOCIETE],"JEANCLO")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JEANCLO'!$G:$G,'BAL N JEANCLO'!$I:$I,$A32,'BAL N JEANCLO'!$J:$J,"T")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SUMIFS(DONNEES_N1_NOUVEAU[MONTANT],DONNEES_N1_NOUVEAU[TL2],A32,DONNEES_N1_NOUVEAU[MOIS],DONNÉES!$C$5,DONNEES_N1_NOUVEAU[SOCIETE],"JEANCLO")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JEANCLO'!$G:$G,'BAL N JEANCLO'!$I:$I,$A35,'BAL N JEANCLO'!$J:$J,"T")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SUMIFS(DONNEES_N1_NOUVEAU[MONTANT],DONNEES_N1_NOUVEAU[TL2],A35,DONNEES_N1_NOUVEAU[MOIS],DONNÉES!$C$5,DONNEES_N1_NOUVEAU[SOCIETE],"JEANCLO")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JEANCLO'!$G:$G,'BAL N JEANCLO'!$I:$I,$A36,'BAL N JEANCLO'!$J:$J,"T")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SUMIFS(DONNEES_N1_NOUVEAU[MONTANT],DONNEES_N1_NOUVEAU[TL2],A36,DONNEES_N1_NOUVEAU[MOIS],DONNÉES!$C$5,DONNEES_N1_NOUVEAU[SOCIETE],"JEANCLO")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JEANCLO'!$G:$G,'BAL N JEANCLO'!$I:$I,$A37,'BAL N JEANCLO'!$J:$J,"T")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SUMIFS(DONNEES_N1_NOUVEAU[MONTANT],DONNEES_N1_NOUVEAU[TL2],A37,DONNEES_N1_NOUVEAU[MOIS],DONNÉES!$C$5,DONNEES_N1_NOUVEAU[SOCIETE],"JEANCLO")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JEANCLO'!$G:$G,'BAL N JEANCLO'!$I:$I,$A38,'BAL N JEANCLO'!$J:$J,"T")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SUMIFS(DONNEES_N1_NOUVEAU[MONTANT],DONNEES_N1_NOUVEAU[TL2],A38,DONNEES_N1_NOUVEAU[MOIS],DONNÉES!$C$5,DONNEES_N1_NOUVEAU[SOCIETE],"JEANCLO")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JEANCLO'!$G:$G,'BAL N JEANCLO'!$I:$I,$A39,'BAL N JEANCLO'!$J:$J,"T")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SUMIFS(DONNEES_N1_NOUVEAU[MONTANT],DONNEES_N1_NOUVEAU[TL2],A39,DONNEES_N1_NOUVEAU[MOIS],DONNÉES!$C$5,DONNEES_N1_NOUVEAU[SOCIETE],"JEANCLO")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JEANCLO'!$G:$G,'BAL N JEANCLO'!$I:$I,$A40,'BAL N JEANCLO'!$J:$J,"T")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SUMIFS(DONNEES_N1_NOUVEAU[MONTANT],DONNEES_N1_NOUVEAU[TL2],A40,DONNEES_N1_NOUVEAU[MOIS],DONNÉES!$C$5,DONNEES_N1_NOUVEAU[SOCIETE],"JEANCLO")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JEANCLO'!$G:$G,'BAL N JEANCLO'!$I:$I,$A41,'BAL N JEANCLO'!$J:$J,"T")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SUMIFS(DONNEES_N1_NOUVEAU[MONTANT],DONNEES_N1_NOUVEAU[TL2],A41,DONNEES_N1_NOUVEAU[MOIS],DONNÉES!$C$5,DONNEES_N1_NOUVEAU[SOCIETE],"JEANCLO")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JEANCLO'!$G:$G,'BAL N JEANCLO'!$I:$I,$A46,'BAL N JEANCLO'!$J:$J,"T")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SUMIFS(DONNEES_N1_NOUVEAU[MONTANT],DONNEES_N1_NOUVEAU[TL2],A46,DONNEES_N1_NOUVEAU[MOIS],DONNÉES!$C$5,DONNEES_N1_NOUVEAU[SOCIETE],"JEANCLO")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JEANCLO'!$G:$G,'BAL N JEANCLO'!$I:$I,$A47,'BAL N JEANCLO'!$J:$J,"T")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SUMIFS(DONNEES_N1_NOUVEAU[MONTANT],DONNEES_N1_NOUVEAU[TL2],A47,DONNEES_N1_NOUVEAU[MOIS],DONNÉES!$C$5,DONNEES_N1_NOUVEAU[SOCIETE],"JEANCLO")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JEANCLO'!$G:$G,'BAL N JEANCLO'!$I:$I,$A48,'BAL N JEANCLO'!$J:$J,"T")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SUMIFS(DONNEES_N1_NOUVEAU[MONTANT],DONNEES_N1_NOUVEAU[TL2],A48,DONNEES_N1_NOUVEAU[MOIS],DONNÉES!$C$5,DONNEES_N1_NOUVEAU[SOCIETE],"JEANCLO")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JEANCLO'!$G:$G,'BAL N JEANCLO'!$I:$I,$A51,'BAL N JEANCLO'!$J:$J,"T")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SUMIFS(DONNEES_N1_NOUVEAU[MONTANT],DONNEES_N1_NOUVEAU[TL2],A51,DONNEES_N1_NOUVEAU[MOIS],DONNÉES!$C$5,DONNEES_N1_NOUVEAU[SOCIETE],"JEANCLO")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JEANCLO'!$G:$G,'BAL N JEANCLO'!$I:$I,$A52,'BAL N JEANCLO'!$J:$J,"T")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SUMIFS(DONNEES_N1_NOUVEAU[MONTANT],DONNEES_N1_NOUVEAU[TL2],A52,DONNEES_N1_NOUVEAU[MOIS],DONNÉES!$C$5,DONNEES_N1_NOUVEAU[SOCIETE],"JEANCLO")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JEANCLO'!$G:$G,'BAL N JEANCLO'!$I:$I,$A53,'BAL N JEANCLO'!$J:$J,"T")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SUMIFS(DONNEES_N1_NOUVEAU[MONTANT],DONNEES_N1_NOUVEAU[TL2],A53,DONNEES_N1_NOUVEAU[MOIS],DONNÉES!$C$5,DONNEES_N1_NOUVEAU[SOCIETE],"JEANCLO")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JEANCLO'!$G:$G,'BAL N JEANCLO'!$I:$I,$A54,'BAL N JEANCLO'!$J:$J,"T")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SUMIFS(DONNEES_N1_NOUVEAU[MONTANT],DONNEES_N1_NOUVEAU[TL2],A54,DONNEES_N1_NOUVEAU[MOIS],DONNÉES!$C$5,DONNEES_N1_NOUVEAU[SOCIETE],"JEANCLO")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JEANCLO'!$G:$G,'BAL N JEANCLO'!$I:$I,$A55,'BAL N JEANCLO'!$J:$J,"T")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SUMIFS(DONNEES_N1_NOUVEAU[MONTANT],DONNEES_N1_NOUVEAU[TL2],A55,DONNEES_N1_NOUVEAU[MOIS],DONNÉES!$C$5,DONNEES_N1_NOUVEAU[SOCIETE],"JEANCLO")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JEANCLO'!$G:$G,'BAL N JEANCLO'!$I:$I,$A56,'BAL N JEANCLO'!$J:$J,"T")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SUMIFS(DONNEES_N1_NOUVEAU[MONTANT],DONNEES_N1_NOUVEAU[TL2],A56,DONNEES_N1_NOUVEAU[MOIS],DONNÉES!$C$5,DONNEES_N1_NOUVEAU[SOCIETE],"JEANCLO")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JEANCLO'!$G:$G,'BAL N JEANCLO'!$I:$I,$A57,'BAL N JEANCLO'!$J:$J,"T")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SUMIFS(DONNEES_N1_NOUVEAU[MONTANT],DONNEES_N1_NOUVEAU[TL2],A57,DONNEES_N1_NOUVEAU[MOIS],DONNÉES!$C$5,DONNEES_N1_NOUVEAU[SOCIETE],"JEANCLO")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JEANCLO'!$G:$G,'BAL N JEANCLO'!$I:$I,$A58,'BAL N JEANCLO'!$J:$J,"T")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SUMIFS(DONNEES_N1_NOUVEAU[MONTANT],DONNEES_N1_NOUVEAU[TL2],A58,DONNEES_N1_NOUVEAU[MOIS],DONNÉES!$C$5,DONNEES_N1_NOUVEAU[SOCIETE],"JEANCLO")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JEANCLO'!$G:$G,'BAL N JEANCLO'!$I:$I,$A63,'BAL N JEANCLO'!$J:$J,"T")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-SUMIFS(DONNEES_N1_NOUVEAU[MONTANT],DONNEES_N1_NOUVEAU[TL2],A63,DONNEES_N1_NOUVEAU[MOIS],DONNÉES!$C$5,DONNEES_N1_NOUVEAU[SOCIETE],"JEANCLO")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JEANCLO'!$G:$G,'BAL N JEANCLO'!$I:$I,$A64,'BAL N JEANCLO'!$J:$J,"T")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SUMIFS(DONNEES_N1_NOUVEAU[MONTANT],DONNEES_N1_NOUVEAU[TL2],A64,DONNEES_N1_NOUVEAU[MOIS],DONNÉES!$C$5,DONNEES_N1_NOUVEAU[SOCIETE],"JEANCLO")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JEANCLO'!$G:$G,'BAL N JEANCLO'!$I:$I,$A67,'BAL N JEANCLO'!$J:$J,"T")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-SUMIFS(DONNEES_N1_NOUVEAU[MONTANT],DONNEES_N1_NOUVEAU[TL2],A67,DONNEES_N1_NOUVEAU[MOIS],DONNÉES!$C$5,DONNEES_N1_NOUVEAU[SOCIETE],"JEANCLO")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JEANCLO'!$G:$G,'BAL N JEANCLO'!$I:$I,$A72,'BAL N JEANCLO'!$J:$J,"T")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-SUMIFS(DONNEES_N1_NOUVEAU[MONTANT],DONNEES_N1_NOUVEAU[TL2],A72,DONNEES_N1_NOUVEAU[MOIS],DONNÉES!$C$5,DONNEES_N1_NOUVEAU[SOCIETE],"JEANCLO")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JEANCLO'!$G:$G,'BAL N JEANCLO'!$I:$I,$A74,'BAL N JEANCLO'!$J:$J,"T")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SUMIFS(DONNEES_N1_NOUVEAU[MONTANT],DONNEES_N1_NOUVEAU[TL2],A74,DONNEES_N1_NOUVEAU[MOIS],DONNÉES!$C$5,DONNEES_N1_NOUVEAU[SOCIETE],"JEANCLO")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VLOOKUP(PARAMETRES!$C$2,TRANSJEANCLO[],2,FALSE)</f>
        <v/>
      </c>
      <c r="D78" s="450" t="n"/>
      <c r="E78" s="449">
        <f>VLOOKUP(PARAMETRES!$C$2,TRANSJEANCLO[],3,FALSE)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VLOOKUP(PARAMETRES!$C$2,PMTJEANCLO[],2,FALSE)</f>
        <v/>
      </c>
      <c r="D80" s="450" t="n"/>
      <c r="E80" s="453">
        <f>VLOOKUP(PARAMETRES!$C$2,PMTJEANCLO[],3,FALSE)</f>
        <v/>
      </c>
      <c r="F80" s="450" t="n"/>
      <c r="G80" s="471">
        <f>C80-E80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64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topLeftCell="A22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1" zoomScaleNormal="100" zoomScaleSheetLayoutView="115" zoomScalePageLayoutView="85" workbookViewId="0">
      <selection activeCell="H59" sqref="H59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THOMAS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THOMAS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THOMAS'!$G:$G,'BAL N THOMAS'!$I:$I,$A8,'BAL N THOMAS'!$J:$J,"T")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-SUMIFS(DONNEES_N1_NOUVEAU[MONTANT],DONNEES_N1_NOUVEAU[TL2],A8,DONNEES_N1_NOUVEAU[MOIS],DONNÉES!$C$5,DONNEES_N1_NOUVEAU[SOCIETE],"THOMAS")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THOMAS'!$G:$G,'BAL N THOMAS'!$I:$I,$A10,'BAL N THOMAS'!$J:$J,"T")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SUMIFS(DONNEES_N1_NOUVEAU[MONTANT],DONNEES_N1_NOUVEAU[TL2],A10,DONNEES_N1_NOUVEAU[MOIS],DONNÉES!$C$5,DONNEES_N1_NOUVEAU[SOCIETE],"THOMAS")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THOMAS'!$G:$G,'BAL N THOMAS'!$I:$I,$A11,'BAL N THOMAS'!$J:$J,"T")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SUMIFS(DONNEES_N1_NOUVEAU[MONTANT],DONNEES_N1_NOUVEAU[TL2],A11,DONNEES_N1_NOUVEAU[MOIS],DONNÉES!$C$5,DONNEES_N1_NOUVEAU[SOCIETE],"THOMAS")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THOMAS'!$G:$G,'BAL N THOMAS'!$I:$I,$A12,'BAL N THOMAS'!$J:$J,"T")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SUMIFS(DONNEES_N1_NOUVEAU[MONTANT],DONNEES_N1_NOUVEAU[TL2],A12,DONNEES_N1_NOUVEAU[MOIS],DONNÉES!$C$5,DONNEES_N1_NOUVEAU[SOCIETE],"THOMAS")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THOMAS'!$G:$G,'BAL N THOMAS'!$I:$I,$A14,'BAL N THOMAS'!$J:$J,"T")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SUMIFS(DONNEES_N1_NOUVEAU[MONTANT],DONNEES_N1_NOUVEAU[TL2],A14,DONNEES_N1_NOUVEAU[MOIS],DONNÉES!$C$5,DONNEES_N1_NOUVEAU[SOCIETE],"THOMAS")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THOMAS'!$G:$G,'BAL N THOMAS'!$I:$I,$A15,'BAL N THOMAS'!$J:$J,"T")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SUMIFS(DONNEES_N1_NOUVEAU[MONTANT],DONNEES_N1_NOUVEAU[TL2],A15,DONNEES_N1_NOUVEAU[MOIS],DONNÉES!$C$5,DONNEES_N1_NOUVEAU[SOCIETE],"THOMAS")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THOMAS'!$G:$G,'BAL N THOMAS'!$I:$I,$A20,'BAL N THOMAS'!$J:$J,"T")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SUMIFS(DONNEES_N1_NOUVEAU[MONTANT],DONNEES_N1_NOUVEAU[TL2],A20,DONNEES_N1_NOUVEAU[MOIS],DONNÉES!$C$5,DONNEES_N1_NOUVEAU[SOCIETE],"THOMAS")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THOMAS'!$G:$G,'BAL N THOMAS'!$I:$I,$A21,'BAL N THOMAS'!$J:$J,"T")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SUMIFS(DONNEES_N1_NOUVEAU[MONTANT],DONNEES_N1_NOUVEAU[TL2],A21,DONNEES_N1_NOUVEAU[MOIS],DONNÉES!$C$5,DONNEES_N1_NOUVEAU[SOCIETE],"THOMAS")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THOMAS'!$G:$G,'BAL N THOMAS'!$I:$I,$A22,'BAL N THOMAS'!$J:$J,"T")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SUMIFS(DONNEES_N1_NOUVEAU[MONTANT],DONNEES_N1_NOUVEAU[TL2],A22,DONNEES_N1_NOUVEAU[MOIS],DONNÉES!$C$5,DONNEES_N1_NOUVEAU[SOCIETE],"THOMAS")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THOMAS'!$G:$G,'BAL N THOMAS'!$I:$I,$A23,'BAL N THOMAS'!$J:$J,"T")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SUMIFS(DONNEES_N1_NOUVEAU[MONTANT],DONNEES_N1_NOUVEAU[TL2],A23,DONNEES_N1_NOUVEAU[MOIS],DONNÉES!$C$5,DONNEES_N1_NOUVEAU[SOCIETE],"THOMAS")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THOMAS'!$G:$G,'BAL N THOMAS'!$I:$I,$A24,'BAL N THOMAS'!$J:$J,"T")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SUMIFS(DONNEES_N1_NOUVEAU[MONTANT],DONNEES_N1_NOUVEAU[TL2],A24,DONNEES_N1_NOUVEAU[MOIS],DONNÉES!$C$5,DONNEES_N1_NOUVEAU[SOCIETE],"THOMAS")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THOMAS'!$G:$G,'BAL N THOMAS'!$I:$I,$A25,'BAL N THOMAS'!$J:$J,"T")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SUMIFS(DONNEES_N1_NOUVEAU[MONTANT],DONNEES_N1_NOUVEAU[TL2],A25,DONNEES_N1_NOUVEAU[MOIS],DONNÉES!$C$5,DONNEES_N1_NOUVEAU[SOCIETE],"THOMAS")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THOMAS'!$G:$G,'BAL N THOMAS'!$I:$I,$A28,'BAL N THOMAS'!$J:$J,"T")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SUMIFS(DONNEES_N1_NOUVEAU[MONTANT],DONNEES_N1_NOUVEAU[TL2],A28,DONNEES_N1_NOUVEAU[MOIS],DONNÉES!$C$5,DONNEES_N1_NOUVEAU[SOCIETE],"THOMAS")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THOMAS'!$G:$G,'BAL N THOMAS'!$I:$I,$A29,'BAL N THOMAS'!$J:$J,"T")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SUMIFS(DONNEES_N1_NOUVEAU[MONTANT],DONNEES_N1_NOUVEAU[TL2],A29,DONNEES_N1_NOUVEAU[MOIS],DONNÉES!$C$5,DONNEES_N1_NOUVEAU[SOCIETE],"THOMAS")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THOMAS'!$G:$G,'BAL N THOMAS'!$I:$I,$A30,'BAL N THOMAS'!$J:$J,"T")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SUMIFS(DONNEES_N1_NOUVEAU[MONTANT],DONNEES_N1_NOUVEAU[TL2],A30,DONNEES_N1_NOUVEAU[MOIS],DONNÉES!$C$5,DONNEES_N1_NOUVEAU[SOCIETE],"THOMAS")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THOMAS'!$G:$G,'BAL N THOMAS'!$I:$I,$A31,'BAL N THOMAS'!$J:$J,"T")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SUMIFS(DONNEES_N1_NOUVEAU[MONTANT],DONNEES_N1_NOUVEAU[TL2],A31,DONNEES_N1_NOUVEAU[MOIS],DONNÉES!$C$5,DONNEES_N1_NOUVEAU[SOCIETE],"THOMAS")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THOMAS'!$G:$G,'BAL N THOMAS'!$I:$I,$A32,'BAL N THOMAS'!$J:$J,"T")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SUMIFS(DONNEES_N1_NOUVEAU[MONTANT],DONNEES_N1_NOUVEAU[TL2],A32,DONNEES_N1_NOUVEAU[MOIS],DONNÉES!$C$5,DONNEES_N1_NOUVEAU[SOCIETE],"THOMAS")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THOMAS'!$G:$G,'BAL N THOMAS'!$I:$I,$A35,'BAL N THOMAS'!$J:$J,"T")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SUMIFS(DONNEES_N1_NOUVEAU[MONTANT],DONNEES_N1_NOUVEAU[TL2],A35,DONNEES_N1_NOUVEAU[MOIS],DONNÉES!$C$5,DONNEES_N1_NOUVEAU[SOCIETE],"THOMAS")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THOMAS'!$G:$G,'BAL N THOMAS'!$I:$I,$A36,'BAL N THOMAS'!$J:$J,"T")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SUMIFS(DONNEES_N1_NOUVEAU[MONTANT],DONNEES_N1_NOUVEAU[TL2],A36,DONNEES_N1_NOUVEAU[MOIS],DONNÉES!$C$5,DONNEES_N1_NOUVEAU[SOCIETE],"THOMAS")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THOMAS'!$G:$G,'BAL N THOMAS'!$I:$I,$A37,'BAL N THOMAS'!$J:$J,"T")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SUMIFS(DONNEES_N1_NOUVEAU[MONTANT],DONNEES_N1_NOUVEAU[TL2],A37,DONNEES_N1_NOUVEAU[MOIS],DONNÉES!$C$5,DONNEES_N1_NOUVEAU[SOCIETE],"THOMAS")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THOMAS'!$G:$G,'BAL N THOMAS'!$I:$I,$A38,'BAL N THOMAS'!$J:$J,"T")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SUMIFS(DONNEES_N1_NOUVEAU[MONTANT],DONNEES_N1_NOUVEAU[TL2],A38,DONNEES_N1_NOUVEAU[MOIS],DONNÉES!$C$5,DONNEES_N1_NOUVEAU[SOCIETE],"THOMAS")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THOMAS'!$G:$G,'BAL N THOMAS'!$I:$I,$A39,'BAL N THOMAS'!$J:$J,"T")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SUMIFS(DONNEES_N1_NOUVEAU[MONTANT],DONNEES_N1_NOUVEAU[TL2],A39,DONNEES_N1_NOUVEAU[MOIS],DONNÉES!$C$5,DONNEES_N1_NOUVEAU[SOCIETE],"THOMAS")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THOMAS'!$G:$G,'BAL N THOMAS'!$I:$I,$A40,'BAL N THOMAS'!$J:$J,"T")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SUMIFS(DONNEES_N1_NOUVEAU[MONTANT],DONNEES_N1_NOUVEAU[TL2],A40,DONNEES_N1_NOUVEAU[MOIS],DONNÉES!$C$5,DONNEES_N1_NOUVEAU[SOCIETE],"THOMAS")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THOMAS'!$G:$G,'BAL N THOMAS'!$I:$I,$A41,'BAL N THOMAS'!$J:$J,"T")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SUMIFS(DONNEES_N1_NOUVEAU[MONTANT],DONNEES_N1_NOUVEAU[TL2],A41,DONNEES_N1_NOUVEAU[MOIS],DONNÉES!$C$5,DONNEES_N1_NOUVEAU[SOCIETE],"THOMAS")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THOMAS'!$G:$G,'BAL N THOMAS'!$I:$I,$A46,'BAL N THOMAS'!$J:$J,"T")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SUMIFS(DONNEES_N1_NOUVEAU[MONTANT],DONNEES_N1_NOUVEAU[TL2],A46,DONNEES_N1_NOUVEAU[MOIS],DONNÉES!$C$5,DONNEES_N1_NOUVEAU[SOCIETE],"THOMAS")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THOMAS'!$G:$G,'BAL N THOMAS'!$I:$I,$A47,'BAL N THOMAS'!$J:$J,"T")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SUMIFS(DONNEES_N1_NOUVEAU[MONTANT],DONNEES_N1_NOUVEAU[TL2],A47,DONNEES_N1_NOUVEAU[MOIS],DONNÉES!$C$5,DONNEES_N1_NOUVEAU[SOCIETE],"THOMAS")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THOMAS'!$G:$G,'BAL N THOMAS'!$I:$I,$A48,'BAL N THOMAS'!$J:$J,"T")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SUMIFS(DONNEES_N1_NOUVEAU[MONTANT],DONNEES_N1_NOUVEAU[TL2],A48,DONNEES_N1_NOUVEAU[MOIS],DONNÉES!$C$5,DONNEES_N1_NOUVEAU[SOCIETE],"THOMAS")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THOMAS'!$G:$G,'BAL N THOMAS'!$I:$I,$A51,'BAL N THOMAS'!$J:$J,"T")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SUMIFS(DONNEES_N1_NOUVEAU[MONTANT],DONNEES_N1_NOUVEAU[TL2],A51,DONNEES_N1_NOUVEAU[MOIS],DONNÉES!$C$5,DONNEES_N1_NOUVEAU[SOCIETE],"THOMAS")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THOMAS'!$G:$G,'BAL N THOMAS'!$I:$I,$A52,'BAL N THOMAS'!$J:$J,"T")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SUMIFS(DONNEES_N1_NOUVEAU[MONTANT],DONNEES_N1_NOUVEAU[TL2],A52,DONNEES_N1_NOUVEAU[MOIS],DONNÉES!$C$5,DONNEES_N1_NOUVEAU[SOCIETE],"THOMAS")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THOMAS'!$G:$G,'BAL N THOMAS'!$I:$I,$A53,'BAL N THOMAS'!$J:$J,"T")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SUMIFS(DONNEES_N1_NOUVEAU[MONTANT],DONNEES_N1_NOUVEAU[TL2],A53,DONNEES_N1_NOUVEAU[MOIS],DONNÉES!$C$5,DONNEES_N1_NOUVEAU[SOCIETE],"THOMAS")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THOMAS'!$G:$G,'BAL N THOMAS'!$I:$I,$A54,'BAL N THOMAS'!$J:$J,"T")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SUMIFS(DONNEES_N1_NOUVEAU[MONTANT],DONNEES_N1_NOUVEAU[TL2],A54,DONNEES_N1_NOUVEAU[MOIS],DONNÉES!$C$5,DONNEES_N1_NOUVEAU[SOCIETE],"THOMAS")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THOMAS'!$G:$G,'BAL N THOMAS'!$I:$I,$A55,'BAL N THOMAS'!$J:$J,"T")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SUMIFS(DONNEES_N1_NOUVEAU[MONTANT],DONNEES_N1_NOUVEAU[TL2],A55,DONNEES_N1_NOUVEAU[MOIS],DONNÉES!$C$5,DONNEES_N1_NOUVEAU[SOCIETE],"THOMAS")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THOMAS'!$G:$G,'BAL N THOMAS'!$I:$I,$A56,'BAL N THOMAS'!$J:$J,"T")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SUMIFS(DONNEES_N1_NOUVEAU[MONTANT],DONNEES_N1_NOUVEAU[TL2],A56,DONNEES_N1_NOUVEAU[MOIS],DONNÉES!$C$5,DONNEES_N1_NOUVEAU[SOCIETE],"THOMAS")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THOMAS'!$G:$G,'BAL N THOMAS'!$I:$I,$A57,'BAL N THOMAS'!$J:$J,"T")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SUMIFS(DONNEES_N1_NOUVEAU[MONTANT],DONNEES_N1_NOUVEAU[TL2],A57,DONNEES_N1_NOUVEAU[MOIS],DONNÉES!$C$5,DONNEES_N1_NOUVEAU[SOCIETE],"THOMAS")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THOMAS'!$G:$G,'BAL N THOMAS'!$I:$I,$A58,'BAL N THOMAS'!$J:$J,"T")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SUMIFS(DONNEES_N1_NOUVEAU[MONTANT],DONNEES_N1_NOUVEAU[TL2],A58,DONNEES_N1_NOUVEAU[MOIS],DONNÉES!$C$5,DONNEES_N1_NOUVEAU[SOCIETE],"THOMAS")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THOMAS'!$G:$G,'BAL N THOMAS'!$I:$I,$A63,'BAL N THOMAS'!$J:$J,"T")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-SUMIFS(DONNEES_N1_NOUVEAU[MONTANT],DONNEES_N1_NOUVEAU[TL2],A63,DONNEES_N1_NOUVEAU[MOIS],DONNÉES!$C$5,DONNEES_N1_NOUVEAU[SOCIETE],"THOMAS")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THOMAS'!$G:$G,'BAL N THOMAS'!$I:$I,$A64,'BAL N THOMAS'!$J:$J,"T")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SUMIFS(DONNEES_N1_NOUVEAU[MONTANT],DONNEES_N1_NOUVEAU[TL2],A64,DONNEES_N1_NOUVEAU[MOIS],DONNÉES!$C$5,DONNEES_N1_NOUVEAU[SOCIETE],"THOMAS")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THOMAS'!$G:$G,'BAL N THOMAS'!$I:$I,$A67,'BAL N THOMAS'!$J:$J,"T")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-SUMIFS(DONNEES_N1_NOUVEAU[MONTANT],DONNEES_N1_NOUVEAU[TL2],A67,DONNEES_N1_NOUVEAU[MOIS],DONNÉES!$C$5,DONNEES_N1_NOUVEAU[SOCIETE],"THOMAS")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THOMAS'!$G:$G,'BAL N THOMAS'!$I:$I,$A72,'BAL N THOMAS'!$J:$J,"T")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-SUMIFS(DONNEES_N1_NOUVEAU[MONTANT],DONNEES_N1_NOUVEAU[TL2],A72,DONNEES_N1_NOUVEAU[MOIS],DONNÉES!$C$5,DONNEES_N1_NOUVEAU[SOCIETE],"THOMAS")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THOMAS'!$G:$G,'BAL N THOMAS'!$I:$I,$A74,'BAL N THOMAS'!$J:$J,"T")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SUMIFS(DONNEES_N1_NOUVEAU[MONTANT],DONNEES_N1_NOUVEAU[TL2],A74,DONNEES_N1_NOUVEAU[MOIS],DONNÉES!$C$5,DONNEES_N1_NOUVEAU[SOCIETE],"THOMAS")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VLOOKUP(PARAMETRES!$C$2,TRANSTHOM[],2,FALSE)</f>
        <v/>
      </c>
      <c r="D78" s="450" t="n"/>
      <c r="E78" s="449">
        <f>VLOOKUP(PARAMETRES!$C$2,TRANSTHOM[],3,FALSE)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VLOOKUP(PARAMETRES!$C$2,PMTHOM[],2,FALSE)</f>
        <v/>
      </c>
      <c r="D80" s="450" t="n"/>
      <c r="E80" s="453">
        <f>VLOOKUP(PARAMETRES!$C$2,PMTHOM[],3,FALSE)</f>
        <v/>
      </c>
      <c r="F80" s="450" t="n"/>
      <c r="G80" s="471">
        <f>C80-E80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66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topLeftCell="A28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hidden="1" width="12.5703125" customWidth="1" style="20" min="5" max="5"/>
    <col hidden="1" width="8.5703125" customWidth="1" style="21" min="6" max="6"/>
    <col hidden="1" width="12.5703125" customWidth="1" style="20" min="7" max="7"/>
    <col hidden="1"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CATALINA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CATALINA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CATALINA'!$G:$G,'BAL N CATALINA'!$I:$I,$A8,'BAL N CATALINA'!$J:$J,"T")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-SUMIFS(DONNEES_N1_NOUVEAU[MONTANT],DONNEES_N1_NOUVEAU[TL2],A8,DONNEES_N1_NOUVEAU[MOIS],DONNÉES!$C$5,DONNEES_N1_NOUVEAU[SOCIETE],"CATALINA")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CATALINA'!$G:$G,'BAL N CATALINA'!$I:$I,$A10,'BAL N CATALINA'!$J:$J,"T")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SUMIFS(DONNEES_N1_NOUVEAU[MONTANT],DONNEES_N1_NOUVEAU[TL2],A10,DONNEES_N1_NOUVEAU[MOIS],DONNÉES!$C$5,DONNEES_N1_NOUVEAU[SOCIETE],"CATALINA")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CATALINA'!$G:$G,'BAL N CATALINA'!$I:$I,$A11,'BAL N CATALINA'!$J:$J,"T")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SUMIFS(DONNEES_N1_NOUVEAU[MONTANT],DONNEES_N1_NOUVEAU[TL2],A11,DONNEES_N1_NOUVEAU[MOIS],DONNÉES!$C$5,DONNEES_N1_NOUVEAU[SOCIETE],"CATALINA")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CATALINA'!$G:$G,'BAL N CATALINA'!$I:$I,$A12,'BAL N CATALINA'!$J:$J,"T")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SUMIFS(DONNEES_N1_NOUVEAU[MONTANT],DONNEES_N1_NOUVEAU[TL2],A12,DONNEES_N1_NOUVEAU[MOIS],DONNÉES!$C$5,DONNEES_N1_NOUVEAU[SOCIETE],"CATALINA")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CATALINA'!$G:$G,'BAL N CATALINA'!$I:$I,$A14,'BAL N CATALINA'!$J:$J,"T")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SUMIFS(DONNEES_N1_NOUVEAU[MONTANT],DONNEES_N1_NOUVEAU[TL2],A14,DONNEES_N1_NOUVEAU[MOIS],DONNÉES!$C$5,DONNEES_N1_NOUVEAU[SOCIETE],"CATALINA")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CATALINA'!$G:$G,'BAL N CATALINA'!$I:$I,$A15,'BAL N CATALINA'!$J:$J,"T")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SUMIFS(DONNEES_N1_NOUVEAU[MONTANT],DONNEES_N1_NOUVEAU[TL2],A15,DONNEES_N1_NOUVEAU[MOIS],DONNÉES!$C$5,DONNEES_N1_NOUVEAU[SOCIETE],"CATALINA")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CATALINA'!$G:$G,'BAL N CATALINA'!$I:$I,$A20,'BAL N CATALINA'!$J:$J,"T")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SUMIFS(DONNEES_N1_NOUVEAU[MONTANT],DONNEES_N1_NOUVEAU[TL2],A20,DONNEES_N1_NOUVEAU[MOIS],DONNÉES!$C$5,DONNEES_N1_NOUVEAU[SOCIETE],"CATALINA")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CATALINA'!$G:$G,'BAL N CATALINA'!$I:$I,$A21,'BAL N CATALINA'!$J:$J,"T")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SUMIFS(DONNEES_N1_NOUVEAU[MONTANT],DONNEES_N1_NOUVEAU[TL2],A21,DONNEES_N1_NOUVEAU[MOIS],DONNÉES!$C$5,DONNEES_N1_NOUVEAU[SOCIETE],"CATALINA")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CATALINA'!$G:$G,'BAL N CATALINA'!$I:$I,$A22,'BAL N CATALINA'!$J:$J,"T")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SUMIFS(DONNEES_N1_NOUVEAU[MONTANT],DONNEES_N1_NOUVEAU[TL2],A22,DONNEES_N1_NOUVEAU[MOIS],DONNÉES!$C$5,DONNEES_N1_NOUVEAU[SOCIETE],"CATALINA")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CATALINA'!$G:$G,'BAL N CATALINA'!$I:$I,$A23,'BAL N CATALINA'!$J:$J,"T")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SUMIFS(DONNEES_N1_NOUVEAU[MONTANT],DONNEES_N1_NOUVEAU[TL2],A23,DONNEES_N1_NOUVEAU[MOIS],DONNÉES!$C$5,DONNEES_N1_NOUVEAU[SOCIETE],"CATALINA")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CATALINA'!$G:$G,'BAL N CATALINA'!$I:$I,$A24,'BAL N CATALINA'!$J:$J,"T")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SUMIFS(DONNEES_N1_NOUVEAU[MONTANT],DONNEES_N1_NOUVEAU[TL2],A24,DONNEES_N1_NOUVEAU[MOIS],DONNÉES!$C$5,DONNEES_N1_NOUVEAU[SOCIETE],"CATALINA")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CATALINA'!$G:$G,'BAL N CATALINA'!$I:$I,$A25,'BAL N CATALINA'!$J:$J,"T")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SUMIFS(DONNEES_N1_NOUVEAU[MONTANT],DONNEES_N1_NOUVEAU[TL2],A25,DONNEES_N1_NOUVEAU[MOIS],DONNÉES!$C$5,DONNEES_N1_NOUVEAU[SOCIETE],"CATALINA")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CATALINA'!$G:$G,'BAL N CATALINA'!$I:$I,$A28,'BAL N CATALINA'!$J:$J,"T")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SUMIFS(DONNEES_N1_NOUVEAU[MONTANT],DONNEES_N1_NOUVEAU[TL2],A28,DONNEES_N1_NOUVEAU[MOIS],DONNÉES!$C$5,DONNEES_N1_NOUVEAU[SOCIETE],"CATALINA")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CATALINA'!$G:$G,'BAL N CATALINA'!$I:$I,$A29,'BAL N CATALINA'!$J:$J,"T")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SUMIFS(DONNEES_N1_NOUVEAU[MONTANT],DONNEES_N1_NOUVEAU[TL2],A29,DONNEES_N1_NOUVEAU[MOIS],DONNÉES!$C$5,DONNEES_N1_NOUVEAU[SOCIETE],"CATALINA")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CATALINA'!$G:$G,'BAL N CATALINA'!$I:$I,$A30,'BAL N CATALINA'!$J:$J,"T")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SUMIFS(DONNEES_N1_NOUVEAU[MONTANT],DONNEES_N1_NOUVEAU[TL2],A30,DONNEES_N1_NOUVEAU[MOIS],DONNÉES!$C$5,DONNEES_N1_NOUVEAU[SOCIETE],"CATALINA")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CATALINA'!$G:$G,'BAL N CATALINA'!$I:$I,$A31,'BAL N CATALINA'!$J:$J,"T")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SUMIFS(DONNEES_N1_NOUVEAU[MONTANT],DONNEES_N1_NOUVEAU[TL2],A31,DONNEES_N1_NOUVEAU[MOIS],DONNÉES!$C$5,DONNEES_N1_NOUVEAU[SOCIETE],"CATALINA")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CATALINA'!$G:$G,'BAL N CATALINA'!$I:$I,$A32,'BAL N CATALINA'!$J:$J,"T")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SUMIFS(DONNEES_N1_NOUVEAU[MONTANT],DONNEES_N1_NOUVEAU[TL2],A32,DONNEES_N1_NOUVEAU[MOIS],DONNÉES!$C$5,DONNEES_N1_NOUVEAU[SOCIETE],"CATALINA")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CATALINA'!$G:$G,'BAL N CATALINA'!$I:$I,$A35,'BAL N CATALINA'!$J:$J,"T")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SUMIFS(DONNEES_N1_NOUVEAU[MONTANT],DONNEES_N1_NOUVEAU[TL2],A35,DONNEES_N1_NOUVEAU[MOIS],DONNÉES!$C$5,DONNEES_N1_NOUVEAU[SOCIETE],"CATALINA")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CATALINA'!$G:$G,'BAL N CATALINA'!$I:$I,$A36,'BAL N CATALINA'!$J:$J,"T")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SUMIFS(DONNEES_N1_NOUVEAU[MONTANT],DONNEES_N1_NOUVEAU[TL2],A36,DONNEES_N1_NOUVEAU[MOIS],DONNÉES!$C$5,DONNEES_N1_NOUVEAU[SOCIETE],"CATALINA")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CATALINA'!$G:$G,'BAL N CATALINA'!$I:$I,$A37,'BAL N CATALINA'!$J:$J,"T")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SUMIFS(DONNEES_N1_NOUVEAU[MONTANT],DONNEES_N1_NOUVEAU[TL2],A37,DONNEES_N1_NOUVEAU[MOIS],DONNÉES!$C$5,DONNEES_N1_NOUVEAU[SOCIETE],"CATALINA")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CATALINA'!$G:$G,'BAL N CATALINA'!$I:$I,$A38,'BAL N CATALINA'!$J:$J,"T")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SUMIFS(DONNEES_N1_NOUVEAU[MONTANT],DONNEES_N1_NOUVEAU[TL2],A38,DONNEES_N1_NOUVEAU[MOIS],DONNÉES!$C$5,DONNEES_N1_NOUVEAU[SOCIETE],"CATALINA")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CATALINA'!$G:$G,'BAL N CATALINA'!$I:$I,$A39,'BAL N CATALINA'!$J:$J,"T")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SUMIFS(DONNEES_N1_NOUVEAU[MONTANT],DONNEES_N1_NOUVEAU[TL2],A39,DONNEES_N1_NOUVEAU[MOIS],DONNÉES!$C$5,DONNEES_N1_NOUVEAU[SOCIETE],"CATALINA")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CATALINA'!$G:$G,'BAL N CATALINA'!$I:$I,$A40,'BAL N CATALINA'!$J:$J,"T")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SUMIFS(DONNEES_N1_NOUVEAU[MONTANT],DONNEES_N1_NOUVEAU[TL2],A40,DONNEES_N1_NOUVEAU[MOIS],DONNÉES!$C$5,DONNEES_N1_NOUVEAU[SOCIETE],"CATALINA")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CATALINA'!$G:$G,'BAL N CATALINA'!$I:$I,$A41,'BAL N CATALINA'!$J:$J,"T")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SUMIFS(DONNEES_N1_NOUVEAU[MONTANT],DONNEES_N1_NOUVEAU[TL2],A41,DONNEES_N1_NOUVEAU[MOIS],DONNÉES!$C$5,DONNEES_N1_NOUVEAU[SOCIETE],"CATALINA")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CATALINA'!$G:$G,'BAL N CATALINA'!$I:$I,$A46,'BAL N CATALINA'!$J:$J,"T")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SUMIFS(DONNEES_N1_NOUVEAU[MONTANT],DONNEES_N1_NOUVEAU[TL2],A46,DONNEES_N1_NOUVEAU[MOIS],DONNÉES!$C$5,DONNEES_N1_NOUVEAU[SOCIETE],"CATALINA")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CATALINA'!$G:$G,'BAL N CATALINA'!$I:$I,$A47,'BAL N CATALINA'!$J:$J,"T")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SUMIFS(DONNEES_N1_NOUVEAU[MONTANT],DONNEES_N1_NOUVEAU[TL2],A47,DONNEES_N1_NOUVEAU[MOIS],DONNÉES!$C$5,DONNEES_N1_NOUVEAU[SOCIETE],"CATALINA")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CATALINA'!$G:$G,'BAL N CATALINA'!$I:$I,$A48,'BAL N CATALINA'!$J:$J,"T")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SUMIFS(DONNEES_N1_NOUVEAU[MONTANT],DONNEES_N1_NOUVEAU[TL2],A48,DONNEES_N1_NOUVEAU[MOIS],DONNÉES!$C$5,DONNEES_N1_NOUVEAU[SOCIETE],"CATALINA")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CATALINA'!$G:$G,'BAL N CATALINA'!$I:$I,$A51,'BAL N CATALINA'!$J:$J,"T")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SUMIFS(DONNEES_N1_NOUVEAU[MONTANT],DONNEES_N1_NOUVEAU[TL2],A51,DONNEES_N1_NOUVEAU[MOIS],DONNÉES!$C$5,DONNEES_N1_NOUVEAU[SOCIETE],"CATALINA")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CATALINA'!$G:$G,'BAL N CATALINA'!$I:$I,$A52,'BAL N CATALINA'!$J:$J,"T")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SUMIFS(DONNEES_N1_NOUVEAU[MONTANT],DONNEES_N1_NOUVEAU[TL2],A52,DONNEES_N1_NOUVEAU[MOIS],DONNÉES!$C$5,DONNEES_N1_NOUVEAU[SOCIETE],"CATALINA")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CATALINA'!$G:$G,'BAL N CATALINA'!$I:$I,$A53,'BAL N CATALINA'!$J:$J,"T")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SUMIFS(DONNEES_N1_NOUVEAU[MONTANT],DONNEES_N1_NOUVEAU[TL2],A53,DONNEES_N1_NOUVEAU[MOIS],DONNÉES!$C$5,DONNEES_N1_NOUVEAU[SOCIETE],"CATALINA")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CATALINA'!$G:$G,'BAL N CATALINA'!$I:$I,$A54,'BAL N CATALINA'!$J:$J,"T")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SUMIFS(DONNEES_N1_NOUVEAU[MONTANT],DONNEES_N1_NOUVEAU[TL2],A54,DONNEES_N1_NOUVEAU[MOIS],DONNÉES!$C$5,DONNEES_N1_NOUVEAU[SOCIETE],"CATALINA")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CATALINA'!$G:$G,'BAL N CATALINA'!$I:$I,$A55,'BAL N CATALINA'!$J:$J,"T")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SUMIFS(DONNEES_N1_NOUVEAU[MONTANT],DONNEES_N1_NOUVEAU[TL2],A55,DONNEES_N1_NOUVEAU[MOIS],DONNÉES!$C$5,DONNEES_N1_NOUVEAU[SOCIETE],"CATALINA")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CATALINA'!$G:$G,'BAL N CATALINA'!$I:$I,$A56,'BAL N CATALINA'!$J:$J,"T")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SUMIFS(DONNEES_N1_NOUVEAU[MONTANT],DONNEES_N1_NOUVEAU[TL2],A56,DONNEES_N1_NOUVEAU[MOIS],DONNÉES!$C$5,DONNEES_N1_NOUVEAU[SOCIETE],"CATALINA")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CATALINA'!$G:$G,'BAL N CATALINA'!$I:$I,$A57,'BAL N CATALINA'!$J:$J,"T")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SUMIFS(DONNEES_N1_NOUVEAU[MONTANT],DONNEES_N1_NOUVEAU[TL2],A57,DONNEES_N1_NOUVEAU[MOIS],DONNÉES!$C$5,DONNEES_N1_NOUVEAU[SOCIETE],"CATALINA")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CATALINA'!$G:$G,'BAL N CATALINA'!$I:$I,$A58,'BAL N CATALINA'!$J:$J,"T")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SUMIFS(DONNEES_N1_NOUVEAU[MONTANT],DONNEES_N1_NOUVEAU[TL2],A58,DONNEES_N1_NOUVEAU[MOIS],DONNÉES!$C$5,DONNEES_N1_NOUVEAU[SOCIETE],"CATALINA")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CATALINA'!$G:$G,'BAL N CATALINA'!$I:$I,$A63,'BAL N CATALINA'!$J:$J,"T")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-SUMIFS(DONNEES_N1_NOUVEAU[MONTANT],DONNEES_N1_NOUVEAU[TL2],A63,DONNEES_N1_NOUVEAU[MOIS],DONNÉES!$C$5,DONNEES_N1_NOUVEAU[SOCIETE],"CATALINA")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CATALINA'!$G:$G,'BAL N CATALINA'!$I:$I,$A64,'BAL N CATALINA'!$J:$J,"T")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SUMIFS(DONNEES_N1_NOUVEAU[MONTANT],DONNEES_N1_NOUVEAU[TL2],A64,DONNEES_N1_NOUVEAU[MOIS],DONNÉES!$C$5,DONNEES_N1_NOUVEAU[SOCIETE],"CATALINA")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CATALINA'!$G:$G,'BAL N CATALINA'!$I:$I,$A67,'BAL N CATALINA'!$J:$J,"T")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-SUMIFS(DONNEES_N1_NOUVEAU[MONTANT],DONNEES_N1_NOUVEAU[TL2],A67,DONNEES_N1_NOUVEAU[MOIS],DONNÉES!$C$5,DONNEES_N1_NOUVEAU[SOCIETE],"CATALINA")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CATALINA'!$G:$G,'BAL N CATALINA'!$I:$I,$A72,'BAL N CATALINA'!$J:$J,"T")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-SUMIFS(DONNEES_N1_NOUVEAU[MONTANT],DONNEES_N1_NOUVEAU[TL2],A72,DONNEES_N1_NOUVEAU[MOIS],DONNÉES!$C$5,DONNEES_N1_NOUVEAU[SOCIETE],"CATALINA")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CATALINA'!$G:$G,'BAL N CATALINA'!$I:$I,$A74,'BAL N CATALINA'!$J:$J,"T")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SUMIFS(DONNEES_N1_NOUVEAU[MONTANT],DONNEES_N1_NOUVEAU[TL2],A74,DONNEES_N1_NOUVEAU[MOIS],DONNÉES!$C$5,DONNEES_N1_NOUVEAU[SOCIETE],"CATALINA")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VLOOKUP(PARAMETRES!$C$2,TRANSCAT[],2,FALSE)</f>
        <v/>
      </c>
      <c r="D78" s="450" t="n"/>
      <c r="E78" s="449">
        <f>VLOOKUP(PARAMETRES!$C$2,TRANSTHOM[],3,FALSE)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VLOOKUP(PARAMETRES!$C$2,PMCAT[],2,FALSE)</f>
        <v/>
      </c>
      <c r="D80" s="450" t="n"/>
      <c r="E80" s="453">
        <f>VLOOKUP(PARAMETRES!$C$2,PMTHOM[],3,FALSE)</f>
        <v/>
      </c>
      <c r="F80" s="450" t="n"/>
      <c r="G80" s="471">
        <f>C80-E80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68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29"/>
  <sheetViews>
    <sheetView showGridLines="0" zoomScaleNormal="100" zoomScaleSheetLayoutView="100" workbookViewId="0">
      <selection activeCell="G26" activeCellId="2" sqref="E16 M26 G26"/>
    </sheetView>
  </sheetViews>
  <sheetFormatPr baseColWidth="10" defaultRowHeight="12.75"/>
  <sheetData>
    <row r="1">
      <c r="A1" s="372" t="n"/>
      <c r="B1" s="347" t="n"/>
      <c r="C1" s="347" t="n"/>
      <c r="D1" s="347" t="n"/>
      <c r="E1" s="347" t="n"/>
      <c r="F1" s="347" t="n"/>
      <c r="G1" s="347" t="n"/>
      <c r="H1" s="373" t="n"/>
    </row>
    <row r="2">
      <c r="C2" s="280" t="n"/>
      <c r="E2" s="280" t="n"/>
      <c r="G2" s="280" t="n"/>
    </row>
    <row r="3">
      <c r="C3" s="280" t="n"/>
      <c r="E3" s="280" t="n"/>
      <c r="G3" s="280" t="n"/>
    </row>
    <row r="4" ht="15" customHeight="1" s="161">
      <c r="A4" s="412" t="n"/>
    </row>
    <row r="5">
      <c r="A5" s="347" t="n"/>
    </row>
    <row r="6" ht="27" customHeight="1" s="161">
      <c r="A6" s="413" t="n"/>
    </row>
    <row r="7">
      <c r="A7" s="347" t="n"/>
    </row>
    <row r="8" ht="26.25" customHeight="1" s="161">
      <c r="A8" s="413" t="n"/>
    </row>
    <row r="9">
      <c r="A9" s="347" t="n"/>
    </row>
    <row r="10">
      <c r="A10" s="347" t="n"/>
    </row>
    <row r="11">
      <c r="A11" s="347" t="n"/>
    </row>
    <row r="12">
      <c r="A12" s="347" t="n"/>
    </row>
    <row r="13">
      <c r="A13" s="347" t="n"/>
    </row>
    <row r="14">
      <c r="A14" s="347" t="n"/>
    </row>
    <row r="15">
      <c r="A15" s="347" t="n"/>
    </row>
    <row r="16">
      <c r="A16" s="347" t="n"/>
    </row>
    <row r="17">
      <c r="A17" s="347" t="n"/>
    </row>
    <row r="18">
      <c r="A18" s="347" t="n"/>
    </row>
    <row r="19">
      <c r="A19" s="347" t="n"/>
    </row>
    <row r="20">
      <c r="A20" s="347" t="n"/>
    </row>
    <row r="21">
      <c r="A21" s="347" t="n"/>
    </row>
    <row r="22">
      <c r="A22" s="347" t="n"/>
    </row>
    <row r="23">
      <c r="A23" s="347" t="n"/>
    </row>
    <row r="24">
      <c r="A24" s="347" t="n"/>
    </row>
    <row r="25">
      <c r="A25" s="347" t="n"/>
    </row>
    <row r="26">
      <c r="A26" s="347" t="n"/>
    </row>
    <row r="27">
      <c r="A27" s="347" t="n"/>
    </row>
    <row r="28">
      <c r="A28" s="347" t="n"/>
    </row>
    <row r="29">
      <c r="A29" s="347" t="n"/>
    </row>
  </sheetData>
  <mergeCells count="2">
    <mergeCell ref="A8:H8"/>
    <mergeCell ref="A6:H6"/>
  </mergeCells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&amp;K00+000Page &amp;P / &amp;N</oddFooter>
    <evenHeader/>
    <evenFooter/>
    <firstHeader/>
    <firstFooter/>
  </headerFooter>
</worksheet>
</file>

<file path=xl/worksheets/sheet69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2:I39"/>
  <sheetViews>
    <sheetView showGridLines="0" topLeftCell="A15" zoomScaleNormal="85" zoomScaleSheetLayoutView="100" zoomScalePageLayoutView="85" workbookViewId="0">
      <selection activeCell="G26" activeCellId="2" sqref="E16 M26 G26"/>
    </sheetView>
  </sheetViews>
  <sheetFormatPr baseColWidth="10" defaultColWidth="11.42578125" defaultRowHeight="17.25"/>
  <cols>
    <col width="4.5703125" customWidth="1" style="416" min="1" max="1"/>
    <col width="13" bestFit="1" customWidth="1" style="416" min="2" max="2"/>
    <col width="11.42578125" customWidth="1" style="416" min="3" max="7"/>
    <col hidden="1" width="0.28515625" customWidth="1" style="416" min="8" max="8"/>
    <col width="11.42578125" customWidth="1" style="416" min="9" max="16384"/>
  </cols>
  <sheetData>
    <row r="2">
      <c r="C2" s="41" t="n"/>
      <c r="E2" s="41" t="n"/>
      <c r="G2" s="41" t="n"/>
    </row>
    <row r="3" ht="25.5" customFormat="1" customHeight="1" s="417">
      <c r="A3" s="418" t="n"/>
      <c r="B3" s="419" t="n"/>
      <c r="C3" s="40" t="n"/>
      <c r="D3" s="419" t="n"/>
      <c r="E3" s="40" t="n"/>
      <c r="F3" s="419" t="n"/>
      <c r="G3" s="40" t="n"/>
      <c r="H3" s="419" t="n"/>
    </row>
    <row r="4">
      <c r="A4" s="420" t="n"/>
      <c r="B4" s="421" t="n"/>
      <c r="C4" s="421" t="n"/>
      <c r="D4" s="421" t="n"/>
      <c r="E4" s="421" t="n"/>
      <c r="F4" s="421" t="n"/>
      <c r="G4" s="421" t="n"/>
      <c r="H4" s="421" t="n"/>
    </row>
    <row r="5">
      <c r="A5" s="420" t="n"/>
      <c r="B5" s="421" t="n"/>
      <c r="C5" s="422" t="n"/>
      <c r="D5" s="421" t="n"/>
      <c r="E5" s="421" t="n"/>
      <c r="F5" s="421" t="n"/>
      <c r="G5" s="421" t="n"/>
      <c r="H5" s="421" t="n"/>
    </row>
    <row r="6">
      <c r="A6" s="420" t="n"/>
      <c r="B6" s="421" t="n"/>
      <c r="C6" s="421" t="n"/>
      <c r="D6" s="421" t="n"/>
      <c r="E6" s="421" t="n"/>
      <c r="F6" s="421" t="n"/>
      <c r="G6" s="421" t="n"/>
      <c r="H6" s="421" t="n"/>
    </row>
    <row r="7">
      <c r="A7" s="420" t="n"/>
      <c r="B7" s="421" t="n"/>
      <c r="C7" s="421" t="n"/>
      <c r="D7" s="421" t="n"/>
      <c r="E7" s="421" t="n"/>
      <c r="F7" s="421" t="n"/>
      <c r="G7" s="421" t="n"/>
      <c r="H7" s="421" t="n"/>
    </row>
    <row r="8">
      <c r="A8" s="420" t="n"/>
      <c r="B8" s="421" t="n"/>
      <c r="C8" s="421" t="n"/>
      <c r="D8" s="421" t="n"/>
      <c r="E8" s="421" t="n"/>
      <c r="F8" s="421" t="n"/>
      <c r="G8" s="421" t="n"/>
      <c r="H8" s="421" t="n"/>
    </row>
    <row r="9">
      <c r="A9" s="420" t="n"/>
      <c r="B9" s="421" t="n"/>
      <c r="C9" s="421" t="n"/>
      <c r="D9" s="421" t="n"/>
      <c r="E9" s="421" t="n"/>
      <c r="F9" s="421" t="n"/>
      <c r="G9" s="421" t="n"/>
      <c r="H9" s="421" t="n"/>
    </row>
    <row r="10">
      <c r="A10" s="420" t="n"/>
      <c r="B10" s="421" t="n"/>
      <c r="C10" s="421" t="n"/>
      <c r="D10" s="421" t="n"/>
      <c r="E10" s="421" t="n"/>
      <c r="F10" s="421" t="n"/>
      <c r="G10" s="421" t="n"/>
      <c r="H10" s="421" t="n"/>
    </row>
    <row r="11">
      <c r="A11" s="421" t="n"/>
      <c r="B11" s="421" t="n"/>
      <c r="C11" s="421" t="n"/>
      <c r="D11" s="421" t="n"/>
      <c r="E11" s="421" t="n"/>
      <c r="F11" s="421" t="n"/>
      <c r="G11" s="421" t="n"/>
    </row>
    <row r="12">
      <c r="A12" s="421" t="n"/>
      <c r="B12" s="421" t="n"/>
      <c r="C12" s="421" t="n"/>
      <c r="D12" s="421" t="n"/>
      <c r="E12" s="421" t="n"/>
      <c r="F12" s="421" t="n"/>
      <c r="G12" s="421" t="n"/>
    </row>
    <row r="13">
      <c r="A13" s="421" t="n"/>
      <c r="B13" s="421" t="n"/>
      <c r="C13" s="421" t="n"/>
      <c r="D13" s="421" t="n"/>
      <c r="E13" s="421" t="n"/>
      <c r="F13" s="421" t="n"/>
      <c r="G13" s="421" t="n"/>
    </row>
    <row r="14">
      <c r="A14" s="421" t="n"/>
      <c r="B14" s="421" t="n"/>
      <c r="C14" s="421" t="n"/>
      <c r="D14" s="421" t="n"/>
      <c r="E14" s="421" t="n"/>
      <c r="F14" s="421" t="n"/>
      <c r="G14" s="421" t="n"/>
    </row>
    <row r="15">
      <c r="A15" s="421" t="n"/>
      <c r="B15" s="421" t="n"/>
      <c r="C15" s="421" t="n"/>
      <c r="D15" s="421" t="n"/>
      <c r="E15" s="421" t="n"/>
      <c r="F15" s="421" t="n"/>
      <c r="G15" s="421" t="n"/>
    </row>
    <row r="16">
      <c r="A16" s="421" t="n"/>
      <c r="B16" s="421" t="n"/>
      <c r="C16" s="421" t="n"/>
      <c r="D16" s="421" t="n"/>
      <c r="E16" s="421" t="n"/>
      <c r="F16" s="421" t="n"/>
      <c r="G16" s="421" t="n"/>
    </row>
    <row r="17">
      <c r="A17" s="421" t="n"/>
      <c r="B17" s="421" t="n"/>
      <c r="C17" s="421" t="n"/>
      <c r="D17" s="421" t="n"/>
      <c r="E17" s="421" t="n"/>
      <c r="F17" s="421" t="n"/>
      <c r="G17" s="421" t="n"/>
    </row>
    <row r="18" ht="7.5" customHeight="1" s="161">
      <c r="A18" s="423" t="n"/>
      <c r="B18" s="421" t="n"/>
      <c r="C18" s="421" t="n"/>
      <c r="D18" s="421" t="n"/>
      <c r="E18" s="421" t="n"/>
      <c r="F18" s="421" t="n"/>
      <c r="G18" s="421" t="n"/>
    </row>
    <row r="19">
      <c r="A19" s="421" t="n"/>
      <c r="B19" s="421" t="n"/>
      <c r="C19" s="421" t="n"/>
      <c r="D19" s="421" t="n"/>
      <c r="E19" s="421" t="n"/>
      <c r="F19" s="421" t="n"/>
      <c r="G19" s="421" t="n"/>
      <c r="I19" s="416" t="inlineStr">
        <is>
          <t xml:space="preserve">   </t>
        </is>
      </c>
    </row>
    <row r="20" ht="58.5" customHeight="1" s="161">
      <c r="A20" s="424" t="n"/>
    </row>
    <row r="21" ht="6" customHeight="1" s="161">
      <c r="A21" s="421" t="n"/>
      <c r="B21" s="421" t="n"/>
      <c r="C21" s="421" t="n"/>
      <c r="D21" s="421" t="n"/>
      <c r="E21" s="421" t="n"/>
      <c r="F21" s="421" t="n"/>
      <c r="G21" s="421" t="n"/>
    </row>
    <row r="22">
      <c r="A22" s="421" t="n"/>
      <c r="B22" s="421" t="n"/>
      <c r="C22" s="421" t="n"/>
      <c r="D22" s="421" t="n"/>
      <c r="E22" s="421" t="n"/>
      <c r="F22" s="421" t="n"/>
      <c r="G22" s="421" t="n"/>
    </row>
    <row r="23">
      <c r="A23" s="421" t="n"/>
      <c r="B23" s="421" t="n"/>
      <c r="C23" s="421" t="n"/>
      <c r="D23" s="421" t="n"/>
      <c r="E23" s="421" t="n"/>
      <c r="F23" s="421" t="n"/>
      <c r="G23" s="421" t="n"/>
    </row>
    <row r="39">
      <c r="A39" s="307" t="n"/>
      <c r="B39" s="307" t="n"/>
      <c r="H39" s="421" t="inlineStr">
        <is>
          <t xml:space="preserve">      </t>
        </is>
      </c>
    </row>
  </sheetData>
  <mergeCells count="2">
    <mergeCell ref="A20:I20"/>
    <mergeCell ref="B39:G39"/>
  </mergeCells>
  <pageMargins left="0.7086614173228347" right="0.7086614173228347" top="0.7480314960629921" bottom="0.7480314960629921" header="0.3149606299212598" footer="0.3149606299212598"/>
  <pageSetup orientation="portrait" paperSize="9"/>
  <headerFooter>
    <oddHeader/>
    <oddFooter>&amp;C&amp;"Helv,Gras"&amp;11 &amp;K00+000Page &amp;P / &amp;N</oddFooter>
    <evenHeader/>
    <evenFooter/>
    <firstHeader/>
    <firstFooter/>
  </headerFooter>
</worksheet>
</file>

<file path=xl/worksheets/sheet70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topLeftCell="A19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46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GLR5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GLR5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GLR5'!$H:$H,'BAL N GLR5'!$I:$I,$A8,'BAL N GLR5'!$J:$J,"T")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-SUMIFS(DONNEESCUM_N1_NOUVEAU[MONTANT],DONNEESCUM_N1_NOUVEAU[TL2],A8,DONNEESCUM_N1_NOUVEAU[MOIS],DONNÉES!$C$5,DONNEESCUM_N1_NOUVEAU[SOCIETE],"GLR5")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GLR5'!$H:$H,'BAL N GLR5'!$I:$I,$A10,'BAL N GLR5'!$J:$J,"T")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SUMIFS(DONNEESCUM_N1_NOUVEAU[MONTANT],DONNEESCUM_N1_NOUVEAU[TL2],A10,DONNEESCUM_N1_NOUVEAU[MOIS],DONNÉES!$C$5,DONNEESCUM_N1_NOUVEAU[SOCIETE],"GLR5")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GLR5'!$H:$H,'BAL N GLR5'!$I:$I,$A11,'BAL N GLR5'!$J:$J,"T")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SUMIFS(DONNEESCUM_N1_NOUVEAU[MONTANT],DONNEESCUM_N1_NOUVEAU[TL2],A11,DONNEESCUM_N1_NOUVEAU[MOIS],DONNÉES!$C$5,DONNEESCUM_N1_NOUVEAU[SOCIETE],"GLR5")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GLR5'!$H:$H,'BAL N GLR5'!$I:$I,$A12,'BAL N GLR5'!$J:$J,"T")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SUMIFS(DONNEESCUM_N1_NOUVEAU[MONTANT],DONNEESCUM_N1_NOUVEAU[TL2],A12,DONNEESCUM_N1_NOUVEAU[MOIS],DONNÉES!$C$5,DONNEESCUM_N1_NOUVEAU[SOCIETE],"GLR5")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GLR5'!$H:$H,'BAL N GLR5'!$I:$I,$A14,'BAL N GLR5'!$J:$J,"T")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SUMIFS(DONNEESCUM_N1_NOUVEAU[MONTANT],DONNEESCUM_N1_NOUVEAU[TL2],A14,DONNEESCUM_N1_NOUVEAU[MOIS],DONNÉES!$C$5,DONNEESCUM_N1_NOUVEAU[SOCIETE],"GLR5")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GLR5'!$H:$H,'BAL N GLR5'!$I:$I,$A15,'BAL N GLR5'!$J:$J,"T")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SUMIFS(DONNEESCUM_N1_NOUVEAU[MONTANT],DONNEESCUM_N1_NOUVEAU[TL2],A15,DONNEESCUM_N1_NOUVEAU[MOIS],DONNÉES!$C$5,DONNEESCUM_N1_NOUVEAU[SOCIETE],"GLR5")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GLR5'!$H:$H,'BAL N GLR5'!$I:$I,$A20,'BAL N GLR5'!$J:$J,"T")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SUMIFS(DONNEESCUM_N1_NOUVEAU[MONTANT],DONNEESCUM_N1_NOUVEAU[TL2],A20,DONNEESCUM_N1_NOUVEAU[MOIS],DONNÉES!$C$5,DONNEESCUM_N1_NOUVEAU[SOCIETE],"GLR5")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GLR5'!$H:$H,'BAL N GLR5'!$I:$I,$A21,'BAL N GLR5'!$J:$J,"T")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SUMIFS(DONNEESCUM_N1_NOUVEAU[MONTANT],DONNEESCUM_N1_NOUVEAU[TL2],A21,DONNEESCUM_N1_NOUVEAU[MOIS],DONNÉES!$C$5,DONNEESCUM_N1_NOUVEAU[SOCIETE],"GLR5")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GLR5'!$H:$H,'BAL N GLR5'!$I:$I,$A22,'BAL N GLR5'!$J:$J,"T")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SUMIFS(DONNEESCUM_N1_NOUVEAU[MONTANT],DONNEESCUM_N1_NOUVEAU[TL2],A22,DONNEESCUM_N1_NOUVEAU[MOIS],DONNÉES!$C$5,DONNEESCUM_N1_NOUVEAU[SOCIETE],"GLR5")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GLR5'!$H:$H,'BAL N GLR5'!$I:$I,$A23,'BAL N GLR5'!$J:$J,"T")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SUMIFS(DONNEESCUM_N1_NOUVEAU[MONTANT],DONNEESCUM_N1_NOUVEAU[TL2],A23,DONNEESCUM_N1_NOUVEAU[MOIS],DONNÉES!$C$5,DONNEESCUM_N1_NOUVEAU[SOCIETE],"GLR5")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GLR5'!$H:$H,'BAL N GLR5'!$I:$I,$A24,'BAL N GLR5'!$J:$J,"T")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SUMIFS(DONNEESCUM_N1_NOUVEAU[MONTANT],DONNEESCUM_N1_NOUVEAU[TL2],A24,DONNEESCUM_N1_NOUVEAU[MOIS],DONNÉES!$C$5,DONNEESCUM_N1_NOUVEAU[SOCIETE],"GLR5")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GLR5'!$H:$H,'BAL N GLR5'!$I:$I,$A25,'BAL N GLR5'!$J:$J,"T")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SUMIFS(DONNEESCUM_N1_NOUVEAU[MONTANT],DONNEESCUM_N1_NOUVEAU[TL2],A25,DONNEESCUM_N1_NOUVEAU[MOIS],DONNÉES!$C$5,DONNEESCUM_N1_NOUVEAU[SOCIETE],"GLR5")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GLR5'!$H:$H,'BAL N GLR5'!$I:$I,$A28,'BAL N GLR5'!$J:$J,"T")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SUMIFS(DONNEESCUM_N1_NOUVEAU[MONTANT],DONNEESCUM_N1_NOUVEAU[TL2],A28,DONNEESCUM_N1_NOUVEAU[MOIS],DONNÉES!$C$5,DONNEESCUM_N1_NOUVEAU[SOCIETE],"GLR5")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GLR5'!$H:$H,'BAL N GLR5'!$I:$I,$A29,'BAL N GLR5'!$J:$J,"T")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SUMIFS(DONNEESCUM_N1_NOUVEAU[MONTANT],DONNEESCUM_N1_NOUVEAU[TL2],A29,DONNEESCUM_N1_NOUVEAU[MOIS],DONNÉES!$C$5,DONNEESCUM_N1_NOUVEAU[SOCIETE],"GLR5")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GLR5'!$H:$H,'BAL N GLR5'!$I:$I,$A30,'BAL N GLR5'!$J:$J,"T")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SUMIFS(DONNEESCUM_N1_NOUVEAU[MONTANT],DONNEESCUM_N1_NOUVEAU[TL2],A30,DONNEESCUM_N1_NOUVEAU[MOIS],DONNÉES!$C$5,DONNEESCUM_N1_NOUVEAU[SOCIETE],"GLR5")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GLR5'!$H:$H,'BAL N GLR5'!$I:$I,$A31,'BAL N GLR5'!$J:$J,"T")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SUMIFS(DONNEESCUM_N1_NOUVEAU[MONTANT],DONNEESCUM_N1_NOUVEAU[TL2],A31,DONNEESCUM_N1_NOUVEAU[MOIS],DONNÉES!$C$5,DONNEESCUM_N1_NOUVEAU[SOCIETE],"GLR5")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GLR5'!$H:$H,'BAL N GLR5'!$I:$I,$A32,'BAL N GLR5'!$J:$J,"T")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SUMIFS(DONNEESCUM_N1_NOUVEAU[MONTANT],DONNEESCUM_N1_NOUVEAU[TL2],A32,DONNEESCUM_N1_NOUVEAU[MOIS],DONNÉES!$C$5,DONNEESCUM_N1_NOUVEAU[SOCIETE],"GLR5")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GLR5'!$H:$H,'BAL N GLR5'!$I:$I,$A35,'BAL N GLR5'!$J:$J,"T")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SUMIFS(DONNEESCUM_N1_NOUVEAU[MONTANT],DONNEESCUM_N1_NOUVEAU[TL2],A35,DONNEESCUM_N1_NOUVEAU[MOIS],DONNÉES!$C$5,DONNEESCUM_N1_NOUVEAU[SOCIETE],"GLR5")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GLR5'!$H:$H,'BAL N GLR5'!$I:$I,$A36,'BAL N GLR5'!$J:$J,"T")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SUMIFS(DONNEESCUM_N1_NOUVEAU[MONTANT],DONNEESCUM_N1_NOUVEAU[TL2],A36,DONNEESCUM_N1_NOUVEAU[MOIS],DONNÉES!$C$5,DONNEESCUM_N1_NOUVEAU[SOCIETE],"GLR5")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GLR5'!$H:$H,'BAL N GLR5'!$I:$I,$A37,'BAL N GLR5'!$J:$J,"T")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SUMIFS(DONNEESCUM_N1_NOUVEAU[MONTANT],DONNEESCUM_N1_NOUVEAU[TL2],A37,DONNEESCUM_N1_NOUVEAU[MOIS],DONNÉES!$C$5,DONNEESCUM_N1_NOUVEAU[SOCIETE],"GLR5")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GLR5'!$H:$H,'BAL N GLR5'!$I:$I,$A38,'BAL N GLR5'!$J:$J,"T")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SUMIFS(DONNEESCUM_N1_NOUVEAU[MONTANT],DONNEESCUM_N1_NOUVEAU[TL2],A38,DONNEESCUM_N1_NOUVEAU[MOIS],DONNÉES!$C$5,DONNEESCUM_N1_NOUVEAU[SOCIETE],"GLR5")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GLR5'!$H:$H,'BAL N GLR5'!$I:$I,$A39,'BAL N GLR5'!$J:$J,"T")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SUMIFS(DONNEESCUM_N1_NOUVEAU[MONTANT],DONNEESCUM_N1_NOUVEAU[TL2],A39,DONNEESCUM_N1_NOUVEAU[MOIS],DONNÉES!$C$5,DONNEESCUM_N1_NOUVEAU[SOCIETE],"GLR5")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GLR5'!$H:$H,'BAL N GLR5'!$I:$I,$A40,'BAL N GLR5'!$J:$J,"T")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SUMIFS(DONNEESCUM_N1_NOUVEAU[MONTANT],DONNEESCUM_N1_NOUVEAU[TL2],A40,DONNEESCUM_N1_NOUVEAU[MOIS],DONNÉES!$C$5,DONNEESCUM_N1_NOUVEAU[SOCIETE],"GLR5")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GLR5'!$H:$H,'BAL N GLR5'!$I:$I,$A41,'BAL N GLR5'!$J:$J,"T")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SUMIFS(DONNEESCUM_N1_NOUVEAU[MONTANT],DONNEESCUM_N1_NOUVEAU[TL2],A41,DONNEESCUM_N1_NOUVEAU[MOIS],DONNÉES!$C$5,DONNEESCUM_N1_NOUVEAU[SOCIETE],"GLR5")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GLR5'!$H:$H,'BAL N GLR5'!$I:$I,$A46,'BAL N GLR5'!$J:$J,"T")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SUMIFS(DONNEESCUM_N1_NOUVEAU[MONTANT],DONNEESCUM_N1_NOUVEAU[TL2],A46,DONNEESCUM_N1_NOUVEAU[MOIS],DONNÉES!$C$5,DONNEESCUM_N1_NOUVEAU[SOCIETE],"GLR5")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GLR5'!$H:$H,'BAL N GLR5'!$I:$I,$A47,'BAL N GLR5'!$J:$J,"T")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SUMIFS(DONNEESCUM_N1_NOUVEAU[MONTANT],DONNEESCUM_N1_NOUVEAU[TL2],A47,DONNEESCUM_N1_NOUVEAU[MOIS],DONNÉES!$C$5,DONNEESCUM_N1_NOUVEAU[SOCIETE],"GLR5")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GLR5'!$H:$H,'BAL N GLR5'!$I:$I,$A48,'BAL N GLR5'!$J:$J,"T")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SUMIFS(DONNEESCUM_N1_NOUVEAU[MONTANT],DONNEESCUM_N1_NOUVEAU[TL2],A48,DONNEESCUM_N1_NOUVEAU[MOIS],DONNÉES!$C$5,DONNEESCUM_N1_NOUVEAU[SOCIETE],"GLR5")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GLR5'!$H:$H,'BAL N GLR5'!$I:$I,$A51,'BAL N GLR5'!$J:$J,"T")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SUMIFS(DONNEESCUM_N1_NOUVEAU[MONTANT],DONNEESCUM_N1_NOUVEAU[TL2],A51,DONNEESCUM_N1_NOUVEAU[MOIS],DONNÉES!$C$5,DONNEESCUM_N1_NOUVEAU[SOCIETE],"GLR5")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GLR5'!$H:$H,'BAL N GLR5'!$I:$I,$A52,'BAL N GLR5'!$J:$J,"T")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SUMIFS(DONNEESCUM_N1_NOUVEAU[MONTANT],DONNEESCUM_N1_NOUVEAU[TL2],A52,DONNEESCUM_N1_NOUVEAU[MOIS],DONNÉES!$C$5,DONNEESCUM_N1_NOUVEAU[SOCIETE],"GLR5")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GLR5'!$H:$H,'BAL N GLR5'!$I:$I,$A53,'BAL N GLR5'!$J:$J,"T")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SUMIFS(DONNEESCUM_N1_NOUVEAU[MONTANT],DONNEESCUM_N1_NOUVEAU[TL2],A53,DONNEESCUM_N1_NOUVEAU[MOIS],DONNÉES!$C$5,DONNEESCUM_N1_NOUVEAU[SOCIETE],"GLR5")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GLR5'!$H:$H,'BAL N GLR5'!$I:$I,$A54,'BAL N GLR5'!$J:$J,"T")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SUMIFS(DONNEESCUM_N1_NOUVEAU[MONTANT],DONNEESCUM_N1_NOUVEAU[TL2],A54,DONNEESCUM_N1_NOUVEAU[MOIS],DONNÉES!$C$5,DONNEESCUM_N1_NOUVEAU[SOCIETE],"GLR5")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GLR5'!$H:$H,'BAL N GLR5'!$I:$I,$A55,'BAL N GLR5'!$J:$J,"T")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SUMIFS(DONNEESCUM_N1_NOUVEAU[MONTANT],DONNEESCUM_N1_NOUVEAU[TL2],A55,DONNEESCUM_N1_NOUVEAU[MOIS],DONNÉES!$C$5,DONNEESCUM_N1_NOUVEAU[SOCIETE],"GLR5")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GLR5'!$H:$H,'BAL N GLR5'!$I:$I,$A56,'BAL N GLR5'!$J:$J,"T")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SUMIFS(DONNEESCUM_N1_NOUVEAU[MONTANT],DONNEESCUM_N1_NOUVEAU[TL2],A56,DONNEESCUM_N1_NOUVEAU[MOIS],DONNÉES!$C$5,DONNEESCUM_N1_NOUVEAU[SOCIETE],"GLR5")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GLR5'!$H:$H,'BAL N GLR5'!$I:$I,$A57,'BAL N GLR5'!$J:$J,"T")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SUMIFS(DONNEESCUM_N1_NOUVEAU[MONTANT],DONNEESCUM_N1_NOUVEAU[TL2],A57,DONNEESCUM_N1_NOUVEAU[MOIS],DONNÉES!$C$5,DONNEESCUM_N1_NOUVEAU[SOCIETE],"GLR5")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GLR5'!$H:$H,'BAL N GLR5'!$I:$I,$A58,'BAL N GLR5'!$J:$J,"T")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SUMIFS(DONNEESCUM_N1_NOUVEAU[MONTANT],DONNEESCUM_N1_NOUVEAU[TL2],A58,DONNEESCUM_N1_NOUVEAU[MOIS],DONNÉES!$C$5,DONNEESCUM_N1_NOUVEAU[SOCIETE],"GLR5")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GLR5'!$H:$H,'BAL N GLR5'!$I:$I,$A63,'BAL N GLR5'!$J:$J,"T")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-SUMIFS(DONNEESCUM_N1_NOUVEAU[MONTANT],DONNEESCUM_N1_NOUVEAU[TL2],A63,DONNEESCUM_N1_NOUVEAU[MOIS],DONNÉES!$C$5,DONNEESCUM_N1_NOUVEAU[SOCIETE],"GLR5")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GLR5'!$H:$H,'BAL N GLR5'!$I:$I,$A64,'BAL N GLR5'!$J:$J,"T")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SUMIFS(DONNEESCUM_N1_NOUVEAU[MONTANT],DONNEESCUM_N1_NOUVEAU[TL2],A64,DONNEESCUM_N1_NOUVEAU[MOIS],DONNÉES!$C$5,DONNEESCUM_N1_NOUVEAU[SOCIETE],"GLR5")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GLR5'!$H:$H,'BAL N GLR5'!$I:$I,$A67,'BAL N GLR5'!$J:$J,"T")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-SUMIFS(DONNEESCUM_N1_NOUVEAU[MONTANT],DONNEESCUM_N1_NOUVEAU[TL2],A67,DONNEESCUM_N1_NOUVEAU[MOIS],DONNÉES!$C$5,DONNEESCUM_N1_NOUVEAU[SOCIETE],"GLR5")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GLR5'!$H:$H,'BAL N GLR5'!$I:$I,$A72,'BAL N GLR5'!$J:$J,"T")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-SUMIFS(DONNEESCUM_N1_NOUVEAU[MONTANT],DONNEESCUM_N1_NOUVEAU[TL2],A72,DONNEESCUM_N1_NOUVEAU[MOIS],DONNÉES!$C$5,DONNEESCUM_N1_NOUVEAU[SOCIETE],"GLR5")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GLR5'!$H:$H,'BAL N GLR5'!$I:$I,$A74,'BAL N GLR5'!$J:$J,"T")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SUMIFS(DONNEESCUM_N1_NOUVEAU[MONTANT],DONNEESCUM_N1_NOUVEAU[TL2],A74,DONNEESCUM_N1_NOUVEAU[MOIS],DONNÉES!$C$5,DONNEESCUM_N1_NOUVEAU[SOCIETE],"GLR5")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VLOOKUP(PARAMETRES!$C$2,DONNÉES!$J$188:$P$199,2,FALSE)</f>
        <v/>
      </c>
      <c r="D78" s="450" t="n"/>
      <c r="E78" s="449">
        <f>VLOOKUP(PARAMETRES!$C$2,DONNÉES!$J$188:$P$199,3,FALSE)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VLOOKUP(PARAMETRES!$C$2,DONNÉES!$J$284:$P$295,2,FALSE)</f>
        <v/>
      </c>
      <c r="D80" s="450" t="n"/>
      <c r="E80" s="453">
        <f>VLOOKUP(PARAMETRES!$C$2,DONNÉES!$J$284:$P$295,3,FALSE)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72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56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HTR8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HTR8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HTR8'!$H:$H,'BAL N HTR8'!$I:$I,$A8,'BAL N HTR8'!$J:$J,"T")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-SUMIFS(DONNEESCUM_N1_NOUVEAU[MONTANT],DONNEESCUM_N1_NOUVEAU[TL2],A8,DONNEESCUM_N1_NOUVEAU[MOIS],DONNÉES!$C$5,DONNEESCUM_N1_NOUVEAU[SOCIETE],"HTR8")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HTR8'!$H:$H,'BAL N HTR8'!$I:$I,$A10,'BAL N HTR8'!$J:$J,"T")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SUMIFS(DONNEESCUM_N1_NOUVEAU[MONTANT],DONNEESCUM_N1_NOUVEAU[TL2],A10,DONNEESCUM_N1_NOUVEAU[MOIS],DONNÉES!$C$5,DONNEESCUM_N1_NOUVEAU[SOCIETE],"HTR8")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HTR8'!$H:$H,'BAL N HTR8'!$I:$I,$A11,'BAL N HTR8'!$J:$J,"T")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SUMIFS(DONNEESCUM_N1_NOUVEAU[MONTANT],DONNEESCUM_N1_NOUVEAU[TL2],A11,DONNEESCUM_N1_NOUVEAU[MOIS],DONNÉES!$C$5,DONNEESCUM_N1_NOUVEAU[SOCIETE],"HTR8")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HTR8'!$H:$H,'BAL N HTR8'!$I:$I,$A12,'BAL N HTR8'!$J:$J,"T")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SUMIFS(DONNEESCUM_N1_NOUVEAU[MONTANT],DONNEESCUM_N1_NOUVEAU[TL2],A12,DONNEESCUM_N1_NOUVEAU[MOIS],DONNÉES!$C$5,DONNEESCUM_N1_NOUVEAU[SOCIETE],"HTR8")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HTR8'!$H:$H,'BAL N HTR8'!$I:$I,$A14,'BAL N HTR8'!$J:$J,"T")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SUMIFS(DONNEESCUM_N1_NOUVEAU[MONTANT],DONNEESCUM_N1_NOUVEAU[TL2],A14,DONNEESCUM_N1_NOUVEAU[MOIS],DONNÉES!$C$5,DONNEESCUM_N1_NOUVEAU[SOCIETE],"HTR8")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HTR8'!$H:$H,'BAL N HTR8'!$I:$I,$A15,'BAL N HTR8'!$J:$J,"T")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SUMIFS(DONNEESCUM_N1_NOUVEAU[MONTANT],DONNEESCUM_N1_NOUVEAU[TL2],A15,DONNEESCUM_N1_NOUVEAU[MOIS],DONNÉES!$C$5,DONNEESCUM_N1_NOUVEAU[SOCIETE],"HTR8")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HTR8'!$H:$H,'BAL N HTR8'!$I:$I,$A20,'BAL N HTR8'!$J:$J,"T")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SUMIFS(DONNEESCUM_N1_NOUVEAU[MONTANT],DONNEESCUM_N1_NOUVEAU[TL2],A20,DONNEESCUM_N1_NOUVEAU[MOIS],DONNÉES!$C$5,DONNEESCUM_N1_NOUVEAU[SOCIETE],"HTR8")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HTR8'!$H:$H,'BAL N HTR8'!$I:$I,$A21,'BAL N HTR8'!$J:$J,"T")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SUMIFS(DONNEESCUM_N1_NOUVEAU[MONTANT],DONNEESCUM_N1_NOUVEAU[TL2],A21,DONNEESCUM_N1_NOUVEAU[MOIS],DONNÉES!$C$5,DONNEESCUM_N1_NOUVEAU[SOCIETE],"HTR8")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HTR8'!$H:$H,'BAL N HTR8'!$I:$I,$A22,'BAL N HTR8'!$J:$J,"T")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SUMIFS(DONNEESCUM_N1_NOUVEAU[MONTANT],DONNEESCUM_N1_NOUVEAU[TL2],A22,DONNEESCUM_N1_NOUVEAU[MOIS],DONNÉES!$C$5,DONNEESCUM_N1_NOUVEAU[SOCIETE],"HTR8")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HTR8'!$H:$H,'BAL N HTR8'!$I:$I,$A23,'BAL N HTR8'!$J:$J,"T")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SUMIFS(DONNEESCUM_N1_NOUVEAU[MONTANT],DONNEESCUM_N1_NOUVEAU[TL2],A23,DONNEESCUM_N1_NOUVEAU[MOIS],DONNÉES!$C$5,DONNEESCUM_N1_NOUVEAU[SOCIETE],"HTR8")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HTR8'!$H:$H,'BAL N HTR8'!$I:$I,$A24,'BAL N HTR8'!$J:$J,"T")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SUMIFS(DONNEESCUM_N1_NOUVEAU[MONTANT],DONNEESCUM_N1_NOUVEAU[TL2],A24,DONNEESCUM_N1_NOUVEAU[MOIS],DONNÉES!$C$5,DONNEESCUM_N1_NOUVEAU[SOCIETE],"HTR8")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HTR8'!$H:$H,'BAL N HTR8'!$I:$I,$A25,'BAL N HTR8'!$J:$J,"T")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SUMIFS(DONNEESCUM_N1_NOUVEAU[MONTANT],DONNEESCUM_N1_NOUVEAU[TL2],A25,DONNEESCUM_N1_NOUVEAU[MOIS],DONNÉES!$C$5,DONNEESCUM_N1_NOUVEAU[SOCIETE],"HTR8")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HTR8'!$H:$H,'BAL N HTR8'!$I:$I,$A28,'BAL N HTR8'!$J:$J,"T")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SUMIFS(DONNEESCUM_N1_NOUVEAU[MONTANT],DONNEESCUM_N1_NOUVEAU[TL2],A28,DONNEESCUM_N1_NOUVEAU[MOIS],DONNÉES!$C$5,DONNEESCUM_N1_NOUVEAU[SOCIETE],"HTR8")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HTR8'!$H:$H,'BAL N HTR8'!$I:$I,$A29,'BAL N HTR8'!$J:$J,"T")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SUMIFS(DONNEESCUM_N1_NOUVEAU[MONTANT],DONNEESCUM_N1_NOUVEAU[TL2],A29,DONNEESCUM_N1_NOUVEAU[MOIS],DONNÉES!$C$5,DONNEESCUM_N1_NOUVEAU[SOCIETE],"HTR8")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HTR8'!$H:$H,'BAL N HTR8'!$I:$I,$A30,'BAL N HTR8'!$J:$J,"T")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SUMIFS(DONNEESCUM_N1_NOUVEAU[MONTANT],DONNEESCUM_N1_NOUVEAU[TL2],A30,DONNEESCUM_N1_NOUVEAU[MOIS],DONNÉES!$C$5,DONNEESCUM_N1_NOUVEAU[SOCIETE],"HTR8")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HTR8'!$H:$H,'BAL N HTR8'!$I:$I,$A31,'BAL N HTR8'!$J:$J,"T")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SUMIFS(DONNEESCUM_N1_NOUVEAU[MONTANT],DONNEESCUM_N1_NOUVEAU[TL2],A31,DONNEESCUM_N1_NOUVEAU[MOIS],DONNÉES!$C$5,DONNEESCUM_N1_NOUVEAU[SOCIETE],"HTR8")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HTR8'!$H:$H,'BAL N HTR8'!$I:$I,$A32,'BAL N HTR8'!$J:$J,"T")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SUMIFS(DONNEESCUM_N1_NOUVEAU[MONTANT],DONNEESCUM_N1_NOUVEAU[TL2],A32,DONNEESCUM_N1_NOUVEAU[MOIS],DONNÉES!$C$5,DONNEESCUM_N1_NOUVEAU[SOCIETE],"HTR8")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HTR8'!$H:$H,'BAL N HTR8'!$I:$I,$A35,'BAL N HTR8'!$J:$J,"T")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SUMIFS(DONNEESCUM_N1_NOUVEAU[MONTANT],DONNEESCUM_N1_NOUVEAU[TL2],A35,DONNEESCUM_N1_NOUVEAU[MOIS],DONNÉES!$C$5,DONNEESCUM_N1_NOUVEAU[SOCIETE],"HTR8")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HTR8'!$H:$H,'BAL N HTR8'!$I:$I,$A36,'BAL N HTR8'!$J:$J,"T")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SUMIFS(DONNEESCUM_N1_NOUVEAU[MONTANT],DONNEESCUM_N1_NOUVEAU[TL2],A36,DONNEESCUM_N1_NOUVEAU[MOIS],DONNÉES!$C$5,DONNEESCUM_N1_NOUVEAU[SOCIETE],"HTR8")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HTR8'!$H:$H,'BAL N HTR8'!$I:$I,$A37,'BAL N HTR8'!$J:$J,"T")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SUMIFS(DONNEESCUM_N1_NOUVEAU[MONTANT],DONNEESCUM_N1_NOUVEAU[TL2],A37,DONNEESCUM_N1_NOUVEAU[MOIS],DONNÉES!$C$5,DONNEESCUM_N1_NOUVEAU[SOCIETE],"HTR8")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HTR8'!$H:$H,'BAL N HTR8'!$I:$I,$A38,'BAL N HTR8'!$J:$J,"T")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SUMIFS(DONNEESCUM_N1_NOUVEAU[MONTANT],DONNEESCUM_N1_NOUVEAU[TL2],A38,DONNEESCUM_N1_NOUVEAU[MOIS],DONNÉES!$C$5,DONNEESCUM_N1_NOUVEAU[SOCIETE],"HTR8")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HTR8'!$H:$H,'BAL N HTR8'!$I:$I,$A39,'BAL N HTR8'!$J:$J,"T")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SUMIFS(DONNEESCUM_N1_NOUVEAU[MONTANT],DONNEESCUM_N1_NOUVEAU[TL2],A39,DONNEESCUM_N1_NOUVEAU[MOIS],DONNÉES!$C$5,DONNEESCUM_N1_NOUVEAU[SOCIETE],"HTR8")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HTR8'!$H:$H,'BAL N HTR8'!$I:$I,$A40,'BAL N HTR8'!$J:$J,"T")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SUMIFS(DONNEESCUM_N1_NOUVEAU[MONTANT],DONNEESCUM_N1_NOUVEAU[TL2],A40,DONNEESCUM_N1_NOUVEAU[MOIS],DONNÉES!$C$5,DONNEESCUM_N1_NOUVEAU[SOCIETE],"HTR8")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HTR8'!$H:$H,'BAL N HTR8'!$I:$I,$A41,'BAL N HTR8'!$J:$J,"T")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SUMIFS(DONNEESCUM_N1_NOUVEAU[MONTANT],DONNEESCUM_N1_NOUVEAU[TL2],A41,DONNEESCUM_N1_NOUVEAU[MOIS],DONNÉES!$C$5,DONNEESCUM_N1_NOUVEAU[SOCIETE],"HTR8")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HTR8'!$H:$H,'BAL N HTR8'!$I:$I,$A46,'BAL N HTR8'!$J:$J,"T")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SUMIFS(DONNEESCUM_N1_NOUVEAU[MONTANT],DONNEESCUM_N1_NOUVEAU[TL2],A46,DONNEESCUM_N1_NOUVEAU[MOIS],DONNÉES!$C$5,DONNEESCUM_N1_NOUVEAU[SOCIETE],"HTR8")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HTR8'!$H:$H,'BAL N HTR8'!$I:$I,$A47,'BAL N HTR8'!$J:$J,"T")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SUMIFS(DONNEESCUM_N1_NOUVEAU[MONTANT],DONNEESCUM_N1_NOUVEAU[TL2],A47,DONNEESCUM_N1_NOUVEAU[MOIS],DONNÉES!$C$5,DONNEESCUM_N1_NOUVEAU[SOCIETE],"HTR8")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HTR8'!$H:$H,'BAL N HTR8'!$I:$I,$A48,'BAL N HTR8'!$J:$J,"T")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SUMIFS(DONNEESCUM_N1_NOUVEAU[MONTANT],DONNEESCUM_N1_NOUVEAU[TL2],A48,DONNEESCUM_N1_NOUVEAU[MOIS],DONNÉES!$C$5,DONNEESCUM_N1_NOUVEAU[SOCIETE],"HTR8")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HTR8'!$H:$H,'BAL N HTR8'!$I:$I,$A51,'BAL N HTR8'!$J:$J,"T")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SUMIFS(DONNEESCUM_N1_NOUVEAU[MONTANT],DONNEESCUM_N1_NOUVEAU[TL2],A51,DONNEESCUM_N1_NOUVEAU[MOIS],DONNÉES!$C$5,DONNEESCUM_N1_NOUVEAU[SOCIETE],"HTR8")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HTR8'!$H:$H,'BAL N HTR8'!$I:$I,$A52,'BAL N HTR8'!$J:$J,"T")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SUMIFS(DONNEESCUM_N1_NOUVEAU[MONTANT],DONNEESCUM_N1_NOUVEAU[TL2],A52,DONNEESCUM_N1_NOUVEAU[MOIS],DONNÉES!$C$5,DONNEESCUM_N1_NOUVEAU[SOCIETE],"HTR8")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HTR8'!$H:$H,'BAL N HTR8'!$I:$I,$A53,'BAL N HTR8'!$J:$J,"T")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SUMIFS(DONNEESCUM_N1_NOUVEAU[MONTANT],DONNEESCUM_N1_NOUVEAU[TL2],A53,DONNEESCUM_N1_NOUVEAU[MOIS],DONNÉES!$C$5,DONNEESCUM_N1_NOUVEAU[SOCIETE],"HTR8")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HTR8'!$H:$H,'BAL N HTR8'!$I:$I,$A54,'BAL N HTR8'!$J:$J,"T")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SUMIFS(DONNEESCUM_N1_NOUVEAU[MONTANT],DONNEESCUM_N1_NOUVEAU[TL2],A54,DONNEESCUM_N1_NOUVEAU[MOIS],DONNÉES!$C$5,DONNEESCUM_N1_NOUVEAU[SOCIETE],"HTR8")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HTR8'!$H:$H,'BAL N HTR8'!$I:$I,$A55,'BAL N HTR8'!$J:$J,"T")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SUMIFS(DONNEESCUM_N1_NOUVEAU[MONTANT],DONNEESCUM_N1_NOUVEAU[TL2],A55,DONNEESCUM_N1_NOUVEAU[MOIS],DONNÉES!$C$5,DONNEESCUM_N1_NOUVEAU[SOCIETE],"HTR8")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HTR8'!$H:$H,'BAL N HTR8'!$I:$I,$A56,'BAL N HTR8'!$J:$J,"T")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SUMIFS(DONNEESCUM_N1_NOUVEAU[MONTANT],DONNEESCUM_N1_NOUVEAU[TL2],A56,DONNEESCUM_N1_NOUVEAU[MOIS],DONNÉES!$C$5,DONNEESCUM_N1_NOUVEAU[SOCIETE],"HTR8")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HTR8'!$H:$H,'BAL N HTR8'!$I:$I,$A57,'BAL N HTR8'!$J:$J,"T")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SUMIFS(DONNEESCUM_N1_NOUVEAU[MONTANT],DONNEESCUM_N1_NOUVEAU[TL2],A57,DONNEESCUM_N1_NOUVEAU[MOIS],DONNÉES!$C$5,DONNEESCUM_N1_NOUVEAU[SOCIETE],"HTR8")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HTR8'!$H:$H,'BAL N HTR8'!$I:$I,$A58,'BAL N HTR8'!$J:$J,"T")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SUMIFS(DONNEESCUM_N1_NOUVEAU[MONTANT],DONNEESCUM_N1_NOUVEAU[TL2],A58,DONNEESCUM_N1_NOUVEAU[MOIS],DONNÉES!$C$5,DONNEESCUM_N1_NOUVEAU[SOCIETE],"HTR8")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HTR8'!$H:$H,'BAL N HTR8'!$I:$I,$A63,'BAL N HTR8'!$J:$J,"T")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-SUMIFS(DONNEESCUM_N1_NOUVEAU[MONTANT],DONNEESCUM_N1_NOUVEAU[TL2],A63,DONNEESCUM_N1_NOUVEAU[MOIS],DONNÉES!$C$5,DONNEESCUM_N1_NOUVEAU[SOCIETE],"HTR8")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HTR8'!$H:$H,'BAL N HTR8'!$I:$I,$A64,'BAL N HTR8'!$J:$J,"T")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SUMIFS(DONNEESCUM_N1_NOUVEAU[MONTANT],DONNEESCUM_N1_NOUVEAU[TL2],A64,DONNEESCUM_N1_NOUVEAU[MOIS],DONNÉES!$C$5,DONNEESCUM_N1_NOUVEAU[SOCIETE],"HTR8")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HTR8'!$H:$H,'BAL N HTR8'!$I:$I,$A67,'BAL N HTR8'!$J:$J,"T")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-SUMIFS(DONNEESCUM_N1_NOUVEAU[MONTANT],DONNEESCUM_N1_NOUVEAU[TL2],A67,DONNEESCUM_N1_NOUVEAU[MOIS],DONNÉES!$C$5,DONNEESCUM_N1_NOUVEAU[SOCIETE],"HTR8")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HTR8'!$H:$H,'BAL N HTR8'!$I:$I,$A72,'BAL N HTR8'!$J:$J,"T")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-SUMIFS(DONNEESCUM_N1_NOUVEAU[MONTANT],DONNEESCUM_N1_NOUVEAU[TL2],A72,DONNEESCUM_N1_NOUVEAU[MOIS],DONNÉES!$C$5,DONNEESCUM_N1_NOUVEAU[SOCIETE],"HTR8")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HTR8'!$H:$H,'BAL N HTR8'!$I:$I,$A74,'BAL N HTR8'!$J:$J,"T")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SUMIFS(DONNEESCUM_N1_NOUVEAU[MONTANT],DONNEESCUM_N1_NOUVEAU[TL2],A74,DONNEESCUM_N1_NOUVEAU[MOIS],DONNÉES!$C$5,DONNEESCUM_N1_NOUVEAU[SOCIETE],"HTR8")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VLOOKUP(PARAMETRES!$C$2,DONNÉES!$R$188:$X$199,2,FALSE)</f>
        <v/>
      </c>
      <c r="D78" s="450" t="n"/>
      <c r="E78" s="449">
        <f>VLOOKUP(PARAMETRES!$C$2,DONNÉES!$R$188:$X$199,3,FALSE)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VLOOKUP(PARAMETRES!$C$2,DONNÉES!$R$284:$X$295,2,FALSE)</f>
        <v/>
      </c>
      <c r="D80" s="450" t="n"/>
      <c r="E80" s="453">
        <f>VLOOKUP(PARAMETRES!$C$2,DONNÉES!$R$284:$X$295,3,FALSE)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74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topLeftCell="A22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75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TIRR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TIRR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TIRR'!$H:$H,'BAL N TIRR'!$I:$I,$A8,'BAL N TIRR'!$J:$J,"T")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-SUMIFS(DONNEESCUM_N1_NOUVEAU[MONTANT],DONNEESCUM_N1_NOUVEAU[TL2],A8,DONNEESCUM_N1_NOUVEAU[MOIS],DONNÉES!$C$5,DONNEESCUM_N1_NOUVEAU[SOCIETE],"TIRR")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TIRR'!$H:$H,'BAL N TIRR'!$I:$I,$A10,'BAL N TIRR'!$J:$J,"T")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SUMIFS(DONNEESCUM_N1_NOUVEAU[MONTANT],DONNEESCUM_N1_NOUVEAU[TL2],A10,DONNEESCUM_N1_NOUVEAU[MOIS],DONNÉES!$C$5,DONNEESCUM_N1_NOUVEAU[SOCIETE],"TIRR")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TIRR'!$H:$H,'BAL N TIRR'!$I:$I,$A11,'BAL N TIRR'!$J:$J,"T")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SUMIFS(DONNEESCUM_N1_NOUVEAU[MONTANT],DONNEESCUM_N1_NOUVEAU[TL2],A11,DONNEESCUM_N1_NOUVEAU[MOIS],DONNÉES!$C$5,DONNEESCUM_N1_NOUVEAU[SOCIETE],"TIRR")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TIRR'!$H:$H,'BAL N TIRR'!$I:$I,$A12,'BAL N TIRR'!$J:$J,"T")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SUMIFS(DONNEESCUM_N1_NOUVEAU[MONTANT],DONNEESCUM_N1_NOUVEAU[TL2],A12,DONNEESCUM_N1_NOUVEAU[MOIS],DONNÉES!$C$5,DONNEESCUM_N1_NOUVEAU[SOCIETE],"TIRR")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TIRR'!$H:$H,'BAL N TIRR'!$I:$I,$A14,'BAL N TIRR'!$J:$J,"T")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SUMIFS(DONNEESCUM_N1_NOUVEAU[MONTANT],DONNEESCUM_N1_NOUVEAU[TL2],A14,DONNEESCUM_N1_NOUVEAU[MOIS],DONNÉES!$C$5,DONNEESCUM_N1_NOUVEAU[SOCIETE],"TIRR")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TIRR'!$H:$H,'BAL N TIRR'!$I:$I,$A15,'BAL N TIRR'!$J:$J,"T")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SUMIFS(DONNEESCUM_N1_NOUVEAU[MONTANT],DONNEESCUM_N1_NOUVEAU[TL2],A15,DONNEESCUM_N1_NOUVEAU[MOIS],DONNÉES!$C$5,DONNEESCUM_N1_NOUVEAU[SOCIETE],"TIRR")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TIRR'!$H:$H,'BAL N TIRR'!$I:$I,$A20,'BAL N TIRR'!$J:$J,"T")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SUMIFS(DONNEESCUM_N1_NOUVEAU[MONTANT],DONNEESCUM_N1_NOUVEAU[TL2],A20,DONNEESCUM_N1_NOUVEAU[MOIS],DONNÉES!$C$5,DONNEESCUM_N1_NOUVEAU[SOCIETE],"TIRR")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TIRR'!$H:$H,'BAL N TIRR'!$I:$I,$A21,'BAL N TIRR'!$J:$J,"T")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SUMIFS(DONNEESCUM_N1_NOUVEAU[MONTANT],DONNEESCUM_N1_NOUVEAU[TL2],A21,DONNEESCUM_N1_NOUVEAU[MOIS],DONNÉES!$C$5,DONNEESCUM_N1_NOUVEAU[SOCIETE],"TIRR")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TIRR'!$H:$H,'BAL N TIRR'!$I:$I,$A22,'BAL N TIRR'!$J:$J,"T")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SUMIFS(DONNEESCUM_N1_NOUVEAU[MONTANT],DONNEESCUM_N1_NOUVEAU[TL2],A22,DONNEESCUM_N1_NOUVEAU[MOIS],DONNÉES!$C$5,DONNEESCUM_N1_NOUVEAU[SOCIETE],"TIRR")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TIRR'!$H:$H,'BAL N TIRR'!$I:$I,$A23,'BAL N TIRR'!$J:$J,"T")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SUMIFS(DONNEESCUM_N1_NOUVEAU[MONTANT],DONNEESCUM_N1_NOUVEAU[TL2],A23,DONNEESCUM_N1_NOUVEAU[MOIS],DONNÉES!$C$5,DONNEESCUM_N1_NOUVEAU[SOCIETE],"TIRR")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TIRR'!$H:$H,'BAL N TIRR'!$I:$I,$A24,'BAL N TIRR'!$J:$J,"T")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SUMIFS(DONNEESCUM_N1_NOUVEAU[MONTANT],DONNEESCUM_N1_NOUVEAU[TL2],A24,DONNEESCUM_N1_NOUVEAU[MOIS],DONNÉES!$C$5,DONNEESCUM_N1_NOUVEAU[SOCIETE],"TIRR")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TIRR'!$H:$H,'BAL N TIRR'!$I:$I,$A25,'BAL N TIRR'!$J:$J,"T")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SUMIFS(DONNEESCUM_N1_NOUVEAU[MONTANT],DONNEESCUM_N1_NOUVEAU[TL2],A25,DONNEESCUM_N1_NOUVEAU[MOIS],DONNÉES!$C$5,DONNEESCUM_N1_NOUVEAU[SOCIETE],"TIRR")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TIRR'!$H:$H,'BAL N TIRR'!$I:$I,$A28,'BAL N TIRR'!$J:$J,"T")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SUMIFS(DONNEESCUM_N1_NOUVEAU[MONTANT],DONNEESCUM_N1_NOUVEAU[TL2],A28,DONNEESCUM_N1_NOUVEAU[MOIS],DONNÉES!$C$5,DONNEESCUM_N1_NOUVEAU[SOCIETE],"TIRR")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TIRR'!$H:$H,'BAL N TIRR'!$I:$I,$A29,'BAL N TIRR'!$J:$J,"T")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SUMIFS(DONNEESCUM_N1_NOUVEAU[MONTANT],DONNEESCUM_N1_NOUVEAU[TL2],A29,DONNEESCUM_N1_NOUVEAU[MOIS],DONNÉES!$C$5,DONNEESCUM_N1_NOUVEAU[SOCIETE],"TIRR")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TIRR'!$H:$H,'BAL N TIRR'!$I:$I,$A30,'BAL N TIRR'!$J:$J,"T")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SUMIFS(DONNEESCUM_N1_NOUVEAU[MONTANT],DONNEESCUM_N1_NOUVEAU[TL2],A30,DONNEESCUM_N1_NOUVEAU[MOIS],DONNÉES!$C$5,DONNEESCUM_N1_NOUVEAU[SOCIETE],"TIRR")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TIRR'!$H:$H,'BAL N TIRR'!$I:$I,$A31,'BAL N TIRR'!$J:$J,"T")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SUMIFS(DONNEESCUM_N1_NOUVEAU[MONTANT],DONNEESCUM_N1_NOUVEAU[TL2],A31,DONNEESCUM_N1_NOUVEAU[MOIS],DONNÉES!$C$5,DONNEESCUM_N1_NOUVEAU[SOCIETE],"TIRR")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TIRR'!$H:$H,'BAL N TIRR'!$I:$I,$A32,'BAL N TIRR'!$J:$J,"T")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SUMIFS(DONNEESCUM_N1_NOUVEAU[MONTANT],DONNEESCUM_N1_NOUVEAU[TL2],A32,DONNEESCUM_N1_NOUVEAU[MOIS],DONNÉES!$C$5,DONNEESCUM_N1_NOUVEAU[SOCIETE],"TIRR")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TIRR'!$H:$H,'BAL N TIRR'!$I:$I,$A35,'BAL N TIRR'!$J:$J,"T")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SUMIFS(DONNEESCUM_N1_NOUVEAU[MONTANT],DONNEESCUM_N1_NOUVEAU[TL2],A35,DONNEESCUM_N1_NOUVEAU[MOIS],DONNÉES!$C$5,DONNEESCUM_N1_NOUVEAU[SOCIETE],"TIRR")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TIRR'!$H:$H,'BAL N TIRR'!$I:$I,$A36,'BAL N TIRR'!$J:$J,"T")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SUMIFS(DONNEESCUM_N1_NOUVEAU[MONTANT],DONNEESCUM_N1_NOUVEAU[TL2],A36,DONNEESCUM_N1_NOUVEAU[MOIS],DONNÉES!$C$5,DONNEESCUM_N1_NOUVEAU[SOCIETE],"TIRR")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TIRR'!$H:$H,'BAL N TIRR'!$I:$I,$A37,'BAL N TIRR'!$J:$J,"T")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SUMIFS(DONNEESCUM_N1_NOUVEAU[MONTANT],DONNEESCUM_N1_NOUVEAU[TL2],A37,DONNEESCUM_N1_NOUVEAU[MOIS],DONNÉES!$C$5,DONNEESCUM_N1_NOUVEAU[SOCIETE],"TIRR")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TIRR'!$H:$H,'BAL N TIRR'!$I:$I,$A38,'BAL N TIRR'!$J:$J,"T")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SUMIFS(DONNEESCUM_N1_NOUVEAU[MONTANT],DONNEESCUM_N1_NOUVEAU[TL2],A38,DONNEESCUM_N1_NOUVEAU[MOIS],DONNÉES!$C$5,DONNEESCUM_N1_NOUVEAU[SOCIETE],"TIRR")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TIRR'!$H:$H,'BAL N TIRR'!$I:$I,$A39,'BAL N TIRR'!$J:$J,"T")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SUMIFS(DONNEESCUM_N1_NOUVEAU[MONTANT],DONNEESCUM_N1_NOUVEAU[TL2],A39,DONNEESCUM_N1_NOUVEAU[MOIS],DONNÉES!$C$5,DONNEESCUM_N1_NOUVEAU[SOCIETE],"TIRR")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TIRR'!$H:$H,'BAL N TIRR'!$I:$I,$A40,'BAL N TIRR'!$J:$J,"T")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SUMIFS(DONNEESCUM_N1_NOUVEAU[MONTANT],DONNEESCUM_N1_NOUVEAU[TL2],A40,DONNEESCUM_N1_NOUVEAU[MOIS],DONNÉES!$C$5,DONNEESCUM_N1_NOUVEAU[SOCIETE],"TIRR")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TIRR'!$H:$H,'BAL N TIRR'!$I:$I,$A41,'BAL N TIRR'!$J:$J,"T")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SUMIFS(DONNEESCUM_N1_NOUVEAU[MONTANT],DONNEESCUM_N1_NOUVEAU[TL2],A41,DONNEESCUM_N1_NOUVEAU[MOIS],DONNÉES!$C$5,DONNEESCUM_N1_NOUVEAU[SOCIETE],"TIRR")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TIRR'!$H:$H,'BAL N TIRR'!$I:$I,$A46,'BAL N TIRR'!$J:$J,"T")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SUMIFS(DONNEESCUM_N1_NOUVEAU[MONTANT],DONNEESCUM_N1_NOUVEAU[TL2],A46,DONNEESCUM_N1_NOUVEAU[MOIS],DONNÉES!$C$5,DONNEESCUM_N1_NOUVEAU[SOCIETE],"TIRR")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TIRR'!$H:$H,'BAL N TIRR'!$I:$I,$A47,'BAL N TIRR'!$J:$J,"T")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SUMIFS(DONNEESCUM_N1_NOUVEAU[MONTANT],DONNEESCUM_N1_NOUVEAU[TL2],A47,DONNEESCUM_N1_NOUVEAU[MOIS],DONNÉES!$C$5,DONNEESCUM_N1_NOUVEAU[SOCIETE],"TIRR")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TIRR'!$H:$H,'BAL N TIRR'!$I:$I,$A48,'BAL N TIRR'!$J:$J,"T")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SUMIFS(DONNEESCUM_N1_NOUVEAU[MONTANT],DONNEESCUM_N1_NOUVEAU[TL2],A48,DONNEESCUM_N1_NOUVEAU[MOIS],DONNÉES!$C$5,DONNEESCUM_N1_NOUVEAU[SOCIETE],"TIRR")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TIRR'!$H:$H,'BAL N TIRR'!$I:$I,$A51,'BAL N TIRR'!$J:$J,"T")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SUMIFS(DONNEESCUM_N1_NOUVEAU[MONTANT],DONNEESCUM_N1_NOUVEAU[TL2],A51,DONNEESCUM_N1_NOUVEAU[MOIS],DONNÉES!$C$5,DONNEESCUM_N1_NOUVEAU[SOCIETE],"TIRR")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TIRR'!$H:$H,'BAL N TIRR'!$I:$I,$A52,'BAL N TIRR'!$J:$J,"T")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SUMIFS(DONNEESCUM_N1_NOUVEAU[MONTANT],DONNEESCUM_N1_NOUVEAU[TL2],A52,DONNEESCUM_N1_NOUVEAU[MOIS],DONNÉES!$C$5,DONNEESCUM_N1_NOUVEAU[SOCIETE],"TIRR")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TIRR'!$H:$H,'BAL N TIRR'!$I:$I,$A53,'BAL N TIRR'!$J:$J,"T")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SUMIFS(DONNEESCUM_N1_NOUVEAU[MONTANT],DONNEESCUM_N1_NOUVEAU[TL2],A53,DONNEESCUM_N1_NOUVEAU[MOIS],DONNÉES!$C$5,DONNEESCUM_N1_NOUVEAU[SOCIETE],"TIRR")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TIRR'!$H:$H,'BAL N TIRR'!$I:$I,$A54,'BAL N TIRR'!$J:$J,"T")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SUMIFS(DONNEESCUM_N1_NOUVEAU[MONTANT],DONNEESCUM_N1_NOUVEAU[TL2],A54,DONNEESCUM_N1_NOUVEAU[MOIS],DONNÉES!$C$5,DONNEESCUM_N1_NOUVEAU[SOCIETE],"TIRR")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TIRR'!$H:$H,'BAL N TIRR'!$I:$I,$A55,'BAL N TIRR'!$J:$J,"T")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SUMIFS(DONNEESCUM_N1_NOUVEAU[MONTANT],DONNEESCUM_N1_NOUVEAU[TL2],A55,DONNEESCUM_N1_NOUVEAU[MOIS],DONNÉES!$C$5,DONNEESCUM_N1_NOUVEAU[SOCIETE],"TIRR")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TIRR'!$H:$H,'BAL N TIRR'!$I:$I,$A56,'BAL N TIRR'!$J:$J,"T")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SUMIFS(DONNEESCUM_N1_NOUVEAU[MONTANT],DONNEESCUM_N1_NOUVEAU[TL2],A56,DONNEESCUM_N1_NOUVEAU[MOIS],DONNÉES!$C$5,DONNEESCUM_N1_NOUVEAU[SOCIETE],"TIRR")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TIRR'!$H:$H,'BAL N TIRR'!$I:$I,$A57,'BAL N TIRR'!$J:$J,"T")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SUMIFS(DONNEESCUM_N1_NOUVEAU[MONTANT],DONNEESCUM_N1_NOUVEAU[TL2],A57,DONNEESCUM_N1_NOUVEAU[MOIS],DONNÉES!$C$5,DONNEESCUM_N1_NOUVEAU[SOCIETE],"TIRR")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TIRR'!$H:$H,'BAL N TIRR'!$I:$I,$A58,'BAL N TIRR'!$J:$J,"T")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SUMIFS(DONNEESCUM_N1_NOUVEAU[MONTANT],DONNEESCUM_N1_NOUVEAU[TL2],A58,DONNEESCUM_N1_NOUVEAU[MOIS],DONNÉES!$C$5,DONNEESCUM_N1_NOUVEAU[SOCIETE],"TIRR")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TIRR'!$H:$H,'BAL N TIRR'!$I:$I,$A63,'BAL N TIRR'!$J:$J,"T")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-SUMIFS(DONNEESCUM_N1_NOUVEAU[MONTANT],DONNEESCUM_N1_NOUVEAU[TL2],A63,DONNEESCUM_N1_NOUVEAU[MOIS],DONNÉES!$C$5,DONNEESCUM_N1_NOUVEAU[SOCIETE],"TIRR")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TIRR'!$H:$H,'BAL N TIRR'!$I:$I,$A64,'BAL N TIRR'!$J:$J,"T")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SUMIFS(DONNEESCUM_N1_NOUVEAU[MONTANT],DONNEESCUM_N1_NOUVEAU[TL2],A64,DONNEESCUM_N1_NOUVEAU[MOIS],DONNÉES!$C$5,DONNEESCUM_N1_NOUVEAU[SOCIETE],"TIRR")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TIRR'!$H:$H,'BAL N TIRR'!$I:$I,$A67,'BAL N TIRR'!$J:$J,"T")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-SUMIFS(DONNEESCUM_N1_NOUVEAU[MONTANT],DONNEESCUM_N1_NOUVEAU[TL2],A67,DONNEESCUM_N1_NOUVEAU[MOIS],DONNÉES!$C$5,DONNEESCUM_N1_NOUVEAU[SOCIETE],"TIRR")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TIRR'!$H:$H,'BAL N TIRR'!$I:$I,$A72,'BAL N TIRR'!$J:$J,"T")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-SUMIFS(DONNEESCUM_N1_NOUVEAU[MONTANT],DONNEESCUM_N1_NOUVEAU[TL2],A72,DONNEESCUM_N1_NOUVEAU[MOIS],DONNÉES!$C$5,DONNEESCUM_N1_NOUVEAU[SOCIETE],"TIRR")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TIRR'!$H:$H,'BAL N TIRR'!$I:$I,$A74,'BAL N TIRR'!$J:$J,"T")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SUMIFS(DONNEESCUM_N1_NOUVEAU[MONTANT],DONNEESCUM_N1_NOUVEAU[TL2],A74,DONNEESCUM_N1_NOUVEAU[MOIS],DONNÉES!$C$5,DONNEESCUM_N1_NOUVEAU[SOCIETE],"TIRR")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VLOOKUP(PARAMETRES!$C$2,DONNÉES!$Z$188:$AF$199,2,FALSE)</f>
        <v/>
      </c>
      <c r="D78" s="450" t="n"/>
      <c r="E78" s="449">
        <f>VLOOKUP(PARAMETRES!$C$2,DONNÉES!$Z$188:$AF$199,3,FALSE)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VLOOKUP(PARAMETRES!$C$2,DONNÉES!$Z$284:$AF$295,2,FALSE)</f>
        <v/>
      </c>
      <c r="D80" s="450" t="n"/>
      <c r="E80" s="453">
        <f>VLOOKUP(PARAMETRES!$C$2,DONNÉES!$Z$284:$AF$295,3,FALSE)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76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77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43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VR7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VR7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VR7'!$H:$H,'BAL N VR7'!$I:$I,$A8,'BAL N VR7'!$J:$J,"T")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-SUMIFS(DONNEESCUM_N1_NOUVEAU[MONTANT],DONNEESCUM_N1_NOUVEAU[TL2],A8,DONNEESCUM_N1_NOUVEAU[MOIS],DONNÉES!$C$5,DONNEESCUM_N1_NOUVEAU[SOCIETE],"VR7")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VR7'!$H:$H,'BAL N VR7'!$I:$I,$A10,'BAL N VR7'!$J:$J,"T")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SUMIFS(DONNEESCUM_N1_NOUVEAU[MONTANT],DONNEESCUM_N1_NOUVEAU[TL2],A10,DONNEESCUM_N1_NOUVEAU[MOIS],DONNÉES!$C$5,DONNEESCUM_N1_NOUVEAU[SOCIETE],"VR7")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VR7'!$H:$H,'BAL N VR7'!$I:$I,$A11,'BAL N VR7'!$J:$J,"T")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SUMIFS(DONNEESCUM_N1_NOUVEAU[MONTANT],DONNEESCUM_N1_NOUVEAU[TL2],A11,DONNEESCUM_N1_NOUVEAU[MOIS],DONNÉES!$C$5,DONNEESCUM_N1_NOUVEAU[SOCIETE],"VR7")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VR7'!$H:$H,'BAL N VR7'!$I:$I,$A12,'BAL N VR7'!$J:$J,"T")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SUMIFS(DONNEESCUM_N1_NOUVEAU[MONTANT],DONNEESCUM_N1_NOUVEAU[TL2],A12,DONNEESCUM_N1_NOUVEAU[MOIS],DONNÉES!$C$5,DONNEESCUM_N1_NOUVEAU[SOCIETE],"VR7")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VR7'!$H:$H,'BAL N VR7'!$I:$I,$A14,'BAL N VR7'!$J:$J,"T")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SUMIFS(DONNEESCUM_N1_NOUVEAU[MONTANT],DONNEESCUM_N1_NOUVEAU[TL2],A14,DONNEESCUM_N1_NOUVEAU[MOIS],DONNÉES!$C$5,DONNEESCUM_N1_NOUVEAU[SOCIETE],"VR7")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VR7'!$H:$H,'BAL N VR7'!$I:$I,$A15,'BAL N VR7'!$J:$J,"T")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SUMIFS(DONNEESCUM_N1_NOUVEAU[MONTANT],DONNEESCUM_N1_NOUVEAU[TL2],A15,DONNEESCUM_N1_NOUVEAU[MOIS],DONNÉES!$C$5,DONNEESCUM_N1_NOUVEAU[SOCIETE],"VR7")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VR7'!$H:$H,'BAL N VR7'!$I:$I,$A20,'BAL N VR7'!$J:$J,"T")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SUMIFS(DONNEESCUM_N1_NOUVEAU[MONTANT],DONNEESCUM_N1_NOUVEAU[TL2],A20,DONNEESCUM_N1_NOUVEAU[MOIS],DONNÉES!$C$5,DONNEESCUM_N1_NOUVEAU[SOCIETE],"VR7")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VR7'!$H:$H,'BAL N VR7'!$I:$I,$A21,'BAL N VR7'!$J:$J,"T")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SUMIFS(DONNEESCUM_N1_NOUVEAU[MONTANT],DONNEESCUM_N1_NOUVEAU[TL2],A21,DONNEESCUM_N1_NOUVEAU[MOIS],DONNÉES!$C$5,DONNEESCUM_N1_NOUVEAU[SOCIETE],"VR7")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VR7'!$H:$H,'BAL N VR7'!$I:$I,$A22,'BAL N VR7'!$J:$J,"T")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SUMIFS(DONNEESCUM_N1_NOUVEAU[MONTANT],DONNEESCUM_N1_NOUVEAU[TL2],A22,DONNEESCUM_N1_NOUVEAU[MOIS],DONNÉES!$C$5,DONNEESCUM_N1_NOUVEAU[SOCIETE],"VR7")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VR7'!$H:$H,'BAL N VR7'!$I:$I,$A23,'BAL N VR7'!$J:$J,"T")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SUMIFS(DONNEESCUM_N1_NOUVEAU[MONTANT],DONNEESCUM_N1_NOUVEAU[TL2],A23,DONNEESCUM_N1_NOUVEAU[MOIS],DONNÉES!$C$5,DONNEESCUM_N1_NOUVEAU[SOCIETE],"VR7")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VR7'!$H:$H,'BAL N VR7'!$I:$I,$A24,'BAL N VR7'!$J:$J,"T")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SUMIFS(DONNEESCUM_N1_NOUVEAU[MONTANT],DONNEESCUM_N1_NOUVEAU[TL2],A24,DONNEESCUM_N1_NOUVEAU[MOIS],DONNÉES!$C$5,DONNEESCUM_N1_NOUVEAU[SOCIETE],"VR7")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VR7'!$H:$H,'BAL N VR7'!$I:$I,$A25,'BAL N VR7'!$J:$J,"T")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SUMIFS(DONNEESCUM_N1_NOUVEAU[MONTANT],DONNEESCUM_N1_NOUVEAU[TL2],A25,DONNEESCUM_N1_NOUVEAU[MOIS],DONNÉES!$C$5,DONNEESCUM_N1_NOUVEAU[SOCIETE],"VR7")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VR7'!$H:$H,'BAL N VR7'!$I:$I,$A28,'BAL N VR7'!$J:$J,"T")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SUMIFS(DONNEESCUM_N1_NOUVEAU[MONTANT],DONNEESCUM_N1_NOUVEAU[TL2],A28,DONNEESCUM_N1_NOUVEAU[MOIS],DONNÉES!$C$5,DONNEESCUM_N1_NOUVEAU[SOCIETE],"VR7")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VR7'!$H:$H,'BAL N VR7'!$I:$I,$A29,'BAL N VR7'!$J:$J,"T")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SUMIFS(DONNEESCUM_N1_NOUVEAU[MONTANT],DONNEESCUM_N1_NOUVEAU[TL2],A29,DONNEESCUM_N1_NOUVEAU[MOIS],DONNÉES!$C$5,DONNEESCUM_N1_NOUVEAU[SOCIETE],"VR7")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VR7'!$H:$H,'BAL N VR7'!$I:$I,$A30,'BAL N VR7'!$J:$J,"T")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SUMIFS(DONNEESCUM_N1_NOUVEAU[MONTANT],DONNEESCUM_N1_NOUVEAU[TL2],A30,DONNEESCUM_N1_NOUVEAU[MOIS],DONNÉES!$C$5,DONNEESCUM_N1_NOUVEAU[SOCIETE],"VR7")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VR7'!$H:$H,'BAL N VR7'!$I:$I,$A31,'BAL N VR7'!$J:$J,"T")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SUMIFS(DONNEESCUM_N1_NOUVEAU[MONTANT],DONNEESCUM_N1_NOUVEAU[TL2],A31,DONNEESCUM_N1_NOUVEAU[MOIS],DONNÉES!$C$5,DONNEESCUM_N1_NOUVEAU[SOCIETE],"VR7")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VR7'!$H:$H,'BAL N VR7'!$I:$I,$A32,'BAL N VR7'!$J:$J,"T")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SUMIFS(DONNEESCUM_N1_NOUVEAU[MONTANT],DONNEESCUM_N1_NOUVEAU[TL2],A32,DONNEESCUM_N1_NOUVEAU[MOIS],DONNÉES!$C$5,DONNEESCUM_N1_NOUVEAU[SOCIETE],"VR7")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VR7'!$H:$H,'BAL N VR7'!$I:$I,$A35,'BAL N VR7'!$J:$J,"T")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SUMIFS(DONNEESCUM_N1_NOUVEAU[MONTANT],DONNEESCUM_N1_NOUVEAU[TL2],A35,DONNEESCUM_N1_NOUVEAU[MOIS],DONNÉES!$C$5,DONNEESCUM_N1_NOUVEAU[SOCIETE],"VR7")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VR7'!$H:$H,'BAL N VR7'!$I:$I,$A36,'BAL N VR7'!$J:$J,"T")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SUMIFS(DONNEESCUM_N1_NOUVEAU[MONTANT],DONNEESCUM_N1_NOUVEAU[TL2],A36,DONNEESCUM_N1_NOUVEAU[MOIS],DONNÉES!$C$5,DONNEESCUM_N1_NOUVEAU[SOCIETE],"VR7")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VR7'!$H:$H,'BAL N VR7'!$I:$I,$A37,'BAL N VR7'!$J:$J,"T")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SUMIFS(DONNEESCUM_N1_NOUVEAU[MONTANT],DONNEESCUM_N1_NOUVEAU[TL2],A37,DONNEESCUM_N1_NOUVEAU[MOIS],DONNÉES!$C$5,DONNEESCUM_N1_NOUVEAU[SOCIETE],"VR7")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VR7'!$H:$H,'BAL N VR7'!$I:$I,$A38,'BAL N VR7'!$J:$J,"T")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SUMIFS(DONNEESCUM_N1_NOUVEAU[MONTANT],DONNEESCUM_N1_NOUVEAU[TL2],A38,DONNEESCUM_N1_NOUVEAU[MOIS],DONNÉES!$C$5,DONNEESCUM_N1_NOUVEAU[SOCIETE],"VR7")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VR7'!$H:$H,'BAL N VR7'!$I:$I,$A39,'BAL N VR7'!$J:$J,"T")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SUMIFS(DONNEESCUM_N1_NOUVEAU[MONTANT],DONNEESCUM_N1_NOUVEAU[TL2],A39,DONNEESCUM_N1_NOUVEAU[MOIS],DONNÉES!$C$5,DONNEESCUM_N1_NOUVEAU[SOCIETE],"VR7")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VR7'!$H:$H,'BAL N VR7'!$I:$I,$A40,'BAL N VR7'!$J:$J,"T")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SUMIFS(DONNEESCUM_N1_NOUVEAU[MONTANT],DONNEESCUM_N1_NOUVEAU[TL2],A40,DONNEESCUM_N1_NOUVEAU[MOIS],DONNÉES!$C$5,DONNEESCUM_N1_NOUVEAU[SOCIETE],"VR7")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VR7'!$H:$H,'BAL N VR7'!$I:$I,$A41,'BAL N VR7'!$J:$J,"T")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SUMIFS(DONNEESCUM_N1_NOUVEAU[MONTANT],DONNEESCUM_N1_NOUVEAU[TL2],A41,DONNEESCUM_N1_NOUVEAU[MOIS],DONNÉES!$C$5,DONNEESCUM_N1_NOUVEAU[SOCIETE],"VR7")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VR7'!$H:$H,'BAL N VR7'!$I:$I,$A46,'BAL N VR7'!$J:$J,"T")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SUMIFS(DONNEESCUM_N1_NOUVEAU[MONTANT],DONNEESCUM_N1_NOUVEAU[TL2],A46,DONNEESCUM_N1_NOUVEAU[MOIS],DONNÉES!$C$5,DONNEESCUM_N1_NOUVEAU[SOCIETE],"VR7")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VR7'!$H:$H,'BAL N VR7'!$I:$I,$A47,'BAL N VR7'!$J:$J,"T")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SUMIFS(DONNEESCUM_N1_NOUVEAU[MONTANT],DONNEESCUM_N1_NOUVEAU[TL2],A47,DONNEESCUM_N1_NOUVEAU[MOIS],DONNÉES!$C$5,DONNEESCUM_N1_NOUVEAU[SOCIETE],"VR7")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VR7'!$H:$H,'BAL N VR7'!$I:$I,$A48,'BAL N VR7'!$J:$J,"T")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SUMIFS(DONNEESCUM_N1_NOUVEAU[MONTANT],DONNEESCUM_N1_NOUVEAU[TL2],A48,DONNEESCUM_N1_NOUVEAU[MOIS],DONNÉES!$C$5,DONNEESCUM_N1_NOUVEAU[SOCIETE],"VR7")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VR7'!$H:$H,'BAL N VR7'!$I:$I,$A51,'BAL N VR7'!$J:$J,"T")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SUMIFS(DONNEESCUM_N1_NOUVEAU[MONTANT],DONNEESCUM_N1_NOUVEAU[TL2],A51,DONNEESCUM_N1_NOUVEAU[MOIS],DONNÉES!$C$5,DONNEESCUM_N1_NOUVEAU[SOCIETE],"VR7")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VR7'!$H:$H,'BAL N VR7'!$I:$I,$A52,'BAL N VR7'!$J:$J,"T")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SUMIFS(DONNEESCUM_N1_NOUVEAU[MONTANT],DONNEESCUM_N1_NOUVEAU[TL2],A52,DONNEESCUM_N1_NOUVEAU[MOIS],DONNÉES!$C$5,DONNEESCUM_N1_NOUVEAU[SOCIETE],"VR7")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VR7'!$H:$H,'BAL N VR7'!$I:$I,$A53,'BAL N VR7'!$J:$J,"T")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SUMIFS(DONNEESCUM_N1_NOUVEAU[MONTANT],DONNEESCUM_N1_NOUVEAU[TL2],A53,DONNEESCUM_N1_NOUVEAU[MOIS],DONNÉES!$C$5,DONNEESCUM_N1_NOUVEAU[SOCIETE],"VR7")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VR7'!$H:$H,'BAL N VR7'!$I:$I,$A54,'BAL N VR7'!$J:$J,"T")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SUMIFS(DONNEESCUM_N1_NOUVEAU[MONTANT],DONNEESCUM_N1_NOUVEAU[TL2],A54,DONNEESCUM_N1_NOUVEAU[MOIS],DONNÉES!$C$5,DONNEESCUM_N1_NOUVEAU[SOCIETE],"VR7")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VR7'!$H:$H,'BAL N VR7'!$I:$I,$A55,'BAL N VR7'!$J:$J,"T")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SUMIFS(DONNEESCUM_N1_NOUVEAU[MONTANT],DONNEESCUM_N1_NOUVEAU[TL2],A55,DONNEESCUM_N1_NOUVEAU[MOIS],DONNÉES!$C$5,DONNEESCUM_N1_NOUVEAU[SOCIETE],"VR7")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VR7'!$H:$H,'BAL N VR7'!$I:$I,$A56,'BAL N VR7'!$J:$J,"T")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SUMIFS(DONNEESCUM_N1_NOUVEAU[MONTANT],DONNEESCUM_N1_NOUVEAU[TL2],A56,DONNEESCUM_N1_NOUVEAU[MOIS],DONNÉES!$C$5,DONNEESCUM_N1_NOUVEAU[SOCIETE],"VR7")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VR7'!$H:$H,'BAL N VR7'!$I:$I,$A57,'BAL N VR7'!$J:$J,"T")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SUMIFS(DONNEESCUM_N1_NOUVEAU[MONTANT],DONNEESCUM_N1_NOUVEAU[TL2],A57,DONNEESCUM_N1_NOUVEAU[MOIS],DONNÉES!$C$5,DONNEESCUM_N1_NOUVEAU[SOCIETE],"VR7")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VR7'!$H:$H,'BAL N VR7'!$I:$I,$A58,'BAL N VR7'!$J:$J,"T")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SUMIFS(DONNEESCUM_N1_NOUVEAU[MONTANT],DONNEESCUM_N1_NOUVEAU[TL2],A58,DONNEESCUM_N1_NOUVEAU[MOIS],DONNÉES!$C$5,DONNEESCUM_N1_NOUVEAU[SOCIETE],"VR7")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VR7'!$H:$H,'BAL N VR7'!$I:$I,$A63,'BAL N VR7'!$J:$J,"T")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-SUMIFS(DONNEESCUM_N1_NOUVEAU[MONTANT],DONNEESCUM_N1_NOUVEAU[TL2],A63,DONNEESCUM_N1_NOUVEAU[MOIS],DONNÉES!$C$5,DONNEESCUM_N1_NOUVEAU[SOCIETE],"VR7")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VR7'!$H:$H,'BAL N VR7'!$I:$I,$A64,'BAL N VR7'!$J:$J,"T")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SUMIFS(DONNEESCUM_N1_NOUVEAU[MONTANT],DONNEESCUM_N1_NOUVEAU[TL2],A64,DONNEESCUM_N1_NOUVEAU[MOIS],DONNÉES!$C$5,DONNEESCUM_N1_NOUVEAU[SOCIETE],"VR7")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VR7'!$H:$H,'BAL N VR7'!$I:$I,$A67,'BAL N VR7'!$J:$J,"T")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-SUMIFS(DONNEESCUM_N1_NOUVEAU[MONTANT],DONNEESCUM_N1_NOUVEAU[TL2],A67,DONNEESCUM_N1_NOUVEAU[MOIS],DONNÉES!$C$5,DONNEESCUM_N1_NOUVEAU[SOCIETE],"VR7")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VR7'!$H:$H,'BAL N VR7'!$I:$I,$A72,'BAL N VR7'!$J:$J,"T")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-SUMIFS(DONNEESCUM_N1_NOUVEAU[MONTANT],DONNEESCUM_N1_NOUVEAU[TL2],A72,DONNEESCUM_N1_NOUVEAU[MOIS],DONNÉES!$C$5,DONNEESCUM_N1_NOUVEAU[SOCIETE],"VR7")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VR7'!$H:$H,'BAL N VR7'!$I:$I,$A74,'BAL N VR7'!$J:$J,"T")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SUMIFS(DONNEESCUM_N1_NOUVEAU[MONTANT],DONNEESCUM_N1_NOUVEAU[TL2],A74,DONNEESCUM_N1_NOUVEAU[MOIS],DONNÉES!$C$5,DONNEESCUM_N1_NOUVEAU[SOCIETE],"VR7")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VLOOKUP(PARAMETRES!$C$2,DONNÉES!$AH$188:$AN$199,2,FALSE)</f>
        <v/>
      </c>
      <c r="D78" s="450" t="n"/>
      <c r="E78" s="449">
        <f>VLOOKUP(PARAMETRES!$C$2,DONNÉES!$AH$188:$AN$199,3,FALSE)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VLOOKUP(PARAMETRES!$C$2,DONNÉES!$AH$284:$AN$295,2,FALSE)</f>
        <v/>
      </c>
      <c r="D80" s="450" t="n"/>
      <c r="E80" s="453">
        <f>VLOOKUP(PARAMETRES!$C$2,DONNÉES!$AH$284:$AN$295,3,FALSE)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78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topLeftCell="A28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79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46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14.28515625" customWidth="1" style="370" min="4" max="4"/>
    <col width="12.5703125" customWidth="1" style="20" min="5" max="5"/>
    <col width="14.8554687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472" t="inlineStr">
        <is>
          <t>Comparaison P&amp;L cumulé TURVILLA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TURVILLA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TURVILLA'!$H:$H,'BAL N TURVILLA'!$I:$I,$A8,'BAL N TURVILLA'!$J:$J,"T")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-SUMIFS(DONNEESCUM_N1_NOUVEAU[MONTANT],DONNEESCUM_N1_NOUVEAU[TL2],A8,DONNEESCUM_N1_NOUVEAU[MOIS],DONNÉES!$C$5,DONNEESCUM_N1_NOUVEAU[SOCIETE],"TURVILLA")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TURVILLA'!$H:$H,'BAL N TURVILLA'!$I:$I,$A10,'BAL N TURVILLA'!$J:$J,"T")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SUMIFS(DONNEESCUM_N1_NOUVEAU[MONTANT],DONNEESCUM_N1_NOUVEAU[TL2],A10,DONNEESCUM_N1_NOUVEAU[MOIS],DONNÉES!$C$5,DONNEESCUM_N1_NOUVEAU[SOCIETE],"TURVILLA")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TURVILLA'!$H:$H,'BAL N TURVILLA'!$I:$I,$A11,'BAL N TURVILLA'!$J:$J,"T")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SUMIFS(DONNEESCUM_N1_NOUVEAU[MONTANT],DONNEESCUM_N1_NOUVEAU[TL2],A11,DONNEESCUM_N1_NOUVEAU[MOIS],DONNÉES!$C$5,DONNEESCUM_N1_NOUVEAU[SOCIETE],"TURVILLA")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TURVILLA'!$H:$H,'BAL N TURVILLA'!$I:$I,$A12,'BAL N TURVILLA'!$J:$J,"T")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SUMIFS(DONNEESCUM_N1_NOUVEAU[MONTANT],DONNEESCUM_N1_NOUVEAU[TL2],A12,DONNEESCUM_N1_NOUVEAU[MOIS],DONNÉES!$C$5,DONNEESCUM_N1_NOUVEAU[SOCIETE],"TURVILLA")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TURVILLA'!$H:$H,'BAL N TURVILLA'!$I:$I,$A14,'BAL N TURVILLA'!$J:$J,"T")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SUMIFS(DONNEESCUM_N1_NOUVEAU[MONTANT],DONNEESCUM_N1_NOUVEAU[TL2],A14,DONNEESCUM_N1_NOUVEAU[MOIS],DONNÉES!$C$5,DONNEESCUM_N1_NOUVEAU[SOCIETE],"TURVILLA")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TURVILLA'!$H:$H,'BAL N TURVILLA'!$I:$I,$A15,'BAL N TURVILLA'!$J:$J,"T")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SUMIFS(DONNEESCUM_N1_NOUVEAU[MONTANT],DONNEESCUM_N1_NOUVEAU[TL2],A15,DONNEESCUM_N1_NOUVEAU[MOIS],DONNÉES!$C$5,DONNEESCUM_N1_NOUVEAU[SOCIETE],"TURVILLA")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TURVILLA'!$H:$H,'BAL N TURVILLA'!$I:$I,$A20,'BAL N TURVILLA'!$J:$J,"T")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SUMIFS(DONNEESCUM_N1_NOUVEAU[MONTANT],DONNEESCUM_N1_NOUVEAU[TL2],A20,DONNEESCUM_N1_NOUVEAU[MOIS],DONNÉES!$C$5,DONNEESCUM_N1_NOUVEAU[SOCIETE],"TURVILLA")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TURVILLA'!$H:$H,'BAL N TURVILLA'!$I:$I,$A21,'BAL N TURVILLA'!$J:$J,"T")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SUMIFS(DONNEESCUM_N1_NOUVEAU[MONTANT],DONNEESCUM_N1_NOUVEAU[TL2],A21,DONNEESCUM_N1_NOUVEAU[MOIS],DONNÉES!$C$5,DONNEESCUM_N1_NOUVEAU[SOCIETE],"TURVILLA")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TURVILLA'!$H:$H,'BAL N TURVILLA'!$I:$I,$A22,'BAL N TURVILLA'!$J:$J,"T")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SUMIFS(DONNEESCUM_N1_NOUVEAU[MONTANT],DONNEESCUM_N1_NOUVEAU[TL2],A22,DONNEESCUM_N1_NOUVEAU[MOIS],DONNÉES!$C$5,DONNEESCUM_N1_NOUVEAU[SOCIETE],"TURVILLA")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TURVILLA'!$H:$H,'BAL N TURVILLA'!$I:$I,$A23,'BAL N TURVILLA'!$J:$J,"T")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SUMIFS(DONNEESCUM_N1_NOUVEAU[MONTANT],DONNEESCUM_N1_NOUVEAU[TL2],A23,DONNEESCUM_N1_NOUVEAU[MOIS],DONNÉES!$C$5,DONNEESCUM_N1_NOUVEAU[SOCIETE],"TURVILLA")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TURVILLA'!$H:$H,'BAL N TURVILLA'!$I:$I,$A24,'BAL N TURVILLA'!$J:$J,"T")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SUMIFS(DONNEESCUM_N1_NOUVEAU[MONTANT],DONNEESCUM_N1_NOUVEAU[TL2],A24,DONNEESCUM_N1_NOUVEAU[MOIS],DONNÉES!$C$5,DONNEESCUM_N1_NOUVEAU[SOCIETE],"TURVILLA")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TURVILLA'!$H:$H,'BAL N TURVILLA'!$I:$I,$A25,'BAL N TURVILLA'!$J:$J,"T")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SUMIFS(DONNEESCUM_N1_NOUVEAU[MONTANT],DONNEESCUM_N1_NOUVEAU[TL2],A25,DONNEESCUM_N1_NOUVEAU[MOIS],DONNÉES!$C$5,DONNEESCUM_N1_NOUVEAU[SOCIETE],"TURVILLA")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TURVILLA'!$H:$H,'BAL N TURVILLA'!$I:$I,$A28,'BAL N TURVILLA'!$J:$J,"T")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SUMIFS(DONNEESCUM_N1_NOUVEAU[MONTANT],DONNEESCUM_N1_NOUVEAU[TL2],A28,DONNEESCUM_N1_NOUVEAU[MOIS],DONNÉES!$C$5,DONNEESCUM_N1_NOUVEAU[SOCIETE],"TURVILLA")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TURVILLA'!$H:$H,'BAL N TURVILLA'!$I:$I,$A29,'BAL N TURVILLA'!$J:$J,"T")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SUMIFS(DONNEESCUM_N1_NOUVEAU[MONTANT],DONNEESCUM_N1_NOUVEAU[TL2],A29,DONNEESCUM_N1_NOUVEAU[MOIS],DONNÉES!$C$5,DONNEESCUM_N1_NOUVEAU[SOCIETE],"TURVILLA")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TURVILLA'!$H:$H,'BAL N TURVILLA'!$I:$I,$A30,'BAL N TURVILLA'!$J:$J,"T")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SUMIFS(DONNEESCUM_N1_NOUVEAU[MONTANT],DONNEESCUM_N1_NOUVEAU[TL2],A30,DONNEESCUM_N1_NOUVEAU[MOIS],DONNÉES!$C$5,DONNEESCUM_N1_NOUVEAU[SOCIETE],"TURVILLA")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TURVILLA'!$H:$H,'BAL N TURVILLA'!$I:$I,$A31,'BAL N TURVILLA'!$J:$J,"T")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SUMIFS(DONNEESCUM_N1_NOUVEAU[MONTANT],DONNEESCUM_N1_NOUVEAU[TL2],A31,DONNEESCUM_N1_NOUVEAU[MOIS],DONNÉES!$C$5,DONNEESCUM_N1_NOUVEAU[SOCIETE],"TURVILLA")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TURVILLA'!$H:$H,'BAL N TURVILLA'!$I:$I,$A32,'BAL N TURVILLA'!$J:$J,"T")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SUMIFS(DONNEESCUM_N1_NOUVEAU[MONTANT],DONNEESCUM_N1_NOUVEAU[TL2],A32,DONNEESCUM_N1_NOUVEAU[MOIS],DONNÉES!$C$5,DONNEESCUM_N1_NOUVEAU[SOCIETE],"TURVILLA")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TURVILLA'!$H:$H,'BAL N TURVILLA'!$I:$I,$A35,'BAL N TURVILLA'!$J:$J,"T")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SUMIFS(DONNEESCUM_N1_NOUVEAU[MONTANT],DONNEESCUM_N1_NOUVEAU[TL2],A35,DONNEESCUM_N1_NOUVEAU[MOIS],DONNÉES!$C$5,DONNEESCUM_N1_NOUVEAU[SOCIETE],"TURVILLA")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TURVILLA'!$H:$H,'BAL N TURVILLA'!$I:$I,$A36,'BAL N TURVILLA'!$J:$J,"T")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SUMIFS(DONNEESCUM_N1_NOUVEAU[MONTANT],DONNEESCUM_N1_NOUVEAU[TL2],A36,DONNEESCUM_N1_NOUVEAU[MOIS],DONNÉES!$C$5,DONNEESCUM_N1_NOUVEAU[SOCIETE],"TURVILLA")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TURVILLA'!$H:$H,'BAL N TURVILLA'!$I:$I,$A37,'BAL N TURVILLA'!$J:$J,"T")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SUMIFS(DONNEESCUM_N1_NOUVEAU[MONTANT],DONNEESCUM_N1_NOUVEAU[TL2],A37,DONNEESCUM_N1_NOUVEAU[MOIS],DONNÉES!$C$5,DONNEESCUM_N1_NOUVEAU[SOCIETE],"TURVILLA")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TURVILLA'!$H:$H,'BAL N TURVILLA'!$I:$I,$A38,'BAL N TURVILLA'!$J:$J,"T")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SUMIFS(DONNEESCUM_N1_NOUVEAU[MONTANT],DONNEESCUM_N1_NOUVEAU[TL2],A38,DONNEESCUM_N1_NOUVEAU[MOIS],DONNÉES!$C$5,DONNEESCUM_N1_NOUVEAU[SOCIETE],"TURVILLA")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TURVILLA'!$H:$H,'BAL N TURVILLA'!$I:$I,$A39,'BAL N TURVILLA'!$J:$J,"T")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SUMIFS(DONNEESCUM_N1_NOUVEAU[MONTANT],DONNEESCUM_N1_NOUVEAU[TL2],A39,DONNEESCUM_N1_NOUVEAU[MOIS],DONNÉES!$C$5,DONNEESCUM_N1_NOUVEAU[SOCIETE],"TURVILLA")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TURVILLA'!$H:$H,'BAL N TURVILLA'!$I:$I,$A40,'BAL N TURVILLA'!$J:$J,"T")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SUMIFS(DONNEESCUM_N1_NOUVEAU[MONTANT],DONNEESCUM_N1_NOUVEAU[TL2],A40,DONNEESCUM_N1_NOUVEAU[MOIS],DONNÉES!$C$5,DONNEESCUM_N1_NOUVEAU[SOCIETE],"TURVILLA")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TURVILLA'!$H:$H,'BAL N TURVILLA'!$I:$I,$A41,'BAL N TURVILLA'!$J:$J,"T")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SUMIFS(DONNEESCUM_N1_NOUVEAU[MONTANT],DONNEESCUM_N1_NOUVEAU[TL2],A41,DONNEESCUM_N1_NOUVEAU[MOIS],DONNÉES!$C$5,DONNEESCUM_N1_NOUVEAU[SOCIETE],"TURVILLA")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TURVILLA'!$H:$H,'BAL N TURVILLA'!$I:$I,$A46,'BAL N TURVILLA'!$J:$J,"T")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SUMIFS(DONNEESCUM_N1_NOUVEAU[MONTANT],DONNEESCUM_N1_NOUVEAU[TL2],A46,DONNEESCUM_N1_NOUVEAU[MOIS],DONNÉES!$C$5,DONNEESCUM_N1_NOUVEAU[SOCIETE],"TURVILLA")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TURVILLA'!$H:$H,'BAL N TURVILLA'!$I:$I,$A47,'BAL N TURVILLA'!$J:$J,"T")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SUMIFS(DONNEESCUM_N1_NOUVEAU[MONTANT],DONNEESCUM_N1_NOUVEAU[TL2],A47,DONNEESCUM_N1_NOUVEAU[MOIS],DONNÉES!$C$5,DONNEESCUM_N1_NOUVEAU[SOCIETE],"TURVILLA")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TURVILLA'!$H:$H,'BAL N TURVILLA'!$I:$I,$A48,'BAL N TURVILLA'!$J:$J,"T")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SUMIFS(DONNEESCUM_N1_NOUVEAU[MONTANT],DONNEESCUM_N1_NOUVEAU[TL2],A48,DONNEESCUM_N1_NOUVEAU[MOIS],DONNÉES!$C$5,DONNEESCUM_N1_NOUVEAU[SOCIETE],"TURVILLA")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TURVILLA'!$H:$H,'BAL N TURVILLA'!$I:$I,$A51,'BAL N TURVILLA'!$J:$J,"T")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SUMIFS(DONNEESCUM_N1_NOUVEAU[MONTANT],DONNEESCUM_N1_NOUVEAU[TL2],A51,DONNEESCUM_N1_NOUVEAU[MOIS],DONNÉES!$C$5,DONNEESCUM_N1_NOUVEAU[SOCIETE],"TURVILLA")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TURVILLA'!$H:$H,'BAL N TURVILLA'!$I:$I,$A52,'BAL N TURVILLA'!$J:$J,"T")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SUMIFS(DONNEESCUM_N1_NOUVEAU[MONTANT],DONNEESCUM_N1_NOUVEAU[TL2],A52,DONNEESCUM_N1_NOUVEAU[MOIS],DONNÉES!$C$5,DONNEESCUM_N1_NOUVEAU[SOCIETE],"TURVILLA")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TURVILLA'!$H:$H,'BAL N TURVILLA'!$I:$I,$A53,'BAL N TURVILLA'!$J:$J,"T")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SUMIFS(DONNEESCUM_N1_NOUVEAU[MONTANT],DONNEESCUM_N1_NOUVEAU[TL2],A53,DONNEESCUM_N1_NOUVEAU[MOIS],DONNÉES!$C$5,DONNEESCUM_N1_NOUVEAU[SOCIETE],"TURVILLA")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TURVILLA'!$H:$H,'BAL N TURVILLA'!$I:$I,$A54,'BAL N TURVILLA'!$J:$J,"T")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SUMIFS(DONNEESCUM_N1_NOUVEAU[MONTANT],DONNEESCUM_N1_NOUVEAU[TL2],A54,DONNEESCUM_N1_NOUVEAU[MOIS],DONNÉES!$C$5,DONNEESCUM_N1_NOUVEAU[SOCIETE],"TURVILLA")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TURVILLA'!$H:$H,'BAL N TURVILLA'!$I:$I,$A55,'BAL N TURVILLA'!$J:$J,"T")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SUMIFS(DONNEESCUM_N1_NOUVEAU[MONTANT],DONNEESCUM_N1_NOUVEAU[TL2],A55,DONNEESCUM_N1_NOUVEAU[MOIS],DONNÉES!$C$5,DONNEESCUM_N1_NOUVEAU[SOCIETE],"TURVILLA")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TURVILLA'!$H:$H,'BAL N TURVILLA'!$I:$I,$A56,'BAL N TURVILLA'!$J:$J,"T")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SUMIFS(DONNEESCUM_N1_NOUVEAU[MONTANT],DONNEESCUM_N1_NOUVEAU[TL2],A56,DONNEESCUM_N1_NOUVEAU[MOIS],DONNÉES!$C$5,DONNEESCUM_N1_NOUVEAU[SOCIETE],"TURVILLA")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TURVILLA'!$H:$H,'BAL N TURVILLA'!$I:$I,$A57,'BAL N TURVILLA'!$J:$J,"T")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SUMIFS(DONNEESCUM_N1_NOUVEAU[MONTANT],DONNEESCUM_N1_NOUVEAU[TL2],A57,DONNEESCUM_N1_NOUVEAU[MOIS],DONNÉES!$C$5,DONNEESCUM_N1_NOUVEAU[SOCIETE],"TURVILLA")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TURVILLA'!$H:$H,'BAL N TURVILLA'!$I:$I,$A58,'BAL N TURVILLA'!$J:$J,"T")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SUMIFS(DONNEESCUM_N1_NOUVEAU[MONTANT],DONNEESCUM_N1_NOUVEAU[TL2],A58,DONNEESCUM_N1_NOUVEAU[MOIS],DONNÉES!$C$5,DONNEESCUM_N1_NOUVEAU[SOCIETE],"TURVILLA")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TURVILLA'!$H:$H,'BAL N TURVILLA'!$I:$I,$A63,'BAL N TURVILLA'!$J:$J,"T")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-SUMIFS(DONNEESCUM_N1_NOUVEAU[MONTANT],DONNEESCUM_N1_NOUVEAU[TL2],A63,DONNEESCUM_N1_NOUVEAU[MOIS],DONNÉES!$C$5,DONNEESCUM_N1_NOUVEAU[SOCIETE],"TURVILLA")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TURVILLA'!$H:$H,'BAL N TURVILLA'!$I:$I,$A64,'BAL N TURVILLA'!$J:$J,"T")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SUMIFS(DONNEESCUM_N1_NOUVEAU[MONTANT],DONNEESCUM_N1_NOUVEAU[TL2],A64,DONNEESCUM_N1_NOUVEAU[MOIS],DONNÉES!$C$5,DONNEESCUM_N1_NOUVEAU[SOCIETE],"TURVILLA")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TURVILLA'!$H:$H,'BAL N TURVILLA'!$I:$I,$A67,'BAL N TURVILLA'!$J:$J,"T")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-SUMIFS(DONNEESCUM_N1_NOUVEAU[MONTANT],DONNEESCUM_N1_NOUVEAU[TL2],A67,DONNEESCUM_N1_NOUVEAU[MOIS],DONNÉES!$C$5,DONNEESCUM_N1_NOUVEAU[SOCIETE],"TURVILLA")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TURVILLA'!$H:$H,'BAL N TURVILLA'!$I:$I,$A72,'BAL N TURVILLA'!$J:$J,"T")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-SUMIFS(DONNEESCUM_N1_NOUVEAU[MONTANT],DONNEESCUM_N1_NOUVEAU[TL2],A72,DONNEESCUM_N1_NOUVEAU[MOIS],DONNÉES!$C$5,DONNEESCUM_N1_NOUVEAU[SOCIETE],"TURVILLA")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TURVILLA'!$H:$H,'BAL N TURVILLA'!$I:$I,$A74,'BAL N TURVILLA'!$J:$J,"T")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SUMIFS(DONNEESCUM_N1_NOUVEAU[MONTANT],DONNEESCUM_N1_NOUVEAU[TL2],A74,DONNEESCUM_N1_NOUVEAU[MOIS],DONNÉES!$C$5,DONNEESCUM_N1_NOUVEAU[SOCIETE],"TURVILLA")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VLOOKUP(PARAMETRES!$C$2,DONNÉES!$AP$188:$AV$199,2,FALSE)</f>
        <v/>
      </c>
      <c r="D78" s="450" t="n"/>
      <c r="E78" s="449">
        <f>VLOOKUP(PARAMETRES!$C$2,DONNÉES!$AP$188:$AV$199,3,FALSE)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5" t="n"/>
      <c r="F79" s="26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VLOOKUP(PARAMETRES!$C$2,DONNÉES!$AP$284:$AV$295,2,FALSE)</f>
        <v/>
      </c>
      <c r="D80" s="450" t="n"/>
      <c r="E80" s="453">
        <f>VLOOKUP(PARAMETRES!$C$2,DONNÉES!$AP$284:$AV$295,3,FALSE)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80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53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HART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HART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HART'!$H:$H,'BAL N HART'!$I:$I,$A8,'BAL N HART'!$J:$J,"T")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-SUMIFS(DONNEESCUM_N1_NOUVEAU[MONTANT],DONNEESCUM_N1_NOUVEAU[TL2],A8,DONNEESCUM_N1_NOUVEAU[MOIS],DONNÉES!$C$5,DONNEESCUM_N1_NOUVEAU[SOCIETE],"HART")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HART'!$H:$H,'BAL N HART'!$I:$I,$A10,'BAL N HART'!$J:$J,"T")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SUMIFS(DONNEESCUM_N1_NOUVEAU[MONTANT],DONNEESCUM_N1_NOUVEAU[TL2],A10,DONNEESCUM_N1_NOUVEAU[MOIS],DONNÉES!$C$5,DONNEESCUM_N1_NOUVEAU[SOCIETE],"HART")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HART'!$H:$H,'BAL N HART'!$I:$I,$A11,'BAL N HART'!$J:$J,"T")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SUMIFS(DONNEESCUM_N1_NOUVEAU[MONTANT],DONNEESCUM_N1_NOUVEAU[TL2],A11,DONNEESCUM_N1_NOUVEAU[MOIS],DONNÉES!$C$5,DONNEESCUM_N1_NOUVEAU[SOCIETE],"HART")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HART'!$H:$H,'BAL N HART'!$I:$I,$A12,'BAL N HART'!$J:$J,"T")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SUMIFS(DONNEESCUM_N1_NOUVEAU[MONTANT],DONNEESCUM_N1_NOUVEAU[TL2],A12,DONNEESCUM_N1_NOUVEAU[MOIS],DONNÉES!$C$5,DONNEESCUM_N1_NOUVEAU[SOCIETE],"HART")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HART'!$H:$H,'BAL N HART'!$I:$I,$A14,'BAL N HART'!$J:$J,"T")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SUMIFS(DONNEESCUM_N1_NOUVEAU[MONTANT],DONNEESCUM_N1_NOUVEAU[TL2],A14,DONNEESCUM_N1_NOUVEAU[MOIS],DONNÉES!$C$5,DONNEESCUM_N1_NOUVEAU[SOCIETE],"HART")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HART'!$H:$H,'BAL N HART'!$I:$I,$A15,'BAL N HART'!$J:$J,"T")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SUMIFS(DONNEESCUM_N1_NOUVEAU[MONTANT],DONNEESCUM_N1_NOUVEAU[TL2],A15,DONNEESCUM_N1_NOUVEAU[MOIS],DONNÉES!$C$5,DONNEESCUM_N1_NOUVEAU[SOCIETE],"HART")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HART'!$H:$H,'BAL N HART'!$I:$I,$A20,'BAL N HART'!$J:$J,"T")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SUMIFS(DONNEESCUM_N1_NOUVEAU[MONTANT],DONNEESCUM_N1_NOUVEAU[TL2],A20,DONNEESCUM_N1_NOUVEAU[MOIS],DONNÉES!$C$5,DONNEESCUM_N1_NOUVEAU[SOCIETE],"HART")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HART'!$H:$H,'BAL N HART'!$I:$I,$A21,'BAL N HART'!$J:$J,"T")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SUMIFS(DONNEESCUM_N1_NOUVEAU[MONTANT],DONNEESCUM_N1_NOUVEAU[TL2],A21,DONNEESCUM_N1_NOUVEAU[MOIS],DONNÉES!$C$5,DONNEESCUM_N1_NOUVEAU[SOCIETE],"HART")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HART'!$H:$H,'BAL N HART'!$I:$I,$A22,'BAL N HART'!$J:$J,"T")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SUMIFS(DONNEESCUM_N1_NOUVEAU[MONTANT],DONNEESCUM_N1_NOUVEAU[TL2],A22,DONNEESCUM_N1_NOUVEAU[MOIS],DONNÉES!$C$5,DONNEESCUM_N1_NOUVEAU[SOCIETE],"HART")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HART'!$H:$H,'BAL N HART'!$I:$I,$A23,'BAL N HART'!$J:$J,"T")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SUMIFS(DONNEESCUM_N1_NOUVEAU[MONTANT],DONNEESCUM_N1_NOUVEAU[TL2],A23,DONNEESCUM_N1_NOUVEAU[MOIS],DONNÉES!$C$5,DONNEESCUM_N1_NOUVEAU[SOCIETE],"HART")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HART'!$H:$H,'BAL N HART'!$I:$I,$A24,'BAL N HART'!$J:$J,"T")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SUMIFS(DONNEESCUM_N1_NOUVEAU[MONTANT],DONNEESCUM_N1_NOUVEAU[TL2],A24,DONNEESCUM_N1_NOUVEAU[MOIS],DONNÉES!$C$5,DONNEESCUM_N1_NOUVEAU[SOCIETE],"HART")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HART'!$H:$H,'BAL N HART'!$I:$I,$A25,'BAL N HART'!$J:$J,"T")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SUMIFS(DONNEESCUM_N1_NOUVEAU[MONTANT],DONNEESCUM_N1_NOUVEAU[TL2],A25,DONNEESCUM_N1_NOUVEAU[MOIS],DONNÉES!$C$5,DONNEESCUM_N1_NOUVEAU[SOCIETE],"HART")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HART'!$H:$H,'BAL N HART'!$I:$I,$A28,'BAL N HART'!$J:$J,"T")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SUMIFS(DONNEESCUM_N1_NOUVEAU[MONTANT],DONNEESCUM_N1_NOUVEAU[TL2],A28,DONNEESCUM_N1_NOUVEAU[MOIS],DONNÉES!$C$5,DONNEESCUM_N1_NOUVEAU[SOCIETE],"HART")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HART'!$H:$H,'BAL N HART'!$I:$I,$A29,'BAL N HART'!$J:$J,"T")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SUMIFS(DONNEESCUM_N1_NOUVEAU[MONTANT],DONNEESCUM_N1_NOUVEAU[TL2],A29,DONNEESCUM_N1_NOUVEAU[MOIS],DONNÉES!$C$5,DONNEESCUM_N1_NOUVEAU[SOCIETE],"HART")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HART'!$H:$H,'BAL N HART'!$I:$I,$A30,'BAL N HART'!$J:$J,"T")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SUMIFS(DONNEESCUM_N1_NOUVEAU[MONTANT],DONNEESCUM_N1_NOUVEAU[TL2],A30,DONNEESCUM_N1_NOUVEAU[MOIS],DONNÉES!$C$5,DONNEESCUM_N1_NOUVEAU[SOCIETE],"HART")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HART'!$H:$H,'BAL N HART'!$I:$I,$A31,'BAL N HART'!$J:$J,"T")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SUMIFS(DONNEESCUM_N1_NOUVEAU[MONTANT],DONNEESCUM_N1_NOUVEAU[TL2],A31,DONNEESCUM_N1_NOUVEAU[MOIS],DONNÉES!$C$5,DONNEESCUM_N1_NOUVEAU[SOCIETE],"HART")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HART'!$H:$H,'BAL N HART'!$I:$I,$A32,'BAL N HART'!$J:$J,"T")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SUMIFS(DONNEESCUM_N1_NOUVEAU[MONTANT],DONNEESCUM_N1_NOUVEAU[TL2],A32,DONNEESCUM_N1_NOUVEAU[MOIS],DONNÉES!$C$5,DONNEESCUM_N1_NOUVEAU[SOCIETE],"HART")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HART'!$H:$H,'BAL N HART'!$I:$I,$A35,'BAL N HART'!$J:$J,"T")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SUMIFS(DONNEESCUM_N1_NOUVEAU[MONTANT],DONNEESCUM_N1_NOUVEAU[TL2],A35,DONNEESCUM_N1_NOUVEAU[MOIS],DONNÉES!$C$5,DONNEESCUM_N1_NOUVEAU[SOCIETE],"HART")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HART'!$H:$H,'BAL N HART'!$I:$I,$A36,'BAL N HART'!$J:$J,"T")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SUMIFS(DONNEESCUM_N1_NOUVEAU[MONTANT],DONNEESCUM_N1_NOUVEAU[TL2],A36,DONNEESCUM_N1_NOUVEAU[MOIS],DONNÉES!$C$5,DONNEESCUM_N1_NOUVEAU[SOCIETE],"HART")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HART'!$H:$H,'BAL N HART'!$I:$I,$A37,'BAL N HART'!$J:$J,"T")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SUMIFS(DONNEESCUM_N1_NOUVEAU[MONTANT],DONNEESCUM_N1_NOUVEAU[TL2],A37,DONNEESCUM_N1_NOUVEAU[MOIS],DONNÉES!$C$5,DONNEESCUM_N1_NOUVEAU[SOCIETE],"HART")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HART'!$H:$H,'BAL N HART'!$I:$I,$A38,'BAL N HART'!$J:$J,"T")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SUMIFS(DONNEESCUM_N1_NOUVEAU[MONTANT],DONNEESCUM_N1_NOUVEAU[TL2],A38,DONNEESCUM_N1_NOUVEAU[MOIS],DONNÉES!$C$5,DONNEESCUM_N1_NOUVEAU[SOCIETE],"HART")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HART'!$H:$H,'BAL N HART'!$I:$I,$A39,'BAL N HART'!$J:$J,"T")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SUMIFS(DONNEESCUM_N1_NOUVEAU[MONTANT],DONNEESCUM_N1_NOUVEAU[TL2],A39,DONNEESCUM_N1_NOUVEAU[MOIS],DONNÉES!$C$5,DONNEESCUM_N1_NOUVEAU[SOCIETE],"HART")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HART'!$H:$H,'BAL N HART'!$I:$I,$A40,'BAL N HART'!$J:$J,"T")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SUMIFS(DONNEESCUM_N1_NOUVEAU[MONTANT],DONNEESCUM_N1_NOUVEAU[TL2],A40,DONNEESCUM_N1_NOUVEAU[MOIS],DONNÉES!$C$5,DONNEESCUM_N1_NOUVEAU[SOCIETE],"HART")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HART'!$H:$H,'BAL N HART'!$I:$I,$A41,'BAL N HART'!$J:$J,"T")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SUMIFS(DONNEESCUM_N1_NOUVEAU[MONTANT],DONNEESCUM_N1_NOUVEAU[TL2],A41,DONNEESCUM_N1_NOUVEAU[MOIS],DONNÉES!$C$5,DONNEESCUM_N1_NOUVEAU[SOCIETE],"HART")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HART'!$H:$H,'BAL N HART'!$I:$I,$A46,'BAL N HART'!$J:$J,"T")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SUMIFS(DONNEESCUM_N1_NOUVEAU[MONTANT],DONNEESCUM_N1_NOUVEAU[TL2],A46,DONNEESCUM_N1_NOUVEAU[MOIS],DONNÉES!$C$5,DONNEESCUM_N1_NOUVEAU[SOCIETE],"HART")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HART'!$H:$H,'BAL N HART'!$I:$I,$A47,'BAL N HART'!$J:$J,"T")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SUMIFS(DONNEESCUM_N1_NOUVEAU[MONTANT],DONNEESCUM_N1_NOUVEAU[TL2],A47,DONNEESCUM_N1_NOUVEAU[MOIS],DONNÉES!$C$5,DONNEESCUM_N1_NOUVEAU[SOCIETE],"HART")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HART'!$H:$H,'BAL N HART'!$I:$I,$A48,'BAL N HART'!$J:$J,"T")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SUMIFS(DONNEESCUM_N1_NOUVEAU[MONTANT],DONNEESCUM_N1_NOUVEAU[TL2],A48,DONNEESCUM_N1_NOUVEAU[MOIS],DONNÉES!$C$5,DONNEESCUM_N1_NOUVEAU[SOCIETE],"HART")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HART'!$H:$H,'BAL N HART'!$I:$I,$A51,'BAL N HART'!$J:$J,"T")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SUMIFS(DONNEESCUM_N1_NOUVEAU[MONTANT],DONNEESCUM_N1_NOUVEAU[TL2],A51,DONNEESCUM_N1_NOUVEAU[MOIS],DONNÉES!$C$5,DONNEESCUM_N1_NOUVEAU[SOCIETE],"HART")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HART'!$H:$H,'BAL N HART'!$I:$I,$A52,'BAL N HART'!$J:$J,"T")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SUMIFS(DONNEESCUM_N1_NOUVEAU[MONTANT],DONNEESCUM_N1_NOUVEAU[TL2],A52,DONNEESCUM_N1_NOUVEAU[MOIS],DONNÉES!$C$5,DONNEESCUM_N1_NOUVEAU[SOCIETE],"HART")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HART'!$H:$H,'BAL N HART'!$I:$I,$A53,'BAL N HART'!$J:$J,"T")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SUMIFS(DONNEESCUM_N1_NOUVEAU[MONTANT],DONNEESCUM_N1_NOUVEAU[TL2],A53,DONNEESCUM_N1_NOUVEAU[MOIS],DONNÉES!$C$5,DONNEESCUM_N1_NOUVEAU[SOCIETE],"HART")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HART'!$H:$H,'BAL N HART'!$I:$I,$A54,'BAL N HART'!$J:$J,"T")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SUMIFS(DONNEESCUM_N1_NOUVEAU[MONTANT],DONNEESCUM_N1_NOUVEAU[TL2],A54,DONNEESCUM_N1_NOUVEAU[MOIS],DONNÉES!$C$5,DONNEESCUM_N1_NOUVEAU[SOCIETE],"HART")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HART'!$H:$H,'BAL N HART'!$I:$I,$A55,'BAL N HART'!$J:$J,"T")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SUMIFS(DONNEESCUM_N1_NOUVEAU[MONTANT],DONNEESCUM_N1_NOUVEAU[TL2],A55,DONNEESCUM_N1_NOUVEAU[MOIS],DONNÉES!$C$5,DONNEESCUM_N1_NOUVEAU[SOCIETE],"HART")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HART'!$H:$H,'BAL N HART'!$I:$I,$A56,'BAL N HART'!$J:$J,"T")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SUMIFS(DONNEESCUM_N1_NOUVEAU[MONTANT],DONNEESCUM_N1_NOUVEAU[TL2],A56,DONNEESCUM_N1_NOUVEAU[MOIS],DONNÉES!$C$5,DONNEESCUM_N1_NOUVEAU[SOCIETE],"HART")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HART'!$H:$H,'BAL N HART'!$I:$I,$A57,'BAL N HART'!$J:$J,"T")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SUMIFS(DONNEESCUM_N1_NOUVEAU[MONTANT],DONNEESCUM_N1_NOUVEAU[TL2],A57,DONNEESCUM_N1_NOUVEAU[MOIS],DONNÉES!$C$5,DONNEESCUM_N1_NOUVEAU[SOCIETE],"HART")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HART'!$H:$H,'BAL N HART'!$I:$I,$A58,'BAL N HART'!$J:$J,"T")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SUMIFS(DONNEESCUM_N1_NOUVEAU[MONTANT],DONNEESCUM_N1_NOUVEAU[TL2],A58,DONNEESCUM_N1_NOUVEAU[MOIS],DONNÉES!$C$5,DONNEESCUM_N1_NOUVEAU[SOCIETE],"HART")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HART'!$H:$H,'BAL N HART'!$I:$I,$A63,'BAL N HART'!$J:$J,"T")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-SUMIFS(DONNEESCUM_N1_NOUVEAU[MONTANT],DONNEESCUM_N1_NOUVEAU[TL2],A63,DONNEESCUM_N1_NOUVEAU[MOIS],DONNÉES!$C$5,DONNEESCUM_N1_NOUVEAU[SOCIETE],"HART")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HART'!$H:$H,'BAL N HART'!$I:$I,$A64,'BAL N HART'!$J:$J,"T")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SUMIFS(DONNEESCUM_N1_NOUVEAU[MONTANT],DONNEESCUM_N1_NOUVEAU[TL2],A64,DONNEESCUM_N1_NOUVEAU[MOIS],DONNÉES!$C$5,DONNEESCUM_N1_NOUVEAU[SOCIETE],"HART")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HART'!$H:$H,'BAL N HART'!$I:$I,$A67,'BAL N HART'!$J:$J,"T")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-SUMIFS(DONNEESCUM_N1_NOUVEAU[MONTANT],DONNEESCUM_N1_NOUVEAU[TL2],A67,DONNEESCUM_N1_NOUVEAU[MOIS],DONNÉES!$C$5,DONNEESCUM_N1_NOUVEAU[SOCIETE],"HART")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HART'!$H:$H,'BAL N HART'!$I:$I,$A72,'BAL N HART'!$J:$J,"T")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-SUMIFS(DONNEESCUM_N1_NOUVEAU[MONTANT],DONNEESCUM_N1_NOUVEAU[TL2],A72,DONNEESCUM_N1_NOUVEAU[MOIS],DONNÉES!$C$5,DONNEESCUM_N1_NOUVEAU[SOCIETE],"HART")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HART'!$H:$H,'BAL N HART'!$I:$I,$A74,'BAL N HART'!$J:$J,"T")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SUMIFS(DONNEESCUM_N1_NOUVEAU[MONTANT],DONNEESCUM_N1_NOUVEAU[TL2],A74,DONNEESCUM_N1_NOUVEAU[MOIS],DONNÉES!$C$5,DONNEESCUM_N1_NOUVEAU[SOCIETE],"HART")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VLOOKUP(PARAMETRES!$C$2,DONNÉES!$AX$188:$BD$199,2,FALSE)</f>
        <v/>
      </c>
      <c r="D78" s="450" t="n"/>
      <c r="E78" s="449">
        <f>VLOOKUP(PARAMETRES!$C$2,DONNÉES!$AX$188:$BD$199,3,FALSE)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5" t="n"/>
      <c r="F79" s="26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VLOOKUP(PARAMETRES!$C$2,DONNÉES!$AX$284:$BD$295,2,FALSE)</f>
        <v/>
      </c>
      <c r="D80" s="450" t="n"/>
      <c r="E80" s="453">
        <f>VLOOKUP(PARAMETRES!$C$2,DONNÉES!$AX$284:$BD$295,3,FALSE)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82.xml><?xml version="1.0" encoding="utf-8"?>
<worksheet xmlns="http://schemas.openxmlformats.org/spreadsheetml/2006/main">
  <sheetPr codeName="Feuil65">
    <tabColor rgb="FFFFC000"/>
    <outlinePr summaryBelow="1" summaryRight="1"/>
    <pageSetUpPr fitToPage="1"/>
  </sheetPr>
  <dimension ref="A1:H1"/>
  <sheetViews>
    <sheetView showGridLines="0" view="pageBreakPreview" topLeftCell="A19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83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43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0"/>
    <col width="8.7109375" bestFit="1" customWidth="1" style="370" min="11" max="11"/>
    <col width="7" customWidth="1" style="370" min="12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VICTOIRE'S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VICTOIRE'S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VICTOIRE'!$H:$H,'BAL N VICTOIRE'!$I:$I,$A8,'BAL N VICTOIRE'!$J:$J,"T")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-SUMIFS(DONNEESCUM_N1_NOUVEAU[MONTANT],DONNEESCUM_N1_NOUVEAU[TL2],A8,DONNEESCUM_N1_NOUVEAU[MOIS],DONNÉES!$C$5,DONNEESCUM_N1_NOUVEAU[SOCIETE],"VICTOIRE")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VICTOIRE'!$H:$H,'BAL N VICTOIRE'!$I:$I,$A10,'BAL N VICTOIRE'!$J:$J,"T")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SUMIFS(DONNEESCUM_N1_NOUVEAU[MONTANT],DONNEESCUM_N1_NOUVEAU[TL2],A10,DONNEESCUM_N1_NOUVEAU[MOIS],DONNÉES!$C$5,DONNEESCUM_N1_NOUVEAU[SOCIETE],"VICTOIRE")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VICTOIRE'!$H:$H,'BAL N VICTOIRE'!$I:$I,$A11,'BAL N VICTOIRE'!$J:$J,"T")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SUMIFS(DONNEESCUM_N1_NOUVEAU[MONTANT],DONNEESCUM_N1_NOUVEAU[TL2],A11,DONNEESCUM_N1_NOUVEAU[MOIS],DONNÉES!$C$5,DONNEESCUM_N1_NOUVEAU[SOCIETE],"VICTOIRE")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VICTOIRE'!$H:$H,'BAL N VICTOIRE'!$I:$I,$A12,'BAL N VICTOIRE'!$J:$J,"T")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SUMIFS(DONNEESCUM_N1_NOUVEAU[MONTANT],DONNEESCUM_N1_NOUVEAU[TL2],A12,DONNEESCUM_N1_NOUVEAU[MOIS],DONNÉES!$C$5,DONNEESCUM_N1_NOUVEAU[SOCIETE],"VICTOIRE")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VICTOIRE'!$H:$H,'BAL N VICTOIRE'!$I:$I,$A14,'BAL N VICTOIRE'!$J:$J,"T")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SUMIFS(DONNEESCUM_N1_NOUVEAU[MONTANT],DONNEESCUM_N1_NOUVEAU[TL2],A14,DONNEESCUM_N1_NOUVEAU[MOIS],DONNÉES!$C$5,DONNEESCUM_N1_NOUVEAU[SOCIETE],"VICTOIRE")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VICTOIRE'!$H:$H,'BAL N VICTOIRE'!$I:$I,$A15,'BAL N VICTOIRE'!$J:$J,"T")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SUMIFS(DONNEESCUM_N1_NOUVEAU[MONTANT],DONNEESCUM_N1_NOUVEAU[TL2],A15,DONNEESCUM_N1_NOUVEAU[MOIS],DONNÉES!$C$5,DONNEESCUM_N1_NOUVEAU[SOCIETE],"VICTOIRE")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VICTOIRE'!$H:$H,'BAL N VICTOIRE'!$I:$I,$A20,'BAL N VICTOIRE'!$J:$J,"T")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SUMIFS(DONNEESCUM_N1_NOUVEAU[MONTANT],DONNEESCUM_N1_NOUVEAU[TL2],A20,DONNEESCUM_N1_NOUVEAU[MOIS],DONNÉES!$C$5,DONNEESCUM_N1_NOUVEAU[SOCIETE],"VICTOIRE")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VICTOIRE'!$H:$H,'BAL N VICTOIRE'!$I:$I,$A21,'BAL N VICTOIRE'!$J:$J,"T")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SUMIFS(DONNEESCUM_N1_NOUVEAU[MONTANT],DONNEESCUM_N1_NOUVEAU[TL2],A21,DONNEESCUM_N1_NOUVEAU[MOIS],DONNÉES!$C$5,DONNEESCUM_N1_NOUVEAU[SOCIETE],"VICTOIRE")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VICTOIRE'!$H:$H,'BAL N VICTOIRE'!$I:$I,$A22,'BAL N VICTOIRE'!$J:$J,"T")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SUMIFS(DONNEESCUM_N1_NOUVEAU[MONTANT],DONNEESCUM_N1_NOUVEAU[TL2],A22,DONNEESCUM_N1_NOUVEAU[MOIS],DONNÉES!$C$5,DONNEESCUM_N1_NOUVEAU[SOCIETE],"VICTOIRE")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VICTOIRE'!$H:$H,'BAL N VICTOIRE'!$I:$I,$A23,'BAL N VICTOIRE'!$J:$J,"T")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SUMIFS(DONNEESCUM_N1_NOUVEAU[MONTANT],DONNEESCUM_N1_NOUVEAU[TL2],A23,DONNEESCUM_N1_NOUVEAU[MOIS],DONNÉES!$C$5,DONNEESCUM_N1_NOUVEAU[SOCIETE],"VICTOIRE")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VICTOIRE'!$H:$H,'BAL N VICTOIRE'!$I:$I,$A24,'BAL N VICTOIRE'!$J:$J,"T")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SUMIFS(DONNEESCUM_N1_NOUVEAU[MONTANT],DONNEESCUM_N1_NOUVEAU[TL2],A24,DONNEESCUM_N1_NOUVEAU[MOIS],DONNÉES!$C$5,DONNEESCUM_N1_NOUVEAU[SOCIETE],"VICTOIRE")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VICTOIRE'!$H:$H,'BAL N VICTOIRE'!$I:$I,$A25,'BAL N VICTOIRE'!$J:$J,"T")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SUMIFS(DONNEESCUM_N1_NOUVEAU[MONTANT],DONNEESCUM_N1_NOUVEAU[TL2],A25,DONNEESCUM_N1_NOUVEAU[MOIS],DONNÉES!$C$5,DONNEESCUM_N1_NOUVEAU[SOCIETE],"VICTOIRE")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VICTOIRE'!$H:$H,'BAL N VICTOIRE'!$I:$I,$A28,'BAL N VICTOIRE'!$J:$J,"T")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SUMIFS(DONNEESCUM_N1_NOUVEAU[MONTANT],DONNEESCUM_N1_NOUVEAU[TL2],A28,DONNEESCUM_N1_NOUVEAU[MOIS],DONNÉES!$C$5,DONNEESCUM_N1_NOUVEAU[SOCIETE],"VICTOIRE")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VICTOIRE'!$H:$H,'BAL N VICTOIRE'!$I:$I,$A29,'BAL N VICTOIRE'!$J:$J,"T")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SUMIFS(DONNEESCUM_N1_NOUVEAU[MONTANT],DONNEESCUM_N1_NOUVEAU[TL2],A29,DONNEESCUM_N1_NOUVEAU[MOIS],DONNÉES!$C$5,DONNEESCUM_N1_NOUVEAU[SOCIETE],"VICTOIRE")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VICTOIRE'!$H:$H,'BAL N VICTOIRE'!$I:$I,$A30,'BAL N VICTOIRE'!$J:$J,"T")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SUMIFS(DONNEESCUM_N1_NOUVEAU[MONTANT],DONNEESCUM_N1_NOUVEAU[TL2],A30,DONNEESCUM_N1_NOUVEAU[MOIS],DONNÉES!$C$5,DONNEESCUM_N1_NOUVEAU[SOCIETE],"VICTOIRE")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VICTOIRE'!$H:$H,'BAL N VICTOIRE'!$I:$I,$A31,'BAL N VICTOIRE'!$J:$J,"T")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SUMIFS(DONNEESCUM_N1_NOUVEAU[MONTANT],DONNEESCUM_N1_NOUVEAU[TL2],A31,DONNEESCUM_N1_NOUVEAU[MOIS],DONNÉES!$C$5,DONNEESCUM_N1_NOUVEAU[SOCIETE],"VICTOIRE")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VICTOIRE'!$H:$H,'BAL N VICTOIRE'!$I:$I,$A32,'BAL N VICTOIRE'!$J:$J,"T")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SUMIFS(DONNEESCUM_N1_NOUVEAU[MONTANT],DONNEESCUM_N1_NOUVEAU[TL2],A32,DONNEESCUM_N1_NOUVEAU[MOIS],DONNÉES!$C$5,DONNEESCUM_N1_NOUVEAU[SOCIETE],"VICTOIRE")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VICTOIRE'!$H:$H,'BAL N VICTOIRE'!$I:$I,$A35,'BAL N VICTOIRE'!$J:$J,"T")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SUMIFS(DONNEESCUM_N1_NOUVEAU[MONTANT],DONNEESCUM_N1_NOUVEAU[TL2],A35,DONNEESCUM_N1_NOUVEAU[MOIS],DONNÉES!$C$5,DONNEESCUM_N1_NOUVEAU[SOCIETE],"VICTOIRE")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VICTOIRE'!$H:$H,'BAL N VICTOIRE'!$I:$I,$A36,'BAL N VICTOIRE'!$J:$J,"T")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SUMIFS(DONNEESCUM_N1_NOUVEAU[MONTANT],DONNEESCUM_N1_NOUVEAU[TL2],A36,DONNEESCUM_N1_NOUVEAU[MOIS],DONNÉES!$C$5,DONNEESCUM_N1_NOUVEAU[SOCIETE],"VICTOIRE")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VICTOIRE'!$H:$H,'BAL N VICTOIRE'!$I:$I,$A37,'BAL N VICTOIRE'!$J:$J,"T")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SUMIFS(DONNEESCUM_N1_NOUVEAU[MONTANT],DONNEESCUM_N1_NOUVEAU[TL2],A37,DONNEESCUM_N1_NOUVEAU[MOIS],DONNÉES!$C$5,DONNEESCUM_N1_NOUVEAU[SOCIETE],"VICTOIRE")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VICTOIRE'!$H:$H,'BAL N VICTOIRE'!$I:$I,$A38,'BAL N VICTOIRE'!$J:$J,"T")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SUMIFS(DONNEESCUM_N1_NOUVEAU[MONTANT],DONNEESCUM_N1_NOUVEAU[TL2],A38,DONNEESCUM_N1_NOUVEAU[MOIS],DONNÉES!$C$5,DONNEESCUM_N1_NOUVEAU[SOCIETE],"VICTOIRE")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VICTOIRE'!$H:$H,'BAL N VICTOIRE'!$I:$I,$A39,'BAL N VICTOIRE'!$J:$J,"T")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SUMIFS(DONNEESCUM_N1_NOUVEAU[MONTANT],DONNEESCUM_N1_NOUVEAU[TL2],A39,DONNEESCUM_N1_NOUVEAU[MOIS],DONNÉES!$C$5,DONNEESCUM_N1_NOUVEAU[SOCIETE],"VICTOIRE")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VICTOIRE'!$H:$H,'BAL N VICTOIRE'!$I:$I,$A40,'BAL N VICTOIRE'!$J:$J,"T")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SUMIFS(DONNEESCUM_N1_NOUVEAU[MONTANT],DONNEESCUM_N1_NOUVEAU[TL2],A40,DONNEESCUM_N1_NOUVEAU[MOIS],DONNÉES!$C$5,DONNEESCUM_N1_NOUVEAU[SOCIETE],"VICTOIRE")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VICTOIRE'!$H:$H,'BAL N VICTOIRE'!$I:$I,$A41,'BAL N VICTOIRE'!$J:$J,"T")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SUMIFS(DONNEESCUM_N1_NOUVEAU[MONTANT],DONNEESCUM_N1_NOUVEAU[TL2],A41,DONNEESCUM_N1_NOUVEAU[MOIS],DONNÉES!$C$5,DONNEESCUM_N1_NOUVEAU[SOCIETE],"VICTOIRE")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VICTOIRE'!$H:$H,'BAL N VICTOIRE'!$I:$I,$A46,'BAL N VICTOIRE'!$J:$J,"T")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SUMIFS(DONNEESCUM_N1_NOUVEAU[MONTANT],DONNEESCUM_N1_NOUVEAU[TL2],A46,DONNEESCUM_N1_NOUVEAU[MOIS],DONNÉES!$C$5,DONNEESCUM_N1_NOUVEAU[SOCIETE],"VICTOIRE")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VICTOIRE'!$H:$H,'BAL N VICTOIRE'!$I:$I,$A47,'BAL N VICTOIRE'!$J:$J,"T")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SUMIFS(DONNEESCUM_N1_NOUVEAU[MONTANT],DONNEESCUM_N1_NOUVEAU[TL2],A47,DONNEESCUM_N1_NOUVEAU[MOIS],DONNÉES!$C$5,DONNEESCUM_N1_NOUVEAU[SOCIETE],"VICTOIRE")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VICTOIRE'!$H:$H,'BAL N VICTOIRE'!$I:$I,$A48,'BAL N VICTOIRE'!$J:$J,"T")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SUMIFS(DONNEESCUM_N1_NOUVEAU[MONTANT],DONNEESCUM_N1_NOUVEAU[TL2],A48,DONNEESCUM_N1_NOUVEAU[MOIS],DONNÉES!$C$5,DONNEESCUM_N1_NOUVEAU[SOCIETE],"VICTOIRE")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VICTOIRE'!$H:$H,'BAL N VICTOIRE'!$I:$I,$A51,'BAL N VICTOIRE'!$J:$J,"T")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SUMIFS(DONNEESCUM_N1_NOUVEAU[MONTANT],DONNEESCUM_N1_NOUVEAU[TL2],A51,DONNEESCUM_N1_NOUVEAU[MOIS],DONNÉES!$C$5,DONNEESCUM_N1_NOUVEAU[SOCIETE],"VICTOIRE")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VICTOIRE'!$H:$H,'BAL N VICTOIRE'!$I:$I,$A52,'BAL N VICTOIRE'!$J:$J,"T")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SUMIFS(DONNEESCUM_N1_NOUVEAU[MONTANT],DONNEESCUM_N1_NOUVEAU[TL2],A52,DONNEESCUM_N1_NOUVEAU[MOIS],DONNÉES!$C$5,DONNEESCUM_N1_NOUVEAU[SOCIETE],"VICTOIRE")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VICTOIRE'!$H:$H,'BAL N VICTOIRE'!$I:$I,$A53,'BAL N VICTOIRE'!$J:$J,"T")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SUMIFS(DONNEESCUM_N1_NOUVEAU[MONTANT],DONNEESCUM_N1_NOUVEAU[TL2],A53,DONNEESCUM_N1_NOUVEAU[MOIS],DONNÉES!$C$5,DONNEESCUM_N1_NOUVEAU[SOCIETE],"VICTOIRE")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VICTOIRE'!$H:$H,'BAL N VICTOIRE'!$I:$I,$A54,'BAL N VICTOIRE'!$J:$J,"T")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SUMIFS(DONNEESCUM_N1_NOUVEAU[MONTANT],DONNEESCUM_N1_NOUVEAU[TL2],A54,DONNEESCUM_N1_NOUVEAU[MOIS],DONNÉES!$C$5,DONNEESCUM_N1_NOUVEAU[SOCIETE],"VICTOIRE")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VICTOIRE'!$H:$H,'BAL N VICTOIRE'!$I:$I,$A55,'BAL N VICTOIRE'!$J:$J,"T")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SUMIFS(DONNEESCUM_N1_NOUVEAU[MONTANT],DONNEESCUM_N1_NOUVEAU[TL2],A55,DONNEESCUM_N1_NOUVEAU[MOIS],DONNÉES!$C$5,DONNEESCUM_N1_NOUVEAU[SOCIETE],"VICTOIRE")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VICTOIRE'!$H:$H,'BAL N VICTOIRE'!$I:$I,$A56,'BAL N VICTOIRE'!$J:$J,"T")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SUMIFS(DONNEESCUM_N1_NOUVEAU[MONTANT],DONNEESCUM_N1_NOUVEAU[TL2],A56,DONNEESCUM_N1_NOUVEAU[MOIS],DONNÉES!$C$5,DONNEESCUM_N1_NOUVEAU[SOCIETE],"VICTOIRE")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VICTOIRE'!$H:$H,'BAL N VICTOIRE'!$I:$I,$A57,'BAL N VICTOIRE'!$J:$J,"T")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SUMIFS(DONNEESCUM_N1_NOUVEAU[MONTANT],DONNEESCUM_N1_NOUVEAU[TL2],A57,DONNEESCUM_N1_NOUVEAU[MOIS],DONNÉES!$C$5,DONNEESCUM_N1_NOUVEAU[SOCIETE],"VICTOIRE")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VICTOIRE'!$H:$H,'BAL N VICTOIRE'!$I:$I,$A58,'BAL N VICTOIRE'!$J:$J,"T")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SUMIFS(DONNEESCUM_N1_NOUVEAU[MONTANT],DONNEESCUM_N1_NOUVEAU[TL2],A58,DONNEESCUM_N1_NOUVEAU[MOIS],DONNÉES!$C$5,DONNEESCUM_N1_NOUVEAU[SOCIETE],"VICTOIRE")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VICTOIRE'!$H:$H,'BAL N VICTOIRE'!$I:$I,$A63,'BAL N VICTOIRE'!$J:$J,"T")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-SUMIFS(DONNEESCUM_N1_NOUVEAU[MONTANT],DONNEESCUM_N1_NOUVEAU[TL2],A63,DONNEESCUM_N1_NOUVEAU[MOIS],DONNÉES!$C$5,DONNEESCUM_N1_NOUVEAU[SOCIETE],"VICTOIRE")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VICTOIRE'!$H:$H,'BAL N VICTOIRE'!$I:$I,$A64,'BAL N VICTOIRE'!$J:$J,"T")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SUMIFS(DONNEESCUM_N1_NOUVEAU[MONTANT],DONNEESCUM_N1_NOUVEAU[TL2],A64,DONNEESCUM_N1_NOUVEAU[MOIS],DONNÉES!$C$5,DONNEESCUM_N1_NOUVEAU[SOCIETE],"VICTOIRE")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VICTOIRE'!$H:$H,'BAL N VICTOIRE'!$I:$I,$A67,'BAL N VICTOIRE'!$J:$J,"T")</f>
        <v/>
      </c>
      <c r="D67" s="17">
        <f>(C67*100)/C$8</f>
        <v/>
      </c>
      <c r="E67" s="16">
        <f>SUMIFS(DONNEESCUM_N1_NOUVEAU[MONTANT],DONNEESCUM_N1_NOUVEAU[TL2],A67,DONNEESCUM_N1_NOUVEAU[MOIS],DONNÉES!$C$5,DONNEESCUM_N1_NOUVEAU[SOCIETE],"VICTOIRE")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E18-E61+E65-E67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VICTOIRE'!$H:$H,'BAL N VICTOIRE'!$I:$I,$A72,'BAL N VICTOIRE'!$J:$J,"T")</f>
        <v/>
      </c>
      <c r="D72" s="17">
        <f>(C72*100)/C$8</f>
        <v/>
      </c>
      <c r="E72" s="16">
        <f>SUMIFS(DONNEESCUM_N1_NOUVEAU[MONTANT],DONNEESCUM_N1_NOUVEAU[TL2],A72,DONNEESCUM_N1_NOUVEAU[MOIS],DONNÉES!$C$5,DONNEESCUM_N1_NOUVEAU[SOCIETE],"VICTOIRE")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VICTOIRE'!$H:$H,'BAL N VICTOIRE'!$I:$I,$A74,'BAL N VICTOIRE'!$J:$J,"T")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SUMIFS(DONNEESCUM_N1_NOUVEAU[MONTANT],DONNEESCUM_N1_NOUVEAU[TL2],A74,DONNEESCUM_N1_NOUVEAU[MOIS],DONNÉES!$C$5,DONNEESCUM_N1_NOUVEAU[SOCIETE],"VICTOIRE")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VLOOKUP(PARAMETRES!$C$2,DONNÉES!$BF$188:$BL$199,2,FALSE)</f>
        <v/>
      </c>
      <c r="D78" s="450" t="n"/>
      <c r="E78" s="449">
        <f>VLOOKUP(PARAMETRES!$C$2,DONNÉES!$BF$188:$BL$199,3,FALSE)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VLOOKUP(PARAMETRES!$C$2,DONNÉES!$BF$284:$BL$295,2,FALSE)</f>
        <v/>
      </c>
      <c r="D80" s="450" t="n"/>
      <c r="E80" s="453">
        <f>VLOOKUP(PARAMETRES!$C$2,DONNÉES!$BF$284:$BL$295,3,FALSE)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84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85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43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TH4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TH4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TH4'!$H:$H,'BAL N TH4'!$I:$I,$A8,'BAL N TH4'!$J:$J,"T")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-SUMIFS(DONNEESCUM_N1_NOUVEAU[MONTANT],DONNEESCUM_N1_NOUVEAU[TL2],A8,DONNEESCUM_N1_NOUVEAU[MOIS],DONNÉES!$C$5,DONNEESCUM_N1_NOUVEAU[SOCIETE],"TH4")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TH4'!$H:$H,'BAL N TH4'!$I:$I,$A10,'BAL N TH4'!$J:$J,"T")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SUMIFS(DONNEESCUM_N1_NOUVEAU[MONTANT],DONNEESCUM_N1_NOUVEAU[TL2],A10,DONNEESCUM_N1_NOUVEAU[MOIS],DONNÉES!$C$5,DONNEESCUM_N1_NOUVEAU[SOCIETE],"TH4")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TH4'!$H:$H,'BAL N TH4'!$I:$I,$A11,'BAL N TH4'!$J:$J,"T")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SUMIFS(DONNEESCUM_N1_NOUVEAU[MONTANT],DONNEESCUM_N1_NOUVEAU[TL2],A11,DONNEESCUM_N1_NOUVEAU[MOIS],DONNÉES!$C$5,DONNEESCUM_N1_NOUVEAU[SOCIETE],"TH4")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TH4'!$H:$H,'BAL N TH4'!$I:$I,$A12,'BAL N TH4'!$J:$J,"T")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SUMIFS(DONNEESCUM_N1_NOUVEAU[MONTANT],DONNEESCUM_N1_NOUVEAU[TL2],A12,DONNEESCUM_N1_NOUVEAU[MOIS],DONNÉES!$C$5,DONNEESCUM_N1_NOUVEAU[SOCIETE],"TH4")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TH4'!$H:$H,'BAL N TH4'!$I:$I,$A14,'BAL N TH4'!$J:$J,"T")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SUMIFS(DONNEESCUM_N1_NOUVEAU[MONTANT],DONNEESCUM_N1_NOUVEAU[TL2],A14,DONNEESCUM_N1_NOUVEAU[MOIS],DONNÉES!$C$5,DONNEESCUM_N1_NOUVEAU[SOCIETE],"TH4")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TH4'!$H:$H,'BAL N TH4'!$I:$I,$A15,'BAL N TH4'!$J:$J,"T")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SUMIFS(DONNEESCUM_N1_NOUVEAU[MONTANT],DONNEESCUM_N1_NOUVEAU[TL2],A15,DONNEESCUM_N1_NOUVEAU[MOIS],DONNÉES!$C$5,DONNEESCUM_N1_NOUVEAU[SOCIETE],"TH4")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TH4'!$H:$H,'BAL N TH4'!$I:$I,$A20,'BAL N TH4'!$J:$J,"T")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SUMIFS(DONNEESCUM_N1_NOUVEAU[MONTANT],DONNEESCUM_N1_NOUVEAU[TL2],A20,DONNEESCUM_N1_NOUVEAU[MOIS],DONNÉES!$C$5,DONNEESCUM_N1_NOUVEAU[SOCIETE],"TH4")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TH4'!$H:$H,'BAL N TH4'!$I:$I,$A21,'BAL N TH4'!$J:$J,"T")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SUMIFS(DONNEESCUM_N1_NOUVEAU[MONTANT],DONNEESCUM_N1_NOUVEAU[TL2],A21,DONNEESCUM_N1_NOUVEAU[MOIS],DONNÉES!$C$5,DONNEESCUM_N1_NOUVEAU[SOCIETE],"TH4")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TH4'!$H:$H,'BAL N TH4'!$I:$I,$A22,'BAL N TH4'!$J:$J,"T")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SUMIFS(DONNEESCUM_N1_NOUVEAU[MONTANT],DONNEESCUM_N1_NOUVEAU[TL2],A22,DONNEESCUM_N1_NOUVEAU[MOIS],DONNÉES!$C$5,DONNEESCUM_N1_NOUVEAU[SOCIETE],"TH4")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TH4'!$H:$H,'BAL N TH4'!$I:$I,$A23,'BAL N TH4'!$J:$J,"T")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SUMIFS(DONNEESCUM_N1_NOUVEAU[MONTANT],DONNEESCUM_N1_NOUVEAU[TL2],A23,DONNEESCUM_N1_NOUVEAU[MOIS],DONNÉES!$C$5,DONNEESCUM_N1_NOUVEAU[SOCIETE],"TH4")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TH4'!$H:$H,'BAL N TH4'!$I:$I,$A24,'BAL N TH4'!$J:$J,"T")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SUMIFS(DONNEESCUM_N1_NOUVEAU[MONTANT],DONNEESCUM_N1_NOUVEAU[TL2],A24,DONNEESCUM_N1_NOUVEAU[MOIS],DONNÉES!$C$5,DONNEESCUM_N1_NOUVEAU[SOCIETE],"TH4")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TH4'!$H:$H,'BAL N TH4'!$I:$I,$A25,'BAL N TH4'!$J:$J,"T")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SUMIFS(DONNEESCUM_N1_NOUVEAU[MONTANT],DONNEESCUM_N1_NOUVEAU[TL2],A25,DONNEESCUM_N1_NOUVEAU[MOIS],DONNÉES!$C$5,DONNEESCUM_N1_NOUVEAU[SOCIETE],"TH4")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TH4'!$H:$H,'BAL N TH4'!$I:$I,$A28,'BAL N TH4'!$J:$J,"T")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SUMIFS(DONNEESCUM_N1_NOUVEAU[MONTANT],DONNEESCUM_N1_NOUVEAU[TL2],A28,DONNEESCUM_N1_NOUVEAU[MOIS],DONNÉES!$C$5,DONNEESCUM_N1_NOUVEAU[SOCIETE],"TH4")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TH4'!$H:$H,'BAL N TH4'!$I:$I,$A29,'BAL N TH4'!$J:$J,"T")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SUMIFS(DONNEESCUM_N1_NOUVEAU[MONTANT],DONNEESCUM_N1_NOUVEAU[TL2],A29,DONNEESCUM_N1_NOUVEAU[MOIS],DONNÉES!$C$5,DONNEESCUM_N1_NOUVEAU[SOCIETE],"TH4")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TH4'!$H:$H,'BAL N TH4'!$I:$I,$A30,'BAL N TH4'!$J:$J,"T")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SUMIFS(DONNEESCUM_N1_NOUVEAU[MONTANT],DONNEESCUM_N1_NOUVEAU[TL2],A30,DONNEESCUM_N1_NOUVEAU[MOIS],DONNÉES!$C$5,DONNEESCUM_N1_NOUVEAU[SOCIETE],"TH4")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TH4'!$H:$H,'BAL N TH4'!$I:$I,$A31,'BAL N TH4'!$J:$J,"T")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SUMIFS(DONNEESCUM_N1_NOUVEAU[MONTANT],DONNEESCUM_N1_NOUVEAU[TL2],A31,DONNEESCUM_N1_NOUVEAU[MOIS],DONNÉES!$C$5,DONNEESCUM_N1_NOUVEAU[SOCIETE],"TH4")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TH4'!$H:$H,'BAL N TH4'!$I:$I,$A32,'BAL N TH4'!$J:$J,"T")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SUMIFS(DONNEESCUM_N1_NOUVEAU[MONTANT],DONNEESCUM_N1_NOUVEAU[TL2],A32,DONNEESCUM_N1_NOUVEAU[MOIS],DONNÉES!$C$5,DONNEESCUM_N1_NOUVEAU[SOCIETE],"TH4")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TH4'!$H:$H,'BAL N TH4'!$I:$I,$A35,'BAL N TH4'!$J:$J,"T")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SUMIFS(DONNEESCUM_N1_NOUVEAU[MONTANT],DONNEESCUM_N1_NOUVEAU[TL2],A35,DONNEESCUM_N1_NOUVEAU[MOIS],DONNÉES!$C$5,DONNEESCUM_N1_NOUVEAU[SOCIETE],"TH4")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TH4'!$H:$H,'BAL N TH4'!$I:$I,$A36,'BAL N TH4'!$J:$J,"T")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SUMIFS(DONNEESCUM_N1_NOUVEAU[MONTANT],DONNEESCUM_N1_NOUVEAU[TL2],A36,DONNEESCUM_N1_NOUVEAU[MOIS],DONNÉES!$C$5,DONNEESCUM_N1_NOUVEAU[SOCIETE],"TH4")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TH4'!$H:$H,'BAL N TH4'!$I:$I,$A37,'BAL N TH4'!$J:$J,"T")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SUMIFS(DONNEESCUM_N1_NOUVEAU[MONTANT],DONNEESCUM_N1_NOUVEAU[TL2],A37,DONNEESCUM_N1_NOUVEAU[MOIS],DONNÉES!$C$5,DONNEESCUM_N1_NOUVEAU[SOCIETE],"TH4")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TH4'!$H:$H,'BAL N TH4'!$I:$I,$A38,'BAL N TH4'!$J:$J,"T")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SUMIFS(DONNEESCUM_N1_NOUVEAU[MONTANT],DONNEESCUM_N1_NOUVEAU[TL2],A38,DONNEESCUM_N1_NOUVEAU[MOIS],DONNÉES!$C$5,DONNEESCUM_N1_NOUVEAU[SOCIETE],"TH4")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TH4'!$H:$H,'BAL N TH4'!$I:$I,$A39,'BAL N TH4'!$J:$J,"T")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SUMIFS(DONNEESCUM_N1_NOUVEAU[MONTANT],DONNEESCUM_N1_NOUVEAU[TL2],A39,DONNEESCUM_N1_NOUVEAU[MOIS],DONNÉES!$C$5,DONNEESCUM_N1_NOUVEAU[SOCIETE],"TH4")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TH4'!$H:$H,'BAL N TH4'!$I:$I,$A40,'BAL N TH4'!$J:$J,"T")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SUMIFS(DONNEESCUM_N1_NOUVEAU[MONTANT],DONNEESCUM_N1_NOUVEAU[TL2],A40,DONNEESCUM_N1_NOUVEAU[MOIS],DONNÉES!$C$5,DONNEESCUM_N1_NOUVEAU[SOCIETE],"TH4")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TH4'!$H:$H,'BAL N TH4'!$I:$I,$A41,'BAL N TH4'!$J:$J,"T")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SUMIFS(DONNEESCUM_N1_NOUVEAU[MONTANT],DONNEESCUM_N1_NOUVEAU[TL2],A41,DONNEESCUM_N1_NOUVEAU[MOIS],DONNÉES!$C$5,DONNEESCUM_N1_NOUVEAU[SOCIETE],"TH4")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TH4'!$H:$H,'BAL N TH4'!$I:$I,$A46,'BAL N TH4'!$J:$J,"T")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SUMIFS(DONNEESCUM_N1_NOUVEAU[MONTANT],DONNEESCUM_N1_NOUVEAU[TL2],A46,DONNEESCUM_N1_NOUVEAU[MOIS],DONNÉES!$C$5,DONNEESCUM_N1_NOUVEAU[SOCIETE],"TH4")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TH4'!$H:$H,'BAL N TH4'!$I:$I,$A47,'BAL N TH4'!$J:$J,"T")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SUMIFS(DONNEESCUM_N1_NOUVEAU[MONTANT],DONNEESCUM_N1_NOUVEAU[TL2],A47,DONNEESCUM_N1_NOUVEAU[MOIS],DONNÉES!$C$5,DONNEESCUM_N1_NOUVEAU[SOCIETE],"TH4")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TH4'!$H:$H,'BAL N TH4'!$I:$I,$A48,'BAL N TH4'!$J:$J,"T")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SUMIFS(DONNEESCUM_N1_NOUVEAU[MONTANT],DONNEESCUM_N1_NOUVEAU[TL2],A48,DONNEESCUM_N1_NOUVEAU[MOIS],DONNÉES!$C$5,DONNEESCUM_N1_NOUVEAU[SOCIETE],"TH4")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TH4'!$H:$H,'BAL N TH4'!$I:$I,$A51,'BAL N TH4'!$J:$J,"T")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SUMIFS(DONNEESCUM_N1_NOUVEAU[MONTANT],DONNEESCUM_N1_NOUVEAU[TL2],A51,DONNEESCUM_N1_NOUVEAU[MOIS],DONNÉES!$C$5,DONNEESCUM_N1_NOUVEAU[SOCIETE],"TH4")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TH4'!$H:$H,'BAL N TH4'!$I:$I,$A52,'BAL N TH4'!$J:$J,"T")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SUMIFS(DONNEESCUM_N1_NOUVEAU[MONTANT],DONNEESCUM_N1_NOUVEAU[TL2],A52,DONNEESCUM_N1_NOUVEAU[MOIS],DONNÉES!$C$5,DONNEESCUM_N1_NOUVEAU[SOCIETE],"TH4")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TH4'!$H:$H,'BAL N TH4'!$I:$I,$A53,'BAL N TH4'!$J:$J,"T")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SUMIFS(DONNEESCUM_N1_NOUVEAU[MONTANT],DONNEESCUM_N1_NOUVEAU[TL2],A53,DONNEESCUM_N1_NOUVEAU[MOIS],DONNÉES!$C$5,DONNEESCUM_N1_NOUVEAU[SOCIETE],"TH4")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TH4'!$H:$H,'BAL N TH4'!$I:$I,$A54,'BAL N TH4'!$J:$J,"T")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SUMIFS(DONNEESCUM_N1_NOUVEAU[MONTANT],DONNEESCUM_N1_NOUVEAU[TL2],A54,DONNEESCUM_N1_NOUVEAU[MOIS],DONNÉES!$C$5,DONNEESCUM_N1_NOUVEAU[SOCIETE],"TH4")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TH4'!$H:$H,'BAL N TH4'!$I:$I,$A55,'BAL N TH4'!$J:$J,"T")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SUMIFS(DONNEESCUM_N1_NOUVEAU[MONTANT],DONNEESCUM_N1_NOUVEAU[TL2],A55,DONNEESCUM_N1_NOUVEAU[MOIS],DONNÉES!$C$5,DONNEESCUM_N1_NOUVEAU[SOCIETE],"TH4")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TH4'!$H:$H,'BAL N TH4'!$I:$I,$A56,'BAL N TH4'!$J:$J,"T")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SUMIFS(DONNEESCUM_N1_NOUVEAU[MONTANT],DONNEESCUM_N1_NOUVEAU[TL2],A56,DONNEESCUM_N1_NOUVEAU[MOIS],DONNÉES!$C$5,DONNEESCUM_N1_NOUVEAU[SOCIETE],"TH4")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TH4'!$H:$H,'BAL N TH4'!$I:$I,$A57,'BAL N TH4'!$J:$J,"T")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SUMIFS(DONNEESCUM_N1_NOUVEAU[MONTANT],DONNEESCUM_N1_NOUVEAU[TL2],A57,DONNEESCUM_N1_NOUVEAU[MOIS],DONNÉES!$C$5,DONNEESCUM_N1_NOUVEAU[SOCIETE],"TH4")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TH4'!$H:$H,'BAL N TH4'!$I:$I,$A58,'BAL N TH4'!$J:$J,"T")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SUMIFS(DONNEESCUM_N1_NOUVEAU[MONTANT],DONNEESCUM_N1_NOUVEAU[TL2],A58,DONNEESCUM_N1_NOUVEAU[MOIS],DONNÉES!$C$5,DONNEESCUM_N1_NOUVEAU[SOCIETE],"TH4")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TH4'!$H:$H,'BAL N TH4'!$I:$I,$A63,'BAL N TH4'!$J:$J,"T")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-SUMIFS(DONNEESCUM_N1_NOUVEAU[MONTANT],DONNEESCUM_N1_NOUVEAU[TL2],A63,DONNEESCUM_N1_NOUVEAU[MOIS],DONNÉES!$C$5,DONNEESCUM_N1_NOUVEAU[SOCIETE],"TH4")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TH4'!$H:$H,'BAL N TH4'!$I:$I,$A64,'BAL N TH4'!$J:$J,"T")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SUMIFS(DONNEESCUM_N1_NOUVEAU[MONTANT],DONNEESCUM_N1_NOUVEAU[TL2],A64,DONNEESCUM_N1_NOUVEAU[MOIS],DONNÉES!$C$5,DONNEESCUM_N1_NOUVEAU[SOCIETE],"TH4")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TH4'!$H:$H,'BAL N TH4'!$I:$I,$A67,'BAL N TH4'!$J:$J,"T")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-SUMIFS(DONNEESCUM_N1_NOUVEAU[MONTANT],DONNEESCUM_N1_NOUVEAU[TL2],A67,DONNEESCUM_N1_NOUVEAU[MOIS],DONNÉES!$C$5,DONNEESCUM_N1_NOUVEAU[SOCIETE],"TH4")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TH4'!$H:$H,'BAL N TH4'!$I:$I,$A72,'BAL N TH4'!$J:$J,"T")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-SUMIFS(DONNEESCUM_N1_NOUVEAU[MONTANT],DONNEESCUM_N1_NOUVEAU[TL2],A72,DONNEESCUM_N1_NOUVEAU[MOIS],DONNÉES!$C$5,DONNEESCUM_N1_NOUVEAU[SOCIETE],"TH4")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TH4'!$H:$H,'BAL N TH4'!$I:$I,$A74,'BAL N TH4'!$J:$J,"T")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SUMIFS(DONNEESCUM_N1_NOUVEAU[MONTANT],DONNEESCUM_N1_NOUVEAU[TL2],A74,DONNEESCUM_N1_NOUVEAU[MOIS],DONNÉES!$C$5,DONNEESCUM_N1_NOUVEAU[SOCIETE],"TH4")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VLOOKUP(PARAMETRES!$C$2,DONNÉES!$BN$188:$BT$199,2,FALSE)</f>
        <v/>
      </c>
      <c r="D78" s="450" t="n"/>
      <c r="E78" s="449">
        <f>VLOOKUP(PARAMETRES!$C$2,DONNÉES!$BN$188:$BT$199,3,FALSE)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VLOOKUP(PARAMETRES!$C$2,DONNÉES!$BN$284:$BT$295,2,FALSE)</f>
        <v/>
      </c>
      <c r="D80" s="450" t="n"/>
      <c r="E80" s="453">
        <f>VLOOKUP(PARAMETRES!$C$2,DONNÉES!$BN$284:$BT$295,3,FALSE)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86.xml><?xml version="1.0" encoding="utf-8"?>
<worksheet xmlns="http://schemas.openxmlformats.org/spreadsheetml/2006/main">
  <sheetPr codeName="Feuil63">
    <tabColor rgb="FFFFC000"/>
    <outlinePr summaryBelow="1" summaryRight="1"/>
    <pageSetUpPr fitToPage="1"/>
  </sheetPr>
  <dimension ref="A1:H1"/>
  <sheetViews>
    <sheetView showGridLines="0" view="pageBreakPreview" topLeftCell="A34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87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53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TL DIVES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TL DIVES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DIVES'!$H:$H,'BAL N DIVES'!$I:$I,$A8,'BAL N DIVES'!$J:$J,"T")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-SUMIFS(DONNEESCUM_N1_NOUVEAU[MONTANT],DONNEESCUM_N1_NOUVEAU[TL2],A8,DONNEESCUM_N1_NOUVEAU[MOIS],DONNÉES!$C$5,DONNEESCUM_N1_NOUVEAU[SOCIETE],"DIVES")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DIVES'!$H:$H,'BAL N DIVES'!$I:$I,$A10,'BAL N DIVES'!$J:$J,"T")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SUMIFS(DONNEESCUM_N1_NOUVEAU[MONTANT],DONNEESCUM_N1_NOUVEAU[TL2],A10,DONNEESCUM_N1_NOUVEAU[MOIS],DONNÉES!$C$5,DONNEESCUM_N1_NOUVEAU[SOCIETE],"DIVES")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DIVES'!$H:$H,'BAL N DIVES'!$I:$I,$A11,'BAL N DIVES'!$J:$J,"T")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SUMIFS(DONNEESCUM_N1_NOUVEAU[MONTANT],DONNEESCUM_N1_NOUVEAU[TL2],A11,DONNEESCUM_N1_NOUVEAU[MOIS],DONNÉES!$C$5,DONNEESCUM_N1_NOUVEAU[SOCIETE],"DIVES")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DIVES'!$H:$H,'BAL N DIVES'!$I:$I,$A12,'BAL N DIVES'!$J:$J,"T")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SUMIFS(DONNEESCUM_N1_NOUVEAU[MONTANT],DONNEESCUM_N1_NOUVEAU[TL2],A12,DONNEESCUM_N1_NOUVEAU[MOIS],DONNÉES!$C$5,DONNEESCUM_N1_NOUVEAU[SOCIETE],"DIVES")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DIVES'!$H:$H,'BAL N DIVES'!$I:$I,$A14,'BAL N DIVES'!$J:$J,"T")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SUMIFS(DONNEESCUM_N1_NOUVEAU[MONTANT],DONNEESCUM_N1_NOUVEAU[TL2],A14,DONNEESCUM_N1_NOUVEAU[MOIS],DONNÉES!$C$5,DONNEESCUM_N1_NOUVEAU[SOCIETE],"DIVES")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DIVES'!$H:$H,'BAL N DIVES'!$I:$I,$A15,'BAL N DIVES'!$J:$J,"T")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SUMIFS(DONNEESCUM_N1_NOUVEAU[MONTANT],DONNEESCUM_N1_NOUVEAU[TL2],A15,DONNEESCUM_N1_NOUVEAU[MOIS],DONNÉES!$C$5,DONNEESCUM_N1_NOUVEAU[SOCIETE],"DIVES")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DIVES'!$H:$H,'BAL N DIVES'!$I:$I,$A20,'BAL N DIVES'!$J:$J,"T")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SUMIFS(DONNEESCUM_N1_NOUVEAU[MONTANT],DONNEESCUM_N1_NOUVEAU[TL2],A20,DONNEESCUM_N1_NOUVEAU[MOIS],DONNÉES!$C$5,DONNEESCUM_N1_NOUVEAU[SOCIETE],"DIVES")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DIVES'!$H:$H,'BAL N DIVES'!$I:$I,$A21,'BAL N DIVES'!$J:$J,"T")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SUMIFS(DONNEESCUM_N1_NOUVEAU[MONTANT],DONNEESCUM_N1_NOUVEAU[TL2],A21,DONNEESCUM_N1_NOUVEAU[MOIS],DONNÉES!$C$5,DONNEESCUM_N1_NOUVEAU[SOCIETE],"DIVES")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DIVES'!$H:$H,'BAL N DIVES'!$I:$I,$A22,'BAL N DIVES'!$J:$J,"T")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SUMIFS(DONNEESCUM_N1_NOUVEAU[MONTANT],DONNEESCUM_N1_NOUVEAU[TL2],A22,DONNEESCUM_N1_NOUVEAU[MOIS],DONNÉES!$C$5,DONNEESCUM_N1_NOUVEAU[SOCIETE],"DIVES")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DIVES'!$H:$H,'BAL N DIVES'!$I:$I,$A23,'BAL N DIVES'!$J:$J,"T")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SUMIFS(DONNEESCUM_N1_NOUVEAU[MONTANT],DONNEESCUM_N1_NOUVEAU[TL2],A23,DONNEESCUM_N1_NOUVEAU[MOIS],DONNÉES!$C$5,DONNEESCUM_N1_NOUVEAU[SOCIETE],"DIVES")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DIVES'!$H:$H,'BAL N DIVES'!$I:$I,$A24,'BAL N DIVES'!$J:$J,"T")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SUMIFS(DONNEESCUM_N1_NOUVEAU[MONTANT],DONNEESCUM_N1_NOUVEAU[TL2],A24,DONNEESCUM_N1_NOUVEAU[MOIS],DONNÉES!$C$5,DONNEESCUM_N1_NOUVEAU[SOCIETE],"DIVES")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DIVES'!$H:$H,'BAL N DIVES'!$I:$I,$A25,'BAL N DIVES'!$J:$J,"T")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SUMIFS(DONNEESCUM_N1_NOUVEAU[MONTANT],DONNEESCUM_N1_NOUVEAU[TL2],A25,DONNEESCUM_N1_NOUVEAU[MOIS],DONNÉES!$C$5,DONNEESCUM_N1_NOUVEAU[SOCIETE],"DIVES")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DIVES'!$H:$H,'BAL N DIVES'!$I:$I,$A28,'BAL N DIVES'!$J:$J,"T")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SUMIFS(DONNEESCUM_N1_NOUVEAU[MONTANT],DONNEESCUM_N1_NOUVEAU[TL2],A28,DONNEESCUM_N1_NOUVEAU[MOIS],DONNÉES!$C$5,DONNEESCUM_N1_NOUVEAU[SOCIETE],"DIVES")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DIVES'!$H:$H,'BAL N DIVES'!$I:$I,$A29,'BAL N DIVES'!$J:$J,"T")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SUMIFS(DONNEESCUM_N1_NOUVEAU[MONTANT],DONNEESCUM_N1_NOUVEAU[TL2],A29,DONNEESCUM_N1_NOUVEAU[MOIS],DONNÉES!$C$5,DONNEESCUM_N1_NOUVEAU[SOCIETE],"DIVES")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DIVES'!$H:$H,'BAL N DIVES'!$I:$I,$A30,'BAL N DIVES'!$J:$J,"T")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SUMIFS(DONNEESCUM_N1_NOUVEAU[MONTANT],DONNEESCUM_N1_NOUVEAU[TL2],A30,DONNEESCUM_N1_NOUVEAU[MOIS],DONNÉES!$C$5,DONNEESCUM_N1_NOUVEAU[SOCIETE],"DIVES")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DIVES'!$H:$H,'BAL N DIVES'!$I:$I,$A31,'BAL N DIVES'!$J:$J,"T")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SUMIFS(DONNEESCUM_N1_NOUVEAU[MONTANT],DONNEESCUM_N1_NOUVEAU[TL2],A31,DONNEESCUM_N1_NOUVEAU[MOIS],DONNÉES!$C$5,DONNEESCUM_N1_NOUVEAU[SOCIETE],"DIVES")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DIVES'!$H:$H,'BAL N DIVES'!$I:$I,$A32,'BAL N DIVES'!$J:$J,"T")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SUMIFS(DONNEESCUM_N1_NOUVEAU[MONTANT],DONNEESCUM_N1_NOUVEAU[TL2],A32,DONNEESCUM_N1_NOUVEAU[MOIS],DONNÉES!$C$5,DONNEESCUM_N1_NOUVEAU[SOCIETE],"DIVES")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DIVES'!$H:$H,'BAL N DIVES'!$I:$I,$A35,'BAL N DIVES'!$J:$J,"T")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SUMIFS(DONNEESCUM_N1_NOUVEAU[MONTANT],DONNEESCUM_N1_NOUVEAU[TL2],A35,DONNEESCUM_N1_NOUVEAU[MOIS],DONNÉES!$C$5,DONNEESCUM_N1_NOUVEAU[SOCIETE],"DIVES")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DIVES'!$H:$H,'BAL N DIVES'!$I:$I,$A36,'BAL N DIVES'!$J:$J,"T")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SUMIFS(DONNEESCUM_N1_NOUVEAU[MONTANT],DONNEESCUM_N1_NOUVEAU[TL2],A36,DONNEESCUM_N1_NOUVEAU[MOIS],DONNÉES!$C$5,DONNEESCUM_N1_NOUVEAU[SOCIETE],"DIVES")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DIVES'!$H:$H,'BAL N DIVES'!$I:$I,$A37,'BAL N DIVES'!$J:$J,"T")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SUMIFS(DONNEESCUM_N1_NOUVEAU[MONTANT],DONNEESCUM_N1_NOUVEAU[TL2],A37,DONNEESCUM_N1_NOUVEAU[MOIS],DONNÉES!$C$5,DONNEESCUM_N1_NOUVEAU[SOCIETE],"DIVES")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DIVES'!$H:$H,'BAL N DIVES'!$I:$I,$A38,'BAL N DIVES'!$J:$J,"T")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SUMIFS(DONNEESCUM_N1_NOUVEAU[MONTANT],DONNEESCUM_N1_NOUVEAU[TL2],A38,DONNEESCUM_N1_NOUVEAU[MOIS],DONNÉES!$C$5,DONNEESCUM_N1_NOUVEAU[SOCIETE],"DIVES")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DIVES'!$H:$H,'BAL N DIVES'!$I:$I,$A39,'BAL N DIVES'!$J:$J,"T")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SUMIFS(DONNEESCUM_N1_NOUVEAU[MONTANT],DONNEESCUM_N1_NOUVEAU[TL2],A39,DONNEESCUM_N1_NOUVEAU[MOIS],DONNÉES!$C$5,DONNEESCUM_N1_NOUVEAU[SOCIETE],"DIVES")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DIVES'!$H:$H,'BAL N DIVES'!$I:$I,$A40,'BAL N DIVES'!$J:$J,"T")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SUMIFS(DONNEESCUM_N1_NOUVEAU[MONTANT],DONNEESCUM_N1_NOUVEAU[TL2],A40,DONNEESCUM_N1_NOUVEAU[MOIS],DONNÉES!$C$5,DONNEESCUM_N1_NOUVEAU[SOCIETE],"DIVES")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DIVES'!$H:$H,'BAL N DIVES'!$I:$I,$A41,'BAL N DIVES'!$J:$J,"T")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SUMIFS(DONNEESCUM_N1_NOUVEAU[MONTANT],DONNEESCUM_N1_NOUVEAU[TL2],A41,DONNEESCUM_N1_NOUVEAU[MOIS],DONNÉES!$C$5,DONNEESCUM_N1_NOUVEAU[SOCIETE],"DIVES")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DIVES'!$H:$H,'BAL N DIVES'!$I:$I,$A46,'BAL N DIVES'!$J:$J,"T")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SUMIFS(DONNEESCUM_N1_NOUVEAU[MONTANT],DONNEESCUM_N1_NOUVEAU[TL2],A46,DONNEESCUM_N1_NOUVEAU[MOIS],DONNÉES!$C$5,DONNEESCUM_N1_NOUVEAU[SOCIETE],"DIVES")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DIVES'!$H:$H,'BAL N DIVES'!$I:$I,$A47,'BAL N DIVES'!$J:$J,"T")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SUMIFS(DONNEESCUM_N1_NOUVEAU[MONTANT],DONNEESCUM_N1_NOUVEAU[TL2],A47,DONNEESCUM_N1_NOUVEAU[MOIS],DONNÉES!$C$5,DONNEESCUM_N1_NOUVEAU[SOCIETE],"DIVES")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DIVES'!$H:$H,'BAL N DIVES'!$I:$I,$A48,'BAL N DIVES'!$J:$J,"T")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SUMIFS(DONNEESCUM_N1_NOUVEAU[MONTANT],DONNEESCUM_N1_NOUVEAU[TL2],A48,DONNEESCUM_N1_NOUVEAU[MOIS],DONNÉES!$C$5,DONNEESCUM_N1_NOUVEAU[SOCIETE],"DIVES")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DIVES'!$H:$H,'BAL N DIVES'!$I:$I,$A51,'BAL N DIVES'!$J:$J,"T")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SUMIFS(DONNEESCUM_N1_NOUVEAU[MONTANT],DONNEESCUM_N1_NOUVEAU[TL2],A51,DONNEESCUM_N1_NOUVEAU[MOIS],DONNÉES!$C$5,DONNEESCUM_N1_NOUVEAU[SOCIETE],"DIVES")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DIVES'!$H:$H,'BAL N DIVES'!$I:$I,$A52,'BAL N DIVES'!$J:$J,"T")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SUMIFS(DONNEESCUM_N1_NOUVEAU[MONTANT],DONNEESCUM_N1_NOUVEAU[TL2],A52,DONNEESCUM_N1_NOUVEAU[MOIS],DONNÉES!$C$5,DONNEESCUM_N1_NOUVEAU[SOCIETE],"DIVES")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DIVES'!$H:$H,'BAL N DIVES'!$I:$I,$A53,'BAL N DIVES'!$J:$J,"T")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SUMIFS(DONNEESCUM_N1_NOUVEAU[MONTANT],DONNEESCUM_N1_NOUVEAU[TL2],A53,DONNEESCUM_N1_NOUVEAU[MOIS],DONNÉES!$C$5,DONNEESCUM_N1_NOUVEAU[SOCIETE],"DIVES")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DIVES'!$H:$H,'BAL N DIVES'!$I:$I,$A54,'BAL N DIVES'!$J:$J,"T")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SUMIFS(DONNEESCUM_N1_NOUVEAU[MONTANT],DONNEESCUM_N1_NOUVEAU[TL2],A54,DONNEESCUM_N1_NOUVEAU[MOIS],DONNÉES!$C$5,DONNEESCUM_N1_NOUVEAU[SOCIETE],"DIVES")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DIVES'!$H:$H,'BAL N DIVES'!$I:$I,$A55,'BAL N DIVES'!$J:$J,"T")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SUMIFS(DONNEESCUM_N1_NOUVEAU[MONTANT],DONNEESCUM_N1_NOUVEAU[TL2],A55,DONNEESCUM_N1_NOUVEAU[MOIS],DONNÉES!$C$5,DONNEESCUM_N1_NOUVEAU[SOCIETE],"DIVES")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DIVES'!$H:$H,'BAL N DIVES'!$I:$I,$A56,'BAL N DIVES'!$J:$J,"T")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SUMIFS(DONNEESCUM_N1_NOUVEAU[MONTANT],DONNEESCUM_N1_NOUVEAU[TL2],A56,DONNEESCUM_N1_NOUVEAU[MOIS],DONNÉES!$C$5,DONNEESCUM_N1_NOUVEAU[SOCIETE],"DIVES")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DIVES'!$H:$H,'BAL N DIVES'!$I:$I,$A57,'BAL N DIVES'!$J:$J,"T")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SUMIFS(DONNEESCUM_N1_NOUVEAU[MONTANT],DONNEESCUM_N1_NOUVEAU[TL2],A57,DONNEESCUM_N1_NOUVEAU[MOIS],DONNÉES!$C$5,DONNEESCUM_N1_NOUVEAU[SOCIETE],"DIVES")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DIVES'!$H:$H,'BAL N DIVES'!$I:$I,$A58,'BAL N DIVES'!$J:$J,"T")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SUMIFS(DONNEESCUM_N1_NOUVEAU[MONTANT],DONNEESCUM_N1_NOUVEAU[TL2],A58,DONNEESCUM_N1_NOUVEAU[MOIS],DONNÉES!$C$5,DONNEESCUM_N1_NOUVEAU[SOCIETE],"DIVES")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DIVES'!$H:$H,'BAL N DIVES'!$I:$I,$A63,'BAL N DIVES'!$J:$J,"T")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-SUMIFS(DONNEESCUM_N1_NOUVEAU[MONTANT],DONNEESCUM_N1_NOUVEAU[TL2],A63,DONNEESCUM_N1_NOUVEAU[MOIS],DONNÉES!$C$5,DONNEESCUM_N1_NOUVEAU[SOCIETE],"DIVES")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DIVES'!$H:$H,'BAL N DIVES'!$I:$I,$A64,'BAL N DIVES'!$J:$J,"T")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SUMIFS(DONNEESCUM_N1_NOUVEAU[MONTANT],DONNEESCUM_N1_NOUVEAU[TL2],A64,DONNEESCUM_N1_NOUVEAU[MOIS],DONNÉES!$C$5,DONNEESCUM_N1_NOUVEAU[SOCIETE],"DIVES")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DIVES'!$H:$H,'BAL N DIVES'!$I:$I,$A67,'BAL N DIVES'!$J:$J,"T")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-SUMIFS(DONNEESCUM_N1_NOUVEAU[MONTANT],DONNEESCUM_N1_NOUVEAU[TL2],A67,DONNEESCUM_N1_NOUVEAU[MOIS],DONNÉES!$C$5,DONNEESCUM_N1_NOUVEAU[SOCIETE],"DIVES")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DIVES'!$H:$H,'BAL N DIVES'!$I:$I,$A72,'BAL N DIVES'!$J:$J,"T")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-SUMIFS(DONNEESCUM_N1_NOUVEAU[MONTANT],DONNEESCUM_N1_NOUVEAU[TL2],A72,DONNEESCUM_N1_NOUVEAU[MOIS],DONNÉES!$C$5,DONNEESCUM_N1_NOUVEAU[SOCIETE],"DIVES")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DIVES'!$H:$H,'BAL N DIVES'!$I:$I,$A74,'BAL N DIVES'!$J:$J,"T")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SUMIFS(DONNEESCUM_N1_NOUVEAU[MONTANT],DONNEESCUM_N1_NOUVEAU[TL2],A74,DONNEESCUM_N1_NOUVEAU[MOIS],DONNÉES!$C$5,DONNEESCUM_N1_NOUVEAU[SOCIETE],"DIVES")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VLOOKUP(PARAMETRES!$C$2,DONNÉES!$BV$188:$CB$199,2,FALSE)</f>
        <v/>
      </c>
      <c r="D78" s="450" t="n"/>
      <c r="E78" s="449">
        <f>VLOOKUP(PARAMETRES!$C$2,DONNÉES!$BV$188:$CB$199,3,FALSE)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5" t="n"/>
      <c r="F79" s="26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VLOOKUP(PARAMETRES!$C$2,DONNÉES!$BV$284:$CB$295,2,FALSE)</f>
        <v/>
      </c>
      <c r="D80" s="450" t="n"/>
      <c r="E80" s="453">
        <f>VLOOKUP(PARAMETRES!$C$2,DONNÉES!$BV$284:$CB$295,3,FALSE)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88.xml><?xml version="1.0" encoding="utf-8"?>
<worksheet xmlns="http://schemas.openxmlformats.org/spreadsheetml/2006/main">
  <sheetPr codeName="Feuil59">
    <tabColor rgb="FFFFC000"/>
    <outlinePr summaryBelow="1" summaryRight="1"/>
    <pageSetUpPr fitToPage="1"/>
  </sheetPr>
  <dimension ref="A1:H1"/>
  <sheetViews>
    <sheetView showGridLines="0" view="pageBreakPreview" topLeftCell="A46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89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42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cumulél R3 14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R3 14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R314'!$H:$H,'BAL N R314'!$I:$I,$A8,'BAL N R314'!$J:$J,"T")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-SUMIFS(DONNEESCUM_N1_NOUVEAU[MONTANT],DONNEESCUM_N1_NOUVEAU[TL2],A8,DONNEESCUM_N1_NOUVEAU[MOIS],DONNÉES!$C$5,DONNEESCUM_N1_NOUVEAU[SOCIETE],"R314")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R314'!$H:$H,'BAL N R314'!$I:$I,$A10,'BAL N R314'!$J:$J,"T")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SUMIFS(DONNEESCUM_N1_NOUVEAU[MONTANT],DONNEESCUM_N1_NOUVEAU[TL2],A10,DONNEESCUM_N1_NOUVEAU[MOIS],DONNÉES!$C$5,DONNEESCUM_N1_NOUVEAU[SOCIETE],"R314")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R314'!$H:$H,'BAL N R314'!$I:$I,$A11,'BAL N R314'!$J:$J,"T")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SUMIFS(DONNEESCUM_N1_NOUVEAU[MONTANT],DONNEESCUM_N1_NOUVEAU[TL2],A11,DONNEESCUM_N1_NOUVEAU[MOIS],DONNÉES!$C$5,DONNEESCUM_N1_NOUVEAU[SOCIETE],"R314")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R314'!$H:$H,'BAL N R314'!$I:$I,$A12,'BAL N R314'!$J:$J,"T")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SUMIFS(DONNEESCUM_N1_NOUVEAU[MONTANT],DONNEESCUM_N1_NOUVEAU[TL2],A12,DONNEESCUM_N1_NOUVEAU[MOIS],DONNÉES!$C$5,DONNEESCUM_N1_NOUVEAU[SOCIETE],"R314")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R314'!$H:$H,'BAL N R314'!$I:$I,$A14,'BAL N R314'!$J:$J,"T")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SUMIFS(DONNEESCUM_N1_NOUVEAU[MONTANT],DONNEESCUM_N1_NOUVEAU[TL2],A14,DONNEESCUM_N1_NOUVEAU[MOIS],DONNÉES!$C$5,DONNEESCUM_N1_NOUVEAU[SOCIETE],"R314")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R314'!$H:$H,'BAL N R314'!$I:$I,$A15,'BAL N R314'!$J:$J,"T")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SUMIFS(DONNEESCUM_N1_NOUVEAU[MONTANT],DONNEESCUM_N1_NOUVEAU[TL2],A15,DONNEESCUM_N1_NOUVEAU[MOIS],DONNÉES!$C$5,DONNEESCUM_N1_NOUVEAU[SOCIETE],"R314")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R314'!$H:$H,'BAL N R314'!$I:$I,$A20,'BAL N R314'!$J:$J,"T")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SUMIFS(DONNEESCUM_N1_NOUVEAU[MONTANT],DONNEESCUM_N1_NOUVEAU[TL2],A20,DONNEESCUM_N1_NOUVEAU[MOIS],DONNÉES!$C$5,DONNEESCUM_N1_NOUVEAU[SOCIETE],"R314")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R314'!$H:$H,'BAL N R314'!$I:$I,$A21,'BAL N R314'!$J:$J,"T")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SUMIFS(DONNEESCUM_N1_NOUVEAU[MONTANT],DONNEESCUM_N1_NOUVEAU[TL2],A21,DONNEESCUM_N1_NOUVEAU[MOIS],DONNÉES!$C$5,DONNEESCUM_N1_NOUVEAU[SOCIETE],"R314")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R314'!$H:$H,'BAL N R314'!$I:$I,$A22,'BAL N R314'!$J:$J,"T")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SUMIFS(DONNEESCUM_N1_NOUVEAU[MONTANT],DONNEESCUM_N1_NOUVEAU[TL2],A22,DONNEESCUM_N1_NOUVEAU[MOIS],DONNÉES!$C$5,DONNEESCUM_N1_NOUVEAU[SOCIETE],"R314")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R314'!$H:$H,'BAL N R314'!$I:$I,$A23,'BAL N R314'!$J:$J,"T")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SUMIFS(DONNEESCUM_N1_NOUVEAU[MONTANT],DONNEESCUM_N1_NOUVEAU[TL2],A23,DONNEESCUM_N1_NOUVEAU[MOIS],DONNÉES!$C$5,DONNEESCUM_N1_NOUVEAU[SOCIETE],"R314")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R314'!$H:$H,'BAL N R314'!$I:$I,$A24,'BAL N R314'!$J:$J,"T")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SUMIFS(DONNEESCUM_N1_NOUVEAU[MONTANT],DONNEESCUM_N1_NOUVEAU[TL2],A24,DONNEESCUM_N1_NOUVEAU[MOIS],DONNÉES!$C$5,DONNEESCUM_N1_NOUVEAU[SOCIETE],"R314")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R314'!$H:$H,'BAL N R314'!$I:$I,$A25,'BAL N R314'!$J:$J,"T")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SUMIFS(DONNEESCUM_N1_NOUVEAU[MONTANT],DONNEESCUM_N1_NOUVEAU[TL2],A25,DONNEESCUM_N1_NOUVEAU[MOIS],DONNÉES!$C$5,DONNEESCUM_N1_NOUVEAU[SOCIETE],"R314")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R314'!$H:$H,'BAL N R314'!$I:$I,$A28,'BAL N R314'!$J:$J,"T")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SUMIFS(DONNEESCUM_N1_NOUVEAU[MONTANT],DONNEESCUM_N1_NOUVEAU[TL2],A28,DONNEESCUM_N1_NOUVEAU[MOIS],DONNÉES!$C$5,DONNEESCUM_N1_NOUVEAU[SOCIETE],"R314")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R314'!$H:$H,'BAL N R314'!$I:$I,$A29,'BAL N R314'!$J:$J,"T")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SUMIFS(DONNEESCUM_N1_NOUVEAU[MONTANT],DONNEESCUM_N1_NOUVEAU[TL2],A29,DONNEESCUM_N1_NOUVEAU[MOIS],DONNÉES!$C$5,DONNEESCUM_N1_NOUVEAU[SOCIETE],"R314")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R314'!$H:$H,'BAL N R314'!$I:$I,$A30,'BAL N R314'!$J:$J,"T")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SUMIFS(DONNEESCUM_N1_NOUVEAU[MONTANT],DONNEESCUM_N1_NOUVEAU[TL2],A30,DONNEESCUM_N1_NOUVEAU[MOIS],DONNÉES!$C$5,DONNEESCUM_N1_NOUVEAU[SOCIETE],"R314")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R314'!$H:$H,'BAL N R314'!$I:$I,$A31,'BAL N R314'!$J:$J,"T")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SUMIFS(DONNEESCUM_N1_NOUVEAU[MONTANT],DONNEESCUM_N1_NOUVEAU[TL2],A31,DONNEESCUM_N1_NOUVEAU[MOIS],DONNÉES!$C$5,DONNEESCUM_N1_NOUVEAU[SOCIETE],"R314")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R314'!$H:$H,'BAL N R314'!$I:$I,$A32,'BAL N R314'!$J:$J,"T")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SUMIFS(DONNEESCUM_N1_NOUVEAU[MONTANT],DONNEESCUM_N1_NOUVEAU[TL2],A32,DONNEESCUM_N1_NOUVEAU[MOIS],DONNÉES!$C$5,DONNEESCUM_N1_NOUVEAU[SOCIETE],"R314")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R314'!$H:$H,'BAL N R314'!$I:$I,$A35,'BAL N R314'!$J:$J,"T")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SUMIFS(DONNEESCUM_N1_NOUVEAU[MONTANT],DONNEESCUM_N1_NOUVEAU[TL2],A35,DONNEESCUM_N1_NOUVEAU[MOIS],DONNÉES!$C$5,DONNEESCUM_N1_NOUVEAU[SOCIETE],"R314")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R314'!$H:$H,'BAL N R314'!$I:$I,$A36,'BAL N R314'!$J:$J,"T")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SUMIFS(DONNEESCUM_N1_NOUVEAU[MONTANT],DONNEESCUM_N1_NOUVEAU[TL2],A36,DONNEESCUM_N1_NOUVEAU[MOIS],DONNÉES!$C$5,DONNEESCUM_N1_NOUVEAU[SOCIETE],"R314")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R314'!$H:$H,'BAL N R314'!$I:$I,$A37,'BAL N R314'!$J:$J,"T")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SUMIFS(DONNEESCUM_N1_NOUVEAU[MONTANT],DONNEESCUM_N1_NOUVEAU[TL2],A37,DONNEESCUM_N1_NOUVEAU[MOIS],DONNÉES!$C$5,DONNEESCUM_N1_NOUVEAU[SOCIETE],"R314")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R314'!$H:$H,'BAL N R314'!$I:$I,$A38,'BAL N R314'!$J:$J,"T")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SUMIFS(DONNEESCUM_N1_NOUVEAU[MONTANT],DONNEESCUM_N1_NOUVEAU[TL2],A38,DONNEESCUM_N1_NOUVEAU[MOIS],DONNÉES!$C$5,DONNEESCUM_N1_NOUVEAU[SOCIETE],"R314")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R314'!$H:$H,'BAL N R314'!$I:$I,$A39,'BAL N R314'!$J:$J,"T")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SUMIFS(DONNEESCUM_N1_NOUVEAU[MONTANT],DONNEESCUM_N1_NOUVEAU[TL2],A39,DONNEESCUM_N1_NOUVEAU[MOIS],DONNÉES!$C$5,DONNEESCUM_N1_NOUVEAU[SOCIETE],"R314")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R314'!$H:$H,'BAL N R314'!$I:$I,$A40,'BAL N R314'!$J:$J,"T")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SUMIFS(DONNEESCUM_N1_NOUVEAU[MONTANT],DONNEESCUM_N1_NOUVEAU[TL2],A40,DONNEESCUM_N1_NOUVEAU[MOIS],DONNÉES!$C$5,DONNEESCUM_N1_NOUVEAU[SOCIETE],"R314")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R314'!$H:$H,'BAL N R314'!$I:$I,$A41,'BAL N R314'!$J:$J,"T")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SUMIFS(DONNEESCUM_N1_NOUVEAU[MONTANT],DONNEESCUM_N1_NOUVEAU[TL2],A41,DONNEESCUM_N1_NOUVEAU[MOIS],DONNÉES!$C$5,DONNEESCUM_N1_NOUVEAU[SOCIETE],"R314")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R314'!$H:$H,'BAL N R314'!$I:$I,$A46,'BAL N R314'!$J:$J,"T")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SUMIFS(DONNEESCUM_N1_NOUVEAU[MONTANT],DONNEESCUM_N1_NOUVEAU[TL2],A46,DONNEESCUM_N1_NOUVEAU[MOIS],DONNÉES!$C$5,DONNEESCUM_N1_NOUVEAU[SOCIETE],"R314")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R314'!$H:$H,'BAL N R314'!$I:$I,$A47,'BAL N R314'!$J:$J,"T")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SUMIFS(DONNEESCUM_N1_NOUVEAU[MONTANT],DONNEESCUM_N1_NOUVEAU[TL2],A47,DONNEESCUM_N1_NOUVEAU[MOIS],DONNÉES!$C$5,DONNEESCUM_N1_NOUVEAU[SOCIETE],"R314")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R314'!$H:$H,'BAL N R314'!$I:$I,$A48,'BAL N R314'!$J:$J,"T")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SUMIFS(DONNEESCUM_N1_NOUVEAU[MONTANT],DONNEESCUM_N1_NOUVEAU[TL2],A48,DONNEESCUM_N1_NOUVEAU[MOIS],DONNÉES!$C$5,DONNEESCUM_N1_NOUVEAU[SOCIETE],"R314")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R314'!$H:$H,'BAL N R314'!$I:$I,$A51,'BAL N R314'!$J:$J,"T")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SUMIFS(DONNEESCUM_N1_NOUVEAU[MONTANT],DONNEESCUM_N1_NOUVEAU[TL2],A51,DONNEESCUM_N1_NOUVEAU[MOIS],DONNÉES!$C$5,DONNEESCUM_N1_NOUVEAU[SOCIETE],"R314")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R314'!$H:$H,'BAL N R314'!$I:$I,$A52,'BAL N R314'!$J:$J,"T")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SUMIFS(DONNEESCUM_N1_NOUVEAU[MONTANT],DONNEESCUM_N1_NOUVEAU[TL2],A52,DONNEESCUM_N1_NOUVEAU[MOIS],DONNÉES!$C$5,DONNEESCUM_N1_NOUVEAU[SOCIETE],"R314")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R314'!$H:$H,'BAL N R314'!$I:$I,$A53,'BAL N R314'!$J:$J,"T")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SUMIFS(DONNEESCUM_N1_NOUVEAU[MONTANT],DONNEESCUM_N1_NOUVEAU[TL2],A53,DONNEESCUM_N1_NOUVEAU[MOIS],DONNÉES!$C$5,DONNEESCUM_N1_NOUVEAU[SOCIETE],"R314")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R314'!$H:$H,'BAL N R314'!$I:$I,$A54,'BAL N R314'!$J:$J,"T")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SUMIFS(DONNEESCUM_N1_NOUVEAU[MONTANT],DONNEESCUM_N1_NOUVEAU[TL2],A54,DONNEESCUM_N1_NOUVEAU[MOIS],DONNÉES!$C$5,DONNEESCUM_N1_NOUVEAU[SOCIETE],"R314")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R314'!$H:$H,'BAL N R314'!$I:$I,$A55,'BAL N R314'!$J:$J,"T")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SUMIFS(DONNEESCUM_N1_NOUVEAU[MONTANT],DONNEESCUM_N1_NOUVEAU[TL2],A55,DONNEESCUM_N1_NOUVEAU[MOIS],DONNÉES!$C$5,DONNEESCUM_N1_NOUVEAU[SOCIETE],"R314")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R314'!$H:$H,'BAL N R314'!$I:$I,$A56,'BAL N R314'!$J:$J,"T")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SUMIFS(DONNEESCUM_N1_NOUVEAU[MONTANT],DONNEESCUM_N1_NOUVEAU[TL2],A56,DONNEESCUM_N1_NOUVEAU[MOIS],DONNÉES!$C$5,DONNEESCUM_N1_NOUVEAU[SOCIETE],"R314")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R314'!$H:$H,'BAL N R314'!$I:$I,$A57,'BAL N R314'!$J:$J,"T")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SUMIFS(DONNEESCUM_N1_NOUVEAU[MONTANT],DONNEESCUM_N1_NOUVEAU[TL2],A57,DONNEESCUM_N1_NOUVEAU[MOIS],DONNÉES!$C$5,DONNEESCUM_N1_NOUVEAU[SOCIETE],"R314")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R314'!$H:$H,'BAL N R314'!$I:$I,$A58,'BAL N R314'!$J:$J,"T")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SUMIFS(DONNEESCUM_N1_NOUVEAU[MONTANT],DONNEESCUM_N1_NOUVEAU[TL2],A58,DONNEESCUM_N1_NOUVEAU[MOIS],DONNÉES!$C$5,DONNEESCUM_N1_NOUVEAU[SOCIETE],"R314")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R314'!$H:$H,'BAL N R314'!$I:$I,$A63,'BAL N R314'!$J:$J,"T")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-SUMIFS(DONNEESCUM_N1_NOUVEAU[MONTANT],DONNEESCUM_N1_NOUVEAU[TL2],A63,DONNEESCUM_N1_NOUVEAU[MOIS],DONNÉES!$C$5,DONNEESCUM_N1_NOUVEAU[SOCIETE],"R314")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R314'!$H:$H,'BAL N R314'!$I:$I,$A64,'BAL N R314'!$J:$J,"T")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SUMIFS(DONNEESCUM_N1_NOUVEAU[MONTANT],DONNEESCUM_N1_NOUVEAU[TL2],A64,DONNEESCUM_N1_NOUVEAU[MOIS],DONNÉES!$C$5,DONNEESCUM_N1_NOUVEAU[SOCIETE],"R314")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R314'!$H:$H,'BAL N R314'!$I:$I,$A67,'BAL N R314'!$J:$J,"T")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-SUMIFS(DONNEESCUM_N1_NOUVEAU[MONTANT],DONNEESCUM_N1_NOUVEAU[TL2],A67,DONNEESCUM_N1_NOUVEAU[MOIS],DONNÉES!$C$5,DONNEESCUM_N1_NOUVEAU[SOCIETE],"R314")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R314'!$H:$H,'BAL N R314'!$I:$I,$A72,'BAL N R314'!$J:$J,"T")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-SUMIFS(DONNEESCUM_N1_NOUVEAU[MONTANT],DONNEESCUM_N1_NOUVEAU[TL2],A72,DONNEESCUM_N1_NOUVEAU[MOIS],DONNÉES!$C$5,DONNEESCUM_N1_NOUVEAU[SOCIETE],"R314")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R314'!$H:$H,'BAL N R314'!$I:$I,$A74,'BAL N R314'!$J:$J,"T")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SUMIFS(DONNEESCUM_N1_NOUVEAU[MONTANT],DONNEESCUM_N1_NOUVEAU[TL2],A74,DONNEESCUM_N1_NOUVEAU[MOIS],DONNÉES!$C$5,DONNEESCUM_N1_NOUVEAU[SOCIETE],"R314")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VLOOKUP(PARAMETRES!$C$2,DONNÉES!$CD$188:$CJ$199,2,FALSE)</f>
        <v/>
      </c>
      <c r="D78" s="450" t="n"/>
      <c r="E78" s="449">
        <f>VLOOKUP(PARAMETRES!$C$2,DONNÉES!$CD$188:$CJ$199,3,FALSE)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5" t="n"/>
      <c r="F79" s="26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VLOOKUP(PARAMETRES!$C$2,DONNÉES!$CD$284:$CJ$295,2,FALSE)</f>
        <v/>
      </c>
      <c r="D80" s="450" t="n"/>
      <c r="E80" s="453">
        <f>VLOOKUP(PARAMETRES!$C$2,DONNÉES!$CD$284:$CJ$295,3,FALSE)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90.xml><?xml version="1.0" encoding="utf-8"?>
<worksheet xmlns="http://schemas.openxmlformats.org/spreadsheetml/2006/main">
  <sheetPr codeName="Feuil61">
    <tabColor rgb="FFFFC000"/>
    <outlinePr summaryBelow="1" summaryRight="1"/>
    <pageSetUpPr fitToPage="1"/>
  </sheetPr>
  <dimension ref="A1:H1"/>
  <sheetViews>
    <sheetView showGridLines="0" view="pageBreakPreview" topLeftCell="A28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91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20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LYSE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LYSE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LYSE'!$H:$H,'BAL N LYSE'!$I:$I,$A8,'BAL N LYSE'!$J:$J,"T")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-SUMIFS(DONNEESCUM_N1_NOUVEAU[MONTANT],DONNEESCUM_N1_NOUVEAU[TL2],A8,DONNEESCUM_N1_NOUVEAU[MOIS],DONNÉES!$C$5,DONNEESCUM_N1_NOUVEAU[SOCIETE],"LYSE")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LYSE'!$H:$H,'BAL N LYSE'!$I:$I,$A10,'BAL N LYSE'!$J:$J,"T")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SUMIFS(DONNEESCUM_N1_NOUVEAU[MONTANT],DONNEESCUM_N1_NOUVEAU[TL2],A10,DONNEESCUM_N1_NOUVEAU[MOIS],DONNÉES!$C$5,DONNEESCUM_N1_NOUVEAU[SOCIETE],"LYSE")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LYSE'!$H:$H,'BAL N LYSE'!$I:$I,$A11,'BAL N LYSE'!$J:$J,"T")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SUMIFS(DONNEESCUM_N1_NOUVEAU[MONTANT],DONNEESCUM_N1_NOUVEAU[TL2],A11,DONNEESCUM_N1_NOUVEAU[MOIS],DONNÉES!$C$5,DONNEESCUM_N1_NOUVEAU[SOCIETE],"LYSE")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LYSE'!$H:$H,'BAL N LYSE'!$I:$I,$A12,'BAL N LYSE'!$J:$J,"T")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SUMIFS(DONNEESCUM_N1_NOUVEAU[MONTANT],DONNEESCUM_N1_NOUVEAU[TL2],A12,DONNEESCUM_N1_NOUVEAU[MOIS],DONNÉES!$C$5,DONNEESCUM_N1_NOUVEAU[SOCIETE],"LYSE")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LYSE'!$H:$H,'BAL N LYSE'!$I:$I,$A14,'BAL N LYSE'!$J:$J,"T")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SUMIFS(DONNEESCUM_N1_NOUVEAU[MONTANT],DONNEESCUM_N1_NOUVEAU[TL2],A14,DONNEESCUM_N1_NOUVEAU[MOIS],DONNÉES!$C$5,DONNEESCUM_N1_NOUVEAU[SOCIETE],"LYSE")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LYSE'!$H:$H,'BAL N LYSE'!$I:$I,$A15,'BAL N LYSE'!$J:$J,"T")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SUMIFS(DONNEESCUM_N1_NOUVEAU[MONTANT],DONNEESCUM_N1_NOUVEAU[TL2],A15,DONNEESCUM_N1_NOUVEAU[MOIS],DONNÉES!$C$5,DONNEESCUM_N1_NOUVEAU[SOCIETE],"LYSE")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LYSE'!$H:$H,'BAL N LYSE'!$I:$I,$A20,'BAL N LYSE'!$J:$J,"T")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SUMIFS(DONNEESCUM_N1_NOUVEAU[MONTANT],DONNEESCUM_N1_NOUVEAU[TL2],A20,DONNEESCUM_N1_NOUVEAU[MOIS],DONNÉES!$C$5,DONNEESCUM_N1_NOUVEAU[SOCIETE],"LYSE")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LYSE'!$H:$H,'BAL N LYSE'!$I:$I,$A21,'BAL N LYSE'!$J:$J,"T")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SUMIFS(DONNEESCUM_N1_NOUVEAU[MONTANT],DONNEESCUM_N1_NOUVEAU[TL2],A21,DONNEESCUM_N1_NOUVEAU[MOIS],DONNÉES!$C$5,DONNEESCUM_N1_NOUVEAU[SOCIETE],"LYSE")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LYSE'!$H:$H,'BAL N LYSE'!$I:$I,$A22,'BAL N LYSE'!$J:$J,"T")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SUMIFS(DONNEESCUM_N1_NOUVEAU[MONTANT],DONNEESCUM_N1_NOUVEAU[TL2],A22,DONNEESCUM_N1_NOUVEAU[MOIS],DONNÉES!$C$5,DONNEESCUM_N1_NOUVEAU[SOCIETE],"LYSE")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LYSE'!$H:$H,'BAL N LYSE'!$I:$I,$A23,'BAL N LYSE'!$J:$J,"T")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SUMIFS(DONNEESCUM_N1_NOUVEAU[MONTANT],DONNEESCUM_N1_NOUVEAU[TL2],A23,DONNEESCUM_N1_NOUVEAU[MOIS],DONNÉES!$C$5,DONNEESCUM_N1_NOUVEAU[SOCIETE],"LYSE")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LYSE'!$H:$H,'BAL N LYSE'!$I:$I,$A24,'BAL N LYSE'!$J:$J,"T")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SUMIFS(DONNEESCUM_N1_NOUVEAU[MONTANT],DONNEESCUM_N1_NOUVEAU[TL2],A24,DONNEESCUM_N1_NOUVEAU[MOIS],DONNÉES!$C$5,DONNEESCUM_N1_NOUVEAU[SOCIETE],"LYSE")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LYSE'!$H:$H,'BAL N LYSE'!$I:$I,$A25,'BAL N LYSE'!$J:$J,"T")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SUMIFS(DONNEESCUM_N1_NOUVEAU[MONTANT],DONNEESCUM_N1_NOUVEAU[TL2],A25,DONNEESCUM_N1_NOUVEAU[MOIS],DONNÉES!$C$5,DONNEESCUM_N1_NOUVEAU[SOCIETE],"LYSE")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LYSE'!$H:$H,'BAL N LYSE'!$I:$I,$A28,'BAL N LYSE'!$J:$J,"T")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SUMIFS(DONNEESCUM_N1_NOUVEAU[MONTANT],DONNEESCUM_N1_NOUVEAU[TL2],A28,DONNEESCUM_N1_NOUVEAU[MOIS],DONNÉES!$C$5,DONNEESCUM_N1_NOUVEAU[SOCIETE],"LYSE")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LYSE'!$H:$H,'BAL N LYSE'!$I:$I,$A29,'BAL N LYSE'!$J:$J,"T")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SUMIFS(DONNEESCUM_N1_NOUVEAU[MONTANT],DONNEESCUM_N1_NOUVEAU[TL2],A29,DONNEESCUM_N1_NOUVEAU[MOIS],DONNÉES!$C$5,DONNEESCUM_N1_NOUVEAU[SOCIETE],"LYSE")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LYSE'!$H:$H,'BAL N LYSE'!$I:$I,$A30,'BAL N LYSE'!$J:$J,"T")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SUMIFS(DONNEESCUM_N1_NOUVEAU[MONTANT],DONNEESCUM_N1_NOUVEAU[TL2],A30,DONNEESCUM_N1_NOUVEAU[MOIS],DONNÉES!$C$5,DONNEESCUM_N1_NOUVEAU[SOCIETE],"LYSE")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LYSE'!$H:$H,'BAL N LYSE'!$I:$I,$A31,'BAL N LYSE'!$J:$J,"T")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SUMIFS(DONNEESCUM_N1_NOUVEAU[MONTANT],DONNEESCUM_N1_NOUVEAU[TL2],A31,DONNEESCUM_N1_NOUVEAU[MOIS],DONNÉES!$C$5,DONNEESCUM_N1_NOUVEAU[SOCIETE],"LYSE")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LYSE'!$H:$H,'BAL N LYSE'!$I:$I,$A32,'BAL N LYSE'!$J:$J,"T")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SUMIFS(DONNEESCUM_N1_NOUVEAU[MONTANT],DONNEESCUM_N1_NOUVEAU[TL2],A32,DONNEESCUM_N1_NOUVEAU[MOIS],DONNÉES!$C$5,DONNEESCUM_N1_NOUVEAU[SOCIETE],"LYSE")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LYSE'!$H:$H,'BAL N LYSE'!$I:$I,$A35,'BAL N LYSE'!$J:$J,"T")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SUMIFS(DONNEESCUM_N1_NOUVEAU[MONTANT],DONNEESCUM_N1_NOUVEAU[TL2],A35,DONNEESCUM_N1_NOUVEAU[MOIS],DONNÉES!$C$5,DONNEESCUM_N1_NOUVEAU[SOCIETE],"LYSE")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LYSE'!$H:$H,'BAL N LYSE'!$I:$I,$A36,'BAL N LYSE'!$J:$J,"T")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SUMIFS(DONNEESCUM_N1_NOUVEAU[MONTANT],DONNEESCUM_N1_NOUVEAU[TL2],A36,DONNEESCUM_N1_NOUVEAU[MOIS],DONNÉES!$C$5,DONNEESCUM_N1_NOUVEAU[SOCIETE],"LYSE")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LYSE'!$H:$H,'BAL N LYSE'!$I:$I,$A37,'BAL N LYSE'!$J:$J,"T")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SUMIFS(DONNEESCUM_N1_NOUVEAU[MONTANT],DONNEESCUM_N1_NOUVEAU[TL2],A37,DONNEESCUM_N1_NOUVEAU[MOIS],DONNÉES!$C$5,DONNEESCUM_N1_NOUVEAU[SOCIETE],"LYSE")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LYSE'!$H:$H,'BAL N LYSE'!$I:$I,$A38,'BAL N LYSE'!$J:$J,"T")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SUMIFS(DONNEESCUM_N1_NOUVEAU[MONTANT],DONNEESCUM_N1_NOUVEAU[TL2],A38,DONNEESCUM_N1_NOUVEAU[MOIS],DONNÉES!$C$5,DONNEESCUM_N1_NOUVEAU[SOCIETE],"LYSE")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LYSE'!$H:$H,'BAL N LYSE'!$I:$I,$A39,'BAL N LYSE'!$J:$J,"T")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SUMIFS(DONNEESCUM_N1_NOUVEAU[MONTANT],DONNEESCUM_N1_NOUVEAU[TL2],A39,DONNEESCUM_N1_NOUVEAU[MOIS],DONNÉES!$C$5,DONNEESCUM_N1_NOUVEAU[SOCIETE],"LYSE")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LYSE'!$H:$H,'BAL N LYSE'!$I:$I,$A40,'BAL N LYSE'!$J:$J,"T")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SUMIFS(DONNEESCUM_N1_NOUVEAU[MONTANT],DONNEESCUM_N1_NOUVEAU[TL2],A40,DONNEESCUM_N1_NOUVEAU[MOIS],DONNÉES!$C$5,DONNEESCUM_N1_NOUVEAU[SOCIETE],"LYSE")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LYSE'!$H:$H,'BAL N LYSE'!$I:$I,$A41,'BAL N LYSE'!$J:$J,"T")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SUMIFS(DONNEESCUM_N1_NOUVEAU[MONTANT],DONNEESCUM_N1_NOUVEAU[TL2],A41,DONNEESCUM_N1_NOUVEAU[MOIS],DONNÉES!$C$5,DONNEESCUM_N1_NOUVEAU[SOCIETE],"LYSE")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LYSE'!$H:$H,'BAL N LYSE'!$I:$I,$A46,'BAL N LYSE'!$J:$J,"T")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SUMIFS(DONNEESCUM_N1_NOUVEAU[MONTANT],DONNEESCUM_N1_NOUVEAU[TL2],A46,DONNEESCUM_N1_NOUVEAU[MOIS],DONNÉES!$C$5,DONNEESCUM_N1_NOUVEAU[SOCIETE],"LYSE")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LYSE'!$H:$H,'BAL N LYSE'!$I:$I,$A47,'BAL N LYSE'!$J:$J,"T")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SUMIFS(DONNEESCUM_N1_NOUVEAU[MONTANT],DONNEESCUM_N1_NOUVEAU[TL2],A47,DONNEESCUM_N1_NOUVEAU[MOIS],DONNÉES!$C$5,DONNEESCUM_N1_NOUVEAU[SOCIETE],"LYSE")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LYSE'!$H:$H,'BAL N LYSE'!$I:$I,$A48,'BAL N LYSE'!$J:$J,"T")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SUMIFS(DONNEESCUM_N1_NOUVEAU[MONTANT],DONNEESCUM_N1_NOUVEAU[TL2],A48,DONNEESCUM_N1_NOUVEAU[MOIS],DONNÉES!$C$5,DONNEESCUM_N1_NOUVEAU[SOCIETE],"LYSE")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LYSE'!$H:$H,'BAL N LYSE'!$I:$I,$A51,'BAL N LYSE'!$J:$J,"T")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SUMIFS(DONNEESCUM_N1_NOUVEAU[MONTANT],DONNEESCUM_N1_NOUVEAU[TL2],A51,DONNEESCUM_N1_NOUVEAU[MOIS],DONNÉES!$C$5,DONNEESCUM_N1_NOUVEAU[SOCIETE],"LYSE")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LYSE'!$H:$H,'BAL N LYSE'!$I:$I,$A52,'BAL N LYSE'!$J:$J,"T")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SUMIFS(DONNEESCUM_N1_NOUVEAU[MONTANT],DONNEESCUM_N1_NOUVEAU[TL2],A52,DONNEESCUM_N1_NOUVEAU[MOIS],DONNÉES!$C$5,DONNEESCUM_N1_NOUVEAU[SOCIETE],"LYSE")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LYSE'!$H:$H,'BAL N LYSE'!$I:$I,$A53,'BAL N LYSE'!$J:$J,"T")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SUMIFS(DONNEESCUM_N1_NOUVEAU[MONTANT],DONNEESCUM_N1_NOUVEAU[TL2],A53,DONNEESCUM_N1_NOUVEAU[MOIS],DONNÉES!$C$5,DONNEESCUM_N1_NOUVEAU[SOCIETE],"LYSE")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LYSE'!$H:$H,'BAL N LYSE'!$I:$I,$A54,'BAL N LYSE'!$J:$J,"T")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SUMIFS(DONNEESCUM_N1_NOUVEAU[MONTANT],DONNEESCUM_N1_NOUVEAU[TL2],A54,DONNEESCUM_N1_NOUVEAU[MOIS],DONNÉES!$C$5,DONNEESCUM_N1_NOUVEAU[SOCIETE],"LYSE")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LYSE'!$H:$H,'BAL N LYSE'!$I:$I,$A55,'BAL N LYSE'!$J:$J,"T")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SUMIFS(DONNEESCUM_N1_NOUVEAU[MONTANT],DONNEESCUM_N1_NOUVEAU[TL2],A55,DONNEESCUM_N1_NOUVEAU[MOIS],DONNÉES!$C$5,DONNEESCUM_N1_NOUVEAU[SOCIETE],"LYSE")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LYSE'!$H:$H,'BAL N LYSE'!$I:$I,$A56,'BAL N LYSE'!$J:$J,"T")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SUMIFS(DONNEESCUM_N1_NOUVEAU[MONTANT],DONNEESCUM_N1_NOUVEAU[TL2],A56,DONNEESCUM_N1_NOUVEAU[MOIS],DONNÉES!$C$5,DONNEESCUM_N1_NOUVEAU[SOCIETE],"LYSE")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LYSE'!$H:$H,'BAL N LYSE'!$I:$I,$A57,'BAL N LYSE'!$J:$J,"T")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SUMIFS(DONNEESCUM_N1_NOUVEAU[MONTANT],DONNEESCUM_N1_NOUVEAU[TL2],A57,DONNEESCUM_N1_NOUVEAU[MOIS],DONNÉES!$C$5,DONNEESCUM_N1_NOUVEAU[SOCIETE],"LYSE")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LYSE'!$H:$H,'BAL N LYSE'!$I:$I,$A58,'BAL N LYSE'!$J:$J,"T")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SUMIFS(DONNEESCUM_N1_NOUVEAU[MONTANT],DONNEESCUM_N1_NOUVEAU[TL2],A58,DONNEESCUM_N1_NOUVEAU[MOIS],DONNÉES!$C$5,DONNEESCUM_N1_NOUVEAU[SOCIETE],"LYSE")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LYSE'!$H:$H,'BAL N LYSE'!$I:$I,$A63,'BAL N LYSE'!$J:$J,"T")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-SUMIFS(DONNEESCUM_N1_NOUVEAU[MONTANT],DONNEESCUM_N1_NOUVEAU[TL2],A63,DONNEESCUM_N1_NOUVEAU[MOIS],DONNÉES!$C$5,DONNEESCUM_N1_NOUVEAU[SOCIETE],"LYSE")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LYSE'!$H:$H,'BAL N LYSE'!$I:$I,$A64,'BAL N LYSE'!$J:$J,"T")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SUMIFS(DONNEESCUM_N1_NOUVEAU[MONTANT],DONNEESCUM_N1_NOUVEAU[TL2],A64,DONNEESCUM_N1_NOUVEAU[MOIS],DONNÉES!$C$5,DONNEESCUM_N1_NOUVEAU[SOCIETE],"LYSE")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LYSE'!$H:$H,'BAL N LYSE'!$I:$I,$A67,'BAL N LYSE'!$J:$J,"T")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-SUMIFS(DONNEESCUM_N1_NOUVEAU[MONTANT],DONNEESCUM_N1_NOUVEAU[TL2],A67,DONNEESCUM_N1_NOUVEAU[MOIS],DONNÉES!$C$5,DONNEESCUM_N1_NOUVEAU[SOCIETE],"LYSE")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LYSE'!$H:$H,'BAL N LYSE'!$I:$I,$A72,'BAL N LYSE'!$J:$J,"T")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-SUMIFS(DONNEESCUM_N1_NOUVEAU[MONTANT],DONNEESCUM_N1_NOUVEAU[TL2],A72,DONNEESCUM_N1_NOUVEAU[MOIS],DONNÉES!$C$5,DONNEESCUM_N1_NOUVEAU[SOCIETE],"LYSE")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LYSE'!$H:$H,'BAL N LYSE'!$I:$I,$A74,'BAL N LYSE'!$J:$J,"T")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SUMIFS(DONNEESCUM_N1_NOUVEAU[MONTANT],DONNEESCUM_N1_NOUVEAU[TL2],A74,DONNEESCUM_N1_NOUVEAU[MOIS],DONNÉES!$C$5,DONNEESCUM_N1_NOUVEAU[SOCIETE],"LYSE")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VLOOKUP(PARAMETRES!$C$2,DONNÉES!$CL$188:$CR$199,2,FALSE)</f>
        <v/>
      </c>
      <c r="D78" s="450" t="n"/>
      <c r="E78" s="449">
        <f>VLOOKUP(PARAMETRES!$C$2,DONNÉES!$CL$188:$CR$199,3,FALSE)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5" t="n"/>
      <c r="F79" s="26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VLOOKUP(PARAMETRES!$C$2,DONNÉES!$CL$284:$CR$295,2,FALSE)</f>
        <v/>
      </c>
      <c r="D80" s="450" t="n"/>
      <c r="E80" s="453">
        <f>VLOOKUP(PARAMETRES!$C$2,DONNÉES!$CL$284:$CR$295,3,FALSE)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92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topLeftCell="A19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93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hidden="1" width="12.5703125" customWidth="1" style="20" min="5" max="5"/>
    <col hidden="1" width="8.5703125" customWidth="1" style="21" min="6" max="6"/>
    <col hidden="1" width="12.5703125" customWidth="1" style="20" min="7" max="7"/>
    <col hidden="1"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ARTHUR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ARTHUR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ARTHUR'!$H:$H,'BAL N ARTHUR'!$I:$I,$A8,'BAL N ARTHUR'!$J:$J,"T")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-SUMIFS(DONNEESCUM_N1_NOUVEAU[MONTANT],DONNEESCUM_N1_NOUVEAU[TL2],A8,DONNEESCUM_N1_NOUVEAU[MOIS],DONNÉES!$C$5,DONNEESCUM_N1_NOUVEAU[SOCIETE],"ARTHUR")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ARTHUR'!$H:$H,'BAL N ARTHUR'!$I:$I,$A10,'BAL N ARTHUR'!$J:$J,"T")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SUMIFS(DONNEESCUM_N1_NOUVEAU[MONTANT],DONNEESCUM_N1_NOUVEAU[TL2],A10,DONNEESCUM_N1_NOUVEAU[MOIS],DONNÉES!$C$5,DONNEESCUM_N1_NOUVEAU[SOCIETE],"ARTHUR")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ARTHUR'!$H:$H,'BAL N ARTHUR'!$I:$I,$A11,'BAL N ARTHUR'!$J:$J,"T")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SUMIFS(DONNEESCUM_N1_NOUVEAU[MONTANT],DONNEESCUM_N1_NOUVEAU[TL2],A11,DONNEESCUM_N1_NOUVEAU[MOIS],DONNÉES!$C$5,DONNEESCUM_N1_NOUVEAU[SOCIETE],"ARTHUR")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ARTHUR'!$H:$H,'BAL N ARTHUR'!$I:$I,$A12,'BAL N ARTHUR'!$J:$J,"T")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SUMIFS(DONNEESCUM_N1_NOUVEAU[MONTANT],DONNEESCUM_N1_NOUVEAU[TL2],A12,DONNEESCUM_N1_NOUVEAU[MOIS],DONNÉES!$C$5,DONNEESCUM_N1_NOUVEAU[SOCIETE],"ARTHUR")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ARTHUR'!$H:$H,'BAL N ARTHUR'!$I:$I,$A14,'BAL N ARTHUR'!$J:$J,"T")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SUMIFS(DONNEESCUM_N1_NOUVEAU[MONTANT],DONNEESCUM_N1_NOUVEAU[TL2],A14,DONNEESCUM_N1_NOUVEAU[MOIS],DONNÉES!$C$5,DONNEESCUM_N1_NOUVEAU[SOCIETE],"ARTHUR")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ARTHUR'!$H:$H,'BAL N ARTHUR'!$I:$I,$A15,'BAL N ARTHUR'!$J:$J,"T")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SUMIFS(DONNEESCUM_N1_NOUVEAU[MONTANT],DONNEESCUM_N1_NOUVEAU[TL2],A15,DONNEESCUM_N1_NOUVEAU[MOIS],DONNÉES!$C$5,DONNEESCUM_N1_NOUVEAU[SOCIETE],"ARTHUR")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ARTHUR'!$H:$H,'BAL N ARTHUR'!$I:$I,$A20,'BAL N ARTHUR'!$J:$J,"T")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SUMIFS(DONNEESCUM_N1_NOUVEAU[MONTANT],DONNEESCUM_N1_NOUVEAU[TL2],A20,DONNEESCUM_N1_NOUVEAU[MOIS],DONNÉES!$C$5,DONNEESCUM_N1_NOUVEAU[SOCIETE],"ARTHUR")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ARTHUR'!$H:$H,'BAL N ARTHUR'!$I:$I,$A21,'BAL N ARTHUR'!$J:$J,"T")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SUMIFS(DONNEESCUM_N1_NOUVEAU[MONTANT],DONNEESCUM_N1_NOUVEAU[TL2],A21,DONNEESCUM_N1_NOUVEAU[MOIS],DONNÉES!$C$5,DONNEESCUM_N1_NOUVEAU[SOCIETE],"ARTHUR")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ARTHUR'!$H:$H,'BAL N ARTHUR'!$I:$I,$A22,'BAL N ARTHUR'!$J:$J,"T")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SUMIFS(DONNEESCUM_N1_NOUVEAU[MONTANT],DONNEESCUM_N1_NOUVEAU[TL2],A22,DONNEESCUM_N1_NOUVEAU[MOIS],DONNÉES!$C$5,DONNEESCUM_N1_NOUVEAU[SOCIETE],"ARTHUR")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ARTHUR'!$H:$H,'BAL N ARTHUR'!$I:$I,$A23,'BAL N ARTHUR'!$J:$J,"T")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SUMIFS(DONNEESCUM_N1_NOUVEAU[MONTANT],DONNEESCUM_N1_NOUVEAU[TL2],A23,DONNEESCUM_N1_NOUVEAU[MOIS],DONNÉES!$C$5,DONNEESCUM_N1_NOUVEAU[SOCIETE],"ARTHUR")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ARTHUR'!$H:$H,'BAL N ARTHUR'!$I:$I,$A24,'BAL N ARTHUR'!$J:$J,"T")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SUMIFS(DONNEESCUM_N1_NOUVEAU[MONTANT],DONNEESCUM_N1_NOUVEAU[TL2],A24,DONNEESCUM_N1_NOUVEAU[MOIS],DONNÉES!$C$5,DONNEESCUM_N1_NOUVEAU[SOCIETE],"ARTHUR")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ARTHUR'!$H:$H,'BAL N ARTHUR'!$I:$I,$A25,'BAL N ARTHUR'!$J:$J,"T")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SUMIFS(DONNEESCUM_N1_NOUVEAU[MONTANT],DONNEESCUM_N1_NOUVEAU[TL2],A25,DONNEESCUM_N1_NOUVEAU[MOIS],DONNÉES!$C$5,DONNEESCUM_N1_NOUVEAU[SOCIETE],"ARTHUR")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ARTHUR'!$H:$H,'BAL N ARTHUR'!$I:$I,$A28,'BAL N ARTHUR'!$J:$J,"T")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SUMIFS(DONNEESCUM_N1_NOUVEAU[MONTANT],DONNEESCUM_N1_NOUVEAU[TL2],A28,DONNEESCUM_N1_NOUVEAU[MOIS],DONNÉES!$C$5,DONNEESCUM_N1_NOUVEAU[SOCIETE],"ARTHUR")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ARTHUR'!$H:$H,'BAL N ARTHUR'!$I:$I,$A29,'BAL N ARTHUR'!$J:$J,"T")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SUMIFS(DONNEESCUM_N1_NOUVEAU[MONTANT],DONNEESCUM_N1_NOUVEAU[TL2],A29,DONNEESCUM_N1_NOUVEAU[MOIS],DONNÉES!$C$5,DONNEESCUM_N1_NOUVEAU[SOCIETE],"ARTHUR")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ARTHUR'!$H:$H,'BAL N ARTHUR'!$I:$I,$A30,'BAL N ARTHUR'!$J:$J,"T")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SUMIFS(DONNEESCUM_N1_NOUVEAU[MONTANT],DONNEESCUM_N1_NOUVEAU[TL2],A30,DONNEESCUM_N1_NOUVEAU[MOIS],DONNÉES!$C$5,DONNEESCUM_N1_NOUVEAU[SOCIETE],"ARTHUR")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ARTHUR'!$H:$H,'BAL N ARTHUR'!$I:$I,$A31,'BAL N ARTHUR'!$J:$J,"T")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SUMIFS(DONNEESCUM_N1_NOUVEAU[MONTANT],DONNEESCUM_N1_NOUVEAU[TL2],A31,DONNEESCUM_N1_NOUVEAU[MOIS],DONNÉES!$C$5,DONNEESCUM_N1_NOUVEAU[SOCIETE],"ARTHUR")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ARTHUR'!$H:$H,'BAL N ARTHUR'!$I:$I,$A32,'BAL N ARTHUR'!$J:$J,"T")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SUMIFS(DONNEESCUM_N1_NOUVEAU[MONTANT],DONNEESCUM_N1_NOUVEAU[TL2],A32,DONNEESCUM_N1_NOUVEAU[MOIS],DONNÉES!$C$5,DONNEESCUM_N1_NOUVEAU[SOCIETE],"ARTHUR")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ARTHUR'!$H:$H,'BAL N ARTHUR'!$I:$I,$A35,'BAL N ARTHUR'!$J:$J,"T")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SUMIFS(DONNEESCUM_N1_NOUVEAU[MONTANT],DONNEESCUM_N1_NOUVEAU[TL2],A35,DONNEESCUM_N1_NOUVEAU[MOIS],DONNÉES!$C$5,DONNEESCUM_N1_NOUVEAU[SOCIETE],"ARTHUR")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ARTHUR'!$H:$H,'BAL N ARTHUR'!$I:$I,$A36,'BAL N ARTHUR'!$J:$J,"T")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SUMIFS(DONNEESCUM_N1_NOUVEAU[MONTANT],DONNEESCUM_N1_NOUVEAU[TL2],A36,DONNEESCUM_N1_NOUVEAU[MOIS],DONNÉES!$C$5,DONNEESCUM_N1_NOUVEAU[SOCIETE],"ARTHUR")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ARTHUR'!$H:$H,'BAL N ARTHUR'!$I:$I,$A37,'BAL N ARTHUR'!$J:$J,"T")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SUMIFS(DONNEESCUM_N1_NOUVEAU[MONTANT],DONNEESCUM_N1_NOUVEAU[TL2],A37,DONNEESCUM_N1_NOUVEAU[MOIS],DONNÉES!$C$5,DONNEESCUM_N1_NOUVEAU[SOCIETE],"ARTHUR")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ARTHUR'!$H:$H,'BAL N ARTHUR'!$I:$I,$A38,'BAL N ARTHUR'!$J:$J,"T")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SUMIFS(DONNEESCUM_N1_NOUVEAU[MONTANT],DONNEESCUM_N1_NOUVEAU[TL2],A38,DONNEESCUM_N1_NOUVEAU[MOIS],DONNÉES!$C$5,DONNEESCUM_N1_NOUVEAU[SOCIETE],"ARTHUR")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ARTHUR'!$H:$H,'BAL N ARTHUR'!$I:$I,$A39,'BAL N ARTHUR'!$J:$J,"T")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SUMIFS(DONNEESCUM_N1_NOUVEAU[MONTANT],DONNEESCUM_N1_NOUVEAU[TL2],A39,DONNEESCUM_N1_NOUVEAU[MOIS],DONNÉES!$C$5,DONNEESCUM_N1_NOUVEAU[SOCIETE],"ARTHUR")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ARTHUR'!$H:$H,'BAL N ARTHUR'!$I:$I,$A40,'BAL N ARTHUR'!$J:$J,"T")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SUMIFS(DONNEESCUM_N1_NOUVEAU[MONTANT],DONNEESCUM_N1_NOUVEAU[TL2],A40,DONNEESCUM_N1_NOUVEAU[MOIS],DONNÉES!$C$5,DONNEESCUM_N1_NOUVEAU[SOCIETE],"ARTHUR")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ARTHUR'!$H:$H,'BAL N ARTHUR'!$I:$I,$A41,'BAL N ARTHUR'!$J:$J,"T")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SUMIFS(DONNEESCUM_N1_NOUVEAU[MONTANT],DONNEESCUM_N1_NOUVEAU[TL2],A41,DONNEESCUM_N1_NOUVEAU[MOIS],DONNÉES!$C$5,DONNEESCUM_N1_NOUVEAU[SOCIETE],"ARTHUR")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ARTHUR'!$H:$H,'BAL N ARTHUR'!$I:$I,$A46,'BAL N ARTHUR'!$J:$J,"T")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SUMIFS(DONNEESCUM_N1_NOUVEAU[MONTANT],DONNEESCUM_N1_NOUVEAU[TL2],A46,DONNEESCUM_N1_NOUVEAU[MOIS],DONNÉES!$C$5,DONNEESCUM_N1_NOUVEAU[SOCIETE],"ARTHUR")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ARTHUR'!$H:$H,'BAL N ARTHUR'!$I:$I,$A47,'BAL N ARTHUR'!$J:$J,"T")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SUMIFS(DONNEESCUM_N1_NOUVEAU[MONTANT],DONNEESCUM_N1_NOUVEAU[TL2],A47,DONNEESCUM_N1_NOUVEAU[MOIS],DONNÉES!$C$5,DONNEESCUM_N1_NOUVEAU[SOCIETE],"ARTHUR")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ARTHUR'!$H:$H,'BAL N ARTHUR'!$I:$I,$A48,'BAL N ARTHUR'!$J:$J,"T")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SUMIFS(DONNEESCUM_N1_NOUVEAU[MONTANT],DONNEESCUM_N1_NOUVEAU[TL2],A48,DONNEESCUM_N1_NOUVEAU[MOIS],DONNÉES!$C$5,DONNEESCUM_N1_NOUVEAU[SOCIETE],"ARTHUR")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ARTHUR'!$H:$H,'BAL N ARTHUR'!$I:$I,$A51,'BAL N ARTHUR'!$J:$J,"T")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SUMIFS(DONNEESCUM_N1_NOUVEAU[MONTANT],DONNEESCUM_N1_NOUVEAU[TL2],A51,DONNEESCUM_N1_NOUVEAU[MOIS],DONNÉES!$C$5,DONNEESCUM_N1_NOUVEAU[SOCIETE],"ARTHUR")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ARTHUR'!$H:$H,'BAL N ARTHUR'!$I:$I,$A52,'BAL N ARTHUR'!$J:$J,"T")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SUMIFS(DONNEESCUM_N1_NOUVEAU[MONTANT],DONNEESCUM_N1_NOUVEAU[TL2],A52,DONNEESCUM_N1_NOUVEAU[MOIS],DONNÉES!$C$5,DONNEESCUM_N1_NOUVEAU[SOCIETE],"ARTHUR")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ARTHUR'!$H:$H,'BAL N ARTHUR'!$I:$I,$A53,'BAL N ARTHUR'!$J:$J,"T")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SUMIFS(DONNEESCUM_N1_NOUVEAU[MONTANT],DONNEESCUM_N1_NOUVEAU[TL2],A53,DONNEESCUM_N1_NOUVEAU[MOIS],DONNÉES!$C$5,DONNEESCUM_N1_NOUVEAU[SOCIETE],"ARTHUR")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ARTHUR'!$H:$H,'BAL N ARTHUR'!$I:$I,$A54,'BAL N ARTHUR'!$J:$J,"T")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SUMIFS(DONNEESCUM_N1_NOUVEAU[MONTANT],DONNEESCUM_N1_NOUVEAU[TL2],A54,DONNEESCUM_N1_NOUVEAU[MOIS],DONNÉES!$C$5,DONNEESCUM_N1_NOUVEAU[SOCIETE],"ARTHUR")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ARTHUR'!$H:$H,'BAL N ARTHUR'!$I:$I,$A55,'BAL N ARTHUR'!$J:$J,"T")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SUMIFS(DONNEESCUM_N1_NOUVEAU[MONTANT],DONNEESCUM_N1_NOUVEAU[TL2],A55,DONNEESCUM_N1_NOUVEAU[MOIS],DONNÉES!$C$5,DONNEESCUM_N1_NOUVEAU[SOCIETE],"ARTHUR")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ARTHUR'!$H:$H,'BAL N ARTHUR'!$I:$I,$A56,'BAL N ARTHUR'!$J:$J,"T")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SUMIFS(DONNEESCUM_N1_NOUVEAU[MONTANT],DONNEESCUM_N1_NOUVEAU[TL2],A56,DONNEESCUM_N1_NOUVEAU[MOIS],DONNÉES!$C$5,DONNEESCUM_N1_NOUVEAU[SOCIETE],"ARTHUR")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ARTHUR'!$H:$H,'BAL N ARTHUR'!$I:$I,$A57,'BAL N ARTHUR'!$J:$J,"T")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SUMIFS(DONNEESCUM_N1_NOUVEAU[MONTANT],DONNEESCUM_N1_NOUVEAU[TL2],A57,DONNEESCUM_N1_NOUVEAU[MOIS],DONNÉES!$C$5,DONNEESCUM_N1_NOUVEAU[SOCIETE],"ARTHUR")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ARTHUR'!$H:$H,'BAL N ARTHUR'!$I:$I,$A58,'BAL N ARTHUR'!$J:$J,"T")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SUMIFS(DONNEESCUM_N1_NOUVEAU[MONTANT],DONNEESCUM_N1_NOUVEAU[TL2],A58,DONNEESCUM_N1_NOUVEAU[MOIS],DONNÉES!$C$5,DONNEESCUM_N1_NOUVEAU[SOCIETE],"ARTHUR")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ARTHUR'!$H:$H,'BAL N ARTHUR'!$I:$I,$A63,'BAL N ARTHUR'!$J:$J,"T")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-SUMIFS(DONNEESCUM_N1_NOUVEAU[MONTANT],DONNEESCUM_N1_NOUVEAU[TL2],A63,DONNEESCUM_N1_NOUVEAU[MOIS],DONNÉES!$C$5,DONNEESCUM_N1_NOUVEAU[SOCIETE],"ARTHUR")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ARTHUR'!$H:$H,'BAL N ARTHUR'!$I:$I,$A64,'BAL N ARTHUR'!$J:$J,"T")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SUMIFS(DONNEESCUM_N1_NOUVEAU[MONTANT],DONNEESCUM_N1_NOUVEAU[TL2],A64,DONNEESCUM_N1_NOUVEAU[MOIS],DONNÉES!$C$5,DONNEESCUM_N1_NOUVEAU[SOCIETE],"ARTHUR")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ARTHUR'!$H:$H,'BAL N ARTHUR'!$I:$I,$A67,'BAL N ARTHUR'!$J:$J,"T")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-SUMIFS(DONNEESCUM_N1_NOUVEAU[MONTANT],DONNEESCUM_N1_NOUVEAU[TL2],A67,DONNEESCUM_N1_NOUVEAU[MOIS],DONNÉES!$C$5,DONNEESCUM_N1_NOUVEAU[SOCIETE],"ARTHUR")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ARTHUR'!$H:$H,'BAL N ARTHUR'!$I:$I,$A72,'BAL N ARTHUR'!$J:$J,"T")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-SUMIFS(DONNEESCUM_N1_NOUVEAU[MONTANT],DONNEESCUM_N1_NOUVEAU[TL2],A72,DONNEESCUM_N1_NOUVEAU[MOIS],DONNÉES!$C$5,DONNEESCUM_N1_NOUVEAU[SOCIETE],"ARTHUR")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ARTHUR'!$H:$H,'BAL N ARTHUR'!$I:$I,$A74,'BAL N ARTHUR'!$J:$J,"T")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SUMIFS(DONNEESCUM_N1_NOUVEAU[MONTANT],DONNEESCUM_N1_NOUVEAU[TL2],A74,DONNEESCUM_N1_NOUVEAU[MOIS],DONNÉES!$C$5,DONNEESCUM_N1_NOUVEAU[SOCIETE],"ARTHUR")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VLOOKUP(PARAMETRES!$C$2,DONNÉES!$CT$188:$CZ$199,2,FALSE)</f>
        <v/>
      </c>
      <c r="D78" s="450" t="n"/>
      <c r="E78" s="449" t="n"/>
      <c r="F78" s="450" t="n"/>
      <c r="G78" s="454" t="n"/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VLOOKUP(PARAMETRES!$C$2,DONNÉES!$CT$284:$ZR$295,2,FALSE)</f>
        <v/>
      </c>
      <c r="D80" s="450" t="n"/>
      <c r="E80" s="453" t="n"/>
      <c r="F80" s="450" t="n"/>
      <c r="G80" s="454" t="n"/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94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topLeftCell="A16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95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53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hidden="1" width="12.5703125" customWidth="1" style="20" min="5" max="5"/>
    <col hidden="1" width="8.5703125" customWidth="1" style="21" min="6" max="6"/>
    <col hidden="1" width="12.5703125" customWidth="1" style="20" min="7" max="7"/>
    <col hidden="1"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HUGO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HUGO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HUGO'!$H:$H,'BAL N HUGO'!$I:$I,$A8,'BAL N HUGO'!$J:$J,"T")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-SUMIFS(DONNEESCUM_N1_NOUVEAU[MONTANT],DONNEESCUM_N1_NOUVEAU[TL2],A8,DONNEESCUM_N1_NOUVEAU[MOIS],DONNÉES!$C$5,DONNEESCUM_N1_NOUVEAU[SOCIETE],"HUGO")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HUGO'!$H:$H,'BAL N HUGO'!$I:$I,$A10,'BAL N HUGO'!$J:$J,"T")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SUMIFS(DONNEESCUM_N1_NOUVEAU[MONTANT],DONNEESCUM_N1_NOUVEAU[TL2],A10,DONNEESCUM_N1_NOUVEAU[MOIS],DONNÉES!$C$5,DONNEESCUM_N1_NOUVEAU[SOCIETE],"HUGO")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HUGO'!$H:$H,'BAL N HUGO'!$I:$I,$A11,'BAL N HUGO'!$J:$J,"T")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SUMIFS(DONNEESCUM_N1_NOUVEAU[MONTANT],DONNEESCUM_N1_NOUVEAU[TL2],A11,DONNEESCUM_N1_NOUVEAU[MOIS],DONNÉES!$C$5,DONNEESCUM_N1_NOUVEAU[SOCIETE],"HUGO")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HUGO'!$H:$H,'BAL N HUGO'!$I:$I,$A12,'BAL N HUGO'!$J:$J,"T")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SUMIFS(DONNEESCUM_N1_NOUVEAU[MONTANT],DONNEESCUM_N1_NOUVEAU[TL2],A12,DONNEESCUM_N1_NOUVEAU[MOIS],DONNÉES!$C$5,DONNEESCUM_N1_NOUVEAU[SOCIETE],"HUGO")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HUGO'!$H:$H,'BAL N HUGO'!$I:$I,$A14,'BAL N HUGO'!$J:$J,"T")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SUMIFS(DONNEESCUM_N1_NOUVEAU[MONTANT],DONNEESCUM_N1_NOUVEAU[TL2],A14,DONNEESCUM_N1_NOUVEAU[MOIS],DONNÉES!$C$5,DONNEESCUM_N1_NOUVEAU[SOCIETE],"HUGO")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HUGO'!$H:$H,'BAL N HUGO'!$I:$I,$A15,'BAL N HUGO'!$J:$J,"T")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SUMIFS(DONNEESCUM_N1_NOUVEAU[MONTANT],DONNEESCUM_N1_NOUVEAU[TL2],A15,DONNEESCUM_N1_NOUVEAU[MOIS],DONNÉES!$C$5,DONNEESCUM_N1_NOUVEAU[SOCIETE],"HUGO")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HUGO'!$H:$H,'BAL N HUGO'!$I:$I,$A20,'BAL N HUGO'!$J:$J,"T")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SUMIFS(DONNEESCUM_N1_NOUVEAU[MONTANT],DONNEESCUM_N1_NOUVEAU[TL2],A20,DONNEESCUM_N1_NOUVEAU[MOIS],DONNÉES!$C$5,DONNEESCUM_N1_NOUVEAU[SOCIETE],"HUGO")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HUGO'!$H:$H,'BAL N HUGO'!$I:$I,$A21,'BAL N HUGO'!$J:$J,"T")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SUMIFS(DONNEESCUM_N1_NOUVEAU[MONTANT],DONNEESCUM_N1_NOUVEAU[TL2],A21,DONNEESCUM_N1_NOUVEAU[MOIS],DONNÉES!$C$5,DONNEESCUM_N1_NOUVEAU[SOCIETE],"HUGO")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HUGO'!$H:$H,'BAL N HUGO'!$I:$I,$A22,'BAL N HUGO'!$J:$J,"T")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SUMIFS(DONNEESCUM_N1_NOUVEAU[MONTANT],DONNEESCUM_N1_NOUVEAU[TL2],A22,DONNEESCUM_N1_NOUVEAU[MOIS],DONNÉES!$C$5,DONNEESCUM_N1_NOUVEAU[SOCIETE],"HUGO")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HUGO'!$H:$H,'BAL N HUGO'!$I:$I,$A23,'BAL N HUGO'!$J:$J,"T")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SUMIFS(DONNEESCUM_N1_NOUVEAU[MONTANT],DONNEESCUM_N1_NOUVEAU[TL2],A23,DONNEESCUM_N1_NOUVEAU[MOIS],DONNÉES!$C$5,DONNEESCUM_N1_NOUVEAU[SOCIETE],"HUGO")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HUGO'!$H:$H,'BAL N HUGO'!$I:$I,$A24,'BAL N HUGO'!$J:$J,"T")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SUMIFS(DONNEESCUM_N1_NOUVEAU[MONTANT],DONNEESCUM_N1_NOUVEAU[TL2],A24,DONNEESCUM_N1_NOUVEAU[MOIS],DONNÉES!$C$5,DONNEESCUM_N1_NOUVEAU[SOCIETE],"HUGO")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HUGO'!$H:$H,'BAL N HUGO'!$I:$I,$A25,'BAL N HUGO'!$J:$J,"T")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SUMIFS(DONNEESCUM_N1_NOUVEAU[MONTANT],DONNEESCUM_N1_NOUVEAU[TL2],A25,DONNEESCUM_N1_NOUVEAU[MOIS],DONNÉES!$C$5,DONNEESCUM_N1_NOUVEAU[SOCIETE],"HUGO")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HUGO'!$H:$H,'BAL N HUGO'!$I:$I,$A28,'BAL N HUGO'!$J:$J,"T")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SUMIFS(DONNEESCUM_N1_NOUVEAU[MONTANT],DONNEESCUM_N1_NOUVEAU[TL2],A28,DONNEESCUM_N1_NOUVEAU[MOIS],DONNÉES!$C$5,DONNEESCUM_N1_NOUVEAU[SOCIETE],"HUGO")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HUGO'!$H:$H,'BAL N HUGO'!$I:$I,$A29,'BAL N HUGO'!$J:$J,"T")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SUMIFS(DONNEESCUM_N1_NOUVEAU[MONTANT],DONNEESCUM_N1_NOUVEAU[TL2],A29,DONNEESCUM_N1_NOUVEAU[MOIS],DONNÉES!$C$5,DONNEESCUM_N1_NOUVEAU[SOCIETE],"HUGO")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HUGO'!$H:$H,'BAL N HUGO'!$I:$I,$A30,'BAL N HUGO'!$J:$J,"T")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SUMIFS(DONNEESCUM_N1_NOUVEAU[MONTANT],DONNEESCUM_N1_NOUVEAU[TL2],A30,DONNEESCUM_N1_NOUVEAU[MOIS],DONNÉES!$C$5,DONNEESCUM_N1_NOUVEAU[SOCIETE],"HUGO")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HUGO'!$H:$H,'BAL N HUGO'!$I:$I,$A31,'BAL N HUGO'!$J:$J,"T")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SUMIFS(DONNEESCUM_N1_NOUVEAU[MONTANT],DONNEESCUM_N1_NOUVEAU[TL2],A31,DONNEESCUM_N1_NOUVEAU[MOIS],DONNÉES!$C$5,DONNEESCUM_N1_NOUVEAU[SOCIETE],"HUGO")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HUGO'!$H:$H,'BAL N HUGO'!$I:$I,$A32,'BAL N HUGO'!$J:$J,"T")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SUMIFS(DONNEESCUM_N1_NOUVEAU[MONTANT],DONNEESCUM_N1_NOUVEAU[TL2],A32,DONNEESCUM_N1_NOUVEAU[MOIS],DONNÉES!$C$5,DONNEESCUM_N1_NOUVEAU[SOCIETE],"HUGO")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HUGO'!$H:$H,'BAL N HUGO'!$I:$I,$A35,'BAL N HUGO'!$J:$J,"T")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SUMIFS(DONNEESCUM_N1_NOUVEAU[MONTANT],DONNEESCUM_N1_NOUVEAU[TL2],A35,DONNEESCUM_N1_NOUVEAU[MOIS],DONNÉES!$C$5,DONNEESCUM_N1_NOUVEAU[SOCIETE],"HUGO")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HUGO'!$H:$H,'BAL N HUGO'!$I:$I,$A36,'BAL N HUGO'!$J:$J,"T")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SUMIFS(DONNEESCUM_N1_NOUVEAU[MONTANT],DONNEESCUM_N1_NOUVEAU[TL2],A36,DONNEESCUM_N1_NOUVEAU[MOIS],DONNÉES!$C$5,DONNEESCUM_N1_NOUVEAU[SOCIETE],"HUGO")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HUGO'!$H:$H,'BAL N HUGO'!$I:$I,$A37,'BAL N HUGO'!$J:$J,"T")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SUMIFS(DONNEESCUM_N1_NOUVEAU[MONTANT],DONNEESCUM_N1_NOUVEAU[TL2],A37,DONNEESCUM_N1_NOUVEAU[MOIS],DONNÉES!$C$5,DONNEESCUM_N1_NOUVEAU[SOCIETE],"HUGO")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HUGO'!$H:$H,'BAL N HUGO'!$I:$I,$A38,'BAL N HUGO'!$J:$J,"T")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SUMIFS(DONNEESCUM_N1_NOUVEAU[MONTANT],DONNEESCUM_N1_NOUVEAU[TL2],A38,DONNEESCUM_N1_NOUVEAU[MOIS],DONNÉES!$C$5,DONNEESCUM_N1_NOUVEAU[SOCIETE],"HUGO")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HUGO'!$H:$H,'BAL N HUGO'!$I:$I,$A39,'BAL N HUGO'!$J:$J,"T")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SUMIFS(DONNEESCUM_N1_NOUVEAU[MONTANT],DONNEESCUM_N1_NOUVEAU[TL2],A39,DONNEESCUM_N1_NOUVEAU[MOIS],DONNÉES!$C$5,DONNEESCUM_N1_NOUVEAU[SOCIETE],"HUGO")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HUGO'!$H:$H,'BAL N HUGO'!$I:$I,$A40,'BAL N HUGO'!$J:$J,"T")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SUMIFS(DONNEESCUM_N1_NOUVEAU[MONTANT],DONNEESCUM_N1_NOUVEAU[TL2],A40,DONNEESCUM_N1_NOUVEAU[MOIS],DONNÉES!$C$5,DONNEESCUM_N1_NOUVEAU[SOCIETE],"HUGO")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HUGO'!$H:$H,'BAL N HUGO'!$I:$I,$A41,'BAL N HUGO'!$J:$J,"T")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SUMIFS(DONNEESCUM_N1_NOUVEAU[MONTANT],DONNEESCUM_N1_NOUVEAU[TL2],A41,DONNEESCUM_N1_NOUVEAU[MOIS],DONNÉES!$C$5,DONNEESCUM_N1_NOUVEAU[SOCIETE],"HUGO")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HUGO'!$H:$H,'BAL N HUGO'!$I:$I,$A46,'BAL N HUGO'!$J:$J,"T")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SUMIFS(DONNEESCUM_N1_NOUVEAU[MONTANT],DONNEESCUM_N1_NOUVEAU[TL2],A46,DONNEESCUM_N1_NOUVEAU[MOIS],DONNÉES!$C$5,DONNEESCUM_N1_NOUVEAU[SOCIETE],"HUGO")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HUGO'!$H:$H,'BAL N HUGO'!$I:$I,$A47,'BAL N HUGO'!$J:$J,"T")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SUMIFS(DONNEESCUM_N1_NOUVEAU[MONTANT],DONNEESCUM_N1_NOUVEAU[TL2],A47,DONNEESCUM_N1_NOUVEAU[MOIS],DONNÉES!$C$5,DONNEESCUM_N1_NOUVEAU[SOCIETE],"HUGO")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HUGO'!$H:$H,'BAL N HUGO'!$I:$I,$A48,'BAL N HUGO'!$J:$J,"T")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SUMIFS(DONNEESCUM_N1_NOUVEAU[MONTANT],DONNEESCUM_N1_NOUVEAU[TL2],A48,DONNEESCUM_N1_NOUVEAU[MOIS],DONNÉES!$C$5,DONNEESCUM_N1_NOUVEAU[SOCIETE],"HUGO")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HUGO'!$H:$H,'BAL N HUGO'!$I:$I,$A51,'BAL N HUGO'!$J:$J,"T")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SUMIFS(DONNEESCUM_N1_NOUVEAU[MONTANT],DONNEESCUM_N1_NOUVEAU[TL2],A51,DONNEESCUM_N1_NOUVEAU[MOIS],DONNÉES!$C$5,DONNEESCUM_N1_NOUVEAU[SOCIETE],"HUGO")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HUGO'!$H:$H,'BAL N HUGO'!$I:$I,$A52,'BAL N HUGO'!$J:$J,"T")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SUMIFS(DONNEESCUM_N1_NOUVEAU[MONTANT],DONNEESCUM_N1_NOUVEAU[TL2],A52,DONNEESCUM_N1_NOUVEAU[MOIS],DONNÉES!$C$5,DONNEESCUM_N1_NOUVEAU[SOCIETE],"HUGO")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HUGO'!$H:$H,'BAL N HUGO'!$I:$I,$A53,'BAL N HUGO'!$J:$J,"T")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SUMIFS(DONNEESCUM_N1_NOUVEAU[MONTANT],DONNEESCUM_N1_NOUVEAU[TL2],A53,DONNEESCUM_N1_NOUVEAU[MOIS],DONNÉES!$C$5,DONNEESCUM_N1_NOUVEAU[SOCIETE],"HUGO")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HUGO'!$H:$H,'BAL N HUGO'!$I:$I,$A54,'BAL N HUGO'!$J:$J,"T")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SUMIFS(DONNEESCUM_N1_NOUVEAU[MONTANT],DONNEESCUM_N1_NOUVEAU[TL2],A54,DONNEESCUM_N1_NOUVEAU[MOIS],DONNÉES!$C$5,DONNEESCUM_N1_NOUVEAU[SOCIETE],"HUGO")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HUGO'!$H:$H,'BAL N HUGO'!$I:$I,$A55,'BAL N HUGO'!$J:$J,"T")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SUMIFS(DONNEESCUM_N1_NOUVEAU[MONTANT],DONNEESCUM_N1_NOUVEAU[TL2],A55,DONNEESCUM_N1_NOUVEAU[MOIS],DONNÉES!$C$5,DONNEESCUM_N1_NOUVEAU[SOCIETE],"HUGO")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HUGO'!$H:$H,'BAL N HUGO'!$I:$I,$A56,'BAL N HUGO'!$J:$J,"T")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SUMIFS(DONNEESCUM_N1_NOUVEAU[MONTANT],DONNEESCUM_N1_NOUVEAU[TL2],A56,DONNEESCUM_N1_NOUVEAU[MOIS],DONNÉES!$C$5,DONNEESCUM_N1_NOUVEAU[SOCIETE],"HUGO")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HUGO'!$H:$H,'BAL N HUGO'!$I:$I,$A57,'BAL N HUGO'!$J:$J,"T")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SUMIFS(DONNEESCUM_N1_NOUVEAU[MONTANT],DONNEESCUM_N1_NOUVEAU[TL2],A57,DONNEESCUM_N1_NOUVEAU[MOIS],DONNÉES!$C$5,DONNEESCUM_N1_NOUVEAU[SOCIETE],"HUGO")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HUGO'!$H:$H,'BAL N HUGO'!$I:$I,$A58,'BAL N HUGO'!$J:$J,"T")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SUMIFS(DONNEESCUM_N1_NOUVEAU[MONTANT],DONNEESCUM_N1_NOUVEAU[TL2],A58,DONNEESCUM_N1_NOUVEAU[MOIS],DONNÉES!$C$5,DONNEESCUM_N1_NOUVEAU[SOCIETE],"HUGO")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HUGO'!$H:$H,'BAL N HUGO'!$I:$I,$A63,'BAL N HUGO'!$J:$J,"T")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-SUMIFS(DONNEESCUM_N1_NOUVEAU[MONTANT],DONNEESCUM_N1_NOUVEAU[TL2],A63,DONNEESCUM_N1_NOUVEAU[MOIS],DONNÉES!$C$5,DONNEESCUM_N1_NOUVEAU[SOCIETE],"HUGO")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HUGO'!$H:$H,'BAL N HUGO'!$I:$I,$A64,'BAL N HUGO'!$J:$J,"T")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SUMIFS(DONNEESCUM_N1_NOUVEAU[MONTANT],DONNEESCUM_N1_NOUVEAU[TL2],A64,DONNEESCUM_N1_NOUVEAU[MOIS],DONNÉES!$C$5,DONNEESCUM_N1_NOUVEAU[SOCIETE],"HUGO")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HUGO'!$H:$H,'BAL N HUGO'!$I:$I,$A67,'BAL N HUGO'!$J:$J,"T")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-SUMIFS(DONNEESCUM_N1_NOUVEAU[MONTANT],DONNEESCUM_N1_NOUVEAU[TL2],A67,DONNEESCUM_N1_NOUVEAU[MOIS],DONNÉES!$C$5,DONNEESCUM_N1_NOUVEAU[SOCIETE],"HUGO")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HUGO'!$H:$H,'BAL N HUGO'!$I:$I,$A72,'BAL N HUGO'!$J:$J,"T")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-SUMIFS(DONNEESCUM_N1_NOUVEAU[MONTANT],DONNEESCUM_N1_NOUVEAU[TL2],A72,DONNEESCUM_N1_NOUVEAU[MOIS],DONNÉES!$C$5,DONNEESCUM_N1_NOUVEAU[SOCIETE],"HUGO")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HUGO'!$H:$H,'BAL N HUGO'!$I:$I,$A74,'BAL N HUGO'!$J:$J,"T")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SUMIFS(DONNEESCUM_N1_NOUVEAU[MONTANT],DONNEESCUM_N1_NOUVEAU[TL2],A74,DONNEESCUM_N1_NOUVEAU[MOIS],DONNÉES!$C$5,DONNEESCUM_N1_NOUVEAU[SOCIETE],"HUGO")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VLOOKUP(PARAMETRES!$C$2,DONNÉES!$DB$188:$DH$199,2,FALSE)</f>
        <v/>
      </c>
      <c r="D78" s="450" t="n"/>
      <c r="E78" s="449" t="n"/>
      <c r="F78" s="450" t="n"/>
      <c r="G78" s="454" t="n"/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VLOOKUP(PARAMETRES!$C$2,DONNÉES!$DB$284:$DH$295,2,FALSE)</f>
        <v/>
      </c>
      <c r="D80" s="450" t="n"/>
      <c r="E80" s="453" t="n"/>
      <c r="F80" s="450" t="n"/>
      <c r="G80" s="454" t="n"/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96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topLeftCell="A31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97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53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hidden="1" width="12.5703125" customWidth="1" style="20" min="5" max="5"/>
    <col hidden="1" width="8.5703125" customWidth="1" style="21" min="6" max="6"/>
    <col hidden="1" width="12.5703125" customWidth="1" style="20" min="7" max="7"/>
    <col hidden="1"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JEANCLO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JEANCLO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JEANCLO'!$H:$H,'BAL N JEANCLO'!$I:$I,$A8,'BAL N JEANCLO'!$J:$J,"T")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-SUMIFS(DONNEESCUM_N1_NOUVEAU[MONTANT],DONNEESCUM_N1_NOUVEAU[TL2],A8,DONNEESCUM_N1_NOUVEAU[MOIS],DONNÉES!$C$5,DONNEESCUM_N1_NOUVEAU[SOCIETE],"JEANCLO")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JEANCLO'!$H:$H,'BAL N JEANCLO'!$I:$I,$A10,'BAL N JEANCLO'!$J:$J,"T")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SUMIFS(DONNEESCUM_N1_NOUVEAU[MONTANT],DONNEESCUM_N1_NOUVEAU[TL2],A10,DONNEESCUM_N1_NOUVEAU[MOIS],DONNÉES!$C$5,DONNEESCUM_N1_NOUVEAU[SOCIETE],"JEANCLO")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JEANCLO'!$H:$H,'BAL N JEANCLO'!$I:$I,$A11,'BAL N JEANCLO'!$J:$J,"T")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SUMIFS(DONNEESCUM_N1_NOUVEAU[MONTANT],DONNEESCUM_N1_NOUVEAU[TL2],A11,DONNEESCUM_N1_NOUVEAU[MOIS],DONNÉES!$C$5,DONNEESCUM_N1_NOUVEAU[SOCIETE],"JEANCLO")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JEANCLO'!$H:$H,'BAL N JEANCLO'!$I:$I,$A12,'BAL N JEANCLO'!$J:$J,"T")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SUMIFS(DONNEESCUM_N1_NOUVEAU[MONTANT],DONNEESCUM_N1_NOUVEAU[TL2],A12,DONNEESCUM_N1_NOUVEAU[MOIS],DONNÉES!$C$5,DONNEESCUM_N1_NOUVEAU[SOCIETE],"JEANCLO")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JEANCLO'!$H:$H,'BAL N JEANCLO'!$I:$I,$A14,'BAL N JEANCLO'!$J:$J,"T")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SUMIFS(DONNEESCUM_N1_NOUVEAU[MONTANT],DONNEESCUM_N1_NOUVEAU[TL2],A14,DONNEESCUM_N1_NOUVEAU[MOIS],DONNÉES!$C$5,DONNEESCUM_N1_NOUVEAU[SOCIETE],"JEANCLO")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JEANCLO'!$H:$H,'BAL N JEANCLO'!$I:$I,$A15,'BAL N JEANCLO'!$J:$J,"T")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SUMIFS(DONNEESCUM_N1_NOUVEAU[MONTANT],DONNEESCUM_N1_NOUVEAU[TL2],A15,DONNEESCUM_N1_NOUVEAU[MOIS],DONNÉES!$C$5,DONNEESCUM_N1_NOUVEAU[SOCIETE],"JEANCLO")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JEANCLO'!$H:$H,'BAL N JEANCLO'!$I:$I,$A20,'BAL N JEANCLO'!$J:$J,"T")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SUMIFS(DONNEESCUM_N1_NOUVEAU[MONTANT],DONNEESCUM_N1_NOUVEAU[TL2],A20,DONNEESCUM_N1_NOUVEAU[MOIS],DONNÉES!$C$5,DONNEESCUM_N1_NOUVEAU[SOCIETE],"JEANCLO")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JEANCLO'!$H:$H,'BAL N JEANCLO'!$I:$I,$A21,'BAL N JEANCLO'!$J:$J,"T")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SUMIFS(DONNEESCUM_N1_NOUVEAU[MONTANT],DONNEESCUM_N1_NOUVEAU[TL2],A21,DONNEESCUM_N1_NOUVEAU[MOIS],DONNÉES!$C$5,DONNEESCUM_N1_NOUVEAU[SOCIETE],"JEANCLO")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JEANCLO'!$H:$H,'BAL N JEANCLO'!$I:$I,$A22,'BAL N JEANCLO'!$J:$J,"T")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SUMIFS(DONNEESCUM_N1_NOUVEAU[MONTANT],DONNEESCUM_N1_NOUVEAU[TL2],A22,DONNEESCUM_N1_NOUVEAU[MOIS],DONNÉES!$C$5,DONNEESCUM_N1_NOUVEAU[SOCIETE],"JEANCLO")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JEANCLO'!$H:$H,'BAL N JEANCLO'!$I:$I,$A23,'BAL N JEANCLO'!$J:$J,"T")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SUMIFS(DONNEESCUM_N1_NOUVEAU[MONTANT],DONNEESCUM_N1_NOUVEAU[TL2],A23,DONNEESCUM_N1_NOUVEAU[MOIS],DONNÉES!$C$5,DONNEESCUM_N1_NOUVEAU[SOCIETE],"JEANCLO")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JEANCLO'!$H:$H,'BAL N JEANCLO'!$I:$I,$A24,'BAL N JEANCLO'!$J:$J,"T")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SUMIFS(DONNEESCUM_N1_NOUVEAU[MONTANT],DONNEESCUM_N1_NOUVEAU[TL2],A24,DONNEESCUM_N1_NOUVEAU[MOIS],DONNÉES!$C$5,DONNEESCUM_N1_NOUVEAU[SOCIETE],"JEANCLO")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JEANCLO'!$H:$H,'BAL N JEANCLO'!$I:$I,$A25,'BAL N JEANCLO'!$J:$J,"T")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SUMIFS(DONNEESCUM_N1_NOUVEAU[MONTANT],DONNEESCUM_N1_NOUVEAU[TL2],A25,DONNEESCUM_N1_NOUVEAU[MOIS],DONNÉES!$C$5,DONNEESCUM_N1_NOUVEAU[SOCIETE],"JEANCLO")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JEANCLO'!$H:$H,'BAL N JEANCLO'!$I:$I,$A28,'BAL N JEANCLO'!$J:$J,"T")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SUMIFS(DONNEESCUM_N1_NOUVEAU[MONTANT],DONNEESCUM_N1_NOUVEAU[TL2],A28,DONNEESCUM_N1_NOUVEAU[MOIS],DONNÉES!$C$5,DONNEESCUM_N1_NOUVEAU[SOCIETE],"JEANCLO")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JEANCLO'!$H:$H,'BAL N JEANCLO'!$I:$I,$A29,'BAL N JEANCLO'!$J:$J,"T")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SUMIFS(DONNEESCUM_N1_NOUVEAU[MONTANT],DONNEESCUM_N1_NOUVEAU[TL2],A29,DONNEESCUM_N1_NOUVEAU[MOIS],DONNÉES!$C$5,DONNEESCUM_N1_NOUVEAU[SOCIETE],"JEANCLO")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JEANCLO'!$H:$H,'BAL N JEANCLO'!$I:$I,$A30,'BAL N JEANCLO'!$J:$J,"T")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SUMIFS(DONNEESCUM_N1_NOUVEAU[MONTANT],DONNEESCUM_N1_NOUVEAU[TL2],A30,DONNEESCUM_N1_NOUVEAU[MOIS],DONNÉES!$C$5,DONNEESCUM_N1_NOUVEAU[SOCIETE],"JEANCLO")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JEANCLO'!$H:$H,'BAL N JEANCLO'!$I:$I,$A31,'BAL N JEANCLO'!$J:$J,"T")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SUMIFS(DONNEESCUM_N1_NOUVEAU[MONTANT],DONNEESCUM_N1_NOUVEAU[TL2],A31,DONNEESCUM_N1_NOUVEAU[MOIS],DONNÉES!$C$5,DONNEESCUM_N1_NOUVEAU[SOCIETE],"JEANCLO")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JEANCLO'!$H:$H,'BAL N JEANCLO'!$I:$I,$A32,'BAL N JEANCLO'!$J:$J,"T")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SUMIFS(DONNEESCUM_N1_NOUVEAU[MONTANT],DONNEESCUM_N1_NOUVEAU[TL2],A32,DONNEESCUM_N1_NOUVEAU[MOIS],DONNÉES!$C$5,DONNEESCUM_N1_NOUVEAU[SOCIETE],"JEANCLO")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JEANCLO'!$H:$H,'BAL N JEANCLO'!$I:$I,$A35,'BAL N JEANCLO'!$J:$J,"T")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SUMIFS(DONNEESCUM_N1_NOUVEAU[MONTANT],DONNEESCUM_N1_NOUVEAU[TL2],A35,DONNEESCUM_N1_NOUVEAU[MOIS],DONNÉES!$C$5,DONNEESCUM_N1_NOUVEAU[SOCIETE],"JEANCLO")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JEANCLO'!$H:$H,'BAL N JEANCLO'!$I:$I,$A36,'BAL N JEANCLO'!$J:$J,"T")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SUMIFS(DONNEESCUM_N1_NOUVEAU[MONTANT],DONNEESCUM_N1_NOUVEAU[TL2],A36,DONNEESCUM_N1_NOUVEAU[MOIS],DONNÉES!$C$5,DONNEESCUM_N1_NOUVEAU[SOCIETE],"JEANCLO")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JEANCLO'!$H:$H,'BAL N JEANCLO'!$I:$I,$A37,'BAL N JEANCLO'!$J:$J,"T")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SUMIFS(DONNEESCUM_N1_NOUVEAU[MONTANT],DONNEESCUM_N1_NOUVEAU[TL2],A37,DONNEESCUM_N1_NOUVEAU[MOIS],DONNÉES!$C$5,DONNEESCUM_N1_NOUVEAU[SOCIETE],"JEANCLO")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JEANCLO'!$H:$H,'BAL N JEANCLO'!$I:$I,$A38,'BAL N JEANCLO'!$J:$J,"T")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SUMIFS(DONNEESCUM_N1_NOUVEAU[MONTANT],DONNEESCUM_N1_NOUVEAU[TL2],A38,DONNEESCUM_N1_NOUVEAU[MOIS],DONNÉES!$C$5,DONNEESCUM_N1_NOUVEAU[SOCIETE],"JEANCLO")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JEANCLO'!$H:$H,'BAL N JEANCLO'!$I:$I,$A39,'BAL N JEANCLO'!$J:$J,"T")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SUMIFS(DONNEESCUM_N1_NOUVEAU[MONTANT],DONNEESCUM_N1_NOUVEAU[TL2],A39,DONNEESCUM_N1_NOUVEAU[MOIS],DONNÉES!$C$5,DONNEESCUM_N1_NOUVEAU[SOCIETE],"JEANCLO")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JEANCLO'!$H:$H,'BAL N JEANCLO'!$I:$I,$A40,'BAL N JEANCLO'!$J:$J,"T")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SUMIFS(DONNEESCUM_N1_NOUVEAU[MONTANT],DONNEESCUM_N1_NOUVEAU[TL2],A40,DONNEESCUM_N1_NOUVEAU[MOIS],DONNÉES!$C$5,DONNEESCUM_N1_NOUVEAU[SOCIETE],"JEANCLO")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JEANCLO'!$H:$H,'BAL N JEANCLO'!$I:$I,$A41,'BAL N JEANCLO'!$J:$J,"T")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SUMIFS(DONNEESCUM_N1_NOUVEAU[MONTANT],DONNEESCUM_N1_NOUVEAU[TL2],A41,DONNEESCUM_N1_NOUVEAU[MOIS],DONNÉES!$C$5,DONNEESCUM_N1_NOUVEAU[SOCIETE],"JEANCLO")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JEANCLO'!$H:$H,'BAL N JEANCLO'!$I:$I,$A46,'BAL N JEANCLO'!$J:$J,"T")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SUMIFS(DONNEESCUM_N1_NOUVEAU[MONTANT],DONNEESCUM_N1_NOUVEAU[TL2],A46,DONNEESCUM_N1_NOUVEAU[MOIS],DONNÉES!$C$5,DONNEESCUM_N1_NOUVEAU[SOCIETE],"JEANCLO")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JEANCLO'!$H:$H,'BAL N JEANCLO'!$I:$I,$A47,'BAL N JEANCLO'!$J:$J,"T")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SUMIFS(DONNEESCUM_N1_NOUVEAU[MONTANT],DONNEESCUM_N1_NOUVEAU[TL2],A47,DONNEESCUM_N1_NOUVEAU[MOIS],DONNÉES!$C$5,DONNEESCUM_N1_NOUVEAU[SOCIETE],"JEANCLO")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JEANCLO'!$H:$H,'BAL N JEANCLO'!$I:$I,$A48,'BAL N JEANCLO'!$J:$J,"T")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SUMIFS(DONNEESCUM_N1_NOUVEAU[MONTANT],DONNEESCUM_N1_NOUVEAU[TL2],A48,DONNEESCUM_N1_NOUVEAU[MOIS],DONNÉES!$C$5,DONNEESCUM_N1_NOUVEAU[SOCIETE],"JEANCLO")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JEANCLO'!$H:$H,'BAL N JEANCLO'!$I:$I,$A51,'BAL N JEANCLO'!$J:$J,"T")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SUMIFS(DONNEESCUM_N1_NOUVEAU[MONTANT],DONNEESCUM_N1_NOUVEAU[TL2],A51,DONNEESCUM_N1_NOUVEAU[MOIS],DONNÉES!$C$5,DONNEESCUM_N1_NOUVEAU[SOCIETE],"JEANCLO")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JEANCLO'!$H:$H,'BAL N JEANCLO'!$I:$I,$A52,'BAL N JEANCLO'!$J:$J,"T")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SUMIFS(DONNEESCUM_N1_NOUVEAU[MONTANT],DONNEESCUM_N1_NOUVEAU[TL2],A52,DONNEESCUM_N1_NOUVEAU[MOIS],DONNÉES!$C$5,DONNEESCUM_N1_NOUVEAU[SOCIETE],"JEANCLO")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JEANCLO'!$H:$H,'BAL N JEANCLO'!$I:$I,$A53,'BAL N JEANCLO'!$J:$J,"T")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SUMIFS(DONNEESCUM_N1_NOUVEAU[MONTANT],DONNEESCUM_N1_NOUVEAU[TL2],A53,DONNEESCUM_N1_NOUVEAU[MOIS],DONNÉES!$C$5,DONNEESCUM_N1_NOUVEAU[SOCIETE],"JEANCLO")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JEANCLO'!$H:$H,'BAL N JEANCLO'!$I:$I,$A54,'BAL N JEANCLO'!$J:$J,"T")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SUMIFS(DONNEESCUM_N1_NOUVEAU[MONTANT],DONNEESCUM_N1_NOUVEAU[TL2],A54,DONNEESCUM_N1_NOUVEAU[MOIS],DONNÉES!$C$5,DONNEESCUM_N1_NOUVEAU[SOCIETE],"JEANCLO")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JEANCLO'!$H:$H,'BAL N JEANCLO'!$I:$I,$A55,'BAL N JEANCLO'!$J:$J,"T")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SUMIFS(DONNEESCUM_N1_NOUVEAU[MONTANT],DONNEESCUM_N1_NOUVEAU[TL2],A55,DONNEESCUM_N1_NOUVEAU[MOIS],DONNÉES!$C$5,DONNEESCUM_N1_NOUVEAU[SOCIETE],"JEANCLO")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JEANCLO'!$H:$H,'BAL N JEANCLO'!$I:$I,$A56,'BAL N JEANCLO'!$J:$J,"T")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SUMIFS(DONNEESCUM_N1_NOUVEAU[MONTANT],DONNEESCUM_N1_NOUVEAU[TL2],A56,DONNEESCUM_N1_NOUVEAU[MOIS],DONNÉES!$C$5,DONNEESCUM_N1_NOUVEAU[SOCIETE],"JEANCLO")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JEANCLO'!$H:$H,'BAL N JEANCLO'!$I:$I,$A57,'BAL N JEANCLO'!$J:$J,"T")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SUMIFS(DONNEESCUM_N1_NOUVEAU[MONTANT],DONNEESCUM_N1_NOUVEAU[TL2],A57,DONNEESCUM_N1_NOUVEAU[MOIS],DONNÉES!$C$5,DONNEESCUM_N1_NOUVEAU[SOCIETE],"JEANCLO")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JEANCLO'!$H:$H,'BAL N JEANCLO'!$I:$I,$A58,'BAL N JEANCLO'!$J:$J,"T")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SUMIFS(DONNEESCUM_N1_NOUVEAU[MONTANT],DONNEESCUM_N1_NOUVEAU[TL2],A58,DONNEESCUM_N1_NOUVEAU[MOIS],DONNÉES!$C$5,DONNEESCUM_N1_NOUVEAU[SOCIETE],"JEANCLO")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JEANCLO'!$H:$H,'BAL N JEANCLO'!$I:$I,$A63,'BAL N JEANCLO'!$J:$J,"T")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-SUMIFS(DONNEESCUM_N1_NOUVEAU[MONTANT],DONNEESCUM_N1_NOUVEAU[TL2],A63,DONNEESCUM_N1_NOUVEAU[MOIS],DONNÉES!$C$5,DONNEESCUM_N1_NOUVEAU[SOCIETE],"JEANCLO")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JEANCLO'!$H:$H,'BAL N JEANCLO'!$I:$I,$A64,'BAL N JEANCLO'!$J:$J,"T")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SUMIFS(DONNEESCUM_N1_NOUVEAU[MONTANT],DONNEESCUM_N1_NOUVEAU[TL2],A64,DONNEESCUM_N1_NOUVEAU[MOIS],DONNÉES!$C$5,DONNEESCUM_N1_NOUVEAU[SOCIETE],"JEANCLO")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JEANCLO'!$H:$H,'BAL N JEANCLO'!$I:$I,$A67,'BAL N JEANCLO'!$J:$J,"T")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-SUMIFS(DONNEESCUM_N1_NOUVEAU[MONTANT],DONNEESCUM_N1_NOUVEAU[TL2],A67,DONNEESCUM_N1_NOUVEAU[MOIS],DONNÉES!$C$5,DONNEESCUM_N1_NOUVEAU[SOCIETE],"JEANCLO")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JEANCLO'!$H:$H,'BAL N JEANCLO'!$I:$I,$A72,'BAL N JEANCLO'!$J:$J,"T")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-SUMIFS(DONNEESCUM_N1_NOUVEAU[MONTANT],DONNEESCUM_N1_NOUVEAU[TL2],A72,DONNEESCUM_N1_NOUVEAU[MOIS],DONNÉES!$C$5,DONNEESCUM_N1_NOUVEAU[SOCIETE],"JEANCLO")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JEANCLO'!$H:$H,'BAL N JEANCLO'!$I:$I,$A74,'BAL N JEANCLO'!$J:$J,"T")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SUMIFS(DONNEESCUM_N1_NOUVEAU[MONTANT],DONNEESCUM_N1_NOUVEAU[TL2],A74,DONNEESCUM_N1_NOUVEAU[MOIS],DONNÉES!$C$5,DONNEESCUM_N1_NOUVEAU[SOCIETE],"JEANCLO")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VLOOKUP(PARAMETRES!$C$2,DONNÉES!$DJ$188:$DP$199,2,FALSE)</f>
        <v/>
      </c>
      <c r="D78" s="450" t="n"/>
      <c r="E78" s="449" t="n"/>
      <c r="F78" s="450" t="n"/>
      <c r="G78" s="454" t="n"/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VLOOKUP(PARAMETRES!$C$2,DONNÉES!$DJ$284:$DP$295,2,FALSE)</f>
        <v/>
      </c>
      <c r="D80" s="450" t="n"/>
      <c r="E80" s="453" t="n"/>
      <c r="F80" s="450" t="n"/>
      <c r="G80" s="454" t="n"/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98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99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hidden="1" width="12.5703125" customWidth="1" style="20" min="5" max="5"/>
    <col hidden="1" width="8.5703125" customWidth="1" style="21" min="6" max="6"/>
    <col hidden="1" width="12.5703125" customWidth="1" style="20" min="7" max="7"/>
    <col hidden="1"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THOMAS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THOMAS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THOMAS'!$H:$H,'BAL N THOMAS'!$I:$I,$A8,'BAL N THOMAS'!$J:$J,"T")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-SUMIFS(DONNEESCUM_N1_NOUVEAU[MONTANT],DONNEESCUM_N1_NOUVEAU[TL2],A8,DONNEESCUM_N1_NOUVEAU[MOIS],DONNÉES!$C$5,DONNEESCUM_N1_NOUVEAU[SOCIETE],"THOMAS")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THOMAS'!$H:$H,'BAL N THOMAS'!$I:$I,$A10,'BAL N THOMAS'!$J:$J,"T")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SUMIFS(DONNEESCUM_N1_NOUVEAU[MONTANT],DONNEESCUM_N1_NOUVEAU[TL2],A10,DONNEESCUM_N1_NOUVEAU[MOIS],DONNÉES!$C$5,DONNEESCUM_N1_NOUVEAU[SOCIETE],"THOMAS")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THOMAS'!$H:$H,'BAL N THOMAS'!$I:$I,$A11,'BAL N THOMAS'!$J:$J,"T")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SUMIFS(DONNEESCUM_N1_NOUVEAU[MONTANT],DONNEESCUM_N1_NOUVEAU[TL2],A11,DONNEESCUM_N1_NOUVEAU[MOIS],DONNÉES!$C$5,DONNEESCUM_N1_NOUVEAU[SOCIETE],"THOMAS")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THOMAS'!$H:$H,'BAL N THOMAS'!$I:$I,$A12,'BAL N THOMAS'!$J:$J,"T")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SUMIFS(DONNEESCUM_N1_NOUVEAU[MONTANT],DONNEESCUM_N1_NOUVEAU[TL2],A12,DONNEESCUM_N1_NOUVEAU[MOIS],DONNÉES!$C$5,DONNEESCUM_N1_NOUVEAU[SOCIETE],"THOMAS")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THOMAS'!$H:$H,'BAL N THOMAS'!$I:$I,$A14,'BAL N THOMAS'!$J:$J,"T")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SUMIFS(DONNEESCUM_N1_NOUVEAU[MONTANT],DONNEESCUM_N1_NOUVEAU[TL2],A14,DONNEESCUM_N1_NOUVEAU[MOIS],DONNÉES!$C$5,DONNEESCUM_N1_NOUVEAU[SOCIETE],"THOMAS")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THOMAS'!$H:$H,'BAL N THOMAS'!$I:$I,$A15,'BAL N THOMAS'!$J:$J,"T")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SUMIFS(DONNEESCUM_N1_NOUVEAU[MONTANT],DONNEESCUM_N1_NOUVEAU[TL2],A15,DONNEESCUM_N1_NOUVEAU[MOIS],DONNÉES!$C$5,DONNEESCUM_N1_NOUVEAU[SOCIETE],"THOMAS")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THOMAS'!$H:$H,'BAL N THOMAS'!$I:$I,$A20,'BAL N THOMAS'!$J:$J,"T")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SUMIFS(DONNEESCUM_N1_NOUVEAU[MONTANT],DONNEESCUM_N1_NOUVEAU[TL2],A20,DONNEESCUM_N1_NOUVEAU[MOIS],DONNÉES!$C$5,DONNEESCUM_N1_NOUVEAU[SOCIETE],"THOMAS")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THOMAS'!$H:$H,'BAL N THOMAS'!$I:$I,$A21,'BAL N THOMAS'!$J:$J,"T")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SUMIFS(DONNEESCUM_N1_NOUVEAU[MONTANT],DONNEESCUM_N1_NOUVEAU[TL2],A21,DONNEESCUM_N1_NOUVEAU[MOIS],DONNÉES!$C$5,DONNEESCUM_N1_NOUVEAU[SOCIETE],"THOMAS")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THOMAS'!$H:$H,'BAL N THOMAS'!$I:$I,$A22,'BAL N THOMAS'!$J:$J,"T")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SUMIFS(DONNEESCUM_N1_NOUVEAU[MONTANT],DONNEESCUM_N1_NOUVEAU[TL2],A22,DONNEESCUM_N1_NOUVEAU[MOIS],DONNÉES!$C$5,DONNEESCUM_N1_NOUVEAU[SOCIETE],"THOMAS")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THOMAS'!$H:$H,'BAL N THOMAS'!$I:$I,$A23,'BAL N THOMAS'!$J:$J,"T")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SUMIFS(DONNEESCUM_N1_NOUVEAU[MONTANT],DONNEESCUM_N1_NOUVEAU[TL2],A23,DONNEESCUM_N1_NOUVEAU[MOIS],DONNÉES!$C$5,DONNEESCUM_N1_NOUVEAU[SOCIETE],"THOMAS")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THOMAS'!$H:$H,'BAL N THOMAS'!$I:$I,$A24,'BAL N THOMAS'!$J:$J,"T")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SUMIFS(DONNEESCUM_N1_NOUVEAU[MONTANT],DONNEESCUM_N1_NOUVEAU[TL2],A24,DONNEESCUM_N1_NOUVEAU[MOIS],DONNÉES!$C$5,DONNEESCUM_N1_NOUVEAU[SOCIETE],"THOMAS")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THOMAS'!$H:$H,'BAL N THOMAS'!$I:$I,$A25,'BAL N THOMAS'!$J:$J,"T")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SUMIFS(DONNEESCUM_N1_NOUVEAU[MONTANT],DONNEESCUM_N1_NOUVEAU[TL2],A25,DONNEESCUM_N1_NOUVEAU[MOIS],DONNÉES!$C$5,DONNEESCUM_N1_NOUVEAU[SOCIETE],"THOMAS")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THOMAS'!$H:$H,'BAL N THOMAS'!$I:$I,$A28,'BAL N THOMAS'!$J:$J,"T")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SUMIFS(DONNEESCUM_N1_NOUVEAU[MONTANT],DONNEESCUM_N1_NOUVEAU[TL2],A28,DONNEESCUM_N1_NOUVEAU[MOIS],DONNÉES!$C$5,DONNEESCUM_N1_NOUVEAU[SOCIETE],"THOMAS")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THOMAS'!$H:$H,'BAL N THOMAS'!$I:$I,$A29,'BAL N THOMAS'!$J:$J,"T")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SUMIFS(DONNEESCUM_N1_NOUVEAU[MONTANT],DONNEESCUM_N1_NOUVEAU[TL2],A29,DONNEESCUM_N1_NOUVEAU[MOIS],DONNÉES!$C$5,DONNEESCUM_N1_NOUVEAU[SOCIETE],"THOMAS")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THOMAS'!$H:$H,'BAL N THOMAS'!$I:$I,$A30,'BAL N THOMAS'!$J:$J,"T")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SUMIFS(DONNEESCUM_N1_NOUVEAU[MONTANT],DONNEESCUM_N1_NOUVEAU[TL2],A30,DONNEESCUM_N1_NOUVEAU[MOIS],DONNÉES!$C$5,DONNEESCUM_N1_NOUVEAU[SOCIETE],"THOMAS")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THOMAS'!$H:$H,'BAL N THOMAS'!$I:$I,$A31,'BAL N THOMAS'!$J:$J,"T")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SUMIFS(DONNEESCUM_N1_NOUVEAU[MONTANT],DONNEESCUM_N1_NOUVEAU[TL2],A31,DONNEESCUM_N1_NOUVEAU[MOIS],DONNÉES!$C$5,DONNEESCUM_N1_NOUVEAU[SOCIETE],"THOMAS")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THOMAS'!$H:$H,'BAL N THOMAS'!$I:$I,$A32,'BAL N THOMAS'!$J:$J,"T")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SUMIFS(DONNEESCUM_N1_NOUVEAU[MONTANT],DONNEESCUM_N1_NOUVEAU[TL2],A32,DONNEESCUM_N1_NOUVEAU[MOIS],DONNÉES!$C$5,DONNEESCUM_N1_NOUVEAU[SOCIETE],"THOMAS")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THOMAS'!$H:$H,'BAL N THOMAS'!$I:$I,$A35,'BAL N THOMAS'!$J:$J,"T")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SUMIFS(DONNEESCUM_N1_NOUVEAU[MONTANT],DONNEESCUM_N1_NOUVEAU[TL2],A35,DONNEESCUM_N1_NOUVEAU[MOIS],DONNÉES!$C$5,DONNEESCUM_N1_NOUVEAU[SOCIETE],"THOMAS")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THOMAS'!$H:$H,'BAL N THOMAS'!$I:$I,$A36,'BAL N THOMAS'!$J:$J,"T")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SUMIFS(DONNEESCUM_N1_NOUVEAU[MONTANT],DONNEESCUM_N1_NOUVEAU[TL2],A36,DONNEESCUM_N1_NOUVEAU[MOIS],DONNÉES!$C$5,DONNEESCUM_N1_NOUVEAU[SOCIETE],"THOMAS")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THOMAS'!$H:$H,'BAL N THOMAS'!$I:$I,$A37,'BAL N THOMAS'!$J:$J,"T")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SUMIFS(DONNEESCUM_N1_NOUVEAU[MONTANT],DONNEESCUM_N1_NOUVEAU[TL2],A37,DONNEESCUM_N1_NOUVEAU[MOIS],DONNÉES!$C$5,DONNEESCUM_N1_NOUVEAU[SOCIETE],"THOMAS")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THOMAS'!$H:$H,'BAL N THOMAS'!$I:$I,$A38,'BAL N THOMAS'!$J:$J,"T")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SUMIFS(DONNEESCUM_N1_NOUVEAU[MONTANT],DONNEESCUM_N1_NOUVEAU[TL2],A38,DONNEESCUM_N1_NOUVEAU[MOIS],DONNÉES!$C$5,DONNEESCUM_N1_NOUVEAU[SOCIETE],"THOMAS")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THOMAS'!$H:$H,'BAL N THOMAS'!$I:$I,$A39,'BAL N THOMAS'!$J:$J,"T")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SUMIFS(DONNEESCUM_N1_NOUVEAU[MONTANT],DONNEESCUM_N1_NOUVEAU[TL2],A39,DONNEESCUM_N1_NOUVEAU[MOIS],DONNÉES!$C$5,DONNEESCUM_N1_NOUVEAU[SOCIETE],"THOMAS")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THOMAS'!$H:$H,'BAL N THOMAS'!$I:$I,$A40,'BAL N THOMAS'!$J:$J,"T")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SUMIFS(DONNEESCUM_N1_NOUVEAU[MONTANT],DONNEESCUM_N1_NOUVEAU[TL2],A40,DONNEESCUM_N1_NOUVEAU[MOIS],DONNÉES!$C$5,DONNEESCUM_N1_NOUVEAU[SOCIETE],"THOMAS")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THOMAS'!$H:$H,'BAL N THOMAS'!$I:$I,$A41,'BAL N THOMAS'!$J:$J,"T")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SUMIFS(DONNEESCUM_N1_NOUVEAU[MONTANT],DONNEESCUM_N1_NOUVEAU[TL2],A41,DONNEESCUM_N1_NOUVEAU[MOIS],DONNÉES!$C$5,DONNEESCUM_N1_NOUVEAU[SOCIETE],"THOMAS")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THOMAS'!$H:$H,'BAL N THOMAS'!$I:$I,$A46,'BAL N THOMAS'!$J:$J,"T")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SUMIFS(DONNEESCUM_N1_NOUVEAU[MONTANT],DONNEESCUM_N1_NOUVEAU[TL2],A46,DONNEESCUM_N1_NOUVEAU[MOIS],DONNÉES!$C$5,DONNEESCUM_N1_NOUVEAU[SOCIETE],"THOMAS")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THOMAS'!$H:$H,'BAL N THOMAS'!$I:$I,$A47,'BAL N THOMAS'!$J:$J,"T")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SUMIFS(DONNEESCUM_N1_NOUVEAU[MONTANT],DONNEESCUM_N1_NOUVEAU[TL2],A47,DONNEESCUM_N1_NOUVEAU[MOIS],DONNÉES!$C$5,DONNEESCUM_N1_NOUVEAU[SOCIETE],"THOMAS")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THOMAS'!$H:$H,'BAL N THOMAS'!$I:$I,$A48,'BAL N THOMAS'!$J:$J,"T")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SUMIFS(DONNEESCUM_N1_NOUVEAU[MONTANT],DONNEESCUM_N1_NOUVEAU[TL2],A48,DONNEESCUM_N1_NOUVEAU[MOIS],DONNÉES!$C$5,DONNEESCUM_N1_NOUVEAU[SOCIETE],"THOMAS")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THOMAS'!$H:$H,'BAL N THOMAS'!$I:$I,$A51,'BAL N THOMAS'!$J:$J,"T")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SUMIFS(DONNEESCUM_N1_NOUVEAU[MONTANT],DONNEESCUM_N1_NOUVEAU[TL2],A51,DONNEESCUM_N1_NOUVEAU[MOIS],DONNÉES!$C$5,DONNEESCUM_N1_NOUVEAU[SOCIETE],"THOMAS")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THOMAS'!$H:$H,'BAL N THOMAS'!$I:$I,$A52,'BAL N THOMAS'!$J:$J,"T")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SUMIFS(DONNEESCUM_N1_NOUVEAU[MONTANT],DONNEESCUM_N1_NOUVEAU[TL2],A52,DONNEESCUM_N1_NOUVEAU[MOIS],DONNÉES!$C$5,DONNEESCUM_N1_NOUVEAU[SOCIETE],"THOMAS")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THOMAS'!$H:$H,'BAL N THOMAS'!$I:$I,$A53,'BAL N THOMAS'!$J:$J,"T")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SUMIFS(DONNEESCUM_N1_NOUVEAU[MONTANT],DONNEESCUM_N1_NOUVEAU[TL2],A53,DONNEESCUM_N1_NOUVEAU[MOIS],DONNÉES!$C$5,DONNEESCUM_N1_NOUVEAU[SOCIETE],"THOMAS")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THOMAS'!$H:$H,'BAL N THOMAS'!$I:$I,$A54,'BAL N THOMAS'!$J:$J,"T")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SUMIFS(DONNEESCUM_N1_NOUVEAU[MONTANT],DONNEESCUM_N1_NOUVEAU[TL2],A54,DONNEESCUM_N1_NOUVEAU[MOIS],DONNÉES!$C$5,DONNEESCUM_N1_NOUVEAU[SOCIETE],"THOMAS")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THOMAS'!$H:$H,'BAL N THOMAS'!$I:$I,$A55,'BAL N THOMAS'!$J:$J,"T")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SUMIFS(DONNEESCUM_N1_NOUVEAU[MONTANT],DONNEESCUM_N1_NOUVEAU[TL2],A55,DONNEESCUM_N1_NOUVEAU[MOIS],DONNÉES!$C$5,DONNEESCUM_N1_NOUVEAU[SOCIETE],"THOMAS")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THOMAS'!$H:$H,'BAL N THOMAS'!$I:$I,$A56,'BAL N THOMAS'!$J:$J,"T")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SUMIFS(DONNEESCUM_N1_NOUVEAU[MONTANT],DONNEESCUM_N1_NOUVEAU[TL2],A56,DONNEESCUM_N1_NOUVEAU[MOIS],DONNÉES!$C$5,DONNEESCUM_N1_NOUVEAU[SOCIETE],"THOMAS")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THOMAS'!$H:$H,'BAL N THOMAS'!$I:$I,$A57,'BAL N THOMAS'!$J:$J,"T")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SUMIFS(DONNEESCUM_N1_NOUVEAU[MONTANT],DONNEESCUM_N1_NOUVEAU[TL2],A57,DONNEESCUM_N1_NOUVEAU[MOIS],DONNÉES!$C$5,DONNEESCUM_N1_NOUVEAU[SOCIETE],"THOMAS")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THOMAS'!$H:$H,'BAL N THOMAS'!$I:$I,$A58,'BAL N THOMAS'!$J:$J,"T")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SUMIFS(DONNEESCUM_N1_NOUVEAU[MONTANT],DONNEESCUM_N1_NOUVEAU[TL2],A58,DONNEESCUM_N1_NOUVEAU[MOIS],DONNÉES!$C$5,DONNEESCUM_N1_NOUVEAU[SOCIETE],"THOMAS")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THOMAS'!$H:$H,'BAL N THOMAS'!$I:$I,$A63,'BAL N THOMAS'!$J:$J,"T")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-SUMIFS(DONNEESCUM_N1_NOUVEAU[MONTANT],DONNEESCUM_N1_NOUVEAU[TL2],A63,DONNEESCUM_N1_NOUVEAU[MOIS],DONNÉES!$C$5,DONNEESCUM_N1_NOUVEAU[SOCIETE],"THOMAS")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THOMAS'!$H:$H,'BAL N THOMAS'!$I:$I,$A64,'BAL N THOMAS'!$J:$J,"T")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SUMIFS(DONNEESCUM_N1_NOUVEAU[MONTANT],DONNEESCUM_N1_NOUVEAU[TL2],A64,DONNEESCUM_N1_NOUVEAU[MOIS],DONNÉES!$C$5,DONNEESCUM_N1_NOUVEAU[SOCIETE],"THOMAS")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THOMAS'!$H:$H,'BAL N THOMAS'!$I:$I,$A67,'BAL N THOMAS'!$J:$J,"T")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-SUMIFS(DONNEESCUM_N1_NOUVEAU[MONTANT],DONNEESCUM_N1_NOUVEAU[TL2],A67,DONNEESCUM_N1_NOUVEAU[MOIS],DONNÉES!$C$5,DONNEESCUM_N1_NOUVEAU[SOCIETE],"THOMAS")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THOMAS'!$H:$H,'BAL N THOMAS'!$I:$I,$A72,'BAL N THOMAS'!$J:$J,"T")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-SUMIFS(DONNEESCUM_N1_NOUVEAU[MONTANT],DONNEESCUM_N1_NOUVEAU[TL2],A72,DONNEESCUM_N1_NOUVEAU[MOIS],DONNÉES!$C$5,DONNEESCUM_N1_NOUVEAU[SOCIETE],"THOMAS")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THOMAS'!$H:$H,'BAL N THOMAS'!$I:$I,$A74,'BAL N THOMAS'!$J:$J,"T")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SUMIFS(DONNEESCUM_N1_NOUVEAU[MONTANT],DONNEESCUM_N1_NOUVEAU[TL2],A74,DONNEESCUM_N1_NOUVEAU[MOIS],DONNÉES!$C$5,DONNEESCUM_N1_NOUVEAU[SOCIETE],"THOMAS")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VLOOKUP(PARAMETRES!$C$2,DONNÉES!$DR$188:$DX$199,2,FALSE)</f>
        <v/>
      </c>
      <c r="D78" s="450" t="n"/>
      <c r="E78" s="449" t="n"/>
      <c r="F78" s="450" t="n"/>
      <c r="G78" s="454" t="n"/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VLOOKUP(PARAMETRES!$C$2,DONNÉES!$DR$284:$DX$295,2,FALSE)</f>
        <v/>
      </c>
      <c r="D80" s="450" t="n"/>
      <c r="E80" s="453" t="n"/>
      <c r="F80" s="450" t="n"/>
      <c r="G80" s="454" t="n"/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100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topLeftCell="A28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101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1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hidden="1" width="12.5703125" customWidth="1" style="20" min="5" max="5"/>
    <col hidden="1" width="8.5703125" customWidth="1" style="21" min="6" max="6"/>
    <col hidden="1" width="12.5703125" customWidth="1" style="20" min="7" max="7"/>
    <col hidden="1"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CATALINA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CATALINA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CATALINA'!$H:$H,'BAL N CATALINA'!$I:$I,$A8,'BAL N CATALINA'!$J:$J,"T")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-SUMIFS(DONNEESCUM_N1_NOUVEAU[MONTANT],DONNEESCUM_N1_NOUVEAU[TL2],A8,DONNEESCUM_N1_NOUVEAU[MOIS],DONNÉES!$C$5,DONNEESCUM_N1_NOUVEAU[SOCIETE],"CATALINA")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CATALINA'!$H:$H,'BAL N CATALINA'!$I:$I,$A10,'BAL N CATALINA'!$J:$J,"T")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SUMIFS(DONNEESCUM_N1_NOUVEAU[MONTANT],DONNEESCUM_N1_NOUVEAU[TL2],A10,DONNEESCUM_N1_NOUVEAU[MOIS],DONNÉES!$C$5,DONNEESCUM_N1_NOUVEAU[SOCIETE],"CATALINA")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CATALINA'!$H:$H,'BAL N CATALINA'!$I:$I,$A11,'BAL N CATALINA'!$J:$J,"T")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SUMIFS(DONNEESCUM_N1_NOUVEAU[MONTANT],DONNEESCUM_N1_NOUVEAU[TL2],A11,DONNEESCUM_N1_NOUVEAU[MOIS],DONNÉES!$C$5,DONNEESCUM_N1_NOUVEAU[SOCIETE],"CATALINA")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CATALINA'!$H:$H,'BAL N CATALINA'!$I:$I,$A12,'BAL N CATALINA'!$J:$J,"T")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SUMIFS(DONNEESCUM_N1_NOUVEAU[MONTANT],DONNEESCUM_N1_NOUVEAU[TL2],A12,DONNEESCUM_N1_NOUVEAU[MOIS],DONNÉES!$C$5,DONNEESCUM_N1_NOUVEAU[SOCIETE],"CATALINA")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CATALINA'!$H:$H,'BAL N CATALINA'!$I:$I,$A14,'BAL N CATALINA'!$J:$J,"T")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SUMIFS(DONNEESCUM_N1_NOUVEAU[MONTANT],DONNEESCUM_N1_NOUVEAU[TL2],A14,DONNEESCUM_N1_NOUVEAU[MOIS],DONNÉES!$C$5,DONNEESCUM_N1_NOUVEAU[SOCIETE],"CATALINA")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CATALINA'!$H:$H,'BAL N CATALINA'!$I:$I,$A15,'BAL N CATALINA'!$J:$J,"T")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SUMIFS(DONNEESCUM_N1_NOUVEAU[MONTANT],DONNEESCUM_N1_NOUVEAU[TL2],A15,DONNEESCUM_N1_NOUVEAU[MOIS],DONNÉES!$C$5,DONNEESCUM_N1_NOUVEAU[SOCIETE],"CATALINA")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CATALINA'!$H:$H,'BAL N CATALINA'!$I:$I,$A20,'BAL N CATALINA'!$J:$J,"T")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SUMIFS(DONNEESCUM_N1_NOUVEAU[MONTANT],DONNEESCUM_N1_NOUVEAU[TL2],A20,DONNEESCUM_N1_NOUVEAU[MOIS],DONNÉES!$C$5,DONNEESCUM_N1_NOUVEAU[SOCIETE],"CATALINA")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CATALINA'!$H:$H,'BAL N CATALINA'!$I:$I,$A21,'BAL N CATALINA'!$J:$J,"T")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SUMIFS(DONNEESCUM_N1_NOUVEAU[MONTANT],DONNEESCUM_N1_NOUVEAU[TL2],A21,DONNEESCUM_N1_NOUVEAU[MOIS],DONNÉES!$C$5,DONNEESCUM_N1_NOUVEAU[SOCIETE],"CATALINA")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CATALINA'!$H:$H,'BAL N CATALINA'!$I:$I,$A22,'BAL N CATALINA'!$J:$J,"T")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SUMIFS(DONNEESCUM_N1_NOUVEAU[MONTANT],DONNEESCUM_N1_NOUVEAU[TL2],A22,DONNEESCUM_N1_NOUVEAU[MOIS],DONNÉES!$C$5,DONNEESCUM_N1_NOUVEAU[SOCIETE],"CATALINA")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CATALINA'!$H:$H,'BAL N CATALINA'!$I:$I,$A23,'BAL N CATALINA'!$J:$J,"T")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SUMIFS(DONNEESCUM_N1_NOUVEAU[MONTANT],DONNEESCUM_N1_NOUVEAU[TL2],A23,DONNEESCUM_N1_NOUVEAU[MOIS],DONNÉES!$C$5,DONNEESCUM_N1_NOUVEAU[SOCIETE],"CATALINA")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CATALINA'!$H:$H,'BAL N CATALINA'!$I:$I,$A24,'BAL N CATALINA'!$J:$J,"T")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SUMIFS(DONNEESCUM_N1_NOUVEAU[MONTANT],DONNEESCUM_N1_NOUVEAU[TL2],A24,DONNEESCUM_N1_NOUVEAU[MOIS],DONNÉES!$C$5,DONNEESCUM_N1_NOUVEAU[SOCIETE],"CATALINA")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CATALINA'!$H:$H,'BAL N CATALINA'!$I:$I,$A25,'BAL N CATALINA'!$J:$J,"T")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SUMIFS(DONNEESCUM_N1_NOUVEAU[MONTANT],DONNEESCUM_N1_NOUVEAU[TL2],A25,DONNEESCUM_N1_NOUVEAU[MOIS],DONNÉES!$C$5,DONNEESCUM_N1_NOUVEAU[SOCIETE],"CATALINA")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CATALINA'!$H:$H,'BAL N CATALINA'!$I:$I,$A28,'BAL N CATALINA'!$J:$J,"T")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SUMIFS(DONNEESCUM_N1_NOUVEAU[MONTANT],DONNEESCUM_N1_NOUVEAU[TL2],A28,DONNEESCUM_N1_NOUVEAU[MOIS],DONNÉES!$C$5,DONNEESCUM_N1_NOUVEAU[SOCIETE],"CATALINA")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CATALINA'!$H:$H,'BAL N CATALINA'!$I:$I,$A29,'BAL N CATALINA'!$J:$J,"T")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SUMIFS(DONNEESCUM_N1_NOUVEAU[MONTANT],DONNEESCUM_N1_NOUVEAU[TL2],A29,DONNEESCUM_N1_NOUVEAU[MOIS],DONNÉES!$C$5,DONNEESCUM_N1_NOUVEAU[SOCIETE],"CATALINA")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CATALINA'!$H:$H,'BAL N CATALINA'!$I:$I,$A30,'BAL N CATALINA'!$J:$J,"T")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SUMIFS(DONNEESCUM_N1_NOUVEAU[MONTANT],DONNEESCUM_N1_NOUVEAU[TL2],A30,DONNEESCUM_N1_NOUVEAU[MOIS],DONNÉES!$C$5,DONNEESCUM_N1_NOUVEAU[SOCIETE],"CATALINA")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CATALINA'!$H:$H,'BAL N CATALINA'!$I:$I,$A31,'BAL N CATALINA'!$J:$J,"T")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SUMIFS(DONNEESCUM_N1_NOUVEAU[MONTANT],DONNEESCUM_N1_NOUVEAU[TL2],A31,DONNEESCUM_N1_NOUVEAU[MOIS],DONNÉES!$C$5,DONNEESCUM_N1_NOUVEAU[SOCIETE],"CATALINA")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CATALINA'!$H:$H,'BAL N CATALINA'!$I:$I,$A32,'BAL N CATALINA'!$J:$J,"T")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SUMIFS(DONNEESCUM_N1_NOUVEAU[MONTANT],DONNEESCUM_N1_NOUVEAU[TL2],A32,DONNEESCUM_N1_NOUVEAU[MOIS],DONNÉES!$C$5,DONNEESCUM_N1_NOUVEAU[SOCIETE],"CATALINA")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CATALINA'!$H:$H,'BAL N CATALINA'!$I:$I,$A35,'BAL N CATALINA'!$J:$J,"T")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SUMIFS(DONNEESCUM_N1_NOUVEAU[MONTANT],DONNEESCUM_N1_NOUVEAU[TL2],A35,DONNEESCUM_N1_NOUVEAU[MOIS],DONNÉES!$C$5,DONNEESCUM_N1_NOUVEAU[SOCIETE],"CATALINA")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CATALINA'!$H:$H,'BAL N CATALINA'!$I:$I,$A36,'BAL N CATALINA'!$J:$J,"T")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SUMIFS(DONNEESCUM_N1_NOUVEAU[MONTANT],DONNEESCUM_N1_NOUVEAU[TL2],A36,DONNEESCUM_N1_NOUVEAU[MOIS],DONNÉES!$C$5,DONNEESCUM_N1_NOUVEAU[SOCIETE],"CATALINA")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CATALINA'!$H:$H,'BAL N CATALINA'!$I:$I,$A37,'BAL N CATALINA'!$J:$J,"T")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SUMIFS(DONNEESCUM_N1_NOUVEAU[MONTANT],DONNEESCUM_N1_NOUVEAU[TL2],A37,DONNEESCUM_N1_NOUVEAU[MOIS],DONNÉES!$C$5,DONNEESCUM_N1_NOUVEAU[SOCIETE],"CATALINA")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CATALINA'!$H:$H,'BAL N CATALINA'!$I:$I,$A38,'BAL N CATALINA'!$J:$J,"T")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SUMIFS(DONNEESCUM_N1_NOUVEAU[MONTANT],DONNEESCUM_N1_NOUVEAU[TL2],A38,DONNEESCUM_N1_NOUVEAU[MOIS],DONNÉES!$C$5,DONNEESCUM_N1_NOUVEAU[SOCIETE],"CATALINA")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CATALINA'!$H:$H,'BAL N CATALINA'!$I:$I,$A39,'BAL N CATALINA'!$J:$J,"T")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SUMIFS(DONNEESCUM_N1_NOUVEAU[MONTANT],DONNEESCUM_N1_NOUVEAU[TL2],A39,DONNEESCUM_N1_NOUVEAU[MOIS],DONNÉES!$C$5,DONNEESCUM_N1_NOUVEAU[SOCIETE],"CATALINA")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CATALINA'!$H:$H,'BAL N CATALINA'!$I:$I,$A40,'BAL N CATALINA'!$J:$J,"T")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SUMIFS(DONNEESCUM_N1_NOUVEAU[MONTANT],DONNEESCUM_N1_NOUVEAU[TL2],A40,DONNEESCUM_N1_NOUVEAU[MOIS],DONNÉES!$C$5,DONNEESCUM_N1_NOUVEAU[SOCIETE],"CATALINA")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CATALINA'!$H:$H,'BAL N CATALINA'!$I:$I,$A41,'BAL N CATALINA'!$J:$J,"T")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SUMIFS(DONNEESCUM_N1_NOUVEAU[MONTANT],DONNEESCUM_N1_NOUVEAU[TL2],A41,DONNEESCUM_N1_NOUVEAU[MOIS],DONNÉES!$C$5,DONNEESCUM_N1_NOUVEAU[SOCIETE],"CATALINA")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CATALINA'!$H:$H,'BAL N CATALINA'!$I:$I,$A46,'BAL N CATALINA'!$J:$J,"T")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SUMIFS(DONNEESCUM_N1_NOUVEAU[MONTANT],DONNEESCUM_N1_NOUVEAU[TL2],A46,DONNEESCUM_N1_NOUVEAU[MOIS],DONNÉES!$C$5,DONNEESCUM_N1_NOUVEAU[SOCIETE],"CATALINA")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CATALINA'!$H:$H,'BAL N CATALINA'!$I:$I,$A47,'BAL N CATALINA'!$J:$J,"T")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SUMIFS(DONNEESCUM_N1_NOUVEAU[MONTANT],DONNEESCUM_N1_NOUVEAU[TL2],A47,DONNEESCUM_N1_NOUVEAU[MOIS],DONNÉES!$C$5,DONNEESCUM_N1_NOUVEAU[SOCIETE],"CATALINA")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CATALINA'!$H:$H,'BAL N CATALINA'!$I:$I,$A48,'BAL N CATALINA'!$J:$J,"T")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SUMIFS(DONNEESCUM_N1_NOUVEAU[MONTANT],DONNEESCUM_N1_NOUVEAU[TL2],A48,DONNEESCUM_N1_NOUVEAU[MOIS],DONNÉES!$C$5,DONNEESCUM_N1_NOUVEAU[SOCIETE],"CATALINA")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CATALINA'!$H:$H,'BAL N CATALINA'!$I:$I,$A51,'BAL N CATALINA'!$J:$J,"T")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SUMIFS(DONNEESCUM_N1_NOUVEAU[MONTANT],DONNEESCUM_N1_NOUVEAU[TL2],A51,DONNEESCUM_N1_NOUVEAU[MOIS],DONNÉES!$C$5,DONNEESCUM_N1_NOUVEAU[SOCIETE],"CATALINA")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CATALINA'!$H:$H,'BAL N CATALINA'!$I:$I,$A52,'BAL N CATALINA'!$J:$J,"T")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SUMIFS(DONNEESCUM_N1_NOUVEAU[MONTANT],DONNEESCUM_N1_NOUVEAU[TL2],A52,DONNEESCUM_N1_NOUVEAU[MOIS],DONNÉES!$C$5,DONNEESCUM_N1_NOUVEAU[SOCIETE],"CATALINA")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CATALINA'!$H:$H,'BAL N CATALINA'!$I:$I,$A53,'BAL N CATALINA'!$J:$J,"T")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SUMIFS(DONNEESCUM_N1_NOUVEAU[MONTANT],DONNEESCUM_N1_NOUVEAU[TL2],A53,DONNEESCUM_N1_NOUVEAU[MOIS],DONNÉES!$C$5,DONNEESCUM_N1_NOUVEAU[SOCIETE],"CATALINA")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CATALINA'!$H:$H,'BAL N CATALINA'!$I:$I,$A54,'BAL N CATALINA'!$J:$J,"T")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SUMIFS(DONNEESCUM_N1_NOUVEAU[MONTANT],DONNEESCUM_N1_NOUVEAU[TL2],A54,DONNEESCUM_N1_NOUVEAU[MOIS],DONNÉES!$C$5,DONNEESCUM_N1_NOUVEAU[SOCIETE],"CATALINA")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CATALINA'!$H:$H,'BAL N CATALINA'!$I:$I,$A55,'BAL N CATALINA'!$J:$J,"T")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SUMIFS(DONNEESCUM_N1_NOUVEAU[MONTANT],DONNEESCUM_N1_NOUVEAU[TL2],A55,DONNEESCUM_N1_NOUVEAU[MOIS],DONNÉES!$C$5,DONNEESCUM_N1_NOUVEAU[SOCIETE],"CATALINA")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CATALINA'!$H:$H,'BAL N CATALINA'!$I:$I,$A56,'BAL N CATALINA'!$J:$J,"T")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SUMIFS(DONNEESCUM_N1_NOUVEAU[MONTANT],DONNEESCUM_N1_NOUVEAU[TL2],A56,DONNEESCUM_N1_NOUVEAU[MOIS],DONNÉES!$C$5,DONNEESCUM_N1_NOUVEAU[SOCIETE],"CATALINA")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CATALINA'!$H:$H,'BAL N CATALINA'!$I:$I,$A57,'BAL N CATALINA'!$J:$J,"T")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SUMIFS(DONNEESCUM_N1_NOUVEAU[MONTANT],DONNEESCUM_N1_NOUVEAU[TL2],A57,DONNEESCUM_N1_NOUVEAU[MOIS],DONNÉES!$C$5,DONNEESCUM_N1_NOUVEAU[SOCIETE],"CATALINA")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CATALINA'!$H:$H,'BAL N CATALINA'!$I:$I,$A58,'BAL N CATALINA'!$J:$J,"T")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SUMIFS(DONNEESCUM_N1_NOUVEAU[MONTANT],DONNEESCUM_N1_NOUVEAU[TL2],A58,DONNEESCUM_N1_NOUVEAU[MOIS],DONNÉES!$C$5,DONNEESCUM_N1_NOUVEAU[SOCIETE],"CATALINA")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CATALINA'!$H:$H,'BAL N CATALINA'!$I:$I,$A63,'BAL N CATALINA'!$J:$J,"T")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-SUMIFS(DONNEESCUM_N1_NOUVEAU[MONTANT],DONNEESCUM_N1_NOUVEAU[TL2],A63,DONNEESCUM_N1_NOUVEAU[MOIS],DONNÉES!$C$5,DONNEESCUM_N1_NOUVEAU[SOCIETE],"CATALINA")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CATALINA'!$H:$H,'BAL N CATALINA'!$I:$I,$A64,'BAL N CATALINA'!$J:$J,"T")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SUMIFS(DONNEESCUM_N1_NOUVEAU[MONTANT],DONNEESCUM_N1_NOUVEAU[TL2],A64,DONNEESCUM_N1_NOUVEAU[MOIS],DONNÉES!$C$5,DONNEESCUM_N1_NOUVEAU[SOCIETE],"CATALINA")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CATALINA'!$H:$H,'BAL N CATALINA'!$I:$I,$A67,'BAL N CATALINA'!$J:$J,"T")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-SUMIFS(DONNEESCUM_N1_NOUVEAU[MONTANT],DONNEESCUM_N1_NOUVEAU[TL2],A67,DONNEESCUM_N1_NOUVEAU[MOIS],DONNÉES!$C$5,DONNEESCUM_N1_NOUVEAU[SOCIETE],"CATALINA")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CATALINA'!$H:$H,'BAL N CATALINA'!$I:$I,$A72,'BAL N CATALINA'!$J:$J,"T")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-SUMIFS(DONNEESCUM_N1_NOUVEAU[MONTANT],DONNEESCUM_N1_NOUVEAU[TL2],A72,DONNEESCUM_N1_NOUVEAU[MOIS],DONNÉES!$C$5,DONNEESCUM_N1_NOUVEAU[SOCIETE],"CATALINA")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CATALINA'!$H:$H,'BAL N CATALINA'!$I:$I,$A74,'BAL N CATALINA'!$J:$J,"T")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SUMIFS(DONNEESCUM_N1_NOUVEAU[MONTANT],DONNEESCUM_N1_NOUVEAU[TL2],A74,DONNEESCUM_N1_NOUVEAU[MOIS],DONNÉES!$C$5,DONNEESCUM_N1_NOUVEAU[SOCIETE],"CATALINA")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VLOOKUP(PARAMETRES!$C$2,DONNÉES!$DZ$188:$EF$199,2,FALSE)</f>
        <v/>
      </c>
      <c r="D78" s="450" t="n"/>
      <c r="E78" s="449" t="n"/>
      <c r="F78" s="450" t="n"/>
      <c r="G78" s="454" t="n"/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VLOOKUP(PARAMETRES!$C$2,DONNÉES!$DZ$284:$EF$295,2,FALSE)</f>
        <v/>
      </c>
      <c r="D80" s="450" t="n"/>
      <c r="E80" s="453" t="n"/>
      <c r="F80" s="450" t="n"/>
      <c r="G80" s="454" t="n"/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102.xml><?xml version="1.0" encoding="utf-8"?>
<worksheet xmlns="http://schemas.openxmlformats.org/spreadsheetml/2006/main">
  <sheetPr>
    <tabColor rgb="FF92D050"/>
    <outlinePr summaryBelow="1" summaryRight="1"/>
    <pageSetUpPr fitToPage="1"/>
  </sheetPr>
  <dimension ref="A1:G3"/>
  <sheetViews>
    <sheetView zoomScaleNormal="100" zoomScaleSheetLayoutView="100" workbookViewId="0">
      <selection activeCell="G26" activeCellId="2" sqref="E16 M26 G26"/>
    </sheetView>
  </sheetViews>
  <sheetFormatPr baseColWidth="10" defaultRowHeight="12.75"/>
  <sheetData>
    <row r="1">
      <c r="A1" s="473" t="inlineStr">
        <is>
          <t>,</t>
        </is>
      </c>
    </row>
    <row r="2">
      <c r="C2" s="280" t="n"/>
      <c r="E2" s="280" t="n"/>
      <c r="G2" s="280" t="n"/>
    </row>
    <row r="3">
      <c r="C3" s="280" t="n"/>
      <c r="E3" s="280" t="n"/>
      <c r="G3" s="280" t="n"/>
    </row>
  </sheetData>
  <pageMargins left="0.7086614173228347" right="0.7086614173228347" top="0.7480314960629921" bottom="0.7480314960629921" header="0.3149606299212598" footer="0.3149606299212598"/>
  <pageSetup orientation="portrait" paperSize="9"/>
  <headerFooter>
    <oddHeader/>
    <oddFooter>&amp;C&amp;"Helv,Gras"&amp;11 &amp;K00+000Page &amp;P / &amp;N</oddFooter>
    <evenHeader/>
    <evenFooter/>
    <firstHeader/>
    <firstFooter/>
  </headerFooter>
</worksheet>
</file>

<file path=xl/worksheets/sheet103.xml><?xml version="1.0" encoding="utf-8"?>
<worksheet xmlns="http://schemas.openxmlformats.org/spreadsheetml/2006/main">
  <sheetPr>
    <tabColor rgb="FF92D050"/>
    <outlinePr summaryBelow="1" summaryRight="1"/>
    <pageSetUpPr fitToPage="1"/>
  </sheetPr>
  <dimension ref="A2:I39"/>
  <sheetViews>
    <sheetView showGridLines="0" topLeftCell="A8" zoomScaleNormal="85" zoomScaleSheetLayoutView="100" zoomScalePageLayoutView="85" workbookViewId="0">
      <selection activeCell="G26" activeCellId="2" sqref="E16 M26 G26"/>
    </sheetView>
  </sheetViews>
  <sheetFormatPr baseColWidth="10" defaultColWidth="11.42578125" defaultRowHeight="17.25"/>
  <cols>
    <col width="4.5703125" customWidth="1" style="416" min="1" max="1"/>
    <col width="13" bestFit="1" customWidth="1" style="416" min="2" max="2"/>
    <col width="11.42578125" customWidth="1" style="416" min="3" max="7"/>
    <col hidden="1" width="0.28515625" customWidth="1" style="416" min="8" max="8"/>
    <col width="11.42578125" customWidth="1" style="416" min="9" max="16384"/>
  </cols>
  <sheetData>
    <row r="2">
      <c r="C2" s="41" t="n"/>
      <c r="E2" s="41" t="n"/>
      <c r="G2" s="41" t="n"/>
    </row>
    <row r="3" ht="25.5" customFormat="1" customHeight="1" s="417">
      <c r="A3" s="418" t="n"/>
      <c r="B3" s="419" t="n"/>
      <c r="C3" s="40" t="n"/>
      <c r="D3" s="419" t="n"/>
      <c r="E3" s="40" t="n"/>
      <c r="F3" s="419" t="n"/>
      <c r="G3" s="40" t="n"/>
      <c r="H3" s="419" t="n"/>
    </row>
    <row r="4">
      <c r="A4" s="420" t="n"/>
      <c r="B4" s="421" t="n"/>
      <c r="C4" s="421" t="n"/>
      <c r="D4" s="421" t="n"/>
      <c r="E4" s="421" t="n"/>
      <c r="F4" s="421" t="n"/>
      <c r="G4" s="421" t="n"/>
      <c r="H4" s="421" t="n"/>
    </row>
    <row r="5">
      <c r="A5" s="420" t="n"/>
      <c r="B5" s="421" t="n"/>
      <c r="C5" s="422" t="n"/>
      <c r="D5" s="421" t="n"/>
      <c r="E5" s="421" t="n"/>
      <c r="F5" s="421" t="n"/>
      <c r="G5" s="421" t="n"/>
      <c r="H5" s="421" t="n"/>
    </row>
    <row r="6">
      <c r="A6" s="420" t="n"/>
      <c r="B6" s="421" t="n"/>
      <c r="C6" s="421" t="n"/>
      <c r="D6" s="421" t="n"/>
      <c r="E6" s="421" t="n"/>
      <c r="F6" s="421" t="n"/>
      <c r="G6" s="421" t="n"/>
      <c r="H6" s="421" t="n"/>
    </row>
    <row r="7">
      <c r="A7" s="420" t="n"/>
      <c r="B7" s="421" t="n"/>
      <c r="C7" s="421" t="n"/>
      <c r="D7" s="421" t="n"/>
      <c r="E7" s="421" t="n"/>
      <c r="F7" s="421" t="n"/>
      <c r="G7" s="421" t="n"/>
      <c r="H7" s="421" t="n"/>
    </row>
    <row r="8">
      <c r="A8" s="420" t="n"/>
      <c r="B8" s="421" t="n"/>
      <c r="C8" s="421" t="n"/>
      <c r="D8" s="421" t="n"/>
      <c r="E8" s="421" t="n"/>
      <c r="F8" s="421" t="n"/>
      <c r="G8" s="421" t="n"/>
      <c r="H8" s="421" t="n"/>
    </row>
    <row r="9">
      <c r="A9" s="420" t="n"/>
      <c r="B9" s="421" t="n"/>
      <c r="C9" s="421" t="n"/>
      <c r="D9" s="421" t="n"/>
      <c r="E9" s="421" t="n"/>
      <c r="F9" s="421" t="n"/>
      <c r="G9" s="421" t="n"/>
      <c r="H9" s="421" t="n"/>
    </row>
    <row r="10">
      <c r="A10" s="420" t="n"/>
      <c r="B10" s="421" t="n"/>
      <c r="C10" s="421" t="n"/>
      <c r="D10" s="421" t="n"/>
      <c r="E10" s="421" t="n"/>
      <c r="F10" s="421" t="n"/>
      <c r="G10" s="421" t="n"/>
      <c r="H10" s="421" t="n"/>
    </row>
    <row r="11">
      <c r="A11" s="421" t="n"/>
      <c r="B11" s="421" t="n"/>
      <c r="C11" s="421" t="n"/>
      <c r="D11" s="421" t="n"/>
      <c r="E11" s="421" t="n"/>
      <c r="F11" s="421" t="n"/>
      <c r="G11" s="421" t="n"/>
    </row>
    <row r="12">
      <c r="A12" s="421" t="n"/>
      <c r="B12" s="421" t="n"/>
      <c r="C12" s="421" t="n"/>
      <c r="D12" s="421" t="n"/>
      <c r="E12" s="421" t="n"/>
      <c r="F12" s="421" t="n"/>
      <c r="G12" s="421" t="n"/>
    </row>
    <row r="13">
      <c r="A13" s="421" t="n"/>
      <c r="B13" s="421" t="n"/>
      <c r="C13" s="421" t="n"/>
      <c r="D13" s="421" t="n"/>
      <c r="E13" s="421" t="n"/>
      <c r="F13" s="421" t="n"/>
      <c r="G13" s="421" t="n"/>
    </row>
    <row r="14">
      <c r="A14" s="421" t="n"/>
      <c r="B14" s="421" t="n"/>
      <c r="C14" s="421" t="n"/>
      <c r="D14" s="421" t="n"/>
      <c r="E14" s="421" t="n"/>
      <c r="F14" s="421" t="n"/>
      <c r="G14" s="421" t="n"/>
    </row>
    <row r="15">
      <c r="A15" s="421" t="n"/>
      <c r="B15" s="421" t="n"/>
      <c r="C15" s="421" t="n"/>
      <c r="D15" s="421" t="n"/>
      <c r="E15" s="421" t="n"/>
      <c r="F15" s="421" t="n"/>
      <c r="G15" s="421" t="n"/>
    </row>
    <row r="16">
      <c r="A16" s="421" t="n"/>
      <c r="B16" s="421" t="n"/>
      <c r="C16" s="421" t="n"/>
      <c r="D16" s="421" t="n"/>
      <c r="E16" s="421" t="n"/>
      <c r="F16" s="421" t="n"/>
      <c r="G16" s="421" t="n"/>
    </row>
    <row r="17">
      <c r="A17" s="421" t="n"/>
      <c r="B17" s="421" t="n"/>
      <c r="C17" s="421" t="n"/>
      <c r="D17" s="421" t="n"/>
      <c r="E17" s="421" t="n"/>
      <c r="F17" s="421" t="n"/>
      <c r="G17" s="421" t="n"/>
    </row>
    <row r="18" ht="7.5" customHeight="1" s="161">
      <c r="A18" s="423" t="n"/>
      <c r="B18" s="421" t="n"/>
      <c r="C18" s="421" t="n"/>
      <c r="D18" s="421" t="n"/>
      <c r="E18" s="421" t="n"/>
      <c r="F18" s="421" t="n"/>
      <c r="G18" s="421" t="n"/>
    </row>
    <row r="19">
      <c r="A19" s="421" t="n"/>
      <c r="B19" s="421" t="n"/>
      <c r="C19" s="421" t="n"/>
      <c r="D19" s="421" t="n"/>
      <c r="E19" s="421" t="n"/>
      <c r="F19" s="421" t="n"/>
      <c r="G19" s="421" t="n"/>
      <c r="I19" s="416" t="inlineStr">
        <is>
          <t xml:space="preserve">   </t>
        </is>
      </c>
    </row>
    <row r="20" ht="58.5" customHeight="1" s="161">
      <c r="A20" s="424" t="n"/>
    </row>
    <row r="21" ht="6" customHeight="1" s="161">
      <c r="A21" s="421" t="n"/>
      <c r="B21" s="421" t="n"/>
      <c r="C21" s="421" t="n"/>
      <c r="D21" s="421" t="n"/>
      <c r="E21" s="421" t="n"/>
      <c r="F21" s="421" t="n"/>
      <c r="G21" s="421" t="n"/>
    </row>
    <row r="22">
      <c r="A22" s="421" t="n"/>
      <c r="B22" s="421" t="n"/>
      <c r="C22" s="421" t="n"/>
      <c r="D22" s="421" t="n"/>
      <c r="E22" s="421" t="n"/>
      <c r="F22" s="421" t="n"/>
      <c r="G22" s="421" t="n"/>
    </row>
    <row r="23">
      <c r="A23" s="421" t="n"/>
      <c r="B23" s="421" t="n"/>
      <c r="C23" s="421" t="n"/>
      <c r="D23" s="421" t="n"/>
      <c r="E23" s="421" t="n"/>
      <c r="F23" s="421" t="n"/>
      <c r="G23" s="421" t="n"/>
    </row>
    <row r="39">
      <c r="A39" s="307" t="n"/>
      <c r="B39" s="307" t="n"/>
      <c r="H39" s="421" t="inlineStr">
        <is>
          <t xml:space="preserve">      </t>
        </is>
      </c>
    </row>
  </sheetData>
  <mergeCells count="2">
    <mergeCell ref="A20:I20"/>
    <mergeCell ref="B39:G39"/>
  </mergeCells>
  <pageMargins left="0.7086614173228347" right="0.7086614173228347" top="0.7480314960629921" bottom="0.7480314960629921" header="0.3149606299212598" footer="0.3149606299212598"/>
  <pageSetup orientation="portrait" paperSize="9"/>
  <headerFooter>
    <oddHeader/>
    <oddFooter>&amp;C&amp;"Helv,Gras"&amp;11 &amp;K00+000Page &amp;P / &amp;N</oddFooter>
    <evenHeader/>
    <evenFooter/>
    <firstHeader/>
    <firstFooter/>
  </headerFooter>
</worksheet>
</file>

<file path=xl/worksheets/sheet104.xml><?xml version="1.0" encoding="utf-8"?>
<worksheet xmlns="http://schemas.openxmlformats.org/spreadsheetml/2006/main">
  <sheetPr codeName="Feuil101">
    <tabColor rgb="FF92D050"/>
    <outlinePr summaryBelow="1" summaryRight="1"/>
    <pageSetUpPr fitToPage="1"/>
  </sheetPr>
  <dimension ref="A1:H1"/>
  <sheetViews>
    <sheetView showGridLines="0" view="pageBreakPreview" topLeftCell="A28" zoomScaleNormal="13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85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105.xml><?xml version="1.0" encoding="utf-8"?>
<worksheet xmlns="http://schemas.openxmlformats.org/spreadsheetml/2006/main">
  <sheetPr codeName="Feuil102">
    <tabColor rgb="FF92D050"/>
    <outlinePr summaryBelow="1" summaryRight="1"/>
    <pageSetUpPr fitToPage="1"/>
  </sheetPr>
  <dimension ref="A1:M76"/>
  <sheetViews>
    <sheetView showGridLines="0" view="pageBreakPreview" topLeftCell="A41" zoomScaleNormal="100" zoomScaleSheetLayoutView="100" workbookViewId="0">
      <selection activeCell="G26" activeCellId="2" sqref="E16 M26 G26"/>
    </sheetView>
  </sheetViews>
  <sheetFormatPr baseColWidth="10" defaultColWidth="11.42578125" defaultRowHeight="12.75"/>
  <cols>
    <col width="22.28515625" customWidth="1" style="474" min="1" max="1"/>
    <col width="8.28515625" customWidth="1" style="475" min="2" max="13"/>
    <col width="11.42578125" customWidth="1" style="474" min="14" max="16384"/>
  </cols>
  <sheetData>
    <row r="1">
      <c r="A1" s="372" t="inlineStr">
        <is>
          <t>GROUPE REGIS REGO DE SEBES</t>
        </is>
      </c>
      <c r="B1" s="347" t="n"/>
      <c r="C1" s="347" t="n"/>
      <c r="D1" s="347" t="n"/>
      <c r="E1" s="347" t="n"/>
      <c r="F1" s="347" t="n"/>
      <c r="G1" s="347" t="n"/>
      <c r="H1" s="474" t="n"/>
      <c r="M1" s="373">
        <f>CONCATENATE("P&amp;L ",RIGHT(DONNÉES!B5,LEN(DONNÉES!B5)-3))</f>
        <v/>
      </c>
    </row>
    <row r="2">
      <c r="A2" s="372" t="n"/>
      <c r="B2" s="347" t="n"/>
      <c r="C2" s="347" t="n"/>
      <c r="D2" s="347" t="n"/>
      <c r="E2" s="347" t="n"/>
      <c r="F2" s="347" t="n"/>
      <c r="G2" s="347" t="n"/>
      <c r="H2" s="373" t="n"/>
    </row>
    <row r="3" ht="15.6" customHeight="1" s="161">
      <c r="A3" s="374" t="inlineStr">
        <is>
          <t>Suivi de la trésorerie</t>
        </is>
      </c>
    </row>
    <row r="4" ht="33" customHeight="1" s="161">
      <c r="A4" s="370" t="n"/>
      <c r="B4" s="370" t="n"/>
      <c r="C4" s="370" t="n"/>
      <c r="D4" s="20" t="n"/>
      <c r="E4" s="21" t="n"/>
      <c r="F4" s="20" t="n"/>
      <c r="G4" s="21" t="n"/>
      <c r="H4" s="370" t="n"/>
    </row>
    <row r="5" ht="24" customHeight="1" s="161">
      <c r="A5" s="474" t="inlineStr">
        <is>
          <t>TRÉSORERIE 2024 (EN K€)</t>
        </is>
      </c>
      <c r="B5" s="80" t="inlineStr">
        <is>
          <t>JANV.</t>
        </is>
      </c>
      <c r="C5" s="80" t="inlineStr">
        <is>
          <t>FÉV.</t>
        </is>
      </c>
      <c r="D5" s="80" t="inlineStr">
        <is>
          <t>MARS</t>
        </is>
      </c>
      <c r="E5" s="80" t="inlineStr">
        <is>
          <t>AVRIL</t>
        </is>
      </c>
      <c r="F5" s="80" t="inlineStr">
        <is>
          <t>MAI</t>
        </is>
      </c>
      <c r="G5" s="80" t="inlineStr">
        <is>
          <t>JUIN</t>
        </is>
      </c>
      <c r="H5" s="80" t="inlineStr">
        <is>
          <t>JUILL.</t>
        </is>
      </c>
      <c r="I5" s="80" t="inlineStr">
        <is>
          <t>AOÛT</t>
        </is>
      </c>
      <c r="J5" s="80" t="inlineStr">
        <is>
          <t>SEPT.</t>
        </is>
      </c>
      <c r="K5" s="80" t="inlineStr">
        <is>
          <t>OCT.</t>
        </is>
      </c>
      <c r="L5" s="80" t="inlineStr">
        <is>
          <t>NOV.</t>
        </is>
      </c>
      <c r="M5" s="80" t="inlineStr">
        <is>
          <t>DÉC.</t>
        </is>
      </c>
    </row>
    <row r="6" ht="15.6" customFormat="1" customHeight="1" s="476">
      <c r="A6" s="476" t="inlineStr">
        <is>
          <t>GLR5</t>
        </is>
      </c>
      <c r="B6" s="284">
        <f>IF(DONNÉES!$K$300="","",DONNÉES!$K$300)</f>
        <v/>
      </c>
      <c r="C6" s="284">
        <f>IF(DONNÉES!$K$301="","",DONNÉES!$K$301)</f>
        <v/>
      </c>
      <c r="D6" s="284">
        <f>IF(DONNÉES!$K$302="","",DONNÉES!$K$302)</f>
        <v/>
      </c>
      <c r="E6" s="284">
        <f>IF(DONNÉES!$K$303="","",DONNÉES!$K$303)</f>
        <v/>
      </c>
      <c r="F6" s="284">
        <f>IF(DONNÉES!$K$304="","",DONNÉES!$K$304)</f>
        <v/>
      </c>
      <c r="G6" s="284">
        <f>IF(DONNÉES!$K$305="","",DONNÉES!$K$305)</f>
        <v/>
      </c>
      <c r="H6" s="284">
        <f>IF(DONNÉES!$K$306="","",DONNÉES!$K$306)</f>
        <v/>
      </c>
      <c r="I6" s="284">
        <f>IF(DONNÉES!$K$307="","",DONNÉES!$K$307)</f>
        <v/>
      </c>
      <c r="J6" s="284">
        <f>IF(DONNÉES!$K$308="","",DONNÉES!$K$308)</f>
        <v/>
      </c>
      <c r="K6" s="284">
        <f>IF(DONNÉES!$K$309="","",DONNÉES!$K$309)</f>
        <v/>
      </c>
      <c r="L6" s="284">
        <f>IF(DONNÉES!$K$310="","",DONNÉES!$K$310)</f>
        <v/>
      </c>
      <c r="M6" s="284">
        <f>IF(DONNÉES!$K$311="","",DONNÉES!$K$311)</f>
        <v/>
      </c>
    </row>
    <row r="7" ht="15.6" customFormat="1" customHeight="1" s="476">
      <c r="A7" s="476" t="inlineStr">
        <is>
          <t>HTR8</t>
        </is>
      </c>
      <c r="B7" s="284">
        <f>IF(DONNÉES!$S$300="","",DONNÉES!$S$300)</f>
        <v/>
      </c>
      <c r="C7" s="284">
        <f>IF(DONNÉES!$S$301="","",DONNÉES!$S$301)</f>
        <v/>
      </c>
      <c r="D7" s="284">
        <f>IF(DONNÉES!$S$302="","",DONNÉES!$S$302)</f>
        <v/>
      </c>
      <c r="E7" s="284">
        <f>IF(DONNÉES!$S$303="","",DONNÉES!$S$303)</f>
        <v/>
      </c>
      <c r="F7" s="284">
        <f>IF(DONNÉES!$S$304="","",DONNÉES!$S$304)</f>
        <v/>
      </c>
      <c r="G7" s="284">
        <f>IF(DONNÉES!$S$305="","",DONNÉES!$S$305)</f>
        <v/>
      </c>
      <c r="H7" s="284">
        <f>IF(DONNÉES!$S$306="","",DONNÉES!$S$306)</f>
        <v/>
      </c>
      <c r="I7" s="284">
        <f>IF(DONNÉES!$S$307="","",DONNÉES!$S$307)</f>
        <v/>
      </c>
      <c r="J7" s="284">
        <f>IF(DONNÉES!$S$308="","",DONNÉES!$S$308)</f>
        <v/>
      </c>
      <c r="K7" s="284">
        <f>IF(DONNÉES!$S$309="","",DONNÉES!$S$309)</f>
        <v/>
      </c>
      <c r="L7" s="284">
        <f>IF(DONNÉES!$S$310="","",DONNÉES!$S$310)</f>
        <v/>
      </c>
      <c r="M7" s="284">
        <f>IF(DONNÉES!$S$311="","",DONNÉES!$S$311)</f>
        <v/>
      </c>
    </row>
    <row r="8" ht="15.6" customFormat="1" customHeight="1" s="476">
      <c r="A8" s="476" t="inlineStr">
        <is>
          <t>TIRR</t>
        </is>
      </c>
      <c r="B8" s="284">
        <f>IF(DONNÉES!$AA$300="","",DONNÉES!$AA$300)</f>
        <v/>
      </c>
      <c r="C8" s="284">
        <f>IF(DONNÉES!$AA$301="","",DONNÉES!$AA$301)</f>
        <v/>
      </c>
      <c r="D8" s="284">
        <f>IF(DONNÉES!$AA$302="","",DONNÉES!$AA$302)</f>
        <v/>
      </c>
      <c r="E8" s="284">
        <f>IF(DONNÉES!$AA$303="","",DONNÉES!$AA$303)</f>
        <v/>
      </c>
      <c r="F8" s="284">
        <f>IF(DONNÉES!$AA$304="","",DONNÉES!$AA$304)</f>
        <v/>
      </c>
      <c r="G8" s="284">
        <f>IF(DONNÉES!$AA$305="","",DONNÉES!$AA$305)</f>
        <v/>
      </c>
      <c r="H8" s="284">
        <f>IF(DONNÉES!$AA$306="","",DONNÉES!$AA$306)</f>
        <v/>
      </c>
      <c r="I8" s="284">
        <f>IF(DONNÉES!$AA$307="","",DONNÉES!$AA$307)</f>
        <v/>
      </c>
      <c r="J8" s="284">
        <f>IF(DONNÉES!$AA$308="","",DONNÉES!$AA$308)</f>
        <v/>
      </c>
      <c r="K8" s="284">
        <f>IF(DONNÉES!$AA$309="","",DONNÉES!$AA$309)</f>
        <v/>
      </c>
      <c r="L8" s="284">
        <f>IF(DONNÉES!$AA$310="","",DONNÉES!$AA$310)</f>
        <v/>
      </c>
      <c r="M8" s="284">
        <f>IF(DONNÉES!$AA$311="","",DONNÉES!$AA$311)</f>
        <v/>
      </c>
    </row>
    <row r="9" ht="15.6" customHeight="1" s="161">
      <c r="A9" s="474" t="inlineStr">
        <is>
          <t>VR7</t>
        </is>
      </c>
      <c r="B9" s="284">
        <f>IF(DONNÉES!$AI$300="","",DONNÉES!$AI$300)</f>
        <v/>
      </c>
      <c r="C9" s="284">
        <f>IF(DONNÉES!$AI$301="","",DONNÉES!$AI$301)</f>
        <v/>
      </c>
      <c r="D9" s="284">
        <f>IF(DONNÉES!$AI$302="","",DONNÉES!$AI$302)</f>
        <v/>
      </c>
      <c r="E9" s="284">
        <f>IF(DONNÉES!$AI$303="","",DONNÉES!$AI$303)</f>
        <v/>
      </c>
      <c r="F9" s="284">
        <f>IF(DONNÉES!$AI$304="","",DONNÉES!$AI$304)</f>
        <v/>
      </c>
      <c r="G9" s="284">
        <f>IF(DONNÉES!$AI$305="","",DONNÉES!$AI$305)</f>
        <v/>
      </c>
      <c r="H9" s="284">
        <f>IF(DONNÉES!$AI$306="","",DONNÉES!$AI$306)</f>
        <v/>
      </c>
      <c r="I9" s="284">
        <f>IF(DONNÉES!$AI$307="","",DONNÉES!$AI$307)</f>
        <v/>
      </c>
      <c r="J9" s="284">
        <f>IF(DONNÉES!$AI$308="","",DONNÉES!$AI$308)</f>
        <v/>
      </c>
      <c r="K9" s="284">
        <f>IF(DONNÉES!$AI$309="","",DONNÉES!$AI$309)</f>
        <v/>
      </c>
      <c r="L9" s="284">
        <f>IF(DONNÉES!$AI$310="","",DONNÉES!$AI$310)</f>
        <v/>
      </c>
      <c r="M9" s="284">
        <f>IF(DONNÉES!$AI$311="","",DONNÉES!$AI$311)</f>
        <v/>
      </c>
    </row>
    <row r="10" ht="15.6" customFormat="1" customHeight="1" s="476">
      <c r="A10" s="476" t="inlineStr">
        <is>
          <t>TURVILLA</t>
        </is>
      </c>
      <c r="B10" s="284">
        <f>IF(DONNÉES!$AQ$300="","",DONNÉES!$AQ$300)</f>
        <v/>
      </c>
      <c r="C10" s="284">
        <f>IF(DONNÉES!$AQ$301="","",DONNÉES!$AQ$301)</f>
        <v/>
      </c>
      <c r="D10" s="284">
        <f>IF(DONNÉES!$AQ$302="","",DONNÉES!$AQ$302)</f>
        <v/>
      </c>
      <c r="E10" s="284">
        <f>IF(DONNÉES!$AQ$303="","",DONNÉES!$AQ$303)</f>
        <v/>
      </c>
      <c r="F10" s="284">
        <f>IF(DONNÉES!$AQ$304="","",DONNÉES!$AQ$304)</f>
        <v/>
      </c>
      <c r="G10" s="284">
        <f>IF(DONNÉES!$AQ$305="","",DONNÉES!$AQ$305)</f>
        <v/>
      </c>
      <c r="H10" s="284">
        <f>IF(DONNÉES!$AQ$306="","",DONNÉES!$AQ$306)</f>
        <v/>
      </c>
      <c r="I10" s="284">
        <f>IF(DONNÉES!$AQ$307="","",DONNÉES!$AQ$307)</f>
        <v/>
      </c>
      <c r="J10" s="284">
        <f>IF(DONNÉES!$AQ$308="","",DONNÉES!$AQ$308)</f>
        <v/>
      </c>
      <c r="K10" s="284">
        <f>IF(DONNÉES!$AQ$309="","",DONNÉES!$AQ$309)</f>
        <v/>
      </c>
      <c r="L10" s="284">
        <f>IF(DONNÉES!$AQ$310="","",DONNÉES!$AQ$310)</f>
        <v/>
      </c>
      <c r="M10" s="284">
        <f>IF(DONNÉES!$AQ$311="","",DONNÉES!$AQ$311)</f>
        <v/>
      </c>
    </row>
    <row r="11" ht="15.6" customFormat="1" customHeight="1" s="476">
      <c r="A11" s="476" t="inlineStr">
        <is>
          <t>HART</t>
        </is>
      </c>
      <c r="B11" s="284">
        <f>IF(DONNÉES!$AY$300="","",DONNÉES!$AY$300)</f>
        <v/>
      </c>
      <c r="C11" s="284">
        <f>IF(DONNÉES!$AY$301="","",DONNÉES!$AY$301)</f>
        <v/>
      </c>
      <c r="D11" s="284">
        <f>IF(DONNÉES!$AY$302="","",DONNÉES!$AY$302)</f>
        <v/>
      </c>
      <c r="E11" s="284">
        <f>IF(DONNÉES!$AY$303="","",DONNÉES!$AY$303)</f>
        <v/>
      </c>
      <c r="F11" s="284">
        <f>IF(DONNÉES!$AY$304="","",DONNÉES!$AY$304)</f>
        <v/>
      </c>
      <c r="G11" s="284">
        <f>IF(DONNÉES!$AY$305="","",DONNÉES!$AY$305)</f>
        <v/>
      </c>
      <c r="H11" s="284">
        <f>IF(DONNÉES!$AY$306="","",DONNÉES!$AY$306)</f>
        <v/>
      </c>
      <c r="I11" s="284">
        <f>IF(DONNÉES!$AY$307="","",DONNÉES!$AY$307)</f>
        <v/>
      </c>
      <c r="J11" s="284">
        <f>IF(DONNÉES!$AY$308="","",DONNÉES!$AY$308)</f>
        <v/>
      </c>
      <c r="K11" s="284">
        <f>IF(DONNÉES!$AY$309="","",DONNÉES!$AY$309)</f>
        <v/>
      </c>
      <c r="L11" s="284">
        <f>IF(DONNÉES!$AY$310="","",DONNÉES!$AY$310)</f>
        <v/>
      </c>
      <c r="M11" s="284">
        <f>IF(DONNÉES!$AY$311="","",DONNÉES!$AY$311)</f>
        <v/>
      </c>
    </row>
    <row r="12" ht="15.6" customFormat="1" customHeight="1" s="476">
      <c r="A12" s="476" t="inlineStr">
        <is>
          <t>VICTOIRE</t>
        </is>
      </c>
      <c r="B12" s="284">
        <f>IF(DONNÉES!$BG$300="","",DONNÉES!$BG$300)</f>
        <v/>
      </c>
      <c r="C12" s="284">
        <f>IF(DONNÉES!$BG$301="","",DONNÉES!$BG$301)</f>
        <v/>
      </c>
      <c r="D12" s="284">
        <f>IF(DONNÉES!$BG$302="","",DONNÉES!$BG$302)</f>
        <v/>
      </c>
      <c r="E12" s="284">
        <f>IF(DONNÉES!$BG$303="","",DONNÉES!$BG$303)</f>
        <v/>
      </c>
      <c r="F12" s="284">
        <f>IF(DONNÉES!$BG$304="","",DONNÉES!$BG$304)</f>
        <v/>
      </c>
      <c r="G12" s="284">
        <f>IF(DONNÉES!$BG$305="","",DONNÉES!$BG$305)</f>
        <v/>
      </c>
      <c r="H12" s="284">
        <f>IF(DONNÉES!$BG$306="","",DONNÉES!$BG$306)</f>
        <v/>
      </c>
      <c r="I12" s="284">
        <f>IF(DONNÉES!$BG$307="","",DONNÉES!$BG$307)</f>
        <v/>
      </c>
      <c r="J12" s="284">
        <f>IF(DONNÉES!$BG$308="","",DONNÉES!$BG$308)</f>
        <v/>
      </c>
      <c r="K12" s="284">
        <f>IF(DONNÉES!$BG$309="","",DONNÉES!$BG$309)</f>
        <v/>
      </c>
      <c r="L12" s="284">
        <f>IF(DONNÉES!$BG$310="","",DONNÉES!$BG$310)</f>
        <v/>
      </c>
      <c r="M12" s="284">
        <f>IF(DONNÉES!$BG$311="","",DONNÉES!$BG$311)</f>
        <v/>
      </c>
    </row>
    <row r="13" ht="15.6" customHeight="1" s="161">
      <c r="A13" s="474" t="inlineStr">
        <is>
          <t>TH4</t>
        </is>
      </c>
      <c r="B13" s="284">
        <f>IF(DONNÉES!$BO$300="","",DONNÉES!$BO$300)</f>
        <v/>
      </c>
      <c r="C13" s="284">
        <f>IF(DONNÉES!$BO$301="","",DONNÉES!$BO$301)</f>
        <v/>
      </c>
      <c r="D13" s="284">
        <f>IF(DONNÉES!$BO$302="","",DONNÉES!$BO$302)</f>
        <v/>
      </c>
      <c r="E13" s="284">
        <f>IF(DONNÉES!$BO$303="","",DONNÉES!$BO$303)</f>
        <v/>
      </c>
      <c r="F13" s="284">
        <f>IF(DONNÉES!$BO$304="","",DONNÉES!$BO$304)</f>
        <v/>
      </c>
      <c r="G13" s="284">
        <f>IF(DONNÉES!$BO$305="","",DONNÉES!$BO$305)</f>
        <v/>
      </c>
      <c r="H13" s="284">
        <f>IF(DONNÉES!$BO$306="","",DONNÉES!$BO$306)</f>
        <v/>
      </c>
      <c r="I13" s="284">
        <f>IF(DONNÉES!$BO$307="","",DONNÉES!$BO$307)</f>
        <v/>
      </c>
      <c r="J13" s="284">
        <f>IF(DONNÉES!$BO$308="","",DONNÉES!$BO$308)</f>
        <v/>
      </c>
      <c r="K13" s="284">
        <f>IF(DONNÉES!$BO$309="","",DONNÉES!$BO$309)</f>
        <v/>
      </c>
      <c r="L13" s="284">
        <f>IF(DONNÉES!$BO$310="","",DONNÉES!$BO$310)</f>
        <v/>
      </c>
      <c r="M13" s="284">
        <f>IF(DONNÉES!$BO$311="","",DONNÉES!$BO$311)</f>
        <v/>
      </c>
    </row>
    <row r="14" ht="15.6" customFormat="1" customHeight="1" s="476">
      <c r="A14" s="476" t="inlineStr">
        <is>
          <t>TL DIVES</t>
        </is>
      </c>
      <c r="B14" s="284">
        <f>IF(DONNÉES!$BW$300="","",DONNÉES!$BW$300)</f>
        <v/>
      </c>
      <c r="C14" s="284">
        <f>IF(DONNÉES!$BW$301="","",DONNÉES!$BW$301)</f>
        <v/>
      </c>
      <c r="D14" s="284">
        <f>IF(DONNÉES!$BW$302="","",DONNÉES!$BW$302)</f>
        <v/>
      </c>
      <c r="E14" s="284">
        <f>IF(DONNÉES!$BW$303="","",DONNÉES!$BW$303)</f>
        <v/>
      </c>
      <c r="F14" s="284">
        <f>IF(DONNÉES!$BW$304="","",DONNÉES!$BW$304)</f>
        <v/>
      </c>
      <c r="G14" s="284">
        <f>IF(DONNÉES!$BW$305="","",DONNÉES!$BW$305)</f>
        <v/>
      </c>
      <c r="H14" s="284">
        <f>IF(DONNÉES!$BW$306="","",DONNÉES!$BW$306)</f>
        <v/>
      </c>
      <c r="I14" s="284">
        <f>IF(DONNÉES!$BW$307="","",DONNÉES!$BW$307)</f>
        <v/>
      </c>
      <c r="J14" s="284">
        <f>IF(DONNÉES!$BW$308="","",DONNÉES!$BW$308)</f>
        <v/>
      </c>
      <c r="K14" s="284">
        <f>IF(DONNÉES!$BW$309="","",DONNÉES!$BW$309)</f>
        <v/>
      </c>
      <c r="L14" s="284">
        <f>IF(DONNÉES!$BW$310="","",DONNÉES!$BW$310)</f>
        <v/>
      </c>
      <c r="M14" s="284">
        <f>IF(DONNÉES!$BW$311="","",DONNÉES!$BW$311)</f>
        <v/>
      </c>
    </row>
    <row r="15" ht="15.6" customFormat="1" customHeight="1" s="476">
      <c r="A15" s="476" t="inlineStr">
        <is>
          <t>R314</t>
        </is>
      </c>
      <c r="B15" s="284">
        <f>IF(DONNÉES!$CE$300="","",DONNÉES!$CE$300)</f>
        <v/>
      </c>
      <c r="C15" s="284">
        <f>IF(DONNÉES!$CE$301="","",DONNÉES!$CE$301)</f>
        <v/>
      </c>
      <c r="D15" s="284">
        <f>IF(DONNÉES!$CE$302="","",DONNÉES!$CE$302)</f>
        <v/>
      </c>
      <c r="E15" s="284">
        <f>IF(DONNÉES!$CE$303="","",DONNÉES!$CE$303)</f>
        <v/>
      </c>
      <c r="F15" s="284">
        <f>IF(DONNÉES!$CE$304="","",DONNÉES!$CE$304)</f>
        <v/>
      </c>
      <c r="G15" s="284">
        <f>IF(DONNÉES!$CE$305="","",DONNÉES!$CE$305)</f>
        <v/>
      </c>
      <c r="H15" s="284">
        <f>IF(DONNÉES!$CE$306="","",DONNÉES!$CE$306)</f>
        <v/>
      </c>
      <c r="I15" s="284">
        <f>IF(DONNÉES!$CE$307="","",DONNÉES!$CE$307)</f>
        <v/>
      </c>
      <c r="J15" s="284">
        <f>IF(DONNÉES!$CE$308="","",DONNÉES!$CE$308)</f>
        <v/>
      </c>
      <c r="K15" s="284">
        <f>IF(DONNÉES!$CE$309="","",DONNÉES!$CE$309)</f>
        <v/>
      </c>
      <c r="L15" s="284">
        <f>IF(DONNÉES!$CE$310="","",DONNÉES!$CE$310)</f>
        <v/>
      </c>
      <c r="M15" s="284">
        <f>IF(DONNÉES!$CE$311="","",DONNÉES!$CE$311)</f>
        <v/>
      </c>
    </row>
    <row r="16" ht="15.6" customFormat="1" customHeight="1" s="476">
      <c r="A16" s="476" t="inlineStr">
        <is>
          <t>LYSE</t>
        </is>
      </c>
      <c r="B16" s="284">
        <f>IF(DONNÉES!$CM$300="","",DONNÉES!$CM$300)</f>
        <v/>
      </c>
      <c r="C16" s="284">
        <f>IF(DONNÉES!$CM$301="","",DONNÉES!$CM$301)</f>
        <v/>
      </c>
      <c r="D16" s="284">
        <f>IF(DONNÉES!$CM$302="","",DONNÉES!$CM$302)</f>
        <v/>
      </c>
      <c r="E16" s="284">
        <f>IF(DONNÉES!$CM$303="","",DONNÉES!$CM$303)</f>
        <v/>
      </c>
      <c r="F16" s="284">
        <f>IF(DONNÉES!$CM$304="","",DONNÉES!$CM$304)</f>
        <v/>
      </c>
      <c r="G16" s="284">
        <f>IF(DONNÉES!$CM$305="","",DONNÉES!$CM$305)</f>
        <v/>
      </c>
      <c r="H16" s="284">
        <f>IF(DONNÉES!$CM$306="","",DONNÉES!$CM$306)</f>
        <v/>
      </c>
      <c r="I16" s="284">
        <f>IF(DONNÉES!$CM$307="","",DONNÉES!$CM$307)</f>
        <v/>
      </c>
      <c r="J16" s="284">
        <f>IF(DONNÉES!$CM$308="","",DONNÉES!$CM$308)</f>
        <v/>
      </c>
      <c r="K16" s="284">
        <f>IF(DONNÉES!$CM$309="","",DONNÉES!$CM$309)</f>
        <v/>
      </c>
      <c r="L16" s="284">
        <f>IF(DONNÉES!$CM$310="","",DONNÉES!$CM$310)</f>
        <v/>
      </c>
      <c r="M16" s="284">
        <f>IF(DONNÉES!$CM$311="","",DONNÉES!$CM$311)</f>
        <v/>
      </c>
    </row>
    <row r="17" ht="15.6" customFormat="1" customHeight="1" s="476">
      <c r="A17" s="477" t="inlineStr">
        <is>
          <t xml:space="preserve">       GLOBAL 2024        </t>
        </is>
      </c>
      <c r="B17" s="286">
        <f>SUBTOTAL(109,B6:B16)</f>
        <v/>
      </c>
      <c r="C17" s="286">
        <f>SUBTOTAL(109,C6:C16)</f>
        <v/>
      </c>
      <c r="D17" s="286">
        <f>SUBTOTAL(109,D6:D16)</f>
        <v/>
      </c>
      <c r="E17" s="286">
        <f>SUBTOTAL(109,E6:E16)</f>
        <v/>
      </c>
      <c r="F17" s="286">
        <f>SUBTOTAL(109,F6:F16)</f>
        <v/>
      </c>
      <c r="G17" s="286">
        <f>SUBTOTAL(109,G6:G16)</f>
        <v/>
      </c>
      <c r="H17" s="286">
        <f>SUBTOTAL(109,H6:H16)</f>
        <v/>
      </c>
      <c r="I17" s="286">
        <f>SUBTOTAL(109,I6:I16)</f>
        <v/>
      </c>
      <c r="J17" s="286">
        <f>SUBTOTAL(109,J6:J16)</f>
        <v/>
      </c>
      <c r="K17" s="286">
        <f>SUBTOTAL(109,K6:K16)</f>
        <v/>
      </c>
      <c r="L17" s="286">
        <f>SUBTOTAL(109,L6:L16)</f>
        <v/>
      </c>
      <c r="M17" s="286">
        <f>SUBTOTAL(109,M6:M16)</f>
        <v/>
      </c>
    </row>
    <row r="18" ht="15.6" customFormat="1" customHeight="1" s="476">
      <c r="A18" s="476" t="inlineStr">
        <is>
          <t>ARTHUR</t>
        </is>
      </c>
      <c r="B18" s="284">
        <f>IF(DONNÉES!$CU$300="","",DONNÉES!$CU$300)</f>
        <v/>
      </c>
      <c r="C18" s="284">
        <f>IF(DONNÉES!$CU$301="","",DONNÉES!$CU$301)</f>
        <v/>
      </c>
      <c r="D18" s="284">
        <f>IF(DONNÉES!$CU$302="","",DONNÉES!$CU$302)</f>
        <v/>
      </c>
      <c r="E18" s="284">
        <f>IF(DONNÉES!$CU$303="","",DONNÉES!$CU$303)</f>
        <v/>
      </c>
      <c r="F18" s="284">
        <f>IF(DONNÉES!$CU$304="","",DONNÉES!$CU$304)</f>
        <v/>
      </c>
      <c r="G18" s="284">
        <f>IF(DONNÉES!$CU$305="","",DONNÉES!$CU$305)</f>
        <v/>
      </c>
      <c r="H18" s="284">
        <f>IF(DONNÉES!$CU$306="","",DONNÉES!$CU$306)</f>
        <v/>
      </c>
      <c r="I18" s="284">
        <f>IF(DONNÉES!$CU$307="","",DONNÉES!$CU$307)</f>
        <v/>
      </c>
      <c r="J18" s="284">
        <f>IF(DONNÉES!$CU$308="","",DONNÉES!$CU$308)</f>
        <v/>
      </c>
      <c r="K18" s="284">
        <f>IF(DONNÉES!$CU$309="","",DONNÉES!$CU$309)</f>
        <v/>
      </c>
      <c r="L18" s="284">
        <f>IF(DONNÉES!$CU$310="","",DONNÉES!$CU$310)</f>
        <v/>
      </c>
      <c r="M18" s="284">
        <f>IF(DONNÉES!$CU$311="","",DONNÉES!$CU$311)</f>
        <v/>
      </c>
    </row>
    <row r="19" ht="15.6" customFormat="1" customHeight="1" s="476">
      <c r="A19" s="476" t="inlineStr">
        <is>
          <t>HUGO</t>
        </is>
      </c>
      <c r="B19" s="284">
        <f>IF(DONNÉES!$DC$300="","",DONNÉES!$DC$300)</f>
        <v/>
      </c>
      <c r="C19" s="284">
        <f>IF(DONNÉES!$DC$301="","",DONNÉES!$DC$301)</f>
        <v/>
      </c>
      <c r="D19" s="284">
        <f>IF(DONNÉES!$DC$302="","",DONNÉES!$DC$302)</f>
        <v/>
      </c>
      <c r="E19" s="284">
        <f>IF(DONNÉES!$DC$303="","",DONNÉES!$DC$303)</f>
        <v/>
      </c>
      <c r="F19" s="284">
        <f>IF(DONNÉES!$DC$304="","",DONNÉES!$DC$304)</f>
        <v/>
      </c>
      <c r="G19" s="284">
        <f>IF(DONNÉES!$DC$305="","",DONNÉES!$DC$305)</f>
        <v/>
      </c>
      <c r="H19" s="284">
        <f>IF(DONNÉES!$DC$306="","",DONNÉES!$DC$306)</f>
        <v/>
      </c>
      <c r="I19" s="284">
        <f>IF(DONNÉES!$DC$307="","",DONNÉES!$DC$307)</f>
        <v/>
      </c>
      <c r="J19" s="284">
        <f>IF(DONNÉES!$DC$308="","",DONNÉES!$DC$308)</f>
        <v/>
      </c>
      <c r="K19" s="284">
        <f>IF(DONNÉES!$DC$309="","",DONNÉES!$DC$309)</f>
        <v/>
      </c>
      <c r="L19" s="284">
        <f>IF(DONNÉES!$DC$310="","",DONNÉES!$DC$310)</f>
        <v/>
      </c>
      <c r="M19" s="284">
        <f>IF(DONNÉES!$DC$311="","",DONNÉES!$DC$311)</f>
        <v/>
      </c>
    </row>
    <row r="20" ht="15.6" customFormat="1" customHeight="1" s="476">
      <c r="A20" s="476" t="inlineStr">
        <is>
          <t>JEANCLO</t>
        </is>
      </c>
      <c r="B20" s="284">
        <f>IF(DONNÉES!$DK$300="","",DONNÉES!$DK$300)</f>
        <v/>
      </c>
      <c r="C20" s="284">
        <f>IF(DONNÉES!$DK$301="","",DONNÉES!$DK$301)</f>
        <v/>
      </c>
      <c r="D20" s="284">
        <f>IF(DONNÉES!$DK$302="","",DONNÉES!$DK$302)</f>
        <v/>
      </c>
      <c r="E20" s="284">
        <f>IF(DONNÉES!$DK$303="","",DONNÉES!$DK$303)</f>
        <v/>
      </c>
      <c r="F20" s="284">
        <f>IF(DONNÉES!$DK$304="","",DONNÉES!$DK$304)</f>
        <v/>
      </c>
      <c r="G20" s="284">
        <f>IF(DONNÉES!$DK$305="","",DONNÉES!$DK$305)</f>
        <v/>
      </c>
      <c r="H20" s="284">
        <f>IF(DONNÉES!$DK$306="","",DONNÉES!$DK$306)</f>
        <v/>
      </c>
      <c r="I20" s="284">
        <f>IF(DONNÉES!$DK$307="","",DONNÉES!$DK$307)</f>
        <v/>
      </c>
      <c r="J20" s="284">
        <f>IF(DONNÉES!$DK$308="","",DONNÉES!$DK$308)</f>
        <v/>
      </c>
      <c r="K20" s="284">
        <f>IF(DONNÉES!$DK$309="","",DONNÉES!$DK$309)</f>
        <v/>
      </c>
      <c r="L20" s="284">
        <f>IF(DONNÉES!$DK$310="","",DONNÉES!$DK$310)</f>
        <v/>
      </c>
      <c r="M20" s="284">
        <f>IF(DONNÉES!$DK$311="","",DONNÉES!$DK$311)</f>
        <v/>
      </c>
    </row>
    <row r="21" ht="15.6" customFormat="1" customHeight="1" s="476">
      <c r="A21" s="476" t="inlineStr">
        <is>
          <t>THOMAS</t>
        </is>
      </c>
      <c r="B21" s="284">
        <f>IF(DONNÉES!$DS$300="","",DONNÉES!$DS$300)</f>
        <v/>
      </c>
      <c r="C21" s="284">
        <f>IF(DONNÉES!$DS$301="","",DONNÉES!$DS$301)</f>
        <v/>
      </c>
      <c r="D21" s="284">
        <f>IF(DONNÉES!$DS$302="","",DONNÉES!$DS$302)</f>
        <v/>
      </c>
      <c r="E21" s="284">
        <f>IF(DONNÉES!$DS$303="","",DONNÉES!$DS$303)</f>
        <v/>
      </c>
      <c r="F21" s="284">
        <f>IF(DONNÉES!$DS$304="","",DONNÉES!$DS$304)</f>
        <v/>
      </c>
      <c r="G21" s="284">
        <f>IF(DONNÉES!$DS$305="","",DONNÉES!$DS$305)</f>
        <v/>
      </c>
      <c r="H21" s="284">
        <f>IF(DONNÉES!$DS$306="","",DONNÉES!$DS$306)</f>
        <v/>
      </c>
      <c r="I21" s="284">
        <f>IF(DONNÉES!$DS$307="","",DONNÉES!$DS$307)</f>
        <v/>
      </c>
      <c r="J21" s="284">
        <f>IF(DONNÉES!$DS$308="","",DONNÉES!$DS$308)</f>
        <v/>
      </c>
      <c r="K21" s="284">
        <f>IF(DONNÉES!$DS$309="","",DONNÉES!$DS$309)</f>
        <v/>
      </c>
      <c r="L21" s="284">
        <f>IF(DONNÉES!$DS$310="","",DONNÉES!$DS$310)</f>
        <v/>
      </c>
      <c r="M21" s="284">
        <f>IF(DONNÉES!$DS$311="","",DONNÉES!$DS$311)</f>
        <v/>
      </c>
    </row>
    <row r="22" ht="15.6" customFormat="1" customHeight="1" s="476">
      <c r="A22" s="476" t="inlineStr">
        <is>
          <t>CATALINA</t>
        </is>
      </c>
      <c r="B22" s="284">
        <f>IF(DONNÉES!$EA$300="","",DONNÉES!$EA$300)</f>
        <v/>
      </c>
      <c r="C22" s="284">
        <f>IF(DONNÉES!$EA$301="","",DONNÉES!$EA$301)</f>
        <v/>
      </c>
      <c r="D22" s="284">
        <f>IF(DONNÉES!$EA$302="","",DONNÉES!$EA$302)</f>
        <v/>
      </c>
      <c r="E22" s="284">
        <f>IF(DONNÉES!$EA$303="","",DONNÉES!$EA$303)</f>
        <v/>
      </c>
      <c r="F22" s="284">
        <f>IF(DONNÉES!$EA$304="","",DONNÉES!$EA$304)</f>
        <v/>
      </c>
      <c r="G22" s="284">
        <f>IF(DONNÉES!$EA$305="","",DONNÉES!$EA$305)</f>
        <v/>
      </c>
      <c r="H22" s="284">
        <f>IF(DONNÉES!$EA$306="","",DONNÉES!$EA$306)</f>
        <v/>
      </c>
      <c r="I22" s="284">
        <f>IF(DONNÉES!$EA$307="","",DONNÉES!$EA$307)</f>
        <v/>
      </c>
      <c r="J22" s="284">
        <f>IF(DONNÉES!$EA$308="","",DONNÉES!$EA$308)</f>
        <v/>
      </c>
      <c r="K22" s="284">
        <f>IF(DONNÉES!$EA$309="","",DONNÉES!$EA$309)</f>
        <v/>
      </c>
      <c r="L22" s="284">
        <f>IF(DONNÉES!$EA$310="","",DONNÉES!$EA$310)</f>
        <v/>
      </c>
      <c r="M22" s="284">
        <f>IF(DONNÉES!$EA$311="","",DONNÉES!$EA$311)</f>
        <v/>
      </c>
    </row>
    <row r="23" ht="22.15" customHeight="1" s="161">
      <c r="A23" s="354" t="inlineStr">
        <is>
          <t xml:space="preserve">       GLOBAL 2024        </t>
        </is>
      </c>
      <c r="B23" s="92">
        <f>+SUM(B17:B22)</f>
        <v/>
      </c>
      <c r="C23" s="92">
        <f>+SUM(C17:C22)</f>
        <v/>
      </c>
      <c r="D23" s="92">
        <f>+SUM(D17:D22)</f>
        <v/>
      </c>
      <c r="E23" s="92">
        <f>+SUM(E17:E22)</f>
        <v/>
      </c>
      <c r="F23" s="92">
        <f>+SUM(F17:F22)</f>
        <v/>
      </c>
      <c r="G23" s="92">
        <f>+SUM(G17:G22)</f>
        <v/>
      </c>
      <c r="H23" s="92">
        <f>+SUM(H17:H22)</f>
        <v/>
      </c>
      <c r="I23" s="92">
        <f>+SUM(I17:I22)</f>
        <v/>
      </c>
      <c r="J23" s="92">
        <f>+SUM(J17:J22)</f>
        <v/>
      </c>
      <c r="K23" s="92">
        <f>+SUM(K17:K22)</f>
        <v/>
      </c>
      <c r="L23" s="92">
        <f>+SUM(L17:L22)</f>
        <v/>
      </c>
      <c r="M23" s="92">
        <f>+SUM(M17:M22)</f>
        <v/>
      </c>
    </row>
    <row r="24" ht="22.15" customHeight="1" s="161"/>
    <row r="25" ht="22.15" customHeight="1" s="161"/>
    <row r="26" ht="24" customHeight="1" s="161">
      <c r="A26" s="474" t="inlineStr">
        <is>
          <t>TRÉSORERIE 2023 (EN K€)</t>
        </is>
      </c>
      <c r="B26" s="80" t="inlineStr">
        <is>
          <t>JANV.</t>
        </is>
      </c>
      <c r="C26" s="80" t="inlineStr">
        <is>
          <t>FÉV.</t>
        </is>
      </c>
      <c r="D26" s="80" t="inlineStr">
        <is>
          <t>MARS</t>
        </is>
      </c>
      <c r="E26" s="80" t="inlineStr">
        <is>
          <t>AVRIL</t>
        </is>
      </c>
      <c r="F26" s="80" t="inlineStr">
        <is>
          <t>MAI</t>
        </is>
      </c>
      <c r="G26" s="80" t="inlineStr">
        <is>
          <t>JUIN</t>
        </is>
      </c>
      <c r="H26" s="80" t="inlineStr">
        <is>
          <t>JUILL.</t>
        </is>
      </c>
      <c r="I26" s="80" t="inlineStr">
        <is>
          <t>AOÛT</t>
        </is>
      </c>
      <c r="J26" s="80" t="inlineStr">
        <is>
          <t>SEPT.</t>
        </is>
      </c>
      <c r="K26" s="80" t="inlineStr">
        <is>
          <t>OCT.</t>
        </is>
      </c>
      <c r="L26" s="80" t="inlineStr">
        <is>
          <t>NOV.</t>
        </is>
      </c>
      <c r="M26" s="80" t="inlineStr">
        <is>
          <t>DÉC.</t>
        </is>
      </c>
    </row>
    <row r="27" ht="15.6" customFormat="1" customHeight="1" s="476">
      <c r="A27" s="476" t="inlineStr">
        <is>
          <t>GLR5</t>
        </is>
      </c>
      <c r="B27" s="284">
        <f>DONNÉES!$L$300</f>
        <v/>
      </c>
      <c r="C27" s="284">
        <f>DONNÉES!$L$301</f>
        <v/>
      </c>
      <c r="D27" s="284">
        <f>DONNÉES!$L$302</f>
        <v/>
      </c>
      <c r="E27" s="284">
        <f>DONNÉES!$L$303</f>
        <v/>
      </c>
      <c r="F27" s="284">
        <f>DONNÉES!$L$304</f>
        <v/>
      </c>
      <c r="G27" s="284">
        <f>DONNÉES!$L$305</f>
        <v/>
      </c>
      <c r="H27" s="284">
        <f>DONNÉES!$L$306</f>
        <v/>
      </c>
      <c r="I27" s="284">
        <f>DONNÉES!$L$307</f>
        <v/>
      </c>
      <c r="J27" s="284">
        <f>DONNÉES!$L$308</f>
        <v/>
      </c>
      <c r="K27" s="284">
        <f>DONNÉES!$L$309</f>
        <v/>
      </c>
      <c r="L27" s="284">
        <f>DONNÉES!$L$310</f>
        <v/>
      </c>
      <c r="M27" s="284">
        <f>DONNÉES!$L$311</f>
        <v/>
      </c>
    </row>
    <row r="28" ht="15.6" customFormat="1" customHeight="1" s="476">
      <c r="A28" s="476" t="inlineStr">
        <is>
          <t>HTR8</t>
        </is>
      </c>
      <c r="B28" s="284">
        <f>DONNÉES!$T$300</f>
        <v/>
      </c>
      <c r="C28" s="284">
        <f>DONNÉES!$T$301</f>
        <v/>
      </c>
      <c r="D28" s="284">
        <f>DONNÉES!$T$302</f>
        <v/>
      </c>
      <c r="E28" s="284">
        <f>DONNÉES!$T$303</f>
        <v/>
      </c>
      <c r="F28" s="284">
        <f>DONNÉES!$T$304</f>
        <v/>
      </c>
      <c r="G28" s="284">
        <f>DONNÉES!$T$305</f>
        <v/>
      </c>
      <c r="H28" s="284">
        <f>DONNÉES!$T$306</f>
        <v/>
      </c>
      <c r="I28" s="284">
        <f>DONNÉES!$T$307</f>
        <v/>
      </c>
      <c r="J28" s="284">
        <f>DONNÉES!$T$308</f>
        <v/>
      </c>
      <c r="K28" s="284">
        <f>DONNÉES!$T$309</f>
        <v/>
      </c>
      <c r="L28" s="284">
        <f>DONNÉES!$T$310</f>
        <v/>
      </c>
      <c r="M28" s="284">
        <f>DONNÉES!$T$311</f>
        <v/>
      </c>
    </row>
    <row r="29" ht="15.6" customFormat="1" customHeight="1" s="476">
      <c r="A29" s="476" t="inlineStr">
        <is>
          <t>TIRR</t>
        </is>
      </c>
      <c r="B29" s="284">
        <f>DONNÉES!$AB$300</f>
        <v/>
      </c>
      <c r="C29" s="284">
        <f>DONNÉES!$AB$301</f>
        <v/>
      </c>
      <c r="D29" s="284">
        <f>DONNÉES!$AB$302</f>
        <v/>
      </c>
      <c r="E29" s="284">
        <f>DONNÉES!$AB$303</f>
        <v/>
      </c>
      <c r="F29" s="86">
        <f>DONNÉES!$AB$304</f>
        <v/>
      </c>
      <c r="G29" s="86">
        <f>DONNÉES!$AB$305</f>
        <v/>
      </c>
      <c r="H29" s="86">
        <f>DONNÉES!$AB$306</f>
        <v/>
      </c>
      <c r="I29" s="86">
        <f>DONNÉES!$AB$307</f>
        <v/>
      </c>
      <c r="J29" s="86">
        <f>DONNÉES!$AB$308</f>
        <v/>
      </c>
      <c r="K29" s="284">
        <f>DONNÉES!$AB$309</f>
        <v/>
      </c>
      <c r="L29" s="284">
        <f>DONNÉES!$AB$310</f>
        <v/>
      </c>
      <c r="M29" s="284">
        <f>DONNÉES!$AB$311</f>
        <v/>
      </c>
    </row>
    <row r="30" ht="15.6" customHeight="1" s="161">
      <c r="A30" s="474" t="inlineStr">
        <is>
          <t>VR7</t>
        </is>
      </c>
      <c r="B30" s="284">
        <f>DONNÉES!$AJ$300</f>
        <v/>
      </c>
      <c r="C30" s="284">
        <f>DONNÉES!$AJ$301</f>
        <v/>
      </c>
      <c r="D30" s="284">
        <f>DONNÉES!$AJ$302</f>
        <v/>
      </c>
      <c r="E30" s="284">
        <f>DONNÉES!$AJ$303</f>
        <v/>
      </c>
      <c r="F30" s="86">
        <f>DONNÉES!$AJ$304</f>
        <v/>
      </c>
      <c r="G30" s="86">
        <f>DONNÉES!$AJ$305</f>
        <v/>
      </c>
      <c r="H30" s="86">
        <f>DONNÉES!$AJ$306</f>
        <v/>
      </c>
      <c r="I30" s="86">
        <f>DONNÉES!$AJ$307</f>
        <v/>
      </c>
      <c r="J30" s="86">
        <f>DONNÉES!$AJ$308</f>
        <v/>
      </c>
      <c r="K30" s="284">
        <f>DONNÉES!$AJ$309</f>
        <v/>
      </c>
      <c r="L30" s="284">
        <f>DONNÉES!$AJ$310</f>
        <v/>
      </c>
      <c r="M30" s="284">
        <f>DONNÉES!$AJ$311</f>
        <v/>
      </c>
    </row>
    <row r="31" ht="15.6" customFormat="1" customHeight="1" s="476">
      <c r="A31" s="476" t="inlineStr">
        <is>
          <t>TURVILLA</t>
        </is>
      </c>
      <c r="B31" s="284">
        <f>DONNÉES!$AR$300</f>
        <v/>
      </c>
      <c r="C31" s="284">
        <f>DONNÉES!$AR$301</f>
        <v/>
      </c>
      <c r="D31" s="284">
        <f>DONNÉES!$AR$302</f>
        <v/>
      </c>
      <c r="E31" s="284">
        <f>DONNÉES!$AR$303</f>
        <v/>
      </c>
      <c r="F31" s="284">
        <f>DONNÉES!$AR$304</f>
        <v/>
      </c>
      <c r="G31" s="284">
        <f>DONNÉES!$AR$305</f>
        <v/>
      </c>
      <c r="H31" s="284">
        <f>DONNÉES!$AR$306</f>
        <v/>
      </c>
      <c r="I31" s="284">
        <f>DONNÉES!$AR$307</f>
        <v/>
      </c>
      <c r="J31" s="284">
        <f>DONNÉES!$AR$308</f>
        <v/>
      </c>
      <c r="K31" s="284">
        <f>DONNÉES!$AR$309</f>
        <v/>
      </c>
      <c r="L31" s="284">
        <f>DONNÉES!$AR$310</f>
        <v/>
      </c>
      <c r="M31" s="284">
        <f>DONNÉES!$AR$311</f>
        <v/>
      </c>
    </row>
    <row r="32" ht="15.6" customFormat="1" customHeight="1" s="476">
      <c r="A32" s="476" t="inlineStr">
        <is>
          <t>HART</t>
        </is>
      </c>
      <c r="B32" s="284">
        <f>DONNÉES!$AZ$300</f>
        <v/>
      </c>
      <c r="C32" s="284">
        <f>DONNÉES!$AZ$301</f>
        <v/>
      </c>
      <c r="D32" s="284">
        <f>DONNÉES!$AZ$302</f>
        <v/>
      </c>
      <c r="E32" s="284">
        <f>DONNÉES!$AZ$303</f>
        <v/>
      </c>
      <c r="F32" s="284">
        <f>DONNÉES!$AZ$304</f>
        <v/>
      </c>
      <c r="G32" s="284">
        <f>DONNÉES!$AZ$305</f>
        <v/>
      </c>
      <c r="H32" s="284">
        <f>DONNÉES!$AZ$306</f>
        <v/>
      </c>
      <c r="I32" s="284">
        <f>DONNÉES!$AZ$307</f>
        <v/>
      </c>
      <c r="J32" s="284">
        <f>DONNÉES!$AZ$308</f>
        <v/>
      </c>
      <c r="K32" s="284">
        <f>DONNÉES!$AZ$309</f>
        <v/>
      </c>
      <c r="L32" s="284">
        <f>DONNÉES!$AZ$310</f>
        <v/>
      </c>
      <c r="M32" s="284">
        <f>DONNÉES!$AZ$311</f>
        <v/>
      </c>
    </row>
    <row r="33" ht="15.6" customFormat="1" customHeight="1" s="476">
      <c r="A33" s="476" t="inlineStr">
        <is>
          <t>VICTOIRE</t>
        </is>
      </c>
      <c r="B33" s="284">
        <f>DONNÉES!$BH$300</f>
        <v/>
      </c>
      <c r="C33" s="284">
        <f>DONNÉES!$BH$301</f>
        <v/>
      </c>
      <c r="D33" s="284">
        <f>DONNÉES!$BH$302</f>
        <v/>
      </c>
      <c r="E33" s="284">
        <f>DONNÉES!$BH$303</f>
        <v/>
      </c>
      <c r="F33" s="86">
        <f>DONNÉES!$BH$304</f>
        <v/>
      </c>
      <c r="G33" s="86">
        <f>DONNÉES!$BH$305</f>
        <v/>
      </c>
      <c r="H33" s="86">
        <f>DONNÉES!$BH$306</f>
        <v/>
      </c>
      <c r="I33" s="86">
        <f>DONNÉES!$BH$307</f>
        <v/>
      </c>
      <c r="J33" s="86">
        <f>DONNÉES!$BH$308</f>
        <v/>
      </c>
      <c r="K33" s="284">
        <f>DONNÉES!$BH$309</f>
        <v/>
      </c>
      <c r="L33" s="284">
        <f>DONNÉES!$BH$310</f>
        <v/>
      </c>
      <c r="M33" s="284">
        <f>DONNÉES!$BH$311</f>
        <v/>
      </c>
    </row>
    <row r="34" ht="15.6" customHeight="1" s="161">
      <c r="A34" s="474" t="inlineStr">
        <is>
          <t>TH4</t>
        </is>
      </c>
      <c r="B34" s="284">
        <f>DONNÉES!$BP$300</f>
        <v/>
      </c>
      <c r="C34" s="284">
        <f>DONNÉES!$BP$301</f>
        <v/>
      </c>
      <c r="D34" s="284">
        <f>DONNÉES!$BP$302</f>
        <v/>
      </c>
      <c r="E34" s="284">
        <f>DONNÉES!$BP$303</f>
        <v/>
      </c>
      <c r="F34" s="86">
        <f>DONNÉES!$BP$304</f>
        <v/>
      </c>
      <c r="G34" s="86">
        <f>DONNÉES!$BP$305</f>
        <v/>
      </c>
      <c r="H34" s="86">
        <f>DONNÉES!$BP$306</f>
        <v/>
      </c>
      <c r="I34" s="86">
        <f>DONNÉES!$BP$307</f>
        <v/>
      </c>
      <c r="J34" s="86">
        <f>DONNÉES!$BP$308</f>
        <v/>
      </c>
      <c r="K34" s="284">
        <f>DONNÉES!$BP$309</f>
        <v/>
      </c>
      <c r="L34" s="284">
        <f>DONNÉES!$BP$310</f>
        <v/>
      </c>
      <c r="M34" s="284">
        <f>DONNÉES!$BP$311</f>
        <v/>
      </c>
    </row>
    <row r="35" ht="15.6" customFormat="1" customHeight="1" s="476">
      <c r="A35" s="476" t="inlineStr">
        <is>
          <t>TL DIVES</t>
        </is>
      </c>
      <c r="B35" s="284">
        <f>DONNÉES!$BX$300</f>
        <v/>
      </c>
      <c r="C35" s="284">
        <f>DONNÉES!$BX$301</f>
        <v/>
      </c>
      <c r="D35" s="284">
        <f>DONNÉES!$BX$302</f>
        <v/>
      </c>
      <c r="E35" s="284">
        <f>DONNÉES!$BX$303</f>
        <v/>
      </c>
      <c r="F35" s="86">
        <f>DONNÉES!$BX$304</f>
        <v/>
      </c>
      <c r="G35" s="86">
        <f>DONNÉES!$BX$305</f>
        <v/>
      </c>
      <c r="H35" s="86">
        <f>DONNÉES!$BX$306</f>
        <v/>
      </c>
      <c r="I35" s="86">
        <f>DONNÉES!$BX$307</f>
        <v/>
      </c>
      <c r="J35" s="86">
        <f>DONNÉES!$BX$308</f>
        <v/>
      </c>
      <c r="K35" s="284">
        <f>DONNÉES!$BX$309</f>
        <v/>
      </c>
      <c r="L35" s="284">
        <f>DONNÉES!$BX$310</f>
        <v/>
      </c>
      <c r="M35" s="284">
        <f>DONNÉES!$BX$311</f>
        <v/>
      </c>
    </row>
    <row r="36" ht="15.6" customFormat="1" customHeight="1" s="476">
      <c r="A36" s="476" t="inlineStr">
        <is>
          <t>R314</t>
        </is>
      </c>
      <c r="B36" s="284">
        <f>IF(DONNÉES!$CF$300="","",DONNÉES!$CF$300)</f>
        <v/>
      </c>
      <c r="C36" s="284">
        <f>IF(DONNÉES!$CF$301="","",DONNÉES!$CF$301)</f>
        <v/>
      </c>
      <c r="D36" s="284">
        <f>IF(DONNÉES!$CF$302="","",DONNÉES!$CF$302)</f>
        <v/>
      </c>
      <c r="E36" s="284">
        <f>IF(DONNÉES!$CF$303="","",DONNÉES!$CF$303)</f>
        <v/>
      </c>
      <c r="F36" s="284">
        <f>IF(DONNÉES!$CF$304="","",DONNÉES!$CF$304)</f>
        <v/>
      </c>
      <c r="G36" s="284">
        <f>IF(DONNÉES!$CF$305="","",DONNÉES!$CF$305)</f>
        <v/>
      </c>
      <c r="H36" s="284">
        <f>IF(DONNÉES!$CF$306="","",DONNÉES!$CF$306)</f>
        <v/>
      </c>
      <c r="I36" s="284">
        <f>IF(DONNÉES!$CF$307="","",DONNÉES!$CF$307)</f>
        <v/>
      </c>
      <c r="J36" s="284">
        <f>IF(DONNÉES!$CF$308="","",DONNÉES!$CF$308)</f>
        <v/>
      </c>
      <c r="K36" s="284">
        <f>IF(DONNÉES!$CF$309="","",DONNÉES!$CF$309)</f>
        <v/>
      </c>
      <c r="L36" s="284">
        <f>IF(DONNÉES!$CF$310="","",DONNÉES!$CF$310)</f>
        <v/>
      </c>
      <c r="M36" s="284">
        <f>IF(DONNÉES!$CF$311="","",DONNÉES!$CF$311)</f>
        <v/>
      </c>
    </row>
    <row r="37" ht="15.6" customFormat="1" customHeight="1" s="476">
      <c r="A37" s="476" t="inlineStr">
        <is>
          <t>LYSE</t>
        </is>
      </c>
      <c r="B37" s="284">
        <f>IF(DONNÉES!$CN$300="","",DONNÉES!$CN$300)</f>
        <v/>
      </c>
      <c r="C37" s="284">
        <f>IF(DONNÉES!$CN$301="","",DONNÉES!$CN$301)</f>
        <v/>
      </c>
      <c r="D37" s="284">
        <f>IF(DONNÉES!$CN$302="","",DONNÉES!$CN$302)</f>
        <v/>
      </c>
      <c r="E37" s="284">
        <f>IF(DONNÉES!$CN$303="","",DONNÉES!$CN$303)</f>
        <v/>
      </c>
      <c r="F37" s="284">
        <f>IF(DONNÉES!$CN$304="","",DONNÉES!$CN$304)</f>
        <v/>
      </c>
      <c r="G37" s="284">
        <f>IF(DONNÉES!$CN$305="","",DONNÉES!$CN$305)</f>
        <v/>
      </c>
      <c r="H37" s="284">
        <f>IF(DONNÉES!$CN$306="","",DONNÉES!$CN$306)</f>
        <v/>
      </c>
      <c r="I37" s="284">
        <f>IF(DONNÉES!$CN$307="","",DONNÉES!$CN$307)</f>
        <v/>
      </c>
      <c r="J37" s="284">
        <f>IF(DONNÉES!$CN$308="","",DONNÉES!$CN$308)</f>
        <v/>
      </c>
      <c r="K37" s="284">
        <f>IF(DONNÉES!$CN$309="","",DONNÉES!$CN$309)</f>
        <v/>
      </c>
      <c r="L37" s="284">
        <f>IF(DONNÉES!$CN$310="","",DONNÉES!$CN$310)</f>
        <v/>
      </c>
      <c r="M37" s="284">
        <f>IF(DONNÉES!$CN$311="","",DONNÉES!$CN$311)</f>
        <v/>
      </c>
    </row>
    <row r="38" ht="22.15" customHeight="1" s="161">
      <c r="A38" s="354" t="inlineStr">
        <is>
          <t xml:space="preserve">         GLOBAL 2023         </t>
        </is>
      </c>
      <c r="B38" s="76">
        <f>SUBTOTAL(109,TRESON1[JANV.])</f>
        <v/>
      </c>
      <c r="C38" s="76">
        <f>SUBTOTAL(109,TRESON1[FÉV.])</f>
        <v/>
      </c>
      <c r="D38" s="76">
        <f>SUBTOTAL(109,TRESON1[MARS])</f>
        <v/>
      </c>
      <c r="E38" s="88">
        <f>SUBTOTAL(109,TRESON1[AVRIL])</f>
        <v/>
      </c>
      <c r="F38" s="76">
        <f>SUBTOTAL(109,TRESON1[MAI])</f>
        <v/>
      </c>
      <c r="G38" s="76">
        <f>SUBTOTAL(109,TRESON1[JUIN])</f>
        <v/>
      </c>
      <c r="H38" s="76">
        <f>SUBTOTAL(109,TRESON1[JUILL.])</f>
        <v/>
      </c>
      <c r="I38" s="76">
        <f>SUBTOTAL(109,TRESON1[AOÛT])</f>
        <v/>
      </c>
      <c r="J38" s="76">
        <f>SUBTOTAL(109,TRESON1[SEPT.])</f>
        <v/>
      </c>
      <c r="K38" s="88">
        <f>SUBTOTAL(109,TRESON1[OCT.])</f>
        <v/>
      </c>
      <c r="L38" s="88">
        <f>SUBTOTAL(109,TRESON1[NOV.])</f>
        <v/>
      </c>
      <c r="M38" s="88">
        <f>SUBTOTAL(109,TRESON1[DÉC.])</f>
        <v/>
      </c>
    </row>
    <row r="39" ht="22.15" customHeight="1" s="161">
      <c r="K39" s="84" t="n"/>
    </row>
    <row r="40" ht="22.15" customHeight="1" s="161"/>
    <row r="41" ht="24" customHeight="1" s="161">
      <c r="A41" s="474" t="inlineStr">
        <is>
          <t>TRÉSORERIE 2022 (EN K€)</t>
        </is>
      </c>
      <c r="B41" s="80" t="inlineStr">
        <is>
          <t>JANV.</t>
        </is>
      </c>
      <c r="C41" s="80" t="inlineStr">
        <is>
          <t>FÉV.</t>
        </is>
      </c>
      <c r="D41" s="80" t="inlineStr">
        <is>
          <t>MARS</t>
        </is>
      </c>
      <c r="E41" s="80" t="inlineStr">
        <is>
          <t>AVRIL</t>
        </is>
      </c>
      <c r="F41" s="80" t="inlineStr">
        <is>
          <t>MAI</t>
        </is>
      </c>
      <c r="G41" s="80" t="inlineStr">
        <is>
          <t>JUIN</t>
        </is>
      </c>
      <c r="H41" s="80" t="inlineStr">
        <is>
          <t>JUILL.</t>
        </is>
      </c>
      <c r="I41" s="80" t="inlineStr">
        <is>
          <t>AOÛT</t>
        </is>
      </c>
      <c r="J41" s="80" t="inlineStr">
        <is>
          <t>SEPT.</t>
        </is>
      </c>
      <c r="K41" s="80" t="inlineStr">
        <is>
          <t>OCT.</t>
        </is>
      </c>
      <c r="L41" s="80" t="inlineStr">
        <is>
          <t>NOV.</t>
        </is>
      </c>
      <c r="M41" s="80" t="inlineStr">
        <is>
          <t>DÉC.</t>
        </is>
      </c>
    </row>
    <row r="42" ht="15.6" customFormat="1" customHeight="1" s="476">
      <c r="A42" s="476" t="inlineStr">
        <is>
          <t>GLR5</t>
        </is>
      </c>
      <c r="B42" s="284">
        <f>DONNÉES!$M$300</f>
        <v/>
      </c>
      <c r="C42" s="284">
        <f>DONNÉES!$M$301</f>
        <v/>
      </c>
      <c r="D42" s="284">
        <f>DONNÉES!$M$302</f>
        <v/>
      </c>
      <c r="E42" s="284">
        <f>DONNÉES!$M$303</f>
        <v/>
      </c>
      <c r="F42" s="86">
        <f>DONNÉES!$M$304</f>
        <v/>
      </c>
      <c r="G42" s="86">
        <f>DONNÉES!$M$305</f>
        <v/>
      </c>
      <c r="H42" s="86">
        <f>DONNÉES!$M$306</f>
        <v/>
      </c>
      <c r="I42" s="86">
        <f>DONNÉES!$M$307</f>
        <v/>
      </c>
      <c r="J42" s="86">
        <f>DONNÉES!$M$308</f>
        <v/>
      </c>
      <c r="K42" s="284">
        <f>DONNÉES!$M$309</f>
        <v/>
      </c>
      <c r="L42" s="284">
        <f>DONNÉES!$M$310</f>
        <v/>
      </c>
      <c r="M42" s="284">
        <f>DONNÉES!$M$311</f>
        <v/>
      </c>
    </row>
    <row r="43" ht="15.6" customFormat="1" customHeight="1" s="476">
      <c r="A43" s="476" t="inlineStr">
        <is>
          <t>HTR8</t>
        </is>
      </c>
      <c r="B43" s="284">
        <f>DONNÉES!$U$300</f>
        <v/>
      </c>
      <c r="C43" s="284">
        <f>DONNÉES!$U$301</f>
        <v/>
      </c>
      <c r="D43" s="284">
        <f>DONNÉES!$U$302</f>
        <v/>
      </c>
      <c r="E43" s="284">
        <f>DONNÉES!$U$303</f>
        <v/>
      </c>
      <c r="F43" s="86">
        <f>DONNÉES!$U$304</f>
        <v/>
      </c>
      <c r="G43" s="86">
        <f>DONNÉES!$U$305</f>
        <v/>
      </c>
      <c r="H43" s="86">
        <f>DONNÉES!$U$306</f>
        <v/>
      </c>
      <c r="I43" s="86">
        <f>DONNÉES!$U$307</f>
        <v/>
      </c>
      <c r="J43" s="86">
        <f>DONNÉES!$U$308</f>
        <v/>
      </c>
      <c r="K43" s="284">
        <f>DONNÉES!$U$309</f>
        <v/>
      </c>
      <c r="L43" s="284">
        <f>DONNÉES!$U$310</f>
        <v/>
      </c>
      <c r="M43" s="284">
        <f>DONNÉES!$U$311</f>
        <v/>
      </c>
    </row>
    <row r="44" ht="15.6" customFormat="1" customHeight="1" s="476">
      <c r="A44" s="476" t="inlineStr">
        <is>
          <t>TIRR</t>
        </is>
      </c>
      <c r="B44" s="284">
        <f>DONNÉES!$AC$300</f>
        <v/>
      </c>
      <c r="C44" s="284">
        <f>DONNÉES!$AC$301</f>
        <v/>
      </c>
      <c r="D44" s="284">
        <f>DONNÉES!$AC$302</f>
        <v/>
      </c>
      <c r="E44" s="284">
        <f>DONNÉES!$AC$303</f>
        <v/>
      </c>
      <c r="F44" s="86">
        <f>DONNÉES!$AC$304</f>
        <v/>
      </c>
      <c r="G44" s="86">
        <f>DONNÉES!$AC$305</f>
        <v/>
      </c>
      <c r="H44" s="86">
        <f>DONNÉES!$AC$306</f>
        <v/>
      </c>
      <c r="I44" s="86">
        <f>DONNÉES!$AC$307</f>
        <v/>
      </c>
      <c r="J44" s="86">
        <f>DONNÉES!$AC$308</f>
        <v/>
      </c>
      <c r="K44" s="284">
        <f>DONNÉES!$AC$309</f>
        <v/>
      </c>
      <c r="L44" s="284">
        <f>DONNÉES!$AC$310</f>
        <v/>
      </c>
      <c r="M44" s="284">
        <f>DONNÉES!$AC$311</f>
        <v/>
      </c>
    </row>
    <row r="45" ht="15.6" customHeight="1" s="161">
      <c r="A45" s="474" t="inlineStr">
        <is>
          <t>VR7</t>
        </is>
      </c>
      <c r="B45" s="284">
        <f>DONNÉES!$AK$300</f>
        <v/>
      </c>
      <c r="C45" s="284">
        <f>DONNÉES!$AK$301</f>
        <v/>
      </c>
      <c r="D45" s="284">
        <f>DONNÉES!$AK$302</f>
        <v/>
      </c>
      <c r="E45" s="284">
        <f>DONNÉES!$AK$303</f>
        <v/>
      </c>
      <c r="F45" s="86">
        <f>DONNÉES!$AK$304</f>
        <v/>
      </c>
      <c r="G45" s="86">
        <f>DONNÉES!$AK$305</f>
        <v/>
      </c>
      <c r="H45" s="86">
        <f>DONNÉES!$AK$306</f>
        <v/>
      </c>
      <c r="I45" s="86">
        <f>DONNÉES!$AK$307</f>
        <v/>
      </c>
      <c r="J45" s="86">
        <f>DONNÉES!$AK$308</f>
        <v/>
      </c>
      <c r="K45" s="284">
        <f>DONNÉES!$AK$309</f>
        <v/>
      </c>
      <c r="L45" s="284">
        <f>DONNÉES!$AK$310</f>
        <v/>
      </c>
      <c r="M45" s="284">
        <f>DONNÉES!$AK$311</f>
        <v/>
      </c>
    </row>
    <row r="46" ht="15.6" customFormat="1" customHeight="1" s="476">
      <c r="A46" s="476" t="inlineStr">
        <is>
          <t>TURVILLA</t>
        </is>
      </c>
      <c r="B46" s="284">
        <f>DONNÉES!$AS$300</f>
        <v/>
      </c>
      <c r="C46" s="284">
        <f>DONNÉES!$AS$301</f>
        <v/>
      </c>
      <c r="D46" s="284">
        <f>DONNÉES!$AS$302</f>
        <v/>
      </c>
      <c r="E46" s="284">
        <f>DONNÉES!$AS$303</f>
        <v/>
      </c>
      <c r="F46" s="86">
        <f>DONNÉES!$AS$304</f>
        <v/>
      </c>
      <c r="G46" s="86">
        <f>DONNÉES!$AS$305</f>
        <v/>
      </c>
      <c r="H46" s="86">
        <f>DONNÉES!$AS$306</f>
        <v/>
      </c>
      <c r="I46" s="86">
        <f>DONNÉES!$AS$307</f>
        <v/>
      </c>
      <c r="J46" s="86">
        <f>DONNÉES!$AS$308</f>
        <v/>
      </c>
      <c r="K46" s="284">
        <f>DONNÉES!$AS$309</f>
        <v/>
      </c>
      <c r="L46" s="284">
        <f>DONNÉES!$AS$310</f>
        <v/>
      </c>
      <c r="M46" s="284">
        <f>DONNÉES!$AS$311</f>
        <v/>
      </c>
    </row>
    <row r="47" ht="15.6" customFormat="1" customHeight="1" s="476">
      <c r="A47" s="476" t="inlineStr">
        <is>
          <t>HART</t>
        </is>
      </c>
      <c r="B47" s="284">
        <f>DONNÉES!$BA$300</f>
        <v/>
      </c>
      <c r="C47" s="284">
        <f>DONNÉES!$BA$301</f>
        <v/>
      </c>
      <c r="D47" s="284">
        <f>DONNÉES!$BA$302</f>
        <v/>
      </c>
      <c r="E47" s="284">
        <f>DONNÉES!$BA$303</f>
        <v/>
      </c>
      <c r="F47" s="86">
        <f>DONNÉES!$BA$304</f>
        <v/>
      </c>
      <c r="G47" s="86">
        <f>DONNÉES!$BA$305</f>
        <v/>
      </c>
      <c r="H47" s="86">
        <f>DONNÉES!$BA$306</f>
        <v/>
      </c>
      <c r="I47" s="86">
        <f>DONNÉES!$BA$307</f>
        <v/>
      </c>
      <c r="J47" s="86">
        <f>DONNÉES!$BA$308</f>
        <v/>
      </c>
      <c r="K47" s="284">
        <f>DONNÉES!$BA$309</f>
        <v/>
      </c>
      <c r="L47" s="284">
        <f>DONNÉES!$BA$310</f>
        <v/>
      </c>
      <c r="M47" s="284">
        <f>DONNÉES!$BA$311</f>
        <v/>
      </c>
    </row>
    <row r="48" ht="15.6" customFormat="1" customHeight="1" s="476">
      <c r="A48" s="476" t="inlineStr">
        <is>
          <t>VICTOIRE</t>
        </is>
      </c>
      <c r="B48" s="284">
        <f>DONNÉES!$BI$300</f>
        <v/>
      </c>
      <c r="C48" s="284">
        <f>DONNÉES!$BI$301</f>
        <v/>
      </c>
      <c r="D48" s="284">
        <f>DONNÉES!$BI$302</f>
        <v/>
      </c>
      <c r="E48" s="284">
        <f>DONNÉES!$BI$303</f>
        <v/>
      </c>
      <c r="F48" s="86">
        <f>DONNÉES!$BI$304</f>
        <v/>
      </c>
      <c r="G48" s="86">
        <f>DONNÉES!$BI$305</f>
        <v/>
      </c>
      <c r="H48" s="86">
        <f>DONNÉES!$BI$306</f>
        <v/>
      </c>
      <c r="I48" s="86">
        <f>DONNÉES!$BI$307</f>
        <v/>
      </c>
      <c r="J48" s="86">
        <f>DONNÉES!$BI$308</f>
        <v/>
      </c>
      <c r="K48" s="284">
        <f>DONNÉES!$BI$309</f>
        <v/>
      </c>
      <c r="L48" s="284">
        <f>DONNÉES!$BI$310</f>
        <v/>
      </c>
      <c r="M48" s="284">
        <f>DONNÉES!$BI$311</f>
        <v/>
      </c>
    </row>
    <row r="49" ht="15.6" customHeight="1" s="161">
      <c r="A49" s="474" t="inlineStr">
        <is>
          <t>TH4</t>
        </is>
      </c>
      <c r="B49" s="284">
        <f>DONNÉES!$BQ$300</f>
        <v/>
      </c>
      <c r="C49" s="284">
        <f>DONNÉES!$BQ$301</f>
        <v/>
      </c>
      <c r="D49" s="284">
        <f>DONNÉES!$BQ$302</f>
        <v/>
      </c>
      <c r="E49" s="284">
        <f>DONNÉES!$BQ$303</f>
        <v/>
      </c>
      <c r="F49" s="86">
        <f>DONNÉES!$BQ$304</f>
        <v/>
      </c>
      <c r="G49" s="86">
        <f>DONNÉES!$BQ$305</f>
        <v/>
      </c>
      <c r="H49" s="86">
        <f>DONNÉES!$BQ$306</f>
        <v/>
      </c>
      <c r="I49" s="86">
        <f>DONNÉES!$BQ$307</f>
        <v/>
      </c>
      <c r="J49" s="86">
        <f>DONNÉES!$BQ$308</f>
        <v/>
      </c>
      <c r="K49" s="284">
        <f>DONNÉES!$BQ$309</f>
        <v/>
      </c>
      <c r="L49" s="284">
        <f>DONNÉES!$BQ$310</f>
        <v/>
      </c>
      <c r="M49" s="284">
        <f>DONNÉES!$BQ$311</f>
        <v/>
      </c>
    </row>
    <row r="50" ht="15.6" customFormat="1" customHeight="1" s="476">
      <c r="A50" s="476" t="inlineStr">
        <is>
          <t>TL DIVES</t>
        </is>
      </c>
      <c r="B50" s="284">
        <f>DONNÉES!$BY$300</f>
        <v/>
      </c>
      <c r="C50" s="284">
        <f>DONNÉES!$BY$301</f>
        <v/>
      </c>
      <c r="D50" s="284">
        <f>DONNÉES!$BY$302</f>
        <v/>
      </c>
      <c r="E50" s="284">
        <f>DONNÉES!$BY$303</f>
        <v/>
      </c>
      <c r="F50" s="86">
        <f>DONNÉES!$BY$304</f>
        <v/>
      </c>
      <c r="G50" s="86">
        <f>DONNÉES!$BY$305</f>
        <v/>
      </c>
      <c r="H50" s="86">
        <f>DONNÉES!$BY$306</f>
        <v/>
      </c>
      <c r="I50" s="86">
        <f>DONNÉES!$BY$307</f>
        <v/>
      </c>
      <c r="J50" s="86">
        <f>DONNÉES!$BY$308</f>
        <v/>
      </c>
      <c r="K50" s="284">
        <f>DONNÉES!$BY$309</f>
        <v/>
      </c>
      <c r="L50" s="284">
        <f>DONNÉES!$BY$310</f>
        <v/>
      </c>
      <c r="M50" s="284">
        <f>DONNÉES!$BY$311</f>
        <v/>
      </c>
    </row>
    <row r="51" ht="15.6" customFormat="1" customHeight="1" s="476">
      <c r="A51" s="476" t="inlineStr">
        <is>
          <t>R314</t>
        </is>
      </c>
      <c r="B51" s="284">
        <f>DONNÉES!$CG$300</f>
        <v/>
      </c>
      <c r="C51" s="284">
        <f>DONNÉES!$CG$301</f>
        <v/>
      </c>
      <c r="D51" s="284">
        <f>DONNÉES!$CG$302</f>
        <v/>
      </c>
      <c r="E51" s="284">
        <f>DONNÉES!$CG$303</f>
        <v/>
      </c>
      <c r="F51" s="86">
        <f>DONNÉES!$CG$304</f>
        <v/>
      </c>
      <c r="G51" s="86">
        <f>DONNÉES!$CG$305</f>
        <v/>
      </c>
      <c r="H51" s="86">
        <f>DONNÉES!$CG$306</f>
        <v/>
      </c>
      <c r="I51" s="86">
        <f>DONNÉES!$CG$307</f>
        <v/>
      </c>
      <c r="J51" s="86">
        <f>DONNÉES!$CG$308</f>
        <v/>
      </c>
      <c r="K51" s="284">
        <f>DONNÉES!$CG$309</f>
        <v/>
      </c>
      <c r="L51" s="284">
        <f>DONNÉES!$CG$310</f>
        <v/>
      </c>
      <c r="M51" s="284">
        <f>DONNÉES!$CG$311</f>
        <v/>
      </c>
    </row>
    <row r="52" ht="15.6" customFormat="1" customHeight="1" s="476">
      <c r="A52" s="476" t="inlineStr">
        <is>
          <t>LYSE</t>
        </is>
      </c>
      <c r="B52" s="284">
        <f>DONNÉES!$CO$300</f>
        <v/>
      </c>
      <c r="C52" s="284">
        <f>DONNÉES!$CO$301</f>
        <v/>
      </c>
      <c r="D52" s="284">
        <f>DONNÉES!$CO$302</f>
        <v/>
      </c>
      <c r="E52" s="284">
        <f>DONNÉES!$CO$303</f>
        <v/>
      </c>
      <c r="F52" s="86">
        <f>DONNÉES!$CO$304</f>
        <v/>
      </c>
      <c r="G52" s="86">
        <f>DONNÉES!$CO$305</f>
        <v/>
      </c>
      <c r="H52" s="86">
        <f>DONNÉES!$CO$306</f>
        <v/>
      </c>
      <c r="I52" s="86">
        <f>DONNÉES!$CO$307</f>
        <v/>
      </c>
      <c r="J52" s="86">
        <f>DONNÉES!$CO$308</f>
        <v/>
      </c>
      <c r="K52" s="284">
        <f>DONNÉES!$CO$309</f>
        <v/>
      </c>
      <c r="L52" s="284">
        <f>DONNÉES!$CO$310</f>
        <v/>
      </c>
      <c r="M52" s="284">
        <f>DONNÉES!$CO$311</f>
        <v/>
      </c>
    </row>
    <row r="53" ht="22.15" customHeight="1" s="161">
      <c r="A53" s="354" t="inlineStr">
        <is>
          <t xml:space="preserve">       GLOBAL 2022       </t>
        </is>
      </c>
      <c r="B53" s="76">
        <f>SUBTOTAL(109,TRESON2[JANV.])</f>
        <v/>
      </c>
      <c r="C53" s="76">
        <f>SUBTOTAL(109,TRESON2[FÉV.])</f>
        <v/>
      </c>
      <c r="D53" s="76">
        <f>SUBTOTAL(109,TRESON2[MARS])</f>
        <v/>
      </c>
      <c r="E53" s="88">
        <f>SUBTOTAL(109,TRESON2[AVRIL])</f>
        <v/>
      </c>
      <c r="F53" s="76">
        <f>SUBTOTAL(109,TRESON2[MAI])</f>
        <v/>
      </c>
      <c r="G53" s="76">
        <f>SUBTOTAL(109,TRESON2[JUIN])</f>
        <v/>
      </c>
      <c r="H53" s="76">
        <f>SUBTOTAL(109,TRESON2[JUILL.])</f>
        <v/>
      </c>
      <c r="I53" s="76">
        <f>SUBTOTAL(109,TRESON2[AOÛT])</f>
        <v/>
      </c>
      <c r="J53" s="76">
        <f>SUBTOTAL(109,TRESON2[SEPT.])</f>
        <v/>
      </c>
      <c r="K53" s="88">
        <f>SUBTOTAL(109,TRESON2[OCT.])</f>
        <v/>
      </c>
      <c r="L53" s="88">
        <f>SUBTOTAL(109,TRESON2[NOV.])</f>
        <v/>
      </c>
      <c r="M53" s="88">
        <f>SUBTOTAL(109,TRESON2[DÉC.])</f>
        <v/>
      </c>
    </row>
    <row r="54" ht="22.15" customHeight="1" s="161">
      <c r="K54" s="84" t="n"/>
    </row>
    <row r="55" ht="22.15" customHeight="1" s="161"/>
    <row r="56" ht="24" customHeight="1" s="161">
      <c r="A56" s="474" t="inlineStr">
        <is>
          <t>TRÉSORERIE 2021 (EN K€)</t>
        </is>
      </c>
      <c r="B56" s="80" t="inlineStr">
        <is>
          <t>JANV.</t>
        </is>
      </c>
      <c r="C56" s="80" t="inlineStr">
        <is>
          <t>FÉV.</t>
        </is>
      </c>
      <c r="D56" s="80" t="inlineStr">
        <is>
          <t>MARS</t>
        </is>
      </c>
      <c r="E56" s="80" t="inlineStr">
        <is>
          <t>AVRIL</t>
        </is>
      </c>
      <c r="F56" s="80" t="inlineStr">
        <is>
          <t>MAI</t>
        </is>
      </c>
      <c r="G56" s="80" t="inlineStr">
        <is>
          <t>JUIN</t>
        </is>
      </c>
      <c r="H56" s="80" t="inlineStr">
        <is>
          <t>JUILL.</t>
        </is>
      </c>
      <c r="I56" s="80" t="inlineStr">
        <is>
          <t>AOÛT</t>
        </is>
      </c>
      <c r="J56" s="80" t="inlineStr">
        <is>
          <t>SEPT.</t>
        </is>
      </c>
      <c r="K56" s="80" t="inlineStr">
        <is>
          <t>OCT.</t>
        </is>
      </c>
      <c r="L56" s="80" t="inlineStr">
        <is>
          <t>NOV.</t>
        </is>
      </c>
      <c r="M56" s="80" t="inlineStr">
        <is>
          <t>DÉC.</t>
        </is>
      </c>
    </row>
    <row r="57" ht="15.6" customFormat="1" customHeight="1" s="476">
      <c r="A57" s="476" t="inlineStr">
        <is>
          <t>GLR5</t>
        </is>
      </c>
      <c r="B57" s="284">
        <f>DONNÉES!$N$300</f>
        <v/>
      </c>
      <c r="C57" s="284">
        <f>DONNÉES!$N$301</f>
        <v/>
      </c>
      <c r="D57" s="284">
        <f>DONNÉES!$N$302</f>
        <v/>
      </c>
      <c r="E57" s="284">
        <f>DONNÉES!$N$303</f>
        <v/>
      </c>
      <c r="F57" s="86">
        <f>DONNÉES!$N$304</f>
        <v/>
      </c>
      <c r="G57" s="86">
        <f>DONNÉES!$N$305</f>
        <v/>
      </c>
      <c r="H57" s="86">
        <f>DONNÉES!$N$306</f>
        <v/>
      </c>
      <c r="I57" s="86">
        <f>DONNÉES!$N$307</f>
        <v/>
      </c>
      <c r="J57" s="86">
        <f>DONNÉES!$N$308</f>
        <v/>
      </c>
      <c r="K57" s="284">
        <f>DONNÉES!$N$309</f>
        <v/>
      </c>
      <c r="L57" s="284">
        <f>DONNÉES!$N$310</f>
        <v/>
      </c>
      <c r="M57" s="284">
        <f>DONNÉES!$N$311</f>
        <v/>
      </c>
    </row>
    <row r="58" ht="15.6" customFormat="1" customHeight="1" s="476">
      <c r="A58" s="476" t="inlineStr">
        <is>
          <t>HTR8</t>
        </is>
      </c>
      <c r="B58" s="284">
        <f>DONNÉES!$V$300</f>
        <v/>
      </c>
      <c r="C58" s="284">
        <f>DONNÉES!$V$301</f>
        <v/>
      </c>
      <c r="D58" s="284">
        <f>DONNÉES!$V$302</f>
        <v/>
      </c>
      <c r="E58" s="284">
        <f>DONNÉES!$V$303</f>
        <v/>
      </c>
      <c r="F58" s="86">
        <f>DONNÉES!$V$304</f>
        <v/>
      </c>
      <c r="G58" s="86">
        <f>DONNÉES!$V$305</f>
        <v/>
      </c>
      <c r="H58" s="86">
        <f>DONNÉES!$V$306</f>
        <v/>
      </c>
      <c r="I58" s="86">
        <f>DONNÉES!$V$307</f>
        <v/>
      </c>
      <c r="J58" s="86">
        <f>DONNÉES!$V$308</f>
        <v/>
      </c>
      <c r="K58" s="284">
        <f>DONNÉES!$V$309</f>
        <v/>
      </c>
      <c r="L58" s="284">
        <f>DONNÉES!$V$310</f>
        <v/>
      </c>
      <c r="M58" s="284">
        <f>DONNÉES!$V$311</f>
        <v/>
      </c>
    </row>
    <row r="59" ht="15.6" customFormat="1" customHeight="1" s="476">
      <c r="A59" s="476" t="inlineStr">
        <is>
          <t>TIRR</t>
        </is>
      </c>
      <c r="B59" s="284">
        <f>DONNÉES!$AD$300</f>
        <v/>
      </c>
      <c r="C59" s="284">
        <f>DONNÉES!$AD$301</f>
        <v/>
      </c>
      <c r="D59" s="284">
        <f>DONNÉES!$AD$302</f>
        <v/>
      </c>
      <c r="E59" s="284">
        <f>DONNÉES!$AD$303</f>
        <v/>
      </c>
      <c r="F59" s="86">
        <f>DONNÉES!$AD$304</f>
        <v/>
      </c>
      <c r="G59" s="86">
        <f>DONNÉES!$AD$305</f>
        <v/>
      </c>
      <c r="H59" s="86">
        <f>DONNÉES!$AD$306</f>
        <v/>
      </c>
      <c r="I59" s="86">
        <f>DONNÉES!$AD$307</f>
        <v/>
      </c>
      <c r="J59" s="86">
        <f>DONNÉES!$AD$308</f>
        <v/>
      </c>
      <c r="K59" s="284">
        <f>DONNÉES!$AD$309</f>
        <v/>
      </c>
      <c r="L59" s="284">
        <f>DONNÉES!$AD$310</f>
        <v/>
      </c>
      <c r="M59" s="284">
        <f>DONNÉES!$AD$311</f>
        <v/>
      </c>
    </row>
    <row r="60" ht="15.6" customHeight="1" s="161">
      <c r="A60" s="474" t="inlineStr">
        <is>
          <t>VR7</t>
        </is>
      </c>
      <c r="B60" s="284">
        <f>DONNÉES!$AL$300</f>
        <v/>
      </c>
      <c r="C60" s="284">
        <f>DONNÉES!$AL$301</f>
        <v/>
      </c>
      <c r="D60" s="284">
        <f>DONNÉES!$AL$302</f>
        <v/>
      </c>
      <c r="E60" s="284">
        <f>DONNÉES!$AL$303</f>
        <v/>
      </c>
      <c r="F60" s="86">
        <f>DONNÉES!$AL$304</f>
        <v/>
      </c>
      <c r="G60" s="86">
        <f>DONNÉES!$AL$305</f>
        <v/>
      </c>
      <c r="H60" s="86">
        <f>DONNÉES!$AL$306</f>
        <v/>
      </c>
      <c r="I60" s="86">
        <f>DONNÉES!$AL$307</f>
        <v/>
      </c>
      <c r="J60" s="86">
        <f>DONNÉES!$AL$308</f>
        <v/>
      </c>
      <c r="K60" s="284">
        <f>DONNÉES!$AL$309</f>
        <v/>
      </c>
      <c r="L60" s="284">
        <f>DONNÉES!$AL$310</f>
        <v/>
      </c>
      <c r="M60" s="284">
        <f>DONNÉES!$AL$311</f>
        <v/>
      </c>
    </row>
    <row r="61" ht="15.6" customFormat="1" customHeight="1" s="476">
      <c r="A61" s="476" t="inlineStr">
        <is>
          <t>TURVILLA</t>
        </is>
      </c>
      <c r="B61" s="284">
        <f>DONNÉES!$AT$300</f>
        <v/>
      </c>
      <c r="C61" s="284">
        <f>DONNÉES!$AT$301</f>
        <v/>
      </c>
      <c r="D61" s="284">
        <f>DONNÉES!$AT$302</f>
        <v/>
      </c>
      <c r="E61" s="284">
        <f>DONNÉES!$AT$303</f>
        <v/>
      </c>
      <c r="F61" s="86">
        <f>DONNÉES!$AT$304</f>
        <v/>
      </c>
      <c r="G61" s="86">
        <f>DONNÉES!$AT$305</f>
        <v/>
      </c>
      <c r="H61" s="86">
        <f>DONNÉES!$AT$306</f>
        <v/>
      </c>
      <c r="I61" s="86">
        <f>DONNÉES!$AT$307</f>
        <v/>
      </c>
      <c r="J61" s="86">
        <f>DONNÉES!$AT$308</f>
        <v/>
      </c>
      <c r="K61" s="284">
        <f>DONNÉES!$AT$309</f>
        <v/>
      </c>
      <c r="L61" s="284">
        <f>DONNÉES!$AT$310</f>
        <v/>
      </c>
      <c r="M61" s="284">
        <f>DONNÉES!$AT$311</f>
        <v/>
      </c>
    </row>
    <row r="62" ht="15.6" customFormat="1" customHeight="1" s="476">
      <c r="A62" s="476" t="inlineStr">
        <is>
          <t>HART</t>
        </is>
      </c>
      <c r="B62" s="284">
        <f>DONNÉES!$BB$300</f>
        <v/>
      </c>
      <c r="C62" s="284">
        <f>DONNÉES!$BB$301</f>
        <v/>
      </c>
      <c r="D62" s="284">
        <f>DONNÉES!$BB$302</f>
        <v/>
      </c>
      <c r="E62" s="284">
        <f>DONNÉES!$BB$303</f>
        <v/>
      </c>
      <c r="F62" s="86">
        <f>DONNÉES!$BB$304</f>
        <v/>
      </c>
      <c r="G62" s="86">
        <f>DONNÉES!$BB$305</f>
        <v/>
      </c>
      <c r="H62" s="86">
        <f>DONNÉES!$BB$306</f>
        <v/>
      </c>
      <c r="I62" s="86">
        <f>DONNÉES!$BB$307</f>
        <v/>
      </c>
      <c r="J62" s="86">
        <f>DONNÉES!$BB$308</f>
        <v/>
      </c>
      <c r="K62" s="284">
        <f>DONNÉES!$BB$309</f>
        <v/>
      </c>
      <c r="L62" s="284">
        <f>DONNÉES!$BB$310</f>
        <v/>
      </c>
      <c r="M62" s="284">
        <f>DONNÉES!$BB$311</f>
        <v/>
      </c>
    </row>
    <row r="63" ht="15.6" customFormat="1" customHeight="1" s="476">
      <c r="A63" s="476" t="inlineStr">
        <is>
          <t>VICTOIRE</t>
        </is>
      </c>
      <c r="B63" s="284">
        <f>DONNÉES!$BJ$300</f>
        <v/>
      </c>
      <c r="C63" s="284">
        <f>DONNÉES!$BJ$301</f>
        <v/>
      </c>
      <c r="D63" s="284">
        <f>DONNÉES!$BJ$302</f>
        <v/>
      </c>
      <c r="E63" s="284">
        <f>DONNÉES!$BJ$303</f>
        <v/>
      </c>
      <c r="F63" s="86">
        <f>DONNÉES!$BJ$304</f>
        <v/>
      </c>
      <c r="G63" s="86">
        <f>DONNÉES!$BJ$305</f>
        <v/>
      </c>
      <c r="H63" s="86">
        <f>DONNÉES!$BJ$306</f>
        <v/>
      </c>
      <c r="I63" s="86">
        <f>DONNÉES!$BJ$307</f>
        <v/>
      </c>
      <c r="J63" s="86">
        <f>DONNÉES!$BJ$308</f>
        <v/>
      </c>
      <c r="K63" s="284">
        <f>DONNÉES!$BJ$309</f>
        <v/>
      </c>
      <c r="L63" s="284">
        <f>DONNÉES!$BJ$310</f>
        <v/>
      </c>
      <c r="M63" s="284">
        <f>DONNÉES!$BJ$311</f>
        <v/>
      </c>
    </row>
    <row r="64" ht="15.6" customHeight="1" s="161">
      <c r="A64" s="474" t="inlineStr">
        <is>
          <t>TH4</t>
        </is>
      </c>
      <c r="B64" s="284">
        <f>DONNÉES!$BR$300</f>
        <v/>
      </c>
      <c r="C64" s="284">
        <f>DONNÉES!$BR$301</f>
        <v/>
      </c>
      <c r="D64" s="284">
        <f>DONNÉES!$BR$302</f>
        <v/>
      </c>
      <c r="E64" s="284">
        <f>DONNÉES!$BR$303</f>
        <v/>
      </c>
      <c r="F64" s="86">
        <f>DONNÉES!$BR$304</f>
        <v/>
      </c>
      <c r="G64" s="86">
        <f>DONNÉES!$BR$305</f>
        <v/>
      </c>
      <c r="H64" s="86">
        <f>DONNÉES!$BR$306</f>
        <v/>
      </c>
      <c r="I64" s="86">
        <f>DONNÉES!$BR$307</f>
        <v/>
      </c>
      <c r="J64" s="86">
        <f>DONNÉES!$BR$308</f>
        <v/>
      </c>
      <c r="K64" s="284">
        <f>DONNÉES!$BR$309</f>
        <v/>
      </c>
      <c r="L64" s="284">
        <f>DONNÉES!$BR$310</f>
        <v/>
      </c>
      <c r="M64" s="284">
        <f>DONNÉES!$BR$311</f>
        <v/>
      </c>
    </row>
    <row r="65" ht="15.6" customFormat="1" customHeight="1" s="476">
      <c r="A65" s="476" t="inlineStr">
        <is>
          <t>TL DIVES</t>
        </is>
      </c>
      <c r="B65" s="284">
        <f>DONNÉES!$BZ$300</f>
        <v/>
      </c>
      <c r="C65" s="284">
        <f>DONNÉES!$BZ$301</f>
        <v/>
      </c>
      <c r="D65" s="284">
        <f>DONNÉES!$BZ$302</f>
        <v/>
      </c>
      <c r="E65" s="284">
        <f>DONNÉES!$BZ$303</f>
        <v/>
      </c>
      <c r="F65" s="86">
        <f>DONNÉES!$BZ$304</f>
        <v/>
      </c>
      <c r="G65" s="86">
        <f>DONNÉES!$BZ$305</f>
        <v/>
      </c>
      <c r="H65" s="86">
        <f>DONNÉES!$BZ$306</f>
        <v/>
      </c>
      <c r="I65" s="86">
        <f>DONNÉES!$BZ$307</f>
        <v/>
      </c>
      <c r="J65" s="86">
        <f>DONNÉES!$BZ$308</f>
        <v/>
      </c>
      <c r="K65" s="284">
        <f>DONNÉES!$BZ$309</f>
        <v/>
      </c>
      <c r="L65" s="284">
        <f>DONNÉES!$BZ$310</f>
        <v/>
      </c>
      <c r="M65" s="284">
        <f>DONNÉES!$BZ$311</f>
        <v/>
      </c>
    </row>
    <row r="66" ht="15.6" customFormat="1" customHeight="1" s="476">
      <c r="A66" s="476" t="inlineStr">
        <is>
          <t>R314</t>
        </is>
      </c>
      <c r="B66" s="284">
        <f>DONNÉES!$CH$300</f>
        <v/>
      </c>
      <c r="C66" s="284">
        <f>DONNÉES!$CH$301</f>
        <v/>
      </c>
      <c r="D66" s="284">
        <f>DONNÉES!$CH$302</f>
        <v/>
      </c>
      <c r="E66" s="284">
        <f>DONNÉES!$CH$303</f>
        <v/>
      </c>
      <c r="F66" s="86">
        <f>DONNÉES!$CH$304</f>
        <v/>
      </c>
      <c r="G66" s="86">
        <f>DONNÉES!$CH$305</f>
        <v/>
      </c>
      <c r="H66" s="86">
        <f>DONNÉES!$CH$306</f>
        <v/>
      </c>
      <c r="I66" s="86">
        <f>DONNÉES!$CH$307</f>
        <v/>
      </c>
      <c r="J66" s="86">
        <f>DONNÉES!$CH$308</f>
        <v/>
      </c>
      <c r="K66" s="284">
        <f>DONNÉES!$CH$309</f>
        <v/>
      </c>
      <c r="L66" s="284">
        <f>DONNÉES!$CH$310</f>
        <v/>
      </c>
      <c r="M66" s="284">
        <f>DONNÉES!$CH$311</f>
        <v/>
      </c>
    </row>
    <row r="67" ht="15.6" customFormat="1" customHeight="1" s="476">
      <c r="A67" s="476" t="inlineStr">
        <is>
          <t>LYSE</t>
        </is>
      </c>
      <c r="B67" s="284">
        <f>DONNÉES!$CP$300</f>
        <v/>
      </c>
      <c r="C67" s="284">
        <f>DONNÉES!$CP$301</f>
        <v/>
      </c>
      <c r="D67" s="284">
        <f>DONNÉES!$CP$302</f>
        <v/>
      </c>
      <c r="E67" s="284">
        <f>DONNÉES!$CP$303</f>
        <v/>
      </c>
      <c r="F67" s="86">
        <f>DONNÉES!$CP$304</f>
        <v/>
      </c>
      <c r="G67" s="86">
        <f>DONNÉES!$CP$305</f>
        <v/>
      </c>
      <c r="H67" s="86">
        <f>DONNÉES!$CP$306</f>
        <v/>
      </c>
      <c r="I67" s="86">
        <f>DONNÉES!$CP$307</f>
        <v/>
      </c>
      <c r="J67" s="86">
        <f>DONNÉES!$CP$308</f>
        <v/>
      </c>
      <c r="K67" s="284">
        <f>DONNÉES!$CP$309</f>
        <v/>
      </c>
      <c r="L67" s="284">
        <f>DONNÉES!$CP$310</f>
        <v/>
      </c>
      <c r="M67" s="284">
        <f>DONNÉES!$CP$311</f>
        <v/>
      </c>
    </row>
    <row r="68" ht="22.15" customHeight="1" s="161">
      <c r="A68" s="354" t="inlineStr">
        <is>
          <t xml:space="preserve">        GLOBAL 2021         </t>
        </is>
      </c>
      <c r="B68" s="76">
        <f>SUBTOTAL(109,TRESON3[JANV.])</f>
        <v/>
      </c>
      <c r="C68" s="76">
        <f>SUBTOTAL(109,TRESON3[FÉV.])</f>
        <v/>
      </c>
      <c r="D68" s="76">
        <f>SUBTOTAL(109,TRESON3[MARS])</f>
        <v/>
      </c>
      <c r="E68" s="88">
        <f>SUBTOTAL(109,TRESON3[AVRIL])</f>
        <v/>
      </c>
      <c r="F68" s="76">
        <f>SUBTOTAL(109,TRESON3[MAI])</f>
        <v/>
      </c>
      <c r="G68" s="76">
        <f>SUBTOTAL(109,TRESON3[JUIN])</f>
        <v/>
      </c>
      <c r="H68" s="76">
        <f>SUBTOTAL(109,TRESON3[JUILL.])</f>
        <v/>
      </c>
      <c r="I68" s="76">
        <f>SUBTOTAL(109,TRESON3[AOÛT])</f>
        <v/>
      </c>
      <c r="J68" s="76">
        <f>SUBTOTAL(109,TRESON3[SEPT.])</f>
        <v/>
      </c>
      <c r="K68" s="88">
        <f>SUBTOTAL(109,TRESON3[OCT.])</f>
        <v/>
      </c>
      <c r="L68" s="88">
        <f>SUBTOTAL(109,TRESON3[NOV.])</f>
        <v/>
      </c>
      <c r="M68" s="88">
        <f>SUBTOTAL(109,TRESON3[DÉC.])</f>
        <v/>
      </c>
    </row>
    <row r="76">
      <c r="F76" s="83" t="n"/>
      <c r="G76" s="83" t="n"/>
      <c r="H76" s="83" t="n"/>
      <c r="I76" s="83" t="n"/>
      <c r="J76" s="83" t="n"/>
    </row>
  </sheetData>
  <mergeCells count="1">
    <mergeCell ref="A3:M3"/>
  </mergeCells>
  <pageMargins left="0.7086614173228347" right="0.7086614173228347" top="0.7480314960629921" bottom="0.7480314960629921" header="0.3149606299212598" footer="0.3149606299212598"/>
  <pageSetup orientation="portrait" paperSize="9" scale="65"/>
  <headerFooter>
    <oddHeader/>
    <oddFooter>&amp;C&amp;"Helv,Gras"&amp;11 Page &amp;P / &amp;N</oddFooter>
    <evenHeader/>
    <evenFooter/>
    <firstHeader/>
    <firstFooter/>
  </headerFooter>
  <tableParts count="4">
    <tablePart xmlns:r="http://schemas.openxmlformats.org/officeDocument/2006/relationships" r:id="rId1"/>
    <tablePart xmlns:r="http://schemas.openxmlformats.org/officeDocument/2006/relationships" r:id="rId2"/>
    <tablePart xmlns:r="http://schemas.openxmlformats.org/officeDocument/2006/relationships" r:id="rId3"/>
    <tablePart xmlns:r="http://schemas.openxmlformats.org/officeDocument/2006/relationships" r:id="rId4"/>
  </tableParts>
</worksheet>
</file>

<file path=xl/worksheets/sheet106.xml><?xml version="1.0" encoding="utf-8"?>
<worksheet xmlns="http://schemas.openxmlformats.org/spreadsheetml/2006/main">
  <sheetPr codeName="Feuil103">
    <tabColor rgb="FF92D050"/>
    <outlinePr summaryBelow="1" summaryRight="1"/>
    <pageSetUpPr/>
  </sheetPr>
  <dimension ref="A1:V254"/>
  <sheetViews>
    <sheetView showGridLines="0" view="pageBreakPreview" topLeftCell="A109" zoomScale="85" zoomScaleNormal="115" zoomScaleSheetLayoutView="85" workbookViewId="0">
      <selection activeCell="G26" activeCellId="2" sqref="E16 M26 G26"/>
    </sheetView>
  </sheetViews>
  <sheetFormatPr baseColWidth="10" defaultColWidth="11.42578125" defaultRowHeight="12.75"/>
  <cols>
    <col width="14.28515625" customWidth="1" style="474" min="1" max="1"/>
    <col width="7.85546875" customWidth="1" style="478" min="2" max="3"/>
    <col width="7.85546875" customWidth="1" style="101" min="4" max="4"/>
    <col width="7.85546875" customWidth="1" style="478" min="5" max="6"/>
    <col width="7.85546875" customWidth="1" style="479" min="7" max="7"/>
    <col width="7.85546875" customWidth="1" style="475" min="8" max="9"/>
    <col width="7.85546875" customWidth="1" style="478" min="10" max="11"/>
    <col width="7.85546875" customWidth="1" style="101" min="12" max="12"/>
    <col width="7.85546875" customWidth="1" style="479" min="13" max="13"/>
    <col width="7.85546875" customWidth="1" style="474" min="14" max="17"/>
    <col width="4.28515625" customWidth="1" style="474" min="18" max="18"/>
    <col width="7.85546875" customWidth="1" style="474" min="19" max="22"/>
    <col width="11.42578125" customWidth="1" style="474" min="23" max="16384"/>
  </cols>
  <sheetData>
    <row r="1">
      <c r="A1" s="372" t="inlineStr">
        <is>
          <t>GROUPE REGIS REGO DE SEBES</t>
        </is>
      </c>
      <c r="B1" s="480" t="n"/>
      <c r="C1" s="480" t="n"/>
      <c r="D1" s="98" t="n"/>
      <c r="E1" s="480" t="n"/>
      <c r="F1" s="480" t="n"/>
      <c r="G1" s="481" t="n"/>
      <c r="H1" s="474" t="n"/>
      <c r="I1" s="474" t="n"/>
      <c r="J1" s="482" t="n"/>
      <c r="V1" s="483">
        <f>CONCATENATE("P&amp;L ",RIGHT(DONNÉES!B5,LEN(DONNÉES!B5)-3))</f>
        <v/>
      </c>
    </row>
    <row r="2">
      <c r="A2" s="372" t="n"/>
      <c r="B2" s="480" t="n"/>
      <c r="C2" s="480" t="n"/>
      <c r="D2" s="98" t="n"/>
      <c r="E2" s="480" t="n"/>
      <c r="F2" s="480" t="n"/>
      <c r="G2" s="481" t="n"/>
      <c r="H2" s="373" t="n"/>
      <c r="I2" s="373" t="n"/>
      <c r="J2" s="484" t="n"/>
    </row>
    <row r="3" ht="15.6" customHeight="1" s="161">
      <c r="A3" s="374" t="inlineStr">
        <is>
          <t>Transactions détail</t>
        </is>
      </c>
    </row>
    <row r="4" ht="14.65" customHeight="1" s="161">
      <c r="A4" s="485" t="n"/>
      <c r="B4" s="486" t="inlineStr">
        <is>
          <t>Sur place</t>
        </is>
      </c>
      <c r="C4" s="487" t="n"/>
      <c r="D4" s="487" t="n"/>
      <c r="E4" s="488" t="n"/>
      <c r="F4" s="486" t="inlineStr">
        <is>
          <t>A emporter</t>
        </is>
      </c>
      <c r="G4" s="487" t="n"/>
      <c r="H4" s="487" t="n"/>
      <c r="I4" s="488" t="n"/>
      <c r="J4" s="486" t="inlineStr">
        <is>
          <t>Mc Drive</t>
        </is>
      </c>
      <c r="K4" s="487" t="n"/>
      <c r="L4" s="487" t="n"/>
      <c r="M4" s="488" t="n"/>
      <c r="N4" s="489" t="inlineStr">
        <is>
          <t>Kiosque</t>
        </is>
      </c>
      <c r="O4" s="487" t="n"/>
      <c r="P4" s="487" t="n"/>
      <c r="Q4" s="487" t="n"/>
      <c r="S4" s="489" t="inlineStr">
        <is>
          <t>Total</t>
        </is>
      </c>
      <c r="T4" s="487" t="n"/>
      <c r="U4" s="487" t="n"/>
      <c r="V4" s="487" t="n"/>
    </row>
    <row r="5" ht="28.9" customHeight="1" s="161">
      <c r="A5" s="490" t="inlineStr">
        <is>
          <t>GLR5</t>
        </is>
      </c>
      <c r="B5" s="491" t="inlineStr">
        <is>
          <t>2024</t>
        </is>
      </c>
      <c r="C5" s="492" t="inlineStr">
        <is>
          <t>2023</t>
        </is>
      </c>
      <c r="D5" s="491" t="inlineStr">
        <is>
          <t>2024 cumul</t>
        </is>
      </c>
      <c r="E5" s="493" t="inlineStr">
        <is>
          <t>2023 cumul</t>
        </is>
      </c>
      <c r="F5" s="211" t="inlineStr">
        <is>
          <t xml:space="preserve">2024  </t>
        </is>
      </c>
      <c r="G5" s="492" t="inlineStr">
        <is>
          <t xml:space="preserve">2023  </t>
        </is>
      </c>
      <c r="H5" s="491" t="inlineStr">
        <is>
          <t xml:space="preserve">2024 cumul </t>
        </is>
      </c>
      <c r="I5" s="493" t="inlineStr">
        <is>
          <t xml:space="preserve">2023 cumul </t>
        </is>
      </c>
      <c r="J5" s="491" t="inlineStr">
        <is>
          <t xml:space="preserve">2024   </t>
        </is>
      </c>
      <c r="K5" s="492" t="inlineStr">
        <is>
          <t xml:space="preserve">2023   </t>
        </is>
      </c>
      <c r="L5" s="491" t="inlineStr">
        <is>
          <t xml:space="preserve">2024 cumul   </t>
        </is>
      </c>
      <c r="M5" s="493" t="inlineStr">
        <is>
          <t xml:space="preserve">2023 cumul   </t>
        </is>
      </c>
      <c r="N5" s="491" t="inlineStr">
        <is>
          <t xml:space="preserve">2024    </t>
        </is>
      </c>
      <c r="O5" s="492" t="inlineStr">
        <is>
          <t xml:space="preserve">2023    </t>
        </is>
      </c>
      <c r="P5" s="491" t="inlineStr">
        <is>
          <t xml:space="preserve">2024 cumul    </t>
        </is>
      </c>
      <c r="Q5" s="94" t="inlineStr">
        <is>
          <t xml:space="preserve">2023 cumul    </t>
        </is>
      </c>
      <c r="S5" s="491" t="inlineStr">
        <is>
          <t>2024</t>
        </is>
      </c>
      <c r="T5" s="492" t="inlineStr">
        <is>
          <t>2023</t>
        </is>
      </c>
      <c r="U5" s="491" t="inlineStr">
        <is>
          <t>2024 cumul</t>
        </is>
      </c>
      <c r="V5" s="493" t="inlineStr">
        <is>
          <t>2023 cumul</t>
        </is>
      </c>
    </row>
    <row r="6" ht="11.65" customFormat="1" customHeight="1" s="476">
      <c r="A6" s="494" t="inlineStr">
        <is>
          <t>Janvier</t>
        </is>
      </c>
      <c r="B6" s="366">
        <f>IF(DONNÉES!K44="","",DONNÉES!K44)</f>
        <v/>
      </c>
      <c r="C6" s="495">
        <f>IF(TRDGLR5[[#This Row],[2024]]="","",DONNÉES!L44)</f>
        <v/>
      </c>
      <c r="D6" s="366">
        <f>IF(TRDGLR5[[#This Row],[2024]]="","",DONNÉES!K124)</f>
        <v/>
      </c>
      <c r="E6" s="496">
        <f>IF(TRDGLR5[[#This Row],[2024]]="","",DONNÉES!L124)</f>
        <v/>
      </c>
      <c r="F6" s="366">
        <f>IF(TRDGLR5[[#This Row],[2024]]="","",DONNÉES!K60)</f>
        <v/>
      </c>
      <c r="G6" s="495">
        <f>IF(TRDGLR5[[#This Row],[2024]]="","",DONNÉES!L60)</f>
        <v/>
      </c>
      <c r="H6" s="366">
        <f>IF(TRDGLR5[[#This Row],[2024]]="","",DONNÉES!K140)</f>
        <v/>
      </c>
      <c r="I6" s="496">
        <f>IF(TRDGLR5[[#This Row],[2024]]="","",DONNÉES!L140)</f>
        <v/>
      </c>
      <c r="J6" s="366">
        <f>IF(TRDGLR5[[#This Row],[2024]]="","",DONNÉES!K76)</f>
        <v/>
      </c>
      <c r="K6" s="495">
        <f>IF(TRDGLR5[[#This Row],[2024]]="","",DONNÉES!L76)</f>
        <v/>
      </c>
      <c r="L6" s="366">
        <f>IF(TRDGLR5[[#This Row],[2024]]="","",DONNÉES!K156)</f>
        <v/>
      </c>
      <c r="M6" s="496">
        <f>IF(TRDGLR5[[#This Row],[2024]]="","",DONNÉES!L156)</f>
        <v/>
      </c>
      <c r="N6" s="366">
        <f>IF(TRDGLR5[[#This Row],[2024]]="","",DONNÉES!K92)</f>
        <v/>
      </c>
      <c r="O6" s="495">
        <f>IF(TRDGLR5[[#This Row],[2024]]="","",DONNÉES!L92)</f>
        <v/>
      </c>
      <c r="P6" s="366">
        <f>IF(TRDGLR5[[#This Row],[2024]]="","",DONNÉES!K172)</f>
        <v/>
      </c>
      <c r="Q6" s="497">
        <f>IF(TRDGLR5[[#This Row],[2024]]="","",DONNÉES!L172)</f>
        <v/>
      </c>
      <c r="R6" s="498" t="n"/>
      <c r="S6" s="366">
        <f>IF(TRDGLR5[[#This Row],[2024]]="","",DONNÉES!K108)</f>
        <v/>
      </c>
      <c r="T6" s="495">
        <f>IF(TRDGLR5[[#This Row],[2024]]="","",DONNÉES!L108)</f>
        <v/>
      </c>
      <c r="U6" s="366">
        <f>IF(TRDGLR5[[#This Row],[2024]]="","",DONNÉES!K188)</f>
        <v/>
      </c>
      <c r="V6" s="366">
        <f>IF(TRDGLR5[[#This Row],[2024]]="","",DONNÉES!L188)</f>
        <v/>
      </c>
    </row>
    <row r="7" ht="11.65" customFormat="1" customHeight="1" s="476">
      <c r="A7" s="494" t="inlineStr">
        <is>
          <t>Février</t>
        </is>
      </c>
      <c r="B7" s="366">
        <f>IF(DONNÉES!K45="","",DONNÉES!K45)</f>
        <v/>
      </c>
      <c r="C7" s="495">
        <f>IF(TRDGLR5[[#This Row],[2024]]="","",DONNÉES!L45)</f>
        <v/>
      </c>
      <c r="D7" s="366">
        <f>IF(TRDGLR5[[#This Row],[2024]]="","",DONNÉES!K125)</f>
        <v/>
      </c>
      <c r="E7" s="496">
        <f>IF(TRDGLR5[[#This Row],[2024]]="","",DONNÉES!L125)</f>
        <v/>
      </c>
      <c r="F7" s="366">
        <f>IF(TRDGLR5[[#This Row],[2024]]="","",DONNÉES!K61)</f>
        <v/>
      </c>
      <c r="G7" s="495">
        <f>IF(TRDGLR5[[#This Row],[2024]]="","",DONNÉES!L61)</f>
        <v/>
      </c>
      <c r="H7" s="366">
        <f>IF(TRDGLR5[[#This Row],[2024]]="","",DONNÉES!K141)</f>
        <v/>
      </c>
      <c r="I7" s="496">
        <f>IF(TRDGLR5[[#This Row],[2024]]="","",DONNÉES!L141)</f>
        <v/>
      </c>
      <c r="J7" s="366">
        <f>IF(TRDGLR5[[#This Row],[2024]]="","",DONNÉES!K77)</f>
        <v/>
      </c>
      <c r="K7" s="495">
        <f>IF(TRDGLR5[[#This Row],[2024]]="","",DONNÉES!L77)</f>
        <v/>
      </c>
      <c r="L7" s="366">
        <f>IF(TRDGLR5[[#This Row],[2024]]="","",DONNÉES!K157)</f>
        <v/>
      </c>
      <c r="M7" s="496">
        <f>IF(TRDGLR5[[#This Row],[2024]]="","",DONNÉES!L157)</f>
        <v/>
      </c>
      <c r="N7" s="366">
        <f>IF(TRDGLR5[[#This Row],[2024]]="","",DONNÉES!K93)</f>
        <v/>
      </c>
      <c r="O7" s="495">
        <f>IF(TRDGLR5[[#This Row],[2024]]="","",DONNÉES!L93)</f>
        <v/>
      </c>
      <c r="P7" s="366">
        <f>IF(TRDGLR5[[#This Row],[2024]]="","",DONNÉES!K173)</f>
        <v/>
      </c>
      <c r="Q7" s="497">
        <f>IF(TRDGLR5[[#This Row],[2024]]="","",DONNÉES!L173)</f>
        <v/>
      </c>
      <c r="R7" s="498" t="n"/>
      <c r="S7" s="366">
        <f>IF(TRDGLR5[[#This Row],[2024]]="","",DONNÉES!K109)</f>
        <v/>
      </c>
      <c r="T7" s="495">
        <f>IF(TRDGLR5[[#This Row],[2024]]="","",DONNÉES!L109)</f>
        <v/>
      </c>
      <c r="U7" s="366">
        <f>IF(TRDGLR5[[#This Row],[2024]]="","",DONNÉES!K189)</f>
        <v/>
      </c>
      <c r="V7" s="366">
        <f>IF(TRDGLR5[[#This Row],[2024]]="","",DONNÉES!L189)</f>
        <v/>
      </c>
    </row>
    <row r="8" ht="11.65" customFormat="1" customHeight="1" s="476">
      <c r="A8" s="490" t="inlineStr">
        <is>
          <t>Mars</t>
        </is>
      </c>
      <c r="B8" s="366">
        <f>IF(DONNÉES!K46="","",DONNÉES!K46)</f>
        <v/>
      </c>
      <c r="C8" s="495">
        <f>IF(TRDGLR5[[#This Row],[2024]]="","",DONNÉES!L46)</f>
        <v/>
      </c>
      <c r="D8" s="366">
        <f>IF(TRDGLR5[[#This Row],[2024]]="","",DONNÉES!K126)</f>
        <v/>
      </c>
      <c r="E8" s="496">
        <f>IF(TRDGLR5[[#This Row],[2024]]="","",DONNÉES!L126)</f>
        <v/>
      </c>
      <c r="F8" s="366">
        <f>IF(TRDGLR5[[#This Row],[2024]]="","",DONNÉES!K62)</f>
        <v/>
      </c>
      <c r="G8" s="495">
        <f>IF(TRDGLR5[[#This Row],[2024]]="","",DONNÉES!L62)</f>
        <v/>
      </c>
      <c r="H8" s="366">
        <f>IF(TRDGLR5[[#This Row],[2024]]="","",DONNÉES!K142)</f>
        <v/>
      </c>
      <c r="I8" s="496">
        <f>IF(TRDGLR5[[#This Row],[2024]]="","",DONNÉES!L142)</f>
        <v/>
      </c>
      <c r="J8" s="366">
        <f>IF(TRDGLR5[[#This Row],[2024]]="","",DONNÉES!K78)</f>
        <v/>
      </c>
      <c r="K8" s="495">
        <f>IF(TRDGLR5[[#This Row],[2024]]="","",DONNÉES!L78)</f>
        <v/>
      </c>
      <c r="L8" s="366">
        <f>IF(TRDGLR5[[#This Row],[2024]]="","",DONNÉES!K158)</f>
        <v/>
      </c>
      <c r="M8" s="496">
        <f>IF(TRDGLR5[[#This Row],[2024]]="","",DONNÉES!L158)</f>
        <v/>
      </c>
      <c r="N8" s="366">
        <f>IF(TRDGLR5[[#This Row],[2024]]="","",DONNÉES!K94)</f>
        <v/>
      </c>
      <c r="O8" s="495">
        <f>IF(TRDGLR5[[#This Row],[2024]]="","",DONNÉES!L94)</f>
        <v/>
      </c>
      <c r="P8" s="366">
        <f>IF(TRDGLR5[[#This Row],[2024]]="","",DONNÉES!K174)</f>
        <v/>
      </c>
      <c r="Q8" s="497">
        <f>IF(TRDGLR5[[#This Row],[2024]]="","",DONNÉES!L174)</f>
        <v/>
      </c>
      <c r="R8" s="498" t="n"/>
      <c r="S8" s="366">
        <f>IF(TRDGLR5[[#This Row],[2024]]="","",DONNÉES!K110)</f>
        <v/>
      </c>
      <c r="T8" s="495">
        <f>IF(TRDGLR5[[#This Row],[2024]]="","",DONNÉES!L110)</f>
        <v/>
      </c>
      <c r="U8" s="366">
        <f>IF(TRDGLR5[[#This Row],[2024]]="","",DONNÉES!K190)</f>
        <v/>
      </c>
      <c r="V8" s="366">
        <f>IF(TRDGLR5[[#This Row],[2024]]="","",DONNÉES!L190)</f>
        <v/>
      </c>
    </row>
    <row r="9" ht="11.65" customHeight="1" s="161">
      <c r="A9" s="494" t="inlineStr">
        <is>
          <t>Avril</t>
        </is>
      </c>
      <c r="B9" s="366">
        <f>IF(DONNÉES!K47="","",DONNÉES!K47)</f>
        <v/>
      </c>
      <c r="C9" s="495">
        <f>IF(TRDGLR5[[#This Row],[2024]]="","",DONNÉES!L47)</f>
        <v/>
      </c>
      <c r="D9" s="366">
        <f>IF(TRDGLR5[[#This Row],[2024]]="","",DONNÉES!K127)</f>
        <v/>
      </c>
      <c r="E9" s="496">
        <f>IF(TRDGLR5[[#This Row],[2024]]="","",DONNÉES!L127)</f>
        <v/>
      </c>
      <c r="F9" s="366">
        <f>IF(TRDGLR5[[#This Row],[2024]]="","",DONNÉES!K63)</f>
        <v/>
      </c>
      <c r="G9" s="495">
        <f>IF(TRDGLR5[[#This Row],[2024]]="","",DONNÉES!L63)</f>
        <v/>
      </c>
      <c r="H9" s="366">
        <f>IF(TRDGLR5[[#This Row],[2024]]="","",DONNÉES!K143)</f>
        <v/>
      </c>
      <c r="I9" s="496">
        <f>IF(TRDGLR5[[#This Row],[2024]]="","",DONNÉES!L143)</f>
        <v/>
      </c>
      <c r="J9" s="366">
        <f>IF(TRDGLR5[[#This Row],[2024]]="","",DONNÉES!K79)</f>
        <v/>
      </c>
      <c r="K9" s="495">
        <f>IF(TRDGLR5[[#This Row],[2024]]="","",DONNÉES!L79)</f>
        <v/>
      </c>
      <c r="L9" s="366">
        <f>IF(TRDGLR5[[#This Row],[2024]]="","",DONNÉES!K159)</f>
        <v/>
      </c>
      <c r="M9" s="496">
        <f>IF(TRDGLR5[[#This Row],[2024]]="","",DONNÉES!L159)</f>
        <v/>
      </c>
      <c r="N9" s="366">
        <f>IF(TRDGLR5[[#This Row],[2024]]="","",DONNÉES!K95)</f>
        <v/>
      </c>
      <c r="O9" s="495">
        <f>IF(TRDGLR5[[#This Row],[2024]]="","",DONNÉES!L95)</f>
        <v/>
      </c>
      <c r="P9" s="366">
        <f>IF(TRDGLR5[[#This Row],[2024]]="","",DONNÉES!K175)</f>
        <v/>
      </c>
      <c r="Q9" s="497">
        <f>IF(TRDGLR5[[#This Row],[2024]]="","",DONNÉES!L175)</f>
        <v/>
      </c>
      <c r="R9" s="499" t="n"/>
      <c r="S9" s="366">
        <f>IF(TRDGLR5[[#This Row],[2024]]="","",DONNÉES!K111)</f>
        <v/>
      </c>
      <c r="T9" s="495">
        <f>IF(TRDGLR5[[#This Row],[2024]]="","",DONNÉES!L111)</f>
        <v/>
      </c>
      <c r="U9" s="366">
        <f>IF(TRDGLR5[[#This Row],[2024]]="","",DONNÉES!K191)</f>
        <v/>
      </c>
      <c r="V9" s="366">
        <f>IF(TRDGLR5[[#This Row],[2024]]="","",DONNÉES!L191)</f>
        <v/>
      </c>
    </row>
    <row r="10" ht="11.65" customHeight="1" s="161">
      <c r="A10" s="490" t="inlineStr">
        <is>
          <t>Mai</t>
        </is>
      </c>
      <c r="B10" s="366">
        <f>IF(DONNÉES!K48="","",DONNÉES!K48)</f>
        <v/>
      </c>
      <c r="C10" s="495">
        <f>IF(TRDGLR5[[#This Row],[2024]]="","",DONNÉES!L48)</f>
        <v/>
      </c>
      <c r="D10" s="366">
        <f>IF(TRDGLR5[[#This Row],[2024]]="","",DONNÉES!K128)</f>
        <v/>
      </c>
      <c r="E10" s="496">
        <f>IF(TRDGLR5[[#This Row],[2024]]="","",DONNÉES!L128)</f>
        <v/>
      </c>
      <c r="F10" s="366">
        <f>IF(TRDGLR5[[#This Row],[2024]]="","",DONNÉES!K64)</f>
        <v/>
      </c>
      <c r="G10" s="495">
        <f>IF(TRDGLR5[[#This Row],[2024]]="","",DONNÉES!L64)</f>
        <v/>
      </c>
      <c r="H10" s="366">
        <f>IF(TRDGLR5[[#This Row],[2024]]="","",DONNÉES!K144)</f>
        <v/>
      </c>
      <c r="I10" s="496">
        <f>IF(TRDGLR5[[#This Row],[2024]]="","",DONNÉES!L144)</f>
        <v/>
      </c>
      <c r="J10" s="366">
        <f>IF(TRDGLR5[[#This Row],[2024]]="","",DONNÉES!K80)</f>
        <v/>
      </c>
      <c r="K10" s="495">
        <f>IF(TRDGLR5[[#This Row],[2024]]="","",DONNÉES!L80)</f>
        <v/>
      </c>
      <c r="L10" s="366">
        <f>IF(TRDGLR5[[#This Row],[2024]]="","",DONNÉES!K160)</f>
        <v/>
      </c>
      <c r="M10" s="496">
        <f>IF(TRDGLR5[[#This Row],[2024]]="","",DONNÉES!L160)</f>
        <v/>
      </c>
      <c r="N10" s="366">
        <f>IF(TRDGLR5[[#This Row],[2024]]="","",DONNÉES!K96)</f>
        <v/>
      </c>
      <c r="O10" s="495">
        <f>IF(TRDGLR5[[#This Row],[2024]]="","",DONNÉES!L96)</f>
        <v/>
      </c>
      <c r="P10" s="366">
        <f>IF(TRDGLR5[[#This Row],[2024]]="","",DONNÉES!K176)</f>
        <v/>
      </c>
      <c r="Q10" s="497">
        <f>IF(TRDGLR5[[#This Row],[2024]]="","",DONNÉES!L176)</f>
        <v/>
      </c>
      <c r="R10" s="499" t="n"/>
      <c r="S10" s="366">
        <f>IF(TRDGLR5[[#This Row],[2024]]="","",DONNÉES!K112)</f>
        <v/>
      </c>
      <c r="T10" s="495">
        <f>IF(TRDGLR5[[#This Row],[2024]]="","",DONNÉES!L112)</f>
        <v/>
      </c>
      <c r="U10" s="366">
        <f>IF(TRDGLR5[[#This Row],[2024]]="","",DONNÉES!K192)</f>
        <v/>
      </c>
      <c r="V10" s="366">
        <f>IF(TRDGLR5[[#This Row],[2024]]="","",DONNÉES!L192)</f>
        <v/>
      </c>
    </row>
    <row r="11" ht="11.65" customHeight="1" s="161">
      <c r="A11" s="494" t="inlineStr">
        <is>
          <t>Juin</t>
        </is>
      </c>
      <c r="B11" s="366">
        <f>IF(DONNÉES!K49="","",DONNÉES!K49)</f>
        <v/>
      </c>
      <c r="C11" s="495">
        <f>IF(TRDGLR5[[#This Row],[2024]]="","",DONNÉES!L49)</f>
        <v/>
      </c>
      <c r="D11" s="366">
        <f>IF(TRDGLR5[[#This Row],[2024]]="","",DONNÉES!K129)</f>
        <v/>
      </c>
      <c r="E11" s="496">
        <f>IF(TRDGLR5[[#This Row],[2024]]="","",DONNÉES!L129)</f>
        <v/>
      </c>
      <c r="F11" s="366">
        <f>IF(TRDGLR5[[#This Row],[2024]]="","",DONNÉES!K65)</f>
        <v/>
      </c>
      <c r="G11" s="495">
        <f>IF(TRDGLR5[[#This Row],[2024]]="","",DONNÉES!L65)</f>
        <v/>
      </c>
      <c r="H11" s="366">
        <f>IF(TRDGLR5[[#This Row],[2024]]="","",DONNÉES!K145)</f>
        <v/>
      </c>
      <c r="I11" s="496">
        <f>IF(TRDGLR5[[#This Row],[2024]]="","",DONNÉES!L145)</f>
        <v/>
      </c>
      <c r="J11" s="366">
        <f>IF(TRDGLR5[[#This Row],[2024]]="","",DONNÉES!K81)</f>
        <v/>
      </c>
      <c r="K11" s="495">
        <f>IF(TRDGLR5[[#This Row],[2024]]="","",DONNÉES!L81)</f>
        <v/>
      </c>
      <c r="L11" s="366">
        <f>IF(TRDGLR5[[#This Row],[2024]]="","",DONNÉES!K161)</f>
        <v/>
      </c>
      <c r="M11" s="496">
        <f>IF(TRDGLR5[[#This Row],[2024]]="","",DONNÉES!L161)</f>
        <v/>
      </c>
      <c r="N11" s="366">
        <f>IF(TRDGLR5[[#This Row],[2024]]="","",DONNÉES!K97)</f>
        <v/>
      </c>
      <c r="O11" s="495">
        <f>IF(TRDGLR5[[#This Row],[2024]]="","",DONNÉES!L97)</f>
        <v/>
      </c>
      <c r="P11" s="366">
        <f>IF(TRDGLR5[[#This Row],[2024]]="","",DONNÉES!K177)</f>
        <v/>
      </c>
      <c r="Q11" s="497">
        <f>IF(TRDGLR5[[#This Row],[2024]]="","",DONNÉES!L177)</f>
        <v/>
      </c>
      <c r="R11" s="499" t="n"/>
      <c r="S11" s="366">
        <f>IF(TRDGLR5[[#This Row],[2024]]="","",DONNÉES!K113)</f>
        <v/>
      </c>
      <c r="T11" s="495">
        <f>IF(TRDGLR5[[#This Row],[2024]]="","",DONNÉES!L113)</f>
        <v/>
      </c>
      <c r="U11" s="366">
        <f>IF(TRDGLR5[[#This Row],[2024]]="","",DONNÉES!K193)</f>
        <v/>
      </c>
      <c r="V11" s="366">
        <f>IF(TRDGLR5[[#This Row],[2024]]="","",DONNÉES!L193)</f>
        <v/>
      </c>
    </row>
    <row r="12" ht="11.65" customHeight="1" s="161">
      <c r="A12" s="490" t="inlineStr">
        <is>
          <t>Juillet</t>
        </is>
      </c>
      <c r="B12" s="366">
        <f>IF(DONNÉES!K50="","",DONNÉES!K50)</f>
        <v/>
      </c>
      <c r="C12" s="495">
        <f>IF(TRDGLR5[[#This Row],[2024]]="","",DONNÉES!L50)</f>
        <v/>
      </c>
      <c r="D12" s="366">
        <f>IF(TRDGLR5[[#This Row],[2024]]="","",DONNÉES!K130)</f>
        <v/>
      </c>
      <c r="E12" s="496">
        <f>IF(TRDGLR5[[#This Row],[2024]]="","",DONNÉES!L130)</f>
        <v/>
      </c>
      <c r="F12" s="366">
        <f>IF(TRDGLR5[[#This Row],[2024]]="","",DONNÉES!K66)</f>
        <v/>
      </c>
      <c r="G12" s="495">
        <f>IF(TRDGLR5[[#This Row],[2024]]="","",DONNÉES!L66)</f>
        <v/>
      </c>
      <c r="H12" s="366">
        <f>IF(TRDGLR5[[#This Row],[2024]]="","",DONNÉES!K146)</f>
        <v/>
      </c>
      <c r="I12" s="496">
        <f>IF(TRDGLR5[[#This Row],[2024]]="","",DONNÉES!L146)</f>
        <v/>
      </c>
      <c r="J12" s="366">
        <f>IF(TRDGLR5[[#This Row],[2024]]="","",DONNÉES!K82)</f>
        <v/>
      </c>
      <c r="K12" s="495">
        <f>IF(TRDGLR5[[#This Row],[2024]]="","",DONNÉES!L82)</f>
        <v/>
      </c>
      <c r="L12" s="366">
        <f>IF(TRDGLR5[[#This Row],[2024]]="","",DONNÉES!K162)</f>
        <v/>
      </c>
      <c r="M12" s="496">
        <f>IF(TRDGLR5[[#This Row],[2024]]="","",DONNÉES!L162)</f>
        <v/>
      </c>
      <c r="N12" s="366">
        <f>IF(TRDGLR5[[#This Row],[2024]]="","",DONNÉES!K98)</f>
        <v/>
      </c>
      <c r="O12" s="495">
        <f>IF(TRDGLR5[[#This Row],[2024]]="","",DONNÉES!L98)</f>
        <v/>
      </c>
      <c r="P12" s="366">
        <f>IF(TRDGLR5[[#This Row],[2024]]="","",DONNÉES!K178)</f>
        <v/>
      </c>
      <c r="Q12" s="497">
        <f>IF(TRDGLR5[[#This Row],[2024]]="","",DONNÉES!L178)</f>
        <v/>
      </c>
      <c r="R12" s="499" t="n"/>
      <c r="S12" s="366">
        <f>IF(TRDGLR5[[#This Row],[2024]]="","",DONNÉES!K114)</f>
        <v/>
      </c>
      <c r="T12" s="495">
        <f>IF(TRDGLR5[[#This Row],[2024]]="","",DONNÉES!L114)</f>
        <v/>
      </c>
      <c r="U12" s="366">
        <f>IF(TRDGLR5[[#This Row],[2024]]="","",DONNÉES!K194)</f>
        <v/>
      </c>
      <c r="V12" s="366">
        <f>IF(TRDGLR5[[#This Row],[2024]]="","",DONNÉES!L194)</f>
        <v/>
      </c>
    </row>
    <row r="13" ht="11.65" customHeight="1" s="161">
      <c r="A13" s="494" t="inlineStr">
        <is>
          <t>Août</t>
        </is>
      </c>
      <c r="B13" s="366">
        <f>IF(DONNÉES!K51="","",DONNÉES!K51)</f>
        <v/>
      </c>
      <c r="C13" s="495">
        <f>IF(TRDGLR5[[#This Row],[2024]]="","",DONNÉES!L51)</f>
        <v/>
      </c>
      <c r="D13" s="366">
        <f>IF(TRDGLR5[[#This Row],[2024]]="","",DONNÉES!K131)</f>
        <v/>
      </c>
      <c r="E13" s="496">
        <f>IF(TRDGLR5[[#This Row],[2024]]="","",DONNÉES!L131)</f>
        <v/>
      </c>
      <c r="F13" s="366">
        <f>IF(TRDGLR5[[#This Row],[2024]]="","",DONNÉES!K67)</f>
        <v/>
      </c>
      <c r="G13" s="495">
        <f>IF(TRDGLR5[[#This Row],[2024]]="","",DONNÉES!L67)</f>
        <v/>
      </c>
      <c r="H13" s="366">
        <f>IF(TRDGLR5[[#This Row],[2024]]="","",DONNÉES!K147)</f>
        <v/>
      </c>
      <c r="I13" s="496">
        <f>IF(TRDGLR5[[#This Row],[2024]]="","",DONNÉES!L147)</f>
        <v/>
      </c>
      <c r="J13" s="366">
        <f>IF(TRDGLR5[[#This Row],[2024]]="","",DONNÉES!K83)</f>
        <v/>
      </c>
      <c r="K13" s="495">
        <f>IF(TRDGLR5[[#This Row],[2024]]="","",DONNÉES!L83)</f>
        <v/>
      </c>
      <c r="L13" s="366">
        <f>IF(TRDGLR5[[#This Row],[2024]]="","",DONNÉES!K163)</f>
        <v/>
      </c>
      <c r="M13" s="496">
        <f>IF(TRDGLR5[[#This Row],[2024]]="","",DONNÉES!L163)</f>
        <v/>
      </c>
      <c r="N13" s="366">
        <f>IF(TRDGLR5[[#This Row],[2024]]="","",DONNÉES!K99)</f>
        <v/>
      </c>
      <c r="O13" s="495">
        <f>IF(TRDGLR5[[#This Row],[2024]]="","",DONNÉES!L99)</f>
        <v/>
      </c>
      <c r="P13" s="366">
        <f>IF(TRDGLR5[[#This Row],[2024]]="","",DONNÉES!K179)</f>
        <v/>
      </c>
      <c r="Q13" s="497">
        <f>IF(TRDGLR5[[#This Row],[2024]]="","",DONNÉES!L179)</f>
        <v/>
      </c>
      <c r="R13" s="499" t="n"/>
      <c r="S13" s="366">
        <f>IF(TRDGLR5[[#This Row],[2024]]="","",DONNÉES!K115)</f>
        <v/>
      </c>
      <c r="T13" s="495">
        <f>IF(TRDGLR5[[#This Row],[2024]]="","",DONNÉES!L115)</f>
        <v/>
      </c>
      <c r="U13" s="366">
        <f>IF(TRDGLR5[[#This Row],[2024]]="","",DONNÉES!K195)</f>
        <v/>
      </c>
      <c r="V13" s="366">
        <f>IF(TRDGLR5[[#This Row],[2024]]="","",DONNÉES!L195)</f>
        <v/>
      </c>
    </row>
    <row r="14" ht="11.65" customHeight="1" s="161">
      <c r="A14" s="490" t="inlineStr">
        <is>
          <t>Septembre</t>
        </is>
      </c>
      <c r="B14" s="366">
        <f>IF(DONNÉES!K52="","",DONNÉES!K52)</f>
        <v/>
      </c>
      <c r="C14" s="495">
        <f>IF(TRDGLR5[[#This Row],[2024]]="","",DONNÉES!L52)</f>
        <v/>
      </c>
      <c r="D14" s="366">
        <f>IF(TRDGLR5[[#This Row],[2024]]="","",DONNÉES!K132)</f>
        <v/>
      </c>
      <c r="E14" s="500">
        <f>IF(TRDGLR5[[#This Row],[2024]]="","",DONNÉES!L132)</f>
        <v/>
      </c>
      <c r="F14" s="366">
        <f>IF(TRDGLR5[[#This Row],[2024]]="","",DONNÉES!K68)</f>
        <v/>
      </c>
      <c r="G14" s="495">
        <f>IF(TRDGLR5[[#This Row],[2024]]="","",DONNÉES!L68)</f>
        <v/>
      </c>
      <c r="H14" s="369">
        <f>IF(TRDGLR5[[#This Row],[2024]]="","",DONNÉES!K148)</f>
        <v/>
      </c>
      <c r="I14" s="500">
        <f>IF(TRDGLR5[[#This Row],[2024]]="","",DONNÉES!L148)</f>
        <v/>
      </c>
      <c r="J14" s="369">
        <f>IF(TRDGLR5[[#This Row],[2024]]="","",DONNÉES!K84)</f>
        <v/>
      </c>
      <c r="K14" s="501">
        <f>IF(TRDGLR5[[#This Row],[2024]]="","",DONNÉES!L84)</f>
        <v/>
      </c>
      <c r="L14" s="369">
        <f>IF(TRDGLR5[[#This Row],[2024]]="","",DONNÉES!K164)</f>
        <v/>
      </c>
      <c r="M14" s="500">
        <f>IF(TRDGLR5[[#This Row],[2024]]="","",DONNÉES!L164)</f>
        <v/>
      </c>
      <c r="N14" s="369">
        <f>IF(TRDGLR5[[#This Row],[2024]]="","",DONNÉES!K100)</f>
        <v/>
      </c>
      <c r="O14" s="501">
        <f>IF(TRDGLR5[[#This Row],[2024]]="","",DONNÉES!L100)</f>
        <v/>
      </c>
      <c r="P14" s="369">
        <f>IF(TRDGLR5[[#This Row],[2024]]="","",DONNÉES!K180)</f>
        <v/>
      </c>
      <c r="Q14" s="502">
        <f>IF(TRDGLR5[[#This Row],[2024]]="","",DONNÉES!L180)</f>
        <v/>
      </c>
      <c r="R14" s="503" t="n"/>
      <c r="S14" s="369">
        <f>IF(TRDGLR5[[#This Row],[2024]]="","",DONNÉES!K116)</f>
        <v/>
      </c>
      <c r="T14" s="501">
        <f>IF(TRDGLR5[[#This Row],[2024]]="","",DONNÉES!L116)</f>
        <v/>
      </c>
      <c r="U14" s="369">
        <f>IF(TRDGLR5[[#This Row],[2024]]="","",DONNÉES!K196)</f>
        <v/>
      </c>
      <c r="V14" s="369">
        <f>IF(TRDGLR5[[#This Row],[2024]]="","",DONNÉES!L196)</f>
        <v/>
      </c>
    </row>
    <row r="15" ht="11.65" customHeight="1" s="161">
      <c r="A15" s="494" t="inlineStr">
        <is>
          <t>Octobre</t>
        </is>
      </c>
      <c r="B15" s="366">
        <f>IF(DONNÉES!K53="","",DONNÉES!K53)</f>
        <v/>
      </c>
      <c r="C15" s="495">
        <f>IF(TRDGLR5[[#This Row],[2024]]="","",DONNÉES!L53)</f>
        <v/>
      </c>
      <c r="D15" s="366">
        <f>IF(TRDGLR5[[#This Row],[2024]]="","",DONNÉES!K133)</f>
        <v/>
      </c>
      <c r="E15" s="500">
        <f>IF(TRDGLR5[[#This Row],[2024]]="","",DONNÉES!L133)</f>
        <v/>
      </c>
      <c r="F15" s="366">
        <f>IF(TRDGLR5[[#This Row],[2024]]="","",DONNÉES!K69)</f>
        <v/>
      </c>
      <c r="G15" s="495">
        <f>IF(TRDGLR5[[#This Row],[2024]]="","",DONNÉES!L69)</f>
        <v/>
      </c>
      <c r="H15" s="369">
        <f>IF(TRDGLR5[[#This Row],[2024]]="","",DONNÉES!K149)</f>
        <v/>
      </c>
      <c r="I15" s="500">
        <f>IF(TRDGLR5[[#This Row],[2024]]="","",DONNÉES!L149)</f>
        <v/>
      </c>
      <c r="J15" s="369">
        <f>IF(TRDGLR5[[#This Row],[2024]]="","",DONNÉES!K85)</f>
        <v/>
      </c>
      <c r="K15" s="501">
        <f>IF(TRDGLR5[[#This Row],[2024]]="","",DONNÉES!L85)</f>
        <v/>
      </c>
      <c r="L15" s="369">
        <f>IF(TRDGLR5[[#This Row],[2024]]="","",DONNÉES!K165)</f>
        <v/>
      </c>
      <c r="M15" s="500">
        <f>IF(TRDGLR5[[#This Row],[2024]]="","",DONNÉES!L165)</f>
        <v/>
      </c>
      <c r="N15" s="369">
        <f>IF(TRDGLR5[[#This Row],[2024]]="","",DONNÉES!K101)</f>
        <v/>
      </c>
      <c r="O15" s="501">
        <f>IF(TRDGLR5[[#This Row],[2024]]="","",DONNÉES!L101)</f>
        <v/>
      </c>
      <c r="P15" s="369">
        <f>IF(TRDGLR5[[#This Row],[2024]]="","",DONNÉES!K181)</f>
        <v/>
      </c>
      <c r="Q15" s="502">
        <f>IF(TRDGLR5[[#This Row],[2024]]="","",DONNÉES!L181)</f>
        <v/>
      </c>
      <c r="R15" s="499" t="n"/>
      <c r="S15" s="369">
        <f>IF(TRDGLR5[[#This Row],[2024]]="","",DONNÉES!K117)</f>
        <v/>
      </c>
      <c r="T15" s="501">
        <f>IF(TRDGLR5[[#This Row],[2024]]="","",DONNÉES!L117)</f>
        <v/>
      </c>
      <c r="U15" s="369">
        <f>IF(TRDGLR5[[#This Row],[2024]]="","",DONNÉES!K197)</f>
        <v/>
      </c>
      <c r="V15" s="369">
        <f>IF(TRDGLR5[[#This Row],[2024]]="","",DONNÉES!L197)</f>
        <v/>
      </c>
    </row>
    <row r="16" ht="11.65" customFormat="1" customHeight="1" s="476">
      <c r="A16" s="490" t="inlineStr">
        <is>
          <t>Novembre</t>
        </is>
      </c>
      <c r="B16" s="366">
        <f>IF(DONNÉES!K54="","",DONNÉES!K54)</f>
        <v/>
      </c>
      <c r="C16" s="495">
        <f>IF(TRDGLR5[[#This Row],[2024]]="","",DONNÉES!L54)</f>
        <v/>
      </c>
      <c r="D16" s="366">
        <f>IF(TRDGLR5[[#This Row],[2024]]="","",DONNÉES!K134)</f>
        <v/>
      </c>
      <c r="E16" s="500">
        <f>IF(TRDGLR5[[#This Row],[2024]]="","",DONNÉES!L134)</f>
        <v/>
      </c>
      <c r="F16" s="366">
        <f>IF(TRDGLR5[[#This Row],[2024]]="","",DONNÉES!K70)</f>
        <v/>
      </c>
      <c r="G16" s="495">
        <f>IF(TRDGLR5[[#This Row],[2024]]="","",DONNÉES!L70)</f>
        <v/>
      </c>
      <c r="H16" s="369">
        <f>IF(TRDGLR5[[#This Row],[2024]]="","",DONNÉES!K150)</f>
        <v/>
      </c>
      <c r="I16" s="500">
        <f>IF(TRDGLR5[[#This Row],[2024]]="","",DONNÉES!L150)</f>
        <v/>
      </c>
      <c r="J16" s="369">
        <f>IF(TRDGLR5[[#This Row],[2024]]="","",DONNÉES!K86)</f>
        <v/>
      </c>
      <c r="K16" s="501">
        <f>IF(TRDGLR5[[#This Row],[2024]]="","",DONNÉES!L86)</f>
        <v/>
      </c>
      <c r="L16" s="369">
        <f>IF(TRDGLR5[[#This Row],[2024]]="","",DONNÉES!K166)</f>
        <v/>
      </c>
      <c r="M16" s="500">
        <f>IF(TRDGLR5[[#This Row],[2024]]="","",DONNÉES!L166)</f>
        <v/>
      </c>
      <c r="N16" s="369">
        <f>IF(TRDGLR5[[#This Row],[2024]]="","",DONNÉES!K102)</f>
        <v/>
      </c>
      <c r="O16" s="501">
        <f>IF(TRDGLR5[[#This Row],[2024]]="","",DONNÉES!L102)</f>
        <v/>
      </c>
      <c r="P16" s="369">
        <f>IF(TRDGLR5[[#This Row],[2024]]="","",DONNÉES!K182)</f>
        <v/>
      </c>
      <c r="Q16" s="502">
        <f>IF(TRDGLR5[[#This Row],[2024]]="","",DONNÉES!L182)</f>
        <v/>
      </c>
      <c r="R16" s="498" t="n"/>
      <c r="S16" s="369">
        <f>IF(TRDGLR5[[#This Row],[2024]]="","",DONNÉES!K118)</f>
        <v/>
      </c>
      <c r="T16" s="501">
        <f>IF(TRDGLR5[[#This Row],[2024]]="","",DONNÉES!L118)</f>
        <v/>
      </c>
      <c r="U16" s="369">
        <f>IF(TRDGLR5[[#This Row],[2024]]="","",DONNÉES!K198)</f>
        <v/>
      </c>
      <c r="V16" s="369">
        <f>IF(TRDGLR5[[#This Row],[2024]]="","",DONNÉES!L198)</f>
        <v/>
      </c>
    </row>
    <row r="17" ht="11.65" customFormat="1" customHeight="1" s="476">
      <c r="A17" s="490" t="inlineStr">
        <is>
          <t>Décembre</t>
        </is>
      </c>
      <c r="B17" s="366">
        <f>IF(DONNÉES!K55="","",DONNÉES!K55)</f>
        <v/>
      </c>
      <c r="C17" s="495">
        <f>IF(TRDGLR5[[#This Row],[2024]]="","",DONNÉES!L55)</f>
        <v/>
      </c>
      <c r="D17" s="366">
        <f>IF(TRDGLR5[[#This Row],[2024]]="","",DONNÉES!K135)</f>
        <v/>
      </c>
      <c r="E17" s="500">
        <f>IF(TRDGLR5[[#This Row],[2024]]="","",DONNÉES!L135)</f>
        <v/>
      </c>
      <c r="F17" s="366">
        <f>IF(TRDGLR5[[#This Row],[2024]]="","",DONNÉES!K71)</f>
        <v/>
      </c>
      <c r="G17" s="495">
        <f>IF(TRDGLR5[[#This Row],[2024]]="","",DONNÉES!L71)</f>
        <v/>
      </c>
      <c r="H17" s="369">
        <f>IF(TRDGLR5[[#This Row],[2024]]="","",DONNÉES!K151)</f>
        <v/>
      </c>
      <c r="I17" s="500">
        <f>IF(TRDGLR5[[#This Row],[2024]]="","",DONNÉES!L151)</f>
        <v/>
      </c>
      <c r="J17" s="369">
        <f>IF(TRDGLR5[[#This Row],[2024]]="","",DONNÉES!K87)</f>
        <v/>
      </c>
      <c r="K17" s="501">
        <f>IF(TRDGLR5[[#This Row],[2024]]="","",DONNÉES!L87)</f>
        <v/>
      </c>
      <c r="L17" s="369">
        <f>IF(TRDGLR5[[#This Row],[2024]]="","",DONNÉES!K167)</f>
        <v/>
      </c>
      <c r="M17" s="500">
        <f>IF(TRDGLR5[[#This Row],[2024]]="","",DONNÉES!L167)</f>
        <v/>
      </c>
      <c r="N17" s="369">
        <f>IF(TRDGLR5[[#This Row],[2024]]="","",DONNÉES!K103)</f>
        <v/>
      </c>
      <c r="O17" s="501">
        <f>IF(TRDGLR5[[#This Row],[2024]]="","",DONNÉES!L103)</f>
        <v/>
      </c>
      <c r="P17" s="369">
        <f>IF(TRDGLR5[[#This Row],[2024]]="","",DONNÉES!K183)</f>
        <v/>
      </c>
      <c r="Q17" s="502">
        <f>IF(TRDGLR5[[#This Row],[2024]]="","",DONNÉES!L183)</f>
        <v/>
      </c>
      <c r="R17" s="498" t="n"/>
      <c r="S17" s="369">
        <f>IF(TRDGLR5[[#This Row],[2024]]="","",DONNÉES!K119)</f>
        <v/>
      </c>
      <c r="T17" s="501">
        <f>IF(TRDGLR5[[#This Row],[2024]]="","",DONNÉES!L119)</f>
        <v/>
      </c>
      <c r="U17" s="369">
        <f>IF(TRDGLR5[[#This Row],[2024]]="","",DONNÉES!K199)</f>
        <v/>
      </c>
      <c r="V17" s="369">
        <f>IF(TRDGLR5[[#This Row],[2024]]="","",DONNÉES!L199)</f>
        <v/>
      </c>
    </row>
    <row r="18" ht="11.65" customFormat="1" customHeight="1" s="476">
      <c r="A18" s="474" t="n"/>
      <c r="B18" s="478" t="n"/>
      <c r="C18" s="478" t="n"/>
      <c r="D18" s="101" t="n"/>
      <c r="E18" s="478" t="n"/>
      <c r="F18" s="478" t="n"/>
      <c r="G18" s="479" t="n"/>
      <c r="H18" s="474" t="n"/>
      <c r="I18" s="475" t="n"/>
      <c r="J18" s="478" t="n"/>
      <c r="K18" s="478" t="n"/>
      <c r="L18" s="101" t="n"/>
      <c r="M18" s="479" t="n"/>
      <c r="N18" s="474" t="n"/>
      <c r="O18" s="474" t="n"/>
      <c r="P18" s="474" t="n"/>
      <c r="Q18" s="474" t="n"/>
      <c r="R18" s="498" t="n"/>
      <c r="S18" s="474" t="n"/>
      <c r="T18" s="474" t="n"/>
      <c r="U18" s="474" t="n"/>
      <c r="V18" s="474" t="n"/>
    </row>
    <row r="19" ht="14.65" customHeight="1" s="161">
      <c r="A19" s="485" t="n"/>
      <c r="B19" s="486" t="inlineStr">
        <is>
          <t>Sur place</t>
        </is>
      </c>
      <c r="C19" s="487" t="n"/>
      <c r="D19" s="487" t="n"/>
      <c r="E19" s="488" t="n"/>
      <c r="F19" s="486" t="inlineStr">
        <is>
          <t>A emporter</t>
        </is>
      </c>
      <c r="G19" s="487" t="n"/>
      <c r="H19" s="487" t="n"/>
      <c r="I19" s="488" t="n"/>
      <c r="J19" s="486" t="inlineStr">
        <is>
          <t>Mc Drive</t>
        </is>
      </c>
      <c r="K19" s="487" t="n"/>
      <c r="L19" s="487" t="n"/>
      <c r="M19" s="488" t="n"/>
      <c r="N19" s="489" t="inlineStr">
        <is>
          <t>Kiosque</t>
        </is>
      </c>
      <c r="O19" s="487" t="n"/>
      <c r="P19" s="487" t="n"/>
      <c r="Q19" s="487" t="n"/>
      <c r="S19" s="504" t="inlineStr">
        <is>
          <t>Total</t>
        </is>
      </c>
    </row>
    <row r="20" ht="28.9" customHeight="1" s="161">
      <c r="A20" s="490" t="inlineStr">
        <is>
          <t>HTR8</t>
        </is>
      </c>
      <c r="B20" s="491" t="inlineStr">
        <is>
          <t>2024</t>
        </is>
      </c>
      <c r="C20" s="492" t="inlineStr">
        <is>
          <t>2023</t>
        </is>
      </c>
      <c r="D20" s="491" t="inlineStr">
        <is>
          <t>2024 cumul</t>
        </is>
      </c>
      <c r="E20" s="493" t="inlineStr">
        <is>
          <t>2023 cumul</t>
        </is>
      </c>
      <c r="F20" s="211" t="inlineStr">
        <is>
          <t xml:space="preserve">2024  </t>
        </is>
      </c>
      <c r="G20" s="492" t="inlineStr">
        <is>
          <t xml:space="preserve">2023  </t>
        </is>
      </c>
      <c r="H20" s="491" t="inlineStr">
        <is>
          <t xml:space="preserve">2024 cumul </t>
        </is>
      </c>
      <c r="I20" s="493" t="inlineStr">
        <is>
          <t xml:space="preserve">2023 cumul </t>
        </is>
      </c>
      <c r="J20" s="491" t="inlineStr">
        <is>
          <t xml:space="preserve">2024   </t>
        </is>
      </c>
      <c r="K20" s="492" t="inlineStr">
        <is>
          <t xml:space="preserve">2023   </t>
        </is>
      </c>
      <c r="L20" s="491" t="inlineStr">
        <is>
          <t xml:space="preserve">2024 cumul   </t>
        </is>
      </c>
      <c r="M20" s="493" t="inlineStr">
        <is>
          <t xml:space="preserve">2023 cumul   </t>
        </is>
      </c>
      <c r="N20" s="491" t="inlineStr">
        <is>
          <t xml:space="preserve">2024    </t>
        </is>
      </c>
      <c r="O20" s="492" t="inlineStr">
        <is>
          <t xml:space="preserve">2023    </t>
        </is>
      </c>
      <c r="P20" s="491" t="inlineStr">
        <is>
          <t xml:space="preserve">2024 cumul    </t>
        </is>
      </c>
      <c r="Q20" s="94" t="inlineStr">
        <is>
          <t xml:space="preserve">2023 cumul    </t>
        </is>
      </c>
      <c r="S20" s="491" t="inlineStr">
        <is>
          <t>2024</t>
        </is>
      </c>
      <c r="T20" s="492" t="inlineStr">
        <is>
          <t>2023</t>
        </is>
      </c>
      <c r="U20" s="491" t="inlineStr">
        <is>
          <t>2024 cumul</t>
        </is>
      </c>
      <c r="V20" s="493" t="inlineStr">
        <is>
          <t>2023 cumul</t>
        </is>
      </c>
    </row>
    <row r="21" ht="11.65" customHeight="1" s="161">
      <c r="A21" s="494" t="inlineStr">
        <is>
          <t>Janvier</t>
        </is>
      </c>
      <c r="B21" s="366">
        <f>IF(DONNÉES!S44="","",DONNÉES!S44)</f>
        <v/>
      </c>
      <c r="C21" s="495">
        <f>IF(TRDHTR8[[#This Row],[2024]]="","",DONNÉES!T44)</f>
        <v/>
      </c>
      <c r="D21" s="366">
        <f>IF(TRDHTR8[[#This Row],[2024]]="","",DONNÉES!S124)</f>
        <v/>
      </c>
      <c r="E21" s="496">
        <f>IF(TRDHTR8[[#This Row],[2024]]="","",DONNÉES!T124)</f>
        <v/>
      </c>
      <c r="F21" s="366">
        <f>IF(TRDHTR8[[#This Row],[2024]]="","",DONNÉES!S60)</f>
        <v/>
      </c>
      <c r="G21" s="495">
        <f>IF(TRDHTR8[[#This Row],[2024]]="","",DONNÉES!T60)</f>
        <v/>
      </c>
      <c r="H21" s="366">
        <f>IF(TRDHTR8[[#This Row],[2024]]="","",DONNÉES!S140)</f>
        <v/>
      </c>
      <c r="I21" s="496">
        <f>IF(TRDHTR8[[#This Row],[2024]]="","",DONNÉES!T140)</f>
        <v/>
      </c>
      <c r="J21" s="366">
        <f>IF(TRDHTR8[[#This Row],[2024]]="","",DONNÉES!S76)</f>
        <v/>
      </c>
      <c r="K21" s="495">
        <f>IF(TRDHTR8[[#This Row],[2024]]="","",DONNÉES!T76)</f>
        <v/>
      </c>
      <c r="L21" s="366">
        <f>IF(TRDHTR8[[#This Row],[2024]]="","",DONNÉES!S156)</f>
        <v/>
      </c>
      <c r="M21" s="496">
        <f>IF(TRDHTR8[[#This Row],[2024]]="","",DONNÉES!T156)</f>
        <v/>
      </c>
      <c r="N21" s="366">
        <f>IF(TRDHTR8[[#This Row],[2024]]="","",DONNÉES!S92)</f>
        <v/>
      </c>
      <c r="O21" s="495">
        <f>IF(TRDHTR8[[#This Row],[2024]]="","",DONNÉES!T92)</f>
        <v/>
      </c>
      <c r="P21" s="366">
        <f>IF(TRDHTR8[[#This Row],[2024]]="","",DONNÉES!S172)</f>
        <v/>
      </c>
      <c r="Q21" s="497">
        <f>IF(TRDHTR8[[#This Row],[2024]]="","",DONNÉES!T172)</f>
        <v/>
      </c>
      <c r="R21" s="498" t="n"/>
      <c r="S21" s="366">
        <f>IF(TRDHTR8[[#This Row],[2024]]="","",DONNÉES!S108)</f>
        <v/>
      </c>
      <c r="T21" s="495">
        <f>IF(TRDHTR8[[#This Row],[2024]]="","",DONNÉES!T108)</f>
        <v/>
      </c>
      <c r="U21" s="366">
        <f>IF(TRDHTR8[[#This Row],[2024]]="","",DONNÉES!S188)</f>
        <v/>
      </c>
      <c r="V21" s="366">
        <f>IF(TRDHTR8[[#This Row],[2024]]="","",DONNÉES!T188)</f>
        <v/>
      </c>
    </row>
    <row r="22" ht="11.65" customFormat="1" customHeight="1" s="476">
      <c r="A22" s="494" t="inlineStr">
        <is>
          <t>Février</t>
        </is>
      </c>
      <c r="B22" s="366">
        <f>IF(DONNÉES!S45="","",DONNÉES!S45)</f>
        <v/>
      </c>
      <c r="C22" s="495">
        <f>IF(TRDHTR8[[#This Row],[2024]]="","",DONNÉES!T45)</f>
        <v/>
      </c>
      <c r="D22" s="366">
        <f>IF(TRDHTR8[[#This Row],[2024]]="","",DONNÉES!S125)</f>
        <v/>
      </c>
      <c r="E22" s="496">
        <f>IF(TRDHTR8[[#This Row],[2024]]="","",DONNÉES!T125)</f>
        <v/>
      </c>
      <c r="F22" s="366">
        <f>IF(TRDHTR8[[#This Row],[2024]]="","",DONNÉES!S61)</f>
        <v/>
      </c>
      <c r="G22" s="495">
        <f>IF(TRDHTR8[[#This Row],[2024]]="","",DONNÉES!T61)</f>
        <v/>
      </c>
      <c r="H22" s="366">
        <f>IF(TRDHTR8[[#This Row],[2024]]="","",DONNÉES!S141)</f>
        <v/>
      </c>
      <c r="I22" s="496">
        <f>IF(TRDHTR8[[#This Row],[2024]]="","",DONNÉES!T141)</f>
        <v/>
      </c>
      <c r="J22" s="366">
        <f>IF(TRDHTR8[[#This Row],[2024]]="","",DONNÉES!S77)</f>
        <v/>
      </c>
      <c r="K22" s="495">
        <f>IF(TRDHTR8[[#This Row],[2024]]="","",DONNÉES!T77)</f>
        <v/>
      </c>
      <c r="L22" s="366">
        <f>IF(TRDHTR8[[#This Row],[2024]]="","",DONNÉES!S157)</f>
        <v/>
      </c>
      <c r="M22" s="496">
        <f>IF(TRDHTR8[[#This Row],[2024]]="","",DONNÉES!T157)</f>
        <v/>
      </c>
      <c r="N22" s="366">
        <f>IF(TRDHTR8[[#This Row],[2024]]="","",DONNÉES!S93)</f>
        <v/>
      </c>
      <c r="O22" s="495">
        <f>IF(TRDHTR8[[#This Row],[2024]]="","",DONNÉES!T93)</f>
        <v/>
      </c>
      <c r="P22" s="366">
        <f>IF(TRDHTR8[[#This Row],[2024]]="","",DONNÉES!S173)</f>
        <v/>
      </c>
      <c r="Q22" s="497">
        <f>IF(TRDHTR8[[#This Row],[2024]]="","",DONNÉES!T173)</f>
        <v/>
      </c>
      <c r="R22" s="498" t="n"/>
      <c r="S22" s="366">
        <f>IF(TRDHTR8[[#This Row],[2024]]="","",DONNÉES!S109)</f>
        <v/>
      </c>
      <c r="T22" s="495">
        <f>IF(TRDHTR8[[#This Row],[2024]]="","",DONNÉES!T109)</f>
        <v/>
      </c>
      <c r="U22" s="366">
        <f>IF(TRDHTR8[[#This Row],[2024]]="","",DONNÉES!S189)</f>
        <v/>
      </c>
      <c r="V22" s="366">
        <f>IF(TRDHTR8[[#This Row],[2024]]="","",DONNÉES!T189)</f>
        <v/>
      </c>
    </row>
    <row r="23" ht="11.65" customFormat="1" customHeight="1" s="476">
      <c r="A23" s="490" t="inlineStr">
        <is>
          <t>Mars</t>
        </is>
      </c>
      <c r="B23" s="366">
        <f>IF(DONNÉES!S46="","",DONNÉES!S46)</f>
        <v/>
      </c>
      <c r="C23" s="495">
        <f>IF(TRDHTR8[[#This Row],[2024]]="","",DONNÉES!T46)</f>
        <v/>
      </c>
      <c r="D23" s="366">
        <f>IF(TRDHTR8[[#This Row],[2024]]="","",DONNÉES!S126)</f>
        <v/>
      </c>
      <c r="E23" s="496">
        <f>IF(TRDHTR8[[#This Row],[2024]]="","",DONNÉES!T126)</f>
        <v/>
      </c>
      <c r="F23" s="366">
        <f>IF(TRDHTR8[[#This Row],[2024]]="","",DONNÉES!S62)</f>
        <v/>
      </c>
      <c r="G23" s="495">
        <f>IF(TRDHTR8[[#This Row],[2024]]="","",DONNÉES!T62)</f>
        <v/>
      </c>
      <c r="H23" s="366">
        <f>IF(TRDHTR8[[#This Row],[2024]]="","",DONNÉES!S142)</f>
        <v/>
      </c>
      <c r="I23" s="496">
        <f>IF(TRDHTR8[[#This Row],[2024]]="","",DONNÉES!T142)</f>
        <v/>
      </c>
      <c r="J23" s="366">
        <f>IF(TRDHTR8[[#This Row],[2024]]="","",DONNÉES!S78)</f>
        <v/>
      </c>
      <c r="K23" s="495">
        <f>IF(TRDHTR8[[#This Row],[2024]]="","",DONNÉES!T78)</f>
        <v/>
      </c>
      <c r="L23" s="366">
        <f>IF(TRDHTR8[[#This Row],[2024]]="","",DONNÉES!S158)</f>
        <v/>
      </c>
      <c r="M23" s="496">
        <f>IF(TRDHTR8[[#This Row],[2024]]="","",DONNÉES!T158)</f>
        <v/>
      </c>
      <c r="N23" s="366">
        <f>IF(TRDHTR8[[#This Row],[2024]]="","",DONNÉES!S94)</f>
        <v/>
      </c>
      <c r="O23" s="495">
        <f>IF(TRDHTR8[[#This Row],[2024]]="","",DONNÉES!T94)</f>
        <v/>
      </c>
      <c r="P23" s="366">
        <f>IF(TRDHTR8[[#This Row],[2024]]="","",DONNÉES!S174)</f>
        <v/>
      </c>
      <c r="Q23" s="497">
        <f>IF(TRDHTR8[[#This Row],[2024]]="","",DONNÉES!T174)</f>
        <v/>
      </c>
      <c r="R23" s="498" t="n"/>
      <c r="S23" s="366">
        <f>IF(TRDHTR8[[#This Row],[2024]]="","",DONNÉES!S110)</f>
        <v/>
      </c>
      <c r="T23" s="495">
        <f>IF(TRDHTR8[[#This Row],[2024]]="","",DONNÉES!T110)</f>
        <v/>
      </c>
      <c r="U23" s="366">
        <f>IF(TRDHTR8[[#This Row],[2024]]="","",DONNÉES!S190)</f>
        <v/>
      </c>
      <c r="V23" s="366">
        <f>IF(TRDHTR8[[#This Row],[2024]]="","",DONNÉES!T190)</f>
        <v/>
      </c>
    </row>
    <row r="24" ht="11.65" customFormat="1" customHeight="1" s="476">
      <c r="A24" s="494" t="inlineStr">
        <is>
          <t>Avril</t>
        </is>
      </c>
      <c r="B24" s="366">
        <f>IF(DONNÉES!S47="","",DONNÉES!S47)</f>
        <v/>
      </c>
      <c r="C24" s="495">
        <f>IF(TRDHTR8[[#This Row],[2024]]="","",DONNÉES!T47)</f>
        <v/>
      </c>
      <c r="D24" s="366">
        <f>IF(TRDHTR8[[#This Row],[2024]]="","",DONNÉES!S127)</f>
        <v/>
      </c>
      <c r="E24" s="496">
        <f>IF(TRDHTR8[[#This Row],[2024]]="","",DONNÉES!T127)</f>
        <v/>
      </c>
      <c r="F24" s="366">
        <f>IF(TRDHTR8[[#This Row],[2024]]="","",DONNÉES!S63)</f>
        <v/>
      </c>
      <c r="G24" s="495">
        <f>IF(TRDHTR8[[#This Row],[2024]]="","",DONNÉES!T63)</f>
        <v/>
      </c>
      <c r="H24" s="366">
        <f>IF(TRDHTR8[[#This Row],[2024]]="","",DONNÉES!S143)</f>
        <v/>
      </c>
      <c r="I24" s="496">
        <f>IF(TRDHTR8[[#This Row],[2024]]="","",DONNÉES!T143)</f>
        <v/>
      </c>
      <c r="J24" s="366">
        <f>IF(TRDHTR8[[#This Row],[2024]]="","",DONNÉES!S79)</f>
        <v/>
      </c>
      <c r="K24" s="495">
        <f>IF(TRDHTR8[[#This Row],[2024]]="","",DONNÉES!T79)</f>
        <v/>
      </c>
      <c r="L24" s="366">
        <f>IF(TRDHTR8[[#This Row],[2024]]="","",DONNÉES!S159)</f>
        <v/>
      </c>
      <c r="M24" s="496">
        <f>IF(TRDHTR8[[#This Row],[2024]]="","",DONNÉES!T159)</f>
        <v/>
      </c>
      <c r="N24" s="366">
        <f>IF(TRDHTR8[[#This Row],[2024]]="","",DONNÉES!S95)</f>
        <v/>
      </c>
      <c r="O24" s="495">
        <f>IF(TRDHTR8[[#This Row],[2024]]="","",DONNÉES!T95)</f>
        <v/>
      </c>
      <c r="P24" s="366">
        <f>IF(TRDHTR8[[#This Row],[2024]]="","",DONNÉES!S175)</f>
        <v/>
      </c>
      <c r="Q24" s="497">
        <f>IF(TRDHTR8[[#This Row],[2024]]="","",DONNÉES!T175)</f>
        <v/>
      </c>
      <c r="R24" s="499" t="n"/>
      <c r="S24" s="366">
        <f>IF(TRDHTR8[[#This Row],[2024]]="","",DONNÉES!S111)</f>
        <v/>
      </c>
      <c r="T24" s="495">
        <f>IF(TRDHTR8[[#This Row],[2024]]="","",DONNÉES!T111)</f>
        <v/>
      </c>
      <c r="U24" s="366">
        <f>IF(TRDHTR8[[#This Row],[2024]]="","",DONNÉES!S191)</f>
        <v/>
      </c>
      <c r="V24" s="366">
        <f>IF(TRDHTR8[[#This Row],[2024]]="","",DONNÉES!T191)</f>
        <v/>
      </c>
    </row>
    <row r="25" ht="11.65" customHeight="1" s="161">
      <c r="A25" s="490" t="inlineStr">
        <is>
          <t>Mai</t>
        </is>
      </c>
      <c r="B25" s="366">
        <f>IF(DONNÉES!S48="","",DONNÉES!S48)</f>
        <v/>
      </c>
      <c r="C25" s="495">
        <f>IF(TRDHTR8[[#This Row],[2024]]="","",DONNÉES!T48)</f>
        <v/>
      </c>
      <c r="D25" s="366">
        <f>IF(TRDHTR8[[#This Row],[2024]]="","",DONNÉES!S128)</f>
        <v/>
      </c>
      <c r="E25" s="496">
        <f>IF(TRDHTR8[[#This Row],[2024]]="","",DONNÉES!T128)</f>
        <v/>
      </c>
      <c r="F25" s="366">
        <f>IF(TRDHTR8[[#This Row],[2024]]="","",DONNÉES!S64)</f>
        <v/>
      </c>
      <c r="G25" s="495">
        <f>IF(TRDHTR8[[#This Row],[2024]]="","",DONNÉES!T64)</f>
        <v/>
      </c>
      <c r="H25" s="366">
        <f>IF(TRDHTR8[[#This Row],[2024]]="","",DONNÉES!S144)</f>
        <v/>
      </c>
      <c r="I25" s="496">
        <f>IF(TRDHTR8[[#This Row],[2024]]="","",DONNÉES!T144)</f>
        <v/>
      </c>
      <c r="J25" s="366">
        <f>IF(TRDHTR8[[#This Row],[2024]]="","",DONNÉES!S80)</f>
        <v/>
      </c>
      <c r="K25" s="495">
        <f>IF(TRDHTR8[[#This Row],[2024]]="","",DONNÉES!T80)</f>
        <v/>
      </c>
      <c r="L25" s="366">
        <f>IF(TRDHTR8[[#This Row],[2024]]="","",DONNÉES!S160)</f>
        <v/>
      </c>
      <c r="M25" s="496">
        <f>IF(TRDHTR8[[#This Row],[2024]]="","",DONNÉES!T160)</f>
        <v/>
      </c>
      <c r="N25" s="366">
        <f>IF(TRDHTR8[[#This Row],[2024]]="","",DONNÉES!S96)</f>
        <v/>
      </c>
      <c r="O25" s="495">
        <f>IF(TRDHTR8[[#This Row],[2024]]="","",DONNÉES!T96)</f>
        <v/>
      </c>
      <c r="P25" s="366">
        <f>IF(TRDHTR8[[#This Row],[2024]]="","",DONNÉES!S176)</f>
        <v/>
      </c>
      <c r="Q25" s="497">
        <f>IF(TRDHTR8[[#This Row],[2024]]="","",DONNÉES!T176)</f>
        <v/>
      </c>
      <c r="R25" s="499" t="n"/>
      <c r="S25" s="366">
        <f>IF(TRDHTR8[[#This Row],[2024]]="","",DONNÉES!S112)</f>
        <v/>
      </c>
      <c r="T25" s="495">
        <f>IF(TRDHTR8[[#This Row],[2024]]="","",DONNÉES!T112)</f>
        <v/>
      </c>
      <c r="U25" s="366">
        <f>IF(TRDHTR8[[#This Row],[2024]]="","",DONNÉES!S192)</f>
        <v/>
      </c>
      <c r="V25" s="366">
        <f>IF(TRDHTR8[[#This Row],[2024]]="","",DONNÉES!T192)</f>
        <v/>
      </c>
    </row>
    <row r="26" ht="11.65" customHeight="1" s="161">
      <c r="A26" s="494" t="inlineStr">
        <is>
          <t>Juin</t>
        </is>
      </c>
      <c r="B26" s="366">
        <f>IF(DONNÉES!S49="","",DONNÉES!S49)</f>
        <v/>
      </c>
      <c r="C26" s="495">
        <f>IF(TRDHTR8[[#This Row],[2024]]="","",DONNÉES!T49)</f>
        <v/>
      </c>
      <c r="D26" s="366">
        <f>IF(TRDHTR8[[#This Row],[2024]]="","",DONNÉES!S129)</f>
        <v/>
      </c>
      <c r="E26" s="496">
        <f>IF(TRDHTR8[[#This Row],[2024]]="","",DONNÉES!T129)</f>
        <v/>
      </c>
      <c r="F26" s="366">
        <f>IF(TRDHTR8[[#This Row],[2024]]="","",DONNÉES!S65)</f>
        <v/>
      </c>
      <c r="G26" s="495">
        <f>IF(TRDHTR8[[#This Row],[2024]]="","",DONNÉES!T65)</f>
        <v/>
      </c>
      <c r="H26" s="366">
        <f>IF(TRDHTR8[[#This Row],[2024]]="","",DONNÉES!S145)</f>
        <v/>
      </c>
      <c r="I26" s="496">
        <f>IF(TRDHTR8[[#This Row],[2024]]="","",DONNÉES!T145)</f>
        <v/>
      </c>
      <c r="J26" s="366">
        <f>IF(TRDHTR8[[#This Row],[2024]]="","",DONNÉES!S81)</f>
        <v/>
      </c>
      <c r="K26" s="495">
        <f>IF(TRDHTR8[[#This Row],[2024]]="","",DONNÉES!T81)</f>
        <v/>
      </c>
      <c r="L26" s="366">
        <f>IF(TRDHTR8[[#This Row],[2024]]="","",DONNÉES!S161)</f>
        <v/>
      </c>
      <c r="M26" s="496">
        <f>IF(TRDHTR8[[#This Row],[2024]]="","",DONNÉES!T161)</f>
        <v/>
      </c>
      <c r="N26" s="366">
        <f>IF(TRDHTR8[[#This Row],[2024]]="","",DONNÉES!S97)</f>
        <v/>
      </c>
      <c r="O26" s="495">
        <f>IF(TRDHTR8[[#This Row],[2024]]="","",DONNÉES!T97)</f>
        <v/>
      </c>
      <c r="P26" s="366">
        <f>IF(TRDHTR8[[#This Row],[2024]]="","",DONNÉES!S177)</f>
        <v/>
      </c>
      <c r="Q26" s="497">
        <f>IF(TRDHTR8[[#This Row],[2024]]="","",DONNÉES!T177)</f>
        <v/>
      </c>
      <c r="R26" s="499" t="n"/>
      <c r="S26" s="366">
        <f>IF(TRDHTR8[[#This Row],[2024]]="","",DONNÉES!S113)</f>
        <v/>
      </c>
      <c r="T26" s="495">
        <f>IF(TRDHTR8[[#This Row],[2024]]="","",DONNÉES!T113)</f>
        <v/>
      </c>
      <c r="U26" s="366">
        <f>IF(TRDHTR8[[#This Row],[2024]]="","",DONNÉES!S193)</f>
        <v/>
      </c>
      <c r="V26" s="366">
        <f>IF(TRDHTR8[[#This Row],[2024]]="","",DONNÉES!T193)</f>
        <v/>
      </c>
    </row>
    <row r="27" ht="11.65" customHeight="1" s="161">
      <c r="A27" s="490" t="inlineStr">
        <is>
          <t>Juillet</t>
        </is>
      </c>
      <c r="B27" s="366">
        <f>IF(DONNÉES!S50="","",DONNÉES!S50)</f>
        <v/>
      </c>
      <c r="C27" s="495">
        <f>IF(TRDHTR8[[#This Row],[2024]]="","",DONNÉES!T50)</f>
        <v/>
      </c>
      <c r="D27" s="366">
        <f>IF(TRDHTR8[[#This Row],[2024]]="","",DONNÉES!S130)</f>
        <v/>
      </c>
      <c r="E27" s="496">
        <f>IF(TRDHTR8[[#This Row],[2024]]="","",DONNÉES!T130)</f>
        <v/>
      </c>
      <c r="F27" s="366">
        <f>IF(TRDHTR8[[#This Row],[2024]]="","",DONNÉES!S66)</f>
        <v/>
      </c>
      <c r="G27" s="495">
        <f>IF(TRDHTR8[[#This Row],[2024]]="","",DONNÉES!T66)</f>
        <v/>
      </c>
      <c r="H27" s="366">
        <f>IF(TRDHTR8[[#This Row],[2024]]="","",DONNÉES!S146)</f>
        <v/>
      </c>
      <c r="I27" s="496">
        <f>IF(TRDHTR8[[#This Row],[2024]]="","",DONNÉES!T146)</f>
        <v/>
      </c>
      <c r="J27" s="366">
        <f>IF(TRDHTR8[[#This Row],[2024]]="","",DONNÉES!S82)</f>
        <v/>
      </c>
      <c r="K27" s="495">
        <f>IF(TRDHTR8[[#This Row],[2024]]="","",DONNÉES!T82)</f>
        <v/>
      </c>
      <c r="L27" s="366">
        <f>IF(TRDHTR8[[#This Row],[2024]]="","",DONNÉES!S162)</f>
        <v/>
      </c>
      <c r="M27" s="496">
        <f>IF(TRDHTR8[[#This Row],[2024]]="","",DONNÉES!T162)</f>
        <v/>
      </c>
      <c r="N27" s="366">
        <f>IF(TRDHTR8[[#This Row],[2024]]="","",DONNÉES!S98)</f>
        <v/>
      </c>
      <c r="O27" s="495">
        <f>IF(TRDHTR8[[#This Row],[2024]]="","",DONNÉES!T98)</f>
        <v/>
      </c>
      <c r="P27" s="366">
        <f>IF(TRDHTR8[[#This Row],[2024]]="","",DONNÉES!S178)</f>
        <v/>
      </c>
      <c r="Q27" s="497">
        <f>IF(TRDHTR8[[#This Row],[2024]]="","",DONNÉES!T178)</f>
        <v/>
      </c>
      <c r="R27" s="499" t="n"/>
      <c r="S27" s="366">
        <f>IF(TRDHTR8[[#This Row],[2024]]="","",DONNÉES!S114)</f>
        <v/>
      </c>
      <c r="T27" s="495">
        <f>IF(TRDHTR8[[#This Row],[2024]]="","",DONNÉES!T114)</f>
        <v/>
      </c>
      <c r="U27" s="366">
        <f>IF(TRDHTR8[[#This Row],[2024]]="","",DONNÉES!S194)</f>
        <v/>
      </c>
      <c r="V27" s="366">
        <f>IF(TRDHTR8[[#This Row],[2024]]="","",DONNÉES!T194)</f>
        <v/>
      </c>
    </row>
    <row r="28" ht="11.65" customHeight="1" s="161">
      <c r="A28" s="494" t="inlineStr">
        <is>
          <t>Août</t>
        </is>
      </c>
      <c r="B28" s="366">
        <f>IF(DONNÉES!S51="","",DONNÉES!S51)</f>
        <v/>
      </c>
      <c r="C28" s="495">
        <f>IF(TRDHTR8[[#This Row],[2024]]="","",DONNÉES!T51)</f>
        <v/>
      </c>
      <c r="D28" s="366">
        <f>IF(TRDHTR8[[#This Row],[2024]]="","",DONNÉES!S131)</f>
        <v/>
      </c>
      <c r="E28" s="496">
        <f>IF(TRDHTR8[[#This Row],[2024]]="","",DONNÉES!T131)</f>
        <v/>
      </c>
      <c r="F28" s="366">
        <f>IF(TRDHTR8[[#This Row],[2024]]="","",DONNÉES!S67)</f>
        <v/>
      </c>
      <c r="G28" s="495">
        <f>IF(TRDHTR8[[#This Row],[2024]]="","",DONNÉES!T67)</f>
        <v/>
      </c>
      <c r="H28" s="366">
        <f>IF(TRDHTR8[[#This Row],[2024]]="","",DONNÉES!S147)</f>
        <v/>
      </c>
      <c r="I28" s="496">
        <f>IF(TRDHTR8[[#This Row],[2024]]="","",DONNÉES!T147)</f>
        <v/>
      </c>
      <c r="J28" s="366">
        <f>IF(TRDHTR8[[#This Row],[2024]]="","",DONNÉES!S83)</f>
        <v/>
      </c>
      <c r="K28" s="495">
        <f>IF(TRDHTR8[[#This Row],[2024]]="","",DONNÉES!T83)</f>
        <v/>
      </c>
      <c r="L28" s="366">
        <f>IF(TRDHTR8[[#This Row],[2024]]="","",DONNÉES!S163)</f>
        <v/>
      </c>
      <c r="M28" s="496">
        <f>IF(TRDHTR8[[#This Row],[2024]]="","",DONNÉES!T163)</f>
        <v/>
      </c>
      <c r="N28" s="366">
        <f>IF(TRDHTR8[[#This Row],[2024]]="","",DONNÉES!S99)</f>
        <v/>
      </c>
      <c r="O28" s="495">
        <f>IF(TRDHTR8[[#This Row],[2024]]="","",DONNÉES!T99)</f>
        <v/>
      </c>
      <c r="P28" s="366">
        <f>IF(TRDHTR8[[#This Row],[2024]]="","",DONNÉES!S179)</f>
        <v/>
      </c>
      <c r="Q28" s="497">
        <f>IF(TRDHTR8[[#This Row],[2024]]="","",DONNÉES!T179)</f>
        <v/>
      </c>
      <c r="R28" s="499" t="n"/>
      <c r="S28" s="366">
        <f>IF(TRDHTR8[[#This Row],[2024]]="","",DONNÉES!S115)</f>
        <v/>
      </c>
      <c r="T28" s="495">
        <f>IF(TRDHTR8[[#This Row],[2024]]="","",DONNÉES!T115)</f>
        <v/>
      </c>
      <c r="U28" s="366">
        <f>IF(TRDHTR8[[#This Row],[2024]]="","",DONNÉES!S195)</f>
        <v/>
      </c>
      <c r="V28" s="366">
        <f>IF(TRDHTR8[[#This Row],[2024]]="","",DONNÉES!T195)</f>
        <v/>
      </c>
    </row>
    <row r="29" ht="11.65" customHeight="1" s="161">
      <c r="A29" s="490" t="inlineStr">
        <is>
          <t>Septembre</t>
        </is>
      </c>
      <c r="B29" s="366">
        <f>IF(DONNÉES!S52="","",DONNÉES!S52)</f>
        <v/>
      </c>
      <c r="C29" s="501">
        <f>IF(TRDHTR8[[#This Row],[2024]]="","",DONNÉES!T52)</f>
        <v/>
      </c>
      <c r="D29" s="369">
        <f>IF(TRDHTR8[[#This Row],[2024]]="","",DONNÉES!S132)</f>
        <v/>
      </c>
      <c r="E29" s="500">
        <f>IF(TRDHTR8[[#This Row],[2024]]="","",DONNÉES!T132)</f>
        <v/>
      </c>
      <c r="F29" s="366">
        <f>IF(TRDHTR8[[#This Row],[2024]]="","",DONNÉES!S68)</f>
        <v/>
      </c>
      <c r="G29" s="495">
        <f>IF(TRDHTR8[[#This Row],[2024]]="","",DONNÉES!T68)</f>
        <v/>
      </c>
      <c r="H29" s="369">
        <f>IF(TRDHTR8[[#This Row],[2024]]="","",DONNÉES!S148)</f>
        <v/>
      </c>
      <c r="I29" s="500">
        <f>IF(TRDHTR8[[#This Row],[2024]]="","",DONNÉES!T148)</f>
        <v/>
      </c>
      <c r="J29" s="369">
        <f>IF(TRDHTR8[[#This Row],[2024]]="","",DONNÉES!S84)</f>
        <v/>
      </c>
      <c r="K29" s="501">
        <f>IF(TRDHTR8[[#This Row],[2024]]="","",DONNÉES!T84)</f>
        <v/>
      </c>
      <c r="L29" s="369">
        <f>IF(TRDHTR8[[#This Row],[2024]]="","",DONNÉES!S164)</f>
        <v/>
      </c>
      <c r="M29" s="500">
        <f>IF(TRDHTR8[[#This Row],[2024]]="","",DONNÉES!T164)</f>
        <v/>
      </c>
      <c r="N29" s="369">
        <f>IF(TRDHTR8[[#This Row],[2024]]="","",DONNÉES!S100)</f>
        <v/>
      </c>
      <c r="O29" s="501">
        <f>IF(TRDHTR8[[#This Row],[2024]]="","",DONNÉES!T100)</f>
        <v/>
      </c>
      <c r="P29" s="369">
        <f>IF(TRDHTR8[[#This Row],[2024]]="","",DONNÉES!S180)</f>
        <v/>
      </c>
      <c r="Q29" s="502">
        <f>IF(TRDHTR8[[#This Row],[2024]]="","",DONNÉES!T180)</f>
        <v/>
      </c>
      <c r="R29" s="503" t="n"/>
      <c r="S29" s="369">
        <f>IF(TRDHTR8[[#This Row],[2024]]="","",DONNÉES!S116)</f>
        <v/>
      </c>
      <c r="T29" s="501">
        <f>IF(TRDHTR8[[#This Row],[2024]]="","",DONNÉES!T116)</f>
        <v/>
      </c>
      <c r="U29" s="369">
        <f>IF(TRDHTR8[[#This Row],[2024]]="","",DONNÉES!S196)</f>
        <v/>
      </c>
      <c r="V29" s="369">
        <f>IF(TRDHTR8[[#This Row],[2024]]="","",DONNÉES!T196)</f>
        <v/>
      </c>
    </row>
    <row r="30" ht="11.65" customHeight="1" s="161">
      <c r="A30" s="494" t="inlineStr">
        <is>
          <t>Octobre</t>
        </is>
      </c>
      <c r="B30" s="366">
        <f>IF(DONNÉES!S53="","",DONNÉES!S53)</f>
        <v/>
      </c>
      <c r="C30" s="501">
        <f>IF(TRDHTR8[[#This Row],[2024]]="","",DONNÉES!T53)</f>
        <v/>
      </c>
      <c r="D30" s="369">
        <f>IF(TRDHTR8[[#This Row],[2024]]="","",DONNÉES!S133)</f>
        <v/>
      </c>
      <c r="E30" s="500">
        <f>IF(TRDHTR8[[#This Row],[2024]]="","",DONNÉES!T133)</f>
        <v/>
      </c>
      <c r="F30" s="366">
        <f>IF(TRDHTR8[[#This Row],[2024]]="","",DONNÉES!S69)</f>
        <v/>
      </c>
      <c r="G30" s="495">
        <f>IF(TRDHTR8[[#This Row],[2024]]="","",DONNÉES!T69)</f>
        <v/>
      </c>
      <c r="H30" s="369">
        <f>IF(TRDHTR8[[#This Row],[2024]]="","",DONNÉES!S149)</f>
        <v/>
      </c>
      <c r="I30" s="500">
        <f>IF(TRDHTR8[[#This Row],[2024]]="","",DONNÉES!T149)</f>
        <v/>
      </c>
      <c r="J30" s="369">
        <f>IF(TRDHTR8[[#This Row],[2024]]="","",DONNÉES!S85)</f>
        <v/>
      </c>
      <c r="K30" s="501">
        <f>IF(TRDHTR8[[#This Row],[2024]]="","",DONNÉES!T85)</f>
        <v/>
      </c>
      <c r="L30" s="369">
        <f>IF(TRDHTR8[[#This Row],[2024]]="","",DONNÉES!S165)</f>
        <v/>
      </c>
      <c r="M30" s="500">
        <f>IF(TRDHTR8[[#This Row],[2024]]="","",DONNÉES!T165)</f>
        <v/>
      </c>
      <c r="N30" s="369">
        <f>IF(TRDHTR8[[#This Row],[2024]]="","",DONNÉES!S101)</f>
        <v/>
      </c>
      <c r="O30" s="501">
        <f>IF(TRDHTR8[[#This Row],[2024]]="","",DONNÉES!T101)</f>
        <v/>
      </c>
      <c r="P30" s="369">
        <f>IF(TRDHTR8[[#This Row],[2024]]="","",DONNÉES!S181)</f>
        <v/>
      </c>
      <c r="Q30" s="502">
        <f>IF(TRDHTR8[[#This Row],[2024]]="","",DONNÉES!T181)</f>
        <v/>
      </c>
      <c r="R30" s="499" t="n"/>
      <c r="S30" s="369">
        <f>IF(TRDHTR8[[#This Row],[2024]]="","",DONNÉES!S117)</f>
        <v/>
      </c>
      <c r="T30" s="501">
        <f>IF(TRDHTR8[[#This Row],[2024]]="","",DONNÉES!T117)</f>
        <v/>
      </c>
      <c r="U30" s="369">
        <f>IF(TRDHTR8[[#This Row],[2024]]="","",DONNÉES!S197)</f>
        <v/>
      </c>
      <c r="V30" s="369">
        <f>IF(TRDHTR8[[#This Row],[2024]]="","",DONNÉES!T197)</f>
        <v/>
      </c>
    </row>
    <row r="31" ht="11.65" customHeight="1" s="161">
      <c r="A31" s="490" t="inlineStr">
        <is>
          <t>Novembre</t>
        </is>
      </c>
      <c r="B31" s="366">
        <f>IF(DONNÉES!S54="","",DONNÉES!S54)</f>
        <v/>
      </c>
      <c r="C31" s="501">
        <f>IF(TRDHTR8[[#This Row],[2024]]="","",DONNÉES!T54)</f>
        <v/>
      </c>
      <c r="D31" s="369">
        <f>IF(TRDHTR8[[#This Row],[2024]]="","",DONNÉES!S134)</f>
        <v/>
      </c>
      <c r="E31" s="500">
        <f>IF(TRDHTR8[[#This Row],[2024]]="","",DONNÉES!T134)</f>
        <v/>
      </c>
      <c r="F31" s="366">
        <f>IF(TRDHTR8[[#This Row],[2024]]="","",DONNÉES!S70)</f>
        <v/>
      </c>
      <c r="G31" s="495">
        <f>IF(TRDHTR8[[#This Row],[2024]]="","",DONNÉES!T70)</f>
        <v/>
      </c>
      <c r="H31" s="369">
        <f>IF(TRDHTR8[[#This Row],[2024]]="","",DONNÉES!S150)</f>
        <v/>
      </c>
      <c r="I31" s="500">
        <f>IF(TRDHTR8[[#This Row],[2024]]="","",DONNÉES!T150)</f>
        <v/>
      </c>
      <c r="J31" s="369">
        <f>IF(TRDHTR8[[#This Row],[2024]]="","",DONNÉES!S86)</f>
        <v/>
      </c>
      <c r="K31" s="501">
        <f>IF(TRDHTR8[[#This Row],[2024]]="","",DONNÉES!T86)</f>
        <v/>
      </c>
      <c r="L31" s="369">
        <f>IF(TRDHTR8[[#This Row],[2024]]="","",DONNÉES!S166)</f>
        <v/>
      </c>
      <c r="M31" s="500">
        <f>IF(TRDHTR8[[#This Row],[2024]]="","",DONNÉES!T166)</f>
        <v/>
      </c>
      <c r="N31" s="369">
        <f>IF(TRDHTR8[[#This Row],[2024]]="","",DONNÉES!S102)</f>
        <v/>
      </c>
      <c r="O31" s="501">
        <f>IF(TRDHTR8[[#This Row],[2024]]="","",DONNÉES!T102)</f>
        <v/>
      </c>
      <c r="P31" s="369">
        <f>IF(TRDHTR8[[#This Row],[2024]]="","",DONNÉES!S182)</f>
        <v/>
      </c>
      <c r="Q31" s="502">
        <f>IF(TRDHTR8[[#This Row],[2024]]="","",DONNÉES!T182)</f>
        <v/>
      </c>
      <c r="R31" s="498" t="n"/>
      <c r="S31" s="369">
        <f>IF(TRDHTR8[[#This Row],[2024]]="","",DONNÉES!S118)</f>
        <v/>
      </c>
      <c r="T31" s="501">
        <f>IF(TRDHTR8[[#This Row],[2024]]="","",DONNÉES!T118)</f>
        <v/>
      </c>
      <c r="U31" s="369">
        <f>IF(TRDHTR8[[#This Row],[2024]]="","",DONNÉES!S198)</f>
        <v/>
      </c>
      <c r="V31" s="369">
        <f>IF(TRDHTR8[[#This Row],[2024]]="","",DONNÉES!T198)</f>
        <v/>
      </c>
    </row>
    <row r="32" ht="11.65" customFormat="1" customHeight="1" s="476">
      <c r="A32" s="490" t="inlineStr">
        <is>
          <t>Décembre</t>
        </is>
      </c>
      <c r="B32" s="366">
        <f>IF(DONNÉES!S55="","",DONNÉES!S55)</f>
        <v/>
      </c>
      <c r="C32" s="501">
        <f>IF(TRDHTR8[[#This Row],[2024]]="","",DONNÉES!T55)</f>
        <v/>
      </c>
      <c r="D32" s="369">
        <f>IF(TRDHTR8[[#This Row],[2024]]="","",DONNÉES!S135)</f>
        <v/>
      </c>
      <c r="E32" s="500">
        <f>IF(TRDHTR8[[#This Row],[2024]]="","",DONNÉES!T135)</f>
        <v/>
      </c>
      <c r="F32" s="366">
        <f>IF(TRDHTR8[[#This Row],[2024]]="","",DONNÉES!S71)</f>
        <v/>
      </c>
      <c r="G32" s="495">
        <f>IF(TRDHTR8[[#This Row],[2024]]="","",DONNÉES!T71)</f>
        <v/>
      </c>
      <c r="H32" s="369">
        <f>IF(TRDHTR8[[#This Row],[2024]]="","",DONNÉES!S151)</f>
        <v/>
      </c>
      <c r="I32" s="500">
        <f>IF(TRDHTR8[[#This Row],[2024]]="","",DONNÉES!T151)</f>
        <v/>
      </c>
      <c r="J32" s="369">
        <f>IF(TRDHTR8[[#This Row],[2024]]="","",DONNÉES!S87)</f>
        <v/>
      </c>
      <c r="K32" s="501">
        <f>IF(TRDHTR8[[#This Row],[2024]]="","",DONNÉES!T87)</f>
        <v/>
      </c>
      <c r="L32" s="369">
        <f>IF(TRDHTR8[[#This Row],[2024]]="","",DONNÉES!S167)</f>
        <v/>
      </c>
      <c r="M32" s="500">
        <f>IF(TRDHTR8[[#This Row],[2024]]="","",DONNÉES!T167)</f>
        <v/>
      </c>
      <c r="N32" s="369">
        <f>IF(TRDHTR8[[#This Row],[2024]]="","",DONNÉES!S103)</f>
        <v/>
      </c>
      <c r="O32" s="501">
        <f>IF(TRDHTR8[[#This Row],[2024]]="","",DONNÉES!T103)</f>
        <v/>
      </c>
      <c r="P32" s="369">
        <f>IF(TRDHTR8[[#This Row],[2024]]="","",DONNÉES!S183)</f>
        <v/>
      </c>
      <c r="Q32" s="502">
        <f>IF(TRDHTR8[[#This Row],[2024]]="","",DONNÉES!T183)</f>
        <v/>
      </c>
      <c r="R32" s="498" t="n"/>
      <c r="S32" s="369">
        <f>IF(TRDHTR8[[#This Row],[2024]]="","",DONNÉES!S119)</f>
        <v/>
      </c>
      <c r="T32" s="501">
        <f>IF(TRDHTR8[[#This Row],[2024]]="","",DONNÉES!T119)</f>
        <v/>
      </c>
      <c r="U32" s="369">
        <f>IF(TRDHTR8[[#This Row],[2024]]="","",DONNÉES!S199)</f>
        <v/>
      </c>
      <c r="V32" s="369">
        <f>IF(TRDHTR8[[#This Row],[2024]]="","",DONNÉES!T199)</f>
        <v/>
      </c>
    </row>
    <row r="33" ht="10.15" customFormat="1" customHeight="1" s="476">
      <c r="A33" s="474" t="n"/>
      <c r="B33" s="478" t="n"/>
      <c r="C33" s="478" t="n"/>
      <c r="D33" s="101" t="n"/>
      <c r="E33" s="478" t="n"/>
      <c r="F33" s="478" t="n"/>
      <c r="G33" s="479" t="n"/>
      <c r="H33" s="474" t="n"/>
      <c r="I33" s="475" t="n"/>
      <c r="J33" s="478" t="n"/>
      <c r="K33" s="478" t="n"/>
      <c r="L33" s="101" t="n"/>
      <c r="M33" s="479" t="n"/>
      <c r="N33" s="474" t="n"/>
      <c r="O33" s="474" t="n"/>
      <c r="P33" s="474" t="n"/>
      <c r="Q33" s="474" t="n"/>
      <c r="R33" s="498" t="n"/>
      <c r="S33" s="474" t="n"/>
      <c r="T33" s="474" t="n"/>
      <c r="U33" s="474" t="n"/>
      <c r="V33" s="474" t="n"/>
    </row>
    <row r="34" ht="14.65" customFormat="1" customHeight="1" s="476">
      <c r="A34" s="505" t="n"/>
      <c r="B34" s="506" t="inlineStr">
        <is>
          <t>Sur place</t>
        </is>
      </c>
      <c r="C34" s="487" t="n"/>
      <c r="D34" s="487" t="n"/>
      <c r="E34" s="488" t="n"/>
      <c r="F34" s="506" t="inlineStr">
        <is>
          <t>A emporter</t>
        </is>
      </c>
      <c r="G34" s="487" t="n"/>
      <c r="H34" s="487" t="n"/>
      <c r="I34" s="488" t="n"/>
      <c r="J34" s="506" t="inlineStr">
        <is>
          <t>Mc Drive</t>
        </is>
      </c>
      <c r="K34" s="487" t="n"/>
      <c r="L34" s="487" t="n"/>
      <c r="M34" s="488" t="n"/>
      <c r="N34" s="507" t="inlineStr">
        <is>
          <t>Kiosque</t>
        </is>
      </c>
      <c r="O34" s="487" t="n"/>
      <c r="P34" s="487" t="n"/>
      <c r="Q34" s="487" t="n"/>
      <c r="R34" s="498" t="n"/>
      <c r="S34" s="507" t="inlineStr">
        <is>
          <t>Total</t>
        </is>
      </c>
      <c r="T34" s="487" t="n"/>
      <c r="U34" s="487" t="n"/>
      <c r="V34" s="487" t="n"/>
    </row>
    <row r="35" ht="28.9" customHeight="1" s="161">
      <c r="A35" s="490" t="inlineStr">
        <is>
          <t>TIRR</t>
        </is>
      </c>
      <c r="B35" s="491" t="inlineStr">
        <is>
          <t>2024</t>
        </is>
      </c>
      <c r="C35" s="492" t="inlineStr">
        <is>
          <t>2023</t>
        </is>
      </c>
      <c r="D35" s="491" t="inlineStr">
        <is>
          <t>2024 cumul</t>
        </is>
      </c>
      <c r="E35" s="493" t="inlineStr">
        <is>
          <t>2023 cumul</t>
        </is>
      </c>
      <c r="F35" s="211" t="inlineStr">
        <is>
          <t xml:space="preserve">2024  </t>
        </is>
      </c>
      <c r="G35" s="492" t="inlineStr">
        <is>
          <t xml:space="preserve">2023  </t>
        </is>
      </c>
      <c r="H35" s="491" t="inlineStr">
        <is>
          <t xml:space="preserve">2024 cumul </t>
        </is>
      </c>
      <c r="I35" s="493" t="inlineStr">
        <is>
          <t xml:space="preserve">2023 cumul </t>
        </is>
      </c>
      <c r="J35" s="491" t="inlineStr">
        <is>
          <t xml:space="preserve">2024   </t>
        </is>
      </c>
      <c r="K35" s="492" t="inlineStr">
        <is>
          <t xml:space="preserve">2023   </t>
        </is>
      </c>
      <c r="L35" s="491" t="inlineStr">
        <is>
          <t xml:space="preserve">2024 cumul   </t>
        </is>
      </c>
      <c r="M35" s="493" t="inlineStr">
        <is>
          <t xml:space="preserve">2023 cumul   </t>
        </is>
      </c>
      <c r="N35" s="491" t="inlineStr">
        <is>
          <t xml:space="preserve">2024    </t>
        </is>
      </c>
      <c r="O35" s="492" t="inlineStr">
        <is>
          <t xml:space="preserve">2023    </t>
        </is>
      </c>
      <c r="P35" s="491" t="inlineStr">
        <is>
          <t xml:space="preserve">2024 cumul    </t>
        </is>
      </c>
      <c r="Q35" s="94" t="inlineStr">
        <is>
          <t xml:space="preserve">2023 cumul    </t>
        </is>
      </c>
      <c r="S35" s="491" t="inlineStr">
        <is>
          <t>2024</t>
        </is>
      </c>
      <c r="T35" s="492" t="inlineStr">
        <is>
          <t>2023</t>
        </is>
      </c>
      <c r="U35" s="491" t="inlineStr">
        <is>
          <t>2024 cumul</t>
        </is>
      </c>
      <c r="V35" s="493" t="inlineStr">
        <is>
          <t>2023 cumul</t>
        </is>
      </c>
    </row>
    <row r="36" ht="11.65" customHeight="1" s="161">
      <c r="A36" s="494" t="inlineStr">
        <is>
          <t>Janvier</t>
        </is>
      </c>
      <c r="B36" s="366">
        <f>IF(DONNÉES!AA44="","",DONNÉES!AA44)</f>
        <v/>
      </c>
      <c r="C36" s="495">
        <f>IF(TRDTIRR[[#This Row],[2024]]="","",DONNÉES!AB44)</f>
        <v/>
      </c>
      <c r="D36" s="366">
        <f>IF(TRDTIRR[[#This Row],[2024]]="","",DONNÉES!AA124)</f>
        <v/>
      </c>
      <c r="E36" s="496">
        <f>IF(TRDTIRR[[#This Row],[2024]]="","",DONNÉES!AB124)</f>
        <v/>
      </c>
      <c r="F36" s="366">
        <f>IF(TRDTIRR[[#This Row],[2024]]="","",DONNÉES!AA60)</f>
        <v/>
      </c>
      <c r="G36" s="495">
        <f>IF(TRDTIRR[[#This Row],[2024]]="","",DONNÉES!AB60)</f>
        <v/>
      </c>
      <c r="H36" s="366">
        <f>IF(TRDTIRR[[#This Row],[2024]]="","",DONNÉES!AA140)</f>
        <v/>
      </c>
      <c r="I36" s="496">
        <f>IF(TRDTIRR[[#This Row],[2024]]="","",DONNÉES!AB140)</f>
        <v/>
      </c>
      <c r="J36" s="366">
        <f>IF(TRDTIRR[[#This Row],[2024]]="","",DONNÉES!AA76)</f>
        <v/>
      </c>
      <c r="K36" s="495">
        <f>IF(TRDTIRR[[#This Row],[2024]]="","",DONNÉES!AB76)</f>
        <v/>
      </c>
      <c r="L36" s="366">
        <f>IF(TRDTIRR[[#This Row],[2024]]="","",DONNÉES!AA156)</f>
        <v/>
      </c>
      <c r="M36" s="496">
        <f>IF(TRDTIRR[[#This Row],[2024]]="","",DONNÉES!AB156)</f>
        <v/>
      </c>
      <c r="N36" s="366">
        <f>IF(TRDTIRR[[#This Row],[2024]]="","",DONNÉES!AA92)</f>
        <v/>
      </c>
      <c r="O36" s="495">
        <f>IF(TRDTIRR[[#This Row],[2024]]="","",DONNÉES!AB92)</f>
        <v/>
      </c>
      <c r="P36" s="366">
        <f>IF(TRDTIRR[[#This Row],[2024]]="","",DONNÉES!AA172)</f>
        <v/>
      </c>
      <c r="Q36" s="366">
        <f>IF(TRDTIRR[[#This Row],[2024]]="","",DONNÉES!AB172)</f>
        <v/>
      </c>
      <c r="S36" s="366">
        <f>IF(TRDTIRR[[#This Row],[2024]]="","",DONNÉES!AA108)</f>
        <v/>
      </c>
      <c r="T36" s="495">
        <f>IF(TRDTIRR[[#This Row],[2024]]="","",DONNÉES!AB108)</f>
        <v/>
      </c>
      <c r="U36" s="495">
        <f>IF(TRDTIRR[[#This Row],[2024]]="","",DONNÉES!AA188)</f>
        <v/>
      </c>
      <c r="V36" s="366">
        <f>IF(TRDTIRR[[#This Row],[2024]]="","",DONNÉES!AB188)</f>
        <v/>
      </c>
    </row>
    <row r="37" ht="11.65" customHeight="1" s="161">
      <c r="A37" s="494" t="inlineStr">
        <is>
          <t>Février</t>
        </is>
      </c>
      <c r="B37" s="366">
        <f>IF(DONNÉES!AA45="","",DONNÉES!AA45)</f>
        <v/>
      </c>
      <c r="C37" s="495">
        <f>IF(TRDTIRR[[#This Row],[2024]]="","",DONNÉES!AB45)</f>
        <v/>
      </c>
      <c r="D37" s="366">
        <f>IF(TRDTIRR[[#This Row],[2024]]="","",DONNÉES!AA125)</f>
        <v/>
      </c>
      <c r="E37" s="496">
        <f>IF(TRDTIRR[[#This Row],[2024]]="","",DONNÉES!AB125)</f>
        <v/>
      </c>
      <c r="F37" s="366">
        <f>IF(TRDTIRR[[#This Row],[2024]]="","",DONNÉES!AA61)</f>
        <v/>
      </c>
      <c r="G37" s="495">
        <f>IF(TRDTIRR[[#This Row],[2024]]="","",DONNÉES!AB61)</f>
        <v/>
      </c>
      <c r="H37" s="366">
        <f>IF(TRDTIRR[[#This Row],[2024]]="","",DONNÉES!AA141)</f>
        <v/>
      </c>
      <c r="I37" s="496">
        <f>IF(TRDTIRR[[#This Row],[2024]]="","",DONNÉES!AB141)</f>
        <v/>
      </c>
      <c r="J37" s="366">
        <f>IF(TRDTIRR[[#This Row],[2024]]="","",DONNÉES!AA77)</f>
        <v/>
      </c>
      <c r="K37" s="495">
        <f>IF(TRDTIRR[[#This Row],[2024]]="","",DONNÉES!AB77)</f>
        <v/>
      </c>
      <c r="L37" s="366">
        <f>IF(TRDTIRR[[#This Row],[2024]]="","",DONNÉES!AA157)</f>
        <v/>
      </c>
      <c r="M37" s="496">
        <f>IF(TRDTIRR[[#This Row],[2024]]="","",DONNÉES!AB157)</f>
        <v/>
      </c>
      <c r="N37" s="366">
        <f>IF(TRDTIRR[[#This Row],[2024]]="","",DONNÉES!AA93)</f>
        <v/>
      </c>
      <c r="O37" s="495">
        <f>IF(TRDTIRR[[#This Row],[2024]]="","",DONNÉES!AB93)</f>
        <v/>
      </c>
      <c r="P37" s="366">
        <f>IF(TRDTIRR[[#This Row],[2024]]="","",DONNÉES!AA173)</f>
        <v/>
      </c>
      <c r="Q37" s="366">
        <f>IF(TRDTIRR[[#This Row],[2024]]="","",DONNÉES!AB173)</f>
        <v/>
      </c>
      <c r="S37" s="366">
        <f>IF(TRDTIRR[[#This Row],[2024]]="","",DONNÉES!AA109)</f>
        <v/>
      </c>
      <c r="T37" s="495">
        <f>IF(TRDTIRR[[#This Row],[2024]]="","",DONNÉES!AB109)</f>
        <v/>
      </c>
      <c r="U37" s="495">
        <f>IF(TRDTIRR[[#This Row],[2024]]="","",DONNÉES!AA189)</f>
        <v/>
      </c>
      <c r="V37" s="366">
        <f>IF(TRDTIRR[[#This Row],[2024]]="","",DONNÉES!AB189)</f>
        <v/>
      </c>
    </row>
    <row r="38" ht="11.65" customFormat="1" customHeight="1" s="476">
      <c r="A38" s="490" t="inlineStr">
        <is>
          <t>Mars</t>
        </is>
      </c>
      <c r="B38" s="366">
        <f>IF(DONNÉES!AA46="","",DONNÉES!AA46)</f>
        <v/>
      </c>
      <c r="C38" s="495">
        <f>IF(TRDTIRR[[#This Row],[2024]]="","",DONNÉES!AB46)</f>
        <v/>
      </c>
      <c r="D38" s="366">
        <f>IF(TRDTIRR[[#This Row],[2024]]="","",DONNÉES!AA126)</f>
        <v/>
      </c>
      <c r="E38" s="496">
        <f>IF(TRDTIRR[[#This Row],[2024]]="","",DONNÉES!AB126)</f>
        <v/>
      </c>
      <c r="F38" s="366">
        <f>IF(TRDTIRR[[#This Row],[2024]]="","",DONNÉES!AA62)</f>
        <v/>
      </c>
      <c r="G38" s="495">
        <f>IF(TRDTIRR[[#This Row],[2024]]="","",DONNÉES!AB62)</f>
        <v/>
      </c>
      <c r="H38" s="366">
        <f>IF(TRDTIRR[[#This Row],[2024]]="","",DONNÉES!AA142)</f>
        <v/>
      </c>
      <c r="I38" s="496">
        <f>IF(TRDTIRR[[#This Row],[2024]]="","",DONNÉES!AB142)</f>
        <v/>
      </c>
      <c r="J38" s="366">
        <f>IF(TRDTIRR[[#This Row],[2024]]="","",DONNÉES!AA78)</f>
        <v/>
      </c>
      <c r="K38" s="495">
        <f>IF(TRDTIRR[[#This Row],[2024]]="","",DONNÉES!AB78)</f>
        <v/>
      </c>
      <c r="L38" s="366">
        <f>IF(TRDTIRR[[#This Row],[2024]]="","",DONNÉES!AA158)</f>
        <v/>
      </c>
      <c r="M38" s="496">
        <f>IF(TRDTIRR[[#This Row],[2024]]="","",DONNÉES!AB158)</f>
        <v/>
      </c>
      <c r="N38" s="366">
        <f>IF(TRDTIRR[[#This Row],[2024]]="","",DONNÉES!AA94)</f>
        <v/>
      </c>
      <c r="O38" s="495">
        <f>IF(TRDTIRR[[#This Row],[2024]]="","",DONNÉES!AB94)</f>
        <v/>
      </c>
      <c r="P38" s="366">
        <f>IF(TRDTIRR[[#This Row],[2024]]="","",DONNÉES!AA174)</f>
        <v/>
      </c>
      <c r="Q38" s="366">
        <f>IF(TRDTIRR[[#This Row],[2024]]="","",DONNÉES!AB174)</f>
        <v/>
      </c>
      <c r="R38" s="498" t="n"/>
      <c r="S38" s="366">
        <f>IF(TRDTIRR[[#This Row],[2024]]="","",DONNÉES!AA110)</f>
        <v/>
      </c>
      <c r="T38" s="495">
        <f>IF(TRDTIRR[[#This Row],[2024]]="","",DONNÉES!AB110)</f>
        <v/>
      </c>
      <c r="U38" s="495">
        <f>IF(TRDTIRR[[#This Row],[2024]]="","",DONNÉES!AA190)</f>
        <v/>
      </c>
      <c r="V38" s="366">
        <f>IF(TRDTIRR[[#This Row],[2024]]="","",DONNÉES!AB190)</f>
        <v/>
      </c>
    </row>
    <row r="39" ht="11.65" customFormat="1" customHeight="1" s="476">
      <c r="A39" s="494" t="inlineStr">
        <is>
          <t>Avril</t>
        </is>
      </c>
      <c r="B39" s="366">
        <f>IF(DONNÉES!AA47="","",DONNÉES!AA47)</f>
        <v/>
      </c>
      <c r="C39" s="495">
        <f>IF(TRDTIRR[[#This Row],[2024]]="","",DONNÉES!AB47)</f>
        <v/>
      </c>
      <c r="D39" s="366">
        <f>IF(TRDTIRR[[#This Row],[2024]]="","",DONNÉES!AA127)</f>
        <v/>
      </c>
      <c r="E39" s="496">
        <f>IF(TRDTIRR[[#This Row],[2024]]="","",DONNÉES!AB127)</f>
        <v/>
      </c>
      <c r="F39" s="366">
        <f>IF(TRDTIRR[[#This Row],[2024]]="","",DONNÉES!AA63)</f>
        <v/>
      </c>
      <c r="G39" s="495">
        <f>IF(TRDTIRR[[#This Row],[2024]]="","",DONNÉES!AB63)</f>
        <v/>
      </c>
      <c r="H39" s="366">
        <f>IF(TRDTIRR[[#This Row],[2024]]="","",DONNÉES!AA143)</f>
        <v/>
      </c>
      <c r="I39" s="496">
        <f>IF(TRDTIRR[[#This Row],[2024]]="","",DONNÉES!AB143)</f>
        <v/>
      </c>
      <c r="J39" s="366">
        <f>IF(TRDTIRR[[#This Row],[2024]]="","",DONNÉES!AA79)</f>
        <v/>
      </c>
      <c r="K39" s="495">
        <f>IF(TRDTIRR[[#This Row],[2024]]="","",DONNÉES!AB79)</f>
        <v/>
      </c>
      <c r="L39" s="366">
        <f>IF(TRDTIRR[[#This Row],[2024]]="","",DONNÉES!AA159)</f>
        <v/>
      </c>
      <c r="M39" s="496">
        <f>IF(TRDTIRR[[#This Row],[2024]]="","",DONNÉES!AB159)</f>
        <v/>
      </c>
      <c r="N39" s="366">
        <f>IF(TRDTIRR[[#This Row],[2024]]="","",DONNÉES!AA95)</f>
        <v/>
      </c>
      <c r="O39" s="495">
        <f>IF(TRDTIRR[[#This Row],[2024]]="","",DONNÉES!AB95)</f>
        <v/>
      </c>
      <c r="P39" s="366">
        <f>IF(TRDTIRR[[#This Row],[2024]]="","",DONNÉES!AA175)</f>
        <v/>
      </c>
      <c r="Q39" s="366">
        <f>IF(TRDTIRR[[#This Row],[2024]]="","",DONNÉES!AB175)</f>
        <v/>
      </c>
      <c r="R39" s="498" t="n"/>
      <c r="S39" s="366">
        <f>IF(TRDTIRR[[#This Row],[2024]]="","",DONNÉES!AA111)</f>
        <v/>
      </c>
      <c r="T39" s="495">
        <f>IF(TRDTIRR[[#This Row],[2024]]="","",DONNÉES!AB111)</f>
        <v/>
      </c>
      <c r="U39" s="495">
        <f>IF(TRDTIRR[[#This Row],[2024]]="","",DONNÉES!AA191)</f>
        <v/>
      </c>
      <c r="V39" s="366">
        <f>IF(TRDTIRR[[#This Row],[2024]]="","",DONNÉES!AB191)</f>
        <v/>
      </c>
    </row>
    <row r="40" ht="11.65" customFormat="1" customHeight="1" s="476">
      <c r="A40" s="490" t="inlineStr">
        <is>
          <t>Mai</t>
        </is>
      </c>
      <c r="B40" s="366">
        <f>IF(DONNÉES!AA48="","",DONNÉES!AA48)</f>
        <v/>
      </c>
      <c r="C40" s="495">
        <f>IF(TRDTIRR[[#This Row],[2024]]="","",DONNÉES!AB48)</f>
        <v/>
      </c>
      <c r="D40" s="366">
        <f>IF(TRDTIRR[[#This Row],[2024]]="","",DONNÉES!AA128)</f>
        <v/>
      </c>
      <c r="E40" s="496">
        <f>IF(TRDTIRR[[#This Row],[2024]]="","",DONNÉES!AB128)</f>
        <v/>
      </c>
      <c r="F40" s="366">
        <f>IF(TRDTIRR[[#This Row],[2024]]="","",DONNÉES!AA64)</f>
        <v/>
      </c>
      <c r="G40" s="495">
        <f>IF(TRDTIRR[[#This Row],[2024]]="","",DONNÉES!AB64)</f>
        <v/>
      </c>
      <c r="H40" s="366">
        <f>IF(TRDTIRR[[#This Row],[2024]]="","",DONNÉES!AA144)</f>
        <v/>
      </c>
      <c r="I40" s="496">
        <f>IF(TRDTIRR[[#This Row],[2024]]="","",DONNÉES!AB144)</f>
        <v/>
      </c>
      <c r="J40" s="366">
        <f>IF(TRDTIRR[[#This Row],[2024]]="","",DONNÉES!AA80)</f>
        <v/>
      </c>
      <c r="K40" s="495">
        <f>IF(TRDTIRR[[#This Row],[2024]]="","",DONNÉES!AB80)</f>
        <v/>
      </c>
      <c r="L40" s="366">
        <f>IF(TRDTIRR[[#This Row],[2024]]="","",DONNÉES!AA160)</f>
        <v/>
      </c>
      <c r="M40" s="496">
        <f>IF(TRDTIRR[[#This Row],[2024]]="","",DONNÉES!AB160)</f>
        <v/>
      </c>
      <c r="N40" s="366">
        <f>IF(TRDTIRR[[#This Row],[2024]]="","",DONNÉES!AA96)</f>
        <v/>
      </c>
      <c r="O40" s="495">
        <f>IF(TRDTIRR[[#This Row],[2024]]="","",DONNÉES!AB96)</f>
        <v/>
      </c>
      <c r="P40" s="366">
        <f>IF(TRDTIRR[[#This Row],[2024]]="","",DONNÉES!AA176)</f>
        <v/>
      </c>
      <c r="Q40" s="366">
        <f>IF(TRDTIRR[[#This Row],[2024]]="","",DONNÉES!AB176)</f>
        <v/>
      </c>
      <c r="R40" s="498" t="n"/>
      <c r="S40" s="366">
        <f>IF(TRDTIRR[[#This Row],[2024]]="","",DONNÉES!AA112)</f>
        <v/>
      </c>
      <c r="T40" s="495">
        <f>IF(TRDTIRR[[#This Row],[2024]]="","",DONNÉES!AB112)</f>
        <v/>
      </c>
      <c r="U40" s="495">
        <f>IF(TRDTIRR[[#This Row],[2024]]="","",DONNÉES!AA192)</f>
        <v/>
      </c>
      <c r="V40" s="366">
        <f>IF(TRDTIRR[[#This Row],[2024]]="","",DONNÉES!AB192)</f>
        <v/>
      </c>
    </row>
    <row r="41" ht="11.65" customHeight="1" s="161">
      <c r="A41" s="494" t="inlineStr">
        <is>
          <t>Juin</t>
        </is>
      </c>
      <c r="B41" s="366">
        <f>IF(DONNÉES!AA49="","",DONNÉES!AA49)</f>
        <v/>
      </c>
      <c r="C41" s="495">
        <f>IF(TRDTIRR[[#This Row],[2024]]="","",DONNÉES!AB49)</f>
        <v/>
      </c>
      <c r="D41" s="366">
        <f>IF(TRDTIRR[[#This Row],[2024]]="","",DONNÉES!AA129)</f>
        <v/>
      </c>
      <c r="E41" s="496">
        <f>IF(TRDTIRR[[#This Row],[2024]]="","",DONNÉES!AB129)</f>
        <v/>
      </c>
      <c r="F41" s="366">
        <f>IF(TRDTIRR[[#This Row],[2024]]="","",DONNÉES!AA65)</f>
        <v/>
      </c>
      <c r="G41" s="495">
        <f>IF(TRDTIRR[[#This Row],[2024]]="","",DONNÉES!AB65)</f>
        <v/>
      </c>
      <c r="H41" s="366">
        <f>IF(TRDTIRR[[#This Row],[2024]]="","",DONNÉES!AA145)</f>
        <v/>
      </c>
      <c r="I41" s="496">
        <f>IF(TRDTIRR[[#This Row],[2024]]="","",DONNÉES!AB145)</f>
        <v/>
      </c>
      <c r="J41" s="366">
        <f>IF(TRDTIRR[[#This Row],[2024]]="","",DONNÉES!AA81)</f>
        <v/>
      </c>
      <c r="K41" s="495">
        <f>IF(TRDTIRR[[#This Row],[2024]]="","",DONNÉES!AB81)</f>
        <v/>
      </c>
      <c r="L41" s="366">
        <f>IF(TRDTIRR[[#This Row],[2024]]="","",DONNÉES!AA161)</f>
        <v/>
      </c>
      <c r="M41" s="496">
        <f>IF(TRDTIRR[[#This Row],[2024]]="","",DONNÉES!AB161)</f>
        <v/>
      </c>
      <c r="N41" s="366">
        <f>IF(TRDTIRR[[#This Row],[2024]]="","",DONNÉES!AA97)</f>
        <v/>
      </c>
      <c r="O41" s="495">
        <f>IF(TRDTIRR[[#This Row],[2024]]="","",DONNÉES!AB97)</f>
        <v/>
      </c>
      <c r="P41" s="366">
        <f>IF(TRDTIRR[[#This Row],[2024]]="","",DONNÉES!AA177)</f>
        <v/>
      </c>
      <c r="Q41" s="366">
        <f>IF(TRDTIRR[[#This Row],[2024]]="","",DONNÉES!AB177)</f>
        <v/>
      </c>
      <c r="R41" s="499" t="n"/>
      <c r="S41" s="366">
        <f>IF(TRDTIRR[[#This Row],[2024]]="","",DONNÉES!AA113)</f>
        <v/>
      </c>
      <c r="T41" s="495">
        <f>IF(TRDTIRR[[#This Row],[2024]]="","",DONNÉES!AB113)</f>
        <v/>
      </c>
      <c r="U41" s="495">
        <f>IF(TRDTIRR[[#This Row],[2024]]="","",DONNÉES!AA193)</f>
        <v/>
      </c>
      <c r="V41" s="366">
        <f>IF(TRDTIRR[[#This Row],[2024]]="","",DONNÉES!AB193)</f>
        <v/>
      </c>
    </row>
    <row r="42" ht="11.65" customHeight="1" s="161">
      <c r="A42" s="490" t="inlineStr">
        <is>
          <t>Juillet</t>
        </is>
      </c>
      <c r="B42" s="366">
        <f>IF(DONNÉES!AA50="","",DONNÉES!AA50)</f>
        <v/>
      </c>
      <c r="C42" s="495">
        <f>IF(TRDTIRR[[#This Row],[2024]]="","",DONNÉES!AB50)</f>
        <v/>
      </c>
      <c r="D42" s="366">
        <f>IF(TRDTIRR[[#This Row],[2024]]="","",DONNÉES!AA130)</f>
        <v/>
      </c>
      <c r="E42" s="496">
        <f>IF(TRDTIRR[[#This Row],[2024]]="","",DONNÉES!AB130)</f>
        <v/>
      </c>
      <c r="F42" s="366">
        <f>IF(TRDTIRR[[#This Row],[2024]]="","",DONNÉES!AA66)</f>
        <v/>
      </c>
      <c r="G42" s="495">
        <f>IF(TRDTIRR[[#This Row],[2024]]="","",DONNÉES!AB66)</f>
        <v/>
      </c>
      <c r="H42" s="366">
        <f>IF(TRDTIRR[[#This Row],[2024]]="","",DONNÉES!AA146)</f>
        <v/>
      </c>
      <c r="I42" s="496">
        <f>IF(TRDTIRR[[#This Row],[2024]]="","",DONNÉES!AB146)</f>
        <v/>
      </c>
      <c r="J42" s="366">
        <f>IF(TRDTIRR[[#This Row],[2024]]="","",DONNÉES!AA82)</f>
        <v/>
      </c>
      <c r="K42" s="495">
        <f>IF(TRDTIRR[[#This Row],[2024]]="","",DONNÉES!AB82)</f>
        <v/>
      </c>
      <c r="L42" s="366">
        <f>IF(TRDTIRR[[#This Row],[2024]]="","",DONNÉES!AA162)</f>
        <v/>
      </c>
      <c r="M42" s="496">
        <f>IF(TRDTIRR[[#This Row],[2024]]="","",DONNÉES!AB162)</f>
        <v/>
      </c>
      <c r="N42" s="366">
        <f>IF(TRDTIRR[[#This Row],[2024]]="","",DONNÉES!AA98)</f>
        <v/>
      </c>
      <c r="O42" s="495">
        <f>IF(TRDTIRR[[#This Row],[2024]]="","",DONNÉES!AB98)</f>
        <v/>
      </c>
      <c r="P42" s="366">
        <f>IF(TRDTIRR[[#This Row],[2024]]="","",DONNÉES!AA178)</f>
        <v/>
      </c>
      <c r="Q42" s="366">
        <f>IF(TRDTIRR[[#This Row],[2024]]="","",DONNÉES!AB178)</f>
        <v/>
      </c>
      <c r="R42" s="499" t="n"/>
      <c r="S42" s="366">
        <f>IF(TRDTIRR[[#This Row],[2024]]="","",DONNÉES!AA114)</f>
        <v/>
      </c>
      <c r="T42" s="495">
        <f>IF(TRDTIRR[[#This Row],[2024]]="","",DONNÉES!AB114)</f>
        <v/>
      </c>
      <c r="U42" s="495">
        <f>IF(TRDTIRR[[#This Row],[2024]]="","",DONNÉES!AA194)</f>
        <v/>
      </c>
      <c r="V42" s="366">
        <f>IF(TRDTIRR[[#This Row],[2024]]="","",DONNÉES!AB194)</f>
        <v/>
      </c>
    </row>
    <row r="43" ht="11.65" customHeight="1" s="161">
      <c r="A43" s="494" t="inlineStr">
        <is>
          <t>Août</t>
        </is>
      </c>
      <c r="B43" s="366">
        <f>IF(DONNÉES!AA51="","",DONNÉES!AA51)</f>
        <v/>
      </c>
      <c r="C43" s="495">
        <f>IF(TRDTIRR[[#This Row],[2024]]="","",DONNÉES!AB51)</f>
        <v/>
      </c>
      <c r="D43" s="366">
        <f>IF(TRDTIRR[[#This Row],[2024]]="","",DONNÉES!AA131)</f>
        <v/>
      </c>
      <c r="E43" s="496">
        <f>IF(TRDTIRR[[#This Row],[2024]]="","",DONNÉES!AB131)</f>
        <v/>
      </c>
      <c r="F43" s="366">
        <f>IF(TRDTIRR[[#This Row],[2024]]="","",DONNÉES!AA67)</f>
        <v/>
      </c>
      <c r="G43" s="495">
        <f>IF(TRDTIRR[[#This Row],[2024]]="","",DONNÉES!AB67)</f>
        <v/>
      </c>
      <c r="H43" s="366">
        <f>IF(TRDTIRR[[#This Row],[2024]]="","",DONNÉES!AA147)</f>
        <v/>
      </c>
      <c r="I43" s="496">
        <f>IF(TRDTIRR[[#This Row],[2024]]="","",DONNÉES!AB147)</f>
        <v/>
      </c>
      <c r="J43" s="366">
        <f>IF(TRDTIRR[[#This Row],[2024]]="","",DONNÉES!AA83)</f>
        <v/>
      </c>
      <c r="K43" s="495">
        <f>IF(TRDTIRR[[#This Row],[2024]]="","",DONNÉES!AB83)</f>
        <v/>
      </c>
      <c r="L43" s="366">
        <f>IF(TRDTIRR[[#This Row],[2024]]="","",DONNÉES!AA163)</f>
        <v/>
      </c>
      <c r="M43" s="496">
        <f>IF(TRDTIRR[[#This Row],[2024]]="","",DONNÉES!AB163)</f>
        <v/>
      </c>
      <c r="N43" s="366">
        <f>IF(TRDTIRR[[#This Row],[2024]]="","",DONNÉES!AA99)</f>
        <v/>
      </c>
      <c r="O43" s="495">
        <f>IF(TRDTIRR[[#This Row],[2024]]="","",DONNÉES!AB99)</f>
        <v/>
      </c>
      <c r="P43" s="366">
        <f>IF(TRDTIRR[[#This Row],[2024]]="","",DONNÉES!AA179)</f>
        <v/>
      </c>
      <c r="Q43" s="366">
        <f>IF(TRDTIRR[[#This Row],[2024]]="","",DONNÉES!AB179)</f>
        <v/>
      </c>
      <c r="R43" s="499" t="n"/>
      <c r="S43" s="366">
        <f>IF(TRDTIRR[[#This Row],[2024]]="","",DONNÉES!AA115)</f>
        <v/>
      </c>
      <c r="T43" s="495">
        <f>IF(TRDTIRR[[#This Row],[2024]]="","",DONNÉES!AB115)</f>
        <v/>
      </c>
      <c r="U43" s="495">
        <f>IF(TRDTIRR[[#This Row],[2024]]="","",DONNÉES!AA195)</f>
        <v/>
      </c>
      <c r="V43" s="366">
        <f>IF(TRDTIRR[[#This Row],[2024]]="","",DONNÉES!AB195)</f>
        <v/>
      </c>
    </row>
    <row r="44" ht="11.65" customHeight="1" s="161">
      <c r="A44" s="490" t="inlineStr">
        <is>
          <t>Septembre</t>
        </is>
      </c>
      <c r="B44" s="369">
        <f>IF(DONNÉES!AA52="","",DONNÉES!AA52)</f>
        <v/>
      </c>
      <c r="C44" s="501">
        <f>IF(TRDTIRR[[#This Row],[2024]]="","",DONNÉES!AB52)</f>
        <v/>
      </c>
      <c r="D44" s="369">
        <f>IF(TRDTIRR[[#This Row],[2024]]="","",DONNÉES!AA132)</f>
        <v/>
      </c>
      <c r="E44" s="500">
        <f>IF(TRDTIRR[[#This Row],[2024]]="","",DONNÉES!AB132)</f>
        <v/>
      </c>
      <c r="F44" s="366">
        <f>IF(TRDTIRR[[#This Row],[2024]]="","",DONNÉES!AA68)</f>
        <v/>
      </c>
      <c r="G44" s="495">
        <f>IF(TRDTIRR[[#This Row],[2024]]="","",DONNÉES!AB68)</f>
        <v/>
      </c>
      <c r="H44" s="369">
        <f>IF(TRDTIRR[[#This Row],[2024]]="","",DONNÉES!AA148)</f>
        <v/>
      </c>
      <c r="I44" s="500">
        <f>IF(TRDTIRR[[#This Row],[2024]]="","",DONNÉES!AB148)</f>
        <v/>
      </c>
      <c r="J44" s="369">
        <f>IF(TRDTIRR[[#This Row],[2024]]="","",DONNÉES!AA84)</f>
        <v/>
      </c>
      <c r="K44" s="501">
        <f>IF(TRDTIRR[[#This Row],[2024]]="","",DONNÉES!AB84)</f>
        <v/>
      </c>
      <c r="L44" s="369">
        <f>IF(TRDTIRR[[#This Row],[2024]]="","",DONNÉES!AA164)</f>
        <v/>
      </c>
      <c r="M44" s="500">
        <f>IF(TRDTIRR[[#This Row],[2024]]="","",DONNÉES!AB164)</f>
        <v/>
      </c>
      <c r="N44" s="369">
        <f>IF(TRDTIRR[[#This Row],[2024]]="","",DONNÉES!AA100)</f>
        <v/>
      </c>
      <c r="O44" s="501">
        <f>IF(TRDTIRR[[#This Row],[2024]]="","",DONNÉES!AB100)</f>
        <v/>
      </c>
      <c r="P44" s="369">
        <f>IF(TRDTIRR[[#This Row],[2024]]="","",DONNÉES!AA180)</f>
        <v/>
      </c>
      <c r="Q44" s="369">
        <f>IF(TRDTIRR[[#This Row],[2024]]="","",DONNÉES!AB180)</f>
        <v/>
      </c>
      <c r="R44" s="499" t="n"/>
      <c r="S44" s="369">
        <f>IF(TRDTIRR[[#This Row],[2024]]="","",DONNÉES!AA116)</f>
        <v/>
      </c>
      <c r="T44" s="501">
        <f>IF(TRDTIRR[[#This Row],[2024]]="","",DONNÉES!AB116)</f>
        <v/>
      </c>
      <c r="U44" s="501">
        <f>IF(TRDTIRR[[#This Row],[2024]]="","",DONNÉES!AA196)</f>
        <v/>
      </c>
      <c r="V44" s="369">
        <f>IF(TRDTIRR[[#This Row],[2024]]="","",DONNÉES!AB196)</f>
        <v/>
      </c>
    </row>
    <row r="45" ht="11.65" customHeight="1" s="161">
      <c r="A45" s="494" t="inlineStr">
        <is>
          <t>Octobre</t>
        </is>
      </c>
      <c r="B45" s="369">
        <f>IF(DONNÉES!AA53="","",DONNÉES!AA53)</f>
        <v/>
      </c>
      <c r="C45" s="501">
        <f>IF(TRDTIRR[[#This Row],[2024]]="","",DONNÉES!AB53)</f>
        <v/>
      </c>
      <c r="D45" s="369">
        <f>IF(TRDTIRR[[#This Row],[2024]]="","",DONNÉES!AA133)</f>
        <v/>
      </c>
      <c r="E45" s="500">
        <f>IF(TRDTIRR[[#This Row],[2024]]="","",DONNÉES!AB133)</f>
        <v/>
      </c>
      <c r="F45" s="366">
        <f>IF(TRDTIRR[[#This Row],[2024]]="","",DONNÉES!AA69)</f>
        <v/>
      </c>
      <c r="G45" s="495">
        <f>IF(TRDTIRR[[#This Row],[2024]]="","",DONNÉES!AB69)</f>
        <v/>
      </c>
      <c r="H45" s="369">
        <f>IF(TRDTIRR[[#This Row],[2024]]="","",DONNÉES!AA149)</f>
        <v/>
      </c>
      <c r="I45" s="500">
        <f>IF(TRDTIRR[[#This Row],[2024]]="","",DONNÉES!AB149)</f>
        <v/>
      </c>
      <c r="J45" s="369">
        <f>IF(TRDTIRR[[#This Row],[2024]]="","",DONNÉES!AA85)</f>
        <v/>
      </c>
      <c r="K45" s="501">
        <f>IF(TRDTIRR[[#This Row],[2024]]="","",DONNÉES!AB85)</f>
        <v/>
      </c>
      <c r="L45" s="369">
        <f>IF(TRDTIRR[[#This Row],[2024]]="","",DONNÉES!AA165)</f>
        <v/>
      </c>
      <c r="M45" s="500">
        <f>IF(TRDTIRR[[#This Row],[2024]]="","",DONNÉES!AB165)</f>
        <v/>
      </c>
      <c r="N45" s="369">
        <f>IF(TRDTIRR[[#This Row],[2024]]="","",DONNÉES!AA101)</f>
        <v/>
      </c>
      <c r="O45" s="501">
        <f>IF(TRDTIRR[[#This Row],[2024]]="","",DONNÉES!AB101)</f>
        <v/>
      </c>
      <c r="P45" s="369">
        <f>IF(TRDTIRR[[#This Row],[2024]]="","",DONNÉES!AA181)</f>
        <v/>
      </c>
      <c r="Q45" s="369">
        <f>IF(TRDTIRR[[#This Row],[2024]]="","",DONNÉES!AB181)</f>
        <v/>
      </c>
      <c r="R45" s="499" t="n"/>
      <c r="S45" s="369">
        <f>IF(TRDTIRR[[#This Row],[2024]]="","",DONNÉES!AA117)</f>
        <v/>
      </c>
      <c r="T45" s="501">
        <f>IF(TRDTIRR[[#This Row],[2024]]="","",DONNÉES!AB117)</f>
        <v/>
      </c>
      <c r="U45" s="501">
        <f>IF(TRDTIRR[[#This Row],[2024]]="","",DONNÉES!AA197)</f>
        <v/>
      </c>
      <c r="V45" s="369">
        <f>IF(TRDTIRR[[#This Row],[2024]]="","",DONNÉES!AB197)</f>
        <v/>
      </c>
    </row>
    <row r="46" ht="11.65" customHeight="1" s="161">
      <c r="A46" s="490" t="inlineStr">
        <is>
          <t>Novembre</t>
        </is>
      </c>
      <c r="B46" s="369">
        <f>IF(DONNÉES!AA54="","",DONNÉES!AA54)</f>
        <v/>
      </c>
      <c r="C46" s="501">
        <f>IF(TRDTIRR[[#This Row],[2024]]="","",DONNÉES!AB54)</f>
        <v/>
      </c>
      <c r="D46" s="369">
        <f>IF(TRDTIRR[[#This Row],[2024]]="","",DONNÉES!AA134)</f>
        <v/>
      </c>
      <c r="E46" s="500">
        <f>IF(TRDTIRR[[#This Row],[2024]]="","",DONNÉES!AB134)</f>
        <v/>
      </c>
      <c r="F46" s="366">
        <f>IF(TRDTIRR[[#This Row],[2024]]="","",DONNÉES!AA70)</f>
        <v/>
      </c>
      <c r="G46" s="495">
        <f>IF(TRDTIRR[[#This Row],[2024]]="","",DONNÉES!AB70)</f>
        <v/>
      </c>
      <c r="H46" s="369">
        <f>IF(TRDTIRR[[#This Row],[2024]]="","",DONNÉES!AA150)</f>
        <v/>
      </c>
      <c r="I46" s="500">
        <f>IF(TRDTIRR[[#This Row],[2024]]="","",DONNÉES!AB150)</f>
        <v/>
      </c>
      <c r="J46" s="369">
        <f>IF(TRDTIRR[[#This Row],[2024]]="","",DONNÉES!AA86)</f>
        <v/>
      </c>
      <c r="K46" s="501">
        <f>IF(TRDTIRR[[#This Row],[2024]]="","",DONNÉES!AB86)</f>
        <v/>
      </c>
      <c r="L46" s="369">
        <f>IF(TRDTIRR[[#This Row],[2024]]="","",DONNÉES!AA166)</f>
        <v/>
      </c>
      <c r="M46" s="500">
        <f>IF(TRDTIRR[[#This Row],[2024]]="","",DONNÉES!AB166)</f>
        <v/>
      </c>
      <c r="N46" s="369">
        <f>IF(TRDTIRR[[#This Row],[2024]]="","",DONNÉES!AA102)</f>
        <v/>
      </c>
      <c r="O46" s="501">
        <f>IF(TRDTIRR[[#This Row],[2024]]="","",DONNÉES!AB102)</f>
        <v/>
      </c>
      <c r="P46" s="369">
        <f>IF(TRDTIRR[[#This Row],[2024]]="","",DONNÉES!AA182)</f>
        <v/>
      </c>
      <c r="Q46" s="369">
        <f>IF(TRDTIRR[[#This Row],[2024]]="","",DONNÉES!AB182)</f>
        <v/>
      </c>
      <c r="R46" s="503" t="n"/>
      <c r="S46" s="369">
        <f>IF(TRDTIRR[[#This Row],[2024]]="","",DONNÉES!AA118)</f>
        <v/>
      </c>
      <c r="T46" s="501">
        <f>IF(TRDTIRR[[#This Row],[2024]]="","",DONNÉES!AB118)</f>
        <v/>
      </c>
      <c r="U46" s="501">
        <f>IF(TRDTIRR[[#This Row],[2024]]="","",DONNÉES!AA198)</f>
        <v/>
      </c>
      <c r="V46" s="369">
        <f>IF(TRDTIRR[[#This Row],[2024]]="","",DONNÉES!AB198)</f>
        <v/>
      </c>
    </row>
    <row r="47" ht="11.65" customHeight="1" s="161">
      <c r="A47" s="490" t="inlineStr">
        <is>
          <t>Décembre</t>
        </is>
      </c>
      <c r="B47" s="369">
        <f>IF(DONNÉES!AA55="","",DONNÉES!AA55)</f>
        <v/>
      </c>
      <c r="C47" s="501">
        <f>IF(TRDTIRR[[#This Row],[2024]]="","",DONNÉES!AB55)</f>
        <v/>
      </c>
      <c r="D47" s="369">
        <f>IF(TRDTIRR[[#This Row],[2024]]="","",DONNÉES!AA135)</f>
        <v/>
      </c>
      <c r="E47" s="500">
        <f>IF(TRDTIRR[[#This Row],[2024]]="","",DONNÉES!AB135)</f>
        <v/>
      </c>
      <c r="F47" s="366">
        <f>IF(TRDTIRR[[#This Row],[2024]]="","",DONNÉES!AA71)</f>
        <v/>
      </c>
      <c r="G47" s="495">
        <f>IF(TRDTIRR[[#This Row],[2024]]="","",DONNÉES!AB71)</f>
        <v/>
      </c>
      <c r="H47" s="369">
        <f>IF(TRDTIRR[[#This Row],[2024]]="","",DONNÉES!AA151)</f>
        <v/>
      </c>
      <c r="I47" s="500">
        <f>IF(TRDTIRR[[#This Row],[2024]]="","",DONNÉES!AB151)</f>
        <v/>
      </c>
      <c r="J47" s="369">
        <f>IF(TRDTIRR[[#This Row],[2024]]="","",DONNÉES!AA87)</f>
        <v/>
      </c>
      <c r="K47" s="501">
        <f>IF(TRDTIRR[[#This Row],[2024]]="","",DONNÉES!AB87)</f>
        <v/>
      </c>
      <c r="L47" s="369">
        <f>IF(TRDTIRR[[#This Row],[2024]]="","",DONNÉES!AA167)</f>
        <v/>
      </c>
      <c r="M47" s="500">
        <f>IF(TRDTIRR[[#This Row],[2024]]="","",DONNÉES!AB167)</f>
        <v/>
      </c>
      <c r="N47" s="369">
        <f>IF(TRDTIRR[[#This Row],[2024]]="","",DONNÉES!AA103)</f>
        <v/>
      </c>
      <c r="O47" s="501">
        <f>IF(TRDTIRR[[#This Row],[2024]]="","",DONNÉES!AB103)</f>
        <v/>
      </c>
      <c r="P47" s="369">
        <f>IF(TRDTIRR[[#This Row],[2024]]="","",DONNÉES!AA183)</f>
        <v/>
      </c>
      <c r="Q47" s="369">
        <f>IF(TRDTIRR[[#This Row],[2024]]="","",DONNÉES!AB183)</f>
        <v/>
      </c>
      <c r="R47" s="499" t="n"/>
      <c r="S47" s="369">
        <f>IF(TRDTIRR[[#This Row],[2024]]="","",DONNÉES!AA119)</f>
        <v/>
      </c>
      <c r="T47" s="501">
        <f>IF(TRDTIRR[[#This Row],[2024]]="","",DONNÉES!AB119)</f>
        <v/>
      </c>
      <c r="U47" s="501">
        <f>IF(TRDTIRR[[#This Row],[2024]]="","",DONNÉES!AA199)</f>
        <v/>
      </c>
      <c r="V47" s="369">
        <f>IF(TRDTIRR[[#This Row],[2024]]="","",DONNÉES!AB199)</f>
        <v/>
      </c>
    </row>
    <row r="48" ht="10.15" customFormat="1" customHeight="1" s="476">
      <c r="A48" s="474" t="n"/>
      <c r="B48" s="478" t="n"/>
      <c r="C48" s="478" t="n"/>
      <c r="D48" s="101" t="n"/>
      <c r="E48" s="478" t="n"/>
      <c r="F48" s="478" t="n"/>
      <c r="G48" s="479" t="n"/>
      <c r="H48" s="474" t="n"/>
      <c r="I48" s="475" t="n"/>
      <c r="J48" s="478" t="n"/>
      <c r="K48" s="478" t="n"/>
      <c r="L48" s="101" t="n"/>
      <c r="M48" s="479" t="n"/>
      <c r="N48" s="474" t="n"/>
      <c r="O48" s="474" t="n"/>
      <c r="P48" s="474" t="n"/>
      <c r="Q48" s="474" t="n"/>
      <c r="R48" s="498" t="n"/>
      <c r="S48" s="474" t="n"/>
      <c r="T48" s="474" t="n"/>
      <c r="U48" s="474" t="n"/>
      <c r="V48" s="474" t="n"/>
    </row>
    <row r="49" ht="11.65" customFormat="1" customHeight="1" s="476">
      <c r="A49" s="474" t="n"/>
      <c r="B49" s="478" t="n"/>
      <c r="C49" s="478" t="n"/>
      <c r="D49" s="101" t="n"/>
      <c r="E49" s="478" t="n"/>
      <c r="F49" s="478" t="n"/>
      <c r="G49" s="479" t="n"/>
      <c r="H49" s="474" t="n"/>
      <c r="I49" s="475" t="n"/>
      <c r="J49" s="478" t="n"/>
      <c r="K49" s="478" t="n"/>
      <c r="L49" s="101" t="n"/>
      <c r="M49" s="479" t="n"/>
      <c r="N49" s="474" t="n"/>
      <c r="O49" s="474" t="n"/>
      <c r="P49" s="474" t="n"/>
      <c r="Q49" s="474" t="n"/>
      <c r="R49" s="498" t="n"/>
      <c r="S49" s="474" t="n"/>
      <c r="T49" s="474" t="n"/>
      <c r="U49" s="474" t="n"/>
      <c r="V49" s="474" t="n"/>
    </row>
    <row r="50" ht="11.65" customFormat="1" customHeight="1" s="476">
      <c r="A50" s="474" t="n"/>
      <c r="B50" s="478" t="n"/>
      <c r="C50" s="478" t="n"/>
      <c r="D50" s="101" t="n"/>
      <c r="E50" s="478" t="n"/>
      <c r="F50" s="478" t="n"/>
      <c r="G50" s="479" t="n"/>
      <c r="H50" s="474" t="n"/>
      <c r="I50" s="475" t="n"/>
      <c r="J50" s="478" t="n"/>
      <c r="K50" s="478" t="n"/>
      <c r="L50" s="101" t="n"/>
      <c r="M50" s="479" t="n"/>
      <c r="N50" s="474" t="n"/>
      <c r="O50" s="474" t="n"/>
      <c r="P50" s="474" t="n"/>
      <c r="Q50" s="474" t="n"/>
      <c r="R50" s="498" t="n"/>
      <c r="S50" s="474" t="n"/>
      <c r="T50" s="474" t="n"/>
      <c r="U50" s="474" t="n"/>
      <c r="V50" s="474" t="n"/>
    </row>
    <row r="51" ht="14.65" customFormat="1" customHeight="1" s="476">
      <c r="A51" s="505" t="n"/>
      <c r="B51" s="506" t="inlineStr">
        <is>
          <t>Sur place</t>
        </is>
      </c>
      <c r="C51" s="487" t="n"/>
      <c r="D51" s="487" t="n"/>
      <c r="E51" s="488" t="n"/>
      <c r="F51" s="506" t="inlineStr">
        <is>
          <t>A emporter</t>
        </is>
      </c>
      <c r="G51" s="487" t="n"/>
      <c r="H51" s="487" t="n"/>
      <c r="I51" s="488" t="n"/>
      <c r="J51" s="506" t="inlineStr">
        <is>
          <t>Mc Drive</t>
        </is>
      </c>
      <c r="K51" s="487" t="n"/>
      <c r="L51" s="487" t="n"/>
      <c r="M51" s="488" t="n"/>
      <c r="N51" s="507" t="inlineStr">
        <is>
          <t>Kiosque</t>
        </is>
      </c>
      <c r="O51" s="487" t="n"/>
      <c r="P51" s="487" t="n"/>
      <c r="Q51" s="487" t="n"/>
      <c r="R51" s="498" t="n"/>
      <c r="S51" s="507" t="inlineStr">
        <is>
          <t>Total</t>
        </is>
      </c>
      <c r="T51" s="487" t="n"/>
      <c r="U51" s="487" t="n"/>
      <c r="V51" s="487" t="n"/>
    </row>
    <row r="52" ht="28.9" customFormat="1" customHeight="1" s="476">
      <c r="A52" s="490" t="inlineStr">
        <is>
          <t>VR7</t>
        </is>
      </c>
      <c r="B52" s="491" t="inlineStr">
        <is>
          <t>2024</t>
        </is>
      </c>
      <c r="C52" s="492" t="inlineStr">
        <is>
          <t>2023</t>
        </is>
      </c>
      <c r="D52" s="491" t="inlineStr">
        <is>
          <t>2024 cumul</t>
        </is>
      </c>
      <c r="E52" s="493" t="inlineStr">
        <is>
          <t>2023 cumul</t>
        </is>
      </c>
      <c r="F52" s="211" t="inlineStr">
        <is>
          <t xml:space="preserve">2024  </t>
        </is>
      </c>
      <c r="G52" s="492" t="inlineStr">
        <is>
          <t xml:space="preserve">2023  </t>
        </is>
      </c>
      <c r="H52" s="491" t="inlineStr">
        <is>
          <t xml:space="preserve">2024 cumul </t>
        </is>
      </c>
      <c r="I52" s="493" t="inlineStr">
        <is>
          <t xml:space="preserve">2023 cumul </t>
        </is>
      </c>
      <c r="J52" s="491" t="inlineStr">
        <is>
          <t xml:space="preserve">2024   </t>
        </is>
      </c>
      <c r="K52" s="492" t="inlineStr">
        <is>
          <t xml:space="preserve">2023   </t>
        </is>
      </c>
      <c r="L52" s="491" t="inlineStr">
        <is>
          <t xml:space="preserve">2024 cumul   </t>
        </is>
      </c>
      <c r="M52" s="493" t="inlineStr">
        <is>
          <t xml:space="preserve">2023 cumul   </t>
        </is>
      </c>
      <c r="N52" s="491" t="inlineStr">
        <is>
          <t xml:space="preserve">2024    </t>
        </is>
      </c>
      <c r="O52" s="492" t="inlineStr">
        <is>
          <t xml:space="preserve">2023    </t>
        </is>
      </c>
      <c r="P52" s="491" t="inlineStr">
        <is>
          <t xml:space="preserve">2024 cumul    </t>
        </is>
      </c>
      <c r="Q52" s="94" t="inlineStr">
        <is>
          <t xml:space="preserve">2023 cumul    </t>
        </is>
      </c>
      <c r="R52" s="474" t="n"/>
      <c r="S52" s="491" t="inlineStr">
        <is>
          <t>2024</t>
        </is>
      </c>
      <c r="T52" s="492" t="inlineStr">
        <is>
          <t>2023</t>
        </is>
      </c>
      <c r="U52" s="491" t="inlineStr">
        <is>
          <t>2024 cumul</t>
        </is>
      </c>
      <c r="V52" s="493" t="inlineStr">
        <is>
          <t>2023 cumul</t>
        </is>
      </c>
    </row>
    <row r="53" ht="11.65" customHeight="1" s="161">
      <c r="A53" s="494" t="inlineStr">
        <is>
          <t>Janvier</t>
        </is>
      </c>
      <c r="B53" s="366">
        <f>IF(DONNÉES!AI44="","",DONNÉES!AI44)</f>
        <v/>
      </c>
      <c r="C53" s="495">
        <f>IF(TRDVR7[[#This Row],[2024]]="","",DONNÉES!AJ44)</f>
        <v/>
      </c>
      <c r="D53" s="366">
        <f>IF(TRDVR7[[#This Row],[2024]]="","",DONNÉES!AI124)</f>
        <v/>
      </c>
      <c r="E53" s="496">
        <f>IF(TRDVR7[[#This Row],[2024]]="","",DONNÉES!AJ124)</f>
        <v/>
      </c>
      <c r="F53" s="366">
        <f>IF(TRDVR7[[#This Row],[2024]]="","",DONNÉES!AI60)</f>
        <v/>
      </c>
      <c r="G53" s="495">
        <f>IF(TRDVR7[[#This Row],[2024]]="","",DONNÉES!AJ60)</f>
        <v/>
      </c>
      <c r="H53" s="366">
        <f>IF(TRDVR7[[#This Row],[2024]]="","",DONNÉES!AI140)</f>
        <v/>
      </c>
      <c r="I53" s="496">
        <f>IF(TRDVR7[[#This Row],[2024]]="","",DONNÉES!AJ140)</f>
        <v/>
      </c>
      <c r="J53" s="366">
        <f>IF(TRDVR7[[#This Row],[2024]]="","",DONNÉES!AI76)</f>
        <v/>
      </c>
      <c r="K53" s="495">
        <f>IF(TRDVR7[[#This Row],[2024]]="","",DONNÉES!AJ76)</f>
        <v/>
      </c>
      <c r="L53" s="366">
        <f>IF(TRDVR7[[#This Row],[2024]]="","",DONNÉES!AI156)</f>
        <v/>
      </c>
      <c r="M53" s="496">
        <f>IF(TRDVR7[[#This Row],[2024]]="","",DONNÉES!AJ156)</f>
        <v/>
      </c>
      <c r="N53" s="366">
        <f>IF(TRDVR7[[#This Row],[2024]]="","",DONNÉES!AI92)</f>
        <v/>
      </c>
      <c r="O53" s="495">
        <f>IF(TRDVR7[[#This Row],[2024]]="","",DONNÉES!AJ92)</f>
        <v/>
      </c>
      <c r="P53" s="366">
        <f>IF(TRDVR7[[#This Row],[2024]]="","",DONNÉES!AI172)</f>
        <v/>
      </c>
      <c r="Q53" s="366">
        <f>IF(TRDVR7[[#This Row],[2024]]="","",DONNÉES!AJ172)</f>
        <v/>
      </c>
      <c r="S53" s="366">
        <f>IF(TRDVR7[[#This Row],[2024]]="","",DONNÉES!AI108)</f>
        <v/>
      </c>
      <c r="T53" s="495">
        <f>IF(TRDVR7[[#This Row],[2024]]="","",DONNÉES!AJ108)</f>
        <v/>
      </c>
      <c r="U53" s="366">
        <f>IF(TRDVR7[[#This Row],[2024]]="","",DONNÉES!AI188)</f>
        <v/>
      </c>
      <c r="V53" s="366">
        <f>IF(TRDVR7[[#This Row],[2024]]="","",DONNÉES!AJ188)</f>
        <v/>
      </c>
    </row>
    <row r="54" ht="11.65" customHeight="1" s="161">
      <c r="A54" s="494" t="inlineStr">
        <is>
          <t>Février</t>
        </is>
      </c>
      <c r="B54" s="366">
        <f>IF(DONNÉES!AI45="","",DONNÉES!AI45)</f>
        <v/>
      </c>
      <c r="C54" s="495">
        <f>IF(TRDVR7[[#This Row],[2024]]="","",DONNÉES!AJ45)</f>
        <v/>
      </c>
      <c r="D54" s="366">
        <f>IF(TRDVR7[[#This Row],[2024]]="","",DONNÉES!AI125)</f>
        <v/>
      </c>
      <c r="E54" s="496">
        <f>IF(TRDVR7[[#This Row],[2024]]="","",DONNÉES!AJ125)</f>
        <v/>
      </c>
      <c r="F54" s="366">
        <f>IF(TRDVR7[[#This Row],[2024]]="","",DONNÉES!AI61)</f>
        <v/>
      </c>
      <c r="G54" s="495">
        <f>IF(TRDVR7[[#This Row],[2024]]="","",DONNÉES!AJ61)</f>
        <v/>
      </c>
      <c r="H54" s="366">
        <f>IF(TRDVR7[[#This Row],[2024]]="","",DONNÉES!AI141)</f>
        <v/>
      </c>
      <c r="I54" s="496">
        <f>IF(TRDVR7[[#This Row],[2024]]="","",DONNÉES!AJ141)</f>
        <v/>
      </c>
      <c r="J54" s="366">
        <f>IF(TRDVR7[[#This Row],[2024]]="","",DONNÉES!AI77)</f>
        <v/>
      </c>
      <c r="K54" s="495">
        <f>IF(TRDVR7[[#This Row],[2024]]="","",DONNÉES!AJ77)</f>
        <v/>
      </c>
      <c r="L54" s="366">
        <f>IF(TRDVR7[[#This Row],[2024]]="","",DONNÉES!AI157)</f>
        <v/>
      </c>
      <c r="M54" s="496">
        <f>IF(TRDVR7[[#This Row],[2024]]="","",DONNÉES!AJ157)</f>
        <v/>
      </c>
      <c r="N54" s="366">
        <f>IF(TRDVR7[[#This Row],[2024]]="","",DONNÉES!AI93)</f>
        <v/>
      </c>
      <c r="O54" s="495">
        <f>IF(TRDVR7[[#This Row],[2024]]="","",DONNÉES!AJ93)</f>
        <v/>
      </c>
      <c r="P54" s="366">
        <f>IF(TRDVR7[[#This Row],[2024]]="","",DONNÉES!AI173)</f>
        <v/>
      </c>
      <c r="Q54" s="366">
        <f>IF(TRDVR7[[#This Row],[2024]]="","",DONNÉES!AJ173)</f>
        <v/>
      </c>
      <c r="S54" s="366">
        <f>IF(TRDVR7[[#This Row],[2024]]="","",DONNÉES!AI109)</f>
        <v/>
      </c>
      <c r="T54" s="495">
        <f>IF(TRDVR7[[#This Row],[2024]]="","",DONNÉES!AJ109)</f>
        <v/>
      </c>
      <c r="U54" s="366">
        <f>IF(TRDVR7[[#This Row],[2024]]="","",DONNÉES!AI189)</f>
        <v/>
      </c>
      <c r="V54" s="366">
        <f>IF(TRDVR7[[#This Row],[2024]]="","",DONNÉES!AJ189)</f>
        <v/>
      </c>
    </row>
    <row r="55" ht="11.65" customHeight="1" s="161">
      <c r="A55" s="490" t="inlineStr">
        <is>
          <t>Mars</t>
        </is>
      </c>
      <c r="B55" s="366">
        <f>IF(DONNÉES!AI46="","",DONNÉES!AI46)</f>
        <v/>
      </c>
      <c r="C55" s="495">
        <f>IF(TRDVR7[[#This Row],[2024]]="","",DONNÉES!AJ46)</f>
        <v/>
      </c>
      <c r="D55" s="366">
        <f>IF(TRDVR7[[#This Row],[2024]]="","",DONNÉES!AI126)</f>
        <v/>
      </c>
      <c r="E55" s="496">
        <f>IF(TRDVR7[[#This Row],[2024]]="","",DONNÉES!AJ126)</f>
        <v/>
      </c>
      <c r="F55" s="366">
        <f>IF(TRDVR7[[#This Row],[2024]]="","",DONNÉES!AI62)</f>
        <v/>
      </c>
      <c r="G55" s="495">
        <f>IF(TRDVR7[[#This Row],[2024]]="","",DONNÉES!AJ62)</f>
        <v/>
      </c>
      <c r="H55" s="366">
        <f>IF(TRDVR7[[#This Row],[2024]]="","",DONNÉES!AI142)</f>
        <v/>
      </c>
      <c r="I55" s="496">
        <f>IF(TRDVR7[[#This Row],[2024]]="","",DONNÉES!AJ142)</f>
        <v/>
      </c>
      <c r="J55" s="366">
        <f>IF(TRDVR7[[#This Row],[2024]]="","",DONNÉES!AI78)</f>
        <v/>
      </c>
      <c r="K55" s="495">
        <f>IF(TRDVR7[[#This Row],[2024]]="","",DONNÉES!AJ78)</f>
        <v/>
      </c>
      <c r="L55" s="366">
        <f>IF(TRDVR7[[#This Row],[2024]]="","",DONNÉES!AI158)</f>
        <v/>
      </c>
      <c r="M55" s="496">
        <f>IF(TRDVR7[[#This Row],[2024]]="","",DONNÉES!AJ158)</f>
        <v/>
      </c>
      <c r="N55" s="366">
        <f>IF(TRDVR7[[#This Row],[2024]]="","",DONNÉES!AI94)</f>
        <v/>
      </c>
      <c r="O55" s="495">
        <f>IF(TRDVR7[[#This Row],[2024]]="","",DONNÉES!AJ94)</f>
        <v/>
      </c>
      <c r="P55" s="366">
        <f>IF(TRDVR7[[#This Row],[2024]]="","",DONNÉES!AI174)</f>
        <v/>
      </c>
      <c r="Q55" s="366">
        <f>IF(TRDVR7[[#This Row],[2024]]="","",DONNÉES!AJ174)</f>
        <v/>
      </c>
      <c r="S55" s="366">
        <f>IF(TRDVR7[[#This Row],[2024]]="","",DONNÉES!AI110)</f>
        <v/>
      </c>
      <c r="T55" s="495">
        <f>IF(TRDVR7[[#This Row],[2024]]="","",DONNÉES!AJ110)</f>
        <v/>
      </c>
      <c r="U55" s="366">
        <f>IF(TRDVR7[[#This Row],[2024]]="","",DONNÉES!AI190)</f>
        <v/>
      </c>
      <c r="V55" s="366">
        <f>IF(TRDVR7[[#This Row],[2024]]="","",DONNÉES!AJ190)</f>
        <v/>
      </c>
    </row>
    <row r="56" ht="11.65" customFormat="1" customHeight="1" s="476">
      <c r="A56" s="494" t="inlineStr">
        <is>
          <t>Avril</t>
        </is>
      </c>
      <c r="B56" s="366">
        <f>IF(DONNÉES!AI47="","",DONNÉES!AI47)</f>
        <v/>
      </c>
      <c r="C56" s="495">
        <f>IF(TRDVR7[[#This Row],[2024]]="","",DONNÉES!AJ47)</f>
        <v/>
      </c>
      <c r="D56" s="366">
        <f>IF(TRDVR7[[#This Row],[2024]]="","",DONNÉES!AI127)</f>
        <v/>
      </c>
      <c r="E56" s="496">
        <f>IF(TRDVR7[[#This Row],[2024]]="","",DONNÉES!AJ127)</f>
        <v/>
      </c>
      <c r="F56" s="366">
        <f>IF(TRDVR7[[#This Row],[2024]]="","",DONNÉES!AI63)</f>
        <v/>
      </c>
      <c r="G56" s="495">
        <f>IF(TRDVR7[[#This Row],[2024]]="","",DONNÉES!AJ63)</f>
        <v/>
      </c>
      <c r="H56" s="366">
        <f>IF(TRDVR7[[#This Row],[2024]]="","",DONNÉES!AI143)</f>
        <v/>
      </c>
      <c r="I56" s="496">
        <f>IF(TRDVR7[[#This Row],[2024]]="","",DONNÉES!AJ143)</f>
        <v/>
      </c>
      <c r="J56" s="366">
        <f>IF(TRDVR7[[#This Row],[2024]]="","",DONNÉES!AI79)</f>
        <v/>
      </c>
      <c r="K56" s="495">
        <f>IF(TRDVR7[[#This Row],[2024]]="","",DONNÉES!AJ79)</f>
        <v/>
      </c>
      <c r="L56" s="366">
        <f>IF(TRDVR7[[#This Row],[2024]]="","",DONNÉES!AI159)</f>
        <v/>
      </c>
      <c r="M56" s="496">
        <f>IF(TRDVR7[[#This Row],[2024]]="","",DONNÉES!AJ159)</f>
        <v/>
      </c>
      <c r="N56" s="366">
        <f>IF(TRDVR7[[#This Row],[2024]]="","",DONNÉES!AI95)</f>
        <v/>
      </c>
      <c r="O56" s="495">
        <f>IF(TRDVR7[[#This Row],[2024]]="","",DONNÉES!AJ95)</f>
        <v/>
      </c>
      <c r="P56" s="366">
        <f>IF(TRDVR7[[#This Row],[2024]]="","",DONNÉES!AI175)</f>
        <v/>
      </c>
      <c r="Q56" s="366">
        <f>IF(TRDVR7[[#This Row],[2024]]="","",DONNÉES!AJ175)</f>
        <v/>
      </c>
      <c r="R56" s="498" t="n"/>
      <c r="S56" s="366">
        <f>IF(TRDVR7[[#This Row],[2024]]="","",DONNÉES!AI111)</f>
        <v/>
      </c>
      <c r="T56" s="495">
        <f>IF(TRDVR7[[#This Row],[2024]]="","",DONNÉES!AJ111)</f>
        <v/>
      </c>
      <c r="U56" s="366">
        <f>IF(TRDVR7[[#This Row],[2024]]="","",DONNÉES!AI191)</f>
        <v/>
      </c>
      <c r="V56" s="366">
        <f>IF(TRDVR7[[#This Row],[2024]]="","",DONNÉES!AJ191)</f>
        <v/>
      </c>
    </row>
    <row r="57" ht="11.65" customFormat="1" customHeight="1" s="476">
      <c r="A57" s="490" t="inlineStr">
        <is>
          <t>Mai</t>
        </is>
      </c>
      <c r="B57" s="366">
        <f>IF(DONNÉES!AI48="","",DONNÉES!AI48)</f>
        <v/>
      </c>
      <c r="C57" s="495">
        <f>IF(TRDVR7[[#This Row],[2024]]="","",DONNÉES!AJ48)</f>
        <v/>
      </c>
      <c r="D57" s="366">
        <f>IF(TRDVR7[[#This Row],[2024]]="","",DONNÉES!AI128)</f>
        <v/>
      </c>
      <c r="E57" s="496">
        <f>IF(TRDVR7[[#This Row],[2024]]="","",DONNÉES!AJ128)</f>
        <v/>
      </c>
      <c r="F57" s="366">
        <f>IF(TRDVR7[[#This Row],[2024]]="","",DONNÉES!AI64)</f>
        <v/>
      </c>
      <c r="G57" s="495">
        <f>IF(TRDVR7[[#This Row],[2024]]="","",DONNÉES!AJ64)</f>
        <v/>
      </c>
      <c r="H57" s="366">
        <f>IF(TRDVR7[[#This Row],[2024]]="","",DONNÉES!AI144)</f>
        <v/>
      </c>
      <c r="I57" s="496">
        <f>IF(TRDVR7[[#This Row],[2024]]="","",DONNÉES!AJ144)</f>
        <v/>
      </c>
      <c r="J57" s="366">
        <f>IF(TRDVR7[[#This Row],[2024]]="","",DONNÉES!AI80)</f>
        <v/>
      </c>
      <c r="K57" s="495">
        <f>IF(TRDVR7[[#This Row],[2024]]="","",DONNÉES!AJ80)</f>
        <v/>
      </c>
      <c r="L57" s="366">
        <f>IF(TRDVR7[[#This Row],[2024]]="","",DONNÉES!AI160)</f>
        <v/>
      </c>
      <c r="M57" s="496">
        <f>IF(TRDVR7[[#This Row],[2024]]="","",DONNÉES!AJ160)</f>
        <v/>
      </c>
      <c r="N57" s="366">
        <f>IF(TRDVR7[[#This Row],[2024]]="","",DONNÉES!AI96)</f>
        <v/>
      </c>
      <c r="O57" s="495">
        <f>IF(TRDVR7[[#This Row],[2024]]="","",DONNÉES!AJ96)</f>
        <v/>
      </c>
      <c r="P57" s="366">
        <f>IF(TRDVR7[[#This Row],[2024]]="","",DONNÉES!AI176)</f>
        <v/>
      </c>
      <c r="Q57" s="366">
        <f>IF(TRDVR7[[#This Row],[2024]]="","",DONNÉES!AJ176)</f>
        <v/>
      </c>
      <c r="R57" s="498" t="n"/>
      <c r="S57" s="366">
        <f>IF(TRDVR7[[#This Row],[2024]]="","",DONNÉES!AI112)</f>
        <v/>
      </c>
      <c r="T57" s="495">
        <f>IF(TRDVR7[[#This Row],[2024]]="","",DONNÉES!AJ112)</f>
        <v/>
      </c>
      <c r="U57" s="366">
        <f>IF(TRDVR7[[#This Row],[2024]]="","",DONNÉES!AI192)</f>
        <v/>
      </c>
      <c r="V57" s="366">
        <f>IF(TRDVR7[[#This Row],[2024]]="","",DONNÉES!AJ192)</f>
        <v/>
      </c>
    </row>
    <row r="58" ht="11.65" customFormat="1" customHeight="1" s="476">
      <c r="A58" s="494" t="inlineStr">
        <is>
          <t>Juin</t>
        </is>
      </c>
      <c r="B58" s="366">
        <f>IF(DONNÉES!AI49="","",DONNÉES!AI49)</f>
        <v/>
      </c>
      <c r="C58" s="495">
        <f>IF(TRDVR7[[#This Row],[2024]]="","",DONNÉES!AJ49)</f>
        <v/>
      </c>
      <c r="D58" s="366">
        <f>IF(TRDVR7[[#This Row],[2024]]="","",DONNÉES!AI129)</f>
        <v/>
      </c>
      <c r="E58" s="496">
        <f>IF(TRDVR7[[#This Row],[2024]]="","",DONNÉES!AJ129)</f>
        <v/>
      </c>
      <c r="F58" s="366">
        <f>IF(TRDVR7[[#This Row],[2024]]="","",DONNÉES!AI65)</f>
        <v/>
      </c>
      <c r="G58" s="495">
        <f>IF(TRDVR7[[#This Row],[2024]]="","",DONNÉES!AJ65)</f>
        <v/>
      </c>
      <c r="H58" s="366">
        <f>IF(TRDVR7[[#This Row],[2024]]="","",DONNÉES!AI145)</f>
        <v/>
      </c>
      <c r="I58" s="496">
        <f>IF(TRDVR7[[#This Row],[2024]]="","",DONNÉES!AJ145)</f>
        <v/>
      </c>
      <c r="J58" s="366">
        <f>IF(TRDVR7[[#This Row],[2024]]="","",DONNÉES!AI81)</f>
        <v/>
      </c>
      <c r="K58" s="495">
        <f>IF(TRDVR7[[#This Row],[2024]]="","",DONNÉES!AJ81)</f>
        <v/>
      </c>
      <c r="L58" s="366">
        <f>IF(TRDVR7[[#This Row],[2024]]="","",DONNÉES!AI161)</f>
        <v/>
      </c>
      <c r="M58" s="496">
        <f>IF(TRDVR7[[#This Row],[2024]]="","",DONNÉES!AJ161)</f>
        <v/>
      </c>
      <c r="N58" s="366">
        <f>IF(TRDVR7[[#This Row],[2024]]="","",DONNÉES!AI97)</f>
        <v/>
      </c>
      <c r="O58" s="495">
        <f>IF(TRDVR7[[#This Row],[2024]]="","",DONNÉES!AJ97)</f>
        <v/>
      </c>
      <c r="P58" s="366">
        <f>IF(TRDVR7[[#This Row],[2024]]="","",DONNÉES!AI177)</f>
        <v/>
      </c>
      <c r="Q58" s="366">
        <f>IF(TRDVR7[[#This Row],[2024]]="","",DONNÉES!AJ177)</f>
        <v/>
      </c>
      <c r="R58" s="498" t="n"/>
      <c r="S58" s="366">
        <f>IF(TRDVR7[[#This Row],[2024]]="","",DONNÉES!AI113)</f>
        <v/>
      </c>
      <c r="T58" s="495">
        <f>IF(TRDVR7[[#This Row],[2024]]="","",DONNÉES!AJ113)</f>
        <v/>
      </c>
      <c r="U58" s="366">
        <f>IF(TRDVR7[[#This Row],[2024]]="","",DONNÉES!AI193)</f>
        <v/>
      </c>
      <c r="V58" s="366">
        <f>IF(TRDVR7[[#This Row],[2024]]="","",DONNÉES!AJ193)</f>
        <v/>
      </c>
    </row>
    <row r="59" ht="11.65" customHeight="1" s="161">
      <c r="A59" s="490" t="inlineStr">
        <is>
          <t>Juillet</t>
        </is>
      </c>
      <c r="B59" s="366">
        <f>IF(DONNÉES!AI50="","",DONNÉES!AI50)</f>
        <v/>
      </c>
      <c r="C59" s="495">
        <f>IF(TRDVR7[[#This Row],[2024]]="","",DONNÉES!AJ50)</f>
        <v/>
      </c>
      <c r="D59" s="366">
        <f>IF(TRDVR7[[#This Row],[2024]]="","",DONNÉES!AI130)</f>
        <v/>
      </c>
      <c r="E59" s="496">
        <f>IF(TRDVR7[[#This Row],[2024]]="","",DONNÉES!AJ130)</f>
        <v/>
      </c>
      <c r="F59" s="366">
        <f>IF(TRDVR7[[#This Row],[2024]]="","",DONNÉES!AI66)</f>
        <v/>
      </c>
      <c r="G59" s="495">
        <f>IF(TRDVR7[[#This Row],[2024]]="","",DONNÉES!AJ66)</f>
        <v/>
      </c>
      <c r="H59" s="366">
        <f>IF(TRDVR7[[#This Row],[2024]]="","",DONNÉES!AI146)</f>
        <v/>
      </c>
      <c r="I59" s="496">
        <f>IF(TRDVR7[[#This Row],[2024]]="","",DONNÉES!AJ146)</f>
        <v/>
      </c>
      <c r="J59" s="366">
        <f>IF(TRDVR7[[#This Row],[2024]]="","",DONNÉES!AI82)</f>
        <v/>
      </c>
      <c r="K59" s="495">
        <f>IF(TRDVR7[[#This Row],[2024]]="","",DONNÉES!AJ82)</f>
        <v/>
      </c>
      <c r="L59" s="366">
        <f>IF(TRDVR7[[#This Row],[2024]]="","",DONNÉES!AI162)</f>
        <v/>
      </c>
      <c r="M59" s="496">
        <f>IF(TRDVR7[[#This Row],[2024]]="","",DONNÉES!AJ162)</f>
        <v/>
      </c>
      <c r="N59" s="366">
        <f>IF(TRDVR7[[#This Row],[2024]]="","",DONNÉES!AI98)</f>
        <v/>
      </c>
      <c r="O59" s="495">
        <f>IF(TRDVR7[[#This Row],[2024]]="","",DONNÉES!AJ98)</f>
        <v/>
      </c>
      <c r="P59" s="366">
        <f>IF(TRDVR7[[#This Row],[2024]]="","",DONNÉES!AI178)</f>
        <v/>
      </c>
      <c r="Q59" s="366">
        <f>IF(TRDVR7[[#This Row],[2024]]="","",DONNÉES!AJ178)</f>
        <v/>
      </c>
      <c r="R59" s="499" t="n"/>
      <c r="S59" s="366">
        <f>IF(TRDVR7[[#This Row],[2024]]="","",DONNÉES!AI114)</f>
        <v/>
      </c>
      <c r="T59" s="495">
        <f>IF(TRDVR7[[#This Row],[2024]]="","",DONNÉES!AJ114)</f>
        <v/>
      </c>
      <c r="U59" s="366">
        <f>IF(TRDVR7[[#This Row],[2024]]="","",DONNÉES!AI194)</f>
        <v/>
      </c>
      <c r="V59" s="366">
        <f>IF(TRDVR7[[#This Row],[2024]]="","",DONNÉES!AJ194)</f>
        <v/>
      </c>
    </row>
    <row r="60" ht="11.65" customHeight="1" s="161">
      <c r="A60" s="494" t="inlineStr">
        <is>
          <t>Août</t>
        </is>
      </c>
      <c r="B60" s="366">
        <f>IF(DONNÉES!AI51="","",DONNÉES!AI51)</f>
        <v/>
      </c>
      <c r="C60" s="495">
        <f>IF(TRDVR7[[#This Row],[2024]]="","",DONNÉES!AJ51)</f>
        <v/>
      </c>
      <c r="D60" s="366">
        <f>IF(TRDVR7[[#This Row],[2024]]="","",DONNÉES!AI131)</f>
        <v/>
      </c>
      <c r="E60" s="496">
        <f>IF(TRDVR7[[#This Row],[2024]]="","",DONNÉES!AJ131)</f>
        <v/>
      </c>
      <c r="F60" s="366">
        <f>IF(TRDVR7[[#This Row],[2024]]="","",DONNÉES!AI67)</f>
        <v/>
      </c>
      <c r="G60" s="495">
        <f>IF(TRDVR7[[#This Row],[2024]]="","",DONNÉES!AJ67)</f>
        <v/>
      </c>
      <c r="H60" s="366">
        <f>IF(TRDVR7[[#This Row],[2024]]="","",DONNÉES!AI147)</f>
        <v/>
      </c>
      <c r="I60" s="496">
        <f>IF(TRDVR7[[#This Row],[2024]]="","",DONNÉES!AJ147)</f>
        <v/>
      </c>
      <c r="J60" s="366">
        <f>IF(TRDVR7[[#This Row],[2024]]="","",DONNÉES!AI83)</f>
        <v/>
      </c>
      <c r="K60" s="495">
        <f>IF(TRDVR7[[#This Row],[2024]]="","",DONNÉES!AJ83)</f>
        <v/>
      </c>
      <c r="L60" s="366">
        <f>IF(TRDVR7[[#This Row],[2024]]="","",DONNÉES!AI163)</f>
        <v/>
      </c>
      <c r="M60" s="496">
        <f>IF(TRDVR7[[#This Row],[2024]]="","",DONNÉES!AJ163)</f>
        <v/>
      </c>
      <c r="N60" s="366">
        <f>IF(TRDVR7[[#This Row],[2024]]="","",DONNÉES!AI99)</f>
        <v/>
      </c>
      <c r="O60" s="495">
        <f>IF(TRDVR7[[#This Row],[2024]]="","",DONNÉES!AJ99)</f>
        <v/>
      </c>
      <c r="P60" s="366">
        <f>IF(TRDVR7[[#This Row],[2024]]="","",DONNÉES!AI179)</f>
        <v/>
      </c>
      <c r="Q60" s="366">
        <f>IF(TRDVR7[[#This Row],[2024]]="","",DONNÉES!AJ179)</f>
        <v/>
      </c>
      <c r="R60" s="499" t="n"/>
      <c r="S60" s="366">
        <f>IF(TRDVR7[[#This Row],[2024]]="","",DONNÉES!AI115)</f>
        <v/>
      </c>
      <c r="T60" s="495">
        <f>IF(TRDVR7[[#This Row],[2024]]="","",DONNÉES!AJ115)</f>
        <v/>
      </c>
      <c r="U60" s="366">
        <f>IF(TRDVR7[[#This Row],[2024]]="","",DONNÉES!AI195)</f>
        <v/>
      </c>
      <c r="V60" s="366">
        <f>IF(TRDVR7[[#This Row],[2024]]="","",DONNÉES!AJ195)</f>
        <v/>
      </c>
    </row>
    <row r="61" ht="11.65" customHeight="1" s="161">
      <c r="A61" s="490" t="inlineStr">
        <is>
          <t>Septembre</t>
        </is>
      </c>
      <c r="B61" s="369">
        <f>IF(DONNÉES!AI52="","",DONNÉES!AI52)</f>
        <v/>
      </c>
      <c r="C61" s="501">
        <f>IF(TRDVR7[[#This Row],[2024]]="","",DONNÉES!AJ52)</f>
        <v/>
      </c>
      <c r="D61" s="369">
        <f>IF(TRDVR7[[#This Row],[2024]]="","",DONNÉES!AI132)</f>
        <v/>
      </c>
      <c r="E61" s="500">
        <f>IF(TRDVR7[[#This Row],[2024]]="","",DONNÉES!AJ132)</f>
        <v/>
      </c>
      <c r="F61" s="366">
        <f>IF(TRDVR7[[#This Row],[2024]]="","",DONNÉES!AI68)</f>
        <v/>
      </c>
      <c r="G61" s="495">
        <f>IF(TRDVR7[[#This Row],[2024]]="","",DONNÉES!AJ68)</f>
        <v/>
      </c>
      <c r="H61" s="369">
        <f>IF(TRDVR7[[#This Row],[2024]]="","",DONNÉES!AI148)</f>
        <v/>
      </c>
      <c r="I61" s="500">
        <f>IF(TRDVR7[[#This Row],[2024]]="","",DONNÉES!AJ148)</f>
        <v/>
      </c>
      <c r="J61" s="369">
        <f>IF(TRDVR7[[#This Row],[2024]]="","",DONNÉES!AI84)</f>
        <v/>
      </c>
      <c r="K61" s="501">
        <f>IF(TRDVR7[[#This Row],[2024]]="","",DONNÉES!AJ84)</f>
        <v/>
      </c>
      <c r="L61" s="369">
        <f>IF(TRDVR7[[#This Row],[2024]]="","",DONNÉES!AI164)</f>
        <v/>
      </c>
      <c r="M61" s="500">
        <f>IF(TRDVR7[[#This Row],[2024]]="","",DONNÉES!AJ164)</f>
        <v/>
      </c>
      <c r="N61" s="369">
        <f>IF(TRDVR7[[#This Row],[2024]]="","",DONNÉES!AI100)</f>
        <v/>
      </c>
      <c r="O61" s="501">
        <f>IF(TRDVR7[[#This Row],[2024]]="","",DONNÉES!AJ100)</f>
        <v/>
      </c>
      <c r="P61" s="369">
        <f>IF(TRDVR7[[#This Row],[2024]]="","",DONNÉES!AI180)</f>
        <v/>
      </c>
      <c r="Q61" s="369">
        <f>IF(TRDVR7[[#This Row],[2024]]="","",DONNÉES!AJ180)</f>
        <v/>
      </c>
      <c r="R61" s="499" t="n"/>
      <c r="S61" s="369">
        <f>IF(TRDVR7[[#This Row],[2024]]="","",DONNÉES!AI116)</f>
        <v/>
      </c>
      <c r="T61" s="501">
        <f>IF(TRDVR7[[#This Row],[2024]]="","",DONNÉES!AJ116)</f>
        <v/>
      </c>
      <c r="U61" s="369">
        <f>IF(TRDVR7[[#This Row],[2024]]="","",DONNÉES!AI196)</f>
        <v/>
      </c>
      <c r="V61" s="369">
        <f>IF(TRDVR7[[#This Row],[2024]]="","",DONNÉES!AJ196)</f>
        <v/>
      </c>
    </row>
    <row r="62" ht="11.65" customHeight="1" s="161">
      <c r="A62" s="494" t="inlineStr">
        <is>
          <t>Octobre</t>
        </is>
      </c>
      <c r="B62" s="369">
        <f>IF(DONNÉES!AI53="","",DONNÉES!AI53)</f>
        <v/>
      </c>
      <c r="C62" s="501">
        <f>IF(TRDVR7[[#This Row],[2024]]="","",DONNÉES!AJ53)</f>
        <v/>
      </c>
      <c r="D62" s="369">
        <f>IF(TRDVR7[[#This Row],[2024]]="","",DONNÉES!AI133)</f>
        <v/>
      </c>
      <c r="E62" s="500">
        <f>IF(TRDVR7[[#This Row],[2024]]="","",DONNÉES!AJ133)</f>
        <v/>
      </c>
      <c r="F62" s="366">
        <f>IF(TRDVR7[[#This Row],[2024]]="","",DONNÉES!AI69)</f>
        <v/>
      </c>
      <c r="G62" s="495">
        <f>IF(TRDVR7[[#This Row],[2024]]="","",DONNÉES!AJ69)</f>
        <v/>
      </c>
      <c r="H62" s="369">
        <f>IF(TRDVR7[[#This Row],[2024]]="","",DONNÉES!AI149)</f>
        <v/>
      </c>
      <c r="I62" s="500">
        <f>IF(TRDVR7[[#This Row],[2024]]="","",DONNÉES!AJ149)</f>
        <v/>
      </c>
      <c r="J62" s="369">
        <f>IF(TRDVR7[[#This Row],[2024]]="","",DONNÉES!AI85)</f>
        <v/>
      </c>
      <c r="K62" s="501">
        <f>IF(TRDVR7[[#This Row],[2024]]="","",DONNÉES!AJ85)</f>
        <v/>
      </c>
      <c r="L62" s="369">
        <f>IF(TRDVR7[[#This Row],[2024]]="","",DONNÉES!AI165)</f>
        <v/>
      </c>
      <c r="M62" s="500">
        <f>IF(TRDVR7[[#This Row],[2024]]="","",DONNÉES!AJ165)</f>
        <v/>
      </c>
      <c r="N62" s="369">
        <f>IF(TRDVR7[[#This Row],[2024]]="","",DONNÉES!AI101)</f>
        <v/>
      </c>
      <c r="O62" s="501">
        <f>IF(TRDVR7[[#This Row],[2024]]="","",DONNÉES!AJ101)</f>
        <v/>
      </c>
      <c r="P62" s="369">
        <f>IF(TRDVR7[[#This Row],[2024]]="","",DONNÉES!AI181)</f>
        <v/>
      </c>
      <c r="Q62" s="369">
        <f>IF(TRDVR7[[#This Row],[2024]]="","",DONNÉES!AJ181)</f>
        <v/>
      </c>
      <c r="R62" s="499" t="n"/>
      <c r="S62" s="369">
        <f>IF(TRDVR7[[#This Row],[2024]]="","",DONNÉES!AI117)</f>
        <v/>
      </c>
      <c r="T62" s="501">
        <f>IF(TRDVR7[[#This Row],[2024]]="","",DONNÉES!AJ117)</f>
        <v/>
      </c>
      <c r="U62" s="369">
        <f>IF(TRDVR7[[#This Row],[2024]]="","",DONNÉES!AI197)</f>
        <v/>
      </c>
      <c r="V62" s="369">
        <f>IF(TRDVR7[[#This Row],[2024]]="","",DONNÉES!AJ197)</f>
        <v/>
      </c>
    </row>
    <row r="63" ht="11.65" customHeight="1" s="161">
      <c r="A63" s="490" t="inlineStr">
        <is>
          <t>Novembre</t>
        </is>
      </c>
      <c r="B63" s="369">
        <f>IF(DONNÉES!AI54="","",DONNÉES!AI54)</f>
        <v/>
      </c>
      <c r="C63" s="501">
        <f>IF(TRDVR7[[#This Row],[2024]]="","",DONNÉES!AJ54)</f>
        <v/>
      </c>
      <c r="D63" s="369">
        <f>IF(TRDVR7[[#This Row],[2024]]="","",DONNÉES!AI134)</f>
        <v/>
      </c>
      <c r="E63" s="500">
        <f>IF(TRDVR7[[#This Row],[2024]]="","",DONNÉES!AJ134)</f>
        <v/>
      </c>
      <c r="F63" s="366">
        <f>IF(TRDVR7[[#This Row],[2024]]="","",DONNÉES!AI70)</f>
        <v/>
      </c>
      <c r="G63" s="495">
        <f>IF(TRDVR7[[#This Row],[2024]]="","",DONNÉES!AJ70)</f>
        <v/>
      </c>
      <c r="H63" s="369">
        <f>IF(TRDVR7[[#This Row],[2024]]="","",DONNÉES!AI150)</f>
        <v/>
      </c>
      <c r="I63" s="500">
        <f>IF(TRDVR7[[#This Row],[2024]]="","",DONNÉES!AJ150)</f>
        <v/>
      </c>
      <c r="J63" s="369">
        <f>IF(TRDVR7[[#This Row],[2024]]="","",DONNÉES!AI86)</f>
        <v/>
      </c>
      <c r="K63" s="501">
        <f>IF(TRDVR7[[#This Row],[2024]]="","",DONNÉES!AJ86)</f>
        <v/>
      </c>
      <c r="L63" s="369">
        <f>IF(TRDVR7[[#This Row],[2024]]="","",DONNÉES!AI166)</f>
        <v/>
      </c>
      <c r="M63" s="500">
        <f>IF(TRDVR7[[#This Row],[2024]]="","",DONNÉES!AJ166)</f>
        <v/>
      </c>
      <c r="N63" s="369">
        <f>IF(TRDVR7[[#This Row],[2024]]="","",DONNÉES!AI102)</f>
        <v/>
      </c>
      <c r="O63" s="501">
        <f>IF(TRDVR7[[#This Row],[2024]]="","",DONNÉES!AJ102)</f>
        <v/>
      </c>
      <c r="P63" s="369">
        <f>IF(TRDVR7[[#This Row],[2024]]="","",DONNÉES!AI182)</f>
        <v/>
      </c>
      <c r="Q63" s="369">
        <f>IF(TRDVR7[[#This Row],[2024]]="","",DONNÉES!AJ182)</f>
        <v/>
      </c>
      <c r="R63" s="499" t="n"/>
      <c r="S63" s="369">
        <f>IF(TRDVR7[[#This Row],[2024]]="","",DONNÉES!AI118)</f>
        <v/>
      </c>
      <c r="T63" s="501">
        <f>IF(TRDVR7[[#This Row],[2024]]="","",DONNÉES!AJ118)</f>
        <v/>
      </c>
      <c r="U63" s="369">
        <f>IF(TRDVR7[[#This Row],[2024]]="","",DONNÉES!AI198)</f>
        <v/>
      </c>
      <c r="V63" s="369">
        <f>IF(TRDVR7[[#This Row],[2024]]="","",DONNÉES!AJ198)</f>
        <v/>
      </c>
    </row>
    <row r="64" ht="11.65" customHeight="1" s="161">
      <c r="A64" s="490" t="inlineStr">
        <is>
          <t>Décembre</t>
        </is>
      </c>
      <c r="B64" s="369">
        <f>IF(DONNÉES!AI55="","",DONNÉES!AI55)</f>
        <v/>
      </c>
      <c r="C64" s="501">
        <f>IF(TRDVR7[[#This Row],[2024]]="","",DONNÉES!AJ55)</f>
        <v/>
      </c>
      <c r="D64" s="369">
        <f>IF(TRDVR7[[#This Row],[2024]]="","",DONNÉES!AI135)</f>
        <v/>
      </c>
      <c r="E64" s="500">
        <f>IF(TRDVR7[[#This Row],[2024]]="","",DONNÉES!AJ135)</f>
        <v/>
      </c>
      <c r="F64" s="366">
        <f>IF(TRDVR7[[#This Row],[2024]]="","",DONNÉES!AI71)</f>
        <v/>
      </c>
      <c r="G64" s="495">
        <f>IF(TRDVR7[[#This Row],[2024]]="","",DONNÉES!AJ71)</f>
        <v/>
      </c>
      <c r="H64" s="369">
        <f>IF(TRDVR7[[#This Row],[2024]]="","",DONNÉES!AI151)</f>
        <v/>
      </c>
      <c r="I64" s="500">
        <f>IF(TRDVR7[[#This Row],[2024]]="","",DONNÉES!AJ151)</f>
        <v/>
      </c>
      <c r="J64" s="369">
        <f>IF(TRDVR7[[#This Row],[2024]]="","",DONNÉES!AI87)</f>
        <v/>
      </c>
      <c r="K64" s="501">
        <f>IF(TRDVR7[[#This Row],[2024]]="","",DONNÉES!AJ87)</f>
        <v/>
      </c>
      <c r="L64" s="369">
        <f>IF(TRDVR7[[#This Row],[2024]]="","",DONNÉES!AI167)</f>
        <v/>
      </c>
      <c r="M64" s="500">
        <f>IF(TRDVR7[[#This Row],[2024]]="","",DONNÉES!AJ167)</f>
        <v/>
      </c>
      <c r="N64" s="369">
        <f>IF(TRDVR7[[#This Row],[2024]]="","",DONNÉES!AI103)</f>
        <v/>
      </c>
      <c r="O64" s="501">
        <f>IF(TRDVR7[[#This Row],[2024]]="","",DONNÉES!AJ103)</f>
        <v/>
      </c>
      <c r="P64" s="369">
        <f>IF(TRDVR7[[#This Row],[2024]]="","",DONNÉES!AI183)</f>
        <v/>
      </c>
      <c r="Q64" s="369">
        <f>IF(TRDVR7[[#This Row],[2024]]="","",DONNÉES!AJ183)</f>
        <v/>
      </c>
      <c r="R64" s="503" t="n"/>
      <c r="S64" s="369">
        <f>IF(TRDVR7[[#This Row],[2024]]="","",DONNÉES!AI119)</f>
        <v/>
      </c>
      <c r="T64" s="501">
        <f>IF(TRDVR7[[#This Row],[2024]]="","",DONNÉES!AJ119)</f>
        <v/>
      </c>
      <c r="U64" s="369">
        <f>IF(TRDVR7[[#This Row],[2024]]="","",DONNÉES!AI199)</f>
        <v/>
      </c>
      <c r="V64" s="369">
        <f>IF(TRDVR7[[#This Row],[2024]]="","",DONNÉES!AJ199)</f>
        <v/>
      </c>
    </row>
    <row r="65" ht="12" customHeight="1" s="161">
      <c r="A65" s="370" t="n"/>
      <c r="B65" s="508" t="n"/>
      <c r="C65" s="508" t="n"/>
      <c r="D65" s="99" t="n"/>
      <c r="E65" s="508" t="n"/>
      <c r="F65" s="508" t="n"/>
      <c r="G65" s="509" t="n"/>
      <c r="H65" s="370" t="n"/>
      <c r="I65" s="370" t="n"/>
      <c r="J65" s="508" t="n"/>
    </row>
    <row r="66" ht="14.65" customHeight="1" s="161">
      <c r="A66" s="510" t="n"/>
      <c r="B66" s="511" t="inlineStr">
        <is>
          <t>Sur place</t>
        </is>
      </c>
      <c r="C66" s="487" t="n"/>
      <c r="D66" s="487" t="n"/>
      <c r="E66" s="488" t="n"/>
      <c r="F66" s="511" t="inlineStr">
        <is>
          <t>A emporter</t>
        </is>
      </c>
      <c r="G66" s="487" t="n"/>
      <c r="H66" s="487" t="n"/>
      <c r="I66" s="488" t="n"/>
      <c r="J66" s="511" t="inlineStr">
        <is>
          <t>Mc Drive</t>
        </is>
      </c>
      <c r="K66" s="487" t="n"/>
      <c r="L66" s="487" t="n"/>
      <c r="M66" s="488" t="n"/>
      <c r="N66" s="512" t="inlineStr">
        <is>
          <t>Kiosque</t>
        </is>
      </c>
      <c r="O66" s="487" t="n"/>
      <c r="P66" s="487" t="n"/>
      <c r="Q66" s="487" t="n"/>
      <c r="S66" s="512" t="inlineStr">
        <is>
          <t>Total</t>
        </is>
      </c>
      <c r="T66" s="487" t="n"/>
      <c r="U66" s="487" t="n"/>
      <c r="V66" s="487" t="n"/>
    </row>
    <row r="67" ht="28.9" customHeight="1" s="161">
      <c r="A67" s="490" t="inlineStr">
        <is>
          <t>TURVILLA</t>
        </is>
      </c>
      <c r="B67" s="491" t="inlineStr">
        <is>
          <t>2024</t>
        </is>
      </c>
      <c r="C67" s="492" t="inlineStr">
        <is>
          <t>2023</t>
        </is>
      </c>
      <c r="D67" s="491" t="inlineStr">
        <is>
          <t>2024 cumul</t>
        </is>
      </c>
      <c r="E67" s="493" t="inlineStr">
        <is>
          <t>2023 cumul</t>
        </is>
      </c>
      <c r="F67" s="211" t="inlineStr">
        <is>
          <t xml:space="preserve">2024  </t>
        </is>
      </c>
      <c r="G67" s="492" t="inlineStr">
        <is>
          <t xml:space="preserve">2023  </t>
        </is>
      </c>
      <c r="H67" s="491" t="inlineStr">
        <is>
          <t xml:space="preserve">2024 cumul </t>
        </is>
      </c>
      <c r="I67" s="493" t="inlineStr">
        <is>
          <t xml:space="preserve">2023 cumul </t>
        </is>
      </c>
      <c r="J67" s="491" t="inlineStr">
        <is>
          <t xml:space="preserve">2024   </t>
        </is>
      </c>
      <c r="K67" s="492" t="inlineStr">
        <is>
          <t xml:space="preserve">2023   </t>
        </is>
      </c>
      <c r="L67" s="491" t="inlineStr">
        <is>
          <t xml:space="preserve">2024 cumul   </t>
        </is>
      </c>
      <c r="M67" s="493" t="inlineStr">
        <is>
          <t xml:space="preserve">2023 cumul   </t>
        </is>
      </c>
      <c r="N67" s="491" t="inlineStr">
        <is>
          <t xml:space="preserve">2024    </t>
        </is>
      </c>
      <c r="O67" s="492" t="inlineStr">
        <is>
          <t xml:space="preserve">2023    </t>
        </is>
      </c>
      <c r="P67" s="491" t="inlineStr">
        <is>
          <t xml:space="preserve">2024 cumul    </t>
        </is>
      </c>
      <c r="Q67" s="94" t="inlineStr">
        <is>
          <t xml:space="preserve">2023 cumul    </t>
        </is>
      </c>
      <c r="S67" s="491" t="inlineStr">
        <is>
          <t>2024</t>
        </is>
      </c>
      <c r="T67" s="492" t="inlineStr">
        <is>
          <t>2023</t>
        </is>
      </c>
      <c r="U67" s="491" t="inlineStr">
        <is>
          <t>2024 cumul</t>
        </is>
      </c>
      <c r="V67" s="493" t="inlineStr">
        <is>
          <t>2023 cumul</t>
        </is>
      </c>
    </row>
    <row r="68" ht="11.65" customFormat="1" customHeight="1" s="476">
      <c r="A68" s="494" t="inlineStr">
        <is>
          <t>Janvier</t>
        </is>
      </c>
      <c r="B68" s="366">
        <f>IF(DONNÉES!AQ44="","",DONNÉES!AQ44)</f>
        <v/>
      </c>
      <c r="C68" s="495">
        <f>IF(TRDTURVILLA[[#This Row],[2024]]="","",DONNÉES!AR44)</f>
        <v/>
      </c>
      <c r="D68" s="366">
        <f>IF(TRDTURVILLA[[#This Row],[2024]]="","",DONNÉES!AQ124)</f>
        <v/>
      </c>
      <c r="E68" s="496">
        <f>IF(TRDTURVILLA[[#This Row],[2024]]="","",DONNÉES!AR124)</f>
        <v/>
      </c>
      <c r="F68" s="366">
        <f>IF(TRDTURVILLA[[#This Row],[2024]]="","",DONNÉES!AQ60)</f>
        <v/>
      </c>
      <c r="G68" s="496">
        <f>IF(TRDTURVILLA[[#This Row],[2024]]="","",DONNÉES!AR60)</f>
        <v/>
      </c>
      <c r="H68" s="366">
        <f>IF(TRDTURVILLA[[#This Row],[2024]]="","",DONNÉES!AQ140)</f>
        <v/>
      </c>
      <c r="I68" s="496">
        <f>IF(TRDTURVILLA[[#This Row],[2024]]="","",DONNÉES!AR140)</f>
        <v/>
      </c>
      <c r="J68" s="366">
        <f>IF(TRDTURVILLA[[#This Row],[2024]]="","",DONNÉES!AQ76)</f>
        <v/>
      </c>
      <c r="K68" s="495">
        <f>IF(TRDTURVILLA[[#This Row],[2024]]="","",DONNÉES!AR76)</f>
        <v/>
      </c>
      <c r="L68" s="366">
        <f>IF(TRDTURVILLA[[#This Row],[2024]]="","",DONNÉES!AQ156)</f>
        <v/>
      </c>
      <c r="M68" s="496">
        <f>IF(TRDTURVILLA[[#This Row],[2024]]="","",DONNÉES!AR156)</f>
        <v/>
      </c>
      <c r="N68" s="366">
        <f>IF(TRDTURVILLA[[#This Row],[2024]]="","",DONNÉES!AQ92)</f>
        <v/>
      </c>
      <c r="O68" s="495">
        <f>IF(TRDTURVILLA[[#This Row],[2024]]="","",DONNÉES!AR92)</f>
        <v/>
      </c>
      <c r="P68" s="366">
        <f>IF(TRDTURVILLA[[#This Row],[2024]]="","",DONNÉES!AQ172)</f>
        <v/>
      </c>
      <c r="Q68" s="497">
        <f>IF(TRDTURVILLA[[#This Row],[2024]]="","",DONNÉES!AR172)</f>
        <v/>
      </c>
      <c r="R68" s="498" t="n"/>
      <c r="S68" s="366">
        <f>IF(TRDTURVILLA[[#This Row],[2024]]="","",DONNÉES!AQ108)</f>
        <v/>
      </c>
      <c r="T68" s="495">
        <f>IF(TRDTURVILLA[[#This Row],[2024]]="","",DONNÉES!AR108)</f>
        <v/>
      </c>
      <c r="U68" s="366">
        <f>IF(TRDTURVILLA[[#This Row],[2024]]="","",DONNÉES!AQ188)</f>
        <v/>
      </c>
      <c r="V68" s="366">
        <f>IF(TRDTURVILLA[[#This Row],[2024]]="","",DONNÉES!AR188)</f>
        <v/>
      </c>
    </row>
    <row r="69" ht="11.65" customFormat="1" customHeight="1" s="476">
      <c r="A69" s="494" t="inlineStr">
        <is>
          <t>Février</t>
        </is>
      </c>
      <c r="B69" s="366">
        <f>IF(DONNÉES!AQ45="","",DONNÉES!AQ45)</f>
        <v/>
      </c>
      <c r="C69" s="495">
        <f>IF(TRDTURVILLA[[#This Row],[2024]]="","",DONNÉES!AR45)</f>
        <v/>
      </c>
      <c r="D69" s="366">
        <f>IF(TRDTURVILLA[[#This Row],[2024]]="","",DONNÉES!AQ125)</f>
        <v/>
      </c>
      <c r="E69" s="496">
        <f>IF(TRDTURVILLA[[#This Row],[2024]]="","",DONNÉES!AR125)</f>
        <v/>
      </c>
      <c r="F69" s="366">
        <f>IF(TRDTURVILLA[[#This Row],[2024]]="","",DONNÉES!AQ61)</f>
        <v/>
      </c>
      <c r="G69" s="495">
        <f>IF(TRDTURVILLA[[#This Row],[2024]]="","",DONNÉES!AR60)</f>
        <v/>
      </c>
      <c r="H69" s="366">
        <f>IF(TRDTURVILLA[[#This Row],[2024]]="","",DONNÉES!AQ141)</f>
        <v/>
      </c>
      <c r="I69" s="496">
        <f>IF(TRDTURVILLA[[#This Row],[2024]]="","",DONNÉES!AR141)</f>
        <v/>
      </c>
      <c r="J69" s="366">
        <f>IF(TRDTURVILLA[[#This Row],[2024]]="","",DONNÉES!AQ77)</f>
        <v/>
      </c>
      <c r="K69" s="495">
        <f>IF(TRDTURVILLA[[#This Row],[2024]]="","",DONNÉES!AR77)</f>
        <v/>
      </c>
      <c r="L69" s="366">
        <f>IF(TRDTURVILLA[[#This Row],[2024]]="","",DONNÉES!AQ157)</f>
        <v/>
      </c>
      <c r="M69" s="496">
        <f>IF(TRDTURVILLA[[#This Row],[2024]]="","",DONNÉES!AR157)</f>
        <v/>
      </c>
      <c r="N69" s="366">
        <f>IF(TRDTURVILLA[[#This Row],[2024]]="","",DONNÉES!AQ93)</f>
        <v/>
      </c>
      <c r="O69" s="495">
        <f>IF(TRDTURVILLA[[#This Row],[2024]]="","",DONNÉES!AR93)</f>
        <v/>
      </c>
      <c r="P69" s="366">
        <f>IF(TRDTURVILLA[[#This Row],[2024]]="","",DONNÉES!AQ173)</f>
        <v/>
      </c>
      <c r="Q69" s="497">
        <f>IF(TRDTURVILLA[[#This Row],[2024]]="","",DONNÉES!AR173)</f>
        <v/>
      </c>
      <c r="R69" s="498" t="n"/>
      <c r="S69" s="366">
        <f>IF(TRDTURVILLA[[#This Row],[2024]]="","",DONNÉES!AQ109)</f>
        <v/>
      </c>
      <c r="T69" s="495">
        <f>IF(TRDTURVILLA[[#This Row],[2024]]="","",DONNÉES!AR109)</f>
        <v/>
      </c>
      <c r="U69" s="366">
        <f>IF(TRDTURVILLA[[#This Row],[2024]]="","",DONNÉES!AQ189)</f>
        <v/>
      </c>
      <c r="V69" s="366">
        <f>IF(TRDTURVILLA[[#This Row],[2024]]="","",DONNÉES!AR189)</f>
        <v/>
      </c>
    </row>
    <row r="70" ht="11.65" customFormat="1" customHeight="1" s="476">
      <c r="A70" s="490" t="inlineStr">
        <is>
          <t>Mars</t>
        </is>
      </c>
      <c r="B70" s="366">
        <f>IF(DONNÉES!AQ46="","",DONNÉES!AQ46)</f>
        <v/>
      </c>
      <c r="C70" s="495">
        <f>IF(TRDTURVILLA[[#This Row],[2024]]="","",DONNÉES!AR46)</f>
        <v/>
      </c>
      <c r="D70" s="366">
        <f>IF(TRDTURVILLA[[#This Row],[2024]]="","",DONNÉES!AQ126)</f>
        <v/>
      </c>
      <c r="E70" s="496">
        <f>IF(TRDTURVILLA[[#This Row],[2024]]="","",DONNÉES!AR126)</f>
        <v/>
      </c>
      <c r="F70" s="366">
        <f>IF(TRDTURVILLA[[#This Row],[2024]]="","",DONNÉES!AQ62)</f>
        <v/>
      </c>
      <c r="G70" s="495">
        <f>IF(TRDTURVILLA[[#This Row],[2024]]="","",DONNÉES!AR62)</f>
        <v/>
      </c>
      <c r="H70" s="366">
        <f>IF(TRDTURVILLA[[#This Row],[2024]]="","",DONNÉES!AQ142)</f>
        <v/>
      </c>
      <c r="I70" s="496">
        <f>IF(TRDTURVILLA[[#This Row],[2024]]="","",DONNÉES!AR142)</f>
        <v/>
      </c>
      <c r="J70" s="366">
        <f>IF(TRDTURVILLA[[#This Row],[2024]]="","",DONNÉES!AQ78)</f>
        <v/>
      </c>
      <c r="K70" s="495">
        <f>IF(TRDTURVILLA[[#This Row],[2024]]="","",DONNÉES!AR78)</f>
        <v/>
      </c>
      <c r="L70" s="366">
        <f>IF(TRDTURVILLA[[#This Row],[2024]]="","",DONNÉES!AQ158)</f>
        <v/>
      </c>
      <c r="M70" s="496">
        <f>IF(TRDTURVILLA[[#This Row],[2024]]="","",DONNÉES!AR158)</f>
        <v/>
      </c>
      <c r="N70" s="366">
        <f>IF(TRDTURVILLA[[#This Row],[2024]]="","",DONNÉES!AQ94)</f>
        <v/>
      </c>
      <c r="O70" s="495">
        <f>IF(TRDTURVILLA[[#This Row],[2024]]="","",DONNÉES!AR94)</f>
        <v/>
      </c>
      <c r="P70" s="366">
        <f>IF(TRDTURVILLA[[#This Row],[2024]]="","",DONNÉES!AQ174)</f>
        <v/>
      </c>
      <c r="Q70" s="497">
        <f>IF(TRDTURVILLA[[#This Row],[2024]]="","",DONNÉES!AR174)</f>
        <v/>
      </c>
      <c r="R70" s="498" t="n"/>
      <c r="S70" s="366">
        <f>IF(TRDTURVILLA[[#This Row],[2024]]="","",DONNÉES!AQ110)</f>
        <v/>
      </c>
      <c r="T70" s="495">
        <f>IF(TRDTURVILLA[[#This Row],[2024]]="","",DONNÉES!AR110)</f>
        <v/>
      </c>
      <c r="U70" s="366">
        <f>IF(TRDTURVILLA[[#This Row],[2024]]="","",DONNÉES!AQ190)</f>
        <v/>
      </c>
      <c r="V70" s="366">
        <f>IF(TRDTURVILLA[[#This Row],[2024]]="","",DONNÉES!AR190)</f>
        <v/>
      </c>
    </row>
    <row r="71" ht="11.65" customHeight="1" s="161">
      <c r="A71" s="494" t="inlineStr">
        <is>
          <t>Avril</t>
        </is>
      </c>
      <c r="B71" s="366">
        <f>IF(DONNÉES!AQ47="","",DONNÉES!AQ47)</f>
        <v/>
      </c>
      <c r="C71" s="495">
        <f>IF(TRDTURVILLA[[#This Row],[2024]]="","",DONNÉES!AR47)</f>
        <v/>
      </c>
      <c r="D71" s="366">
        <f>IF(TRDTURVILLA[[#This Row],[2024]]="","",DONNÉES!AQ127)</f>
        <v/>
      </c>
      <c r="E71" s="496">
        <f>IF(TRDTURVILLA[[#This Row],[2024]]="","",DONNÉES!AR127)</f>
        <v/>
      </c>
      <c r="F71" s="366">
        <f>IF(TRDTURVILLA[[#This Row],[2024]]="","",DONNÉES!AQ63)</f>
        <v/>
      </c>
      <c r="G71" s="495">
        <f>IF(TRDTURVILLA[[#This Row],[2024]]="","",DONNÉES!AR63)</f>
        <v/>
      </c>
      <c r="H71" s="366">
        <f>IF(TRDTURVILLA[[#This Row],[2024]]="","",DONNÉES!AQ143)</f>
        <v/>
      </c>
      <c r="I71" s="496">
        <f>IF(TRDTURVILLA[[#This Row],[2024]]="","",DONNÉES!AR143)</f>
        <v/>
      </c>
      <c r="J71" s="366">
        <f>IF(TRDTURVILLA[[#This Row],[2024]]="","",DONNÉES!AQ79)</f>
        <v/>
      </c>
      <c r="K71" s="495">
        <f>IF(TRDTURVILLA[[#This Row],[2024]]="","",DONNÉES!AR79)</f>
        <v/>
      </c>
      <c r="L71" s="366">
        <f>IF(TRDTURVILLA[[#This Row],[2024]]="","",DONNÉES!AQ159)</f>
        <v/>
      </c>
      <c r="M71" s="496">
        <f>IF(TRDTURVILLA[[#This Row],[2024]]="","",DONNÉES!AR159)</f>
        <v/>
      </c>
      <c r="N71" s="366">
        <f>IF(TRDTURVILLA[[#This Row],[2024]]="","",DONNÉES!AQ95)</f>
        <v/>
      </c>
      <c r="O71" s="495">
        <f>IF(TRDTURVILLA[[#This Row],[2024]]="","",DONNÉES!AR95)</f>
        <v/>
      </c>
      <c r="P71" s="366">
        <f>IF(TRDTURVILLA[[#This Row],[2024]]="","",DONNÉES!AQ175)</f>
        <v/>
      </c>
      <c r="Q71" s="497">
        <f>IF(TRDTURVILLA[[#This Row],[2024]]="","",DONNÉES!AR175)</f>
        <v/>
      </c>
      <c r="R71" s="499" t="n"/>
      <c r="S71" s="366">
        <f>IF(TRDTURVILLA[[#This Row],[2024]]="","",DONNÉES!AQ111)</f>
        <v/>
      </c>
      <c r="T71" s="495">
        <f>IF(TRDTURVILLA[[#This Row],[2024]]="","",DONNÉES!AR111)</f>
        <v/>
      </c>
      <c r="U71" s="366">
        <f>IF(TRDTURVILLA[[#This Row],[2024]]="","",DONNÉES!AQ191)</f>
        <v/>
      </c>
      <c r="V71" s="366">
        <f>IF(TRDTURVILLA[[#This Row],[2024]]="","",DONNÉES!AR191)</f>
        <v/>
      </c>
    </row>
    <row r="72" ht="11.65" customHeight="1" s="161">
      <c r="A72" s="490" t="inlineStr">
        <is>
          <t>Mai</t>
        </is>
      </c>
      <c r="B72" s="366">
        <f>IF(DONNÉES!AQ48="","",DONNÉES!AQ48)</f>
        <v/>
      </c>
      <c r="C72" s="495">
        <f>IF(TRDTURVILLA[[#This Row],[2024]]="","",DONNÉES!AR48)</f>
        <v/>
      </c>
      <c r="D72" s="366">
        <f>IF(TRDTURVILLA[[#This Row],[2024]]="","",DONNÉES!AQ128)</f>
        <v/>
      </c>
      <c r="E72" s="496">
        <f>IF(TRDTURVILLA[[#This Row],[2024]]="","",DONNÉES!AR128)</f>
        <v/>
      </c>
      <c r="F72" s="366">
        <f>IF(TRDTURVILLA[[#This Row],[2024]]="","",DONNÉES!AQ64)</f>
        <v/>
      </c>
      <c r="G72" s="495">
        <f>IF(TRDTURVILLA[[#This Row],[2024]]="","",DONNÉES!AR64)</f>
        <v/>
      </c>
      <c r="H72" s="366">
        <f>IF(TRDTURVILLA[[#This Row],[2024]]="","",DONNÉES!AQ144)</f>
        <v/>
      </c>
      <c r="I72" s="496">
        <f>IF(TRDTURVILLA[[#This Row],[2024]]="","",DONNÉES!AR144)</f>
        <v/>
      </c>
      <c r="J72" s="366">
        <f>IF(TRDTURVILLA[[#This Row],[2024]]="","",DONNÉES!AQ80)</f>
        <v/>
      </c>
      <c r="K72" s="495">
        <f>IF(TRDTURVILLA[[#This Row],[2024]]="","",DONNÉES!AR80)</f>
        <v/>
      </c>
      <c r="L72" s="366">
        <f>IF(TRDTURVILLA[[#This Row],[2024]]="","",DONNÉES!AQ160)</f>
        <v/>
      </c>
      <c r="M72" s="496">
        <f>IF(TRDTURVILLA[[#This Row],[2024]]="","",DONNÉES!AR160)</f>
        <v/>
      </c>
      <c r="N72" s="366">
        <f>IF(TRDTURVILLA[[#This Row],[2024]]="","",DONNÉES!AQ96)</f>
        <v/>
      </c>
      <c r="O72" s="495">
        <f>IF(TRDTURVILLA[[#This Row],[2024]]="","",DONNÉES!AR96)</f>
        <v/>
      </c>
      <c r="P72" s="366">
        <f>IF(TRDTURVILLA[[#This Row],[2024]]="","",DONNÉES!AQ176)</f>
        <v/>
      </c>
      <c r="Q72" s="497">
        <f>IF(TRDTURVILLA[[#This Row],[2024]]="","",DONNÉES!AR176)</f>
        <v/>
      </c>
      <c r="R72" s="499" t="n"/>
      <c r="S72" s="366">
        <f>IF(TRDTURVILLA[[#This Row],[2024]]="","",DONNÉES!AQ112)</f>
        <v/>
      </c>
      <c r="T72" s="495">
        <f>IF(TRDTURVILLA[[#This Row],[2024]]="","",DONNÉES!AR112)</f>
        <v/>
      </c>
      <c r="U72" s="366">
        <f>IF(TRDTURVILLA[[#This Row],[2024]]="","",DONNÉES!AQ192)</f>
        <v/>
      </c>
      <c r="V72" s="366">
        <f>IF(TRDTURVILLA[[#This Row],[2024]]="","",DONNÉES!AR192)</f>
        <v/>
      </c>
    </row>
    <row r="73" ht="11.65" customHeight="1" s="161">
      <c r="A73" s="494" t="inlineStr">
        <is>
          <t>Juin</t>
        </is>
      </c>
      <c r="B73" s="366">
        <f>IF(DONNÉES!AQ49="","",DONNÉES!AQ49)</f>
        <v/>
      </c>
      <c r="C73" s="495">
        <f>IF(TRDTURVILLA[[#This Row],[2024]]="","",DONNÉES!AR49)</f>
        <v/>
      </c>
      <c r="D73" s="366">
        <f>IF(TRDTURVILLA[[#This Row],[2024]]="","",DONNÉES!AQ129)</f>
        <v/>
      </c>
      <c r="E73" s="496">
        <f>IF(TRDTURVILLA[[#This Row],[2024]]="","",DONNÉES!AR129)</f>
        <v/>
      </c>
      <c r="F73" s="366">
        <f>IF(TRDTURVILLA[[#This Row],[2024]]="","",DONNÉES!AQ65)</f>
        <v/>
      </c>
      <c r="G73" s="495">
        <f>IF(TRDTURVILLA[[#This Row],[2024]]="","",DONNÉES!AR65)</f>
        <v/>
      </c>
      <c r="H73" s="366">
        <f>IF(TRDTURVILLA[[#This Row],[2024]]="","",DONNÉES!AQ145)</f>
        <v/>
      </c>
      <c r="I73" s="496">
        <f>IF(TRDTURVILLA[[#This Row],[2024]]="","",DONNÉES!AR145)</f>
        <v/>
      </c>
      <c r="J73" s="366">
        <f>IF(TRDTURVILLA[[#This Row],[2024]]="","",DONNÉES!AQ81)</f>
        <v/>
      </c>
      <c r="K73" s="495">
        <f>IF(TRDTURVILLA[[#This Row],[2024]]="","",DONNÉES!AR81)</f>
        <v/>
      </c>
      <c r="L73" s="366">
        <f>IF(TRDTURVILLA[[#This Row],[2024]]="","",DONNÉES!AQ161)</f>
        <v/>
      </c>
      <c r="M73" s="496">
        <f>IF(TRDTURVILLA[[#This Row],[2024]]="","",DONNÉES!AR161)</f>
        <v/>
      </c>
      <c r="N73" s="366">
        <f>IF(TRDTURVILLA[[#This Row],[2024]]="","",DONNÉES!AQ97)</f>
        <v/>
      </c>
      <c r="O73" s="495">
        <f>IF(TRDTURVILLA[[#This Row],[2024]]="","",DONNÉES!AR97)</f>
        <v/>
      </c>
      <c r="P73" s="366">
        <f>IF(TRDTURVILLA[[#This Row],[2024]]="","",DONNÉES!AQ177)</f>
        <v/>
      </c>
      <c r="Q73" s="497">
        <f>IF(TRDTURVILLA[[#This Row],[2024]]="","",DONNÉES!AR177)</f>
        <v/>
      </c>
      <c r="R73" s="499" t="n"/>
      <c r="S73" s="366">
        <f>IF(TRDTURVILLA[[#This Row],[2024]]="","",DONNÉES!AQ113)</f>
        <v/>
      </c>
      <c r="T73" s="495">
        <f>IF(TRDTURVILLA[[#This Row],[2024]]="","",DONNÉES!AR113)</f>
        <v/>
      </c>
      <c r="U73" s="366">
        <f>IF(TRDTURVILLA[[#This Row],[2024]]="","",DONNÉES!AQ193)</f>
        <v/>
      </c>
      <c r="V73" s="366">
        <f>IF(TRDTURVILLA[[#This Row],[2024]]="","",DONNÉES!AR193)</f>
        <v/>
      </c>
    </row>
    <row r="74" ht="11.65" customHeight="1" s="161">
      <c r="A74" s="490" t="inlineStr">
        <is>
          <t>Juillet</t>
        </is>
      </c>
      <c r="B74" s="366">
        <f>IF(DONNÉES!AQ50="","",DONNÉES!AQ50)</f>
        <v/>
      </c>
      <c r="C74" s="495">
        <f>IF(TRDTURVILLA[[#This Row],[2024]]="","",DONNÉES!AR50)</f>
        <v/>
      </c>
      <c r="D74" s="366">
        <f>IF(TRDTURVILLA[[#This Row],[2024]]="","",DONNÉES!AQ130)</f>
        <v/>
      </c>
      <c r="E74" s="496">
        <f>IF(TRDTURVILLA[[#This Row],[2024]]="","",DONNÉES!AR130)</f>
        <v/>
      </c>
      <c r="F74" s="366">
        <f>IF(TRDTURVILLA[[#This Row],[2024]]="","",DONNÉES!AQ66)</f>
        <v/>
      </c>
      <c r="G74" s="495">
        <f>IF(TRDTURVILLA[[#This Row],[2024]]="","",DONNÉES!AR66)</f>
        <v/>
      </c>
      <c r="H74" s="366">
        <f>IF(TRDTURVILLA[[#This Row],[2024]]="","",DONNÉES!AQ146)</f>
        <v/>
      </c>
      <c r="I74" s="496">
        <f>IF(TRDTURVILLA[[#This Row],[2024]]="","",DONNÉES!AR146)</f>
        <v/>
      </c>
      <c r="J74" s="366">
        <f>IF(TRDTURVILLA[[#This Row],[2024]]="","",DONNÉES!AQ82)</f>
        <v/>
      </c>
      <c r="K74" s="495">
        <f>IF(TRDTURVILLA[[#This Row],[2024]]="","",DONNÉES!AR82)</f>
        <v/>
      </c>
      <c r="L74" s="366">
        <f>IF(TRDTURVILLA[[#This Row],[2024]]="","",DONNÉES!AQ162)</f>
        <v/>
      </c>
      <c r="M74" s="496">
        <f>IF(TRDTURVILLA[[#This Row],[2024]]="","",DONNÉES!AR162)</f>
        <v/>
      </c>
      <c r="N74" s="366">
        <f>IF(TRDTURVILLA[[#This Row],[2024]]="","",DONNÉES!AQ98)</f>
        <v/>
      </c>
      <c r="O74" s="495">
        <f>IF(TRDTURVILLA[[#This Row],[2024]]="","",DONNÉES!AR98)</f>
        <v/>
      </c>
      <c r="P74" s="366">
        <f>IF(TRDTURVILLA[[#This Row],[2024]]="","",DONNÉES!AQ178)</f>
        <v/>
      </c>
      <c r="Q74" s="497">
        <f>IF(TRDTURVILLA[[#This Row],[2024]]="","",DONNÉES!AR178)</f>
        <v/>
      </c>
      <c r="R74" s="499" t="n"/>
      <c r="S74" s="366">
        <f>IF(TRDTURVILLA[[#This Row],[2024]]="","",DONNÉES!AQ114)</f>
        <v/>
      </c>
      <c r="T74" s="495">
        <f>IF(TRDTURVILLA[[#This Row],[2024]]="","",DONNÉES!AR114)</f>
        <v/>
      </c>
      <c r="U74" s="366">
        <f>IF(TRDTURVILLA[[#This Row],[2024]]="","",DONNÉES!AQ194)</f>
        <v/>
      </c>
      <c r="V74" s="366">
        <f>IF(TRDTURVILLA[[#This Row],[2024]]="","",DONNÉES!AR194)</f>
        <v/>
      </c>
    </row>
    <row r="75" ht="11.65" customHeight="1" s="161">
      <c r="A75" s="494" t="inlineStr">
        <is>
          <t>Août</t>
        </is>
      </c>
      <c r="B75" s="366">
        <f>IF(DONNÉES!AQ51="","",DONNÉES!AQ51)</f>
        <v/>
      </c>
      <c r="C75" s="495">
        <f>IF(TRDTURVILLA[[#This Row],[2024]]="","",DONNÉES!AR51)</f>
        <v/>
      </c>
      <c r="D75" s="366">
        <f>IF(TRDTURVILLA[[#This Row],[2024]]="","",DONNÉES!AQ131)</f>
        <v/>
      </c>
      <c r="E75" s="496">
        <f>IF(TRDTURVILLA[[#This Row],[2024]]="","",DONNÉES!AR131)</f>
        <v/>
      </c>
      <c r="F75" s="366">
        <f>IF(TRDTURVILLA[[#This Row],[2024]]="","",DONNÉES!AQ67)</f>
        <v/>
      </c>
      <c r="G75" s="495">
        <f>IF(TRDTURVILLA[[#This Row],[2024]]="","",DONNÉES!AR67)</f>
        <v/>
      </c>
      <c r="H75" s="366">
        <f>IF(TRDTURVILLA[[#This Row],[2024]]="","",DONNÉES!AQ147)</f>
        <v/>
      </c>
      <c r="I75" s="496">
        <f>IF(TRDTURVILLA[[#This Row],[2024]]="","",DONNÉES!AR147)</f>
        <v/>
      </c>
      <c r="J75" s="366">
        <f>IF(TRDTURVILLA[[#This Row],[2024]]="","",DONNÉES!AQ83)</f>
        <v/>
      </c>
      <c r="K75" s="495">
        <f>IF(TRDTURVILLA[[#This Row],[2024]]="","",DONNÉES!AR83)</f>
        <v/>
      </c>
      <c r="L75" s="366">
        <f>IF(TRDTURVILLA[[#This Row],[2024]]="","",DONNÉES!AQ163)</f>
        <v/>
      </c>
      <c r="M75" s="496">
        <f>IF(TRDTURVILLA[[#This Row],[2024]]="","",DONNÉES!AR163)</f>
        <v/>
      </c>
      <c r="N75" s="366">
        <f>IF(TRDTURVILLA[[#This Row],[2024]]="","",DONNÉES!AQ99)</f>
        <v/>
      </c>
      <c r="O75" s="495">
        <f>IF(TRDTURVILLA[[#This Row],[2024]]="","",DONNÉES!AR99)</f>
        <v/>
      </c>
      <c r="P75" s="366">
        <f>IF(TRDTURVILLA[[#This Row],[2024]]="","",DONNÉES!AQ179)</f>
        <v/>
      </c>
      <c r="Q75" s="497">
        <f>IF(TRDTURVILLA[[#This Row],[2024]]="","",DONNÉES!AR179)</f>
        <v/>
      </c>
      <c r="R75" s="499" t="n"/>
      <c r="S75" s="366">
        <f>IF(TRDTURVILLA[[#This Row],[2024]]="","",DONNÉES!AQ115)</f>
        <v/>
      </c>
      <c r="T75" s="495">
        <f>IF(TRDTURVILLA[[#This Row],[2024]]="","",DONNÉES!AR115)</f>
        <v/>
      </c>
      <c r="U75" s="366">
        <f>IF(TRDTURVILLA[[#This Row],[2024]]="","",DONNÉES!AQ195)</f>
        <v/>
      </c>
      <c r="V75" s="366">
        <f>IF(TRDTURVILLA[[#This Row],[2024]]="","",DONNÉES!AR195)</f>
        <v/>
      </c>
    </row>
    <row r="76" ht="11.65" customHeight="1" s="161">
      <c r="A76" s="490" t="inlineStr">
        <is>
          <t>Septembre</t>
        </is>
      </c>
      <c r="B76" s="366">
        <f>IF(DONNÉES!AQ52="","",DONNÉES!AQ52)</f>
        <v/>
      </c>
      <c r="C76" s="495">
        <f>IF(TRDTURVILLA[[#This Row],[2024]]="","",DONNÉES!AR52)</f>
        <v/>
      </c>
      <c r="D76" s="366">
        <f>IF(TRDTURVILLA[[#This Row],[2024]]="","",DONNÉES!AQ132)</f>
        <v/>
      </c>
      <c r="E76" s="496">
        <f>IF(TRDTURVILLA[[#This Row],[2024]]="","",DONNÉES!AR132)</f>
        <v/>
      </c>
      <c r="F76" s="366">
        <f>IF(TRDTURVILLA[[#This Row],[2024]]="","",DONNÉES!AQ68)</f>
        <v/>
      </c>
      <c r="G76" s="495">
        <f>IF(TRDTURVILLA[[#This Row],[2024]]="","",DONNÉES!AR68)</f>
        <v/>
      </c>
      <c r="H76" s="366">
        <f>IF(TRDTURVILLA[[#This Row],[2024]]="","",DONNÉES!AQ148)</f>
        <v/>
      </c>
      <c r="I76" s="496">
        <f>IF(TRDTURVILLA[[#This Row],[2024]]="","",DONNÉES!AR148)</f>
        <v/>
      </c>
      <c r="J76" s="366">
        <f>IF(TRDTURVILLA[[#This Row],[2024]]="","",DONNÉES!AQ84)</f>
        <v/>
      </c>
      <c r="K76" s="495">
        <f>IF(TRDTURVILLA[[#This Row],[2024]]="","",DONNÉES!AR84)</f>
        <v/>
      </c>
      <c r="L76" s="366">
        <f>IF(TRDTURVILLA[[#This Row],[2024]]="","",DONNÉES!AQ164)</f>
        <v/>
      </c>
      <c r="M76" s="496">
        <f>IF(TRDTURVILLA[[#This Row],[2024]]="","",DONNÉES!AR164)</f>
        <v/>
      </c>
      <c r="N76" s="366">
        <f>IF(TRDTURVILLA[[#This Row],[2024]]="","",DONNÉES!AQ100)</f>
        <v/>
      </c>
      <c r="O76" s="495">
        <f>IF(TRDTURVILLA[[#This Row],[2024]]="","",DONNÉES!AR100)</f>
        <v/>
      </c>
      <c r="P76" s="366">
        <f>IF(TRDTURVILLA[[#This Row],[2024]]="","",DONNÉES!AQ180)</f>
        <v/>
      </c>
      <c r="Q76" s="497">
        <f>IF(TRDTURVILLA[[#This Row],[2024]]="","",DONNÉES!AR180)</f>
        <v/>
      </c>
      <c r="R76" s="503" t="n"/>
      <c r="S76" s="366">
        <f>IF(TRDTURVILLA[[#This Row],[2024]]="","",DONNÉES!AQ116)</f>
        <v/>
      </c>
      <c r="T76" s="495">
        <f>IF(TRDTURVILLA[[#This Row],[2024]]="","",DONNÉES!AR116)</f>
        <v/>
      </c>
      <c r="U76" s="366">
        <f>IF(TRDTURVILLA[[#This Row],[2024]]="","",DONNÉES!AQ196)</f>
        <v/>
      </c>
      <c r="V76" s="366">
        <f>IF(TRDTURVILLA[[#This Row],[2024]]="","",DONNÉES!AR196)</f>
        <v/>
      </c>
    </row>
    <row r="77" ht="11.65" customHeight="1" s="161">
      <c r="A77" s="494" t="inlineStr">
        <is>
          <t>Octobre</t>
        </is>
      </c>
      <c r="B77" s="366">
        <f>IF(DONNÉES!AQ53="","",DONNÉES!AQ53)</f>
        <v/>
      </c>
      <c r="C77" s="495">
        <f>IF(TRDTURVILLA[[#This Row],[2024]]="","",DONNÉES!AR53)</f>
        <v/>
      </c>
      <c r="D77" s="366">
        <f>IF(TRDTURVILLA[[#This Row],[2024]]="","",DONNÉES!AQ133)</f>
        <v/>
      </c>
      <c r="E77" s="496">
        <f>IF(TRDTURVILLA[[#This Row],[2024]]="","",DONNÉES!AR133)</f>
        <v/>
      </c>
      <c r="F77" s="366">
        <f>IF(TRDTURVILLA[[#This Row],[2024]]="","",DONNÉES!AQ69)</f>
        <v/>
      </c>
      <c r="G77" s="495">
        <f>IF(TRDTURVILLA[[#This Row],[2024]]="","",DONNÉES!AR69)</f>
        <v/>
      </c>
      <c r="H77" s="366">
        <f>IF(TRDTURVILLA[[#This Row],[2024]]="","",DONNÉES!AQ149)</f>
        <v/>
      </c>
      <c r="I77" s="496">
        <f>IF(TRDTURVILLA[[#This Row],[2024]]="","",DONNÉES!AR149)</f>
        <v/>
      </c>
      <c r="J77" s="366">
        <f>IF(TRDTURVILLA[[#This Row],[2024]]="","",DONNÉES!AQ85)</f>
        <v/>
      </c>
      <c r="K77" s="495">
        <f>IF(TRDTURVILLA[[#This Row],[2024]]="","",DONNÉES!AR85)</f>
        <v/>
      </c>
      <c r="L77" s="366">
        <f>IF(TRDTURVILLA[[#This Row],[2024]]="","",DONNÉES!AQ165)</f>
        <v/>
      </c>
      <c r="M77" s="496">
        <f>IF(TRDTURVILLA[[#This Row],[2024]]="","",DONNÉES!AR165)</f>
        <v/>
      </c>
      <c r="N77" s="366">
        <f>IF(TRDTURVILLA[[#This Row],[2024]]="","",DONNÉES!AQ101)</f>
        <v/>
      </c>
      <c r="O77" s="495">
        <f>IF(TRDTURVILLA[[#This Row],[2024]]="","",DONNÉES!AR101)</f>
        <v/>
      </c>
      <c r="P77" s="366">
        <f>IF(TRDTURVILLA[[#This Row],[2024]]="","",DONNÉES!AQ181)</f>
        <v/>
      </c>
      <c r="Q77" s="497">
        <f>IF(TRDTURVILLA[[#This Row],[2024]]="","",DONNÉES!AR181)</f>
        <v/>
      </c>
      <c r="R77" s="499" t="n"/>
      <c r="S77" s="366">
        <f>IF(TRDTURVILLA[[#This Row],[2024]]="","",DONNÉES!AQ117)</f>
        <v/>
      </c>
      <c r="T77" s="495">
        <f>IF(TRDTURVILLA[[#This Row],[2024]]="","",DONNÉES!AR117)</f>
        <v/>
      </c>
      <c r="U77" s="366">
        <f>IF(TRDTURVILLA[[#This Row],[2024]]="","",DONNÉES!AQ197)</f>
        <v/>
      </c>
      <c r="V77" s="366">
        <f>IF(TRDTURVILLA[[#This Row],[2024]]="","",DONNÉES!AR197)</f>
        <v/>
      </c>
    </row>
    <row r="78" ht="11.65" customFormat="1" customHeight="1" s="476">
      <c r="A78" s="490" t="inlineStr">
        <is>
          <t>Novembre</t>
        </is>
      </c>
      <c r="B78" s="366">
        <f>IF(DONNÉES!AQ54="","",DONNÉES!AQ54)</f>
        <v/>
      </c>
      <c r="C78" s="495">
        <f>IF(TRDTURVILLA[[#This Row],[2024]]="","",DONNÉES!AR54)</f>
        <v/>
      </c>
      <c r="D78" s="366">
        <f>IF(TRDTURVILLA[[#This Row],[2024]]="","",DONNÉES!AQ134)</f>
        <v/>
      </c>
      <c r="E78" s="496">
        <f>IF(TRDTURVILLA[[#This Row],[2024]]="","",DONNÉES!AR134)</f>
        <v/>
      </c>
      <c r="F78" s="366">
        <f>IF(TRDTURVILLA[[#This Row],[2024]]="","",DONNÉES!AQ70)</f>
        <v/>
      </c>
      <c r="G78" s="495">
        <f>IF(TRDTURVILLA[[#This Row],[2024]]="","",DONNÉES!AR70)</f>
        <v/>
      </c>
      <c r="H78" s="366">
        <f>IF(TRDTURVILLA[[#This Row],[2024]]="","",DONNÉES!AQ150)</f>
        <v/>
      </c>
      <c r="I78" s="496">
        <f>IF(TRDTURVILLA[[#This Row],[2024]]="","",DONNÉES!AR150)</f>
        <v/>
      </c>
      <c r="J78" s="366">
        <f>IF(TRDTURVILLA[[#This Row],[2024]]="","",DONNÉES!AQ86)</f>
        <v/>
      </c>
      <c r="K78" s="495">
        <f>IF(TRDTURVILLA[[#This Row],[2024]]="","",DONNÉES!AR86)</f>
        <v/>
      </c>
      <c r="L78" s="366">
        <f>IF(TRDTURVILLA[[#This Row],[2024]]="","",DONNÉES!AQ166)</f>
        <v/>
      </c>
      <c r="M78" s="496">
        <f>IF(TRDTURVILLA[[#This Row],[2024]]="","",DONNÉES!AR166)</f>
        <v/>
      </c>
      <c r="N78" s="366">
        <f>IF(TRDTURVILLA[[#This Row],[2024]]="","",DONNÉES!AQ102)</f>
        <v/>
      </c>
      <c r="O78" s="495">
        <f>IF(TRDTURVILLA[[#This Row],[2024]]="","",DONNÉES!AR102)</f>
        <v/>
      </c>
      <c r="P78" s="366">
        <f>IF(TRDTURVILLA[[#This Row],[2024]]="","",DONNÉES!AQ182)</f>
        <v/>
      </c>
      <c r="Q78" s="497">
        <f>IF(TRDTURVILLA[[#This Row],[2024]]="","",DONNÉES!AR182)</f>
        <v/>
      </c>
      <c r="R78" s="498" t="n"/>
      <c r="S78" s="366">
        <f>IF(TRDTURVILLA[[#This Row],[2024]]="","",DONNÉES!AQ118)</f>
        <v/>
      </c>
      <c r="T78" s="495">
        <f>IF(TRDTURVILLA[[#This Row],[2024]]="","",DONNÉES!AR118)</f>
        <v/>
      </c>
      <c r="U78" s="366">
        <f>IF(TRDTURVILLA[[#This Row],[2024]]="","",DONNÉES!AQ198)</f>
        <v/>
      </c>
      <c r="V78" s="366">
        <f>IF(TRDTURVILLA[[#This Row],[2024]]="","",DONNÉES!AR198)</f>
        <v/>
      </c>
    </row>
    <row r="79" ht="11.65" customFormat="1" customHeight="1" s="476">
      <c r="A79" s="490" t="inlineStr">
        <is>
          <t>Décembre</t>
        </is>
      </c>
      <c r="B79" s="366">
        <f>IF(DONNÉES!AQ55="","",DONNÉES!AQ55)</f>
        <v/>
      </c>
      <c r="C79" s="495">
        <f>IF(TRDTURVILLA[[#This Row],[2024]]="","",DONNÉES!AR55)</f>
        <v/>
      </c>
      <c r="D79" s="366">
        <f>IF(TRDTURVILLA[[#This Row],[2024]]="","",DONNÉES!AQ135)</f>
        <v/>
      </c>
      <c r="E79" s="496">
        <f>IF(TRDTURVILLA[[#This Row],[2024]]="","",DONNÉES!AR135)</f>
        <v/>
      </c>
      <c r="F79" s="366">
        <f>IF(TRDTURVILLA[[#This Row],[2024]]="","",DONNÉES!AQ71)</f>
        <v/>
      </c>
      <c r="G79" s="495">
        <f>IF(TRDTURVILLA[[#This Row],[2024]]="","",DONNÉES!AR71)</f>
        <v/>
      </c>
      <c r="H79" s="366">
        <f>IF(TRDTURVILLA[[#This Row],[2024]]="","",DONNÉES!AQ151)</f>
        <v/>
      </c>
      <c r="I79" s="496">
        <f>IF(TRDTURVILLA[[#This Row],[2024]]="","",DONNÉES!AR151)</f>
        <v/>
      </c>
      <c r="J79" s="366">
        <f>IF(TRDTURVILLA[[#This Row],[2024]]="","",DONNÉES!AQ87)</f>
        <v/>
      </c>
      <c r="K79" s="495">
        <f>IF(TRDTURVILLA[[#This Row],[2024]]="","",DONNÉES!AR87)</f>
        <v/>
      </c>
      <c r="L79" s="366">
        <f>IF(TRDTURVILLA[[#This Row],[2024]]="","",DONNÉES!AQ167)</f>
        <v/>
      </c>
      <c r="M79" s="496">
        <f>IF(TRDTURVILLA[[#This Row],[2024]]="","",DONNÉES!AR167)</f>
        <v/>
      </c>
      <c r="N79" s="366">
        <f>IF(TRDTURVILLA[[#This Row],[2024]]="","",DONNÉES!AQ103)</f>
        <v/>
      </c>
      <c r="O79" s="495">
        <f>IF(TRDTURVILLA[[#This Row],[2024]]="","",DONNÉES!AR103)</f>
        <v/>
      </c>
      <c r="P79" s="366">
        <f>IF(TRDTURVILLA[[#This Row],[2024]]="","",DONNÉES!AQ183)</f>
        <v/>
      </c>
      <c r="Q79" s="497">
        <f>IF(TRDTURVILLA[[#This Row],[2024]]="","",DONNÉES!AR183)</f>
        <v/>
      </c>
      <c r="R79" s="498" t="n"/>
      <c r="S79" s="366">
        <f>IF(TRDTURVILLA[[#This Row],[2024]]="","",DONNÉES!AQ119)</f>
        <v/>
      </c>
      <c r="T79" s="495">
        <f>IF(TRDTURVILLA[[#This Row],[2024]]="","",DONNÉES!AR119)</f>
        <v/>
      </c>
      <c r="U79" s="366">
        <f>IF(TRDTURVILLA[[#This Row],[2024]]="","",DONNÉES!AQ199)</f>
        <v/>
      </c>
      <c r="V79" s="366">
        <f>IF(TRDTURVILLA[[#This Row],[2024]]="","",DONNÉES!AR199)</f>
        <v/>
      </c>
    </row>
    <row r="80" ht="11.65" customFormat="1" customHeight="1" s="476">
      <c r="A80" s="474" t="n"/>
      <c r="B80" s="478" t="n"/>
      <c r="C80" s="478" t="n"/>
      <c r="D80" s="101" t="n"/>
      <c r="E80" s="478" t="n"/>
      <c r="F80" s="478" t="n"/>
      <c r="G80" s="479" t="n"/>
      <c r="H80" s="474" t="n"/>
      <c r="I80" s="475" t="n"/>
      <c r="J80" s="478" t="n"/>
      <c r="K80" s="478" t="n"/>
      <c r="L80" s="101" t="n"/>
      <c r="M80" s="479" t="n"/>
      <c r="N80" s="474" t="n"/>
      <c r="O80" s="474" t="n"/>
      <c r="P80" s="474" t="n"/>
      <c r="Q80" s="474" t="n"/>
      <c r="R80" s="498" t="n"/>
      <c r="S80" s="474" t="n"/>
      <c r="T80" s="474" t="n"/>
      <c r="U80" s="474" t="n"/>
      <c r="V80" s="474" t="n"/>
    </row>
    <row r="81" ht="14.65" customHeight="1" s="161">
      <c r="A81" s="510" t="n"/>
      <c r="B81" s="511" t="inlineStr">
        <is>
          <t>Sur place</t>
        </is>
      </c>
      <c r="C81" s="487" t="n"/>
      <c r="D81" s="487" t="n"/>
      <c r="E81" s="488" t="n"/>
      <c r="F81" s="511" t="inlineStr">
        <is>
          <t>A emporter</t>
        </is>
      </c>
      <c r="G81" s="487" t="n"/>
      <c r="H81" s="487" t="n"/>
      <c r="I81" s="488" t="n"/>
      <c r="J81" s="511" t="inlineStr">
        <is>
          <t>Mc Drive</t>
        </is>
      </c>
      <c r="K81" s="487" t="n"/>
      <c r="L81" s="487" t="n"/>
      <c r="M81" s="488" t="n"/>
      <c r="N81" s="512" t="inlineStr">
        <is>
          <t>Kiosque</t>
        </is>
      </c>
      <c r="O81" s="487" t="n"/>
      <c r="P81" s="487" t="n"/>
      <c r="Q81" s="487" t="n"/>
      <c r="S81" s="512" t="inlineStr">
        <is>
          <t>Total</t>
        </is>
      </c>
      <c r="T81" s="487" t="n"/>
      <c r="U81" s="487" t="n"/>
      <c r="V81" s="487" t="n"/>
    </row>
    <row r="82" ht="28.9" customHeight="1" s="161">
      <c r="A82" s="490" t="inlineStr">
        <is>
          <t>HART</t>
        </is>
      </c>
      <c r="B82" s="491" t="inlineStr">
        <is>
          <t>2024</t>
        </is>
      </c>
      <c r="C82" s="492" t="inlineStr">
        <is>
          <t>2023</t>
        </is>
      </c>
      <c r="D82" s="491" t="inlineStr">
        <is>
          <t>2024 cumul</t>
        </is>
      </c>
      <c r="E82" s="493" t="inlineStr">
        <is>
          <t>2023 cumul</t>
        </is>
      </c>
      <c r="F82" s="211" t="inlineStr">
        <is>
          <t xml:space="preserve">2024  </t>
        </is>
      </c>
      <c r="G82" s="492" t="inlineStr">
        <is>
          <t xml:space="preserve">2023  </t>
        </is>
      </c>
      <c r="H82" s="491" t="inlineStr">
        <is>
          <t xml:space="preserve">2024 cumul </t>
        </is>
      </c>
      <c r="I82" s="493" t="inlineStr">
        <is>
          <t xml:space="preserve">2023 cumul </t>
        </is>
      </c>
      <c r="J82" s="491" t="inlineStr">
        <is>
          <t xml:space="preserve">2024   </t>
        </is>
      </c>
      <c r="K82" s="492" t="inlineStr">
        <is>
          <t xml:space="preserve">2023   </t>
        </is>
      </c>
      <c r="L82" s="491" t="inlineStr">
        <is>
          <t xml:space="preserve">2024 cumul   </t>
        </is>
      </c>
      <c r="M82" s="493" t="inlineStr">
        <is>
          <t xml:space="preserve">2023 cumul   </t>
        </is>
      </c>
      <c r="N82" s="491" t="inlineStr">
        <is>
          <t xml:space="preserve">2024    </t>
        </is>
      </c>
      <c r="O82" s="492" t="inlineStr">
        <is>
          <t xml:space="preserve">2023    </t>
        </is>
      </c>
      <c r="P82" s="491" t="inlineStr">
        <is>
          <t xml:space="preserve">2024 cumul    </t>
        </is>
      </c>
      <c r="Q82" s="94" t="inlineStr">
        <is>
          <t xml:space="preserve">2023 cumul    </t>
        </is>
      </c>
      <c r="S82" s="491" t="inlineStr">
        <is>
          <t>2024</t>
        </is>
      </c>
      <c r="T82" s="492" t="inlineStr">
        <is>
          <t>2023</t>
        </is>
      </c>
      <c r="U82" s="491" t="inlineStr">
        <is>
          <t>2024 cumul</t>
        </is>
      </c>
      <c r="V82" s="493" t="inlineStr">
        <is>
          <t>2023 cumul</t>
        </is>
      </c>
    </row>
    <row r="83" ht="11.65" customHeight="1" s="161">
      <c r="A83" s="494" t="inlineStr">
        <is>
          <t>Janvier</t>
        </is>
      </c>
      <c r="B83" s="366">
        <f>IF(DONNÉES!AY44="","",DONNÉES!AY44)</f>
        <v/>
      </c>
      <c r="C83" s="495">
        <f>IF(TRDHART[[#This Row],[2024]]="","",DONNÉES!AZ44)</f>
        <v/>
      </c>
      <c r="D83" s="366">
        <f>IF(TRDHART[[#This Row],[2024]]="","",DONNÉES!AY124)</f>
        <v/>
      </c>
      <c r="E83" s="496">
        <f>IF(TRDHART[[#This Row],[2024]]="","",DONNÉES!AZ124)</f>
        <v/>
      </c>
      <c r="F83" s="366">
        <f>IF(TRDHART[[#This Row],[2024]]="","",DONNÉES!AY60)</f>
        <v/>
      </c>
      <c r="G83" s="495">
        <f>IF(TRDHART[[#This Row],[2024]]="","",DONNÉES!AZ60)</f>
        <v/>
      </c>
      <c r="H83" s="366">
        <f>IF(TRDHART[[#This Row],[2024]]="","",DONNÉES!AY140)</f>
        <v/>
      </c>
      <c r="I83" s="496">
        <f>IF(TRDHART[[#This Row],[2024]]="","",DONNÉES!AZ140)</f>
        <v/>
      </c>
      <c r="J83" s="366">
        <f>IF(TRDHART[[#This Row],[2024]]="","",DONNÉES!AY76)</f>
        <v/>
      </c>
      <c r="K83" s="495">
        <f>IF(TRDHART[[#This Row],[2024]]="","",DONNÉES!AZ76)</f>
        <v/>
      </c>
      <c r="L83" s="366">
        <f>IF(TRDHART[[#This Row],[2024]]="","",DONNÉES!AY156)</f>
        <v/>
      </c>
      <c r="M83" s="496">
        <f>IF(TRDHART[[#This Row],[2024]]="","",DONNÉES!AZ156)</f>
        <v/>
      </c>
      <c r="N83" s="366">
        <f>IF(TRDHART[[#This Row],[2024]]="","",DONNÉES!AY92)</f>
        <v/>
      </c>
      <c r="O83" s="495">
        <f>IF(TRDHART[[#This Row],[2024]]="","",DONNÉES!AZ92)</f>
        <v/>
      </c>
      <c r="P83" s="366">
        <f>IF(TRDHART[[#This Row],[2024]]="","",DONNÉES!AY172)</f>
        <v/>
      </c>
      <c r="Q83" s="497">
        <f>IF(TRDHART[[#This Row],[2024]]="","",DONNÉES!AZ172)</f>
        <v/>
      </c>
      <c r="S83" s="366">
        <f>IF(TRDHART[[#This Row],[2024]]="","",DONNÉES!AY108)</f>
        <v/>
      </c>
      <c r="T83" s="495">
        <f>IF(TRDHART[[#This Row],[2024]]="","",DONNÉES!AZ108)</f>
        <v/>
      </c>
      <c r="U83" s="366">
        <f>IF(TRDHART[[#This Row],[2024]]="","",DONNÉES!AY188)</f>
        <v/>
      </c>
      <c r="V83" s="366">
        <f>IF(TRDHART[[#This Row],[2024]]="","",DONNÉES!AZ188)</f>
        <v/>
      </c>
    </row>
    <row r="84" ht="11.65" customFormat="1" customHeight="1" s="476">
      <c r="A84" s="494" t="inlineStr">
        <is>
          <t>Février</t>
        </is>
      </c>
      <c r="B84" s="366">
        <f>IF(DONNÉES!AY45="","",DONNÉES!AY45)</f>
        <v/>
      </c>
      <c r="C84" s="495">
        <f>IF(TRDHART[[#This Row],[2024]]="","",DONNÉES!AZ45)</f>
        <v/>
      </c>
      <c r="D84" s="366">
        <f>IF(TRDHART[[#This Row],[2024]]="","",DONNÉES!AY125)</f>
        <v/>
      </c>
      <c r="E84" s="496">
        <f>IF(TRDHART[[#This Row],[2024]]="","",DONNÉES!AZ125)</f>
        <v/>
      </c>
      <c r="F84" s="366">
        <f>IF(TRDHART[[#This Row],[2024]]="","",DONNÉES!AY61)</f>
        <v/>
      </c>
      <c r="G84" s="495">
        <f>IF(TRDHART[[#This Row],[2024]]="","",DONNÉES!AZ61)</f>
        <v/>
      </c>
      <c r="H84" s="366">
        <f>IF(TRDHART[[#This Row],[2024]]="","",DONNÉES!AY141)</f>
        <v/>
      </c>
      <c r="I84" s="496">
        <f>IF(TRDHART[[#This Row],[2024]]="","",DONNÉES!AZ141)</f>
        <v/>
      </c>
      <c r="J84" s="366">
        <f>IF(TRDHART[[#This Row],[2024]]="","",DONNÉES!AY77)</f>
        <v/>
      </c>
      <c r="K84" s="495">
        <f>IF(TRDHART[[#This Row],[2024]]="","",DONNÉES!AZ77)</f>
        <v/>
      </c>
      <c r="L84" s="366">
        <f>IF(TRDHART[[#This Row],[2024]]="","",DONNÉES!AY157)</f>
        <v/>
      </c>
      <c r="M84" s="496">
        <f>IF(TRDHART[[#This Row],[2024]]="","",DONNÉES!AZ157)</f>
        <v/>
      </c>
      <c r="N84" s="366">
        <f>IF(TRDHART[[#This Row],[2024]]="","",DONNÉES!AY93)</f>
        <v/>
      </c>
      <c r="O84" s="495">
        <f>IF(TRDHART[[#This Row],[2024]]="","",DONNÉES!AZ93)</f>
        <v/>
      </c>
      <c r="P84" s="366">
        <f>IF(TRDHART[[#This Row],[2024]]="","",DONNÉES!AY173)</f>
        <v/>
      </c>
      <c r="Q84" s="497">
        <f>IF(TRDHART[[#This Row],[2024]]="","",DONNÉES!AZ173)</f>
        <v/>
      </c>
      <c r="R84" s="498" t="n"/>
      <c r="S84" s="366">
        <f>IF(TRDHART[[#This Row],[2024]]="","",DONNÉES!AY109)</f>
        <v/>
      </c>
      <c r="T84" s="495">
        <f>IF(TRDHART[[#This Row],[2024]]="","",DONNÉES!AZ109)</f>
        <v/>
      </c>
      <c r="U84" s="366">
        <f>IF(TRDHART[[#This Row],[2024]]="","",DONNÉES!AY189)</f>
        <v/>
      </c>
      <c r="V84" s="366">
        <f>IF(TRDHART[[#This Row],[2024]]="","",DONNÉES!AZ189)</f>
        <v/>
      </c>
    </row>
    <row r="85" ht="11.65" customFormat="1" customHeight="1" s="476">
      <c r="A85" s="490" t="inlineStr">
        <is>
          <t>Mars</t>
        </is>
      </c>
      <c r="B85" s="366">
        <f>IF(DONNÉES!AY46="","",DONNÉES!AY46)</f>
        <v/>
      </c>
      <c r="C85" s="495">
        <f>IF(TRDHART[[#This Row],[2024]]="","",DONNÉES!AZ46)</f>
        <v/>
      </c>
      <c r="D85" s="366">
        <f>IF(TRDHART[[#This Row],[2024]]="","",DONNÉES!AY126)</f>
        <v/>
      </c>
      <c r="E85" s="496">
        <f>IF(TRDHART[[#This Row],[2024]]="","",DONNÉES!AZ126)</f>
        <v/>
      </c>
      <c r="F85" s="366">
        <f>IF(TRDHART[[#This Row],[2024]]="","",DONNÉES!AY62)</f>
        <v/>
      </c>
      <c r="G85" s="495">
        <f>IF(TRDHART[[#This Row],[2024]]="","",DONNÉES!AZ62)</f>
        <v/>
      </c>
      <c r="H85" s="366">
        <f>IF(TRDHART[[#This Row],[2024]]="","",DONNÉES!AY142)</f>
        <v/>
      </c>
      <c r="I85" s="496">
        <f>IF(TRDHART[[#This Row],[2024]]="","",DONNÉES!AZ142)</f>
        <v/>
      </c>
      <c r="J85" s="366">
        <f>IF(TRDHART[[#This Row],[2024]]="","",DONNÉES!AY78)</f>
        <v/>
      </c>
      <c r="K85" s="495">
        <f>IF(TRDHART[[#This Row],[2024]]="","",DONNÉES!AZ78)</f>
        <v/>
      </c>
      <c r="L85" s="366">
        <f>IF(TRDHART[[#This Row],[2024]]="","",DONNÉES!AY158)</f>
        <v/>
      </c>
      <c r="M85" s="496">
        <f>IF(TRDHART[[#This Row],[2024]]="","",DONNÉES!AZ158)</f>
        <v/>
      </c>
      <c r="N85" s="366">
        <f>IF(TRDHART[[#This Row],[2024]]="","",DONNÉES!AY94)</f>
        <v/>
      </c>
      <c r="O85" s="495">
        <f>IF(TRDHART[[#This Row],[2024]]="","",DONNÉES!AZ94)</f>
        <v/>
      </c>
      <c r="P85" s="366">
        <f>IF(TRDHART[[#This Row],[2024]]="","",DONNÉES!AY174)</f>
        <v/>
      </c>
      <c r="Q85" s="497">
        <f>IF(TRDHART[[#This Row],[2024]]="","",DONNÉES!AZ174)</f>
        <v/>
      </c>
      <c r="R85" s="498" t="n"/>
      <c r="S85" s="366">
        <f>IF(TRDHART[[#This Row],[2024]]="","",DONNÉES!AY110)</f>
        <v/>
      </c>
      <c r="T85" s="495">
        <f>IF(TRDHART[[#This Row],[2024]]="","",DONNÉES!AZ110)</f>
        <v/>
      </c>
      <c r="U85" s="366">
        <f>IF(TRDHART[[#This Row],[2024]]="","",DONNÉES!AY190)</f>
        <v/>
      </c>
      <c r="V85" s="366">
        <f>IF(TRDHART[[#This Row],[2024]]="","",DONNÉES!AZ190)</f>
        <v/>
      </c>
    </row>
    <row r="86" ht="11.65" customFormat="1" customHeight="1" s="476">
      <c r="A86" s="494" t="inlineStr">
        <is>
          <t>Avril</t>
        </is>
      </c>
      <c r="B86" s="366">
        <f>IF(DONNÉES!AY47="","",DONNÉES!AY47)</f>
        <v/>
      </c>
      <c r="C86" s="495">
        <f>IF(TRDHART[[#This Row],[2024]]="","",DONNÉES!AZ47)</f>
        <v/>
      </c>
      <c r="D86" s="366">
        <f>IF(TRDHART[[#This Row],[2024]]="","",DONNÉES!AY127)</f>
        <v/>
      </c>
      <c r="E86" s="496">
        <f>IF(TRDHART[[#This Row],[2024]]="","",DONNÉES!AZ127)</f>
        <v/>
      </c>
      <c r="F86" s="366">
        <f>IF(TRDHART[[#This Row],[2024]]="","",DONNÉES!AY63)</f>
        <v/>
      </c>
      <c r="G86" s="495">
        <f>IF(TRDHART[[#This Row],[2024]]="","",DONNÉES!AZ63)</f>
        <v/>
      </c>
      <c r="H86" s="366">
        <f>IF(TRDHART[[#This Row],[2024]]="","",DONNÉES!AY143)</f>
        <v/>
      </c>
      <c r="I86" s="496">
        <f>IF(TRDHART[[#This Row],[2024]]="","",DONNÉES!AZ143)</f>
        <v/>
      </c>
      <c r="J86" s="366">
        <f>IF(TRDHART[[#This Row],[2024]]="","",DONNÉES!AY79)</f>
        <v/>
      </c>
      <c r="K86" s="495">
        <f>IF(TRDHART[[#This Row],[2024]]="","",DONNÉES!AZ79)</f>
        <v/>
      </c>
      <c r="L86" s="366">
        <f>IF(TRDHART[[#This Row],[2024]]="","",DONNÉES!AY159)</f>
        <v/>
      </c>
      <c r="M86" s="496">
        <f>IF(TRDHART[[#This Row],[2024]]="","",DONNÉES!AZ159)</f>
        <v/>
      </c>
      <c r="N86" s="366">
        <f>IF(TRDHART[[#This Row],[2024]]="","",DONNÉES!AY95)</f>
        <v/>
      </c>
      <c r="O86" s="495">
        <f>IF(TRDHART[[#This Row],[2024]]="","",DONNÉES!AZ95)</f>
        <v/>
      </c>
      <c r="P86" s="366">
        <f>IF(TRDHART[[#This Row],[2024]]="","",DONNÉES!AY175)</f>
        <v/>
      </c>
      <c r="Q86" s="497">
        <f>IF(TRDHART[[#This Row],[2024]]="","",DONNÉES!AZ175)</f>
        <v/>
      </c>
      <c r="R86" s="498" t="n"/>
      <c r="S86" s="366">
        <f>IF(TRDHART[[#This Row],[2024]]="","",DONNÉES!AY111)</f>
        <v/>
      </c>
      <c r="T86" s="495">
        <f>IF(TRDHART[[#This Row],[2024]]="","",DONNÉES!AZ111)</f>
        <v/>
      </c>
      <c r="U86" s="366">
        <f>IF(TRDHART[[#This Row],[2024]]="","",DONNÉES!AY191)</f>
        <v/>
      </c>
      <c r="V86" s="366">
        <f>IF(TRDHART[[#This Row],[2024]]="","",DONNÉES!AZ191)</f>
        <v/>
      </c>
    </row>
    <row r="87" ht="11.65" customHeight="1" s="161">
      <c r="A87" s="490" t="inlineStr">
        <is>
          <t>Mai</t>
        </is>
      </c>
      <c r="B87" s="366">
        <f>IF(DONNÉES!AY48="","",DONNÉES!AY48)</f>
        <v/>
      </c>
      <c r="C87" s="495">
        <f>IF(TRDHART[[#This Row],[2024]]="","",DONNÉES!AZ48)</f>
        <v/>
      </c>
      <c r="D87" s="366">
        <f>IF(TRDHART[[#This Row],[2024]]="","",DONNÉES!AY128)</f>
        <v/>
      </c>
      <c r="E87" s="496">
        <f>IF(TRDHART[[#This Row],[2024]]="","",DONNÉES!AZ128)</f>
        <v/>
      </c>
      <c r="F87" s="366">
        <f>IF(TRDHART[[#This Row],[2024]]="","",DONNÉES!AY64)</f>
        <v/>
      </c>
      <c r="G87" s="495">
        <f>IF(TRDHART[[#This Row],[2024]]="","",DONNÉES!AZ64)</f>
        <v/>
      </c>
      <c r="H87" s="366">
        <f>IF(TRDHART[[#This Row],[2024]]="","",DONNÉES!AY144)</f>
        <v/>
      </c>
      <c r="I87" s="496">
        <f>IF(TRDHART[[#This Row],[2024]]="","",DONNÉES!AZ144)</f>
        <v/>
      </c>
      <c r="J87" s="366">
        <f>IF(TRDHART[[#This Row],[2024]]="","",DONNÉES!AY80)</f>
        <v/>
      </c>
      <c r="K87" s="495">
        <f>IF(TRDHART[[#This Row],[2024]]="","",DONNÉES!AZ80)</f>
        <v/>
      </c>
      <c r="L87" s="366">
        <f>IF(TRDHART[[#This Row],[2024]]="","",DONNÉES!AY160)</f>
        <v/>
      </c>
      <c r="M87" s="496">
        <f>IF(TRDHART[[#This Row],[2024]]="","",DONNÉES!AZ160)</f>
        <v/>
      </c>
      <c r="N87" s="366">
        <f>IF(TRDHART[[#This Row],[2024]]="","",DONNÉES!AY96)</f>
        <v/>
      </c>
      <c r="O87" s="495">
        <f>IF(TRDHART[[#This Row],[2024]]="","",DONNÉES!AZ96)</f>
        <v/>
      </c>
      <c r="P87" s="366">
        <f>IF(TRDHART[[#This Row],[2024]]="","",DONNÉES!AY176)</f>
        <v/>
      </c>
      <c r="Q87" s="497">
        <f>IF(TRDHART[[#This Row],[2024]]="","",DONNÉES!AZ176)</f>
        <v/>
      </c>
      <c r="R87" s="499" t="n"/>
      <c r="S87" s="366">
        <f>IF(TRDHART[[#This Row],[2024]]="","",DONNÉES!AY112)</f>
        <v/>
      </c>
      <c r="T87" s="495">
        <f>IF(TRDHART[[#This Row],[2024]]="","",DONNÉES!AZ112)</f>
        <v/>
      </c>
      <c r="U87" s="366">
        <f>IF(TRDHART[[#This Row],[2024]]="","",DONNÉES!AY192)</f>
        <v/>
      </c>
      <c r="V87" s="366">
        <f>IF(TRDHART[[#This Row],[2024]]="","",DONNÉES!AZ192)</f>
        <v/>
      </c>
    </row>
    <row r="88" ht="11.65" customHeight="1" s="161">
      <c r="A88" s="494" t="inlineStr">
        <is>
          <t>Juin</t>
        </is>
      </c>
      <c r="B88" s="366">
        <f>IF(DONNÉES!AY49="","",DONNÉES!AY49)</f>
        <v/>
      </c>
      <c r="C88" s="495">
        <f>IF(TRDHART[[#This Row],[2024]]="","",DONNÉES!AZ49)</f>
        <v/>
      </c>
      <c r="D88" s="366">
        <f>IF(TRDHART[[#This Row],[2024]]="","",DONNÉES!AY129)</f>
        <v/>
      </c>
      <c r="E88" s="496">
        <f>IF(TRDHART[[#This Row],[2024]]="","",DONNÉES!AZ129)</f>
        <v/>
      </c>
      <c r="F88" s="366">
        <f>IF(TRDHART[[#This Row],[2024]]="","",DONNÉES!AY65)</f>
        <v/>
      </c>
      <c r="G88" s="495">
        <f>IF(TRDHART[[#This Row],[2024]]="","",DONNÉES!AZ65)</f>
        <v/>
      </c>
      <c r="H88" s="366">
        <f>IF(TRDHART[[#This Row],[2024]]="","",DONNÉES!AY145)</f>
        <v/>
      </c>
      <c r="I88" s="496">
        <f>IF(TRDHART[[#This Row],[2024]]="","",DONNÉES!AZ145)</f>
        <v/>
      </c>
      <c r="J88" s="366">
        <f>IF(TRDHART[[#This Row],[2024]]="","",DONNÉES!AY81)</f>
        <v/>
      </c>
      <c r="K88" s="495">
        <f>IF(TRDHART[[#This Row],[2024]]="","",DONNÉES!AZ81)</f>
        <v/>
      </c>
      <c r="L88" s="366">
        <f>IF(TRDHART[[#This Row],[2024]]="","",DONNÉES!AY161)</f>
        <v/>
      </c>
      <c r="M88" s="496">
        <f>IF(TRDHART[[#This Row],[2024]]="","",DONNÉES!AZ161)</f>
        <v/>
      </c>
      <c r="N88" s="366">
        <f>IF(TRDHART[[#This Row],[2024]]="","",DONNÉES!AY97)</f>
        <v/>
      </c>
      <c r="O88" s="495">
        <f>IF(TRDHART[[#This Row],[2024]]="","",DONNÉES!AZ97)</f>
        <v/>
      </c>
      <c r="P88" s="366">
        <f>IF(TRDHART[[#This Row],[2024]]="","",DONNÉES!AY177)</f>
        <v/>
      </c>
      <c r="Q88" s="497">
        <f>IF(TRDHART[[#This Row],[2024]]="","",DONNÉES!AZ177)</f>
        <v/>
      </c>
      <c r="R88" s="499" t="n"/>
      <c r="S88" s="366">
        <f>IF(TRDHART[[#This Row],[2024]]="","",DONNÉES!AY113)</f>
        <v/>
      </c>
      <c r="T88" s="495">
        <f>IF(TRDHART[[#This Row],[2024]]="","",DONNÉES!AZ113)</f>
        <v/>
      </c>
      <c r="U88" s="366">
        <f>IF(TRDHART[[#This Row],[2024]]="","",DONNÉES!AY193)</f>
        <v/>
      </c>
      <c r="V88" s="366">
        <f>IF(TRDHART[[#This Row],[2024]]="","",DONNÉES!AZ193)</f>
        <v/>
      </c>
    </row>
    <row r="89" ht="11.65" customHeight="1" s="161">
      <c r="A89" s="490" t="inlineStr">
        <is>
          <t>Juillet</t>
        </is>
      </c>
      <c r="B89" s="366">
        <f>IF(DONNÉES!AY50="","",DONNÉES!AY50)</f>
        <v/>
      </c>
      <c r="C89" s="495">
        <f>IF(TRDHART[[#This Row],[2024]]="","",DONNÉES!AZ50)</f>
        <v/>
      </c>
      <c r="D89" s="366">
        <f>IF(TRDHART[[#This Row],[2024]]="","",DONNÉES!AY130)</f>
        <v/>
      </c>
      <c r="E89" s="496">
        <f>IF(TRDHART[[#This Row],[2024]]="","",DONNÉES!AZ130)</f>
        <v/>
      </c>
      <c r="F89" s="366">
        <f>IF(TRDHART[[#This Row],[2024]]="","",DONNÉES!AY66)</f>
        <v/>
      </c>
      <c r="G89" s="495">
        <f>IF(TRDHART[[#This Row],[2024]]="","",DONNÉES!AZ66)</f>
        <v/>
      </c>
      <c r="H89" s="366">
        <f>IF(TRDHART[[#This Row],[2024]]="","",DONNÉES!AY146)</f>
        <v/>
      </c>
      <c r="I89" s="496">
        <f>IF(TRDHART[[#This Row],[2024]]="","",DONNÉES!AZ146)</f>
        <v/>
      </c>
      <c r="J89" s="366">
        <f>IF(TRDHART[[#This Row],[2024]]="","",DONNÉES!AY82)</f>
        <v/>
      </c>
      <c r="K89" s="495">
        <f>IF(TRDHART[[#This Row],[2024]]="","",DONNÉES!AZ82)</f>
        <v/>
      </c>
      <c r="L89" s="366">
        <f>IF(TRDHART[[#This Row],[2024]]="","",DONNÉES!AY162)</f>
        <v/>
      </c>
      <c r="M89" s="496">
        <f>IF(TRDHART[[#This Row],[2024]]="","",DONNÉES!AZ162)</f>
        <v/>
      </c>
      <c r="N89" s="366">
        <f>IF(TRDHART[[#This Row],[2024]]="","",DONNÉES!AY98)</f>
        <v/>
      </c>
      <c r="O89" s="495">
        <f>IF(TRDHART[[#This Row],[2024]]="","",DONNÉES!AZ98)</f>
        <v/>
      </c>
      <c r="P89" s="366">
        <f>IF(TRDHART[[#This Row],[2024]]="","",DONNÉES!AY178)</f>
        <v/>
      </c>
      <c r="Q89" s="497">
        <f>IF(TRDHART[[#This Row],[2024]]="","",DONNÉES!AZ178)</f>
        <v/>
      </c>
      <c r="R89" s="499" t="n"/>
      <c r="S89" s="366">
        <f>IF(TRDHART[[#This Row],[2024]]="","",DONNÉES!AY114)</f>
        <v/>
      </c>
      <c r="T89" s="495">
        <f>IF(TRDHART[[#This Row],[2024]]="","",DONNÉES!AZ114)</f>
        <v/>
      </c>
      <c r="U89" s="366">
        <f>IF(TRDHART[[#This Row],[2024]]="","",DONNÉES!AY194)</f>
        <v/>
      </c>
      <c r="V89" s="366">
        <f>IF(TRDHART[[#This Row],[2024]]="","",DONNÉES!AZ194)</f>
        <v/>
      </c>
    </row>
    <row r="90" ht="11.65" customHeight="1" s="161">
      <c r="A90" s="494" t="inlineStr">
        <is>
          <t>Août</t>
        </is>
      </c>
      <c r="B90" s="366">
        <f>IF(DONNÉES!AY51="","",DONNÉES!AY51)</f>
        <v/>
      </c>
      <c r="C90" s="495">
        <f>IF(TRDHART[[#This Row],[2024]]="","",DONNÉES!AZ51)</f>
        <v/>
      </c>
      <c r="D90" s="366">
        <f>IF(TRDHART[[#This Row],[2024]]="","",DONNÉES!AY131)</f>
        <v/>
      </c>
      <c r="E90" s="496">
        <f>IF(TRDHART[[#This Row],[2024]]="","",DONNÉES!AZ131)</f>
        <v/>
      </c>
      <c r="F90" s="366">
        <f>IF(TRDHART[[#This Row],[2024]]="","",DONNÉES!AY67)</f>
        <v/>
      </c>
      <c r="G90" s="495">
        <f>IF(TRDHART[[#This Row],[2024]]="","",DONNÉES!AZ67)</f>
        <v/>
      </c>
      <c r="H90" s="366">
        <f>IF(TRDHART[[#This Row],[2024]]="","",DONNÉES!AY147)</f>
        <v/>
      </c>
      <c r="I90" s="496">
        <f>IF(TRDHART[[#This Row],[2024]]="","",DONNÉES!AZ147)</f>
        <v/>
      </c>
      <c r="J90" s="366">
        <f>IF(TRDHART[[#This Row],[2024]]="","",DONNÉES!AY83)</f>
        <v/>
      </c>
      <c r="K90" s="495">
        <f>IF(TRDHART[[#This Row],[2024]]="","",DONNÉES!AZ83)</f>
        <v/>
      </c>
      <c r="L90" s="366">
        <f>IF(TRDHART[[#This Row],[2024]]="","",DONNÉES!AY163)</f>
        <v/>
      </c>
      <c r="M90" s="496">
        <f>IF(TRDHART[[#This Row],[2024]]="","",DONNÉES!AZ163)</f>
        <v/>
      </c>
      <c r="N90" s="366">
        <f>IF(TRDHART[[#This Row],[2024]]="","",DONNÉES!AY99)</f>
        <v/>
      </c>
      <c r="O90" s="495">
        <f>IF(TRDHART[[#This Row],[2024]]="","",DONNÉES!AZ99)</f>
        <v/>
      </c>
      <c r="P90" s="366">
        <f>IF(TRDHART[[#This Row],[2024]]="","",DONNÉES!AY179)</f>
        <v/>
      </c>
      <c r="Q90" s="497">
        <f>IF(TRDHART[[#This Row],[2024]]="","",DONNÉES!AZ179)</f>
        <v/>
      </c>
      <c r="R90" s="499" t="n"/>
      <c r="S90" s="366">
        <f>IF(TRDHART[[#This Row],[2024]]="","",DONNÉES!AY115)</f>
        <v/>
      </c>
      <c r="T90" s="495">
        <f>IF(TRDHART[[#This Row],[2024]]="","",DONNÉES!AZ115)</f>
        <v/>
      </c>
      <c r="U90" s="366">
        <f>IF(TRDHART[[#This Row],[2024]]="","",DONNÉES!AY195)</f>
        <v/>
      </c>
      <c r="V90" s="366">
        <f>IF(TRDHART[[#This Row],[2024]]="","",DONNÉES!AZ195)</f>
        <v/>
      </c>
    </row>
    <row r="91" ht="11.65" customHeight="1" s="161">
      <c r="A91" s="490" t="inlineStr">
        <is>
          <t>Septembre</t>
        </is>
      </c>
      <c r="B91" s="366">
        <f>IF(DONNÉES!AY52="","",DONNÉES!AY52)</f>
        <v/>
      </c>
      <c r="C91" s="495">
        <f>IF(TRDHART[[#This Row],[2024]]="","",DONNÉES!AZ52)</f>
        <v/>
      </c>
      <c r="D91" s="366">
        <f>IF(TRDHART[[#This Row],[2024]]="","",DONNÉES!AY132)</f>
        <v/>
      </c>
      <c r="E91" s="496">
        <f>IF(TRDHART[[#This Row],[2024]]="","",DONNÉES!AZ132)</f>
        <v/>
      </c>
      <c r="F91" s="366">
        <f>IF(TRDHART[[#This Row],[2024]]="","",DONNÉES!AY68)</f>
        <v/>
      </c>
      <c r="G91" s="495">
        <f>IF(TRDHART[[#This Row],[2024]]="","",DONNÉES!AZ68)</f>
        <v/>
      </c>
      <c r="H91" s="366">
        <f>IF(TRDHART[[#This Row],[2024]]="","",DONNÉES!AY148)</f>
        <v/>
      </c>
      <c r="I91" s="496">
        <f>IF(TRDHART[[#This Row],[2024]]="","",DONNÉES!AZ148)</f>
        <v/>
      </c>
      <c r="J91" s="366">
        <f>IF(TRDHART[[#This Row],[2024]]="","",DONNÉES!AY84)</f>
        <v/>
      </c>
      <c r="K91" s="495">
        <f>IF(TRDHART[[#This Row],[2024]]="","",DONNÉES!AZ84)</f>
        <v/>
      </c>
      <c r="L91" s="366">
        <f>IF(TRDHART[[#This Row],[2024]]="","",DONNÉES!AY164)</f>
        <v/>
      </c>
      <c r="M91" s="496">
        <f>IF(TRDHART[[#This Row],[2024]]="","",DONNÉES!AZ164)</f>
        <v/>
      </c>
      <c r="N91" s="366">
        <f>IF(TRDHART[[#This Row],[2024]]="","",DONNÉES!AY100)</f>
        <v/>
      </c>
      <c r="O91" s="495">
        <f>IF(TRDHART[[#This Row],[2024]]="","",DONNÉES!AZ100)</f>
        <v/>
      </c>
      <c r="P91" s="366">
        <f>IF(TRDHART[[#This Row],[2024]]="","",DONNÉES!AY180)</f>
        <v/>
      </c>
      <c r="Q91" s="497">
        <f>IF(TRDHART[[#This Row],[2024]]="","",DONNÉES!AZ180)</f>
        <v/>
      </c>
      <c r="R91" s="499" t="n"/>
      <c r="S91" s="366">
        <f>IF(TRDHART[[#This Row],[2024]]="","",DONNÉES!AY116)</f>
        <v/>
      </c>
      <c r="T91" s="495">
        <f>IF(TRDHART[[#This Row],[2024]]="","",DONNÉES!AZ116)</f>
        <v/>
      </c>
      <c r="U91" s="366">
        <f>IF(TRDHART[[#This Row],[2024]]="","",DONNÉES!AY196)</f>
        <v/>
      </c>
      <c r="V91" s="366">
        <f>IF(TRDHART[[#This Row],[2024]]="","",DONNÉES!AZ196)</f>
        <v/>
      </c>
    </row>
    <row r="92" ht="11.65" customHeight="1" s="161">
      <c r="A92" s="494" t="inlineStr">
        <is>
          <t>Octobre</t>
        </is>
      </c>
      <c r="B92" s="366">
        <f>IF(DONNÉES!AY53="","",DONNÉES!AY53)</f>
        <v/>
      </c>
      <c r="C92" s="495">
        <f>IF(TRDHART[[#This Row],[2024]]="","",DONNÉES!AZ53)</f>
        <v/>
      </c>
      <c r="D92" s="366">
        <f>IF(TRDHART[[#This Row],[2024]]="","",DONNÉES!AY133)</f>
        <v/>
      </c>
      <c r="E92" s="496">
        <f>IF(TRDHART[[#This Row],[2024]]="","",DONNÉES!AZ133)</f>
        <v/>
      </c>
      <c r="F92" s="366">
        <f>IF(TRDHART[[#This Row],[2024]]="","",DONNÉES!AY69)</f>
        <v/>
      </c>
      <c r="G92" s="495">
        <f>IF(TRDHART[[#This Row],[2024]]="","",DONNÉES!AZ69)</f>
        <v/>
      </c>
      <c r="H92" s="366">
        <f>IF(TRDHART[[#This Row],[2024]]="","",DONNÉES!AY149)</f>
        <v/>
      </c>
      <c r="I92" s="496">
        <f>IF(TRDHART[[#This Row],[2024]]="","",DONNÉES!AZ149)</f>
        <v/>
      </c>
      <c r="J92" s="366">
        <f>IF(TRDHART[[#This Row],[2024]]="","",DONNÉES!AY85)</f>
        <v/>
      </c>
      <c r="K92" s="495">
        <f>IF(TRDHART[[#This Row],[2024]]="","",DONNÉES!AZ85)</f>
        <v/>
      </c>
      <c r="L92" s="366">
        <f>IF(TRDHART[[#This Row],[2024]]="","",DONNÉES!AY165)</f>
        <v/>
      </c>
      <c r="M92" s="496">
        <f>IF(TRDHART[[#This Row],[2024]]="","",DONNÉES!AZ165)</f>
        <v/>
      </c>
      <c r="N92" s="366">
        <f>IF(TRDHART[[#This Row],[2024]]="","",DONNÉES!AY101)</f>
        <v/>
      </c>
      <c r="O92" s="495">
        <f>IF(TRDHART[[#This Row],[2024]]="","",DONNÉES!AZ101)</f>
        <v/>
      </c>
      <c r="P92" s="366">
        <f>IF(TRDHART[[#This Row],[2024]]="","",DONNÉES!AY181)</f>
        <v/>
      </c>
      <c r="Q92" s="497">
        <f>IF(TRDHART[[#This Row],[2024]]="","",DONNÉES!AZ181)</f>
        <v/>
      </c>
      <c r="R92" s="503" t="n"/>
      <c r="S92" s="366">
        <f>IF(TRDHART[[#This Row],[2024]]="","",DONNÉES!AY117)</f>
        <v/>
      </c>
      <c r="T92" s="495">
        <f>IF(TRDHART[[#This Row],[2024]]="","",DONNÉES!AZ117)</f>
        <v/>
      </c>
      <c r="U92" s="366">
        <f>IF(TRDHART[[#This Row],[2024]]="","",DONNÉES!AY197)</f>
        <v/>
      </c>
      <c r="V92" s="366">
        <f>IF(TRDHART[[#This Row],[2024]]="","",DONNÉES!AZ197)</f>
        <v/>
      </c>
    </row>
    <row r="93" ht="11.65" customHeight="1" s="161">
      <c r="A93" s="490" t="inlineStr">
        <is>
          <t>Novembre</t>
        </is>
      </c>
      <c r="B93" s="366">
        <f>IF(DONNÉES!AY54="","",DONNÉES!AY54)</f>
        <v/>
      </c>
      <c r="C93" s="495">
        <f>IF(TRDHART[[#This Row],[2024]]="","",DONNÉES!AZ54)</f>
        <v/>
      </c>
      <c r="D93" s="366">
        <f>IF(TRDHART[[#This Row],[2024]]="","",DONNÉES!AY134)</f>
        <v/>
      </c>
      <c r="E93" s="496">
        <f>IF(TRDHART[[#This Row],[2024]]="","",DONNÉES!AZ134)</f>
        <v/>
      </c>
      <c r="F93" s="366">
        <f>IF(TRDHART[[#This Row],[2024]]="","",DONNÉES!AY70)</f>
        <v/>
      </c>
      <c r="G93" s="495">
        <f>IF(TRDHART[[#This Row],[2024]]="","",DONNÉES!AZ70)</f>
        <v/>
      </c>
      <c r="H93" s="366">
        <f>IF(TRDHART[[#This Row],[2024]]="","",DONNÉES!AY150)</f>
        <v/>
      </c>
      <c r="I93" s="496">
        <f>IF(TRDHART[[#This Row],[2024]]="","",DONNÉES!AZ150)</f>
        <v/>
      </c>
      <c r="J93" s="366">
        <f>IF(TRDHART[[#This Row],[2024]]="","",DONNÉES!AY86)</f>
        <v/>
      </c>
      <c r="K93" s="495">
        <f>IF(TRDHART[[#This Row],[2024]]="","",DONNÉES!AZ86)</f>
        <v/>
      </c>
      <c r="L93" s="366">
        <f>IF(TRDHART[[#This Row],[2024]]="","",DONNÉES!AY166)</f>
        <v/>
      </c>
      <c r="M93" s="496">
        <f>IF(TRDHART[[#This Row],[2024]]="","",DONNÉES!AZ166)</f>
        <v/>
      </c>
      <c r="N93" s="366">
        <f>IF(TRDHART[[#This Row],[2024]]="","",DONNÉES!AY102)</f>
        <v/>
      </c>
      <c r="O93" s="495">
        <f>IF(TRDHART[[#This Row],[2024]]="","",DONNÉES!AZ102)</f>
        <v/>
      </c>
      <c r="P93" s="366">
        <f>IF(TRDHART[[#This Row],[2024]]="","",DONNÉES!AY182)</f>
        <v/>
      </c>
      <c r="Q93" s="497">
        <f>IF(TRDHART[[#This Row],[2024]]="","",DONNÉES!AZ182)</f>
        <v/>
      </c>
      <c r="R93" s="499" t="n"/>
      <c r="S93" s="366">
        <f>IF(TRDHART[[#This Row],[2024]]="","",DONNÉES!AY118)</f>
        <v/>
      </c>
      <c r="T93" s="495">
        <f>IF(TRDHART[[#This Row],[2024]]="","",DONNÉES!AZ118)</f>
        <v/>
      </c>
      <c r="U93" s="366">
        <f>IF(TRDHART[[#This Row],[2024]]="","",DONNÉES!AY198)</f>
        <v/>
      </c>
      <c r="V93" s="366">
        <f>IF(TRDHART[[#This Row],[2024]]="","",DONNÉES!AZ198)</f>
        <v/>
      </c>
    </row>
    <row r="94" ht="11.65" customFormat="1" customHeight="1" s="476">
      <c r="A94" s="490" t="inlineStr">
        <is>
          <t>Décembre</t>
        </is>
      </c>
      <c r="B94" s="366">
        <f>IF(DONNÉES!AY55="","",DONNÉES!AY55)</f>
        <v/>
      </c>
      <c r="C94" s="495">
        <f>IF(TRDHART[[#This Row],[2024]]="","",DONNÉES!AZ55)</f>
        <v/>
      </c>
      <c r="D94" s="366">
        <f>IF(TRDHART[[#This Row],[2024]]="","",DONNÉES!AY135)</f>
        <v/>
      </c>
      <c r="E94" s="496">
        <f>IF(TRDHART[[#This Row],[2024]]="","",DONNÉES!AZ135)</f>
        <v/>
      </c>
      <c r="F94" s="366">
        <f>IF(TRDHART[[#This Row],[2024]]="","",DONNÉES!AY71)</f>
        <v/>
      </c>
      <c r="G94" s="495">
        <f>IF(TRDHART[[#This Row],[2024]]="","",DONNÉES!AZ71)</f>
        <v/>
      </c>
      <c r="H94" s="366">
        <f>IF(TRDHART[[#This Row],[2024]]="","",DONNÉES!AY151)</f>
        <v/>
      </c>
      <c r="I94" s="496">
        <f>IF(TRDHART[[#This Row],[2024]]="","",DONNÉES!AZ151)</f>
        <v/>
      </c>
      <c r="J94" s="366">
        <f>IF(TRDHART[[#This Row],[2024]]="","",DONNÉES!AY87)</f>
        <v/>
      </c>
      <c r="K94" s="495">
        <f>IF(TRDHART[[#This Row],[2024]]="","",DONNÉES!AZ87)</f>
        <v/>
      </c>
      <c r="L94" s="366">
        <f>IF(TRDHART[[#This Row],[2024]]="","",DONNÉES!AY167)</f>
        <v/>
      </c>
      <c r="M94" s="496">
        <f>IF(TRDHART[[#This Row],[2024]]="","",DONNÉES!AZ167)</f>
        <v/>
      </c>
      <c r="N94" s="366">
        <f>IF(TRDHART[[#This Row],[2024]]="","",DONNÉES!AY103)</f>
        <v/>
      </c>
      <c r="O94" s="495">
        <f>IF(TRDHART[[#This Row],[2024]]="","",DONNÉES!AZ103)</f>
        <v/>
      </c>
      <c r="P94" s="366">
        <f>IF(TRDHART[[#This Row],[2024]]="","",DONNÉES!AY183)</f>
        <v/>
      </c>
      <c r="Q94" s="497">
        <f>IF(TRDHART[[#This Row],[2024]]="","",DONNÉES!AZ183)</f>
        <v/>
      </c>
      <c r="R94" s="498" t="n"/>
      <c r="S94" s="366">
        <f>IF(TRDHART[[#This Row],[2024]]="","",DONNÉES!AY119)</f>
        <v/>
      </c>
      <c r="T94" s="495">
        <f>IF(TRDHART[[#This Row],[2024]]="","",DONNÉES!AZ119)</f>
        <v/>
      </c>
      <c r="U94" s="366">
        <f>IF(TRDHART[[#This Row],[2024]]="","",DONNÉES!AY199)</f>
        <v/>
      </c>
      <c r="V94" s="366">
        <f>IF(TRDHART[[#This Row],[2024]]="","",DONNÉES!AZ199)</f>
        <v/>
      </c>
    </row>
    <row r="95" ht="10.15" customFormat="1" customHeight="1" s="476">
      <c r="A95" s="474" t="n"/>
      <c r="B95" s="478" t="n"/>
      <c r="C95" s="478" t="n"/>
      <c r="D95" s="101" t="n"/>
      <c r="E95" s="478" t="n"/>
      <c r="F95" s="478" t="n"/>
      <c r="G95" s="479" t="n"/>
      <c r="H95" s="474" t="n"/>
      <c r="I95" s="475" t="n"/>
      <c r="J95" s="478" t="n"/>
      <c r="K95" s="478" t="n"/>
      <c r="L95" s="101" t="n"/>
      <c r="M95" s="479" t="n"/>
      <c r="N95" s="474" t="n"/>
      <c r="O95" s="474" t="n"/>
      <c r="P95" s="474" t="n"/>
      <c r="Q95" s="474" t="n"/>
      <c r="R95" s="498" t="n"/>
      <c r="S95" s="474" t="n"/>
      <c r="T95" s="474" t="n"/>
      <c r="U95" s="474" t="n"/>
      <c r="V95" s="474" t="n"/>
    </row>
    <row r="96" ht="14.65" customFormat="1" customHeight="1" s="476">
      <c r="A96" s="513" t="n"/>
      <c r="B96" s="514" t="inlineStr">
        <is>
          <t>Sur place</t>
        </is>
      </c>
      <c r="C96" s="487" t="n"/>
      <c r="D96" s="487" t="n"/>
      <c r="E96" s="488" t="n"/>
      <c r="F96" s="514" t="inlineStr">
        <is>
          <t>A emporter</t>
        </is>
      </c>
      <c r="G96" s="487" t="n"/>
      <c r="H96" s="487" t="n"/>
      <c r="I96" s="488" t="n"/>
      <c r="J96" s="514" t="inlineStr">
        <is>
          <t>Mc Drive</t>
        </is>
      </c>
      <c r="K96" s="487" t="n"/>
      <c r="L96" s="487" t="n"/>
      <c r="M96" s="488" t="n"/>
      <c r="N96" s="515" t="inlineStr">
        <is>
          <t>Kiosque</t>
        </is>
      </c>
      <c r="O96" s="487" t="n"/>
      <c r="P96" s="487" t="n"/>
      <c r="Q96" s="487" t="n"/>
      <c r="R96" s="498" t="n"/>
      <c r="S96" s="515" t="inlineStr">
        <is>
          <t>Total</t>
        </is>
      </c>
      <c r="T96" s="487" t="n"/>
      <c r="U96" s="487" t="n"/>
      <c r="V96" s="487" t="n"/>
    </row>
    <row r="97" ht="28.9" customHeight="1" s="161">
      <c r="A97" s="490" t="inlineStr">
        <is>
          <t>VICTOIRE'S</t>
        </is>
      </c>
      <c r="B97" s="491" t="inlineStr">
        <is>
          <t>2024</t>
        </is>
      </c>
      <c r="C97" s="492" t="inlineStr">
        <is>
          <t>2023</t>
        </is>
      </c>
      <c r="D97" s="491" t="inlineStr">
        <is>
          <t>2024 cumul</t>
        </is>
      </c>
      <c r="E97" s="493" t="inlineStr">
        <is>
          <t>2023 cumul</t>
        </is>
      </c>
      <c r="F97" s="211" t="inlineStr">
        <is>
          <t xml:space="preserve">2024  </t>
        </is>
      </c>
      <c r="G97" s="492" t="inlineStr">
        <is>
          <t xml:space="preserve">2023  </t>
        </is>
      </c>
      <c r="H97" s="491" t="inlineStr">
        <is>
          <t xml:space="preserve">2024 cumul </t>
        </is>
      </c>
      <c r="I97" s="493" t="inlineStr">
        <is>
          <t xml:space="preserve">2023 cumul </t>
        </is>
      </c>
      <c r="J97" s="491" t="inlineStr">
        <is>
          <t xml:space="preserve">2024   </t>
        </is>
      </c>
      <c r="K97" s="492" t="inlineStr">
        <is>
          <t xml:space="preserve">2023   </t>
        </is>
      </c>
      <c r="L97" s="491" t="inlineStr">
        <is>
          <t xml:space="preserve">2024 cumul   </t>
        </is>
      </c>
      <c r="M97" s="493" t="inlineStr">
        <is>
          <t xml:space="preserve">2023 cumul   </t>
        </is>
      </c>
      <c r="N97" s="491" t="inlineStr">
        <is>
          <t xml:space="preserve">2024    </t>
        </is>
      </c>
      <c r="O97" s="492" t="inlineStr">
        <is>
          <t xml:space="preserve">2023    </t>
        </is>
      </c>
      <c r="P97" s="491" t="inlineStr">
        <is>
          <t xml:space="preserve">2024 cumul    </t>
        </is>
      </c>
      <c r="Q97" s="94" t="inlineStr">
        <is>
          <t xml:space="preserve">2023 cumul    </t>
        </is>
      </c>
      <c r="S97" s="491" t="inlineStr">
        <is>
          <t>2024</t>
        </is>
      </c>
      <c r="T97" s="492" t="inlineStr">
        <is>
          <t>2023</t>
        </is>
      </c>
      <c r="U97" s="491" t="inlineStr">
        <is>
          <t>2024 cumul</t>
        </is>
      </c>
      <c r="V97" s="493" t="inlineStr">
        <is>
          <t>2023 cumul</t>
        </is>
      </c>
    </row>
    <row r="98" ht="11.65" customHeight="1" s="161">
      <c r="A98" s="494" t="inlineStr">
        <is>
          <t>Janvier</t>
        </is>
      </c>
      <c r="B98" s="366">
        <f>IF(DONNÉES!BG44="","",DONNÉES!BG44)</f>
        <v/>
      </c>
      <c r="C98" s="495">
        <f>IF(TRDVICTOIRE[[#This Row],[2024]]="","",DONNÉES!BH44)</f>
        <v/>
      </c>
      <c r="D98" s="366">
        <f>IF(TRDVICTOIRE[[#This Row],[2024]]="","",DONNÉES!BG124)</f>
        <v/>
      </c>
      <c r="E98" s="496">
        <f>IF(TRDVICTOIRE[[#This Row],[2024]]="","",DONNÉES!BH124)</f>
        <v/>
      </c>
      <c r="F98" s="366">
        <f>IF(TRDVICTOIRE[[#This Row],[2024]]="","",DONNÉES!BG60)</f>
        <v/>
      </c>
      <c r="G98" s="495">
        <f>IF(TRDVICTOIRE[[#This Row],[2024]]="","",DONNÉES!BH60)</f>
        <v/>
      </c>
      <c r="H98" s="366">
        <f>IF(TRDVICTOIRE[[#This Row],[2024]]="","",DONNÉES!BG140)</f>
        <v/>
      </c>
      <c r="I98" s="496">
        <f>IF(TRDVICTOIRE[[#This Row],[2024]]="","",DONNÉES!BH140)</f>
        <v/>
      </c>
      <c r="J98" s="366">
        <f>IF(TRDVICTOIRE[[#This Row],[2024]]="","",DONNÉES!BG76)</f>
        <v/>
      </c>
      <c r="K98" s="495">
        <f>IF(TRDVICTOIRE[[#This Row],[2024]]="","",DONNÉES!BH76)</f>
        <v/>
      </c>
      <c r="L98" s="366">
        <f>IF(TRDVICTOIRE[[#This Row],[2024]]="","",DONNÉES!BG156)</f>
        <v/>
      </c>
      <c r="M98" s="496">
        <f>IF(TRDVICTOIRE[[#This Row],[2024]]="","",DONNÉES!BH156)</f>
        <v/>
      </c>
      <c r="N98" s="366">
        <f>IF(TRDVICTOIRE[[#This Row],[2024]]="","",DONNÉES!BG92)</f>
        <v/>
      </c>
      <c r="O98" s="495">
        <f>IF(TRDVICTOIRE[[#This Row],[2024]]="","",DONNÉES!BH92)</f>
        <v/>
      </c>
      <c r="P98" s="366">
        <f>IF(TRDVICTOIRE[[#This Row],[2024]]="","",DONNÉES!BG172)</f>
        <v/>
      </c>
      <c r="Q98" s="366">
        <f>IF(TRDVICTOIRE[[#This Row],[2024]]="","",DONNÉES!BH172)</f>
        <v/>
      </c>
      <c r="S98" s="366">
        <f>IF(TRDVICTOIRE[[#This Row],[2024]]="","",DONNÉES!BG108)</f>
        <v/>
      </c>
      <c r="T98" s="495">
        <f>IF(TRDVICTOIRE[[#This Row],[2024]]="","",DONNÉES!BH108)</f>
        <v/>
      </c>
      <c r="U98" s="495">
        <f>IF(TRDVICTOIRE[[#This Row],[2024]]="","",DONNÉES!BG188)</f>
        <v/>
      </c>
      <c r="V98" s="366">
        <f>IF(TRDVICTOIRE[[#This Row],[2024]]="","",DONNÉES!BH188)</f>
        <v/>
      </c>
    </row>
    <row r="99" ht="11.65" customHeight="1" s="161">
      <c r="A99" s="494" t="inlineStr">
        <is>
          <t>Février</t>
        </is>
      </c>
      <c r="B99" s="366">
        <f>IF(DONNÉES!BG45="","",DONNÉES!BG45)</f>
        <v/>
      </c>
      <c r="C99" s="495">
        <f>IF(TRDVICTOIRE[[#This Row],[2024]]="","",DONNÉES!BH45)</f>
        <v/>
      </c>
      <c r="D99" s="366">
        <f>IF(TRDVICTOIRE[[#This Row],[2024]]="","",DONNÉES!BG125)</f>
        <v/>
      </c>
      <c r="E99" s="496">
        <f>IF(TRDVICTOIRE[[#This Row],[2024]]="","",DONNÉES!BH125)</f>
        <v/>
      </c>
      <c r="F99" s="366">
        <f>IF(TRDVICTOIRE[[#This Row],[2024]]="","",DONNÉES!BG61)</f>
        <v/>
      </c>
      <c r="G99" s="495">
        <f>IF(TRDVICTOIRE[[#This Row],[2024]]="","",DONNÉES!BH61)</f>
        <v/>
      </c>
      <c r="H99" s="366">
        <f>IF(TRDVICTOIRE[[#This Row],[2024]]="","",DONNÉES!BG141)</f>
        <v/>
      </c>
      <c r="I99" s="496">
        <f>IF(TRDVICTOIRE[[#This Row],[2024]]="","",DONNÉES!BH141)</f>
        <v/>
      </c>
      <c r="J99" s="366">
        <f>IF(TRDVICTOIRE[[#This Row],[2024]]="","",DONNÉES!BG77)</f>
        <v/>
      </c>
      <c r="K99" s="495">
        <f>IF(TRDVICTOIRE[[#This Row],[2024]]="","",DONNÉES!BH77)</f>
        <v/>
      </c>
      <c r="L99" s="366">
        <f>IF(TRDVICTOIRE[[#This Row],[2024]]="","",DONNÉES!BG157)</f>
        <v/>
      </c>
      <c r="M99" s="496">
        <f>IF(TRDVICTOIRE[[#This Row],[2024]]="","",DONNÉES!BH157)</f>
        <v/>
      </c>
      <c r="N99" s="366">
        <f>IF(TRDVICTOIRE[[#This Row],[2024]]="","",DONNÉES!BG93)</f>
        <v/>
      </c>
      <c r="O99" s="495">
        <f>IF(TRDVICTOIRE[[#This Row],[2024]]="","",DONNÉES!BH93)</f>
        <v/>
      </c>
      <c r="P99" s="366">
        <f>IF(TRDVICTOIRE[[#This Row],[2024]]="","",DONNÉES!BG173)</f>
        <v/>
      </c>
      <c r="Q99" s="366">
        <f>IF(TRDVICTOIRE[[#This Row],[2024]]="","",DONNÉES!BH173)</f>
        <v/>
      </c>
      <c r="S99" s="366">
        <f>IF(TRDVICTOIRE[[#This Row],[2024]]="","",DONNÉES!BG109)</f>
        <v/>
      </c>
      <c r="T99" s="495">
        <f>IF(TRDVICTOIRE[[#This Row],[2024]]="","",DONNÉES!BH109)</f>
        <v/>
      </c>
      <c r="U99" s="495">
        <f>IF(TRDVICTOIRE[[#This Row],[2024]]="","",DONNÉES!BG189)</f>
        <v/>
      </c>
      <c r="V99" s="366">
        <f>IF(TRDVICTOIRE[[#This Row],[2024]]="","",DONNÉES!BH189)</f>
        <v/>
      </c>
    </row>
    <row r="100" ht="11.65" customFormat="1" customHeight="1" s="476">
      <c r="A100" s="490" t="inlineStr">
        <is>
          <t>Mars</t>
        </is>
      </c>
      <c r="B100" s="366">
        <f>IF(DONNÉES!BG46="","",DONNÉES!BG46)</f>
        <v/>
      </c>
      <c r="C100" s="495">
        <f>IF(TRDVICTOIRE[[#This Row],[2024]]="","",DONNÉES!BH46)</f>
        <v/>
      </c>
      <c r="D100" s="366">
        <f>IF(TRDVICTOIRE[[#This Row],[2024]]="","",DONNÉES!BG126)</f>
        <v/>
      </c>
      <c r="E100" s="496">
        <f>IF(TRDVICTOIRE[[#This Row],[2024]]="","",DONNÉES!BH126)</f>
        <v/>
      </c>
      <c r="F100" s="366">
        <f>IF(TRDVICTOIRE[[#This Row],[2024]]="","",DONNÉES!BG62)</f>
        <v/>
      </c>
      <c r="G100" s="495">
        <f>IF(TRDVICTOIRE[[#This Row],[2024]]="","",DONNÉES!BH62)</f>
        <v/>
      </c>
      <c r="H100" s="366">
        <f>IF(TRDVICTOIRE[[#This Row],[2024]]="","",DONNÉES!BG142)</f>
        <v/>
      </c>
      <c r="I100" s="496">
        <f>IF(TRDVICTOIRE[[#This Row],[2024]]="","",DONNÉES!BH142)</f>
        <v/>
      </c>
      <c r="J100" s="366">
        <f>IF(TRDVICTOIRE[[#This Row],[2024]]="","",DONNÉES!BG78)</f>
        <v/>
      </c>
      <c r="K100" s="495">
        <f>IF(TRDVICTOIRE[[#This Row],[2024]]="","",DONNÉES!BH78)</f>
        <v/>
      </c>
      <c r="L100" s="366">
        <f>IF(TRDVICTOIRE[[#This Row],[2024]]="","",DONNÉES!BG158)</f>
        <v/>
      </c>
      <c r="M100" s="496">
        <f>IF(TRDVICTOIRE[[#This Row],[2024]]="","",DONNÉES!BH158)</f>
        <v/>
      </c>
      <c r="N100" s="366">
        <f>IF(TRDVICTOIRE[[#This Row],[2024]]="","",DONNÉES!BG94)</f>
        <v/>
      </c>
      <c r="O100" s="495">
        <f>IF(TRDVICTOIRE[[#This Row],[2024]]="","",DONNÉES!BH94)</f>
        <v/>
      </c>
      <c r="P100" s="366">
        <f>IF(TRDVICTOIRE[[#This Row],[2024]]="","",DONNÉES!BG174)</f>
        <v/>
      </c>
      <c r="Q100" s="366">
        <f>IF(TRDVICTOIRE[[#This Row],[2024]]="","",DONNÉES!BH174)</f>
        <v/>
      </c>
      <c r="R100" s="498" t="n"/>
      <c r="S100" s="366">
        <f>IF(TRDVICTOIRE[[#This Row],[2024]]="","",DONNÉES!BG110)</f>
        <v/>
      </c>
      <c r="T100" s="495">
        <f>IF(TRDVICTOIRE[[#This Row],[2024]]="","",DONNÉES!BH110)</f>
        <v/>
      </c>
      <c r="U100" s="495">
        <f>IF(TRDVICTOIRE[[#This Row],[2024]]="","",DONNÉES!BG190)</f>
        <v/>
      </c>
      <c r="V100" s="366">
        <f>IF(TRDVICTOIRE[[#This Row],[2024]]="","",DONNÉES!BH190)</f>
        <v/>
      </c>
    </row>
    <row r="101" ht="11.65" customFormat="1" customHeight="1" s="476">
      <c r="A101" s="494" t="inlineStr">
        <is>
          <t>Avril</t>
        </is>
      </c>
      <c r="B101" s="366">
        <f>IF(DONNÉES!BG47="","",DONNÉES!BG47)</f>
        <v/>
      </c>
      <c r="C101" s="495">
        <f>IF(TRDVICTOIRE[[#This Row],[2024]]="","",DONNÉES!BH47)</f>
        <v/>
      </c>
      <c r="D101" s="366">
        <f>IF(TRDVICTOIRE[[#This Row],[2024]]="","",DONNÉES!BG127)</f>
        <v/>
      </c>
      <c r="E101" s="496">
        <f>IF(TRDVICTOIRE[[#This Row],[2024]]="","",DONNÉES!BH127)</f>
        <v/>
      </c>
      <c r="F101" s="366">
        <f>IF(TRDVICTOIRE[[#This Row],[2024]]="","",DONNÉES!BG63)</f>
        <v/>
      </c>
      <c r="G101" s="495">
        <f>IF(TRDVICTOIRE[[#This Row],[2024]]="","",DONNÉES!BH63)</f>
        <v/>
      </c>
      <c r="H101" s="366">
        <f>IF(TRDVICTOIRE[[#This Row],[2024]]="","",DONNÉES!BG143)</f>
        <v/>
      </c>
      <c r="I101" s="496">
        <f>IF(TRDVICTOIRE[[#This Row],[2024]]="","",DONNÉES!BH143)</f>
        <v/>
      </c>
      <c r="J101" s="366">
        <f>IF(TRDVICTOIRE[[#This Row],[2024]]="","",DONNÉES!BG79)</f>
        <v/>
      </c>
      <c r="K101" s="495">
        <f>IF(TRDVICTOIRE[[#This Row],[2024]]="","",DONNÉES!BH79)</f>
        <v/>
      </c>
      <c r="L101" s="366">
        <f>IF(TRDVICTOIRE[[#This Row],[2024]]="","",DONNÉES!BG159)</f>
        <v/>
      </c>
      <c r="M101" s="496">
        <f>IF(TRDVICTOIRE[[#This Row],[2024]]="","",DONNÉES!BH159)</f>
        <v/>
      </c>
      <c r="N101" s="366">
        <f>IF(TRDVICTOIRE[[#This Row],[2024]]="","",DONNÉES!BG95)</f>
        <v/>
      </c>
      <c r="O101" s="495">
        <f>IF(TRDVICTOIRE[[#This Row],[2024]]="","",DONNÉES!BH95)</f>
        <v/>
      </c>
      <c r="P101" s="366">
        <f>IF(TRDVICTOIRE[[#This Row],[2024]]="","",DONNÉES!BG175)</f>
        <v/>
      </c>
      <c r="Q101" s="366">
        <f>IF(TRDVICTOIRE[[#This Row],[2024]]="","",DONNÉES!BH175)</f>
        <v/>
      </c>
      <c r="R101" s="498" t="n"/>
      <c r="S101" s="366">
        <f>IF(TRDVICTOIRE[[#This Row],[2024]]="","",DONNÉES!BG111)</f>
        <v/>
      </c>
      <c r="T101" s="495">
        <f>IF(TRDVICTOIRE[[#This Row],[2024]]="","",DONNÉES!BH111)</f>
        <v/>
      </c>
      <c r="U101" s="495">
        <f>IF(TRDVICTOIRE[[#This Row],[2024]]="","",DONNÉES!BG191)</f>
        <v/>
      </c>
      <c r="V101" s="366">
        <f>IF(TRDVICTOIRE[[#This Row],[2024]]="","",DONNÉES!BH191)</f>
        <v/>
      </c>
    </row>
    <row r="102" ht="11.65" customFormat="1" customHeight="1" s="476">
      <c r="A102" s="490" t="inlineStr">
        <is>
          <t>Mai</t>
        </is>
      </c>
      <c r="B102" s="366">
        <f>IF(DONNÉES!BG48="","",DONNÉES!BG48)</f>
        <v/>
      </c>
      <c r="C102" s="495">
        <f>IF(TRDVICTOIRE[[#This Row],[2024]]="","",DONNÉES!BH48)</f>
        <v/>
      </c>
      <c r="D102" s="366">
        <f>IF(TRDVICTOIRE[[#This Row],[2024]]="","",DONNÉES!BG128)</f>
        <v/>
      </c>
      <c r="E102" s="496">
        <f>IF(TRDVICTOIRE[[#This Row],[2024]]="","",DONNÉES!BH128)</f>
        <v/>
      </c>
      <c r="F102" s="366">
        <f>IF(TRDVICTOIRE[[#This Row],[2024]]="","",DONNÉES!BG64)</f>
        <v/>
      </c>
      <c r="G102" s="495">
        <f>IF(TRDVICTOIRE[[#This Row],[2024]]="","",DONNÉES!BH64)</f>
        <v/>
      </c>
      <c r="H102" s="366">
        <f>IF(TRDVICTOIRE[[#This Row],[2024]]="","",DONNÉES!BG144)</f>
        <v/>
      </c>
      <c r="I102" s="496">
        <f>IF(TRDVICTOIRE[[#This Row],[2024]]="","",DONNÉES!BH144)</f>
        <v/>
      </c>
      <c r="J102" s="366">
        <f>IF(TRDVICTOIRE[[#This Row],[2024]]="","",DONNÉES!BG80)</f>
        <v/>
      </c>
      <c r="K102" s="495">
        <f>IF(TRDVICTOIRE[[#This Row],[2024]]="","",DONNÉES!BH80)</f>
        <v/>
      </c>
      <c r="L102" s="366">
        <f>IF(TRDVICTOIRE[[#This Row],[2024]]="","",DONNÉES!BG160)</f>
        <v/>
      </c>
      <c r="M102" s="496">
        <f>IF(TRDVICTOIRE[[#This Row],[2024]]="","",DONNÉES!BH160)</f>
        <v/>
      </c>
      <c r="N102" s="366">
        <f>IF(TRDVICTOIRE[[#This Row],[2024]]="","",DONNÉES!BG96)</f>
        <v/>
      </c>
      <c r="O102" s="495">
        <f>IF(TRDVICTOIRE[[#This Row],[2024]]="","",DONNÉES!BH96)</f>
        <v/>
      </c>
      <c r="P102" s="366">
        <f>IF(TRDVICTOIRE[[#This Row],[2024]]="","",DONNÉES!BG176)</f>
        <v/>
      </c>
      <c r="Q102" s="366">
        <f>IF(TRDVICTOIRE[[#This Row],[2024]]="","",DONNÉES!BH176)</f>
        <v/>
      </c>
      <c r="R102" s="498" t="n"/>
      <c r="S102" s="366">
        <f>IF(TRDVICTOIRE[[#This Row],[2024]]="","",DONNÉES!BG112)</f>
        <v/>
      </c>
      <c r="T102" s="495">
        <f>IF(TRDVICTOIRE[[#This Row],[2024]]="","",DONNÉES!BH112)</f>
        <v/>
      </c>
      <c r="U102" s="495">
        <f>IF(TRDVICTOIRE[[#This Row],[2024]]="","",DONNÉES!BG192)</f>
        <v/>
      </c>
      <c r="V102" s="366">
        <f>IF(TRDVICTOIRE[[#This Row],[2024]]="","",DONNÉES!BH192)</f>
        <v/>
      </c>
    </row>
    <row r="103" ht="11.65" customHeight="1" s="161">
      <c r="A103" s="494" t="inlineStr">
        <is>
          <t>Juin</t>
        </is>
      </c>
      <c r="B103" s="366">
        <f>IF(DONNÉES!BG49="","",DONNÉES!BG49)</f>
        <v/>
      </c>
      <c r="C103" s="495">
        <f>IF(TRDVICTOIRE[[#This Row],[2024]]="","",DONNÉES!BH49)</f>
        <v/>
      </c>
      <c r="D103" s="366">
        <f>IF(TRDVICTOIRE[[#This Row],[2024]]="","",DONNÉES!BG129)</f>
        <v/>
      </c>
      <c r="E103" s="496">
        <f>IF(TRDVICTOIRE[[#This Row],[2024]]="","",DONNÉES!BH129)</f>
        <v/>
      </c>
      <c r="F103" s="366">
        <f>IF(TRDVICTOIRE[[#This Row],[2024]]="","",DONNÉES!BG65)</f>
        <v/>
      </c>
      <c r="G103" s="495">
        <f>IF(TRDVICTOIRE[[#This Row],[2024]]="","",DONNÉES!BH65)</f>
        <v/>
      </c>
      <c r="H103" s="366">
        <f>IF(TRDVICTOIRE[[#This Row],[2024]]="","",DONNÉES!BG145)</f>
        <v/>
      </c>
      <c r="I103" s="496">
        <f>IF(TRDVICTOIRE[[#This Row],[2024]]="","",DONNÉES!BH145)</f>
        <v/>
      </c>
      <c r="J103" s="366">
        <f>IF(TRDVICTOIRE[[#This Row],[2024]]="","",DONNÉES!BG81)</f>
        <v/>
      </c>
      <c r="K103" s="495">
        <f>IF(TRDVICTOIRE[[#This Row],[2024]]="","",DONNÉES!BH81)</f>
        <v/>
      </c>
      <c r="L103" s="366">
        <f>IF(TRDVICTOIRE[[#This Row],[2024]]="","",DONNÉES!BG161)</f>
        <v/>
      </c>
      <c r="M103" s="496">
        <f>IF(TRDVICTOIRE[[#This Row],[2024]]="","",DONNÉES!BH161)</f>
        <v/>
      </c>
      <c r="N103" s="366">
        <f>IF(TRDVICTOIRE[[#This Row],[2024]]="","",DONNÉES!BG97)</f>
        <v/>
      </c>
      <c r="O103" s="495">
        <f>IF(TRDVICTOIRE[[#This Row],[2024]]="","",DONNÉES!BH97)</f>
        <v/>
      </c>
      <c r="P103" s="366">
        <f>IF(TRDVICTOIRE[[#This Row],[2024]]="","",DONNÉES!BG177)</f>
        <v/>
      </c>
      <c r="Q103" s="366">
        <f>IF(TRDVICTOIRE[[#This Row],[2024]]="","",DONNÉES!BH177)</f>
        <v/>
      </c>
      <c r="R103" s="499" t="n"/>
      <c r="S103" s="366">
        <f>IF(TRDVICTOIRE[[#This Row],[2024]]="","",DONNÉES!BG113)</f>
        <v/>
      </c>
      <c r="T103" s="495">
        <f>IF(TRDVICTOIRE[[#This Row],[2024]]="","",DONNÉES!BH113)</f>
        <v/>
      </c>
      <c r="U103" s="495">
        <f>IF(TRDVICTOIRE[[#This Row],[2024]]="","",DONNÉES!BG193)</f>
        <v/>
      </c>
      <c r="V103" s="366">
        <f>IF(TRDVICTOIRE[[#This Row],[2024]]="","",DONNÉES!BH193)</f>
        <v/>
      </c>
    </row>
    <row r="104" ht="11.65" customHeight="1" s="161">
      <c r="A104" s="490" t="inlineStr">
        <is>
          <t>Juillet</t>
        </is>
      </c>
      <c r="B104" s="366">
        <f>IF(DONNÉES!BG50="","",DONNÉES!BG50)</f>
        <v/>
      </c>
      <c r="C104" s="495">
        <f>IF(TRDVICTOIRE[[#This Row],[2024]]="","",DONNÉES!BH50)</f>
        <v/>
      </c>
      <c r="D104" s="366">
        <f>IF(TRDVICTOIRE[[#This Row],[2024]]="","",DONNÉES!BG130)</f>
        <v/>
      </c>
      <c r="E104" s="496">
        <f>IF(TRDVICTOIRE[[#This Row],[2024]]="","",DONNÉES!BH130)</f>
        <v/>
      </c>
      <c r="F104" s="366">
        <f>IF(TRDVICTOIRE[[#This Row],[2024]]="","",DONNÉES!BG66)</f>
        <v/>
      </c>
      <c r="G104" s="495">
        <f>IF(TRDVICTOIRE[[#This Row],[2024]]="","",DONNÉES!BH66)</f>
        <v/>
      </c>
      <c r="H104" s="366">
        <f>IF(TRDVICTOIRE[[#This Row],[2024]]="","",DONNÉES!BG146)</f>
        <v/>
      </c>
      <c r="I104" s="496">
        <f>IF(TRDVICTOIRE[[#This Row],[2024]]="","",DONNÉES!BH146)</f>
        <v/>
      </c>
      <c r="J104" s="366">
        <f>IF(TRDVICTOIRE[[#This Row],[2024]]="","",DONNÉES!BG82)</f>
        <v/>
      </c>
      <c r="K104" s="495">
        <f>IF(TRDVICTOIRE[[#This Row],[2024]]="","",DONNÉES!BH82)</f>
        <v/>
      </c>
      <c r="L104" s="366">
        <f>IF(TRDVICTOIRE[[#This Row],[2024]]="","",DONNÉES!BG162)</f>
        <v/>
      </c>
      <c r="M104" s="496">
        <f>IF(TRDVICTOIRE[[#This Row],[2024]]="","",DONNÉES!BH162)</f>
        <v/>
      </c>
      <c r="N104" s="366">
        <f>IF(TRDVICTOIRE[[#This Row],[2024]]="","",DONNÉES!BG98)</f>
        <v/>
      </c>
      <c r="O104" s="495">
        <f>IF(TRDVICTOIRE[[#This Row],[2024]]="","",DONNÉES!BH98)</f>
        <v/>
      </c>
      <c r="P104" s="366">
        <f>IF(TRDVICTOIRE[[#This Row],[2024]]="","",DONNÉES!BG178)</f>
        <v/>
      </c>
      <c r="Q104" s="366">
        <f>IF(TRDVICTOIRE[[#This Row],[2024]]="","",DONNÉES!BH178)</f>
        <v/>
      </c>
      <c r="R104" s="499" t="n"/>
      <c r="S104" s="366">
        <f>IF(TRDVICTOIRE[[#This Row],[2024]]="","",DONNÉES!BG114)</f>
        <v/>
      </c>
      <c r="T104" s="495">
        <f>IF(TRDVICTOIRE[[#This Row],[2024]]="","",DONNÉES!BH114)</f>
        <v/>
      </c>
      <c r="U104" s="495">
        <f>IF(TRDVICTOIRE[[#This Row],[2024]]="","",DONNÉES!BG194)</f>
        <v/>
      </c>
      <c r="V104" s="366">
        <f>IF(TRDVICTOIRE[[#This Row],[2024]]="","",DONNÉES!BH194)</f>
        <v/>
      </c>
    </row>
    <row r="105" ht="11.65" customHeight="1" s="161">
      <c r="A105" s="494" t="inlineStr">
        <is>
          <t>Août</t>
        </is>
      </c>
      <c r="B105" s="366">
        <f>IF(DONNÉES!BG51="","",DONNÉES!BG51)</f>
        <v/>
      </c>
      <c r="C105" s="495">
        <f>IF(TRDVICTOIRE[[#This Row],[2024]]="","",DONNÉES!BH51)</f>
        <v/>
      </c>
      <c r="D105" s="366">
        <f>IF(TRDVICTOIRE[[#This Row],[2024]]="","",DONNÉES!BG131)</f>
        <v/>
      </c>
      <c r="E105" s="496">
        <f>IF(TRDVICTOIRE[[#This Row],[2024]]="","",DONNÉES!BH131)</f>
        <v/>
      </c>
      <c r="F105" s="366">
        <f>IF(TRDVICTOIRE[[#This Row],[2024]]="","",DONNÉES!BG67)</f>
        <v/>
      </c>
      <c r="G105" s="495">
        <f>IF(TRDVICTOIRE[[#This Row],[2024]]="","",DONNÉES!BH67)</f>
        <v/>
      </c>
      <c r="H105" s="366">
        <f>IF(TRDVICTOIRE[[#This Row],[2024]]="","",DONNÉES!BG147)</f>
        <v/>
      </c>
      <c r="I105" s="496">
        <f>IF(TRDVICTOIRE[[#This Row],[2024]]="","",DONNÉES!BH147)</f>
        <v/>
      </c>
      <c r="J105" s="366">
        <f>IF(TRDVICTOIRE[[#This Row],[2024]]="","",DONNÉES!BG83)</f>
        <v/>
      </c>
      <c r="K105" s="495">
        <f>IF(TRDVICTOIRE[[#This Row],[2024]]="","",DONNÉES!BH83)</f>
        <v/>
      </c>
      <c r="L105" s="366">
        <f>IF(TRDVICTOIRE[[#This Row],[2024]]="","",DONNÉES!BG163)</f>
        <v/>
      </c>
      <c r="M105" s="496">
        <f>IF(TRDVICTOIRE[[#This Row],[2024]]="","",DONNÉES!BH163)</f>
        <v/>
      </c>
      <c r="N105" s="366">
        <f>IF(TRDVICTOIRE[[#This Row],[2024]]="","",DONNÉES!BG99)</f>
        <v/>
      </c>
      <c r="O105" s="495">
        <f>IF(TRDVICTOIRE[[#This Row],[2024]]="","",DONNÉES!BH99)</f>
        <v/>
      </c>
      <c r="P105" s="366">
        <f>IF(TRDVICTOIRE[[#This Row],[2024]]="","",DONNÉES!BG179)</f>
        <v/>
      </c>
      <c r="Q105" s="366">
        <f>IF(TRDVICTOIRE[[#This Row],[2024]]="","",DONNÉES!BH179)</f>
        <v/>
      </c>
      <c r="R105" s="499" t="n"/>
      <c r="S105" s="366">
        <f>IF(TRDVICTOIRE[[#This Row],[2024]]="","",DONNÉES!BG115)</f>
        <v/>
      </c>
      <c r="T105" s="495">
        <f>IF(TRDVICTOIRE[[#This Row],[2024]]="","",DONNÉES!BH115)</f>
        <v/>
      </c>
      <c r="U105" s="495">
        <f>IF(TRDVICTOIRE[[#This Row],[2024]]="","",DONNÉES!BG195)</f>
        <v/>
      </c>
      <c r="V105" s="366">
        <f>IF(TRDVICTOIRE[[#This Row],[2024]]="","",DONNÉES!BH195)</f>
        <v/>
      </c>
    </row>
    <row r="106" ht="11.65" customHeight="1" s="161">
      <c r="A106" s="490" t="inlineStr">
        <is>
          <t>Septembre</t>
        </is>
      </c>
      <c r="B106" s="366">
        <f>IF(DONNÉES!BG52="","",DONNÉES!BG52)</f>
        <v/>
      </c>
      <c r="C106" s="495">
        <f>IF(TRDVICTOIRE[[#This Row],[2024]]="","",DONNÉES!BH52)</f>
        <v/>
      </c>
      <c r="D106" s="369">
        <f>IF(TRDVICTOIRE[[#This Row],[2024]]="","",DONNÉES!BG132)</f>
        <v/>
      </c>
      <c r="E106" s="500">
        <f>IF(TRDVICTOIRE[[#This Row],[2024]]="","",DONNÉES!BH132)</f>
        <v/>
      </c>
      <c r="F106" s="369">
        <f>IF(TRDVICTOIRE[[#This Row],[2024]]="","",DONNÉES!BG68)</f>
        <v/>
      </c>
      <c r="G106" s="495">
        <f>IF(TRDVICTOIRE[[#This Row],[2024]]="","",DONNÉES!BH68)</f>
        <v/>
      </c>
      <c r="H106" s="369">
        <f>IF(TRDVICTOIRE[[#This Row],[2024]]="","",DONNÉES!BG148)</f>
        <v/>
      </c>
      <c r="I106" s="500">
        <f>IF(TRDVICTOIRE[[#This Row],[2024]]="","",DONNÉES!BH148)</f>
        <v/>
      </c>
      <c r="J106" s="369">
        <f>IF(TRDVICTOIRE[[#This Row],[2024]]="","",DONNÉES!BG84)</f>
        <v/>
      </c>
      <c r="K106" s="501">
        <f>IF(TRDVICTOIRE[[#This Row],[2024]]="","",DONNÉES!BH84)</f>
        <v/>
      </c>
      <c r="L106" s="369">
        <f>IF(TRDVICTOIRE[[#This Row],[2024]]="","",DONNÉES!BG164)</f>
        <v/>
      </c>
      <c r="M106" s="500">
        <f>IF(TRDVICTOIRE[[#This Row],[2024]]="","",DONNÉES!BH164)</f>
        <v/>
      </c>
      <c r="N106" s="369">
        <f>IF(TRDVICTOIRE[[#This Row],[2024]]="","",DONNÉES!BG100)</f>
        <v/>
      </c>
      <c r="O106" s="501">
        <f>IF(TRDVICTOIRE[[#This Row],[2024]]="","",DONNÉES!BH100)</f>
        <v/>
      </c>
      <c r="P106" s="369">
        <f>IF(TRDVICTOIRE[[#This Row],[2024]]="","",DONNÉES!BG180)</f>
        <v/>
      </c>
      <c r="Q106" s="369">
        <f>IF(TRDVICTOIRE[[#This Row],[2024]]="","",DONNÉES!BH180)</f>
        <v/>
      </c>
      <c r="R106" s="499" t="n"/>
      <c r="S106" s="369">
        <f>IF(TRDVICTOIRE[[#This Row],[2024]]="","",DONNÉES!BG116)</f>
        <v/>
      </c>
      <c r="T106" s="501">
        <f>IF(TRDVICTOIRE[[#This Row],[2024]]="","",DONNÉES!BH116)</f>
        <v/>
      </c>
      <c r="U106" s="501">
        <f>IF(TRDVICTOIRE[[#This Row],[2024]]="","",DONNÉES!BG196)</f>
        <v/>
      </c>
      <c r="V106" s="369">
        <f>IF(TRDVICTOIRE[[#This Row],[2024]]="","",DONNÉES!BH196)</f>
        <v/>
      </c>
    </row>
    <row r="107" ht="11.65" customHeight="1" s="161">
      <c r="A107" s="494" t="inlineStr">
        <is>
          <t>Octobre</t>
        </is>
      </c>
      <c r="B107" s="366">
        <f>IF(DONNÉES!BG53="","",DONNÉES!BG53)</f>
        <v/>
      </c>
      <c r="C107" s="495">
        <f>IF(TRDVICTOIRE[[#This Row],[2024]]="","",DONNÉES!BH53)</f>
        <v/>
      </c>
      <c r="D107" s="369">
        <f>IF(TRDVICTOIRE[[#This Row],[2024]]="","",DONNÉES!BG133)</f>
        <v/>
      </c>
      <c r="E107" s="500">
        <f>IF(TRDVICTOIRE[[#This Row],[2024]]="","",DONNÉES!BH133)</f>
        <v/>
      </c>
      <c r="F107" s="369">
        <f>IF(TRDVICTOIRE[[#This Row],[2024]]="","",DONNÉES!BG69)</f>
        <v/>
      </c>
      <c r="G107" s="495">
        <f>IF(TRDVICTOIRE[[#This Row],[2024]]="","",DONNÉES!BH69)</f>
        <v/>
      </c>
      <c r="H107" s="369">
        <f>IF(TRDVICTOIRE[[#This Row],[2024]]="","",DONNÉES!BG149)</f>
        <v/>
      </c>
      <c r="I107" s="500">
        <f>IF(TRDVICTOIRE[[#This Row],[2024]]="","",DONNÉES!BH149)</f>
        <v/>
      </c>
      <c r="J107" s="369">
        <f>IF(TRDVICTOIRE[[#This Row],[2024]]="","",DONNÉES!BG85)</f>
        <v/>
      </c>
      <c r="K107" s="501">
        <f>IF(TRDVICTOIRE[[#This Row],[2024]]="","",DONNÉES!BH85)</f>
        <v/>
      </c>
      <c r="L107" s="369">
        <f>IF(TRDVICTOIRE[[#This Row],[2024]]="","",DONNÉES!BG165)</f>
        <v/>
      </c>
      <c r="M107" s="500">
        <f>IF(TRDVICTOIRE[[#This Row],[2024]]="","",DONNÉES!BH165)</f>
        <v/>
      </c>
      <c r="N107" s="369">
        <f>IF(TRDVICTOIRE[[#This Row],[2024]]="","",DONNÉES!BG101)</f>
        <v/>
      </c>
      <c r="O107" s="501">
        <f>IF(TRDVICTOIRE[[#This Row],[2024]]="","",DONNÉES!BH101)</f>
        <v/>
      </c>
      <c r="P107" s="369">
        <f>IF(TRDVICTOIRE[[#This Row],[2024]]="","",DONNÉES!BG181)</f>
        <v/>
      </c>
      <c r="Q107" s="369">
        <f>IF(TRDVICTOIRE[[#This Row],[2024]]="","",DONNÉES!BH181)</f>
        <v/>
      </c>
      <c r="R107" s="499" t="n"/>
      <c r="S107" s="369">
        <f>IF(TRDVICTOIRE[[#This Row],[2024]]="","",DONNÉES!BG117)</f>
        <v/>
      </c>
      <c r="T107" s="501">
        <f>IF(TRDVICTOIRE[[#This Row],[2024]]="","",DONNÉES!BH117)</f>
        <v/>
      </c>
      <c r="U107" s="501">
        <f>IF(TRDVICTOIRE[[#This Row],[2024]]="","",DONNÉES!BG197)</f>
        <v/>
      </c>
      <c r="V107" s="369">
        <f>IF(TRDVICTOIRE[[#This Row],[2024]]="","",DONNÉES!BH197)</f>
        <v/>
      </c>
    </row>
    <row r="108" ht="11.65" customHeight="1" s="161">
      <c r="A108" s="490" t="inlineStr">
        <is>
          <t>Novembre</t>
        </is>
      </c>
      <c r="B108" s="366">
        <f>IF(DONNÉES!BG54="","",DONNÉES!BG54)</f>
        <v/>
      </c>
      <c r="C108" s="495">
        <f>IF(TRDVICTOIRE[[#This Row],[2024]]="","",DONNÉES!BH54)</f>
        <v/>
      </c>
      <c r="D108" s="369">
        <f>IF(TRDVICTOIRE[[#This Row],[2024]]="","",DONNÉES!BG134)</f>
        <v/>
      </c>
      <c r="E108" s="500">
        <f>IF(TRDVICTOIRE[[#This Row],[2024]]="","",DONNÉES!BH134)</f>
        <v/>
      </c>
      <c r="F108" s="369">
        <f>IF(TRDVICTOIRE[[#This Row],[2024]]="","",DONNÉES!BG70)</f>
        <v/>
      </c>
      <c r="G108" s="495">
        <f>IF(TRDVICTOIRE[[#This Row],[2024]]="","",DONNÉES!BH70)</f>
        <v/>
      </c>
      <c r="H108" s="369">
        <f>IF(TRDVICTOIRE[[#This Row],[2024]]="","",DONNÉES!BG150)</f>
        <v/>
      </c>
      <c r="I108" s="500">
        <f>IF(TRDVICTOIRE[[#This Row],[2024]]="","",DONNÉES!BH150)</f>
        <v/>
      </c>
      <c r="J108" s="369">
        <f>IF(TRDVICTOIRE[[#This Row],[2024]]="","",DONNÉES!BG86)</f>
        <v/>
      </c>
      <c r="K108" s="501">
        <f>IF(TRDVICTOIRE[[#This Row],[2024]]="","",DONNÉES!BH86)</f>
        <v/>
      </c>
      <c r="L108" s="369">
        <f>IF(TRDVICTOIRE[[#This Row],[2024]]="","",DONNÉES!BG166)</f>
        <v/>
      </c>
      <c r="M108" s="500">
        <f>IF(TRDVICTOIRE[[#This Row],[2024]]="","",DONNÉES!BH166)</f>
        <v/>
      </c>
      <c r="N108" s="369">
        <f>IF(TRDVICTOIRE[[#This Row],[2024]]="","",DONNÉES!BG102)</f>
        <v/>
      </c>
      <c r="O108" s="501">
        <f>IF(TRDVICTOIRE[[#This Row],[2024]]="","",DONNÉES!BH102)</f>
        <v/>
      </c>
      <c r="P108" s="369">
        <f>IF(TRDVICTOIRE[[#This Row],[2024]]="","",DONNÉES!BG182)</f>
        <v/>
      </c>
      <c r="Q108" s="369">
        <f>IF(TRDVICTOIRE[[#This Row],[2024]]="","",DONNÉES!BH182)</f>
        <v/>
      </c>
      <c r="R108" s="503" t="n"/>
      <c r="S108" s="369">
        <f>IF(TRDVICTOIRE[[#This Row],[2024]]="","",DONNÉES!BG118)</f>
        <v/>
      </c>
      <c r="T108" s="501">
        <f>IF(TRDVICTOIRE[[#This Row],[2024]]="","",DONNÉES!BH118)</f>
        <v/>
      </c>
      <c r="U108" s="501">
        <f>IF(TRDVICTOIRE[[#This Row],[2024]]="","",DONNÉES!BG198)</f>
        <v/>
      </c>
      <c r="V108" s="369">
        <f>IF(TRDVICTOIRE[[#This Row],[2024]]="","",DONNÉES!BH198)</f>
        <v/>
      </c>
    </row>
    <row r="109" ht="11.65" customHeight="1" s="161">
      <c r="A109" s="490" t="inlineStr">
        <is>
          <t>Décembre</t>
        </is>
      </c>
      <c r="B109" s="366">
        <f>IF(DONNÉES!BG55="","",DONNÉES!BG55)</f>
        <v/>
      </c>
      <c r="C109" s="495">
        <f>IF(TRDVICTOIRE[[#This Row],[2024]]="","",DONNÉES!BH55)</f>
        <v/>
      </c>
      <c r="D109" s="369">
        <f>IF(TRDVICTOIRE[[#This Row],[2024]]="","",DONNÉES!BG135)</f>
        <v/>
      </c>
      <c r="E109" s="500">
        <f>IF(TRDVICTOIRE[[#This Row],[2024]]="","",DONNÉES!BH135)</f>
        <v/>
      </c>
      <c r="F109" s="369">
        <f>IF(TRDVICTOIRE[[#This Row],[2024]]="","",DONNÉES!BG71)</f>
        <v/>
      </c>
      <c r="G109" s="495">
        <f>IF(TRDVICTOIRE[[#This Row],[2024]]="","",DONNÉES!BH71)</f>
        <v/>
      </c>
      <c r="H109" s="369">
        <f>IF(TRDVICTOIRE[[#This Row],[2024]]="","",DONNÉES!BG151)</f>
        <v/>
      </c>
      <c r="I109" s="500">
        <f>IF(TRDVICTOIRE[[#This Row],[2024]]="","",DONNÉES!BH151)</f>
        <v/>
      </c>
      <c r="J109" s="369">
        <f>IF(TRDVICTOIRE[[#This Row],[2024]]="","",DONNÉES!BG87)</f>
        <v/>
      </c>
      <c r="K109" s="501">
        <f>IF(TRDVICTOIRE[[#This Row],[2024]]="","",DONNÉES!BH87)</f>
        <v/>
      </c>
      <c r="L109" s="369">
        <f>IF(TRDVICTOIRE[[#This Row],[2024]]="","",DONNÉES!BG167)</f>
        <v/>
      </c>
      <c r="M109" s="500">
        <f>IF(TRDVICTOIRE[[#This Row],[2024]]="","",DONNÉES!BH167)</f>
        <v/>
      </c>
      <c r="N109" s="369">
        <f>IF(TRDVICTOIRE[[#This Row],[2024]]="","",DONNÉES!BG103)</f>
        <v/>
      </c>
      <c r="O109" s="501">
        <f>IF(TRDVICTOIRE[[#This Row],[2024]]="","",DONNÉES!BH103)</f>
        <v/>
      </c>
      <c r="P109" s="369">
        <f>IF(TRDVICTOIRE[[#This Row],[2024]]="","",DONNÉES!BG183)</f>
        <v/>
      </c>
      <c r="Q109" s="369">
        <f>IF(TRDVICTOIRE[[#This Row],[2024]]="","",DONNÉES!BH183)</f>
        <v/>
      </c>
      <c r="R109" s="499" t="n"/>
      <c r="S109" s="369">
        <f>IF(TRDVICTOIRE[[#This Row],[2024]]="","",DONNÉES!BG119)</f>
        <v/>
      </c>
      <c r="T109" s="501">
        <f>IF(TRDVICTOIRE[[#This Row],[2024]]="","",DONNÉES!BH119)</f>
        <v/>
      </c>
      <c r="U109" s="501">
        <f>IF(TRDVICTOIRE[[#This Row],[2024]]="","",DONNÉES!BG199)</f>
        <v/>
      </c>
      <c r="V109" s="369">
        <f>IF(TRDVICTOIRE[[#This Row],[2024]]="","",DONNÉES!BH199)</f>
        <v/>
      </c>
    </row>
    <row r="110" ht="11.65" customHeight="1" s="161">
      <c r="A110" s="490" t="n"/>
      <c r="B110" s="369" t="n"/>
      <c r="C110" s="369" t="n"/>
      <c r="D110" s="369" t="n"/>
      <c r="E110" s="500" t="n"/>
      <c r="F110" s="369" t="n"/>
      <c r="G110" s="369" t="n"/>
      <c r="H110" s="369" t="n"/>
      <c r="I110" s="500" t="n"/>
      <c r="J110" s="369" t="n"/>
      <c r="K110" s="369" t="n"/>
      <c r="L110" s="369" t="n"/>
      <c r="M110" s="500" t="n"/>
      <c r="N110" s="369" t="n"/>
      <c r="O110" s="369" t="n"/>
      <c r="P110" s="369" t="n"/>
      <c r="Q110" s="369" t="n"/>
      <c r="R110" s="499" t="n"/>
      <c r="S110" s="369" t="n"/>
      <c r="T110" s="369" t="n"/>
      <c r="U110" s="369" t="n"/>
      <c r="V110" s="369" t="n"/>
    </row>
    <row r="111" ht="14.65" customFormat="1" customHeight="1" s="476">
      <c r="A111" s="513" t="n"/>
      <c r="B111" s="514" t="inlineStr">
        <is>
          <t>Sur place</t>
        </is>
      </c>
      <c r="C111" s="487" t="n"/>
      <c r="D111" s="487" t="n"/>
      <c r="E111" s="488" t="n"/>
      <c r="F111" s="514" t="inlineStr">
        <is>
          <t>A emporter</t>
        </is>
      </c>
      <c r="G111" s="487" t="n"/>
      <c r="H111" s="487" t="n"/>
      <c r="I111" s="488" t="n"/>
      <c r="J111" s="514" t="inlineStr">
        <is>
          <t>Mc Drive</t>
        </is>
      </c>
      <c r="K111" s="487" t="n"/>
      <c r="L111" s="487" t="n"/>
      <c r="M111" s="488" t="n"/>
      <c r="N111" s="515" t="inlineStr">
        <is>
          <t>Kiosque</t>
        </is>
      </c>
      <c r="O111" s="487" t="n"/>
      <c r="P111" s="487" t="n"/>
      <c r="Q111" s="487" t="n"/>
      <c r="R111" s="498" t="n"/>
      <c r="S111" s="515" t="inlineStr">
        <is>
          <t>Total</t>
        </is>
      </c>
      <c r="T111" s="487" t="n"/>
      <c r="U111" s="487" t="n"/>
      <c r="V111" s="487" t="n"/>
    </row>
    <row r="112" ht="28.9" customFormat="1" customHeight="1" s="476">
      <c r="A112" s="490" t="inlineStr">
        <is>
          <t>TH4</t>
        </is>
      </c>
      <c r="B112" s="491" t="inlineStr">
        <is>
          <t>2024</t>
        </is>
      </c>
      <c r="C112" s="492" t="inlineStr">
        <is>
          <t>2023</t>
        </is>
      </c>
      <c r="D112" s="491" t="inlineStr">
        <is>
          <t>2024 cumul</t>
        </is>
      </c>
      <c r="E112" s="493" t="inlineStr">
        <is>
          <t>2023 cumul</t>
        </is>
      </c>
      <c r="F112" s="211" t="inlineStr">
        <is>
          <t xml:space="preserve">2024  </t>
        </is>
      </c>
      <c r="G112" s="492" t="inlineStr">
        <is>
          <t xml:space="preserve">2023  </t>
        </is>
      </c>
      <c r="H112" s="491" t="inlineStr">
        <is>
          <t xml:space="preserve">2024 cumul </t>
        </is>
      </c>
      <c r="I112" s="493" t="inlineStr">
        <is>
          <t xml:space="preserve">2023 cumul </t>
        </is>
      </c>
      <c r="J112" s="491" t="inlineStr">
        <is>
          <t xml:space="preserve">2024   </t>
        </is>
      </c>
      <c r="K112" s="492" t="inlineStr">
        <is>
          <t xml:space="preserve">2023   </t>
        </is>
      </c>
      <c r="L112" s="491" t="inlineStr">
        <is>
          <t xml:space="preserve">2024 cumul   </t>
        </is>
      </c>
      <c r="M112" s="493" t="inlineStr">
        <is>
          <t xml:space="preserve">2023 cumul   </t>
        </is>
      </c>
      <c r="N112" s="491" t="inlineStr">
        <is>
          <t xml:space="preserve">2024    </t>
        </is>
      </c>
      <c r="O112" s="492" t="inlineStr">
        <is>
          <t xml:space="preserve">2023    </t>
        </is>
      </c>
      <c r="P112" s="491" t="inlineStr">
        <is>
          <t xml:space="preserve">2024 cumul    </t>
        </is>
      </c>
      <c r="Q112" s="94" t="inlineStr">
        <is>
          <t xml:space="preserve">2023 cumul    </t>
        </is>
      </c>
      <c r="R112" s="474" t="n"/>
      <c r="S112" s="491" t="inlineStr">
        <is>
          <t>2024</t>
        </is>
      </c>
      <c r="T112" s="492" t="inlineStr">
        <is>
          <t>2023</t>
        </is>
      </c>
      <c r="U112" s="491" t="inlineStr">
        <is>
          <t>2024 cumul</t>
        </is>
      </c>
      <c r="V112" s="493" t="inlineStr">
        <is>
          <t>2023 cumul</t>
        </is>
      </c>
    </row>
    <row r="113" ht="11.65" customHeight="1" s="161">
      <c r="A113" s="494" t="inlineStr">
        <is>
          <t>Janvier</t>
        </is>
      </c>
      <c r="B113" s="366">
        <f>IF(DONNÉES!BO44="","",DONNÉES!BO44)</f>
        <v/>
      </c>
      <c r="C113" s="495">
        <f>IF(TRDTH4[[#This Row],[2024]]="","",DONNÉES!BP44)</f>
        <v/>
      </c>
      <c r="D113" s="366">
        <f>IF(TRDTH4[[#This Row],[2024]]="","",DONNÉES!BO124)</f>
        <v/>
      </c>
      <c r="E113" s="496">
        <f>IF(TRDTH4[[#This Row],[2024]]="","",DONNÉES!BP124)</f>
        <v/>
      </c>
      <c r="F113" s="366">
        <f>IF(TRDTH4[[#This Row],[2024]]="","",DONNÉES!BO60)</f>
        <v/>
      </c>
      <c r="G113" s="495">
        <f>IF(TRDTH4[[#This Row],[2024]]="","",DONNÉES!BP60)</f>
        <v/>
      </c>
      <c r="H113" s="366">
        <f>IF(TRDTH4[[#This Row],[2024]]="","",DONNÉES!BO140)</f>
        <v/>
      </c>
      <c r="I113" s="496">
        <f>IF(TRDTH4[[#This Row],[2024]]="","",DONNÉES!BP140)</f>
        <v/>
      </c>
      <c r="J113" s="366">
        <f>IF(TRDTH4[[#This Row],[2024]]="","",DONNÉES!BO76)</f>
        <v/>
      </c>
      <c r="K113" s="495">
        <f>IF(TRDTH4[[#This Row],[2024]]="","",DONNÉES!BP76)</f>
        <v/>
      </c>
      <c r="L113" s="366">
        <f>IF(TRDTH4[[#This Row],[2024]]="","",DONNÉES!BO156)</f>
        <v/>
      </c>
      <c r="M113" s="496">
        <f>IF(TRDTH4[[#This Row],[2024]]="","",DONNÉES!BP156)</f>
        <v/>
      </c>
      <c r="N113" s="366">
        <f>IF(TRDTH4[[#This Row],[2024]]="","",DONNÉES!BO92)</f>
        <v/>
      </c>
      <c r="O113" s="495">
        <f>IF(TRDTH4[[#This Row],[2024]]="","",DONNÉES!BP92)</f>
        <v/>
      </c>
      <c r="P113" s="366">
        <f>IF(TRDTH4[[#This Row],[2024]]="","",DONNÉES!BO172)</f>
        <v/>
      </c>
      <c r="Q113" s="366">
        <f>IF(TRDTH4[[#This Row],[2024]]="","",DONNÉES!BP172)</f>
        <v/>
      </c>
      <c r="S113" s="366">
        <f>IF(TRDTH4[[#This Row],[2024]]="","",DONNÉES!BO108)</f>
        <v/>
      </c>
      <c r="T113" s="495">
        <f>IF(TRDTH4[[#This Row],[2024]]="","",DONNÉES!BP108)</f>
        <v/>
      </c>
      <c r="U113" s="366">
        <f>IF(TRDTH4[[#This Row],[2024]]="","",DONNÉES!BO188)</f>
        <v/>
      </c>
      <c r="V113" s="366">
        <f>IF(TRDTH4[[#This Row],[2024]]="","",DONNÉES!BP188)</f>
        <v/>
      </c>
    </row>
    <row r="114" ht="11.65" customHeight="1" s="161">
      <c r="A114" s="494" t="inlineStr">
        <is>
          <t>Février</t>
        </is>
      </c>
      <c r="B114" s="366">
        <f>IF(DONNÉES!BO45="","",DONNÉES!BO45)</f>
        <v/>
      </c>
      <c r="C114" s="495">
        <f>IF(TRDTH4[[#This Row],[2024]]="","",DONNÉES!BP45)</f>
        <v/>
      </c>
      <c r="D114" s="366">
        <f>IF(TRDTH4[[#This Row],[2024]]="","",DONNÉES!BO125)</f>
        <v/>
      </c>
      <c r="E114" s="496">
        <f>IF(TRDTH4[[#This Row],[2024]]="","",DONNÉES!BP125)</f>
        <v/>
      </c>
      <c r="F114" s="366">
        <f>IF(TRDTH4[[#This Row],[2024]]="","",DONNÉES!BO61)</f>
        <v/>
      </c>
      <c r="G114" s="495">
        <f>IF(TRDTH4[[#This Row],[2024]]="","",DONNÉES!BP61)</f>
        <v/>
      </c>
      <c r="H114" s="366">
        <f>IF(TRDTH4[[#This Row],[2024]]="","",DONNÉES!BO141)</f>
        <v/>
      </c>
      <c r="I114" s="496">
        <f>IF(TRDTH4[[#This Row],[2024]]="","",DONNÉES!BP141)</f>
        <v/>
      </c>
      <c r="J114" s="366">
        <f>IF(TRDTH4[[#This Row],[2024]]="","",DONNÉES!BO77)</f>
        <v/>
      </c>
      <c r="K114" s="495">
        <f>IF(TRDTH4[[#This Row],[2024]]="","",DONNÉES!BP77)</f>
        <v/>
      </c>
      <c r="L114" s="366">
        <f>IF(TRDTH4[[#This Row],[2024]]="","",DONNÉES!BO157)</f>
        <v/>
      </c>
      <c r="M114" s="496">
        <f>IF(TRDTH4[[#This Row],[2024]]="","",DONNÉES!BP157)</f>
        <v/>
      </c>
      <c r="N114" s="366">
        <f>IF(TRDTH4[[#This Row],[2024]]="","",DONNÉES!BO93)</f>
        <v/>
      </c>
      <c r="O114" s="495">
        <f>IF(TRDTH4[[#This Row],[2024]]="","",DONNÉES!BP93)</f>
        <v/>
      </c>
      <c r="P114" s="366">
        <f>IF(TRDTH4[[#This Row],[2024]]="","",DONNÉES!BO173)</f>
        <v/>
      </c>
      <c r="Q114" s="366">
        <f>IF(TRDTH4[[#This Row],[2024]]="","",DONNÉES!BP173)</f>
        <v/>
      </c>
      <c r="S114" s="366">
        <f>IF(TRDTH4[[#This Row],[2024]]="","",DONNÉES!BO109)</f>
        <v/>
      </c>
      <c r="T114" s="495">
        <f>IF(TRDTH4[[#This Row],[2024]]="","",DONNÉES!BP109)</f>
        <v/>
      </c>
      <c r="U114" s="366">
        <f>IF(TRDTH4[[#This Row],[2024]]="","",DONNÉES!BO189)</f>
        <v/>
      </c>
      <c r="V114" s="366">
        <f>IF(TRDTH4[[#This Row],[2024]]="","",DONNÉES!BP189)</f>
        <v/>
      </c>
    </row>
    <row r="115" ht="11.65" customHeight="1" s="161">
      <c r="A115" s="490" t="inlineStr">
        <is>
          <t>Mars</t>
        </is>
      </c>
      <c r="B115" s="366">
        <f>IF(DONNÉES!BO46="","",DONNÉES!BO46)</f>
        <v/>
      </c>
      <c r="C115" s="495">
        <f>IF(TRDTH4[[#This Row],[2024]]="","",DONNÉES!BP46)</f>
        <v/>
      </c>
      <c r="D115" s="366">
        <f>IF(TRDTH4[[#This Row],[2024]]="","",DONNÉES!BO126)</f>
        <v/>
      </c>
      <c r="E115" s="496">
        <f>IF(TRDTH4[[#This Row],[2024]]="","",DONNÉES!BP126)</f>
        <v/>
      </c>
      <c r="F115" s="366">
        <f>IF(TRDTH4[[#This Row],[2024]]="","",DONNÉES!BO62)</f>
        <v/>
      </c>
      <c r="G115" s="495">
        <f>IF(TRDTH4[[#This Row],[2024]]="","",DONNÉES!BP62)</f>
        <v/>
      </c>
      <c r="H115" s="366">
        <f>IF(TRDTH4[[#This Row],[2024]]="","",DONNÉES!BO142)</f>
        <v/>
      </c>
      <c r="I115" s="496">
        <f>IF(TRDTH4[[#This Row],[2024]]="","",DONNÉES!BP142)</f>
        <v/>
      </c>
      <c r="J115" s="366">
        <f>IF(TRDTH4[[#This Row],[2024]]="","",DONNÉES!BO78)</f>
        <v/>
      </c>
      <c r="K115" s="495">
        <f>IF(TRDTH4[[#This Row],[2024]]="","",DONNÉES!BP78)</f>
        <v/>
      </c>
      <c r="L115" s="366">
        <f>IF(TRDTH4[[#This Row],[2024]]="","",DONNÉES!BO158)</f>
        <v/>
      </c>
      <c r="M115" s="496">
        <f>IF(TRDTH4[[#This Row],[2024]]="","",DONNÉES!BP158)</f>
        <v/>
      </c>
      <c r="N115" s="366">
        <f>IF(TRDTH4[[#This Row],[2024]]="","",DONNÉES!BO94)</f>
        <v/>
      </c>
      <c r="O115" s="495">
        <f>IF(TRDTH4[[#This Row],[2024]]="","",DONNÉES!BP94)</f>
        <v/>
      </c>
      <c r="P115" s="366">
        <f>IF(TRDTH4[[#This Row],[2024]]="","",DONNÉES!BO174)</f>
        <v/>
      </c>
      <c r="Q115" s="366">
        <f>IF(TRDTH4[[#This Row],[2024]]="","",DONNÉES!BP174)</f>
        <v/>
      </c>
      <c r="S115" s="366">
        <f>IF(TRDTH4[[#This Row],[2024]]="","",DONNÉES!BO110)</f>
        <v/>
      </c>
      <c r="T115" s="495">
        <f>IF(TRDTH4[[#This Row],[2024]]="","",DONNÉES!BP110)</f>
        <v/>
      </c>
      <c r="U115" s="366">
        <f>IF(TRDTH4[[#This Row],[2024]]="","",DONNÉES!BO190)</f>
        <v/>
      </c>
      <c r="V115" s="366">
        <f>IF(TRDTH4[[#This Row],[2024]]="","",DONNÉES!BP190)</f>
        <v/>
      </c>
    </row>
    <row r="116" ht="11.65" customFormat="1" customHeight="1" s="476">
      <c r="A116" s="494" t="inlineStr">
        <is>
          <t>Avril</t>
        </is>
      </c>
      <c r="B116" s="366">
        <f>IF(DONNÉES!BO47="","",DONNÉES!BO47)</f>
        <v/>
      </c>
      <c r="C116" s="495">
        <f>IF(TRDTH4[[#This Row],[2024]]="","",DONNÉES!BP47)</f>
        <v/>
      </c>
      <c r="D116" s="366">
        <f>IF(TRDTH4[[#This Row],[2024]]="","",DONNÉES!BO127)</f>
        <v/>
      </c>
      <c r="E116" s="496">
        <f>IF(TRDTH4[[#This Row],[2024]]="","",DONNÉES!BP127)</f>
        <v/>
      </c>
      <c r="F116" s="366">
        <f>IF(TRDTH4[[#This Row],[2024]]="","",DONNÉES!BO63)</f>
        <v/>
      </c>
      <c r="G116" s="495">
        <f>IF(TRDTH4[[#This Row],[2024]]="","",DONNÉES!BP63)</f>
        <v/>
      </c>
      <c r="H116" s="366">
        <f>IF(TRDTH4[[#This Row],[2024]]="","",DONNÉES!BO143)</f>
        <v/>
      </c>
      <c r="I116" s="496">
        <f>IF(TRDTH4[[#This Row],[2024]]="","",DONNÉES!BP143)</f>
        <v/>
      </c>
      <c r="J116" s="366">
        <f>IF(TRDTH4[[#This Row],[2024]]="","",DONNÉES!BO79)</f>
        <v/>
      </c>
      <c r="K116" s="495">
        <f>IF(TRDTH4[[#This Row],[2024]]="","",DONNÉES!BP79)</f>
        <v/>
      </c>
      <c r="L116" s="366">
        <f>IF(TRDTH4[[#This Row],[2024]]="","",DONNÉES!BO159)</f>
        <v/>
      </c>
      <c r="M116" s="496">
        <f>IF(TRDTH4[[#This Row],[2024]]="","",DONNÉES!BP159)</f>
        <v/>
      </c>
      <c r="N116" s="366">
        <f>IF(TRDTH4[[#This Row],[2024]]="","",DONNÉES!BO95)</f>
        <v/>
      </c>
      <c r="O116" s="495">
        <f>IF(TRDTH4[[#This Row],[2024]]="","",DONNÉES!BP95)</f>
        <v/>
      </c>
      <c r="P116" s="366">
        <f>IF(TRDTH4[[#This Row],[2024]]="","",DONNÉES!BO175)</f>
        <v/>
      </c>
      <c r="Q116" s="366">
        <f>IF(TRDTH4[[#This Row],[2024]]="","",DONNÉES!BP175)</f>
        <v/>
      </c>
      <c r="R116" s="498" t="n"/>
      <c r="S116" s="366">
        <f>IF(TRDTH4[[#This Row],[2024]]="","",DONNÉES!BO111)</f>
        <v/>
      </c>
      <c r="T116" s="495">
        <f>IF(TRDTH4[[#This Row],[2024]]="","",DONNÉES!BP111)</f>
        <v/>
      </c>
      <c r="U116" s="366">
        <f>IF(TRDTH4[[#This Row],[2024]]="","",DONNÉES!BO191)</f>
        <v/>
      </c>
      <c r="V116" s="366">
        <f>IF(TRDTH4[[#This Row],[2024]]="","",DONNÉES!BP191)</f>
        <v/>
      </c>
    </row>
    <row r="117" ht="11.65" customFormat="1" customHeight="1" s="476">
      <c r="A117" s="490" t="inlineStr">
        <is>
          <t>Mai</t>
        </is>
      </c>
      <c r="B117" s="366">
        <f>IF(DONNÉES!BO48="","",DONNÉES!BO48)</f>
        <v/>
      </c>
      <c r="C117" s="495">
        <f>IF(TRDTH4[[#This Row],[2024]]="","",DONNÉES!BP48)</f>
        <v/>
      </c>
      <c r="D117" s="366">
        <f>IF(TRDTH4[[#This Row],[2024]]="","",DONNÉES!BO128)</f>
        <v/>
      </c>
      <c r="E117" s="496">
        <f>IF(TRDTH4[[#This Row],[2024]]="","",DONNÉES!BP128)</f>
        <v/>
      </c>
      <c r="F117" s="366">
        <f>IF(TRDTH4[[#This Row],[2024]]="","",DONNÉES!BO64)</f>
        <v/>
      </c>
      <c r="G117" s="495">
        <f>IF(TRDTH4[[#This Row],[2024]]="","",DONNÉES!BP64)</f>
        <v/>
      </c>
      <c r="H117" s="366">
        <f>IF(TRDTH4[[#This Row],[2024]]="","",DONNÉES!BO144)</f>
        <v/>
      </c>
      <c r="I117" s="496">
        <f>IF(TRDTH4[[#This Row],[2024]]="","",DONNÉES!BP144)</f>
        <v/>
      </c>
      <c r="J117" s="366">
        <f>IF(TRDTH4[[#This Row],[2024]]="","",DONNÉES!BO80)</f>
        <v/>
      </c>
      <c r="K117" s="495">
        <f>IF(TRDTH4[[#This Row],[2024]]="","",DONNÉES!BP80)</f>
        <v/>
      </c>
      <c r="L117" s="366">
        <f>IF(TRDTH4[[#This Row],[2024]]="","",DONNÉES!BO160)</f>
        <v/>
      </c>
      <c r="M117" s="496">
        <f>IF(TRDTH4[[#This Row],[2024]]="","",DONNÉES!BP160)</f>
        <v/>
      </c>
      <c r="N117" s="366">
        <f>IF(TRDTH4[[#This Row],[2024]]="","",DONNÉES!BO96)</f>
        <v/>
      </c>
      <c r="O117" s="495">
        <f>IF(TRDTH4[[#This Row],[2024]]="","",DONNÉES!BP96)</f>
        <v/>
      </c>
      <c r="P117" s="366">
        <f>IF(TRDTH4[[#This Row],[2024]]="","",DONNÉES!BO176)</f>
        <v/>
      </c>
      <c r="Q117" s="366">
        <f>IF(TRDTH4[[#This Row],[2024]]="","",DONNÉES!BP176)</f>
        <v/>
      </c>
      <c r="R117" s="498" t="n"/>
      <c r="S117" s="366">
        <f>IF(TRDTH4[[#This Row],[2024]]="","",DONNÉES!BO112)</f>
        <v/>
      </c>
      <c r="T117" s="495">
        <f>IF(TRDTH4[[#This Row],[2024]]="","",DONNÉES!BP112)</f>
        <v/>
      </c>
      <c r="U117" s="366">
        <f>IF(TRDTH4[[#This Row],[2024]]="","",DONNÉES!BO192)</f>
        <v/>
      </c>
      <c r="V117" s="366">
        <f>IF(TRDTH4[[#This Row],[2024]]="","",DONNÉES!BP192)</f>
        <v/>
      </c>
    </row>
    <row r="118" ht="11.65" customFormat="1" customHeight="1" s="476">
      <c r="A118" s="494" t="inlineStr">
        <is>
          <t>Juin</t>
        </is>
      </c>
      <c r="B118" s="366">
        <f>IF(DONNÉES!BO49="","",DONNÉES!BO49)</f>
        <v/>
      </c>
      <c r="C118" s="495">
        <f>IF(TRDTH4[[#This Row],[2024]]="","",DONNÉES!BP49)</f>
        <v/>
      </c>
      <c r="D118" s="366">
        <f>IF(TRDTH4[[#This Row],[2024]]="","",DONNÉES!BO129)</f>
        <v/>
      </c>
      <c r="E118" s="496">
        <f>IF(TRDTH4[[#This Row],[2024]]="","",DONNÉES!BP129)</f>
        <v/>
      </c>
      <c r="F118" s="366">
        <f>IF(TRDTH4[[#This Row],[2024]]="","",DONNÉES!BO65)</f>
        <v/>
      </c>
      <c r="G118" s="495">
        <f>IF(TRDTH4[[#This Row],[2024]]="","",DONNÉES!BP65)</f>
        <v/>
      </c>
      <c r="H118" s="366">
        <f>IF(TRDTH4[[#This Row],[2024]]="","",DONNÉES!BO145)</f>
        <v/>
      </c>
      <c r="I118" s="496">
        <f>IF(TRDTH4[[#This Row],[2024]]="","",DONNÉES!BP145)</f>
        <v/>
      </c>
      <c r="J118" s="366">
        <f>IF(TRDTH4[[#This Row],[2024]]="","",DONNÉES!BO81)</f>
        <v/>
      </c>
      <c r="K118" s="495">
        <f>IF(TRDTH4[[#This Row],[2024]]="","",DONNÉES!BP81)</f>
        <v/>
      </c>
      <c r="L118" s="366">
        <f>IF(TRDTH4[[#This Row],[2024]]="","",DONNÉES!BO161)</f>
        <v/>
      </c>
      <c r="M118" s="496">
        <f>IF(TRDTH4[[#This Row],[2024]]="","",DONNÉES!BP161)</f>
        <v/>
      </c>
      <c r="N118" s="366">
        <f>IF(TRDTH4[[#This Row],[2024]]="","",DONNÉES!BO97)</f>
        <v/>
      </c>
      <c r="O118" s="495">
        <f>IF(TRDTH4[[#This Row],[2024]]="","",DONNÉES!BP97)</f>
        <v/>
      </c>
      <c r="P118" s="366">
        <f>IF(TRDTH4[[#This Row],[2024]]="","",DONNÉES!BO177)</f>
        <v/>
      </c>
      <c r="Q118" s="366">
        <f>IF(TRDTH4[[#This Row],[2024]]="","",DONNÉES!BP177)</f>
        <v/>
      </c>
      <c r="R118" s="498" t="n"/>
      <c r="S118" s="366">
        <f>IF(TRDTH4[[#This Row],[2024]]="","",DONNÉES!BO113)</f>
        <v/>
      </c>
      <c r="T118" s="495">
        <f>IF(TRDTH4[[#This Row],[2024]]="","",DONNÉES!BP113)</f>
        <v/>
      </c>
      <c r="U118" s="366">
        <f>IF(TRDTH4[[#This Row],[2024]]="","",DONNÉES!BO193)</f>
        <v/>
      </c>
      <c r="V118" s="366">
        <f>IF(TRDTH4[[#This Row],[2024]]="","",DONNÉES!BP193)</f>
        <v/>
      </c>
    </row>
    <row r="119" ht="11.65" customHeight="1" s="161">
      <c r="A119" s="490" t="inlineStr">
        <is>
          <t>Juillet</t>
        </is>
      </c>
      <c r="B119" s="366">
        <f>IF(DONNÉES!BO50="","",DONNÉES!BO50)</f>
        <v/>
      </c>
      <c r="C119" s="495">
        <f>IF(TRDTH4[[#This Row],[2024]]="","",DONNÉES!BP50)</f>
        <v/>
      </c>
      <c r="D119" s="366">
        <f>IF(TRDTH4[[#This Row],[2024]]="","",DONNÉES!BO130)</f>
        <v/>
      </c>
      <c r="E119" s="496">
        <f>IF(TRDTH4[[#This Row],[2024]]="","",DONNÉES!BP130)</f>
        <v/>
      </c>
      <c r="F119" s="366">
        <f>IF(TRDTH4[[#This Row],[2024]]="","",DONNÉES!BO66)</f>
        <v/>
      </c>
      <c r="G119" s="495">
        <f>IF(TRDTH4[[#This Row],[2024]]="","",DONNÉES!BP66)</f>
        <v/>
      </c>
      <c r="H119" s="366">
        <f>IF(TRDTH4[[#This Row],[2024]]="","",DONNÉES!BO146)</f>
        <v/>
      </c>
      <c r="I119" s="496">
        <f>IF(TRDTH4[[#This Row],[2024]]="","",DONNÉES!BP146)</f>
        <v/>
      </c>
      <c r="J119" s="366">
        <f>IF(TRDTH4[[#This Row],[2024]]="","",DONNÉES!BO82)</f>
        <v/>
      </c>
      <c r="K119" s="495">
        <f>IF(TRDTH4[[#This Row],[2024]]="","",DONNÉES!BP82)</f>
        <v/>
      </c>
      <c r="L119" s="366">
        <f>IF(TRDTH4[[#This Row],[2024]]="","",DONNÉES!BO162)</f>
        <v/>
      </c>
      <c r="M119" s="496">
        <f>IF(TRDTH4[[#This Row],[2024]]="","",DONNÉES!BP162)</f>
        <v/>
      </c>
      <c r="N119" s="366">
        <f>IF(TRDTH4[[#This Row],[2024]]="","",DONNÉES!BO98)</f>
        <v/>
      </c>
      <c r="O119" s="495">
        <f>IF(TRDTH4[[#This Row],[2024]]="","",DONNÉES!BP98)</f>
        <v/>
      </c>
      <c r="P119" s="366">
        <f>IF(TRDTH4[[#This Row],[2024]]="","",DONNÉES!BO178)</f>
        <v/>
      </c>
      <c r="Q119" s="366">
        <f>IF(TRDTH4[[#This Row],[2024]]="","",DONNÉES!BP178)</f>
        <v/>
      </c>
      <c r="R119" s="499" t="n"/>
      <c r="S119" s="366">
        <f>IF(TRDTH4[[#This Row],[2024]]="","",DONNÉES!BO114)</f>
        <v/>
      </c>
      <c r="T119" s="495">
        <f>IF(TRDTH4[[#This Row],[2024]]="","",DONNÉES!BP114)</f>
        <v/>
      </c>
      <c r="U119" s="366">
        <f>IF(TRDTH4[[#This Row],[2024]]="","",DONNÉES!BO194)</f>
        <v/>
      </c>
      <c r="V119" s="366">
        <f>IF(TRDTH4[[#This Row],[2024]]="","",DONNÉES!BP194)</f>
        <v/>
      </c>
    </row>
    <row r="120" ht="11.65" customHeight="1" s="161">
      <c r="A120" s="494" t="inlineStr">
        <is>
          <t>Août</t>
        </is>
      </c>
      <c r="B120" s="366">
        <f>IF(DONNÉES!BO51="","",DONNÉES!BO51)</f>
        <v/>
      </c>
      <c r="C120" s="495">
        <f>IF(TRDTH4[[#This Row],[2024]]="","",DONNÉES!BP51)</f>
        <v/>
      </c>
      <c r="D120" s="366">
        <f>IF(TRDTH4[[#This Row],[2024]]="","",DONNÉES!BO131)</f>
        <v/>
      </c>
      <c r="E120" s="496">
        <f>IF(TRDTH4[[#This Row],[2024]]="","",DONNÉES!BP131)</f>
        <v/>
      </c>
      <c r="F120" s="366">
        <f>IF(TRDTH4[[#This Row],[2024]]="","",DONNÉES!BO67)</f>
        <v/>
      </c>
      <c r="G120" s="495">
        <f>IF(TRDTH4[[#This Row],[2024]]="","",DONNÉES!BP67)</f>
        <v/>
      </c>
      <c r="H120" s="366">
        <f>IF(TRDTH4[[#This Row],[2024]]="","",DONNÉES!BO147)</f>
        <v/>
      </c>
      <c r="I120" s="496">
        <f>IF(TRDTH4[[#This Row],[2024]]="","",DONNÉES!BP147)</f>
        <v/>
      </c>
      <c r="J120" s="366">
        <f>IF(TRDTH4[[#This Row],[2024]]="","",DONNÉES!BO83)</f>
        <v/>
      </c>
      <c r="K120" s="495">
        <f>IF(TRDTH4[[#This Row],[2024]]="","",DONNÉES!BP83)</f>
        <v/>
      </c>
      <c r="L120" s="366">
        <f>IF(TRDTH4[[#This Row],[2024]]="","",DONNÉES!BO163)</f>
        <v/>
      </c>
      <c r="M120" s="496">
        <f>IF(TRDTH4[[#This Row],[2024]]="","",DONNÉES!BP163)</f>
        <v/>
      </c>
      <c r="N120" s="366">
        <f>IF(TRDTH4[[#This Row],[2024]]="","",DONNÉES!BO99)</f>
        <v/>
      </c>
      <c r="O120" s="495">
        <f>IF(TRDTH4[[#This Row],[2024]]="","",DONNÉES!BP99)</f>
        <v/>
      </c>
      <c r="P120" s="366">
        <f>IF(TRDTH4[[#This Row],[2024]]="","",DONNÉES!BO179)</f>
        <v/>
      </c>
      <c r="Q120" s="366">
        <f>IF(TRDTH4[[#This Row],[2024]]="","",DONNÉES!BP179)</f>
        <v/>
      </c>
      <c r="R120" s="499" t="n"/>
      <c r="S120" s="366">
        <f>IF(TRDTH4[[#This Row],[2024]]="","",DONNÉES!BO115)</f>
        <v/>
      </c>
      <c r="T120" s="495">
        <f>IF(TRDTH4[[#This Row],[2024]]="","",DONNÉES!BP115)</f>
        <v/>
      </c>
      <c r="U120" s="366">
        <f>IF(TRDTH4[[#This Row],[2024]]="","",DONNÉES!BO195)</f>
        <v/>
      </c>
      <c r="V120" s="366">
        <f>IF(TRDTH4[[#This Row],[2024]]="","",DONNÉES!BP195)</f>
        <v/>
      </c>
    </row>
    <row r="121" ht="11.65" customHeight="1" s="161">
      <c r="A121" s="490" t="inlineStr">
        <is>
          <t>Septembre</t>
        </is>
      </c>
      <c r="B121" s="369">
        <f>IF(DONNÉES!BO52="","",DONNÉES!BO52)</f>
        <v/>
      </c>
      <c r="C121" s="501">
        <f>IF(TRDTH4[[#This Row],[2024]]="","",DONNÉES!BP52)</f>
        <v/>
      </c>
      <c r="D121" s="369">
        <f>IF(TRDTH4[[#This Row],[2024]]="","",DONNÉES!BO132)</f>
        <v/>
      </c>
      <c r="E121" s="500">
        <f>IF(TRDTH4[[#This Row],[2024]]="","",DONNÉES!BP132)</f>
        <v/>
      </c>
      <c r="F121" s="369">
        <f>IF(TRDTH4[[#This Row],[2024]]="","",DONNÉES!BO68)</f>
        <v/>
      </c>
      <c r="G121" s="501">
        <f>IF(TRDTH4[[#This Row],[2024]]="","",DONNÉES!BP68)</f>
        <v/>
      </c>
      <c r="H121" s="369">
        <f>IF(TRDTH4[[#This Row],[2024]]="","",DONNÉES!BO148)</f>
        <v/>
      </c>
      <c r="I121" s="500">
        <f>IF(TRDTH4[[#This Row],[2024]]="","",DONNÉES!BP148)</f>
        <v/>
      </c>
      <c r="J121" s="369">
        <f>IF(TRDTH4[[#This Row],[2024]]="","",DONNÉES!BO84)</f>
        <v/>
      </c>
      <c r="K121" s="501">
        <f>IF(TRDTH4[[#This Row],[2024]]="","",DONNÉES!BP84)</f>
        <v/>
      </c>
      <c r="L121" s="369">
        <f>IF(TRDTH4[[#This Row],[2024]]="","",DONNÉES!BO164)</f>
        <v/>
      </c>
      <c r="M121" s="500">
        <f>IF(TRDTH4[[#This Row],[2024]]="","",DONNÉES!BP164)</f>
        <v/>
      </c>
      <c r="N121" s="369">
        <f>IF(TRDTH4[[#This Row],[2024]]="","",DONNÉES!BO100)</f>
        <v/>
      </c>
      <c r="O121" s="501">
        <f>IF(TRDTH4[[#This Row],[2024]]="","",DONNÉES!BP100)</f>
        <v/>
      </c>
      <c r="P121" s="369">
        <f>IF(TRDTH4[[#This Row],[2024]]="","",DONNÉES!BO180)</f>
        <v/>
      </c>
      <c r="Q121" s="369">
        <f>IF(TRDTH4[[#This Row],[2024]]="","",DONNÉES!BP180)</f>
        <v/>
      </c>
      <c r="R121" s="499" t="n"/>
      <c r="S121" s="369">
        <f>IF(TRDTH4[[#This Row],[2024]]="","",DONNÉES!BO116)</f>
        <v/>
      </c>
      <c r="T121" s="501">
        <f>IF(TRDTH4[[#This Row],[2024]]="","",DONNÉES!BP116)</f>
        <v/>
      </c>
      <c r="U121" s="369">
        <f>IF(TRDTH4[[#This Row],[2024]]="","",DONNÉES!BO196)</f>
        <v/>
      </c>
      <c r="V121" s="369">
        <f>IF(TRDTH4[[#This Row],[2024]]="","",DONNÉES!BP196)</f>
        <v/>
      </c>
    </row>
    <row r="122" ht="11.65" customHeight="1" s="161">
      <c r="A122" s="494" t="inlineStr">
        <is>
          <t>Octobre</t>
        </is>
      </c>
      <c r="B122" s="369">
        <f>IF(DONNÉES!BO53="","",DONNÉES!BO53)</f>
        <v/>
      </c>
      <c r="C122" s="501">
        <f>IF(TRDTH4[[#This Row],[2024]]="","",DONNÉES!BP53)</f>
        <v/>
      </c>
      <c r="D122" s="369">
        <f>IF(TRDTH4[[#This Row],[2024]]="","",DONNÉES!BO133)</f>
        <v/>
      </c>
      <c r="E122" s="500">
        <f>IF(TRDTH4[[#This Row],[2024]]="","",DONNÉES!BP133)</f>
        <v/>
      </c>
      <c r="F122" s="369">
        <f>IF(TRDTH4[[#This Row],[2024]]="","",DONNÉES!BO69)</f>
        <v/>
      </c>
      <c r="G122" s="501">
        <f>IF(TRDTH4[[#This Row],[2024]]="","",DONNÉES!BP69)</f>
        <v/>
      </c>
      <c r="H122" s="369">
        <f>IF(TRDTH4[[#This Row],[2024]]="","",DONNÉES!BO149)</f>
        <v/>
      </c>
      <c r="I122" s="500">
        <f>IF(TRDTH4[[#This Row],[2024]]="","",DONNÉES!BP149)</f>
        <v/>
      </c>
      <c r="J122" s="369">
        <f>IF(TRDTH4[[#This Row],[2024]]="","",DONNÉES!BO85)</f>
        <v/>
      </c>
      <c r="K122" s="501">
        <f>IF(TRDTH4[[#This Row],[2024]]="","",DONNÉES!BP85)</f>
        <v/>
      </c>
      <c r="L122" s="369">
        <f>IF(TRDTH4[[#This Row],[2024]]="","",DONNÉES!BO165)</f>
        <v/>
      </c>
      <c r="M122" s="500">
        <f>IF(TRDTH4[[#This Row],[2024]]="","",DONNÉES!BP165)</f>
        <v/>
      </c>
      <c r="N122" s="369">
        <f>IF(TRDTH4[[#This Row],[2024]]="","",DONNÉES!BO101)</f>
        <v/>
      </c>
      <c r="O122" s="501">
        <f>IF(TRDTH4[[#This Row],[2024]]="","",DONNÉES!BP101)</f>
        <v/>
      </c>
      <c r="P122" s="369">
        <f>IF(TRDTH4[[#This Row],[2024]]="","",DONNÉES!BO181)</f>
        <v/>
      </c>
      <c r="Q122" s="369">
        <f>IF(TRDTH4[[#This Row],[2024]]="","",DONNÉES!BP181)</f>
        <v/>
      </c>
      <c r="R122" s="499" t="n"/>
      <c r="S122" s="369">
        <f>IF(TRDTH4[[#This Row],[2024]]="","",DONNÉES!BO117)</f>
        <v/>
      </c>
      <c r="T122" s="501">
        <f>IF(TRDTH4[[#This Row],[2024]]="","",DONNÉES!BP117)</f>
        <v/>
      </c>
      <c r="U122" s="369">
        <f>IF(TRDTH4[[#This Row],[2024]]="","",DONNÉES!BO197)</f>
        <v/>
      </c>
      <c r="V122" s="369">
        <f>IF(TRDTH4[[#This Row],[2024]]="","",DONNÉES!BP197)</f>
        <v/>
      </c>
    </row>
    <row r="123" ht="11.65" customHeight="1" s="161">
      <c r="A123" s="490" t="inlineStr">
        <is>
          <t>Novembre</t>
        </is>
      </c>
      <c r="B123" s="369">
        <f>IF(DONNÉES!BO54="","",DONNÉES!BO54)</f>
        <v/>
      </c>
      <c r="C123" s="501">
        <f>IF(TRDTH4[[#This Row],[2024]]="","",DONNÉES!BP54)</f>
        <v/>
      </c>
      <c r="D123" s="369">
        <f>IF(TRDTH4[[#This Row],[2024]]="","",DONNÉES!BO134)</f>
        <v/>
      </c>
      <c r="E123" s="500">
        <f>IF(TRDTH4[[#This Row],[2024]]="","",DONNÉES!BP134)</f>
        <v/>
      </c>
      <c r="F123" s="369">
        <f>IF(TRDTH4[[#This Row],[2024]]="","",DONNÉES!BO70)</f>
        <v/>
      </c>
      <c r="G123" s="501">
        <f>IF(TRDTH4[[#This Row],[2024]]="","",DONNÉES!BP70)</f>
        <v/>
      </c>
      <c r="H123" s="369">
        <f>IF(TRDTH4[[#This Row],[2024]]="","",DONNÉES!BO150)</f>
        <v/>
      </c>
      <c r="I123" s="500">
        <f>IF(TRDTH4[[#This Row],[2024]]="","",DONNÉES!BP150)</f>
        <v/>
      </c>
      <c r="J123" s="369">
        <f>IF(TRDTH4[[#This Row],[2024]]="","",DONNÉES!BO86)</f>
        <v/>
      </c>
      <c r="K123" s="501">
        <f>IF(TRDTH4[[#This Row],[2024]]="","",DONNÉES!BP86)</f>
        <v/>
      </c>
      <c r="L123" s="369">
        <f>IF(TRDTH4[[#This Row],[2024]]="","",DONNÉES!BO166)</f>
        <v/>
      </c>
      <c r="M123" s="500">
        <f>IF(TRDTH4[[#This Row],[2024]]="","",DONNÉES!BP166)</f>
        <v/>
      </c>
      <c r="N123" s="369">
        <f>IF(TRDTH4[[#This Row],[2024]]="","",DONNÉES!BO102)</f>
        <v/>
      </c>
      <c r="O123" s="501">
        <f>IF(TRDTH4[[#This Row],[2024]]="","",DONNÉES!BP102)</f>
        <v/>
      </c>
      <c r="P123" s="369">
        <f>IF(TRDTH4[[#This Row],[2024]]="","",DONNÉES!BO182)</f>
        <v/>
      </c>
      <c r="Q123" s="369">
        <f>IF(TRDTH4[[#This Row],[2024]]="","",DONNÉES!BP182)</f>
        <v/>
      </c>
      <c r="R123" s="499" t="n"/>
      <c r="S123" s="369">
        <f>IF(TRDTH4[[#This Row],[2024]]="","",DONNÉES!BO118)</f>
        <v/>
      </c>
      <c r="T123" s="501">
        <f>IF(TRDTH4[[#This Row],[2024]]="","",DONNÉES!BP118)</f>
        <v/>
      </c>
      <c r="U123" s="369">
        <f>IF(TRDTH4[[#This Row],[2024]]="","",DONNÉES!BO198)</f>
        <v/>
      </c>
      <c r="V123" s="369">
        <f>IF(TRDTH4[[#This Row],[2024]]="","",DONNÉES!BP198)</f>
        <v/>
      </c>
    </row>
    <row r="124" ht="11.65" customHeight="1" s="161">
      <c r="A124" s="490" t="inlineStr">
        <is>
          <t>Décembre</t>
        </is>
      </c>
      <c r="B124" s="369">
        <f>IF(DONNÉES!BO55="","",DONNÉES!BO55)</f>
        <v/>
      </c>
      <c r="C124" s="501">
        <f>IF(TRDTH4[[#This Row],[2024]]="","",DONNÉES!BP55)</f>
        <v/>
      </c>
      <c r="D124" s="369">
        <f>IF(TRDTH4[[#This Row],[2024]]="","",DONNÉES!BO135)</f>
        <v/>
      </c>
      <c r="E124" s="500">
        <f>IF(TRDTH4[[#This Row],[2024]]="","",DONNÉES!BP135)</f>
        <v/>
      </c>
      <c r="F124" s="369">
        <f>IF(TRDTH4[[#This Row],[2024]]="","",DONNÉES!BO71)</f>
        <v/>
      </c>
      <c r="G124" s="501">
        <f>IF(TRDTH4[[#This Row],[2024]]="","",DONNÉES!BP71)</f>
        <v/>
      </c>
      <c r="H124" s="369">
        <f>IF(TRDTH4[[#This Row],[2024]]="","",DONNÉES!BO151)</f>
        <v/>
      </c>
      <c r="I124" s="500">
        <f>IF(TRDTH4[[#This Row],[2024]]="","",DONNÉES!BP151)</f>
        <v/>
      </c>
      <c r="J124" s="369">
        <f>IF(TRDTH4[[#This Row],[2024]]="","",DONNÉES!BO87)</f>
        <v/>
      </c>
      <c r="K124" s="501">
        <f>IF(TRDTH4[[#This Row],[2024]]="","",DONNÉES!BP87)</f>
        <v/>
      </c>
      <c r="L124" s="369">
        <f>IF(TRDTH4[[#This Row],[2024]]="","",DONNÉES!BO167)</f>
        <v/>
      </c>
      <c r="M124" s="500">
        <f>IF(TRDTH4[[#This Row],[2024]]="","",DONNÉES!BP167)</f>
        <v/>
      </c>
      <c r="N124" s="369">
        <f>IF(TRDTH4[[#This Row],[2024]]="","",DONNÉES!BO103)</f>
        <v/>
      </c>
      <c r="O124" s="501">
        <f>IF(TRDTH4[[#This Row],[2024]]="","",DONNÉES!BP103)</f>
        <v/>
      </c>
      <c r="P124" s="369">
        <f>IF(TRDTH4[[#This Row],[2024]]="","",DONNÉES!BO183)</f>
        <v/>
      </c>
      <c r="Q124" s="369">
        <f>IF(TRDTH4[[#This Row],[2024]]="","",DONNÉES!BP183)</f>
        <v/>
      </c>
      <c r="R124" s="503" t="n"/>
      <c r="S124" s="369">
        <f>IF(TRDTH4[[#This Row],[2024]]="","",DONNÉES!BO119)</f>
        <v/>
      </c>
      <c r="T124" s="501">
        <f>IF(TRDTH4[[#This Row],[2024]]="","",DONNÉES!BP119)</f>
        <v/>
      </c>
      <c r="U124" s="369">
        <f>IF(TRDTH4[[#This Row],[2024]]="","",DONNÉES!BO199)</f>
        <v/>
      </c>
      <c r="V124" s="369">
        <f>IF(TRDTH4[[#This Row],[2024]]="","",DONNÉES!BP199)</f>
        <v/>
      </c>
    </row>
    <row r="125" ht="11.65" customHeight="1" s="161">
      <c r="A125" s="490" t="n"/>
      <c r="B125" s="369" t="n"/>
      <c r="C125" s="369" t="n"/>
      <c r="D125" s="369" t="n"/>
      <c r="E125" s="500" t="n"/>
      <c r="F125" s="369" t="n"/>
      <c r="G125" s="369" t="n"/>
      <c r="H125" s="369" t="n"/>
      <c r="I125" s="500" t="n"/>
      <c r="J125" s="369" t="n"/>
      <c r="K125" s="369" t="n"/>
      <c r="L125" s="369" t="n"/>
      <c r="M125" s="500" t="n"/>
      <c r="N125" s="369" t="n"/>
      <c r="O125" s="369" t="n"/>
      <c r="P125" s="369" t="n"/>
      <c r="Q125" s="369" t="n"/>
      <c r="R125" s="503" t="n"/>
      <c r="S125" s="369" t="n"/>
      <c r="T125" s="369" t="n"/>
      <c r="U125" s="369" t="n"/>
      <c r="V125" s="369" t="n"/>
    </row>
    <row r="126" ht="14.65" customFormat="1" customHeight="1" s="476">
      <c r="A126" s="516" t="n"/>
      <c r="B126" s="517" t="inlineStr">
        <is>
          <t>Sur place</t>
        </is>
      </c>
      <c r="C126" s="487" t="n"/>
      <c r="D126" s="487" t="n"/>
      <c r="E126" s="488" t="n"/>
      <c r="F126" s="517" t="inlineStr">
        <is>
          <t>A emporter</t>
        </is>
      </c>
      <c r="G126" s="487" t="n"/>
      <c r="H126" s="487" t="n"/>
      <c r="I126" s="488" t="n"/>
      <c r="J126" s="517" t="inlineStr">
        <is>
          <t>Mc Drive</t>
        </is>
      </c>
      <c r="K126" s="487" t="n"/>
      <c r="L126" s="487" t="n"/>
      <c r="M126" s="488" t="n"/>
      <c r="N126" s="518" t="inlineStr">
        <is>
          <t>Kiosque</t>
        </is>
      </c>
      <c r="O126" s="487" t="n"/>
      <c r="P126" s="487" t="n"/>
      <c r="Q126" s="487" t="n"/>
      <c r="R126" s="498" t="n"/>
      <c r="S126" s="518" t="inlineStr">
        <is>
          <t>Total</t>
        </is>
      </c>
      <c r="T126" s="487" t="n"/>
      <c r="U126" s="487" t="n"/>
      <c r="V126" s="487" t="n"/>
    </row>
    <row r="127" ht="28.9" customHeight="1" s="161">
      <c r="A127" s="490" t="inlineStr">
        <is>
          <t>TL DIVES</t>
        </is>
      </c>
      <c r="B127" s="491" t="inlineStr">
        <is>
          <t>2024</t>
        </is>
      </c>
      <c r="C127" s="492" t="inlineStr">
        <is>
          <t>2023</t>
        </is>
      </c>
      <c r="D127" s="491" t="inlineStr">
        <is>
          <t>2024 cumul</t>
        </is>
      </c>
      <c r="E127" s="493" t="inlineStr">
        <is>
          <t>2023 cumul</t>
        </is>
      </c>
      <c r="F127" s="211" t="inlineStr">
        <is>
          <t xml:space="preserve">2024  </t>
        </is>
      </c>
      <c r="G127" s="492" t="inlineStr">
        <is>
          <t xml:space="preserve">2023  </t>
        </is>
      </c>
      <c r="H127" s="491" t="inlineStr">
        <is>
          <t xml:space="preserve">2024 cumul </t>
        </is>
      </c>
      <c r="I127" s="493" t="inlineStr">
        <is>
          <t xml:space="preserve">2023 cumul </t>
        </is>
      </c>
      <c r="J127" s="491" t="inlineStr">
        <is>
          <t xml:space="preserve">2024   </t>
        </is>
      </c>
      <c r="K127" s="492" t="inlineStr">
        <is>
          <t xml:space="preserve">2023   </t>
        </is>
      </c>
      <c r="L127" s="491" t="inlineStr">
        <is>
          <t xml:space="preserve">2024 cumul   </t>
        </is>
      </c>
      <c r="M127" s="493" t="inlineStr">
        <is>
          <t xml:space="preserve">2023 cumul   </t>
        </is>
      </c>
      <c r="N127" s="491" t="inlineStr">
        <is>
          <t xml:space="preserve">2024    </t>
        </is>
      </c>
      <c r="O127" s="492" t="inlineStr">
        <is>
          <t xml:space="preserve">2023    </t>
        </is>
      </c>
      <c r="P127" s="491" t="inlineStr">
        <is>
          <t xml:space="preserve">2024 cumul    </t>
        </is>
      </c>
      <c r="Q127" s="94" t="inlineStr">
        <is>
          <t xml:space="preserve">2023 cumul    </t>
        </is>
      </c>
      <c r="S127" s="491" t="inlineStr">
        <is>
          <t>2024</t>
        </is>
      </c>
      <c r="T127" s="492" t="inlineStr">
        <is>
          <t>2023</t>
        </is>
      </c>
      <c r="U127" s="491" t="inlineStr">
        <is>
          <t>2024 cumul</t>
        </is>
      </c>
      <c r="V127" s="493" t="inlineStr">
        <is>
          <t>2023 cumul</t>
        </is>
      </c>
    </row>
    <row r="128" ht="11.65" customHeight="1" s="161">
      <c r="A128" s="494" t="inlineStr">
        <is>
          <t>Janvier</t>
        </is>
      </c>
      <c r="B128" s="366">
        <f>IF(DONNÉES!BW44="","",DONNÉES!BW44)</f>
        <v/>
      </c>
      <c r="C128" s="495">
        <f>IF(TRDDIVES[[#This Row],[2024]]="","",DONNÉES!BX44)</f>
        <v/>
      </c>
      <c r="D128" s="366">
        <f>IF(TRDDIVES[[#This Row],[2024]]="","",DONNÉES!BW124)</f>
        <v/>
      </c>
      <c r="E128" s="496">
        <f>IF(TRDDIVES[[#This Row],[2024]]="","",DONNÉES!BX124)</f>
        <v/>
      </c>
      <c r="F128" s="366">
        <f>IF(TRDDIVES[[#This Row],[2024]]="","",DONNÉES!BW60)</f>
        <v/>
      </c>
      <c r="G128" s="495">
        <f>IF(TRDDIVES[[#This Row],[2024]]="","",DONNÉES!BX60)</f>
        <v/>
      </c>
      <c r="H128" s="366">
        <f>IF(TRDDIVES[[#This Row],[2024]]="","",DONNÉES!BW140)</f>
        <v/>
      </c>
      <c r="I128" s="496">
        <f>IF(TRDDIVES[[#This Row],[2024]]="","",DONNÉES!BX140)</f>
        <v/>
      </c>
      <c r="J128" s="366">
        <f>IF(TRDDIVES[[#This Row],[2024]]="","",DONNÉES!BW76)</f>
        <v/>
      </c>
      <c r="K128" s="495">
        <f>IF(TRDDIVES[[#This Row],[2024]]="","",DONNÉES!BX76)</f>
        <v/>
      </c>
      <c r="L128" s="366">
        <f>IF(TRDDIVES[[#This Row],[2024]]="","",DONNÉES!BW156)</f>
        <v/>
      </c>
      <c r="M128" s="496">
        <f>IF(TRDDIVES[[#This Row],[2024]]="","",DONNÉES!BX156)</f>
        <v/>
      </c>
      <c r="N128" s="366">
        <f>IF(TRDDIVES[[#This Row],[2024]]="","",DONNÉES!BW92)</f>
        <v/>
      </c>
      <c r="O128" s="495">
        <f>IF(TRDDIVES[[#This Row],[2024]]="","",DONNÉES!BX92)</f>
        <v/>
      </c>
      <c r="P128" s="366">
        <f>IF(TRDDIVES[[#This Row],[2024]]="","",DONNÉES!BW172)</f>
        <v/>
      </c>
      <c r="Q128" s="366">
        <f>IF(TRDDIVES[[#This Row],[2024]]="","",DONNÉES!BX172)</f>
        <v/>
      </c>
      <c r="S128" s="366">
        <f>IF(TRDDIVES[[#This Row],[2024]]="","",DONNÉES!BW108)</f>
        <v/>
      </c>
      <c r="T128" s="495">
        <f>IF(TRDDIVES[[#This Row],[2024]]="","",DONNÉES!BX108)</f>
        <v/>
      </c>
      <c r="U128" s="495">
        <f>IF(TRDDIVES[[#This Row],[2024]]="","",DONNÉES!BW188)</f>
        <v/>
      </c>
      <c r="V128" s="366">
        <f>IF(TRDDIVES[[#This Row],[2024]]="","",DONNÉES!BX188)</f>
        <v/>
      </c>
    </row>
    <row r="129" ht="11.65" customHeight="1" s="161">
      <c r="A129" s="494" t="inlineStr">
        <is>
          <t>Février</t>
        </is>
      </c>
      <c r="B129" s="366">
        <f>IF(DONNÉES!BW45="","",DONNÉES!BW45)</f>
        <v/>
      </c>
      <c r="C129" s="495">
        <f>IF(TRDDIVES[[#This Row],[2024]]="","",DONNÉES!BX45)</f>
        <v/>
      </c>
      <c r="D129" s="366">
        <f>IF(TRDDIVES[[#This Row],[2024]]="","",DONNÉES!BW125)</f>
        <v/>
      </c>
      <c r="E129" s="496">
        <f>IF(TRDDIVES[[#This Row],[2024]]="","",DONNÉES!BX125)</f>
        <v/>
      </c>
      <c r="F129" s="366">
        <f>IF(TRDDIVES[[#This Row],[2024]]="","",DONNÉES!BW61)</f>
        <v/>
      </c>
      <c r="G129" s="495">
        <f>IF(TRDDIVES[[#This Row],[2024]]="","",DONNÉES!BX61)</f>
        <v/>
      </c>
      <c r="H129" s="366">
        <f>IF(TRDDIVES[[#This Row],[2024]]="","",DONNÉES!BW141)</f>
        <v/>
      </c>
      <c r="I129" s="496">
        <f>IF(TRDDIVES[[#This Row],[2024]]="","",DONNÉES!BX141)</f>
        <v/>
      </c>
      <c r="J129" s="366">
        <f>IF(TRDDIVES[[#This Row],[2024]]="","",DONNÉES!BW77)</f>
        <v/>
      </c>
      <c r="K129" s="495">
        <f>IF(TRDDIVES[[#This Row],[2024]]="","",DONNÉES!BX77)</f>
        <v/>
      </c>
      <c r="L129" s="366">
        <f>IF(TRDDIVES[[#This Row],[2024]]="","",DONNÉES!BW157)</f>
        <v/>
      </c>
      <c r="M129" s="496">
        <f>IF(TRDDIVES[[#This Row],[2024]]="","",DONNÉES!BX157)</f>
        <v/>
      </c>
      <c r="N129" s="366">
        <f>IF(TRDDIVES[[#This Row],[2024]]="","",DONNÉES!BW93)</f>
        <v/>
      </c>
      <c r="O129" s="495">
        <f>IF(TRDDIVES[[#This Row],[2024]]="","",DONNÉES!BX93)</f>
        <v/>
      </c>
      <c r="P129" s="366">
        <f>IF(TRDDIVES[[#This Row],[2024]]="","",DONNÉES!BW173)</f>
        <v/>
      </c>
      <c r="Q129" s="366">
        <f>IF(TRDDIVES[[#This Row],[2024]]="","",DONNÉES!BX173)</f>
        <v/>
      </c>
      <c r="S129" s="366">
        <f>IF(TRDDIVES[[#This Row],[2024]]="","",DONNÉES!BW109)</f>
        <v/>
      </c>
      <c r="T129" s="495">
        <f>IF(TRDDIVES[[#This Row],[2024]]="","",DONNÉES!BX109)</f>
        <v/>
      </c>
      <c r="U129" s="495">
        <f>IF(TRDDIVES[[#This Row],[2024]]="","",DONNÉES!BW189)</f>
        <v/>
      </c>
      <c r="V129" s="366">
        <f>IF(TRDDIVES[[#This Row],[2024]]="","",DONNÉES!BX189)</f>
        <v/>
      </c>
    </row>
    <row r="130" ht="11.65" customFormat="1" customHeight="1" s="476">
      <c r="A130" s="490" t="inlineStr">
        <is>
          <t>Mars</t>
        </is>
      </c>
      <c r="B130" s="366">
        <f>IF(DONNÉES!BW46="","",DONNÉES!BW46)</f>
        <v/>
      </c>
      <c r="C130" s="495">
        <f>IF(TRDDIVES[[#This Row],[2024]]="","",DONNÉES!BX46)</f>
        <v/>
      </c>
      <c r="D130" s="366">
        <f>IF(TRDDIVES[[#This Row],[2024]]="","",DONNÉES!BW126)</f>
        <v/>
      </c>
      <c r="E130" s="496">
        <f>IF(TRDDIVES[[#This Row],[2024]]="","",DONNÉES!BX126)</f>
        <v/>
      </c>
      <c r="F130" s="366">
        <f>IF(TRDDIVES[[#This Row],[2024]]="","",DONNÉES!BW62)</f>
        <v/>
      </c>
      <c r="G130" s="495">
        <f>IF(TRDDIVES[[#This Row],[2024]]="","",DONNÉES!BX62)</f>
        <v/>
      </c>
      <c r="H130" s="366">
        <f>IF(TRDDIVES[[#This Row],[2024]]="","",DONNÉES!BW142)</f>
        <v/>
      </c>
      <c r="I130" s="496">
        <f>IF(TRDDIVES[[#This Row],[2024]]="","",DONNÉES!BX142)</f>
        <v/>
      </c>
      <c r="J130" s="366">
        <f>IF(TRDDIVES[[#This Row],[2024]]="","",DONNÉES!BW78)</f>
        <v/>
      </c>
      <c r="K130" s="495">
        <f>IF(TRDDIVES[[#This Row],[2024]]="","",DONNÉES!BX78)</f>
        <v/>
      </c>
      <c r="L130" s="366">
        <f>IF(TRDDIVES[[#This Row],[2024]]="","",DONNÉES!BW158)</f>
        <v/>
      </c>
      <c r="M130" s="496">
        <f>IF(TRDDIVES[[#This Row],[2024]]="","",DONNÉES!BX158)</f>
        <v/>
      </c>
      <c r="N130" s="366">
        <f>IF(TRDDIVES[[#This Row],[2024]]="","",DONNÉES!BW94)</f>
        <v/>
      </c>
      <c r="O130" s="495">
        <f>IF(TRDDIVES[[#This Row],[2024]]="","",DONNÉES!BX94)</f>
        <v/>
      </c>
      <c r="P130" s="366">
        <f>IF(TRDDIVES[[#This Row],[2024]]="","",DONNÉES!BW174)</f>
        <v/>
      </c>
      <c r="Q130" s="366">
        <f>IF(TRDDIVES[[#This Row],[2024]]="","",DONNÉES!BX174)</f>
        <v/>
      </c>
      <c r="R130" s="498" t="n"/>
      <c r="S130" s="366">
        <f>IF(TRDDIVES[[#This Row],[2024]]="","",DONNÉES!BW110)</f>
        <v/>
      </c>
      <c r="T130" s="495">
        <f>IF(TRDDIVES[[#This Row],[2024]]="","",DONNÉES!BX110)</f>
        <v/>
      </c>
      <c r="U130" s="495">
        <f>IF(TRDDIVES[[#This Row],[2024]]="","",DONNÉES!BW190)</f>
        <v/>
      </c>
      <c r="V130" s="366">
        <f>IF(TRDDIVES[[#This Row],[2024]]="","",DONNÉES!BX190)</f>
        <v/>
      </c>
    </row>
    <row r="131" ht="11.65" customFormat="1" customHeight="1" s="476">
      <c r="A131" s="494" t="inlineStr">
        <is>
          <t>Avril</t>
        </is>
      </c>
      <c r="B131" s="366">
        <f>IF(DONNÉES!BW47="","",DONNÉES!BW47)</f>
        <v/>
      </c>
      <c r="C131" s="495">
        <f>IF(TRDDIVES[[#This Row],[2024]]="","",DONNÉES!BX47)</f>
        <v/>
      </c>
      <c r="D131" s="366">
        <f>IF(TRDDIVES[[#This Row],[2024]]="","",DONNÉES!BW127)</f>
        <v/>
      </c>
      <c r="E131" s="496">
        <f>IF(TRDDIVES[[#This Row],[2024]]="","",DONNÉES!BX127)</f>
        <v/>
      </c>
      <c r="F131" s="366">
        <f>IF(TRDDIVES[[#This Row],[2024]]="","",DONNÉES!BW63)</f>
        <v/>
      </c>
      <c r="G131" s="495">
        <f>IF(TRDDIVES[[#This Row],[2024]]="","",DONNÉES!BX63)</f>
        <v/>
      </c>
      <c r="H131" s="366">
        <f>IF(TRDDIVES[[#This Row],[2024]]="","",DONNÉES!BW143)</f>
        <v/>
      </c>
      <c r="I131" s="496">
        <f>IF(TRDDIVES[[#This Row],[2024]]="","",DONNÉES!BX143)</f>
        <v/>
      </c>
      <c r="J131" s="366">
        <f>IF(TRDDIVES[[#This Row],[2024]]="","",DONNÉES!BW79)</f>
        <v/>
      </c>
      <c r="K131" s="495">
        <f>IF(TRDDIVES[[#This Row],[2024]]="","",DONNÉES!BX79)</f>
        <v/>
      </c>
      <c r="L131" s="366">
        <f>IF(TRDDIVES[[#This Row],[2024]]="","",DONNÉES!BW159)</f>
        <v/>
      </c>
      <c r="M131" s="496">
        <f>IF(TRDDIVES[[#This Row],[2024]]="","",DONNÉES!BX159)</f>
        <v/>
      </c>
      <c r="N131" s="366">
        <f>IF(TRDDIVES[[#This Row],[2024]]="","",DONNÉES!BW95)</f>
        <v/>
      </c>
      <c r="O131" s="495">
        <f>IF(TRDDIVES[[#This Row],[2024]]="","",DONNÉES!BX95)</f>
        <v/>
      </c>
      <c r="P131" s="366">
        <f>IF(TRDDIVES[[#This Row],[2024]]="","",DONNÉES!BW175)</f>
        <v/>
      </c>
      <c r="Q131" s="366">
        <f>IF(TRDDIVES[[#This Row],[2024]]="","",DONNÉES!BX175)</f>
        <v/>
      </c>
      <c r="R131" s="498" t="n"/>
      <c r="S131" s="366">
        <f>IF(TRDDIVES[[#This Row],[2024]]="","",DONNÉES!BW111)</f>
        <v/>
      </c>
      <c r="T131" s="495">
        <f>IF(TRDDIVES[[#This Row],[2024]]="","",DONNÉES!BX111)</f>
        <v/>
      </c>
      <c r="U131" s="495">
        <f>IF(TRDDIVES[[#This Row],[2024]]="","",DONNÉES!BW191)</f>
        <v/>
      </c>
      <c r="V131" s="366">
        <f>IF(TRDDIVES[[#This Row],[2024]]="","",DONNÉES!BX191)</f>
        <v/>
      </c>
    </row>
    <row r="132" ht="11.65" customFormat="1" customHeight="1" s="476">
      <c r="A132" s="490" t="inlineStr">
        <is>
          <t>Mai</t>
        </is>
      </c>
      <c r="B132" s="366">
        <f>IF(DONNÉES!BW48="","",DONNÉES!BW48)</f>
        <v/>
      </c>
      <c r="C132" s="495">
        <f>IF(TRDDIVES[[#This Row],[2024]]="","",DONNÉES!BX48)</f>
        <v/>
      </c>
      <c r="D132" s="366">
        <f>IF(TRDDIVES[[#This Row],[2024]]="","",DONNÉES!BW128)</f>
        <v/>
      </c>
      <c r="E132" s="496">
        <f>IF(TRDDIVES[[#This Row],[2024]]="","",DONNÉES!BX128)</f>
        <v/>
      </c>
      <c r="F132" s="366">
        <f>IF(TRDDIVES[[#This Row],[2024]]="","",DONNÉES!BW64)</f>
        <v/>
      </c>
      <c r="G132" s="495">
        <f>IF(TRDDIVES[[#This Row],[2024]]="","",DONNÉES!BX64)</f>
        <v/>
      </c>
      <c r="H132" s="366">
        <f>IF(TRDDIVES[[#This Row],[2024]]="","",DONNÉES!BW144)</f>
        <v/>
      </c>
      <c r="I132" s="496">
        <f>IF(TRDDIVES[[#This Row],[2024]]="","",DONNÉES!BX144)</f>
        <v/>
      </c>
      <c r="J132" s="366">
        <f>IF(TRDDIVES[[#This Row],[2024]]="","",DONNÉES!BW80)</f>
        <v/>
      </c>
      <c r="K132" s="495">
        <f>IF(TRDDIVES[[#This Row],[2024]]="","",DONNÉES!BX80)</f>
        <v/>
      </c>
      <c r="L132" s="366">
        <f>IF(TRDDIVES[[#This Row],[2024]]="","",DONNÉES!BW160)</f>
        <v/>
      </c>
      <c r="M132" s="496">
        <f>IF(TRDDIVES[[#This Row],[2024]]="","",DONNÉES!BX160)</f>
        <v/>
      </c>
      <c r="N132" s="366">
        <f>IF(TRDDIVES[[#This Row],[2024]]="","",DONNÉES!BW96)</f>
        <v/>
      </c>
      <c r="O132" s="495">
        <f>IF(TRDDIVES[[#This Row],[2024]]="","",DONNÉES!BX96)</f>
        <v/>
      </c>
      <c r="P132" s="366">
        <f>IF(TRDDIVES[[#This Row],[2024]]="","",DONNÉES!BW176)</f>
        <v/>
      </c>
      <c r="Q132" s="366">
        <f>IF(TRDDIVES[[#This Row],[2024]]="","",DONNÉES!BX176)</f>
        <v/>
      </c>
      <c r="R132" s="498" t="n"/>
      <c r="S132" s="366">
        <f>IF(TRDDIVES[[#This Row],[2024]]="","",DONNÉES!BW112)</f>
        <v/>
      </c>
      <c r="T132" s="495">
        <f>IF(TRDDIVES[[#This Row],[2024]]="","",DONNÉES!BX112)</f>
        <v/>
      </c>
      <c r="U132" s="495">
        <f>IF(TRDDIVES[[#This Row],[2024]]="","",DONNÉES!BW192)</f>
        <v/>
      </c>
      <c r="V132" s="366">
        <f>IF(TRDDIVES[[#This Row],[2024]]="","",DONNÉES!BX192)</f>
        <v/>
      </c>
    </row>
    <row r="133" ht="11.65" customHeight="1" s="161">
      <c r="A133" s="494" t="inlineStr">
        <is>
          <t>Juin</t>
        </is>
      </c>
      <c r="B133" s="366">
        <f>IF(DONNÉES!BW49="","",DONNÉES!BW49)</f>
        <v/>
      </c>
      <c r="C133" s="495">
        <f>IF(TRDDIVES[[#This Row],[2024]]="","",DONNÉES!BX49)</f>
        <v/>
      </c>
      <c r="D133" s="366">
        <f>IF(TRDDIVES[[#This Row],[2024]]="","",DONNÉES!BW129)</f>
        <v/>
      </c>
      <c r="E133" s="496">
        <f>IF(TRDDIVES[[#This Row],[2024]]="","",DONNÉES!BX129)</f>
        <v/>
      </c>
      <c r="F133" s="366">
        <f>IF(TRDDIVES[[#This Row],[2024]]="","",DONNÉES!BW65)</f>
        <v/>
      </c>
      <c r="G133" s="495">
        <f>IF(TRDDIVES[[#This Row],[2024]]="","",DONNÉES!BX65)</f>
        <v/>
      </c>
      <c r="H133" s="366">
        <f>IF(TRDDIVES[[#This Row],[2024]]="","",DONNÉES!BW145)</f>
        <v/>
      </c>
      <c r="I133" s="496">
        <f>IF(TRDDIVES[[#This Row],[2024]]="","",DONNÉES!BX145)</f>
        <v/>
      </c>
      <c r="J133" s="366">
        <f>IF(TRDDIVES[[#This Row],[2024]]="","",DONNÉES!BW81)</f>
        <v/>
      </c>
      <c r="K133" s="495">
        <f>IF(TRDDIVES[[#This Row],[2024]]="","",DONNÉES!BX81)</f>
        <v/>
      </c>
      <c r="L133" s="366">
        <f>IF(TRDDIVES[[#This Row],[2024]]="","",DONNÉES!BW161)</f>
        <v/>
      </c>
      <c r="M133" s="496">
        <f>IF(TRDDIVES[[#This Row],[2024]]="","",DONNÉES!BX161)</f>
        <v/>
      </c>
      <c r="N133" s="366">
        <f>IF(TRDDIVES[[#This Row],[2024]]="","",DONNÉES!BW97)</f>
        <v/>
      </c>
      <c r="O133" s="495">
        <f>IF(TRDDIVES[[#This Row],[2024]]="","",DONNÉES!BX97)</f>
        <v/>
      </c>
      <c r="P133" s="366">
        <f>IF(TRDDIVES[[#This Row],[2024]]="","",DONNÉES!BW177)</f>
        <v/>
      </c>
      <c r="Q133" s="366">
        <f>IF(TRDDIVES[[#This Row],[2024]]="","",DONNÉES!BX177)</f>
        <v/>
      </c>
      <c r="R133" s="499" t="n"/>
      <c r="S133" s="366">
        <f>IF(TRDDIVES[[#This Row],[2024]]="","",DONNÉES!BW113)</f>
        <v/>
      </c>
      <c r="T133" s="495">
        <f>IF(TRDDIVES[[#This Row],[2024]]="","",DONNÉES!BX113)</f>
        <v/>
      </c>
      <c r="U133" s="495">
        <f>IF(TRDDIVES[[#This Row],[2024]]="","",DONNÉES!BW193)</f>
        <v/>
      </c>
      <c r="V133" s="366">
        <f>IF(TRDDIVES[[#This Row],[2024]]="","",DONNÉES!BX193)</f>
        <v/>
      </c>
    </row>
    <row r="134" ht="11.65" customHeight="1" s="161">
      <c r="A134" s="490" t="inlineStr">
        <is>
          <t>Juillet</t>
        </is>
      </c>
      <c r="B134" s="366">
        <f>IF(DONNÉES!BW50="","",DONNÉES!BW50)</f>
        <v/>
      </c>
      <c r="C134" s="495">
        <f>IF(TRDDIVES[[#This Row],[2024]]="","",DONNÉES!BX50)</f>
        <v/>
      </c>
      <c r="D134" s="366">
        <f>IF(TRDDIVES[[#This Row],[2024]]="","",DONNÉES!BW130)</f>
        <v/>
      </c>
      <c r="E134" s="496">
        <f>IF(TRDDIVES[[#This Row],[2024]]="","",DONNÉES!BX130)</f>
        <v/>
      </c>
      <c r="F134" s="366">
        <f>IF(TRDDIVES[[#This Row],[2024]]="","",DONNÉES!BW66)</f>
        <v/>
      </c>
      <c r="G134" s="495">
        <f>IF(TRDDIVES[[#This Row],[2024]]="","",DONNÉES!BX66)</f>
        <v/>
      </c>
      <c r="H134" s="366">
        <f>IF(TRDDIVES[[#This Row],[2024]]="","",DONNÉES!BW146)</f>
        <v/>
      </c>
      <c r="I134" s="496">
        <f>IF(TRDDIVES[[#This Row],[2024]]="","",DONNÉES!BX146)</f>
        <v/>
      </c>
      <c r="J134" s="366">
        <f>IF(TRDDIVES[[#This Row],[2024]]="","",DONNÉES!BW82)</f>
        <v/>
      </c>
      <c r="K134" s="495">
        <f>IF(TRDDIVES[[#This Row],[2024]]="","",DONNÉES!BX82)</f>
        <v/>
      </c>
      <c r="L134" s="366">
        <f>IF(TRDDIVES[[#This Row],[2024]]="","",DONNÉES!BW162)</f>
        <v/>
      </c>
      <c r="M134" s="496">
        <f>IF(TRDDIVES[[#This Row],[2024]]="","",DONNÉES!BX162)</f>
        <v/>
      </c>
      <c r="N134" s="366">
        <f>IF(TRDDIVES[[#This Row],[2024]]="","",DONNÉES!BW98)</f>
        <v/>
      </c>
      <c r="O134" s="495">
        <f>IF(TRDDIVES[[#This Row],[2024]]="","",DONNÉES!BX98)</f>
        <v/>
      </c>
      <c r="P134" s="366">
        <f>IF(TRDDIVES[[#This Row],[2024]]="","",DONNÉES!BW178)</f>
        <v/>
      </c>
      <c r="Q134" s="366">
        <f>IF(TRDDIVES[[#This Row],[2024]]="","",DONNÉES!BX178)</f>
        <v/>
      </c>
      <c r="R134" s="499" t="n"/>
      <c r="S134" s="366">
        <f>IF(TRDDIVES[[#This Row],[2024]]="","",DONNÉES!BW114)</f>
        <v/>
      </c>
      <c r="T134" s="495">
        <f>IF(TRDDIVES[[#This Row],[2024]]="","",DONNÉES!BX114)</f>
        <v/>
      </c>
      <c r="U134" s="495">
        <f>IF(TRDDIVES[[#This Row],[2024]]="","",DONNÉES!BW194)</f>
        <v/>
      </c>
      <c r="V134" s="366">
        <f>IF(TRDDIVES[[#This Row],[2024]]="","",DONNÉES!BX194)</f>
        <v/>
      </c>
    </row>
    <row r="135" ht="11.65" customHeight="1" s="161">
      <c r="A135" s="494" t="inlineStr">
        <is>
          <t>Août</t>
        </is>
      </c>
      <c r="B135" s="366">
        <f>IF(DONNÉES!BW51="","",DONNÉES!BW51)</f>
        <v/>
      </c>
      <c r="C135" s="495">
        <f>IF(TRDDIVES[[#This Row],[2024]]="","",DONNÉES!BX51)</f>
        <v/>
      </c>
      <c r="D135" s="366">
        <f>IF(TRDDIVES[[#This Row],[2024]]="","",DONNÉES!BW131)</f>
        <v/>
      </c>
      <c r="E135" s="496">
        <f>IF(TRDDIVES[[#This Row],[2024]]="","",DONNÉES!BX131)</f>
        <v/>
      </c>
      <c r="F135" s="366">
        <f>IF(TRDDIVES[[#This Row],[2024]]="","",DONNÉES!BW67)</f>
        <v/>
      </c>
      <c r="G135" s="495">
        <f>IF(TRDDIVES[[#This Row],[2024]]="","",DONNÉES!BX67)</f>
        <v/>
      </c>
      <c r="H135" s="366">
        <f>IF(TRDDIVES[[#This Row],[2024]]="","",DONNÉES!BW147)</f>
        <v/>
      </c>
      <c r="I135" s="496">
        <f>IF(TRDDIVES[[#This Row],[2024]]="","",DONNÉES!BX147)</f>
        <v/>
      </c>
      <c r="J135" s="366">
        <f>IF(TRDDIVES[[#This Row],[2024]]="","",DONNÉES!BW83)</f>
        <v/>
      </c>
      <c r="K135" s="495">
        <f>IF(TRDDIVES[[#This Row],[2024]]="","",DONNÉES!BX83)</f>
        <v/>
      </c>
      <c r="L135" s="366">
        <f>IF(TRDDIVES[[#This Row],[2024]]="","",DONNÉES!BW163)</f>
        <v/>
      </c>
      <c r="M135" s="496">
        <f>IF(TRDDIVES[[#This Row],[2024]]="","",DONNÉES!BX163)</f>
        <v/>
      </c>
      <c r="N135" s="366">
        <f>IF(TRDDIVES[[#This Row],[2024]]="","",DONNÉES!BW99)</f>
        <v/>
      </c>
      <c r="O135" s="495">
        <f>IF(TRDDIVES[[#This Row],[2024]]="","",DONNÉES!BX99)</f>
        <v/>
      </c>
      <c r="P135" s="366">
        <f>IF(TRDDIVES[[#This Row],[2024]]="","",DONNÉES!BW179)</f>
        <v/>
      </c>
      <c r="Q135" s="366">
        <f>IF(TRDDIVES[[#This Row],[2024]]="","",DONNÉES!BX179)</f>
        <v/>
      </c>
      <c r="R135" s="499" t="n"/>
      <c r="S135" s="366">
        <f>IF(TRDDIVES[[#This Row],[2024]]="","",DONNÉES!BW115)</f>
        <v/>
      </c>
      <c r="T135" s="495">
        <f>IF(TRDDIVES[[#This Row],[2024]]="","",DONNÉES!BX115)</f>
        <v/>
      </c>
      <c r="U135" s="495">
        <f>IF(TRDDIVES[[#This Row],[2024]]="","",DONNÉES!BW195)</f>
        <v/>
      </c>
      <c r="V135" s="366">
        <f>IF(TRDDIVES[[#This Row],[2024]]="","",DONNÉES!BX195)</f>
        <v/>
      </c>
    </row>
    <row r="136" ht="11.65" customHeight="1" s="161">
      <c r="A136" s="490" t="inlineStr">
        <is>
          <t>Septembre</t>
        </is>
      </c>
      <c r="B136" s="369">
        <f>IF(DONNÉES!BW52="","",DONNÉES!BW52)</f>
        <v/>
      </c>
      <c r="C136" s="501">
        <f>IF(TRDDIVES[[#This Row],[2024]]="","",DONNÉES!BX52)</f>
        <v/>
      </c>
      <c r="D136" s="369">
        <f>IF(TRDDIVES[[#This Row],[2024]]="","",DONNÉES!BW132)</f>
        <v/>
      </c>
      <c r="E136" s="500">
        <f>IF(TRDDIVES[[#This Row],[2024]]="","",DONNÉES!BX132)</f>
        <v/>
      </c>
      <c r="F136" s="369">
        <f>IF(TRDDIVES[[#This Row],[2024]]="","",DONNÉES!BW68)</f>
        <v/>
      </c>
      <c r="G136" s="501">
        <f>IF(TRDDIVES[[#This Row],[2024]]="","",DONNÉES!BX68)</f>
        <v/>
      </c>
      <c r="H136" s="369">
        <f>IF(TRDDIVES[[#This Row],[2024]]="","",DONNÉES!BW148)</f>
        <v/>
      </c>
      <c r="I136" s="500">
        <f>IF(TRDDIVES[[#This Row],[2024]]="","",DONNÉES!BX148)</f>
        <v/>
      </c>
      <c r="J136" s="369">
        <f>IF(TRDDIVES[[#This Row],[2024]]="","",DONNÉES!BW84)</f>
        <v/>
      </c>
      <c r="K136" s="501">
        <f>IF(TRDDIVES[[#This Row],[2024]]="","",DONNÉES!BX84)</f>
        <v/>
      </c>
      <c r="L136" s="369">
        <f>IF(TRDDIVES[[#This Row],[2024]]="","",DONNÉES!BW164)</f>
        <v/>
      </c>
      <c r="M136" s="500">
        <f>IF(TRDDIVES[[#This Row],[2024]]="","",DONNÉES!BX164)</f>
        <v/>
      </c>
      <c r="N136" s="369">
        <f>IF(TRDDIVES[[#This Row],[2024]]="","",DONNÉES!BW100)</f>
        <v/>
      </c>
      <c r="O136" s="501">
        <f>IF(TRDDIVES[[#This Row],[2024]]="","",DONNÉES!BX100)</f>
        <v/>
      </c>
      <c r="P136" s="369">
        <f>IF(TRDDIVES[[#This Row],[2024]]="","",DONNÉES!BW180)</f>
        <v/>
      </c>
      <c r="Q136" s="369">
        <f>IF(TRDDIVES[[#This Row],[2024]]="","",DONNÉES!BX180)</f>
        <v/>
      </c>
      <c r="R136" s="499" t="n"/>
      <c r="S136" s="369">
        <f>IF(TRDDIVES[[#This Row],[2024]]="","",DONNÉES!BW116)</f>
        <v/>
      </c>
      <c r="T136" s="501">
        <f>IF(TRDDIVES[[#This Row],[2024]]="","",DONNÉES!BX116)</f>
        <v/>
      </c>
      <c r="U136" s="501">
        <f>IF(TRDDIVES[[#This Row],[2024]]="","",DONNÉES!BW196)</f>
        <v/>
      </c>
      <c r="V136" s="369">
        <f>IF(TRDDIVES[[#This Row],[2024]]="","",DONNÉES!BX196)</f>
        <v/>
      </c>
    </row>
    <row r="137" ht="11.65" customHeight="1" s="161">
      <c r="A137" s="494" t="inlineStr">
        <is>
          <t>Octobre</t>
        </is>
      </c>
      <c r="B137" s="369">
        <f>IF(DONNÉES!BW53="","",DONNÉES!BW53)</f>
        <v/>
      </c>
      <c r="C137" s="501">
        <f>IF(TRDDIVES[[#This Row],[2024]]="","",DONNÉES!BX53)</f>
        <v/>
      </c>
      <c r="D137" s="369">
        <f>IF(TRDDIVES[[#This Row],[2024]]="","",DONNÉES!BW133)</f>
        <v/>
      </c>
      <c r="E137" s="500">
        <f>IF(TRDDIVES[[#This Row],[2024]]="","",DONNÉES!BX133)</f>
        <v/>
      </c>
      <c r="F137" s="369">
        <f>IF(TRDDIVES[[#This Row],[2024]]="","",DONNÉES!BW69)</f>
        <v/>
      </c>
      <c r="G137" s="501">
        <f>IF(TRDDIVES[[#This Row],[2024]]="","",DONNÉES!BX69)</f>
        <v/>
      </c>
      <c r="H137" s="369">
        <f>IF(TRDDIVES[[#This Row],[2024]]="","",DONNÉES!BW149)</f>
        <v/>
      </c>
      <c r="I137" s="500">
        <f>IF(TRDDIVES[[#This Row],[2024]]="","",DONNÉES!BX149)</f>
        <v/>
      </c>
      <c r="J137" s="369">
        <f>IF(TRDDIVES[[#This Row],[2024]]="","",DONNÉES!BW85)</f>
        <v/>
      </c>
      <c r="K137" s="501">
        <f>IF(TRDDIVES[[#This Row],[2024]]="","",DONNÉES!BX85)</f>
        <v/>
      </c>
      <c r="L137" s="369">
        <f>IF(TRDDIVES[[#This Row],[2024]]="","",DONNÉES!BW165)</f>
        <v/>
      </c>
      <c r="M137" s="500">
        <f>IF(TRDDIVES[[#This Row],[2024]]="","",DONNÉES!BX165)</f>
        <v/>
      </c>
      <c r="N137" s="369">
        <f>IF(TRDDIVES[[#This Row],[2024]]="","",DONNÉES!BW101)</f>
        <v/>
      </c>
      <c r="O137" s="501">
        <f>IF(TRDDIVES[[#This Row],[2024]]="","",DONNÉES!BX101)</f>
        <v/>
      </c>
      <c r="P137" s="369">
        <f>IF(TRDDIVES[[#This Row],[2024]]="","",DONNÉES!BW181)</f>
        <v/>
      </c>
      <c r="Q137" s="369">
        <f>IF(TRDDIVES[[#This Row],[2024]]="","",DONNÉES!BX181)</f>
        <v/>
      </c>
      <c r="R137" s="499" t="n"/>
      <c r="S137" s="369">
        <f>IF(TRDDIVES[[#This Row],[2024]]="","",DONNÉES!BW117)</f>
        <v/>
      </c>
      <c r="T137" s="501">
        <f>IF(TRDDIVES[[#This Row],[2024]]="","",DONNÉES!BX117)</f>
        <v/>
      </c>
      <c r="U137" s="501">
        <f>IF(TRDDIVES[[#This Row],[2024]]="","",DONNÉES!BW197)</f>
        <v/>
      </c>
      <c r="V137" s="369">
        <f>IF(TRDDIVES[[#This Row],[2024]]="","",DONNÉES!BX197)</f>
        <v/>
      </c>
    </row>
    <row r="138" ht="11.65" customHeight="1" s="161">
      <c r="A138" s="490" t="inlineStr">
        <is>
          <t>Novembre</t>
        </is>
      </c>
      <c r="B138" s="369">
        <f>IF(DONNÉES!BW54="","",DONNÉES!BW54)</f>
        <v/>
      </c>
      <c r="C138" s="501">
        <f>IF(TRDDIVES[[#This Row],[2024]]="","",DONNÉES!BX54)</f>
        <v/>
      </c>
      <c r="D138" s="369">
        <f>IF(TRDDIVES[[#This Row],[2024]]="","",DONNÉES!BW134)</f>
        <v/>
      </c>
      <c r="E138" s="500">
        <f>IF(TRDDIVES[[#This Row],[2024]]="","",DONNÉES!BX134)</f>
        <v/>
      </c>
      <c r="F138" s="369">
        <f>IF(TRDDIVES[[#This Row],[2024]]="","",DONNÉES!BW70)</f>
        <v/>
      </c>
      <c r="G138" s="501">
        <f>IF(TRDDIVES[[#This Row],[2024]]="","",DONNÉES!BX70)</f>
        <v/>
      </c>
      <c r="H138" s="369">
        <f>IF(TRDDIVES[[#This Row],[2024]]="","",DONNÉES!BW150)</f>
        <v/>
      </c>
      <c r="I138" s="500">
        <f>IF(TRDDIVES[[#This Row],[2024]]="","",DONNÉES!BX150)</f>
        <v/>
      </c>
      <c r="J138" s="369">
        <f>IF(TRDDIVES[[#This Row],[2024]]="","",DONNÉES!BW86)</f>
        <v/>
      </c>
      <c r="K138" s="501">
        <f>IF(TRDDIVES[[#This Row],[2024]]="","",DONNÉES!BX86)</f>
        <v/>
      </c>
      <c r="L138" s="369">
        <f>IF(TRDDIVES[[#This Row],[2024]]="","",DONNÉES!BW166)</f>
        <v/>
      </c>
      <c r="M138" s="500">
        <f>IF(TRDDIVES[[#This Row],[2024]]="","",DONNÉES!BX166)</f>
        <v/>
      </c>
      <c r="N138" s="369">
        <f>IF(TRDDIVES[[#This Row],[2024]]="","",DONNÉES!BW102)</f>
        <v/>
      </c>
      <c r="O138" s="501">
        <f>IF(TRDDIVES[[#This Row],[2024]]="","",DONNÉES!BX102)</f>
        <v/>
      </c>
      <c r="P138" s="369">
        <f>IF(TRDDIVES[[#This Row],[2024]]="","",DONNÉES!BW182)</f>
        <v/>
      </c>
      <c r="Q138" s="369">
        <f>IF(TRDDIVES[[#This Row],[2024]]="","",DONNÉES!BX182)</f>
        <v/>
      </c>
      <c r="R138" s="503" t="n"/>
      <c r="S138" s="369">
        <f>IF(TRDDIVES[[#This Row],[2024]]="","",DONNÉES!BW118)</f>
        <v/>
      </c>
      <c r="T138" s="501">
        <f>IF(TRDDIVES[[#This Row],[2024]]="","",DONNÉES!BX118)</f>
        <v/>
      </c>
      <c r="U138" s="501">
        <f>IF(TRDDIVES[[#This Row],[2024]]="","",DONNÉES!BW198)</f>
        <v/>
      </c>
      <c r="V138" s="369">
        <f>IF(TRDDIVES[[#This Row],[2024]]="","",DONNÉES!BX198)</f>
        <v/>
      </c>
    </row>
    <row r="139" ht="11.65" customHeight="1" s="161">
      <c r="A139" s="490" t="inlineStr">
        <is>
          <t>Décembre</t>
        </is>
      </c>
      <c r="B139" s="369">
        <f>IF(DONNÉES!BW55="","",DONNÉES!BW55)</f>
        <v/>
      </c>
      <c r="C139" s="501">
        <f>IF(TRDDIVES[[#This Row],[2024]]="","",DONNÉES!BX55)</f>
        <v/>
      </c>
      <c r="D139" s="369">
        <f>IF(TRDDIVES[[#This Row],[2024]]="","",DONNÉES!BW135)</f>
        <v/>
      </c>
      <c r="E139" s="500">
        <f>IF(TRDDIVES[[#This Row],[2024]]="","",DONNÉES!BX135)</f>
        <v/>
      </c>
      <c r="F139" s="369">
        <f>IF(TRDDIVES[[#This Row],[2024]]="","",DONNÉES!BW71)</f>
        <v/>
      </c>
      <c r="G139" s="501">
        <f>IF(TRDDIVES[[#This Row],[2024]]="","",DONNÉES!BX71)</f>
        <v/>
      </c>
      <c r="H139" s="369">
        <f>IF(TRDDIVES[[#This Row],[2024]]="","",DONNÉES!BW151)</f>
        <v/>
      </c>
      <c r="I139" s="500">
        <f>IF(TRDDIVES[[#This Row],[2024]]="","",DONNÉES!BX151)</f>
        <v/>
      </c>
      <c r="J139" s="369">
        <f>IF(TRDDIVES[[#This Row],[2024]]="","",DONNÉES!BW87)</f>
        <v/>
      </c>
      <c r="K139" s="501">
        <f>IF(TRDDIVES[[#This Row],[2024]]="","",DONNÉES!BX87)</f>
        <v/>
      </c>
      <c r="L139" s="369">
        <f>IF(TRDDIVES[[#This Row],[2024]]="","",DONNÉES!BW167)</f>
        <v/>
      </c>
      <c r="M139" s="500">
        <f>IF(TRDDIVES[[#This Row],[2024]]="","",DONNÉES!BX167)</f>
        <v/>
      </c>
      <c r="N139" s="369">
        <f>IF(TRDDIVES[[#This Row],[2024]]="","",DONNÉES!BW103)</f>
        <v/>
      </c>
      <c r="O139" s="501">
        <f>IF(TRDDIVES[[#This Row],[2024]]="","",DONNÉES!BX103)</f>
        <v/>
      </c>
      <c r="P139" s="369">
        <f>IF(TRDDIVES[[#This Row],[2024]]="","",DONNÉES!BW183)</f>
        <v/>
      </c>
      <c r="Q139" s="369">
        <f>IF(TRDDIVES[[#This Row],[2024]]="","",DONNÉES!BX183)</f>
        <v/>
      </c>
      <c r="R139" s="499" t="n"/>
      <c r="S139" s="369">
        <f>IF(TRDDIVES[[#This Row],[2024]]="","",DONNÉES!BW119)</f>
        <v/>
      </c>
      <c r="T139" s="501">
        <f>IF(TRDDIVES[[#This Row],[2024]]="","",DONNÉES!BX119)</f>
        <v/>
      </c>
      <c r="U139" s="501">
        <f>IF(TRDDIVES[[#This Row],[2024]]="","",DONNÉES!BW199)</f>
        <v/>
      </c>
      <c r="V139" s="369">
        <f>IF(TRDDIVES[[#This Row],[2024]]="","",DONNÉES!BX199)</f>
        <v/>
      </c>
    </row>
    <row r="140" ht="11.65" customHeight="1" s="161">
      <c r="A140" s="490" t="n"/>
      <c r="B140" s="369" t="n"/>
      <c r="C140" s="369" t="n"/>
      <c r="D140" s="369" t="n"/>
      <c r="E140" s="500" t="n"/>
      <c r="F140" s="369" t="n"/>
      <c r="G140" s="369" t="n"/>
      <c r="H140" s="369" t="n"/>
      <c r="I140" s="500" t="n"/>
      <c r="J140" s="369" t="n"/>
      <c r="K140" s="369" t="n"/>
      <c r="L140" s="369" t="n"/>
      <c r="M140" s="500" t="n"/>
      <c r="N140" s="369" t="n"/>
      <c r="O140" s="369" t="n"/>
      <c r="P140" s="369" t="n"/>
      <c r="Q140" s="369" t="n"/>
      <c r="R140" s="499" t="n"/>
      <c r="S140" s="369" t="n"/>
      <c r="T140" s="369" t="n"/>
      <c r="U140" s="369" t="n"/>
      <c r="V140" s="369" t="n"/>
    </row>
    <row r="141" ht="14.65" customFormat="1" customHeight="1" s="476">
      <c r="A141" s="516" t="n"/>
      <c r="B141" s="517" t="inlineStr">
        <is>
          <t>Sur place</t>
        </is>
      </c>
      <c r="C141" s="487" t="n"/>
      <c r="D141" s="487" t="n"/>
      <c r="E141" s="488" t="n"/>
      <c r="F141" s="517" t="inlineStr">
        <is>
          <t>A emporter</t>
        </is>
      </c>
      <c r="G141" s="487" t="n"/>
      <c r="H141" s="487" t="n"/>
      <c r="I141" s="488" t="n"/>
      <c r="J141" s="517" t="inlineStr">
        <is>
          <t>Mc Drive</t>
        </is>
      </c>
      <c r="K141" s="487" t="n"/>
      <c r="L141" s="487" t="n"/>
      <c r="M141" s="488" t="n"/>
      <c r="N141" s="518" t="inlineStr">
        <is>
          <t>Kiosque</t>
        </is>
      </c>
      <c r="O141" s="487" t="n"/>
      <c r="P141" s="487" t="n"/>
      <c r="Q141" s="487" t="n"/>
      <c r="R141" s="498" t="n"/>
      <c r="S141" s="518" t="inlineStr">
        <is>
          <t>Total</t>
        </is>
      </c>
      <c r="T141" s="487" t="n"/>
      <c r="U141" s="487" t="n"/>
      <c r="V141" s="487" t="n"/>
    </row>
    <row r="142" ht="14.65" customFormat="1" customHeight="1" s="476">
      <c r="A142" s="519" t="n"/>
      <c r="B142" s="520" t="n"/>
      <c r="C142" s="520" t="n"/>
      <c r="D142" s="520" t="n"/>
      <c r="E142" s="521" t="n"/>
      <c r="F142" s="520" t="n"/>
      <c r="G142" s="520" t="n"/>
      <c r="H142" s="520" t="n"/>
      <c r="I142" s="521" t="n"/>
      <c r="J142" s="520" t="n"/>
      <c r="K142" s="520" t="n"/>
      <c r="L142" s="520" t="n"/>
      <c r="M142" s="521" t="n"/>
      <c r="N142" s="520" t="n"/>
      <c r="O142" s="520" t="n"/>
      <c r="P142" s="520" t="n"/>
      <c r="Q142" s="520" t="n"/>
      <c r="R142" s="498" t="n"/>
      <c r="S142" s="520" t="n"/>
      <c r="T142" s="520" t="n"/>
      <c r="U142" s="520" t="n"/>
      <c r="V142" s="520" t="n"/>
    </row>
    <row r="143" ht="28.9" customHeight="1" s="161">
      <c r="A143" s="490" t="inlineStr">
        <is>
          <t>R3 14</t>
        </is>
      </c>
      <c r="B143" s="491" t="inlineStr">
        <is>
          <t>2024</t>
        </is>
      </c>
      <c r="C143" s="492" t="inlineStr">
        <is>
          <t>2023</t>
        </is>
      </c>
      <c r="D143" s="491" t="inlineStr">
        <is>
          <t>2024 cumul</t>
        </is>
      </c>
      <c r="E143" s="493" t="inlineStr">
        <is>
          <t>2023 cumul</t>
        </is>
      </c>
      <c r="F143" s="211" t="inlineStr">
        <is>
          <t xml:space="preserve">2024  </t>
        </is>
      </c>
      <c r="G143" s="492" t="inlineStr">
        <is>
          <t xml:space="preserve">2023  </t>
        </is>
      </c>
      <c r="H143" s="491" t="inlineStr">
        <is>
          <t xml:space="preserve">2024 cumul </t>
        </is>
      </c>
      <c r="I143" s="493" t="inlineStr">
        <is>
          <t xml:space="preserve">2023 cumul </t>
        </is>
      </c>
      <c r="J143" s="491" t="inlineStr">
        <is>
          <t xml:space="preserve">2024   </t>
        </is>
      </c>
      <c r="K143" s="492" t="inlineStr">
        <is>
          <t xml:space="preserve">2023   </t>
        </is>
      </c>
      <c r="L143" s="491" t="inlineStr">
        <is>
          <t xml:space="preserve">2024 cumul   </t>
        </is>
      </c>
      <c r="M143" s="493" t="inlineStr">
        <is>
          <t xml:space="preserve">2023 cumul   </t>
        </is>
      </c>
      <c r="N143" s="491" t="inlineStr">
        <is>
          <t xml:space="preserve">2024    </t>
        </is>
      </c>
      <c r="O143" s="492" t="inlineStr">
        <is>
          <t xml:space="preserve">2023    </t>
        </is>
      </c>
      <c r="P143" s="491" t="inlineStr">
        <is>
          <t xml:space="preserve">2024 cumul    </t>
        </is>
      </c>
      <c r="Q143" s="94" t="inlineStr">
        <is>
          <t xml:space="preserve">2023 cumul    </t>
        </is>
      </c>
      <c r="S143" s="491" t="inlineStr">
        <is>
          <t>2024</t>
        </is>
      </c>
      <c r="T143" s="492" t="inlineStr">
        <is>
          <t>2023</t>
        </is>
      </c>
      <c r="U143" s="491" t="inlineStr">
        <is>
          <t>2024 cumul</t>
        </is>
      </c>
      <c r="V143" s="493" t="inlineStr">
        <is>
          <t>2023 cumul</t>
        </is>
      </c>
    </row>
    <row r="144" ht="11.65" customFormat="1" customHeight="1" s="476">
      <c r="A144" s="494" t="inlineStr">
        <is>
          <t>Janvier</t>
        </is>
      </c>
      <c r="B144" s="366">
        <f>IF(DONNÉES!CE44="","",DONNÉES!CE44)</f>
        <v/>
      </c>
      <c r="C144" s="495">
        <f>IF(TRDR314[[#This Row],[2024]]="","",DONNÉES!CF44)</f>
        <v/>
      </c>
      <c r="D144" s="366">
        <f>IF(TRDR314[[#This Row],[2024]]="","",DONNÉES!CE124)</f>
        <v/>
      </c>
      <c r="E144" s="496">
        <f>IF(TRDR314[[#This Row],[2024]]="","",DONNÉES!CF124)</f>
        <v/>
      </c>
      <c r="F144" s="366">
        <f>IF(TRDR314[[#This Row],[2024]]="","",DONNÉES!CE60)</f>
        <v/>
      </c>
      <c r="G144" s="495">
        <f>IF(TRDR314[[#This Row],[2024]]="","",DONNÉES!CF60)</f>
        <v/>
      </c>
      <c r="H144" s="366">
        <f>IF(TRDR314[[#This Row],[2024]]="","",DONNÉES!CE140)</f>
        <v/>
      </c>
      <c r="I144" s="496">
        <f>IF(TRDR314[[#This Row],[2024]]="","",DONNÉES!CF140)</f>
        <v/>
      </c>
      <c r="J144" s="366">
        <f>IF(TRDR314[[#This Row],[2024]]="","",DONNÉES!CE76)</f>
        <v/>
      </c>
      <c r="K144" s="495">
        <f>IF(TRDR314[[#This Row],[2024]]="","",DONNÉES!CF76)</f>
        <v/>
      </c>
      <c r="L144" s="366">
        <f>IF(TRDR314[[#This Row],[2024]]="","",DONNÉES!CE156)</f>
        <v/>
      </c>
      <c r="M144" s="496">
        <f>IF(TRDR314[[#This Row],[2024]]="","",DONNÉES!CF156)</f>
        <v/>
      </c>
      <c r="N144" s="366">
        <f>IF(TRDR314[[#This Row],[2024]]="","",DONNÉES!CE92)</f>
        <v/>
      </c>
      <c r="O144" s="495">
        <f>IF(TRDR314[[#This Row],[2024]]="","",DONNÉES!CF92)</f>
        <v/>
      </c>
      <c r="P144" s="366">
        <f>IF(TRDR314[[#This Row],[2024]]="","",DONNÉES!CE172)</f>
        <v/>
      </c>
      <c r="Q144" s="497">
        <f>IF(TRDR314[[#This Row],[2024]]="","",DONNÉES!CF172)</f>
        <v/>
      </c>
      <c r="R144" s="498" t="n"/>
      <c r="S144" s="366">
        <f>IF(TRDR314[[#This Row],[2024]]="","",DONNÉES!CE108)</f>
        <v/>
      </c>
      <c r="T144" s="495">
        <f>IF(TRDR314[[#This Row],[2024]]="","",DONNÉES!CF108)</f>
        <v/>
      </c>
      <c r="U144" s="366">
        <f>IF(TRDR314[[#This Row],[2024]]="","",DONNÉES!CE188)</f>
        <v/>
      </c>
      <c r="V144" s="366">
        <f>IF(TRDR314[[#This Row],[2024]]="","",DONNÉES!CF188)</f>
        <v/>
      </c>
    </row>
    <row r="145" ht="11.65" customFormat="1" customHeight="1" s="476">
      <c r="A145" s="494" t="inlineStr">
        <is>
          <t>Février</t>
        </is>
      </c>
      <c r="B145" s="366">
        <f>IF(DONNÉES!CE45="","",DONNÉES!CE45)</f>
        <v/>
      </c>
      <c r="C145" s="495">
        <f>IF(TRDR314[[#This Row],[2024]]="","",DONNÉES!CF45)</f>
        <v/>
      </c>
      <c r="D145" s="366">
        <f>IF(TRDR314[[#This Row],[2024]]="","",DONNÉES!CE125)</f>
        <v/>
      </c>
      <c r="E145" s="496">
        <f>IF(TRDR314[[#This Row],[2024]]="","",DONNÉES!CF125)</f>
        <v/>
      </c>
      <c r="F145" s="366">
        <f>IF(TRDR314[[#This Row],[2024]]="","",DONNÉES!CE61)</f>
        <v/>
      </c>
      <c r="G145" s="495">
        <f>IF(TRDR314[[#This Row],[2024]]="","",DONNÉES!CF61)</f>
        <v/>
      </c>
      <c r="H145" s="366">
        <f>IF(TRDR314[[#This Row],[2024]]="","",DONNÉES!CE141)</f>
        <v/>
      </c>
      <c r="I145" s="496">
        <f>IF(TRDR314[[#This Row],[2024]]="","",DONNÉES!CF141)</f>
        <v/>
      </c>
      <c r="J145" s="366">
        <f>IF(TRDR314[[#This Row],[2024]]="","",DONNÉES!CE77)</f>
        <v/>
      </c>
      <c r="K145" s="495">
        <f>IF(TRDR314[[#This Row],[2024]]="","",DONNÉES!CF77)</f>
        <v/>
      </c>
      <c r="L145" s="366">
        <f>IF(TRDR314[[#This Row],[2024]]="","",DONNÉES!CE157)</f>
        <v/>
      </c>
      <c r="M145" s="496">
        <f>IF(TRDR314[[#This Row],[2024]]="","",DONNÉES!CF157)</f>
        <v/>
      </c>
      <c r="N145" s="366">
        <f>IF(TRDR314[[#This Row],[2024]]="","",DONNÉES!CE93)</f>
        <v/>
      </c>
      <c r="O145" s="495">
        <f>IF(TRDR314[[#This Row],[2024]]="","",DONNÉES!CF93)</f>
        <v/>
      </c>
      <c r="P145" s="366">
        <f>IF(TRDR314[[#This Row],[2024]]="","",DONNÉES!CE173)</f>
        <v/>
      </c>
      <c r="Q145" s="497">
        <f>IF(TRDR314[[#This Row],[2024]]="","",DONNÉES!CF173)</f>
        <v/>
      </c>
      <c r="R145" s="498" t="n"/>
      <c r="S145" s="366">
        <f>IF(TRDR314[[#This Row],[2024]]="","",DONNÉES!CE109)</f>
        <v/>
      </c>
      <c r="T145" s="495">
        <f>IF(TRDR314[[#This Row],[2024]]="","",DONNÉES!CF109)</f>
        <v/>
      </c>
      <c r="U145" s="366">
        <f>IF(TRDR314[[#This Row],[2024]]="","",DONNÉES!CE189)</f>
        <v/>
      </c>
      <c r="V145" s="366">
        <f>IF(TRDR314[[#This Row],[2024]]="","",DONNÉES!CF189)</f>
        <v/>
      </c>
    </row>
    <row r="146" ht="11.65" customFormat="1" customHeight="1" s="476">
      <c r="A146" s="490" t="inlineStr">
        <is>
          <t>Mars</t>
        </is>
      </c>
      <c r="B146" s="366">
        <f>IF(DONNÉES!CE46="","",DONNÉES!CE46)</f>
        <v/>
      </c>
      <c r="C146" s="495">
        <f>IF(TRDR314[[#This Row],[2024]]="","",DONNÉES!CF46)</f>
        <v/>
      </c>
      <c r="D146" s="366">
        <f>IF(TRDR314[[#This Row],[2024]]="","",DONNÉES!CE126)</f>
        <v/>
      </c>
      <c r="E146" s="496">
        <f>IF(TRDR314[[#This Row],[2024]]="","",DONNÉES!CF126)</f>
        <v/>
      </c>
      <c r="F146" s="366">
        <f>IF(TRDR314[[#This Row],[2024]]="","",DONNÉES!CE62)</f>
        <v/>
      </c>
      <c r="G146" s="495">
        <f>IF(TRDR314[[#This Row],[2024]]="","",DONNÉES!CF62)</f>
        <v/>
      </c>
      <c r="H146" s="366">
        <f>IF(TRDR314[[#This Row],[2024]]="","",DONNÉES!CE142)</f>
        <v/>
      </c>
      <c r="I146" s="496">
        <f>IF(TRDR314[[#This Row],[2024]]="","",DONNÉES!CF142)</f>
        <v/>
      </c>
      <c r="J146" s="366">
        <f>IF(TRDR314[[#This Row],[2024]]="","",DONNÉES!CE78)</f>
        <v/>
      </c>
      <c r="K146" s="495">
        <f>IF(TRDR314[[#This Row],[2024]]="","",DONNÉES!CF78)</f>
        <v/>
      </c>
      <c r="L146" s="366">
        <f>IF(TRDR314[[#This Row],[2024]]="","",DONNÉES!CE158)</f>
        <v/>
      </c>
      <c r="M146" s="496">
        <f>IF(TRDR314[[#This Row],[2024]]="","",DONNÉES!CF158)</f>
        <v/>
      </c>
      <c r="N146" s="366">
        <f>IF(TRDR314[[#This Row],[2024]]="","",DONNÉES!CE94)</f>
        <v/>
      </c>
      <c r="O146" s="495">
        <f>IF(TRDR314[[#This Row],[2024]]="","",DONNÉES!CF94)</f>
        <v/>
      </c>
      <c r="P146" s="366">
        <f>IF(TRDR314[[#This Row],[2024]]="","",DONNÉES!CE174)</f>
        <v/>
      </c>
      <c r="Q146" s="497">
        <f>IF(TRDR314[[#This Row],[2024]]="","",DONNÉES!CF174)</f>
        <v/>
      </c>
      <c r="R146" s="498" t="n"/>
      <c r="S146" s="366">
        <f>IF(TRDR314[[#This Row],[2024]]="","",DONNÉES!CE110)</f>
        <v/>
      </c>
      <c r="T146" s="495">
        <f>IF(TRDR314[[#This Row],[2024]]="","",DONNÉES!CF110)</f>
        <v/>
      </c>
      <c r="U146" s="366">
        <f>IF(TRDR314[[#This Row],[2024]]="","",DONNÉES!CE190)</f>
        <v/>
      </c>
      <c r="V146" s="366">
        <f>IF(TRDR314[[#This Row],[2024]]="","",DONNÉES!CF190)</f>
        <v/>
      </c>
    </row>
    <row r="147" ht="11.65" customHeight="1" s="161">
      <c r="A147" s="494" t="inlineStr">
        <is>
          <t>Avril</t>
        </is>
      </c>
      <c r="B147" s="366">
        <f>IF(DONNÉES!CE47="","",DONNÉES!CE47)</f>
        <v/>
      </c>
      <c r="C147" s="495">
        <f>IF(TRDR314[[#This Row],[2024]]="","",DONNÉES!CF47)</f>
        <v/>
      </c>
      <c r="D147" s="366">
        <f>IF(TRDR314[[#This Row],[2024]]="","",DONNÉES!CE127)</f>
        <v/>
      </c>
      <c r="E147" s="496">
        <f>IF(TRDR314[[#This Row],[2024]]="","",DONNÉES!CF127)</f>
        <v/>
      </c>
      <c r="F147" s="366">
        <f>IF(TRDR314[[#This Row],[2024]]="","",DONNÉES!CE63)</f>
        <v/>
      </c>
      <c r="G147" s="495">
        <f>IF(TRDR314[[#This Row],[2024]]="","",DONNÉES!CF63)</f>
        <v/>
      </c>
      <c r="H147" s="366">
        <f>IF(TRDR314[[#This Row],[2024]]="","",DONNÉES!CE143)</f>
        <v/>
      </c>
      <c r="I147" s="496">
        <f>IF(TRDR314[[#This Row],[2024]]="","",DONNÉES!CF143)</f>
        <v/>
      </c>
      <c r="J147" s="366">
        <f>IF(TRDR314[[#This Row],[2024]]="","",DONNÉES!CE79)</f>
        <v/>
      </c>
      <c r="K147" s="495">
        <f>IF(TRDR314[[#This Row],[2024]]="","",DONNÉES!CF79)</f>
        <v/>
      </c>
      <c r="L147" s="366">
        <f>IF(TRDR314[[#This Row],[2024]]="","",DONNÉES!CE159)</f>
        <v/>
      </c>
      <c r="M147" s="496">
        <f>IF(TRDR314[[#This Row],[2024]]="","",DONNÉES!CF159)</f>
        <v/>
      </c>
      <c r="N147" s="366">
        <f>IF(TRDR314[[#This Row],[2024]]="","",DONNÉES!CE95)</f>
        <v/>
      </c>
      <c r="O147" s="495">
        <f>IF(TRDR314[[#This Row],[2024]]="","",DONNÉES!CF95)</f>
        <v/>
      </c>
      <c r="P147" s="366">
        <f>IF(TRDR314[[#This Row],[2024]]="","",DONNÉES!CE175)</f>
        <v/>
      </c>
      <c r="Q147" s="497">
        <f>IF(TRDR314[[#This Row],[2024]]="","",DONNÉES!CF175)</f>
        <v/>
      </c>
      <c r="R147" s="499" t="n"/>
      <c r="S147" s="366">
        <f>IF(TRDR314[[#This Row],[2024]]="","",DONNÉES!CE111)</f>
        <v/>
      </c>
      <c r="T147" s="495">
        <f>IF(TRDR314[[#This Row],[2024]]="","",DONNÉES!CF111)</f>
        <v/>
      </c>
      <c r="U147" s="366">
        <f>IF(TRDR314[[#This Row],[2024]]="","",DONNÉES!CE191)</f>
        <v/>
      </c>
      <c r="V147" s="366">
        <f>IF(TRDR314[[#This Row],[2024]]="","",DONNÉES!CF191)</f>
        <v/>
      </c>
    </row>
    <row r="148" ht="11.65" customHeight="1" s="161">
      <c r="A148" s="490" t="inlineStr">
        <is>
          <t>Mai</t>
        </is>
      </c>
      <c r="B148" s="366">
        <f>IF(DONNÉES!CE48="","",DONNÉES!CE48)</f>
        <v/>
      </c>
      <c r="C148" s="495">
        <f>IF(TRDR314[[#This Row],[2024]]="","",DONNÉES!CF48)</f>
        <v/>
      </c>
      <c r="D148" s="366">
        <f>IF(TRDR314[[#This Row],[2024]]="","",DONNÉES!CE128)</f>
        <v/>
      </c>
      <c r="E148" s="496">
        <f>IF(TRDR314[[#This Row],[2024]]="","",DONNÉES!CF128)</f>
        <v/>
      </c>
      <c r="F148" s="366">
        <f>IF(TRDR314[[#This Row],[2024]]="","",DONNÉES!CE64)</f>
        <v/>
      </c>
      <c r="G148" s="495">
        <f>IF(TRDR314[[#This Row],[2024]]="","",DONNÉES!CF64)</f>
        <v/>
      </c>
      <c r="H148" s="366">
        <f>IF(TRDR314[[#This Row],[2024]]="","",DONNÉES!CE144)</f>
        <v/>
      </c>
      <c r="I148" s="496">
        <f>IF(TRDR314[[#This Row],[2024]]="","",DONNÉES!CF144)</f>
        <v/>
      </c>
      <c r="J148" s="366">
        <f>IF(TRDR314[[#This Row],[2024]]="","",DONNÉES!CE80)</f>
        <v/>
      </c>
      <c r="K148" s="495">
        <f>IF(TRDR314[[#This Row],[2024]]="","",DONNÉES!CF80)</f>
        <v/>
      </c>
      <c r="L148" s="366">
        <f>IF(TRDR314[[#This Row],[2024]]="","",DONNÉES!CE160)</f>
        <v/>
      </c>
      <c r="M148" s="496">
        <f>IF(TRDR314[[#This Row],[2024]]="","",DONNÉES!CF160)</f>
        <v/>
      </c>
      <c r="N148" s="366">
        <f>IF(TRDR314[[#This Row],[2024]]="","",DONNÉES!CE96)</f>
        <v/>
      </c>
      <c r="O148" s="495">
        <f>IF(TRDR314[[#This Row],[2024]]="","",DONNÉES!CF96)</f>
        <v/>
      </c>
      <c r="P148" s="366">
        <f>IF(TRDR314[[#This Row],[2024]]="","",DONNÉES!CE176)</f>
        <v/>
      </c>
      <c r="Q148" s="497">
        <f>IF(TRDR314[[#This Row],[2024]]="","",DONNÉES!CF176)</f>
        <v/>
      </c>
      <c r="R148" s="499" t="n"/>
      <c r="S148" s="366">
        <f>IF(TRDR314[[#This Row],[2024]]="","",DONNÉES!CE112)</f>
        <v/>
      </c>
      <c r="T148" s="495">
        <f>IF(TRDR314[[#This Row],[2024]]="","",DONNÉES!CF112)</f>
        <v/>
      </c>
      <c r="U148" s="366">
        <f>IF(TRDR314[[#This Row],[2024]]="","",DONNÉES!CE192)</f>
        <v/>
      </c>
      <c r="V148" s="366">
        <f>IF(TRDR314[[#This Row],[2024]]="","",DONNÉES!CF192)</f>
        <v/>
      </c>
    </row>
    <row r="149" ht="11.65" customHeight="1" s="161">
      <c r="A149" s="494" t="inlineStr">
        <is>
          <t>Juin</t>
        </is>
      </c>
      <c r="B149" s="366">
        <f>IF(DONNÉES!CE49="","",DONNÉES!CE49)</f>
        <v/>
      </c>
      <c r="C149" s="495">
        <f>IF(TRDR314[[#This Row],[2024]]="","",DONNÉES!CF49)</f>
        <v/>
      </c>
      <c r="D149" s="366">
        <f>IF(TRDR314[[#This Row],[2024]]="","",DONNÉES!CE129)</f>
        <v/>
      </c>
      <c r="E149" s="496">
        <f>IF(TRDR314[[#This Row],[2024]]="","",DONNÉES!CF129)</f>
        <v/>
      </c>
      <c r="F149" s="366">
        <f>IF(TRDR314[[#This Row],[2024]]="","",DONNÉES!CE65)</f>
        <v/>
      </c>
      <c r="G149" s="495">
        <f>IF(TRDR314[[#This Row],[2024]]="","",DONNÉES!CF65)</f>
        <v/>
      </c>
      <c r="H149" s="366">
        <f>IF(TRDR314[[#This Row],[2024]]="","",DONNÉES!CE145)</f>
        <v/>
      </c>
      <c r="I149" s="496">
        <f>IF(TRDR314[[#This Row],[2024]]="","",DONNÉES!CF145)</f>
        <v/>
      </c>
      <c r="J149" s="366">
        <f>IF(TRDR314[[#This Row],[2024]]="","",DONNÉES!CE81)</f>
        <v/>
      </c>
      <c r="K149" s="495">
        <f>IF(TRDR314[[#This Row],[2024]]="","",DONNÉES!CF81)</f>
        <v/>
      </c>
      <c r="L149" s="366">
        <f>IF(TRDR314[[#This Row],[2024]]="","",DONNÉES!CE161)</f>
        <v/>
      </c>
      <c r="M149" s="496">
        <f>IF(TRDR314[[#This Row],[2024]]="","",DONNÉES!CF161)</f>
        <v/>
      </c>
      <c r="N149" s="366">
        <f>IF(TRDR314[[#This Row],[2024]]="","",DONNÉES!CE97)</f>
        <v/>
      </c>
      <c r="O149" s="495">
        <f>IF(TRDR314[[#This Row],[2024]]="","",DONNÉES!CF97)</f>
        <v/>
      </c>
      <c r="P149" s="366">
        <f>IF(TRDR314[[#This Row],[2024]]="","",DONNÉES!CE177)</f>
        <v/>
      </c>
      <c r="Q149" s="497">
        <f>IF(TRDR314[[#This Row],[2024]]="","",DONNÉES!CF177)</f>
        <v/>
      </c>
      <c r="R149" s="499" t="n"/>
      <c r="S149" s="366">
        <f>IF(TRDR314[[#This Row],[2024]]="","",DONNÉES!CE113)</f>
        <v/>
      </c>
      <c r="T149" s="495">
        <f>IF(TRDR314[[#This Row],[2024]]="","",DONNÉES!CF113)</f>
        <v/>
      </c>
      <c r="U149" s="366">
        <f>IF(TRDR314[[#This Row],[2024]]="","",DONNÉES!CE193)</f>
        <v/>
      </c>
      <c r="V149" s="366">
        <f>IF(TRDR314[[#This Row],[2024]]="","",DONNÉES!CF193)</f>
        <v/>
      </c>
    </row>
    <row r="150" ht="11.65" customHeight="1" s="161">
      <c r="A150" s="490" t="inlineStr">
        <is>
          <t>Juillet</t>
        </is>
      </c>
      <c r="B150" s="366">
        <f>IF(DONNÉES!CE50="","",DONNÉES!CE50)</f>
        <v/>
      </c>
      <c r="C150" s="495">
        <f>IF(TRDR314[[#This Row],[2024]]="","",DONNÉES!CF50)</f>
        <v/>
      </c>
      <c r="D150" s="366">
        <f>IF(TRDR314[[#This Row],[2024]]="","",DONNÉES!CE130)</f>
        <v/>
      </c>
      <c r="E150" s="496">
        <f>IF(TRDR314[[#This Row],[2024]]="","",DONNÉES!CF130)</f>
        <v/>
      </c>
      <c r="F150" s="366">
        <f>IF(TRDR314[[#This Row],[2024]]="","",DONNÉES!CE66)</f>
        <v/>
      </c>
      <c r="G150" s="495">
        <f>IF(TRDR314[[#This Row],[2024]]="","",DONNÉES!CF66)</f>
        <v/>
      </c>
      <c r="H150" s="366">
        <f>IF(TRDR314[[#This Row],[2024]]="","",DONNÉES!CE146)</f>
        <v/>
      </c>
      <c r="I150" s="496">
        <f>IF(TRDR314[[#This Row],[2024]]="","",DONNÉES!CF146)</f>
        <v/>
      </c>
      <c r="J150" s="366">
        <f>IF(TRDR314[[#This Row],[2024]]="","",DONNÉES!CE82)</f>
        <v/>
      </c>
      <c r="K150" s="495">
        <f>IF(TRDR314[[#This Row],[2024]]="","",DONNÉES!CF82)</f>
        <v/>
      </c>
      <c r="L150" s="366">
        <f>IF(TRDR314[[#This Row],[2024]]="","",DONNÉES!CE162)</f>
        <v/>
      </c>
      <c r="M150" s="496">
        <f>IF(TRDR314[[#This Row],[2024]]="","",DONNÉES!CF162)</f>
        <v/>
      </c>
      <c r="N150" s="366">
        <f>IF(TRDR314[[#This Row],[2024]]="","",DONNÉES!CE98)</f>
        <v/>
      </c>
      <c r="O150" s="495">
        <f>IF(TRDR314[[#This Row],[2024]]="","",DONNÉES!CF98)</f>
        <v/>
      </c>
      <c r="P150" s="366">
        <f>IF(TRDR314[[#This Row],[2024]]="","",DONNÉES!CE178)</f>
        <v/>
      </c>
      <c r="Q150" s="497">
        <f>IF(TRDR314[[#This Row],[2024]]="","",DONNÉES!CF178)</f>
        <v/>
      </c>
      <c r="R150" s="499" t="n"/>
      <c r="S150" s="366">
        <f>IF(TRDR314[[#This Row],[2024]]="","",DONNÉES!CE114)</f>
        <v/>
      </c>
      <c r="T150" s="495">
        <f>IF(TRDR314[[#This Row],[2024]]="","",DONNÉES!CF114)</f>
        <v/>
      </c>
      <c r="U150" s="366">
        <f>IF(TRDR314[[#This Row],[2024]]="","",DONNÉES!CE194)</f>
        <v/>
      </c>
      <c r="V150" s="366">
        <f>IF(TRDR314[[#This Row],[2024]]="","",DONNÉES!CF194)</f>
        <v/>
      </c>
    </row>
    <row r="151" ht="11.65" customHeight="1" s="161">
      <c r="A151" s="494" t="inlineStr">
        <is>
          <t>Août</t>
        </is>
      </c>
      <c r="B151" s="366">
        <f>IF(DONNÉES!CE51="","",DONNÉES!CE51)</f>
        <v/>
      </c>
      <c r="C151" s="495">
        <f>IF(TRDR314[[#This Row],[2024]]="","",DONNÉES!CF51)</f>
        <v/>
      </c>
      <c r="D151" s="366">
        <f>IF(TRDR314[[#This Row],[2024]]="","",DONNÉES!CE131)</f>
        <v/>
      </c>
      <c r="E151" s="496">
        <f>IF(TRDR314[[#This Row],[2024]]="","",DONNÉES!CF131)</f>
        <v/>
      </c>
      <c r="F151" s="366">
        <f>IF(TRDR314[[#This Row],[2024]]="","",DONNÉES!CE67)</f>
        <v/>
      </c>
      <c r="G151" s="495">
        <f>IF(TRDR314[[#This Row],[2024]]="","",DONNÉES!CF67)</f>
        <v/>
      </c>
      <c r="H151" s="366">
        <f>IF(TRDR314[[#This Row],[2024]]="","",DONNÉES!CE147)</f>
        <v/>
      </c>
      <c r="I151" s="496">
        <f>IF(TRDR314[[#This Row],[2024]]="","",DONNÉES!CF147)</f>
        <v/>
      </c>
      <c r="J151" s="366">
        <f>IF(TRDR314[[#This Row],[2024]]="","",DONNÉES!CE83)</f>
        <v/>
      </c>
      <c r="K151" s="495">
        <f>IF(TRDR314[[#This Row],[2024]]="","",DONNÉES!CF83)</f>
        <v/>
      </c>
      <c r="L151" s="366">
        <f>IF(TRDR314[[#This Row],[2024]]="","",DONNÉES!CE163)</f>
        <v/>
      </c>
      <c r="M151" s="496">
        <f>IF(TRDR314[[#This Row],[2024]]="","",DONNÉES!CF163)</f>
        <v/>
      </c>
      <c r="N151" s="366">
        <f>IF(TRDR314[[#This Row],[2024]]="","",DONNÉES!CE99)</f>
        <v/>
      </c>
      <c r="O151" s="495">
        <f>IF(TRDR314[[#This Row],[2024]]="","",DONNÉES!CF99)</f>
        <v/>
      </c>
      <c r="P151" s="366">
        <f>IF(TRDR314[[#This Row],[2024]]="","",DONNÉES!CE179)</f>
        <v/>
      </c>
      <c r="Q151" s="497">
        <f>IF(TRDR314[[#This Row],[2024]]="","",DONNÉES!CF179)</f>
        <v/>
      </c>
      <c r="R151" s="499" t="n"/>
      <c r="S151" s="366">
        <f>IF(TRDR314[[#This Row],[2024]]="","",DONNÉES!CE115)</f>
        <v/>
      </c>
      <c r="T151" s="495">
        <f>IF(TRDR314[[#This Row],[2024]]="","",DONNÉES!CF115)</f>
        <v/>
      </c>
      <c r="U151" s="366">
        <f>IF(TRDR314[[#This Row],[2024]]="","",DONNÉES!CE195)</f>
        <v/>
      </c>
      <c r="V151" s="366">
        <f>IF(TRDR314[[#This Row],[2024]]="","",DONNÉES!CF195)</f>
        <v/>
      </c>
    </row>
    <row r="152" ht="11.65" customHeight="1" s="161">
      <c r="A152" s="490" t="inlineStr">
        <is>
          <t>Septembre</t>
        </is>
      </c>
      <c r="B152" s="369">
        <f>IF(DONNÉES!CE52="","",DONNÉES!CE52)</f>
        <v/>
      </c>
      <c r="C152" s="501">
        <f>IF(TRDR314[[#This Row],[2024]]="","",DONNÉES!CF52)</f>
        <v/>
      </c>
      <c r="D152" s="369">
        <f>IF(TRDR314[[#This Row],[2024]]="","",DONNÉES!CE132)</f>
        <v/>
      </c>
      <c r="E152" s="500">
        <f>IF(TRDR314[[#This Row],[2024]]="","",DONNÉES!CF132)</f>
        <v/>
      </c>
      <c r="F152" s="369">
        <f>IF(TRDR314[[#This Row],[2024]]="","",DONNÉES!CE68)</f>
        <v/>
      </c>
      <c r="G152" s="501">
        <f>IF(TRDR314[[#This Row],[2024]]="","",DONNÉES!CF68)</f>
        <v/>
      </c>
      <c r="H152" s="369">
        <f>IF(TRDR314[[#This Row],[2024]]="","",DONNÉES!CE148)</f>
        <v/>
      </c>
      <c r="I152" s="500">
        <f>IF(TRDR314[[#This Row],[2024]]="","",DONNÉES!CF148)</f>
        <v/>
      </c>
      <c r="J152" s="369">
        <f>IF(TRDR314[[#This Row],[2024]]="","",DONNÉES!CE84)</f>
        <v/>
      </c>
      <c r="K152" s="501">
        <f>IF(TRDR314[[#This Row],[2024]]="","",DONNÉES!CF84)</f>
        <v/>
      </c>
      <c r="L152" s="369">
        <f>IF(TRDR314[[#This Row],[2024]]="","",DONNÉES!CE164)</f>
        <v/>
      </c>
      <c r="M152" s="500">
        <f>IF(TRDR314[[#This Row],[2024]]="","",DONNÉES!CF164)</f>
        <v/>
      </c>
      <c r="N152" s="369">
        <f>IF(TRDR314[[#This Row],[2024]]="","",DONNÉES!CE100)</f>
        <v/>
      </c>
      <c r="O152" s="501">
        <f>IF(TRDR314[[#This Row],[2024]]="","",DONNÉES!CF100)</f>
        <v/>
      </c>
      <c r="P152" s="369">
        <f>IF(TRDR314[[#This Row],[2024]]="","",DONNÉES!CE180)</f>
        <v/>
      </c>
      <c r="Q152" s="502">
        <f>IF(TRDR314[[#This Row],[2024]]="","",DONNÉES!CF180)</f>
        <v/>
      </c>
      <c r="R152" s="503" t="n"/>
      <c r="S152" s="369">
        <f>IF(TRDR314[[#This Row],[2024]]="","",DONNÉES!CE116)</f>
        <v/>
      </c>
      <c r="T152" s="501">
        <f>IF(TRDR314[[#This Row],[2024]]="","",DONNÉES!CF116)</f>
        <v/>
      </c>
      <c r="U152" s="369">
        <f>IF(TRDR314[[#This Row],[2024]]="","",DONNÉES!CE196)</f>
        <v/>
      </c>
      <c r="V152" s="369">
        <f>IF(TRDR314[[#This Row],[2024]]="","",DONNÉES!CF196)</f>
        <v/>
      </c>
    </row>
    <row r="153" ht="11.65" customHeight="1" s="161">
      <c r="A153" s="494" t="inlineStr">
        <is>
          <t>Octobre</t>
        </is>
      </c>
      <c r="B153" s="369">
        <f>IF(DONNÉES!CE53="","",DONNÉES!CE53)</f>
        <v/>
      </c>
      <c r="C153" s="501">
        <f>IF(TRDR314[[#This Row],[2024]]="","",DONNÉES!CF53)</f>
        <v/>
      </c>
      <c r="D153" s="369">
        <f>IF(TRDR314[[#This Row],[2024]]="","",DONNÉES!CE133)</f>
        <v/>
      </c>
      <c r="E153" s="500">
        <f>IF(TRDR314[[#This Row],[2024]]="","",DONNÉES!CF133)</f>
        <v/>
      </c>
      <c r="F153" s="369">
        <f>IF(TRDR314[[#This Row],[2024]]="","",DONNÉES!CE69)</f>
        <v/>
      </c>
      <c r="G153" s="501">
        <f>IF(TRDR314[[#This Row],[2024]]="","",DONNÉES!CF69)</f>
        <v/>
      </c>
      <c r="H153" s="369">
        <f>IF(TRDR314[[#This Row],[2024]]="","",DONNÉES!CE149)</f>
        <v/>
      </c>
      <c r="I153" s="500">
        <f>IF(TRDR314[[#This Row],[2024]]="","",DONNÉES!CF149)</f>
        <v/>
      </c>
      <c r="J153" s="369">
        <f>IF(TRDR314[[#This Row],[2024]]="","",DONNÉES!CE85)</f>
        <v/>
      </c>
      <c r="K153" s="501">
        <f>IF(TRDR314[[#This Row],[2024]]="","",DONNÉES!CF85)</f>
        <v/>
      </c>
      <c r="L153" s="369">
        <f>IF(TRDR314[[#This Row],[2024]]="","",DONNÉES!CE165)</f>
        <v/>
      </c>
      <c r="M153" s="500">
        <f>IF(TRDR314[[#This Row],[2024]]="","",DONNÉES!CF165)</f>
        <v/>
      </c>
      <c r="N153" s="369">
        <f>IF(TRDR314[[#This Row],[2024]]="","",DONNÉES!CE101)</f>
        <v/>
      </c>
      <c r="O153" s="501">
        <f>IF(TRDR314[[#This Row],[2024]]="","",DONNÉES!CF101)</f>
        <v/>
      </c>
      <c r="P153" s="369">
        <f>IF(TRDR314[[#This Row],[2024]]="","",DONNÉES!CE181)</f>
        <v/>
      </c>
      <c r="Q153" s="502">
        <f>IF(TRDR314[[#This Row],[2024]]="","",DONNÉES!CF181)</f>
        <v/>
      </c>
      <c r="R153" s="499" t="n"/>
      <c r="S153" s="369">
        <f>IF(TRDR314[[#This Row],[2024]]="","",DONNÉES!CE117)</f>
        <v/>
      </c>
      <c r="T153" s="501">
        <f>IF(TRDR314[[#This Row],[2024]]="","",DONNÉES!CF117)</f>
        <v/>
      </c>
      <c r="U153" s="369">
        <f>IF(TRDR314[[#This Row],[2024]]="","",DONNÉES!CE197)</f>
        <v/>
      </c>
      <c r="V153" s="369">
        <f>IF(TRDR314[[#This Row],[2024]]="","",DONNÉES!CF197)</f>
        <v/>
      </c>
    </row>
    <row r="154" ht="11.65" customFormat="1" customHeight="1" s="476">
      <c r="A154" s="490" t="inlineStr">
        <is>
          <t>Novembre</t>
        </is>
      </c>
      <c r="B154" s="369">
        <f>IF(DONNÉES!CE54="","",DONNÉES!CE54)</f>
        <v/>
      </c>
      <c r="C154" s="501">
        <f>IF(TRDR314[[#This Row],[2024]]="","",DONNÉES!CF54)</f>
        <v/>
      </c>
      <c r="D154" s="369">
        <f>IF(TRDR314[[#This Row],[2024]]="","",DONNÉES!CE134)</f>
        <v/>
      </c>
      <c r="E154" s="500">
        <f>IF(TRDR314[[#This Row],[2024]]="","",DONNÉES!CF134)</f>
        <v/>
      </c>
      <c r="F154" s="369">
        <f>IF(TRDR314[[#This Row],[2024]]="","",DONNÉES!CE70)</f>
        <v/>
      </c>
      <c r="G154" s="501">
        <f>IF(TRDR314[[#This Row],[2024]]="","",DONNÉES!CF70)</f>
        <v/>
      </c>
      <c r="H154" s="369">
        <f>IF(TRDR314[[#This Row],[2024]]="","",DONNÉES!CE150)</f>
        <v/>
      </c>
      <c r="I154" s="500">
        <f>IF(TRDR314[[#This Row],[2024]]="","",DONNÉES!CF150)</f>
        <v/>
      </c>
      <c r="J154" s="369">
        <f>IF(TRDR314[[#This Row],[2024]]="","",DONNÉES!CE86)</f>
        <v/>
      </c>
      <c r="K154" s="501">
        <f>IF(TRDR314[[#This Row],[2024]]="","",DONNÉES!CF86)</f>
        <v/>
      </c>
      <c r="L154" s="369">
        <f>IF(TRDR314[[#This Row],[2024]]="","",DONNÉES!CE166)</f>
        <v/>
      </c>
      <c r="M154" s="500">
        <f>IF(TRDR314[[#This Row],[2024]]="","",DONNÉES!CF166)</f>
        <v/>
      </c>
      <c r="N154" s="369">
        <f>IF(TRDR314[[#This Row],[2024]]="","",DONNÉES!CE102)</f>
        <v/>
      </c>
      <c r="O154" s="501">
        <f>IF(TRDR314[[#This Row],[2024]]="","",DONNÉES!CF102)</f>
        <v/>
      </c>
      <c r="P154" s="369">
        <f>IF(TRDR314[[#This Row],[2024]]="","",DONNÉES!CE182)</f>
        <v/>
      </c>
      <c r="Q154" s="502">
        <f>IF(TRDR314[[#This Row],[2024]]="","",DONNÉES!CF182)</f>
        <v/>
      </c>
      <c r="R154" s="498" t="n"/>
      <c r="S154" s="369">
        <f>IF(TRDR314[[#This Row],[2024]]="","",DONNÉES!CE118)</f>
        <v/>
      </c>
      <c r="T154" s="501">
        <f>IF(TRDR314[[#This Row],[2024]]="","",DONNÉES!CF118)</f>
        <v/>
      </c>
      <c r="U154" s="369">
        <f>IF(TRDR314[[#This Row],[2024]]="","",DONNÉES!CE198)</f>
        <v/>
      </c>
      <c r="V154" s="369">
        <f>IF(TRDR314[[#This Row],[2024]]="","",DONNÉES!CF198)</f>
        <v/>
      </c>
    </row>
    <row r="155" ht="11.65" customFormat="1" customHeight="1" s="476">
      <c r="A155" s="490" t="inlineStr">
        <is>
          <t>Décembre</t>
        </is>
      </c>
      <c r="B155" s="369">
        <f>IF(DONNÉES!CE55="","",DONNÉES!CE55)</f>
        <v/>
      </c>
      <c r="C155" s="501">
        <f>IF(TRDR314[[#This Row],[2024]]="","",DONNÉES!CF55)</f>
        <v/>
      </c>
      <c r="D155" s="369">
        <f>IF(TRDR314[[#This Row],[2024]]="","",DONNÉES!CE135)</f>
        <v/>
      </c>
      <c r="E155" s="500">
        <f>IF(TRDR314[[#This Row],[2024]]="","",DONNÉES!CF135)</f>
        <v/>
      </c>
      <c r="F155" s="369">
        <f>IF(TRDR314[[#This Row],[2024]]="","",DONNÉES!CE71)</f>
        <v/>
      </c>
      <c r="G155" s="501">
        <f>IF(TRDR314[[#This Row],[2024]]="","",DONNÉES!CF71)</f>
        <v/>
      </c>
      <c r="H155" s="369">
        <f>IF(TRDR314[[#This Row],[2024]]="","",DONNÉES!CE151)</f>
        <v/>
      </c>
      <c r="I155" s="500">
        <f>IF(TRDR314[[#This Row],[2024]]="","",DONNÉES!CF151)</f>
        <v/>
      </c>
      <c r="J155" s="369">
        <f>IF(TRDR314[[#This Row],[2024]]="","",DONNÉES!CE87)</f>
        <v/>
      </c>
      <c r="K155" s="501">
        <f>IF(TRDR314[[#This Row],[2024]]="","",DONNÉES!CF87)</f>
        <v/>
      </c>
      <c r="L155" s="369">
        <f>IF(TRDR314[[#This Row],[2024]]="","",DONNÉES!CE167)</f>
        <v/>
      </c>
      <c r="M155" s="500">
        <f>IF(TRDR314[[#This Row],[2024]]="","",DONNÉES!CF167)</f>
        <v/>
      </c>
      <c r="N155" s="369">
        <f>IF(TRDR314[[#This Row],[2024]]="","",DONNÉES!CE103)</f>
        <v/>
      </c>
      <c r="O155" s="501">
        <f>IF(TRDR314[[#This Row],[2024]]="","",DONNÉES!CF103)</f>
        <v/>
      </c>
      <c r="P155" s="369">
        <f>IF(TRDR314[[#This Row],[2024]]="","",DONNÉES!CE183)</f>
        <v/>
      </c>
      <c r="Q155" s="502">
        <f>IF(TRDR314[[#This Row],[2024]]="","",DONNÉES!CF183)</f>
        <v/>
      </c>
      <c r="R155" s="498" t="n"/>
      <c r="S155" s="369">
        <f>IF(TRDR314[[#This Row],[2024]]="","",DONNÉES!CE119)</f>
        <v/>
      </c>
      <c r="T155" s="501">
        <f>IF(TRDR314[[#This Row],[2024]]="","",DONNÉES!CF119)</f>
        <v/>
      </c>
      <c r="U155" s="369">
        <f>IF(TRDR314[[#This Row],[2024]]="","",DONNÉES!CE199)</f>
        <v/>
      </c>
      <c r="V155" s="369">
        <f>IF(TRDR314[[#This Row],[2024]]="","",DONNÉES!CF199)</f>
        <v/>
      </c>
    </row>
    <row r="156" ht="11.65" customFormat="1" customHeight="1" s="476">
      <c r="A156" s="474" t="n"/>
      <c r="B156" s="478" t="n"/>
      <c r="C156" s="478" t="n"/>
      <c r="D156" s="101" t="n"/>
      <c r="E156" s="478" t="n"/>
      <c r="F156" s="478" t="n"/>
      <c r="G156" s="479" t="n"/>
      <c r="H156" s="474" t="n"/>
      <c r="I156" s="475" t="n"/>
      <c r="J156" s="478" t="n"/>
      <c r="K156" s="478" t="n"/>
      <c r="L156" s="101" t="n"/>
      <c r="M156" s="479" t="n"/>
      <c r="N156" s="474" t="n"/>
      <c r="O156" s="474" t="n"/>
      <c r="P156" s="474" t="n"/>
      <c r="Q156" s="474" t="n"/>
      <c r="R156" s="498" t="n"/>
      <c r="S156" s="474" t="n"/>
      <c r="T156" s="474" t="n"/>
      <c r="U156" s="474" t="n"/>
      <c r="V156" s="474" t="n"/>
    </row>
    <row r="157" ht="14.65" customHeight="1" s="161">
      <c r="A157" s="522" t="n"/>
      <c r="B157" s="523" t="inlineStr">
        <is>
          <t>Sur place</t>
        </is>
      </c>
      <c r="C157" s="487" t="n"/>
      <c r="D157" s="487" t="n"/>
      <c r="E157" s="488" t="n"/>
      <c r="F157" s="523" t="inlineStr">
        <is>
          <t>A emporter</t>
        </is>
      </c>
      <c r="G157" s="487" t="n"/>
      <c r="H157" s="487" t="n"/>
      <c r="I157" s="488" t="n"/>
      <c r="J157" s="523" t="inlineStr">
        <is>
          <t>Mc Drive</t>
        </is>
      </c>
      <c r="K157" s="487" t="n"/>
      <c r="L157" s="487" t="n"/>
      <c r="M157" s="488" t="n"/>
      <c r="N157" s="524" t="inlineStr">
        <is>
          <t>Kiosque</t>
        </is>
      </c>
      <c r="O157" s="487" t="n"/>
      <c r="P157" s="487" t="n"/>
      <c r="Q157" s="487" t="n"/>
      <c r="S157" s="524" t="inlineStr">
        <is>
          <t>Total</t>
        </is>
      </c>
      <c r="T157" s="487" t="n"/>
      <c r="U157" s="487" t="n"/>
      <c r="V157" s="487" t="n"/>
    </row>
    <row r="158" ht="28.9" customHeight="1" s="161">
      <c r="A158" s="490" t="inlineStr">
        <is>
          <t>LYSE</t>
        </is>
      </c>
      <c r="B158" s="491" t="inlineStr">
        <is>
          <t>2024</t>
        </is>
      </c>
      <c r="C158" s="492" t="inlineStr">
        <is>
          <t>2023</t>
        </is>
      </c>
      <c r="D158" s="491" t="inlineStr">
        <is>
          <t>2024 cumul</t>
        </is>
      </c>
      <c r="E158" s="493" t="inlineStr">
        <is>
          <t>2023 cumul</t>
        </is>
      </c>
      <c r="F158" s="211" t="inlineStr">
        <is>
          <t xml:space="preserve">2024  </t>
        </is>
      </c>
      <c r="G158" s="492" t="inlineStr">
        <is>
          <t xml:space="preserve">2023  </t>
        </is>
      </c>
      <c r="H158" s="491" t="inlineStr">
        <is>
          <t xml:space="preserve">2024 cumul </t>
        </is>
      </c>
      <c r="I158" s="493" t="inlineStr">
        <is>
          <t xml:space="preserve">2023 cumul </t>
        </is>
      </c>
      <c r="J158" s="491" t="inlineStr">
        <is>
          <t xml:space="preserve">2024   </t>
        </is>
      </c>
      <c r="K158" s="492" t="inlineStr">
        <is>
          <t xml:space="preserve">2023   </t>
        </is>
      </c>
      <c r="L158" s="491" t="inlineStr">
        <is>
          <t xml:space="preserve">2024 cumul   </t>
        </is>
      </c>
      <c r="M158" s="493" t="inlineStr">
        <is>
          <t xml:space="preserve">2023 cumul   </t>
        </is>
      </c>
      <c r="N158" s="491" t="inlineStr">
        <is>
          <t xml:space="preserve">2024    </t>
        </is>
      </c>
      <c r="O158" s="492" t="inlineStr">
        <is>
          <t xml:space="preserve">2023    </t>
        </is>
      </c>
      <c r="P158" s="491" t="inlineStr">
        <is>
          <t xml:space="preserve">2024 cumul    </t>
        </is>
      </c>
      <c r="Q158" s="94" t="inlineStr">
        <is>
          <t xml:space="preserve">2023 cumul    </t>
        </is>
      </c>
      <c r="S158" s="491" t="inlineStr">
        <is>
          <t>2024</t>
        </is>
      </c>
      <c r="T158" s="492" t="inlineStr">
        <is>
          <t>2023</t>
        </is>
      </c>
      <c r="U158" s="491" t="inlineStr">
        <is>
          <t>2024 cumul</t>
        </is>
      </c>
      <c r="V158" s="493" t="inlineStr">
        <is>
          <t>2023 cumul</t>
        </is>
      </c>
    </row>
    <row r="159" ht="11.65" customHeight="1" s="161">
      <c r="A159" s="494" t="inlineStr">
        <is>
          <t>Janvier</t>
        </is>
      </c>
      <c r="B159" s="366">
        <f>IF(DONNÉES!CM44="","",DONNÉES!CM44)</f>
        <v/>
      </c>
      <c r="C159" s="495">
        <f>IF(TRDLYSE[[#This Row],[2024]]="","",DONNÉES!CN44)</f>
        <v/>
      </c>
      <c r="D159" s="366">
        <f>IF(TRDLYSE[[#This Row],[2024]]="","",DONNÉES!CM124)</f>
        <v/>
      </c>
      <c r="E159" s="496">
        <f>IF(TRDLYSE[[#This Row],[2024]]="","",DONNÉES!CN124)</f>
        <v/>
      </c>
      <c r="F159" s="366">
        <f>IF(TRDLYSE[[#This Row],[2024]]="","",DONNÉES!CM60)</f>
        <v/>
      </c>
      <c r="G159" s="495">
        <f>IF(TRDLYSE[[#This Row],[2024]]="","",DONNÉES!CN60)</f>
        <v/>
      </c>
      <c r="H159" s="366">
        <f>IF(TRDLYSE[[#This Row],[2024]]="","",DONNÉES!CM140)</f>
        <v/>
      </c>
      <c r="I159" s="496">
        <f>IF(TRDLYSE[[#This Row],[2024]]="","",DONNÉES!CN140)</f>
        <v/>
      </c>
      <c r="J159" s="366">
        <f>IF(TRDLYSE[[#This Row],[2024]]="","",DONNÉES!CM76)</f>
        <v/>
      </c>
      <c r="K159" s="495">
        <f>IF(TRDLYSE[[#This Row],[2024]]="","",DONNÉES!CN76)</f>
        <v/>
      </c>
      <c r="L159" s="366">
        <f>IF(TRDLYSE[[#This Row],[2024]]="","",DONNÉES!CM156)</f>
        <v/>
      </c>
      <c r="M159" s="496">
        <f>IF(TRDLYSE[[#This Row],[2024]]="","",DONNÉES!CN156)</f>
        <v/>
      </c>
      <c r="N159" s="366">
        <f>IF(TRDLYSE[[#This Row],[2024]]="","",DONNÉES!CM92)</f>
        <v/>
      </c>
      <c r="O159" s="495">
        <f>IF(TRDLYSE[[#This Row],[2024]]="","",DONNÉES!CN92)</f>
        <v/>
      </c>
      <c r="P159" s="366">
        <f>IF(TRDLYSE[[#This Row],[2024]]="","",DONNÉES!CM172)</f>
        <v/>
      </c>
      <c r="Q159" s="497">
        <f>IF(TRDLYSE[[#This Row],[2024]]="","",DONNÉES!CN172)</f>
        <v/>
      </c>
      <c r="S159" s="366">
        <f>IF(TRDLYSE[[#This Row],[2024]]="","",DONNÉES!CM108)</f>
        <v/>
      </c>
      <c r="T159" s="495">
        <f>IF(TRDLYSE[[#This Row],[2024]]="","",DONNÉES!CN108)</f>
        <v/>
      </c>
      <c r="U159" s="366">
        <f>IF(TRDLYSE[[#This Row],[2024]]="","",DONNÉES!CM188)</f>
        <v/>
      </c>
      <c r="V159" s="366">
        <f>IF(TRDLYSE[[#This Row],[2024]]="","",DONNÉES!CN188)</f>
        <v/>
      </c>
    </row>
    <row r="160" ht="11.65" customFormat="1" customHeight="1" s="476">
      <c r="A160" s="494" t="inlineStr">
        <is>
          <t>Février</t>
        </is>
      </c>
      <c r="B160" s="366">
        <f>IF(DONNÉES!CM45="","",DONNÉES!CM45)</f>
        <v/>
      </c>
      <c r="C160" s="495">
        <f>IF(TRDLYSE[[#This Row],[2024]]="","",DONNÉES!CN45)</f>
        <v/>
      </c>
      <c r="D160" s="366">
        <f>IF(TRDLYSE[[#This Row],[2024]]="","",DONNÉES!CM125)</f>
        <v/>
      </c>
      <c r="E160" s="496">
        <f>IF(TRDLYSE[[#This Row],[2024]]="","",DONNÉES!CN125)</f>
        <v/>
      </c>
      <c r="F160" s="366">
        <f>IF(TRDLYSE[[#This Row],[2024]]="","",DONNÉES!CM61)</f>
        <v/>
      </c>
      <c r="G160" s="495">
        <f>IF(TRDLYSE[[#This Row],[2024]]="","",DONNÉES!CN61)</f>
        <v/>
      </c>
      <c r="H160" s="366">
        <f>IF(TRDLYSE[[#This Row],[2024]]="","",DONNÉES!CM141)</f>
        <v/>
      </c>
      <c r="I160" s="496">
        <f>IF(TRDLYSE[[#This Row],[2024]]="","",DONNÉES!CN141)</f>
        <v/>
      </c>
      <c r="J160" s="366">
        <f>IF(TRDLYSE[[#This Row],[2024]]="","",DONNÉES!CM77)</f>
        <v/>
      </c>
      <c r="K160" s="495">
        <f>IF(TRDLYSE[[#This Row],[2024]]="","",DONNÉES!CN77)</f>
        <v/>
      </c>
      <c r="L160" s="366">
        <f>IF(TRDLYSE[[#This Row],[2024]]="","",DONNÉES!CM157)</f>
        <v/>
      </c>
      <c r="M160" s="496">
        <f>IF(TRDLYSE[[#This Row],[2024]]="","",DONNÉES!CN157)</f>
        <v/>
      </c>
      <c r="N160" s="366">
        <f>IF(TRDLYSE[[#This Row],[2024]]="","",DONNÉES!CM93)</f>
        <v/>
      </c>
      <c r="O160" s="495">
        <f>IF(TRDLYSE[[#This Row],[2024]]="","",DONNÉES!CN93)</f>
        <v/>
      </c>
      <c r="P160" s="366">
        <f>IF(TRDLYSE[[#This Row],[2024]]="","",DONNÉES!CM173)</f>
        <v/>
      </c>
      <c r="Q160" s="497">
        <f>IF(TRDLYSE[[#This Row],[2024]]="","",DONNÉES!CN173)</f>
        <v/>
      </c>
      <c r="R160" s="498" t="n"/>
      <c r="S160" s="366">
        <f>IF(TRDLYSE[[#This Row],[2024]]="","",DONNÉES!CM109)</f>
        <v/>
      </c>
      <c r="T160" s="495">
        <f>IF(TRDLYSE[[#This Row],[2024]]="","",DONNÉES!CN109)</f>
        <v/>
      </c>
      <c r="U160" s="366">
        <f>IF(TRDLYSE[[#This Row],[2024]]="","",DONNÉES!CM189)</f>
        <v/>
      </c>
      <c r="V160" s="366">
        <f>IF(TRDLYSE[[#This Row],[2024]]="","",DONNÉES!CN189)</f>
        <v/>
      </c>
    </row>
    <row r="161" ht="11.65" customFormat="1" customHeight="1" s="476">
      <c r="A161" s="490" t="inlineStr">
        <is>
          <t>Mars</t>
        </is>
      </c>
      <c r="B161" s="366">
        <f>IF(DONNÉES!CM46="","",DONNÉES!CM46)</f>
        <v/>
      </c>
      <c r="C161" s="495">
        <f>IF(TRDLYSE[[#This Row],[2024]]="","",DONNÉES!CN46)</f>
        <v/>
      </c>
      <c r="D161" s="366">
        <f>IF(TRDLYSE[[#This Row],[2024]]="","",DONNÉES!CM126)</f>
        <v/>
      </c>
      <c r="E161" s="496">
        <f>IF(TRDLYSE[[#This Row],[2024]]="","",DONNÉES!CN126)</f>
        <v/>
      </c>
      <c r="F161" s="366">
        <f>IF(TRDLYSE[[#This Row],[2024]]="","",DONNÉES!CM62)</f>
        <v/>
      </c>
      <c r="G161" s="495">
        <f>IF(TRDLYSE[[#This Row],[2024]]="","",DONNÉES!CN62)</f>
        <v/>
      </c>
      <c r="H161" s="366">
        <f>IF(TRDLYSE[[#This Row],[2024]]="","",DONNÉES!CM142)</f>
        <v/>
      </c>
      <c r="I161" s="496">
        <f>IF(TRDLYSE[[#This Row],[2024]]="","",DONNÉES!CN142)</f>
        <v/>
      </c>
      <c r="J161" s="366">
        <f>IF(TRDLYSE[[#This Row],[2024]]="","",DONNÉES!CM78)</f>
        <v/>
      </c>
      <c r="K161" s="495">
        <f>IF(TRDLYSE[[#This Row],[2024]]="","",DONNÉES!CN78)</f>
        <v/>
      </c>
      <c r="L161" s="366">
        <f>IF(TRDLYSE[[#This Row],[2024]]="","",DONNÉES!CM158)</f>
        <v/>
      </c>
      <c r="M161" s="496">
        <f>IF(TRDLYSE[[#This Row],[2024]]="","",DONNÉES!CN158)</f>
        <v/>
      </c>
      <c r="N161" s="366">
        <f>IF(TRDLYSE[[#This Row],[2024]]="","",DONNÉES!CM94)</f>
        <v/>
      </c>
      <c r="O161" s="495">
        <f>IF(TRDLYSE[[#This Row],[2024]]="","",DONNÉES!CN94)</f>
        <v/>
      </c>
      <c r="P161" s="366">
        <f>IF(TRDLYSE[[#This Row],[2024]]="","",DONNÉES!CM174)</f>
        <v/>
      </c>
      <c r="Q161" s="497">
        <f>IF(TRDLYSE[[#This Row],[2024]]="","",DONNÉES!CN174)</f>
        <v/>
      </c>
      <c r="R161" s="498" t="n"/>
      <c r="S161" s="366">
        <f>IF(TRDLYSE[[#This Row],[2024]]="","",DONNÉES!CM110)</f>
        <v/>
      </c>
      <c r="T161" s="495">
        <f>IF(TRDLYSE[[#This Row],[2024]]="","",DONNÉES!CN110)</f>
        <v/>
      </c>
      <c r="U161" s="366">
        <f>IF(TRDLYSE[[#This Row],[2024]]="","",DONNÉES!CM190)</f>
        <v/>
      </c>
      <c r="V161" s="366">
        <f>IF(TRDLYSE[[#This Row],[2024]]="","",DONNÉES!CN190)</f>
        <v/>
      </c>
    </row>
    <row r="162" ht="11.65" customFormat="1" customHeight="1" s="476">
      <c r="A162" s="494" t="inlineStr">
        <is>
          <t>Avril</t>
        </is>
      </c>
      <c r="B162" s="366">
        <f>IF(DONNÉES!CM47="","",DONNÉES!CM47)</f>
        <v/>
      </c>
      <c r="C162" s="495">
        <f>IF(TRDLYSE[[#This Row],[2024]]="","",DONNÉES!CN47)</f>
        <v/>
      </c>
      <c r="D162" s="366">
        <f>IF(TRDLYSE[[#This Row],[2024]]="","",DONNÉES!CM127)</f>
        <v/>
      </c>
      <c r="E162" s="496">
        <f>IF(TRDLYSE[[#This Row],[2024]]="","",DONNÉES!CN127)</f>
        <v/>
      </c>
      <c r="F162" s="366">
        <f>IF(TRDLYSE[[#This Row],[2024]]="","",DONNÉES!CM63)</f>
        <v/>
      </c>
      <c r="G162" s="495">
        <f>IF(TRDLYSE[[#This Row],[2024]]="","",DONNÉES!CN63)</f>
        <v/>
      </c>
      <c r="H162" s="366">
        <f>IF(TRDLYSE[[#This Row],[2024]]="","",DONNÉES!CM143)</f>
        <v/>
      </c>
      <c r="I162" s="496">
        <f>IF(TRDLYSE[[#This Row],[2024]]="","",DONNÉES!CN143)</f>
        <v/>
      </c>
      <c r="J162" s="366">
        <f>IF(TRDLYSE[[#This Row],[2024]]="","",DONNÉES!CM79)</f>
        <v/>
      </c>
      <c r="K162" s="495">
        <f>IF(TRDLYSE[[#This Row],[2024]]="","",DONNÉES!CN79)</f>
        <v/>
      </c>
      <c r="L162" s="366">
        <f>IF(TRDLYSE[[#This Row],[2024]]="","",DONNÉES!CM159)</f>
        <v/>
      </c>
      <c r="M162" s="496">
        <f>IF(TRDLYSE[[#This Row],[2024]]="","",DONNÉES!CN159)</f>
        <v/>
      </c>
      <c r="N162" s="366">
        <f>IF(TRDLYSE[[#This Row],[2024]]="","",DONNÉES!CM95)</f>
        <v/>
      </c>
      <c r="O162" s="495">
        <f>IF(TRDLYSE[[#This Row],[2024]]="","",DONNÉES!CN95)</f>
        <v/>
      </c>
      <c r="P162" s="366">
        <f>IF(TRDLYSE[[#This Row],[2024]]="","",DONNÉES!CM175)</f>
        <v/>
      </c>
      <c r="Q162" s="497">
        <f>IF(TRDLYSE[[#This Row],[2024]]="","",DONNÉES!CN175)</f>
        <v/>
      </c>
      <c r="R162" s="498" t="n"/>
      <c r="S162" s="366">
        <f>IF(TRDLYSE[[#This Row],[2024]]="","",DONNÉES!CM111)</f>
        <v/>
      </c>
      <c r="T162" s="495">
        <f>IF(TRDLYSE[[#This Row],[2024]]="","",DONNÉES!CN111)</f>
        <v/>
      </c>
      <c r="U162" s="366">
        <f>IF(TRDLYSE[[#This Row],[2024]]="","",DONNÉES!CM191)</f>
        <v/>
      </c>
      <c r="V162" s="366">
        <f>IF(TRDLYSE[[#This Row],[2024]]="","",DONNÉES!CN191)</f>
        <v/>
      </c>
    </row>
    <row r="163" ht="11.65" customHeight="1" s="161">
      <c r="A163" s="490" t="inlineStr">
        <is>
          <t>Mai</t>
        </is>
      </c>
      <c r="B163" s="366">
        <f>IF(DONNÉES!CM48="","",DONNÉES!CM48)</f>
        <v/>
      </c>
      <c r="C163" s="495">
        <f>IF(TRDLYSE[[#This Row],[2024]]="","",DONNÉES!CN48)</f>
        <v/>
      </c>
      <c r="D163" s="366">
        <f>IF(TRDLYSE[[#This Row],[2024]]="","",DONNÉES!CM128)</f>
        <v/>
      </c>
      <c r="E163" s="496">
        <f>IF(TRDLYSE[[#This Row],[2024]]="","",DONNÉES!CN128)</f>
        <v/>
      </c>
      <c r="F163" s="366">
        <f>IF(TRDLYSE[[#This Row],[2024]]="","",DONNÉES!CM64)</f>
        <v/>
      </c>
      <c r="G163" s="495">
        <f>IF(TRDLYSE[[#This Row],[2024]]="","",DONNÉES!CN64)</f>
        <v/>
      </c>
      <c r="H163" s="366">
        <f>IF(TRDLYSE[[#This Row],[2024]]="","",DONNÉES!CM144)</f>
        <v/>
      </c>
      <c r="I163" s="496">
        <f>IF(TRDLYSE[[#This Row],[2024]]="","",DONNÉES!CN144)</f>
        <v/>
      </c>
      <c r="J163" s="366">
        <f>IF(TRDLYSE[[#This Row],[2024]]="","",DONNÉES!CM80)</f>
        <v/>
      </c>
      <c r="K163" s="495">
        <f>IF(TRDLYSE[[#This Row],[2024]]="","",DONNÉES!CN80)</f>
        <v/>
      </c>
      <c r="L163" s="366">
        <f>IF(TRDLYSE[[#This Row],[2024]]="","",DONNÉES!CM160)</f>
        <v/>
      </c>
      <c r="M163" s="496">
        <f>IF(TRDLYSE[[#This Row],[2024]]="","",DONNÉES!CN160)</f>
        <v/>
      </c>
      <c r="N163" s="366">
        <f>IF(TRDLYSE[[#This Row],[2024]]="","",DONNÉES!CM96)</f>
        <v/>
      </c>
      <c r="O163" s="495">
        <f>IF(TRDLYSE[[#This Row],[2024]]="","",DONNÉES!CN96)</f>
        <v/>
      </c>
      <c r="P163" s="366">
        <f>IF(TRDLYSE[[#This Row],[2024]]="","",DONNÉES!CM176)</f>
        <v/>
      </c>
      <c r="Q163" s="497">
        <f>IF(TRDLYSE[[#This Row],[2024]]="","",DONNÉES!CN176)</f>
        <v/>
      </c>
      <c r="R163" s="499" t="n"/>
      <c r="S163" s="366">
        <f>IF(TRDLYSE[[#This Row],[2024]]="","",DONNÉES!CM112)</f>
        <v/>
      </c>
      <c r="T163" s="495">
        <f>IF(TRDLYSE[[#This Row],[2024]]="","",DONNÉES!CN112)</f>
        <v/>
      </c>
      <c r="U163" s="366">
        <f>IF(TRDLYSE[[#This Row],[2024]]="","",DONNÉES!CM192)</f>
        <v/>
      </c>
      <c r="V163" s="366">
        <f>IF(TRDLYSE[[#This Row],[2024]]="","",DONNÉES!CN192)</f>
        <v/>
      </c>
    </row>
    <row r="164" ht="11.65" customHeight="1" s="161">
      <c r="A164" s="494" t="inlineStr">
        <is>
          <t>Juin</t>
        </is>
      </c>
      <c r="B164" s="366">
        <f>IF(DONNÉES!CM49="","",DONNÉES!CM49)</f>
        <v/>
      </c>
      <c r="C164" s="495">
        <f>IF(TRDLYSE[[#This Row],[2024]]="","",DONNÉES!CN49)</f>
        <v/>
      </c>
      <c r="D164" s="366">
        <f>IF(TRDLYSE[[#This Row],[2024]]="","",DONNÉES!CM129)</f>
        <v/>
      </c>
      <c r="E164" s="496">
        <f>IF(TRDLYSE[[#This Row],[2024]]="","",DONNÉES!CN129)</f>
        <v/>
      </c>
      <c r="F164" s="366">
        <f>IF(TRDLYSE[[#This Row],[2024]]="","",DONNÉES!CM65)</f>
        <v/>
      </c>
      <c r="G164" s="495">
        <f>IF(TRDLYSE[[#This Row],[2024]]="","",DONNÉES!CN65)</f>
        <v/>
      </c>
      <c r="H164" s="366">
        <f>IF(TRDLYSE[[#This Row],[2024]]="","",DONNÉES!CM145)</f>
        <v/>
      </c>
      <c r="I164" s="496">
        <f>IF(TRDLYSE[[#This Row],[2024]]="","",DONNÉES!CN145)</f>
        <v/>
      </c>
      <c r="J164" s="366">
        <f>IF(TRDLYSE[[#This Row],[2024]]="","",DONNÉES!CM81)</f>
        <v/>
      </c>
      <c r="K164" s="495">
        <f>IF(TRDLYSE[[#This Row],[2024]]="","",DONNÉES!CN81)</f>
        <v/>
      </c>
      <c r="L164" s="366">
        <f>IF(TRDLYSE[[#This Row],[2024]]="","",DONNÉES!CM161)</f>
        <v/>
      </c>
      <c r="M164" s="496">
        <f>IF(TRDLYSE[[#This Row],[2024]]="","",DONNÉES!CN161)</f>
        <v/>
      </c>
      <c r="N164" s="366">
        <f>IF(TRDLYSE[[#This Row],[2024]]="","",DONNÉES!CM97)</f>
        <v/>
      </c>
      <c r="O164" s="495">
        <f>IF(TRDLYSE[[#This Row],[2024]]="","",DONNÉES!CN97)</f>
        <v/>
      </c>
      <c r="P164" s="366">
        <f>IF(TRDLYSE[[#This Row],[2024]]="","",DONNÉES!CM177)</f>
        <v/>
      </c>
      <c r="Q164" s="497">
        <f>IF(TRDLYSE[[#This Row],[2024]]="","",DONNÉES!CN177)</f>
        <v/>
      </c>
      <c r="R164" s="499" t="n"/>
      <c r="S164" s="366">
        <f>IF(TRDLYSE[[#This Row],[2024]]="","",DONNÉES!CM113)</f>
        <v/>
      </c>
      <c r="T164" s="495">
        <f>IF(TRDLYSE[[#This Row],[2024]]="","",DONNÉES!CN113)</f>
        <v/>
      </c>
      <c r="U164" s="366">
        <f>IF(TRDLYSE[[#This Row],[2024]]="","",DONNÉES!CM193)</f>
        <v/>
      </c>
      <c r="V164" s="366">
        <f>IF(TRDLYSE[[#This Row],[2024]]="","",DONNÉES!CN193)</f>
        <v/>
      </c>
    </row>
    <row r="165" ht="11.65" customHeight="1" s="161">
      <c r="A165" s="490" t="inlineStr">
        <is>
          <t>Juillet</t>
        </is>
      </c>
      <c r="B165" s="366">
        <f>IF(DONNÉES!CM50="","",DONNÉES!CM50)</f>
        <v/>
      </c>
      <c r="C165" s="495">
        <f>IF(TRDLYSE[[#This Row],[2024]]="","",DONNÉES!CN50)</f>
        <v/>
      </c>
      <c r="D165" s="366">
        <f>IF(TRDLYSE[[#This Row],[2024]]="","",DONNÉES!CM130)</f>
        <v/>
      </c>
      <c r="E165" s="496">
        <f>IF(TRDLYSE[[#This Row],[2024]]="","",DONNÉES!CN130)</f>
        <v/>
      </c>
      <c r="F165" s="366">
        <f>IF(TRDLYSE[[#This Row],[2024]]="","",DONNÉES!CM66)</f>
        <v/>
      </c>
      <c r="G165" s="495">
        <f>IF(TRDLYSE[[#This Row],[2024]]="","",DONNÉES!CN66)</f>
        <v/>
      </c>
      <c r="H165" s="366">
        <f>IF(TRDLYSE[[#This Row],[2024]]="","",DONNÉES!CM146)</f>
        <v/>
      </c>
      <c r="I165" s="496">
        <f>IF(TRDLYSE[[#This Row],[2024]]="","",DONNÉES!CN146)</f>
        <v/>
      </c>
      <c r="J165" s="366">
        <f>IF(TRDLYSE[[#This Row],[2024]]="","",DONNÉES!CM82)</f>
        <v/>
      </c>
      <c r="K165" s="495">
        <f>IF(TRDLYSE[[#This Row],[2024]]="","",DONNÉES!CN82)</f>
        <v/>
      </c>
      <c r="L165" s="366">
        <f>IF(TRDLYSE[[#This Row],[2024]]="","",DONNÉES!CM162)</f>
        <v/>
      </c>
      <c r="M165" s="496">
        <f>IF(TRDLYSE[[#This Row],[2024]]="","",DONNÉES!CN162)</f>
        <v/>
      </c>
      <c r="N165" s="366">
        <f>IF(TRDLYSE[[#This Row],[2024]]="","",DONNÉES!CM98)</f>
        <v/>
      </c>
      <c r="O165" s="495">
        <f>IF(TRDLYSE[[#This Row],[2024]]="","",DONNÉES!CN98)</f>
        <v/>
      </c>
      <c r="P165" s="366">
        <f>IF(TRDLYSE[[#This Row],[2024]]="","",DONNÉES!CM178)</f>
        <v/>
      </c>
      <c r="Q165" s="497">
        <f>IF(TRDLYSE[[#This Row],[2024]]="","",DONNÉES!CN178)</f>
        <v/>
      </c>
      <c r="R165" s="499" t="n"/>
      <c r="S165" s="366">
        <f>IF(TRDLYSE[[#This Row],[2024]]="","",DONNÉES!CM114)</f>
        <v/>
      </c>
      <c r="T165" s="495">
        <f>IF(TRDLYSE[[#This Row],[2024]]="","",DONNÉES!CN114)</f>
        <v/>
      </c>
      <c r="U165" s="366">
        <f>IF(TRDLYSE[[#This Row],[2024]]="","",DONNÉES!CM194)</f>
        <v/>
      </c>
      <c r="V165" s="366">
        <f>IF(TRDLYSE[[#This Row],[2024]]="","",DONNÉES!CN194)</f>
        <v/>
      </c>
    </row>
    <row r="166" ht="11.65" customHeight="1" s="161">
      <c r="A166" s="494" t="inlineStr">
        <is>
          <t>Août</t>
        </is>
      </c>
      <c r="B166" s="366">
        <f>IF(DONNÉES!CM51="","",DONNÉES!CM51)</f>
        <v/>
      </c>
      <c r="C166" s="495">
        <f>IF(TRDLYSE[[#This Row],[2024]]="","",DONNÉES!CN51)</f>
        <v/>
      </c>
      <c r="D166" s="366">
        <f>IF(TRDLYSE[[#This Row],[2024]]="","",DONNÉES!CM131)</f>
        <v/>
      </c>
      <c r="E166" s="496">
        <f>IF(TRDLYSE[[#This Row],[2024]]="","",DONNÉES!CN131)</f>
        <v/>
      </c>
      <c r="F166" s="366">
        <f>IF(TRDLYSE[[#This Row],[2024]]="","",DONNÉES!CM67)</f>
        <v/>
      </c>
      <c r="G166" s="495">
        <f>IF(TRDLYSE[[#This Row],[2024]]="","",DONNÉES!CN67)</f>
        <v/>
      </c>
      <c r="H166" s="366">
        <f>IF(TRDLYSE[[#This Row],[2024]]="","",DONNÉES!CM147)</f>
        <v/>
      </c>
      <c r="I166" s="496">
        <f>IF(TRDLYSE[[#This Row],[2024]]="","",DONNÉES!CN147)</f>
        <v/>
      </c>
      <c r="J166" s="366">
        <f>IF(TRDLYSE[[#This Row],[2024]]="","",DONNÉES!CM83)</f>
        <v/>
      </c>
      <c r="K166" s="495">
        <f>IF(TRDLYSE[[#This Row],[2024]]="","",DONNÉES!CN83)</f>
        <v/>
      </c>
      <c r="L166" s="366">
        <f>IF(TRDLYSE[[#This Row],[2024]]="","",DONNÉES!CM163)</f>
        <v/>
      </c>
      <c r="M166" s="496">
        <f>IF(TRDLYSE[[#This Row],[2024]]="","",DONNÉES!CN163)</f>
        <v/>
      </c>
      <c r="N166" s="366">
        <f>IF(TRDLYSE[[#This Row],[2024]]="","",DONNÉES!CM99)</f>
        <v/>
      </c>
      <c r="O166" s="495">
        <f>IF(TRDLYSE[[#This Row],[2024]]="","",DONNÉES!CN99)</f>
        <v/>
      </c>
      <c r="P166" s="366">
        <f>IF(TRDLYSE[[#This Row],[2024]]="","",DONNÉES!CM179)</f>
        <v/>
      </c>
      <c r="Q166" s="497">
        <f>IF(TRDLYSE[[#This Row],[2024]]="","",DONNÉES!CN179)</f>
        <v/>
      </c>
      <c r="R166" s="499" t="n"/>
      <c r="S166" s="366">
        <f>IF(TRDLYSE[[#This Row],[2024]]="","",DONNÉES!CM115)</f>
        <v/>
      </c>
      <c r="T166" s="495">
        <f>IF(TRDLYSE[[#This Row],[2024]]="","",DONNÉES!CN115)</f>
        <v/>
      </c>
      <c r="U166" s="366">
        <f>IF(TRDLYSE[[#This Row],[2024]]="","",DONNÉES!CM195)</f>
        <v/>
      </c>
      <c r="V166" s="366">
        <f>IF(TRDLYSE[[#This Row],[2024]]="","",DONNÉES!CN195)</f>
        <v/>
      </c>
    </row>
    <row r="167" ht="11.65" customHeight="1" s="161">
      <c r="A167" s="490" t="inlineStr">
        <is>
          <t>Septembre</t>
        </is>
      </c>
      <c r="B167" s="369">
        <f>IF(DONNÉES!CM52="","",DONNÉES!CM52)</f>
        <v/>
      </c>
      <c r="C167" s="501">
        <f>IF(TRDLYSE[[#This Row],[2024]]="","",DONNÉES!CN52)</f>
        <v/>
      </c>
      <c r="D167" s="369">
        <f>IF(TRDLYSE[[#This Row],[2024]]="","",DONNÉES!CM132)</f>
        <v/>
      </c>
      <c r="E167" s="500">
        <f>IF(TRDLYSE[[#This Row],[2024]]="","",DONNÉES!CN132)</f>
        <v/>
      </c>
      <c r="F167" s="369">
        <f>IF(TRDLYSE[[#This Row],[2024]]="","",DONNÉES!CM68)</f>
        <v/>
      </c>
      <c r="G167" s="501">
        <f>IF(TRDLYSE[[#This Row],[2024]]="","",DONNÉES!CN68)</f>
        <v/>
      </c>
      <c r="H167" s="369">
        <f>IF(TRDLYSE[[#This Row],[2024]]="","",DONNÉES!CM148)</f>
        <v/>
      </c>
      <c r="I167" s="500">
        <f>IF(TRDLYSE[[#This Row],[2024]]="","",DONNÉES!CN148)</f>
        <v/>
      </c>
      <c r="J167" s="369">
        <f>IF(TRDLYSE[[#This Row],[2024]]="","",DONNÉES!CM84)</f>
        <v/>
      </c>
      <c r="K167" s="501">
        <f>IF(TRDLYSE[[#This Row],[2024]]="","",DONNÉES!CN84)</f>
        <v/>
      </c>
      <c r="L167" s="369">
        <f>IF(TRDLYSE[[#This Row],[2024]]="","",DONNÉES!CM164)</f>
        <v/>
      </c>
      <c r="M167" s="500">
        <f>IF(TRDLYSE[[#This Row],[2024]]="","",DONNÉES!CN164)</f>
        <v/>
      </c>
      <c r="N167" s="369">
        <f>IF(TRDLYSE[[#This Row],[2024]]="","",DONNÉES!CM100)</f>
        <v/>
      </c>
      <c r="O167" s="501">
        <f>IF(TRDLYSE[[#This Row],[2024]]="","",DONNÉES!CN100)</f>
        <v/>
      </c>
      <c r="P167" s="369">
        <f>IF(TRDLYSE[[#This Row],[2024]]="","",DONNÉES!CM180)</f>
        <v/>
      </c>
      <c r="Q167" s="502">
        <f>IF(TRDLYSE[[#This Row],[2024]]="","",DONNÉES!CN180)</f>
        <v/>
      </c>
      <c r="R167" s="499" t="n"/>
      <c r="S167" s="369">
        <f>IF(TRDLYSE[[#This Row],[2024]]="","",DONNÉES!CM116)</f>
        <v/>
      </c>
      <c r="T167" s="501">
        <f>IF(TRDLYSE[[#This Row],[2024]]="","",DONNÉES!CN116)</f>
        <v/>
      </c>
      <c r="U167" s="369">
        <f>IF(TRDLYSE[[#This Row],[2024]]="","",DONNÉES!CM196)</f>
        <v/>
      </c>
      <c r="V167" s="369">
        <f>IF(TRDLYSE[[#This Row],[2024]]="","",DONNÉES!CN196)</f>
        <v/>
      </c>
    </row>
    <row r="168" ht="11.65" customHeight="1" s="161">
      <c r="A168" s="494" t="inlineStr">
        <is>
          <t>Octobre</t>
        </is>
      </c>
      <c r="B168" s="369">
        <f>IF(DONNÉES!CM53="","",DONNÉES!CM53)</f>
        <v/>
      </c>
      <c r="C168" s="501">
        <f>IF(TRDLYSE[[#This Row],[2024]]="","",DONNÉES!CN53)</f>
        <v/>
      </c>
      <c r="D168" s="369">
        <f>IF(TRDLYSE[[#This Row],[2024]]="","",DONNÉES!CM133)</f>
        <v/>
      </c>
      <c r="E168" s="500">
        <f>IF(TRDLYSE[[#This Row],[2024]]="","",DONNÉES!CN133)</f>
        <v/>
      </c>
      <c r="F168" s="369">
        <f>IF(TRDLYSE[[#This Row],[2024]]="","",DONNÉES!CM69)</f>
        <v/>
      </c>
      <c r="G168" s="501">
        <f>IF(TRDLYSE[[#This Row],[2024]]="","",DONNÉES!CN69)</f>
        <v/>
      </c>
      <c r="H168" s="369">
        <f>IF(TRDLYSE[[#This Row],[2024]]="","",DONNÉES!CM149)</f>
        <v/>
      </c>
      <c r="I168" s="500">
        <f>IF(TRDLYSE[[#This Row],[2024]]="","",DONNÉES!CN149)</f>
        <v/>
      </c>
      <c r="J168" s="369">
        <f>IF(TRDLYSE[[#This Row],[2024]]="","",DONNÉES!CM85)</f>
        <v/>
      </c>
      <c r="K168" s="501">
        <f>IF(TRDLYSE[[#This Row],[2024]]="","",DONNÉES!CN85)</f>
        <v/>
      </c>
      <c r="L168" s="369">
        <f>IF(TRDLYSE[[#This Row],[2024]]="","",DONNÉES!CM165)</f>
        <v/>
      </c>
      <c r="M168" s="500">
        <f>IF(TRDLYSE[[#This Row],[2024]]="","",DONNÉES!CN165)</f>
        <v/>
      </c>
      <c r="N168" s="369">
        <f>IF(TRDLYSE[[#This Row],[2024]]="","",DONNÉES!CM101)</f>
        <v/>
      </c>
      <c r="O168" s="501">
        <f>IF(TRDLYSE[[#This Row],[2024]]="","",DONNÉES!CN101)</f>
        <v/>
      </c>
      <c r="P168" s="369">
        <f>IF(TRDLYSE[[#This Row],[2024]]="","",DONNÉES!CM181)</f>
        <v/>
      </c>
      <c r="Q168" s="502">
        <f>IF(TRDLYSE[[#This Row],[2024]]="","",DONNÉES!CN181)</f>
        <v/>
      </c>
      <c r="R168" s="503" t="n"/>
      <c r="S168" s="369">
        <f>IF(TRDLYSE[[#This Row],[2024]]="","",DONNÉES!CM117)</f>
        <v/>
      </c>
      <c r="T168" s="501">
        <f>IF(TRDLYSE[[#This Row],[2024]]="","",DONNÉES!CN117)</f>
        <v/>
      </c>
      <c r="U168" s="369">
        <f>IF(TRDLYSE[[#This Row],[2024]]="","",DONNÉES!CM197)</f>
        <v/>
      </c>
      <c r="V168" s="369">
        <f>IF(TRDLYSE[[#This Row],[2024]]="","",DONNÉES!CN197)</f>
        <v/>
      </c>
    </row>
    <row r="169" ht="11.65" customHeight="1" s="161">
      <c r="A169" s="490" t="inlineStr">
        <is>
          <t>Novembre</t>
        </is>
      </c>
      <c r="B169" s="369">
        <f>IF(DONNÉES!CM54="","",DONNÉES!CM54)</f>
        <v/>
      </c>
      <c r="C169" s="501">
        <f>IF(TRDLYSE[[#This Row],[2024]]="","",DONNÉES!CN54)</f>
        <v/>
      </c>
      <c r="D169" s="369">
        <f>IF(TRDLYSE[[#This Row],[2024]]="","",DONNÉES!CM134)</f>
        <v/>
      </c>
      <c r="E169" s="500">
        <f>IF(TRDLYSE[[#This Row],[2024]]="","",DONNÉES!CN134)</f>
        <v/>
      </c>
      <c r="F169" s="369">
        <f>IF(TRDLYSE[[#This Row],[2024]]="","",DONNÉES!CM70)</f>
        <v/>
      </c>
      <c r="G169" s="501">
        <f>IF(TRDLYSE[[#This Row],[2024]]="","",DONNÉES!CN70)</f>
        <v/>
      </c>
      <c r="H169" s="369">
        <f>IF(TRDLYSE[[#This Row],[2024]]="","",DONNÉES!CM150)</f>
        <v/>
      </c>
      <c r="I169" s="500">
        <f>IF(TRDLYSE[[#This Row],[2024]]="","",DONNÉES!CN150)</f>
        <v/>
      </c>
      <c r="J169" s="369">
        <f>IF(TRDLYSE[[#This Row],[2024]]="","",DONNÉES!CM86)</f>
        <v/>
      </c>
      <c r="K169" s="501">
        <f>IF(TRDLYSE[[#This Row],[2024]]="","",DONNÉES!CN86)</f>
        <v/>
      </c>
      <c r="L169" s="369">
        <f>IF(TRDLYSE[[#This Row],[2024]]="","",DONNÉES!CM166)</f>
        <v/>
      </c>
      <c r="M169" s="500">
        <f>IF(TRDLYSE[[#This Row],[2024]]="","",DONNÉES!CN166)</f>
        <v/>
      </c>
      <c r="N169" s="369">
        <f>IF(TRDLYSE[[#This Row],[2024]]="","",DONNÉES!CM102)</f>
        <v/>
      </c>
      <c r="O169" s="501">
        <f>IF(TRDLYSE[[#This Row],[2024]]="","",DONNÉES!CN102)</f>
        <v/>
      </c>
      <c r="P169" s="369">
        <f>IF(TRDLYSE[[#This Row],[2024]]="","",DONNÉES!CM182)</f>
        <v/>
      </c>
      <c r="Q169" s="502">
        <f>IF(TRDLYSE[[#This Row],[2024]]="","",DONNÉES!CN182)</f>
        <v/>
      </c>
      <c r="R169" s="499" t="n"/>
      <c r="S169" s="369">
        <f>IF(TRDLYSE[[#This Row],[2024]]="","",DONNÉES!CM118)</f>
        <v/>
      </c>
      <c r="T169" s="501">
        <f>IF(TRDLYSE[[#This Row],[2024]]="","",DONNÉES!CN118)</f>
        <v/>
      </c>
      <c r="U169" s="369">
        <f>IF(TRDLYSE[[#This Row],[2024]]="","",DONNÉES!CM198)</f>
        <v/>
      </c>
      <c r="V169" s="369">
        <f>IF(TRDLYSE[[#This Row],[2024]]="","",DONNÉES!CN198)</f>
        <v/>
      </c>
    </row>
    <row r="170" ht="11.65" customFormat="1" customHeight="1" s="476">
      <c r="A170" s="490" t="inlineStr">
        <is>
          <t>Décembre</t>
        </is>
      </c>
      <c r="B170" s="369">
        <f>IF(DONNÉES!CM55="","",DONNÉES!CM55)</f>
        <v/>
      </c>
      <c r="C170" s="501">
        <f>IF(TRDLYSE[[#This Row],[2024]]="","",DONNÉES!CN55)</f>
        <v/>
      </c>
      <c r="D170" s="369">
        <f>IF(TRDLYSE[[#This Row],[2024]]="","",DONNÉES!CM135)</f>
        <v/>
      </c>
      <c r="E170" s="500">
        <f>IF(TRDLYSE[[#This Row],[2024]]="","",DONNÉES!CN135)</f>
        <v/>
      </c>
      <c r="F170" s="369">
        <f>IF(TRDLYSE[[#This Row],[2024]]="","",DONNÉES!CM71)</f>
        <v/>
      </c>
      <c r="G170" s="501">
        <f>IF(TRDLYSE[[#This Row],[2024]]="","",DONNÉES!CN71)</f>
        <v/>
      </c>
      <c r="H170" s="369">
        <f>IF(TRDLYSE[[#This Row],[2024]]="","",DONNÉES!CM151)</f>
        <v/>
      </c>
      <c r="I170" s="500">
        <f>IF(TRDLYSE[[#This Row],[2024]]="","",DONNÉES!CN151)</f>
        <v/>
      </c>
      <c r="J170" s="369">
        <f>IF(TRDLYSE[[#This Row],[2024]]="","",DONNÉES!CM87)</f>
        <v/>
      </c>
      <c r="K170" s="501">
        <f>IF(TRDLYSE[[#This Row],[2024]]="","",DONNÉES!CN87)</f>
        <v/>
      </c>
      <c r="L170" s="369">
        <f>IF(TRDLYSE[[#This Row],[2024]]="","",DONNÉES!CM167)</f>
        <v/>
      </c>
      <c r="M170" s="500">
        <f>IF(TRDLYSE[[#This Row],[2024]]="","",DONNÉES!CN167)</f>
        <v/>
      </c>
      <c r="N170" s="369">
        <f>IF(TRDLYSE[[#This Row],[2024]]="","",DONNÉES!CM103)</f>
        <v/>
      </c>
      <c r="O170" s="501">
        <f>IF(TRDLYSE[[#This Row],[2024]]="","",DONNÉES!CN103)</f>
        <v/>
      </c>
      <c r="P170" s="369">
        <f>IF(TRDLYSE[[#This Row],[2024]]="","",DONNÉES!CM183)</f>
        <v/>
      </c>
      <c r="Q170" s="502">
        <f>IF(TRDLYSE[[#This Row],[2024]]="","",DONNÉES!CN183)</f>
        <v/>
      </c>
      <c r="R170" s="498" t="n"/>
      <c r="S170" s="369">
        <f>IF(TRDLYSE[[#This Row],[2024]]="","",DONNÉES!CM119)</f>
        <v/>
      </c>
      <c r="T170" s="501">
        <f>IF(TRDLYSE[[#This Row],[2024]]="","",DONNÉES!CN119)</f>
        <v/>
      </c>
      <c r="U170" s="369">
        <f>IF(TRDLYSE[[#This Row],[2024]]="","",DONNÉES!CM199)</f>
        <v/>
      </c>
      <c r="V170" s="369">
        <f>IF(TRDLYSE[[#This Row],[2024]]="","",DONNÉES!CN199)</f>
        <v/>
      </c>
    </row>
    <row r="171" ht="11.65" customFormat="1" customHeight="1" s="476">
      <c r="A171" s="490" t="n"/>
      <c r="B171" s="369" t="n"/>
      <c r="C171" s="369" t="n"/>
      <c r="D171" s="369" t="n"/>
      <c r="E171" s="500" t="n"/>
      <c r="F171" s="369" t="n"/>
      <c r="G171" s="369" t="n"/>
      <c r="H171" s="369" t="n"/>
      <c r="I171" s="500" t="n"/>
      <c r="J171" s="369" t="n"/>
      <c r="K171" s="369" t="n"/>
      <c r="L171" s="369" t="n"/>
      <c r="M171" s="500" t="n"/>
      <c r="N171" s="369" t="n"/>
      <c r="O171" s="369" t="n"/>
      <c r="P171" s="369" t="n"/>
      <c r="Q171" s="502" t="n"/>
      <c r="R171" s="498" t="n"/>
      <c r="S171" s="369" t="n"/>
      <c r="T171" s="369" t="n"/>
      <c r="U171" s="369" t="n"/>
      <c r="V171" s="369" t="n"/>
    </row>
    <row r="172" ht="14.65" customHeight="1" s="161">
      <c r="A172" s="522" t="n"/>
      <c r="B172" s="523" t="inlineStr">
        <is>
          <t>Sur place</t>
        </is>
      </c>
      <c r="C172" s="487" t="n"/>
      <c r="D172" s="487" t="n"/>
      <c r="E172" s="488" t="n"/>
      <c r="F172" s="523" t="inlineStr">
        <is>
          <t>A emporter</t>
        </is>
      </c>
      <c r="G172" s="487" t="n"/>
      <c r="H172" s="487" t="n"/>
      <c r="I172" s="488" t="n"/>
      <c r="J172" s="523" t="inlineStr">
        <is>
          <t>Mc Drive</t>
        </is>
      </c>
      <c r="K172" s="487" t="n"/>
      <c r="L172" s="487" t="n"/>
      <c r="M172" s="488" t="n"/>
      <c r="N172" s="524" t="inlineStr">
        <is>
          <t>Kiosque</t>
        </is>
      </c>
      <c r="O172" s="487" t="n"/>
      <c r="P172" s="487" t="n"/>
      <c r="Q172" s="487" t="n"/>
      <c r="S172" s="524" t="inlineStr">
        <is>
          <t>Total</t>
        </is>
      </c>
      <c r="T172" s="487" t="n"/>
      <c r="U172" s="487" t="n"/>
      <c r="V172" s="487" t="n"/>
    </row>
    <row r="173" ht="28.9" customHeight="1" s="161">
      <c r="A173" s="490" t="inlineStr">
        <is>
          <t>ARTHUR</t>
        </is>
      </c>
      <c r="B173" s="491" t="inlineStr">
        <is>
          <t>2024</t>
        </is>
      </c>
      <c r="C173" s="492" t="inlineStr">
        <is>
          <t>2023</t>
        </is>
      </c>
      <c r="D173" s="491" t="inlineStr">
        <is>
          <t>2024 cumul</t>
        </is>
      </c>
      <c r="E173" s="493" t="inlineStr">
        <is>
          <t>2023 cumul</t>
        </is>
      </c>
      <c r="F173" s="211" t="inlineStr">
        <is>
          <t xml:space="preserve">2024  </t>
        </is>
      </c>
      <c r="G173" s="492" t="inlineStr">
        <is>
          <t xml:space="preserve">2023  </t>
        </is>
      </c>
      <c r="H173" s="491" t="inlineStr">
        <is>
          <t xml:space="preserve">2024 cumul </t>
        </is>
      </c>
      <c r="I173" s="493" t="inlineStr">
        <is>
          <t xml:space="preserve">2023 cumul </t>
        </is>
      </c>
      <c r="J173" s="491" t="inlineStr">
        <is>
          <t xml:space="preserve">2024   </t>
        </is>
      </c>
      <c r="K173" s="492" t="inlineStr">
        <is>
          <t xml:space="preserve">2023   </t>
        </is>
      </c>
      <c r="L173" s="491" t="inlineStr">
        <is>
          <t xml:space="preserve">2024 cumul   </t>
        </is>
      </c>
      <c r="M173" s="493" t="inlineStr">
        <is>
          <t xml:space="preserve">2023 cumul   </t>
        </is>
      </c>
      <c r="N173" s="491" t="inlineStr">
        <is>
          <t xml:space="preserve">2024    </t>
        </is>
      </c>
      <c r="O173" s="492" t="inlineStr">
        <is>
          <t xml:space="preserve">2023    </t>
        </is>
      </c>
      <c r="P173" s="491" t="inlineStr">
        <is>
          <t xml:space="preserve">2024 cumul    </t>
        </is>
      </c>
      <c r="Q173" s="94" t="inlineStr">
        <is>
          <t xml:space="preserve">2023 cumul    </t>
        </is>
      </c>
      <c r="S173" s="491" t="inlineStr">
        <is>
          <t>2024</t>
        </is>
      </c>
      <c r="T173" s="492" t="inlineStr">
        <is>
          <t>2023</t>
        </is>
      </c>
      <c r="U173" s="491" t="inlineStr">
        <is>
          <t>2024 cumul</t>
        </is>
      </c>
      <c r="V173" s="493" t="inlineStr">
        <is>
          <t>2023 cumul</t>
        </is>
      </c>
    </row>
    <row r="174" ht="11.65" customHeight="1" s="161">
      <c r="A174" s="494" t="inlineStr">
        <is>
          <t>Janvier</t>
        </is>
      </c>
      <c r="B174" s="366">
        <f>IF(DONNÉES!CU44="","",DONNÉES!CU44)</f>
        <v/>
      </c>
      <c r="C174" s="495">
        <f>IF(TRDARTHUR[[#This Row],[2024]]="","",DONNÉES!CV44)</f>
        <v/>
      </c>
      <c r="D174" s="366">
        <f>IF(TRDARTHUR[[#This Row],[2024]]="","",DONNÉES!CU124)</f>
        <v/>
      </c>
      <c r="E174" s="496">
        <f>IF(TRDARTHUR[[#This Row],[2024]]="","",DONNÉES!CV124)</f>
        <v/>
      </c>
      <c r="F174" s="366">
        <f>IF(TRDARTHUR[[#This Row],[2024]]="","",DONNÉES!CU60)</f>
        <v/>
      </c>
      <c r="G174" s="495">
        <f>IF(TRDARTHUR[[#This Row],[2024]]="","",DONNÉES!CV60)</f>
        <v/>
      </c>
      <c r="H174" s="366">
        <f>IF(TRDARTHUR[[#This Row],[2024]]="","",DONNÉES!CU140)</f>
        <v/>
      </c>
      <c r="I174" s="496">
        <f>IF(TRDARTHUR[[#This Row],[2024]]="","",DONNÉES!CV140)</f>
        <v/>
      </c>
      <c r="J174" s="366">
        <f>IF(TRDARTHUR[[#This Row],[2024]]="","",DONNÉES!CU76)</f>
        <v/>
      </c>
      <c r="K174" s="495">
        <f>IF(TRDARTHUR[[#This Row],[2024]]="","",DONNÉES!CV76)</f>
        <v/>
      </c>
      <c r="L174" s="366">
        <f>IF(TRDARTHUR[[#This Row],[2024]]="","",DONNÉES!CU156)</f>
        <v/>
      </c>
      <c r="M174" s="496">
        <f>IF(TRDARTHUR[[#This Row],[2024]]="","",DONNÉES!CV156)</f>
        <v/>
      </c>
      <c r="N174" s="366">
        <f>IF(TRDARTHUR[[#This Row],[2024]]="","",DONNÉES!CU92)</f>
        <v/>
      </c>
      <c r="O174" s="495">
        <f>IF(TRDARTHUR[[#This Row],[2024]]="","",DONNÉES!CV92)</f>
        <v/>
      </c>
      <c r="P174" s="366">
        <f>IF(TRDARTHUR[[#This Row],[2024]]="","",DONNÉES!CU172)</f>
        <v/>
      </c>
      <c r="Q174" s="497">
        <f>IF(TRDARTHUR[[#This Row],[2024]]="","",DONNÉES!CV172)</f>
        <v/>
      </c>
      <c r="S174" s="366">
        <f>IF(TRDARTHUR[[#This Row],[2024]]="","",DONNÉES!CU108)</f>
        <v/>
      </c>
      <c r="T174" s="495">
        <f>IF(TRDARTHUR[[#This Row],[2024]]="","",DONNÉES!CV108)</f>
        <v/>
      </c>
      <c r="U174" s="366">
        <f>IF(TRDARTHUR[[#This Row],[2024]]="","",DONNÉES!CU188)</f>
        <v/>
      </c>
      <c r="V174" s="366">
        <f>IF(TRDARTHUR[[#This Row],[2024]]="","",DONNÉES!CV188)</f>
        <v/>
      </c>
    </row>
    <row r="175" ht="11.65" customFormat="1" customHeight="1" s="476">
      <c r="A175" s="494" t="inlineStr">
        <is>
          <t>Février</t>
        </is>
      </c>
      <c r="B175" s="366">
        <f>IF(DONNÉES!CU45="","",DONNÉES!CU45)</f>
        <v/>
      </c>
      <c r="C175" s="495">
        <f>IF(TRDARTHUR[[#This Row],[2024]]="","",DONNÉES!CV45)</f>
        <v/>
      </c>
      <c r="D175" s="366">
        <f>IF(TRDARTHUR[[#This Row],[2024]]="","",DONNÉES!CU125)</f>
        <v/>
      </c>
      <c r="E175" s="496">
        <f>IF(TRDARTHUR[[#This Row],[2024]]="","",DONNÉES!CV125)</f>
        <v/>
      </c>
      <c r="F175" s="366">
        <f>IF(TRDARTHUR[[#This Row],[2024]]="","",DONNÉES!CU61)</f>
        <v/>
      </c>
      <c r="G175" s="495">
        <f>IF(TRDARTHUR[[#This Row],[2024]]="","",DONNÉES!CV61)</f>
        <v/>
      </c>
      <c r="H175" s="366">
        <f>IF(TRDARTHUR[[#This Row],[2024]]="","",DONNÉES!CU141)</f>
        <v/>
      </c>
      <c r="I175" s="496">
        <f>IF(TRDARTHUR[[#This Row],[2024]]="","",DONNÉES!CV141)</f>
        <v/>
      </c>
      <c r="J175" s="366">
        <f>IF(TRDARTHUR[[#This Row],[2024]]="","",DONNÉES!CU77)</f>
        <v/>
      </c>
      <c r="K175" s="495">
        <f>IF(TRDARTHUR[[#This Row],[2024]]="","",DONNÉES!CV77)</f>
        <v/>
      </c>
      <c r="L175" s="366">
        <f>IF(TRDARTHUR[[#This Row],[2024]]="","",DONNÉES!CU157)</f>
        <v/>
      </c>
      <c r="M175" s="496">
        <f>IF(TRDARTHUR[[#This Row],[2024]]="","",DONNÉES!CV157)</f>
        <v/>
      </c>
      <c r="N175" s="366">
        <f>IF(TRDARTHUR[[#This Row],[2024]]="","",DONNÉES!CU93)</f>
        <v/>
      </c>
      <c r="O175" s="495">
        <f>IF(TRDARTHUR[[#This Row],[2024]]="","",DONNÉES!CV93)</f>
        <v/>
      </c>
      <c r="P175" s="366">
        <f>IF(TRDARTHUR[[#This Row],[2024]]="","",DONNÉES!CU173)</f>
        <v/>
      </c>
      <c r="Q175" s="497">
        <f>IF(TRDARTHUR[[#This Row],[2024]]="","",DONNÉES!CV173)</f>
        <v/>
      </c>
      <c r="R175" s="498" t="n"/>
      <c r="S175" s="366">
        <f>IF(TRDARTHUR[[#This Row],[2024]]="","",DONNÉES!CU109)</f>
        <v/>
      </c>
      <c r="T175" s="495">
        <f>IF(TRDARTHUR[[#This Row],[2024]]="","",DONNÉES!CV109)</f>
        <v/>
      </c>
      <c r="U175" s="366">
        <f>IF(TRDARTHUR[[#This Row],[2024]]="","",DONNÉES!CU189)</f>
        <v/>
      </c>
      <c r="V175" s="366">
        <f>IF(TRDARTHUR[[#This Row],[2024]]="","",DONNÉES!CV189)</f>
        <v/>
      </c>
    </row>
    <row r="176" ht="11.65" customFormat="1" customHeight="1" s="476">
      <c r="A176" s="490" t="inlineStr">
        <is>
          <t>Mars</t>
        </is>
      </c>
      <c r="B176" s="366">
        <f>IF(DONNÉES!CU46="","",DONNÉES!CU46)</f>
        <v/>
      </c>
      <c r="C176" s="495">
        <f>IF(TRDARTHUR[[#This Row],[2024]]="","",DONNÉES!CV46)</f>
        <v/>
      </c>
      <c r="D176" s="366">
        <f>IF(TRDARTHUR[[#This Row],[2024]]="","",DONNÉES!CU126)</f>
        <v/>
      </c>
      <c r="E176" s="496">
        <f>IF(TRDARTHUR[[#This Row],[2024]]="","",DONNÉES!CV126)</f>
        <v/>
      </c>
      <c r="F176" s="366">
        <f>IF(TRDARTHUR[[#This Row],[2024]]="","",DONNÉES!CU62)</f>
        <v/>
      </c>
      <c r="G176" s="495">
        <f>IF(TRDARTHUR[[#This Row],[2024]]="","",DONNÉES!CV62)</f>
        <v/>
      </c>
      <c r="H176" s="366">
        <f>IF(TRDARTHUR[[#This Row],[2024]]="","",DONNÉES!CU142)</f>
        <v/>
      </c>
      <c r="I176" s="496">
        <f>IF(TRDARTHUR[[#This Row],[2024]]="","",DONNÉES!CV142)</f>
        <v/>
      </c>
      <c r="J176" s="366">
        <f>IF(TRDARTHUR[[#This Row],[2024]]="","",DONNÉES!CU78)</f>
        <v/>
      </c>
      <c r="K176" s="495">
        <f>IF(TRDARTHUR[[#This Row],[2024]]="","",DONNÉES!CV78)</f>
        <v/>
      </c>
      <c r="L176" s="366">
        <f>IF(TRDARTHUR[[#This Row],[2024]]="","",DONNÉES!CU158)</f>
        <v/>
      </c>
      <c r="M176" s="496">
        <f>IF(TRDARTHUR[[#This Row],[2024]]="","",DONNÉES!CV158)</f>
        <v/>
      </c>
      <c r="N176" s="366">
        <f>IF(TRDARTHUR[[#This Row],[2024]]="","",DONNÉES!CU94)</f>
        <v/>
      </c>
      <c r="O176" s="495">
        <f>IF(TRDARTHUR[[#This Row],[2024]]="","",DONNÉES!CV94)</f>
        <v/>
      </c>
      <c r="P176" s="366">
        <f>IF(TRDARTHUR[[#This Row],[2024]]="","",DONNÉES!CU174)</f>
        <v/>
      </c>
      <c r="Q176" s="497">
        <f>IF(TRDARTHUR[[#This Row],[2024]]="","",DONNÉES!CV174)</f>
        <v/>
      </c>
      <c r="R176" s="498" t="n"/>
      <c r="S176" s="366">
        <f>IF(TRDARTHUR[[#This Row],[2024]]="","",DONNÉES!CU110)</f>
        <v/>
      </c>
      <c r="T176" s="495">
        <f>IF(TRDARTHUR[[#This Row],[2024]]="","",DONNÉES!CV110)</f>
        <v/>
      </c>
      <c r="U176" s="366">
        <f>IF(TRDARTHUR[[#This Row],[2024]]="","",DONNÉES!CU190)</f>
        <v/>
      </c>
      <c r="V176" s="366">
        <f>IF(TRDARTHUR[[#This Row],[2024]]="","",DONNÉES!CV190)</f>
        <v/>
      </c>
    </row>
    <row r="177" ht="11.65" customFormat="1" customHeight="1" s="476">
      <c r="A177" s="494" t="inlineStr">
        <is>
          <t>Avril</t>
        </is>
      </c>
      <c r="B177" s="366">
        <f>IF(DONNÉES!CU47="","",DONNÉES!CU47)</f>
        <v/>
      </c>
      <c r="C177" s="495">
        <f>IF(TRDARTHUR[[#This Row],[2024]]="","",DONNÉES!CV47)</f>
        <v/>
      </c>
      <c r="D177" s="366">
        <f>IF(TRDARTHUR[[#This Row],[2024]]="","",DONNÉES!CU127)</f>
        <v/>
      </c>
      <c r="E177" s="496">
        <f>IF(TRDARTHUR[[#This Row],[2024]]="","",DONNÉES!CV127)</f>
        <v/>
      </c>
      <c r="F177" s="366">
        <f>IF(TRDARTHUR[[#This Row],[2024]]="","",DONNÉES!CU63)</f>
        <v/>
      </c>
      <c r="G177" s="495">
        <f>IF(TRDARTHUR[[#This Row],[2024]]="","",DONNÉES!CV63)</f>
        <v/>
      </c>
      <c r="H177" s="366">
        <f>IF(TRDARTHUR[[#This Row],[2024]]="","",DONNÉES!CU143)</f>
        <v/>
      </c>
      <c r="I177" s="496">
        <f>IF(TRDARTHUR[[#This Row],[2024]]="","",DONNÉES!CV143)</f>
        <v/>
      </c>
      <c r="J177" s="366">
        <f>IF(TRDARTHUR[[#This Row],[2024]]="","",DONNÉES!CU79)</f>
        <v/>
      </c>
      <c r="K177" s="495">
        <f>IF(TRDARTHUR[[#This Row],[2024]]="","",DONNÉES!CV79)</f>
        <v/>
      </c>
      <c r="L177" s="366">
        <f>IF(TRDARTHUR[[#This Row],[2024]]="","",DONNÉES!CU159)</f>
        <v/>
      </c>
      <c r="M177" s="496">
        <f>IF(TRDARTHUR[[#This Row],[2024]]="","",DONNÉES!CV159)</f>
        <v/>
      </c>
      <c r="N177" s="366">
        <f>IF(TRDARTHUR[[#This Row],[2024]]="","",DONNÉES!CU95)</f>
        <v/>
      </c>
      <c r="O177" s="495">
        <f>IF(TRDARTHUR[[#This Row],[2024]]="","",DONNÉES!CV95)</f>
        <v/>
      </c>
      <c r="P177" s="366">
        <f>IF(TRDARTHUR[[#This Row],[2024]]="","",DONNÉES!CU175)</f>
        <v/>
      </c>
      <c r="Q177" s="497">
        <f>IF(TRDARTHUR[[#This Row],[2024]]="","",DONNÉES!CV175)</f>
        <v/>
      </c>
      <c r="R177" s="498" t="n"/>
      <c r="S177" s="366">
        <f>IF(TRDARTHUR[[#This Row],[2024]]="","",DONNÉES!CU111)</f>
        <v/>
      </c>
      <c r="T177" s="495">
        <f>IF(TRDARTHUR[[#This Row],[2024]]="","",DONNÉES!CV111)</f>
        <v/>
      </c>
      <c r="U177" s="366">
        <f>IF(TRDARTHUR[[#This Row],[2024]]="","",DONNÉES!CU191)</f>
        <v/>
      </c>
      <c r="V177" s="366">
        <f>IF(TRDARTHUR[[#This Row],[2024]]="","",DONNÉES!CV191)</f>
        <v/>
      </c>
    </row>
    <row r="178" ht="11.65" customHeight="1" s="161">
      <c r="A178" s="490" t="inlineStr">
        <is>
          <t>Mai</t>
        </is>
      </c>
      <c r="B178" s="366">
        <f>IF(DONNÉES!CU48="","",DONNÉES!CU48)</f>
        <v/>
      </c>
      <c r="C178" s="495">
        <f>IF(TRDARTHUR[[#This Row],[2024]]="","",DONNÉES!CV48)</f>
        <v/>
      </c>
      <c r="D178" s="366">
        <f>IF(TRDARTHUR[[#This Row],[2024]]="","",DONNÉES!CU128)</f>
        <v/>
      </c>
      <c r="E178" s="496">
        <f>IF(TRDARTHUR[[#This Row],[2024]]="","",DONNÉES!CV128)</f>
        <v/>
      </c>
      <c r="F178" s="366">
        <f>IF(TRDARTHUR[[#This Row],[2024]]="","",DONNÉES!CU64)</f>
        <v/>
      </c>
      <c r="G178" s="495">
        <f>IF(TRDARTHUR[[#This Row],[2024]]="","",DONNÉES!CV64)</f>
        <v/>
      </c>
      <c r="H178" s="366">
        <f>IF(TRDARTHUR[[#This Row],[2024]]="","",DONNÉES!CU144)</f>
        <v/>
      </c>
      <c r="I178" s="496">
        <f>IF(TRDARTHUR[[#This Row],[2024]]="","",DONNÉES!CV144)</f>
        <v/>
      </c>
      <c r="J178" s="366">
        <f>IF(TRDARTHUR[[#This Row],[2024]]="","",DONNÉES!CU80)</f>
        <v/>
      </c>
      <c r="K178" s="495">
        <f>IF(TRDARTHUR[[#This Row],[2024]]="","",DONNÉES!CV80)</f>
        <v/>
      </c>
      <c r="L178" s="366">
        <f>IF(TRDARTHUR[[#This Row],[2024]]="","",DONNÉES!CU160)</f>
        <v/>
      </c>
      <c r="M178" s="496">
        <f>IF(TRDARTHUR[[#This Row],[2024]]="","",DONNÉES!CV160)</f>
        <v/>
      </c>
      <c r="N178" s="366">
        <f>IF(TRDARTHUR[[#This Row],[2024]]="","",DONNÉES!CU96)</f>
        <v/>
      </c>
      <c r="O178" s="495">
        <f>IF(TRDARTHUR[[#This Row],[2024]]="","",DONNÉES!CV96)</f>
        <v/>
      </c>
      <c r="P178" s="366">
        <f>IF(TRDARTHUR[[#This Row],[2024]]="","",DONNÉES!CU176)</f>
        <v/>
      </c>
      <c r="Q178" s="497">
        <f>IF(TRDARTHUR[[#This Row],[2024]]="","",DONNÉES!CV176)</f>
        <v/>
      </c>
      <c r="R178" s="499" t="n"/>
      <c r="S178" s="366">
        <f>IF(TRDARTHUR[[#This Row],[2024]]="","",DONNÉES!CU112)</f>
        <v/>
      </c>
      <c r="T178" s="495">
        <f>IF(TRDARTHUR[[#This Row],[2024]]="","",DONNÉES!CV112)</f>
        <v/>
      </c>
      <c r="U178" s="366">
        <f>IF(TRDARTHUR[[#This Row],[2024]]="","",DONNÉES!CU192)</f>
        <v/>
      </c>
      <c r="V178" s="366">
        <f>IF(TRDARTHUR[[#This Row],[2024]]="","",DONNÉES!CV192)</f>
        <v/>
      </c>
    </row>
    <row r="179" ht="11.65" customHeight="1" s="161">
      <c r="A179" s="494" t="inlineStr">
        <is>
          <t>Juin</t>
        </is>
      </c>
      <c r="B179" s="366">
        <f>IF(DONNÉES!CU49="","",DONNÉES!CU49)</f>
        <v/>
      </c>
      <c r="C179" s="495">
        <f>IF(TRDARTHUR[[#This Row],[2024]]="","",DONNÉES!CV49)</f>
        <v/>
      </c>
      <c r="D179" s="366">
        <f>IF(TRDARTHUR[[#This Row],[2024]]="","",DONNÉES!CU129)</f>
        <v/>
      </c>
      <c r="E179" s="496">
        <f>IF(TRDARTHUR[[#This Row],[2024]]="","",DONNÉES!CV129)</f>
        <v/>
      </c>
      <c r="F179" s="366">
        <f>IF(TRDARTHUR[[#This Row],[2024]]="","",DONNÉES!CU65)</f>
        <v/>
      </c>
      <c r="G179" s="495">
        <f>IF(TRDARTHUR[[#This Row],[2024]]="","",DONNÉES!CV65)</f>
        <v/>
      </c>
      <c r="H179" s="366">
        <f>IF(TRDARTHUR[[#This Row],[2024]]="","",DONNÉES!CU145)</f>
        <v/>
      </c>
      <c r="I179" s="496">
        <f>IF(TRDARTHUR[[#This Row],[2024]]="","",DONNÉES!CV145)</f>
        <v/>
      </c>
      <c r="J179" s="366">
        <f>IF(TRDARTHUR[[#This Row],[2024]]="","",DONNÉES!CU81)</f>
        <v/>
      </c>
      <c r="K179" s="495">
        <f>IF(TRDARTHUR[[#This Row],[2024]]="","",DONNÉES!CV81)</f>
        <v/>
      </c>
      <c r="L179" s="366">
        <f>IF(TRDARTHUR[[#This Row],[2024]]="","",DONNÉES!CU161)</f>
        <v/>
      </c>
      <c r="M179" s="496">
        <f>IF(TRDARTHUR[[#This Row],[2024]]="","",DONNÉES!CV161)</f>
        <v/>
      </c>
      <c r="N179" s="366">
        <f>IF(TRDARTHUR[[#This Row],[2024]]="","",DONNÉES!CU97)</f>
        <v/>
      </c>
      <c r="O179" s="495">
        <f>IF(TRDARTHUR[[#This Row],[2024]]="","",DONNÉES!CV97)</f>
        <v/>
      </c>
      <c r="P179" s="366">
        <f>IF(TRDARTHUR[[#This Row],[2024]]="","",DONNÉES!CU177)</f>
        <v/>
      </c>
      <c r="Q179" s="497">
        <f>IF(TRDARTHUR[[#This Row],[2024]]="","",DONNÉES!CV177)</f>
        <v/>
      </c>
      <c r="R179" s="499" t="n"/>
      <c r="S179" s="366">
        <f>IF(TRDARTHUR[[#This Row],[2024]]="","",DONNÉES!CU113)</f>
        <v/>
      </c>
      <c r="T179" s="495">
        <f>IF(TRDARTHUR[[#This Row],[2024]]="","",DONNÉES!CV113)</f>
        <v/>
      </c>
      <c r="U179" s="366">
        <f>IF(TRDARTHUR[[#This Row],[2024]]="","",DONNÉES!CU193)</f>
        <v/>
      </c>
      <c r="V179" s="366">
        <f>IF(TRDARTHUR[[#This Row],[2024]]="","",DONNÉES!CV193)</f>
        <v/>
      </c>
    </row>
    <row r="180" ht="11.65" customHeight="1" s="161">
      <c r="A180" s="490" t="inlineStr">
        <is>
          <t>Juillet</t>
        </is>
      </c>
      <c r="B180" s="366">
        <f>IF(DONNÉES!CU50="","",DONNÉES!CU50)</f>
        <v/>
      </c>
      <c r="C180" s="495">
        <f>IF(TRDARTHUR[[#This Row],[2024]]="","",DONNÉES!CV50)</f>
        <v/>
      </c>
      <c r="D180" s="366">
        <f>IF(TRDARTHUR[[#This Row],[2024]]="","",DONNÉES!CU130)</f>
        <v/>
      </c>
      <c r="E180" s="496">
        <f>IF(TRDARTHUR[[#This Row],[2024]]="","",DONNÉES!CV130)</f>
        <v/>
      </c>
      <c r="F180" s="366">
        <f>IF(TRDARTHUR[[#This Row],[2024]]="","",DONNÉES!CU66)</f>
        <v/>
      </c>
      <c r="G180" s="495">
        <f>IF(TRDARTHUR[[#This Row],[2024]]="","",DONNÉES!CV66)</f>
        <v/>
      </c>
      <c r="H180" s="366">
        <f>IF(TRDARTHUR[[#This Row],[2024]]="","",DONNÉES!CU146)</f>
        <v/>
      </c>
      <c r="I180" s="496">
        <f>IF(TRDARTHUR[[#This Row],[2024]]="","",DONNÉES!CV146)</f>
        <v/>
      </c>
      <c r="J180" s="366">
        <f>IF(TRDARTHUR[[#This Row],[2024]]="","",DONNÉES!CU82)</f>
        <v/>
      </c>
      <c r="K180" s="495">
        <f>IF(TRDARTHUR[[#This Row],[2024]]="","",DONNÉES!CV82)</f>
        <v/>
      </c>
      <c r="L180" s="366">
        <f>IF(TRDARTHUR[[#This Row],[2024]]="","",DONNÉES!CU162)</f>
        <v/>
      </c>
      <c r="M180" s="496">
        <f>IF(TRDARTHUR[[#This Row],[2024]]="","",DONNÉES!CV162)</f>
        <v/>
      </c>
      <c r="N180" s="366">
        <f>IF(TRDARTHUR[[#This Row],[2024]]="","",DONNÉES!CU98)</f>
        <v/>
      </c>
      <c r="O180" s="495">
        <f>IF(TRDARTHUR[[#This Row],[2024]]="","",DONNÉES!CV98)</f>
        <v/>
      </c>
      <c r="P180" s="366">
        <f>IF(TRDARTHUR[[#This Row],[2024]]="","",DONNÉES!CU178)</f>
        <v/>
      </c>
      <c r="Q180" s="497">
        <f>IF(TRDARTHUR[[#This Row],[2024]]="","",DONNÉES!CV178)</f>
        <v/>
      </c>
      <c r="R180" s="499" t="n"/>
      <c r="S180" s="366">
        <f>IF(TRDARTHUR[[#This Row],[2024]]="","",DONNÉES!CU114)</f>
        <v/>
      </c>
      <c r="T180" s="495">
        <f>IF(TRDARTHUR[[#This Row],[2024]]="","",DONNÉES!CV114)</f>
        <v/>
      </c>
      <c r="U180" s="366">
        <f>IF(TRDARTHUR[[#This Row],[2024]]="","",DONNÉES!CU194)</f>
        <v/>
      </c>
      <c r="V180" s="366">
        <f>IF(TRDARTHUR[[#This Row],[2024]]="","",DONNÉES!CV194)</f>
        <v/>
      </c>
    </row>
    <row r="181" ht="11.65" customHeight="1" s="161">
      <c r="A181" s="494" t="inlineStr">
        <is>
          <t>Août</t>
        </is>
      </c>
      <c r="B181" s="366">
        <f>IF(DONNÉES!CU51="","",DONNÉES!CU51)</f>
        <v/>
      </c>
      <c r="C181" s="495">
        <f>IF(TRDARTHUR[[#This Row],[2024]]="","",DONNÉES!CV51)</f>
        <v/>
      </c>
      <c r="D181" s="366">
        <f>IF(TRDARTHUR[[#This Row],[2024]]="","",DONNÉES!CU131)</f>
        <v/>
      </c>
      <c r="E181" s="496">
        <f>IF(TRDARTHUR[[#This Row],[2024]]="","",DONNÉES!CV131)</f>
        <v/>
      </c>
      <c r="F181" s="366">
        <f>IF(TRDARTHUR[[#This Row],[2024]]="","",DONNÉES!CU67)</f>
        <v/>
      </c>
      <c r="G181" s="495">
        <f>IF(TRDARTHUR[[#This Row],[2024]]="","",DONNÉES!CV67)</f>
        <v/>
      </c>
      <c r="H181" s="366">
        <f>IF(TRDARTHUR[[#This Row],[2024]]="","",DONNÉES!CU147)</f>
        <v/>
      </c>
      <c r="I181" s="496">
        <f>IF(TRDARTHUR[[#This Row],[2024]]="","",DONNÉES!CV147)</f>
        <v/>
      </c>
      <c r="J181" s="366">
        <f>IF(TRDARTHUR[[#This Row],[2024]]="","",DONNÉES!CU83)</f>
        <v/>
      </c>
      <c r="K181" s="495">
        <f>IF(TRDARTHUR[[#This Row],[2024]]="","",DONNÉES!CV83)</f>
        <v/>
      </c>
      <c r="L181" s="366">
        <f>IF(TRDARTHUR[[#This Row],[2024]]="","",DONNÉES!CU163)</f>
        <v/>
      </c>
      <c r="M181" s="496">
        <f>IF(TRDARTHUR[[#This Row],[2024]]="","",DONNÉES!CV163)</f>
        <v/>
      </c>
      <c r="N181" s="366">
        <f>IF(TRDARTHUR[[#This Row],[2024]]="","",DONNÉES!CU99)</f>
        <v/>
      </c>
      <c r="O181" s="495">
        <f>IF(TRDARTHUR[[#This Row],[2024]]="","",DONNÉES!CV99)</f>
        <v/>
      </c>
      <c r="P181" s="366">
        <f>IF(TRDARTHUR[[#This Row],[2024]]="","",DONNÉES!CU179)</f>
        <v/>
      </c>
      <c r="Q181" s="497">
        <f>IF(TRDARTHUR[[#This Row],[2024]]="","",DONNÉES!CV179)</f>
        <v/>
      </c>
      <c r="R181" s="499" t="n"/>
      <c r="S181" s="366">
        <f>IF(TRDARTHUR[[#This Row],[2024]]="","",DONNÉES!CU115)</f>
        <v/>
      </c>
      <c r="T181" s="495">
        <f>IF(TRDARTHUR[[#This Row],[2024]]="","",DONNÉES!CV115)</f>
        <v/>
      </c>
      <c r="U181" s="366">
        <f>IF(TRDARTHUR[[#This Row],[2024]]="","",DONNÉES!CU195)</f>
        <v/>
      </c>
      <c r="V181" s="366">
        <f>IF(TRDARTHUR[[#This Row],[2024]]="","",DONNÉES!CV195)</f>
        <v/>
      </c>
    </row>
    <row r="182" ht="11.65" customHeight="1" s="161">
      <c r="A182" s="490" t="inlineStr">
        <is>
          <t>Septembre</t>
        </is>
      </c>
      <c r="B182" s="369">
        <f>IF(DONNÉES!CU52="","",DONNÉES!CU52)</f>
        <v/>
      </c>
      <c r="C182" s="501">
        <f>IF(TRDARTHUR[[#This Row],[2024]]="","",DONNÉES!CV52)</f>
        <v/>
      </c>
      <c r="D182" s="369">
        <f>IF(TRDARTHUR[[#This Row],[2024]]="","",DONNÉES!CU132)</f>
        <v/>
      </c>
      <c r="E182" s="500">
        <f>IF(TRDARTHUR[[#This Row],[2024]]="","",DONNÉES!CV132)</f>
        <v/>
      </c>
      <c r="F182" s="369">
        <f>IF(TRDARTHUR[[#This Row],[2024]]="","",DONNÉES!CU68)</f>
        <v/>
      </c>
      <c r="G182" s="501">
        <f>IF(TRDARTHUR[[#This Row],[2024]]="","",DONNÉES!CV68)</f>
        <v/>
      </c>
      <c r="H182" s="369">
        <f>IF(TRDARTHUR[[#This Row],[2024]]="","",DONNÉES!CU148)</f>
        <v/>
      </c>
      <c r="I182" s="500">
        <f>IF(TRDARTHUR[[#This Row],[2024]]="","",DONNÉES!CV148)</f>
        <v/>
      </c>
      <c r="J182" s="369">
        <f>IF(TRDARTHUR[[#This Row],[2024]]="","",DONNÉES!CU84)</f>
        <v/>
      </c>
      <c r="K182" s="501">
        <f>IF(TRDARTHUR[[#This Row],[2024]]="","",DONNÉES!CV84)</f>
        <v/>
      </c>
      <c r="L182" s="369">
        <f>IF(TRDARTHUR[[#This Row],[2024]]="","",DONNÉES!CU164)</f>
        <v/>
      </c>
      <c r="M182" s="500">
        <f>IF(TRDARTHUR[[#This Row],[2024]]="","",DONNÉES!CV164)</f>
        <v/>
      </c>
      <c r="N182" s="369">
        <f>IF(TRDARTHUR[[#This Row],[2024]]="","",DONNÉES!CU100)</f>
        <v/>
      </c>
      <c r="O182" s="501">
        <f>IF(TRDARTHUR[[#This Row],[2024]]="","",DONNÉES!CV100)</f>
        <v/>
      </c>
      <c r="P182" s="369">
        <f>IF(TRDARTHUR[[#This Row],[2024]]="","",DONNÉES!CU180)</f>
        <v/>
      </c>
      <c r="Q182" s="502">
        <f>IF(TRDARTHUR[[#This Row],[2024]]="","",DONNÉES!CV180)</f>
        <v/>
      </c>
      <c r="R182" s="499" t="n"/>
      <c r="S182" s="369">
        <f>IF(TRDARTHUR[[#This Row],[2024]]="","",DONNÉES!CU116)</f>
        <v/>
      </c>
      <c r="T182" s="501">
        <f>IF(TRDARTHUR[[#This Row],[2024]]="","",DONNÉES!CV116)</f>
        <v/>
      </c>
      <c r="U182" s="369">
        <f>IF(TRDARTHUR[[#This Row],[2024]]="","",DONNÉES!CU196)</f>
        <v/>
      </c>
      <c r="V182" s="369">
        <f>IF(TRDARTHUR[[#This Row],[2024]]="","",DONNÉES!CV196)</f>
        <v/>
      </c>
    </row>
    <row r="183" ht="11.65" customHeight="1" s="161">
      <c r="A183" s="494" t="inlineStr">
        <is>
          <t>Octobre</t>
        </is>
      </c>
      <c r="B183" s="369">
        <f>IF(DONNÉES!CU53="","",DONNÉES!CU53)</f>
        <v/>
      </c>
      <c r="C183" s="501">
        <f>IF(TRDARTHUR[[#This Row],[2024]]="","",DONNÉES!CV53)</f>
        <v/>
      </c>
      <c r="D183" s="369">
        <f>IF(TRDARTHUR[[#This Row],[2024]]="","",DONNÉES!CU133)</f>
        <v/>
      </c>
      <c r="E183" s="500">
        <f>IF(TRDARTHUR[[#This Row],[2024]]="","",DONNÉES!CV133)</f>
        <v/>
      </c>
      <c r="F183" s="369">
        <f>IF(TRDARTHUR[[#This Row],[2024]]="","",DONNÉES!CU69)</f>
        <v/>
      </c>
      <c r="G183" s="501">
        <f>IF(TRDARTHUR[[#This Row],[2024]]="","",DONNÉES!CV69)</f>
        <v/>
      </c>
      <c r="H183" s="369">
        <f>IF(TRDARTHUR[[#This Row],[2024]]="","",DONNÉES!CU149)</f>
        <v/>
      </c>
      <c r="I183" s="500">
        <f>IF(TRDARTHUR[[#This Row],[2024]]="","",DONNÉES!CV149)</f>
        <v/>
      </c>
      <c r="J183" s="369">
        <f>IF(TRDARTHUR[[#This Row],[2024]]="","",DONNÉES!CU85)</f>
        <v/>
      </c>
      <c r="K183" s="501">
        <f>IF(TRDARTHUR[[#This Row],[2024]]="","",DONNÉES!CV85)</f>
        <v/>
      </c>
      <c r="L183" s="369">
        <f>IF(TRDARTHUR[[#This Row],[2024]]="","",DONNÉES!CU165)</f>
        <v/>
      </c>
      <c r="M183" s="500">
        <f>IF(TRDARTHUR[[#This Row],[2024]]="","",DONNÉES!CV165)</f>
        <v/>
      </c>
      <c r="N183" s="369">
        <f>IF(TRDARTHUR[[#This Row],[2024]]="","",DONNÉES!CU101)</f>
        <v/>
      </c>
      <c r="O183" s="501">
        <f>IF(TRDARTHUR[[#This Row],[2024]]="","",DONNÉES!CV101)</f>
        <v/>
      </c>
      <c r="P183" s="369">
        <f>IF(TRDARTHUR[[#This Row],[2024]]="","",DONNÉES!CU181)</f>
        <v/>
      </c>
      <c r="Q183" s="502">
        <f>IF(TRDARTHUR[[#This Row],[2024]]="","",DONNÉES!CV181)</f>
        <v/>
      </c>
      <c r="R183" s="503" t="n"/>
      <c r="S183" s="369">
        <f>IF(TRDARTHUR[[#This Row],[2024]]="","",DONNÉES!CU117)</f>
        <v/>
      </c>
      <c r="T183" s="501">
        <f>IF(TRDARTHUR[[#This Row],[2024]]="","",DONNÉES!CV117)</f>
        <v/>
      </c>
      <c r="U183" s="369">
        <f>IF(TRDARTHUR[[#This Row],[2024]]="","",DONNÉES!CU197)</f>
        <v/>
      </c>
      <c r="V183" s="369">
        <f>IF(TRDARTHUR[[#This Row],[2024]]="","",DONNÉES!CV197)</f>
        <v/>
      </c>
    </row>
    <row r="184" ht="11.65" customHeight="1" s="161">
      <c r="A184" s="490" t="inlineStr">
        <is>
          <t>Novembre</t>
        </is>
      </c>
      <c r="B184" s="369">
        <f>IF(DONNÉES!CU54="","",DONNÉES!CU54)</f>
        <v/>
      </c>
      <c r="C184" s="501">
        <f>IF(TRDARTHUR[[#This Row],[2024]]="","",DONNÉES!CV54)</f>
        <v/>
      </c>
      <c r="D184" s="369">
        <f>IF(TRDARTHUR[[#This Row],[2024]]="","",DONNÉES!CU134)</f>
        <v/>
      </c>
      <c r="E184" s="500">
        <f>IF(TRDARTHUR[[#This Row],[2024]]="","",DONNÉES!CV134)</f>
        <v/>
      </c>
      <c r="F184" s="369">
        <f>IF(TRDARTHUR[[#This Row],[2024]]="","",DONNÉES!CU70)</f>
        <v/>
      </c>
      <c r="G184" s="501">
        <f>IF(TRDARTHUR[[#This Row],[2024]]="","",DONNÉES!CV70)</f>
        <v/>
      </c>
      <c r="H184" s="369">
        <f>IF(TRDARTHUR[[#This Row],[2024]]="","",DONNÉES!CU150)</f>
        <v/>
      </c>
      <c r="I184" s="500">
        <f>IF(TRDARTHUR[[#This Row],[2024]]="","",DONNÉES!CV150)</f>
        <v/>
      </c>
      <c r="J184" s="369">
        <f>IF(TRDARTHUR[[#This Row],[2024]]="","",DONNÉES!CU86)</f>
        <v/>
      </c>
      <c r="K184" s="501">
        <f>IF(TRDARTHUR[[#This Row],[2024]]="","",DONNÉES!CV86)</f>
        <v/>
      </c>
      <c r="L184" s="369">
        <f>IF(TRDARTHUR[[#This Row],[2024]]="","",DONNÉES!CU166)</f>
        <v/>
      </c>
      <c r="M184" s="500">
        <f>IF(TRDARTHUR[[#This Row],[2024]]="","",DONNÉES!CV166)</f>
        <v/>
      </c>
      <c r="N184" s="369">
        <f>IF(TRDARTHUR[[#This Row],[2024]]="","",DONNÉES!CU102)</f>
        <v/>
      </c>
      <c r="O184" s="501">
        <f>IF(TRDARTHUR[[#This Row],[2024]]="","",DONNÉES!CV102)</f>
        <v/>
      </c>
      <c r="P184" s="369">
        <f>IF(TRDARTHUR[[#This Row],[2024]]="","",DONNÉES!CU182)</f>
        <v/>
      </c>
      <c r="Q184" s="502">
        <f>IF(TRDARTHUR[[#This Row],[2024]]="","",DONNÉES!CV182)</f>
        <v/>
      </c>
      <c r="R184" s="499" t="n"/>
      <c r="S184" s="369">
        <f>IF(TRDARTHUR[[#This Row],[2024]]="","",DONNÉES!CU118)</f>
        <v/>
      </c>
      <c r="T184" s="501">
        <f>IF(TRDARTHUR[[#This Row],[2024]]="","",DONNÉES!CV118)</f>
        <v/>
      </c>
      <c r="U184" s="369">
        <f>IF(TRDARTHUR[[#This Row],[2024]]="","",DONNÉES!CU198)</f>
        <v/>
      </c>
      <c r="V184" s="369">
        <f>IF(TRDARTHUR[[#This Row],[2024]]="","",DONNÉES!CV198)</f>
        <v/>
      </c>
    </row>
    <row r="185" ht="11.65" customFormat="1" customHeight="1" s="476">
      <c r="A185" s="490" t="inlineStr">
        <is>
          <t>Décembre</t>
        </is>
      </c>
      <c r="B185" s="369">
        <f>IF(DONNÉES!CU55="","",DONNÉES!CU55)</f>
        <v/>
      </c>
      <c r="C185" s="501">
        <f>IF(TRDARTHUR[[#This Row],[2024]]="","",DONNÉES!CV55)</f>
        <v/>
      </c>
      <c r="D185" s="369">
        <f>IF(TRDARTHUR[[#This Row],[2024]]="","",DONNÉES!CU135)</f>
        <v/>
      </c>
      <c r="E185" s="500">
        <f>IF(TRDARTHUR[[#This Row],[2024]]="","",DONNÉES!CV135)</f>
        <v/>
      </c>
      <c r="F185" s="369">
        <f>IF(TRDARTHUR[[#This Row],[2024]]="","",DONNÉES!CU71)</f>
        <v/>
      </c>
      <c r="G185" s="501">
        <f>IF(TRDARTHUR[[#This Row],[2024]]="","",DONNÉES!CV71)</f>
        <v/>
      </c>
      <c r="H185" s="369">
        <f>IF(TRDARTHUR[[#This Row],[2024]]="","",DONNÉES!CU151)</f>
        <v/>
      </c>
      <c r="I185" s="500">
        <f>IF(TRDARTHUR[[#This Row],[2024]]="","",DONNÉES!CV151)</f>
        <v/>
      </c>
      <c r="J185" s="369">
        <f>IF(TRDARTHUR[[#This Row],[2024]]="","",DONNÉES!CU87)</f>
        <v/>
      </c>
      <c r="K185" s="501">
        <f>IF(TRDARTHUR[[#This Row],[2024]]="","",DONNÉES!CV87)</f>
        <v/>
      </c>
      <c r="L185" s="369">
        <f>IF(TRDARTHUR[[#This Row],[2024]]="","",DONNÉES!CU167)</f>
        <v/>
      </c>
      <c r="M185" s="500">
        <f>IF(TRDARTHUR[[#This Row],[2024]]="","",DONNÉES!CV167)</f>
        <v/>
      </c>
      <c r="N185" s="369">
        <f>IF(TRDARTHUR[[#This Row],[2024]]="","",DONNÉES!CU103)</f>
        <v/>
      </c>
      <c r="O185" s="501">
        <f>IF(TRDARTHUR[[#This Row],[2024]]="","",DONNÉES!CV103)</f>
        <v/>
      </c>
      <c r="P185" s="369">
        <f>IF(TRDARTHUR[[#This Row],[2024]]="","",DONNÉES!CU183)</f>
        <v/>
      </c>
      <c r="Q185" s="502">
        <f>IF(TRDARTHUR[[#This Row],[2024]]="","",DONNÉES!CV183)</f>
        <v/>
      </c>
      <c r="R185" s="498" t="n"/>
      <c r="S185" s="369">
        <f>IF(TRDARTHUR[[#This Row],[2024]]="","",DONNÉES!CU119)</f>
        <v/>
      </c>
      <c r="T185" s="501">
        <f>IF(TRDARTHUR[[#This Row],[2024]]="","",DONNÉES!CV119)</f>
        <v/>
      </c>
      <c r="U185" s="369">
        <f>IF(TRDARTHUR[[#This Row],[2024]]="","",DONNÉES!CU199)</f>
        <v/>
      </c>
      <c r="V185" s="369">
        <f>IF(TRDARTHUR[[#This Row],[2024]]="","",DONNÉES!CV199)</f>
        <v/>
      </c>
    </row>
    <row r="186" ht="11.65" customFormat="1" customHeight="1" s="476">
      <c r="A186" s="474" t="n"/>
      <c r="B186" s="369" t="n"/>
      <c r="C186" s="369" t="n"/>
      <c r="D186" s="369" t="n"/>
      <c r="E186" s="369" t="n"/>
      <c r="F186" s="369" t="n"/>
      <c r="G186" s="369" t="n"/>
      <c r="H186" s="369" t="n"/>
      <c r="I186" s="369" t="n"/>
      <c r="J186" s="369" t="n"/>
      <c r="K186" s="369" t="n"/>
      <c r="L186" s="369" t="n"/>
      <c r="M186" s="369" t="n"/>
      <c r="N186" s="369" t="n"/>
      <c r="O186" s="369" t="n"/>
      <c r="P186" s="369" t="n"/>
      <c r="Q186" s="502" t="n"/>
      <c r="R186" s="498" t="n"/>
      <c r="S186" s="369" t="n"/>
      <c r="T186" s="369" t="n"/>
      <c r="U186" s="369" t="n"/>
      <c r="V186" s="369" t="n"/>
    </row>
    <row r="187" ht="14.65" customHeight="1" s="161">
      <c r="A187" s="485" t="n"/>
      <c r="B187" s="486" t="inlineStr">
        <is>
          <t>Sur place</t>
        </is>
      </c>
      <c r="C187" s="487" t="n"/>
      <c r="D187" s="487" t="n"/>
      <c r="E187" s="488" t="n"/>
      <c r="F187" s="486" t="inlineStr">
        <is>
          <t>A emporter</t>
        </is>
      </c>
      <c r="G187" s="487" t="n"/>
      <c r="H187" s="487" t="n"/>
      <c r="I187" s="488" t="n"/>
      <c r="J187" s="486" t="inlineStr">
        <is>
          <t>Mc Drive</t>
        </is>
      </c>
      <c r="K187" s="487" t="n"/>
      <c r="L187" s="487" t="n"/>
      <c r="M187" s="488" t="n"/>
      <c r="N187" s="489" t="inlineStr">
        <is>
          <t>Kiosque</t>
        </is>
      </c>
      <c r="O187" s="487" t="n"/>
      <c r="P187" s="487" t="n"/>
      <c r="Q187" s="487" t="n"/>
      <c r="S187" s="504" t="inlineStr">
        <is>
          <t>Total</t>
        </is>
      </c>
    </row>
    <row r="188" ht="28.9" customHeight="1" s="161">
      <c r="A188" s="490" t="inlineStr">
        <is>
          <t>HUGO</t>
        </is>
      </c>
      <c r="B188" s="491" t="inlineStr">
        <is>
          <t>2024</t>
        </is>
      </c>
      <c r="C188" s="492" t="inlineStr">
        <is>
          <t>2023</t>
        </is>
      </c>
      <c r="D188" s="491" t="inlineStr">
        <is>
          <t>2024 cumul</t>
        </is>
      </c>
      <c r="E188" s="493" t="inlineStr">
        <is>
          <t>2023 cumul</t>
        </is>
      </c>
      <c r="F188" s="211" t="inlineStr">
        <is>
          <t xml:space="preserve">2024  </t>
        </is>
      </c>
      <c r="G188" s="492" t="inlineStr">
        <is>
          <t xml:space="preserve">2023  </t>
        </is>
      </c>
      <c r="H188" s="491" t="inlineStr">
        <is>
          <t xml:space="preserve">2024 cumul </t>
        </is>
      </c>
      <c r="I188" s="493" t="inlineStr">
        <is>
          <t xml:space="preserve">2023 cumul </t>
        </is>
      </c>
      <c r="J188" s="491" t="inlineStr">
        <is>
          <t xml:space="preserve">2024   </t>
        </is>
      </c>
      <c r="K188" s="492" t="inlineStr">
        <is>
          <t xml:space="preserve">2023   </t>
        </is>
      </c>
      <c r="L188" s="491" t="inlineStr">
        <is>
          <t xml:space="preserve">2024 cumul   </t>
        </is>
      </c>
      <c r="M188" s="493" t="inlineStr">
        <is>
          <t xml:space="preserve">2023 cumul   </t>
        </is>
      </c>
      <c r="N188" s="491" t="inlineStr">
        <is>
          <t xml:space="preserve">2024    </t>
        </is>
      </c>
      <c r="O188" s="492" t="inlineStr">
        <is>
          <t xml:space="preserve">2023    </t>
        </is>
      </c>
      <c r="P188" s="491" t="inlineStr">
        <is>
          <t xml:space="preserve">2024 cumul    </t>
        </is>
      </c>
      <c r="Q188" s="94" t="inlineStr">
        <is>
          <t xml:space="preserve">2023 cumul    </t>
        </is>
      </c>
      <c r="S188" s="491" t="inlineStr">
        <is>
          <t>2024</t>
        </is>
      </c>
      <c r="T188" s="492" t="inlineStr">
        <is>
          <t>2023</t>
        </is>
      </c>
      <c r="U188" s="491" t="inlineStr">
        <is>
          <t>2024 cumul</t>
        </is>
      </c>
      <c r="V188" s="493" t="inlineStr">
        <is>
          <t>2023 cumul</t>
        </is>
      </c>
    </row>
    <row r="189" ht="11.65" customHeight="1" s="161">
      <c r="A189" s="494" t="inlineStr">
        <is>
          <t>Janvier</t>
        </is>
      </c>
      <c r="B189" s="366">
        <f>IF(DONNÉES!DC44="","",DONNÉES!DC44)</f>
        <v/>
      </c>
      <c r="C189" s="495">
        <f>IF(TRDHUGO[[#This Row],[2024]]="","",DONNÉES!DD44)</f>
        <v/>
      </c>
      <c r="D189" s="366">
        <f>IF(TRDHUGO[[#This Row],[2024]]="","",DONNÉES!DC124)</f>
        <v/>
      </c>
      <c r="E189" s="496">
        <f>IF(TRDHUGO[[#This Row],[2024]]="","",DONNÉES!DD124)</f>
        <v/>
      </c>
      <c r="F189" s="366">
        <f>IF(TRDHUGO[[#This Row],[2024]]="","",DONNÉES!DC60)</f>
        <v/>
      </c>
      <c r="G189" s="495">
        <f>IF(TRDHUGO[[#This Row],[2024]]="","",DONNÉES!DD60)</f>
        <v/>
      </c>
      <c r="H189" s="366">
        <f>IF(TRDHUGO[[#This Row],[2024]]="","",DONNÉES!DC140)</f>
        <v/>
      </c>
      <c r="I189" s="496">
        <f>IF(TRDHUGO[[#This Row],[2024]]="","",DONNÉES!DD140)</f>
        <v/>
      </c>
      <c r="J189" s="366">
        <f>IF(TRDHUGO[[#This Row],[2024]]="","",DONNÉES!DC76)</f>
        <v/>
      </c>
      <c r="K189" s="495">
        <f>IF(TRDHUGO[[#This Row],[2024]]="","",DONNÉES!DD76)</f>
        <v/>
      </c>
      <c r="L189" s="366">
        <f>IF(TRDHUGO[[#This Row],[2024]]="","",DONNÉES!DC156)</f>
        <v/>
      </c>
      <c r="M189" s="496">
        <f>IF(TRDHUGO[[#This Row],[2024]]="","",DONNÉES!DD156)</f>
        <v/>
      </c>
      <c r="N189" s="366">
        <f>IF(TRDHUGO[[#This Row],[2024]]="","",DONNÉES!DC92)</f>
        <v/>
      </c>
      <c r="O189" s="495">
        <f>IF(TRDHUGO[[#This Row],[2024]]="","",DONNÉES!DD92)</f>
        <v/>
      </c>
      <c r="P189" s="366">
        <f>IF(TRDHUGO[[#This Row],[2024]]="","",DONNÉES!DC172)</f>
        <v/>
      </c>
      <c r="Q189" s="497">
        <f>IF(TRDHUGO[[#This Row],[2024]]="","",DONNÉES!DD172)</f>
        <v/>
      </c>
      <c r="R189" s="498" t="n"/>
      <c r="S189" s="366">
        <f>IF(TRDHUGO[[#This Row],[2024]]="","",DONNÉES!DC108)</f>
        <v/>
      </c>
      <c r="T189" s="495">
        <f>IF(TRDHUGO[[#This Row],[2024]]="","",DONNÉES!DD108)</f>
        <v/>
      </c>
      <c r="U189" s="366">
        <f>IF(TRDHUGO[[#This Row],[2024]]="","",DONNÉES!DC188)</f>
        <v/>
      </c>
      <c r="V189" s="366">
        <f>IF(TRDHUGO[[#This Row],[2024]]="","",DONNÉES!DD188)</f>
        <v/>
      </c>
    </row>
    <row r="190" ht="11.65" customFormat="1" customHeight="1" s="476">
      <c r="A190" s="494" t="inlineStr">
        <is>
          <t>Février</t>
        </is>
      </c>
      <c r="B190" s="366">
        <f>IF(DONNÉES!DC45="","",DONNÉES!DC45)</f>
        <v/>
      </c>
      <c r="C190" s="495">
        <f>IF(TRDHUGO[[#This Row],[2024]]="","",DONNÉES!DD45)</f>
        <v/>
      </c>
      <c r="D190" s="366">
        <f>IF(TRDHUGO[[#This Row],[2024]]="","",DONNÉES!DC125)</f>
        <v/>
      </c>
      <c r="E190" s="496">
        <f>IF(TRDHUGO[[#This Row],[2024]]="","",DONNÉES!DD125)</f>
        <v/>
      </c>
      <c r="F190" s="366">
        <f>IF(TRDHUGO[[#This Row],[2024]]="","",DONNÉES!DC61)</f>
        <v/>
      </c>
      <c r="G190" s="495">
        <f>IF(TRDHUGO[[#This Row],[2024]]="","",DONNÉES!DD61)</f>
        <v/>
      </c>
      <c r="H190" s="366">
        <f>IF(TRDHUGO[[#This Row],[2024]]="","",DONNÉES!DC141)</f>
        <v/>
      </c>
      <c r="I190" s="496">
        <f>IF(TRDHUGO[[#This Row],[2024]]="","",DONNÉES!DD141)</f>
        <v/>
      </c>
      <c r="J190" s="366">
        <f>IF(TRDHUGO[[#This Row],[2024]]="","",DONNÉES!DC77)</f>
        <v/>
      </c>
      <c r="K190" s="495">
        <f>IF(TRDHUGO[[#This Row],[2024]]="","",DONNÉES!DD77)</f>
        <v/>
      </c>
      <c r="L190" s="366">
        <f>IF(TRDHUGO[[#This Row],[2024]]="","",DONNÉES!DC157)</f>
        <v/>
      </c>
      <c r="M190" s="496">
        <f>IF(TRDHUGO[[#This Row],[2024]]="","",DONNÉES!DD157)</f>
        <v/>
      </c>
      <c r="N190" s="366">
        <f>IF(TRDHUGO[[#This Row],[2024]]="","",DONNÉES!DC93)</f>
        <v/>
      </c>
      <c r="O190" s="495">
        <f>IF(TRDHUGO[[#This Row],[2024]]="","",DONNÉES!DD93)</f>
        <v/>
      </c>
      <c r="P190" s="366">
        <f>IF(TRDHUGO[[#This Row],[2024]]="","",DONNÉES!DC173)</f>
        <v/>
      </c>
      <c r="Q190" s="497">
        <f>IF(TRDHUGO[[#This Row],[2024]]="","",DONNÉES!DD173)</f>
        <v/>
      </c>
      <c r="R190" s="498" t="n"/>
      <c r="S190" s="366">
        <f>IF(TRDHUGO[[#This Row],[2024]]="","",DONNÉES!DC109)</f>
        <v/>
      </c>
      <c r="T190" s="495">
        <f>IF(TRDHUGO[[#This Row],[2024]]="","",DONNÉES!DD109)</f>
        <v/>
      </c>
      <c r="U190" s="366">
        <f>IF(TRDHUGO[[#This Row],[2024]]="","",DONNÉES!DC189)</f>
        <v/>
      </c>
      <c r="V190" s="366">
        <f>IF(TRDHUGO[[#This Row],[2024]]="","",DONNÉES!DD189)</f>
        <v/>
      </c>
    </row>
    <row r="191" ht="11.65" customFormat="1" customHeight="1" s="476">
      <c r="A191" s="490" t="inlineStr">
        <is>
          <t>Mars</t>
        </is>
      </c>
      <c r="B191" s="366">
        <f>IF(DONNÉES!DC46="","",DONNÉES!DC46)</f>
        <v/>
      </c>
      <c r="C191" s="495">
        <f>IF(TRDHUGO[[#This Row],[2024]]="","",DONNÉES!DD46)</f>
        <v/>
      </c>
      <c r="D191" s="366">
        <f>IF(TRDHUGO[[#This Row],[2024]]="","",DONNÉES!DC126)</f>
        <v/>
      </c>
      <c r="E191" s="496">
        <f>IF(TRDHUGO[[#This Row],[2024]]="","",DONNÉES!DD126)</f>
        <v/>
      </c>
      <c r="F191" s="366">
        <f>IF(TRDHUGO[[#This Row],[2024]]="","",DONNÉES!DC62)</f>
        <v/>
      </c>
      <c r="G191" s="495">
        <f>IF(TRDHUGO[[#This Row],[2024]]="","",DONNÉES!DD62)</f>
        <v/>
      </c>
      <c r="H191" s="366">
        <f>IF(TRDHUGO[[#This Row],[2024]]="","",DONNÉES!DC142)</f>
        <v/>
      </c>
      <c r="I191" s="496">
        <f>IF(TRDHUGO[[#This Row],[2024]]="","",DONNÉES!DD142)</f>
        <v/>
      </c>
      <c r="J191" s="366">
        <f>IF(TRDHUGO[[#This Row],[2024]]="","",DONNÉES!DC78)</f>
        <v/>
      </c>
      <c r="K191" s="495">
        <f>IF(TRDHUGO[[#This Row],[2024]]="","",DONNÉES!DD78)</f>
        <v/>
      </c>
      <c r="L191" s="366">
        <f>IF(TRDHUGO[[#This Row],[2024]]="","",DONNÉES!DC158)</f>
        <v/>
      </c>
      <c r="M191" s="496">
        <f>IF(TRDHUGO[[#This Row],[2024]]="","",DONNÉES!DD158)</f>
        <v/>
      </c>
      <c r="N191" s="366">
        <f>IF(TRDHUGO[[#This Row],[2024]]="","",DONNÉES!DC94)</f>
        <v/>
      </c>
      <c r="O191" s="495">
        <f>IF(TRDHUGO[[#This Row],[2024]]="","",DONNÉES!DD94)</f>
        <v/>
      </c>
      <c r="P191" s="366">
        <f>IF(TRDHUGO[[#This Row],[2024]]="","",DONNÉES!DC174)</f>
        <v/>
      </c>
      <c r="Q191" s="497">
        <f>IF(TRDHUGO[[#This Row],[2024]]="","",DONNÉES!DD174)</f>
        <v/>
      </c>
      <c r="R191" s="498" t="n"/>
      <c r="S191" s="366">
        <f>IF(TRDHUGO[[#This Row],[2024]]="","",DONNÉES!DC110)</f>
        <v/>
      </c>
      <c r="T191" s="495">
        <f>IF(TRDHUGO[[#This Row],[2024]]="","",DONNÉES!DD110)</f>
        <v/>
      </c>
      <c r="U191" s="366">
        <f>IF(TRDHUGO[[#This Row],[2024]]="","",DONNÉES!DC190)</f>
        <v/>
      </c>
      <c r="V191" s="366">
        <f>IF(TRDHUGO[[#This Row],[2024]]="","",DONNÉES!DD190)</f>
        <v/>
      </c>
    </row>
    <row r="192" ht="11.65" customFormat="1" customHeight="1" s="476">
      <c r="A192" s="494" t="inlineStr">
        <is>
          <t>Avril</t>
        </is>
      </c>
      <c r="B192" s="366">
        <f>IF(DONNÉES!DC47="","",DONNÉES!DC47)</f>
        <v/>
      </c>
      <c r="C192" s="495">
        <f>IF(TRDHUGO[[#This Row],[2024]]="","",DONNÉES!DD47)</f>
        <v/>
      </c>
      <c r="D192" s="366">
        <f>IF(TRDHUGO[[#This Row],[2024]]="","",DONNÉES!DC127)</f>
        <v/>
      </c>
      <c r="E192" s="496">
        <f>IF(TRDHUGO[[#This Row],[2024]]="","",DONNÉES!DD127)</f>
        <v/>
      </c>
      <c r="F192" s="366">
        <f>IF(TRDHUGO[[#This Row],[2024]]="","",DONNÉES!DC63)</f>
        <v/>
      </c>
      <c r="G192" s="495">
        <f>IF(TRDHUGO[[#This Row],[2024]]="","",DONNÉES!DD63)</f>
        <v/>
      </c>
      <c r="H192" s="366">
        <f>IF(TRDHUGO[[#This Row],[2024]]="","",DONNÉES!DC143)</f>
        <v/>
      </c>
      <c r="I192" s="496">
        <f>IF(TRDHUGO[[#This Row],[2024]]="","",DONNÉES!DD143)</f>
        <v/>
      </c>
      <c r="J192" s="366">
        <f>IF(TRDHUGO[[#This Row],[2024]]="","",DONNÉES!DC79)</f>
        <v/>
      </c>
      <c r="K192" s="495">
        <f>IF(TRDHUGO[[#This Row],[2024]]="","",DONNÉES!DD79)</f>
        <v/>
      </c>
      <c r="L192" s="366">
        <f>IF(TRDHUGO[[#This Row],[2024]]="","",DONNÉES!DC159)</f>
        <v/>
      </c>
      <c r="M192" s="496">
        <f>IF(TRDHUGO[[#This Row],[2024]]="","",DONNÉES!DD159)</f>
        <v/>
      </c>
      <c r="N192" s="366">
        <f>IF(TRDHUGO[[#This Row],[2024]]="","",DONNÉES!DC95)</f>
        <v/>
      </c>
      <c r="O192" s="495">
        <f>IF(TRDHUGO[[#This Row],[2024]]="","",DONNÉES!DD95)</f>
        <v/>
      </c>
      <c r="P192" s="366">
        <f>IF(TRDHUGO[[#This Row],[2024]]="","",DONNÉES!DC175)</f>
        <v/>
      </c>
      <c r="Q192" s="497">
        <f>IF(TRDHUGO[[#This Row],[2024]]="","",DONNÉES!DD175)</f>
        <v/>
      </c>
      <c r="R192" s="499" t="n"/>
      <c r="S192" s="366">
        <f>IF(TRDHUGO[[#This Row],[2024]]="","",DONNÉES!DC111)</f>
        <v/>
      </c>
      <c r="T192" s="495">
        <f>IF(TRDHUGO[[#This Row],[2024]]="","",DONNÉES!DD111)</f>
        <v/>
      </c>
      <c r="U192" s="366">
        <f>IF(TRDHUGO[[#This Row],[2024]]="","",DONNÉES!DC191)</f>
        <v/>
      </c>
      <c r="V192" s="366">
        <f>IF(TRDHUGO[[#This Row],[2024]]="","",DONNÉES!DD191)</f>
        <v/>
      </c>
    </row>
    <row r="193" ht="11.65" customHeight="1" s="161">
      <c r="A193" s="490" t="inlineStr">
        <is>
          <t>Mai</t>
        </is>
      </c>
      <c r="B193" s="366">
        <f>IF(DONNÉES!DC48="","",DONNÉES!DC48)</f>
        <v/>
      </c>
      <c r="C193" s="495">
        <f>IF(TRDHUGO[[#This Row],[2024]]="","",DONNÉES!DD48)</f>
        <v/>
      </c>
      <c r="D193" s="366">
        <f>IF(TRDHUGO[[#This Row],[2024]]="","",DONNÉES!DC128)</f>
        <v/>
      </c>
      <c r="E193" s="496">
        <f>IF(TRDHUGO[[#This Row],[2024]]="","",DONNÉES!DD128)</f>
        <v/>
      </c>
      <c r="F193" s="366">
        <f>IF(TRDHUGO[[#This Row],[2024]]="","",DONNÉES!DC64)</f>
        <v/>
      </c>
      <c r="G193" s="495">
        <f>IF(TRDHUGO[[#This Row],[2024]]="","",DONNÉES!DD64)</f>
        <v/>
      </c>
      <c r="H193" s="366">
        <f>IF(TRDHUGO[[#This Row],[2024]]="","",DONNÉES!DC144)</f>
        <v/>
      </c>
      <c r="I193" s="496">
        <f>IF(TRDHUGO[[#This Row],[2024]]="","",DONNÉES!DD144)</f>
        <v/>
      </c>
      <c r="J193" s="366">
        <f>IF(TRDHUGO[[#This Row],[2024]]="","",DONNÉES!DC80)</f>
        <v/>
      </c>
      <c r="K193" s="495">
        <f>IF(TRDHUGO[[#This Row],[2024]]="","",DONNÉES!DD80)</f>
        <v/>
      </c>
      <c r="L193" s="366">
        <f>IF(TRDHUGO[[#This Row],[2024]]="","",DONNÉES!DC160)</f>
        <v/>
      </c>
      <c r="M193" s="496">
        <f>IF(TRDHUGO[[#This Row],[2024]]="","",DONNÉES!DD160)</f>
        <v/>
      </c>
      <c r="N193" s="366">
        <f>IF(TRDHUGO[[#This Row],[2024]]="","",DONNÉES!DC96)</f>
        <v/>
      </c>
      <c r="O193" s="495">
        <f>IF(TRDHUGO[[#This Row],[2024]]="","",DONNÉES!DD96)</f>
        <v/>
      </c>
      <c r="P193" s="366">
        <f>IF(TRDHUGO[[#This Row],[2024]]="","",DONNÉES!DC176)</f>
        <v/>
      </c>
      <c r="Q193" s="497">
        <f>IF(TRDHUGO[[#This Row],[2024]]="","",DONNÉES!DD176)</f>
        <v/>
      </c>
      <c r="R193" s="499" t="n"/>
      <c r="S193" s="366">
        <f>IF(TRDHUGO[[#This Row],[2024]]="","",DONNÉES!DC112)</f>
        <v/>
      </c>
      <c r="T193" s="495">
        <f>IF(TRDHUGO[[#This Row],[2024]]="","",DONNÉES!DD112)</f>
        <v/>
      </c>
      <c r="U193" s="366">
        <f>IF(TRDHUGO[[#This Row],[2024]]="","",DONNÉES!DC192)</f>
        <v/>
      </c>
      <c r="V193" s="366">
        <f>IF(TRDHUGO[[#This Row],[2024]]="","",DONNÉES!DD192)</f>
        <v/>
      </c>
    </row>
    <row r="194" ht="11.65" customHeight="1" s="161">
      <c r="A194" s="494" t="inlineStr">
        <is>
          <t>Juin</t>
        </is>
      </c>
      <c r="B194" s="366">
        <f>IF(DONNÉES!DC49="","",DONNÉES!DC49)</f>
        <v/>
      </c>
      <c r="C194" s="495">
        <f>IF(TRDHUGO[[#This Row],[2024]]="","",DONNÉES!DD49)</f>
        <v/>
      </c>
      <c r="D194" s="366">
        <f>IF(TRDHUGO[[#This Row],[2024]]="","",DONNÉES!DC129)</f>
        <v/>
      </c>
      <c r="E194" s="496">
        <f>IF(TRDHUGO[[#This Row],[2024]]="","",DONNÉES!DD129)</f>
        <v/>
      </c>
      <c r="F194" s="366">
        <f>IF(TRDHUGO[[#This Row],[2024]]="","",DONNÉES!DC65)</f>
        <v/>
      </c>
      <c r="G194" s="495">
        <f>IF(TRDHUGO[[#This Row],[2024]]="","",DONNÉES!DD65)</f>
        <v/>
      </c>
      <c r="H194" s="366">
        <f>IF(TRDHUGO[[#This Row],[2024]]="","",DONNÉES!DC145)</f>
        <v/>
      </c>
      <c r="I194" s="496">
        <f>IF(TRDHUGO[[#This Row],[2024]]="","",DONNÉES!DD145)</f>
        <v/>
      </c>
      <c r="J194" s="366">
        <f>IF(TRDHUGO[[#This Row],[2024]]="","",DONNÉES!DC81)</f>
        <v/>
      </c>
      <c r="K194" s="495">
        <f>IF(TRDHUGO[[#This Row],[2024]]="","",DONNÉES!DD81)</f>
        <v/>
      </c>
      <c r="L194" s="366">
        <f>IF(TRDHUGO[[#This Row],[2024]]="","",DONNÉES!DC161)</f>
        <v/>
      </c>
      <c r="M194" s="496">
        <f>IF(TRDHUGO[[#This Row],[2024]]="","",DONNÉES!DD161)</f>
        <v/>
      </c>
      <c r="N194" s="366">
        <f>IF(TRDHUGO[[#This Row],[2024]]="","",DONNÉES!DC97)</f>
        <v/>
      </c>
      <c r="O194" s="495">
        <f>IF(TRDHUGO[[#This Row],[2024]]="","",DONNÉES!DD97)</f>
        <v/>
      </c>
      <c r="P194" s="366">
        <f>IF(TRDHUGO[[#This Row],[2024]]="","",DONNÉES!DC177)</f>
        <v/>
      </c>
      <c r="Q194" s="497">
        <f>IF(TRDHUGO[[#This Row],[2024]]="","",DONNÉES!DD177)</f>
        <v/>
      </c>
      <c r="R194" s="499" t="n"/>
      <c r="S194" s="366">
        <f>IF(TRDHUGO[[#This Row],[2024]]="","",DONNÉES!DC113)</f>
        <v/>
      </c>
      <c r="T194" s="495">
        <f>IF(TRDHUGO[[#This Row],[2024]]="","",DONNÉES!DD113)</f>
        <v/>
      </c>
      <c r="U194" s="366">
        <f>IF(TRDHUGO[[#This Row],[2024]]="","",DONNÉES!DC193)</f>
        <v/>
      </c>
      <c r="V194" s="366">
        <f>IF(TRDHUGO[[#This Row],[2024]]="","",DONNÉES!DD193)</f>
        <v/>
      </c>
    </row>
    <row r="195" ht="11.65" customHeight="1" s="161">
      <c r="A195" s="490" t="inlineStr">
        <is>
          <t>Juillet</t>
        </is>
      </c>
      <c r="B195" s="366">
        <f>IF(DONNÉES!DC50="","",DONNÉES!DC50)</f>
        <v/>
      </c>
      <c r="C195" s="495">
        <f>IF(TRDHUGO[[#This Row],[2024]]="","",DONNÉES!DD50)</f>
        <v/>
      </c>
      <c r="D195" s="366">
        <f>IF(TRDHUGO[[#This Row],[2024]]="","",DONNÉES!DC130)</f>
        <v/>
      </c>
      <c r="E195" s="496">
        <f>IF(TRDHUGO[[#This Row],[2024]]="","",DONNÉES!DD130)</f>
        <v/>
      </c>
      <c r="F195" s="366">
        <f>IF(TRDHUGO[[#This Row],[2024]]="","",DONNÉES!DC66)</f>
        <v/>
      </c>
      <c r="G195" s="495">
        <f>IF(TRDHUGO[[#This Row],[2024]]="","",DONNÉES!DD66)</f>
        <v/>
      </c>
      <c r="H195" s="366">
        <f>IF(TRDHUGO[[#This Row],[2024]]="","",DONNÉES!DC146)</f>
        <v/>
      </c>
      <c r="I195" s="496">
        <f>IF(TRDHUGO[[#This Row],[2024]]="","",DONNÉES!DD146)</f>
        <v/>
      </c>
      <c r="J195" s="366">
        <f>IF(TRDHUGO[[#This Row],[2024]]="","",DONNÉES!DC82)</f>
        <v/>
      </c>
      <c r="K195" s="495">
        <f>IF(TRDHUGO[[#This Row],[2024]]="","",DONNÉES!DD82)</f>
        <v/>
      </c>
      <c r="L195" s="366">
        <f>IF(TRDHUGO[[#This Row],[2024]]="","",DONNÉES!DC162)</f>
        <v/>
      </c>
      <c r="M195" s="496">
        <f>IF(TRDHUGO[[#This Row],[2024]]="","",DONNÉES!DD162)</f>
        <v/>
      </c>
      <c r="N195" s="366">
        <f>IF(TRDHUGO[[#This Row],[2024]]="","",DONNÉES!DC98)</f>
        <v/>
      </c>
      <c r="O195" s="495">
        <f>IF(TRDHUGO[[#This Row],[2024]]="","",DONNÉES!DD98)</f>
        <v/>
      </c>
      <c r="P195" s="366">
        <f>IF(TRDHUGO[[#This Row],[2024]]="","",DONNÉES!DC178)</f>
        <v/>
      </c>
      <c r="Q195" s="497">
        <f>IF(TRDHUGO[[#This Row],[2024]]="","",DONNÉES!DD178)</f>
        <v/>
      </c>
      <c r="R195" s="499" t="n"/>
      <c r="S195" s="366">
        <f>IF(TRDHUGO[[#This Row],[2024]]="","",DONNÉES!DC114)</f>
        <v/>
      </c>
      <c r="T195" s="495">
        <f>IF(TRDHUGO[[#This Row],[2024]]="","",DONNÉES!DD114)</f>
        <v/>
      </c>
      <c r="U195" s="366">
        <f>IF(TRDHUGO[[#This Row],[2024]]="","",DONNÉES!DC194)</f>
        <v/>
      </c>
      <c r="V195" s="366">
        <f>IF(TRDHUGO[[#This Row],[2024]]="","",DONNÉES!DD194)</f>
        <v/>
      </c>
    </row>
    <row r="196" ht="11.65" customHeight="1" s="161">
      <c r="A196" s="494" t="inlineStr">
        <is>
          <t>Août</t>
        </is>
      </c>
      <c r="B196" s="366">
        <f>IF(DONNÉES!DC51="","",DONNÉES!DC51)</f>
        <v/>
      </c>
      <c r="C196" s="495">
        <f>IF(TRDHUGO[[#This Row],[2024]]="","",DONNÉES!DD51)</f>
        <v/>
      </c>
      <c r="D196" s="366">
        <f>IF(TRDHUGO[[#This Row],[2024]]="","",DONNÉES!DC131)</f>
        <v/>
      </c>
      <c r="E196" s="496">
        <f>IF(TRDHUGO[[#This Row],[2024]]="","",DONNÉES!DD131)</f>
        <v/>
      </c>
      <c r="F196" s="366">
        <f>IF(TRDHUGO[[#This Row],[2024]]="","",DONNÉES!DC67)</f>
        <v/>
      </c>
      <c r="G196" s="495">
        <f>IF(TRDHUGO[[#This Row],[2024]]="","",DONNÉES!DD67)</f>
        <v/>
      </c>
      <c r="H196" s="366">
        <f>IF(TRDHUGO[[#This Row],[2024]]="","",DONNÉES!DC147)</f>
        <v/>
      </c>
      <c r="I196" s="496">
        <f>IF(TRDHUGO[[#This Row],[2024]]="","",DONNÉES!DD147)</f>
        <v/>
      </c>
      <c r="J196" s="366">
        <f>IF(TRDHUGO[[#This Row],[2024]]="","",DONNÉES!DC83)</f>
        <v/>
      </c>
      <c r="K196" s="495">
        <f>IF(TRDHUGO[[#This Row],[2024]]="","",DONNÉES!DD83)</f>
        <v/>
      </c>
      <c r="L196" s="366">
        <f>IF(TRDHUGO[[#This Row],[2024]]="","",DONNÉES!DC163)</f>
        <v/>
      </c>
      <c r="M196" s="496">
        <f>IF(TRDHUGO[[#This Row],[2024]]="","",DONNÉES!DD163)</f>
        <v/>
      </c>
      <c r="N196" s="366">
        <f>IF(TRDHUGO[[#This Row],[2024]]="","",DONNÉES!DC99)</f>
        <v/>
      </c>
      <c r="O196" s="495">
        <f>IF(TRDHUGO[[#This Row],[2024]]="","",DONNÉES!DD99)</f>
        <v/>
      </c>
      <c r="P196" s="366">
        <f>IF(TRDHUGO[[#This Row],[2024]]="","",DONNÉES!DC179)</f>
        <v/>
      </c>
      <c r="Q196" s="497">
        <f>IF(TRDHUGO[[#This Row],[2024]]="","",DONNÉES!DD179)</f>
        <v/>
      </c>
      <c r="R196" s="499" t="n"/>
      <c r="S196" s="366">
        <f>IF(TRDHUGO[[#This Row],[2024]]="","",DONNÉES!DC115)</f>
        <v/>
      </c>
      <c r="T196" s="495">
        <f>IF(TRDHUGO[[#This Row],[2024]]="","",DONNÉES!DD115)</f>
        <v/>
      </c>
      <c r="U196" s="366">
        <f>IF(TRDHUGO[[#This Row],[2024]]="","",DONNÉES!DC195)</f>
        <v/>
      </c>
      <c r="V196" s="366">
        <f>IF(TRDHUGO[[#This Row],[2024]]="","",DONNÉES!DD195)</f>
        <v/>
      </c>
    </row>
    <row r="197" ht="11.65" customHeight="1" s="161">
      <c r="A197" s="490" t="inlineStr">
        <is>
          <t>Septembre</t>
        </is>
      </c>
      <c r="B197" s="366">
        <f>IF(DONNÉES!DC52="","",DONNÉES!DC52)</f>
        <v/>
      </c>
      <c r="C197" s="495">
        <f>IF(TRDHUGO[[#This Row],[2024]]="","",DONNÉES!DD52)</f>
        <v/>
      </c>
      <c r="D197" s="366">
        <f>IF(TRDHUGO[[#This Row],[2024]]="","",DONNÉES!DC132)</f>
        <v/>
      </c>
      <c r="E197" s="500">
        <f>IF(TRDHUGO[[#This Row],[2024]]="","",DONNÉES!DD132)</f>
        <v/>
      </c>
      <c r="F197" s="366">
        <f>IF(TRDHUGO[[#This Row],[2024]]="","",DONNÉES!DC68)</f>
        <v/>
      </c>
      <c r="G197" s="495">
        <f>IF(TRDHUGO[[#This Row],[2024]]="","",DONNÉES!DD68)</f>
        <v/>
      </c>
      <c r="H197" s="369">
        <f>IF(TRDHUGO[[#This Row],[2024]]="","",DONNÉES!DC148)</f>
        <v/>
      </c>
      <c r="I197" s="500">
        <f>IF(TRDHUGO[[#This Row],[2024]]="","",DONNÉES!DD148)</f>
        <v/>
      </c>
      <c r="J197" s="369">
        <f>IF(TRDHUGO[[#This Row],[2024]]="","",DONNÉES!DC84)</f>
        <v/>
      </c>
      <c r="K197" s="501">
        <f>IF(TRDHUGO[[#This Row],[2024]]="","",DONNÉES!DD84)</f>
        <v/>
      </c>
      <c r="L197" s="369">
        <f>IF(TRDHUGO[[#This Row],[2024]]="","",DONNÉES!DC164)</f>
        <v/>
      </c>
      <c r="M197" s="500">
        <f>IF(TRDHUGO[[#This Row],[2024]]="","",DONNÉES!DD164)</f>
        <v/>
      </c>
      <c r="N197" s="369">
        <f>IF(TRDHUGO[[#This Row],[2024]]="","",DONNÉES!DC100)</f>
        <v/>
      </c>
      <c r="O197" s="501">
        <f>IF(TRDHUGO[[#This Row],[2024]]="","",DONNÉES!DD100)</f>
        <v/>
      </c>
      <c r="P197" s="369">
        <f>IF(TRDHUGO[[#This Row],[2024]]="","",DONNÉES!DC180)</f>
        <v/>
      </c>
      <c r="Q197" s="502">
        <f>IF(TRDHUGO[[#This Row],[2024]]="","",DONNÉES!DD180)</f>
        <v/>
      </c>
      <c r="R197" s="503" t="n"/>
      <c r="S197" s="369">
        <f>IF(TRDHUGO[[#This Row],[2024]]="","",DONNÉES!DC116)</f>
        <v/>
      </c>
      <c r="T197" s="501">
        <f>IF(TRDHUGO[[#This Row],[2024]]="","",DONNÉES!DD116)</f>
        <v/>
      </c>
      <c r="U197" s="369">
        <f>IF(TRDHUGO[[#This Row],[2024]]="","",DONNÉES!DC196)</f>
        <v/>
      </c>
      <c r="V197" s="369">
        <f>IF(TRDHUGO[[#This Row],[2024]]="","",DONNÉES!DD196)</f>
        <v/>
      </c>
    </row>
    <row r="198" ht="11.65" customHeight="1" s="161">
      <c r="A198" s="494" t="inlineStr">
        <is>
          <t>Octobre</t>
        </is>
      </c>
      <c r="B198" s="366">
        <f>IF(DONNÉES!DC53="","",DONNÉES!DC53)</f>
        <v/>
      </c>
      <c r="C198" s="495">
        <f>IF(TRDHUGO[[#This Row],[2024]]="","",DONNÉES!DD53)</f>
        <v/>
      </c>
      <c r="D198" s="366">
        <f>IF(TRDHUGO[[#This Row],[2024]]="","",DONNÉES!DC133)</f>
        <v/>
      </c>
      <c r="E198" s="500">
        <f>IF(TRDHUGO[[#This Row],[2024]]="","",DONNÉES!DD133)</f>
        <v/>
      </c>
      <c r="F198" s="366">
        <f>IF(TRDHUGO[[#This Row],[2024]]="","",DONNÉES!DC69)</f>
        <v/>
      </c>
      <c r="G198" s="495">
        <f>IF(TRDHUGO[[#This Row],[2024]]="","",DONNÉES!DD69)</f>
        <v/>
      </c>
      <c r="H198" s="369">
        <f>IF(TRDHUGO[[#This Row],[2024]]="","",DONNÉES!DC149)</f>
        <v/>
      </c>
      <c r="I198" s="500">
        <f>IF(TRDHUGO[[#This Row],[2024]]="","",DONNÉES!DD149)</f>
        <v/>
      </c>
      <c r="J198" s="369">
        <f>IF(TRDHUGO[[#This Row],[2024]]="","",DONNÉES!DC85)</f>
        <v/>
      </c>
      <c r="K198" s="501">
        <f>IF(TRDHUGO[[#This Row],[2024]]="","",DONNÉES!DD85)</f>
        <v/>
      </c>
      <c r="L198" s="369">
        <f>IF(TRDHUGO[[#This Row],[2024]]="","",DONNÉES!DC165)</f>
        <v/>
      </c>
      <c r="M198" s="500">
        <f>IF(TRDHUGO[[#This Row],[2024]]="","",DONNÉES!DD165)</f>
        <v/>
      </c>
      <c r="N198" s="369">
        <f>IF(TRDHUGO[[#This Row],[2024]]="","",DONNÉES!DC101)</f>
        <v/>
      </c>
      <c r="O198" s="501">
        <f>IF(TRDHUGO[[#This Row],[2024]]="","",DONNÉES!DD101)</f>
        <v/>
      </c>
      <c r="P198" s="369">
        <f>IF(TRDHUGO[[#This Row],[2024]]="","",DONNÉES!DC181)</f>
        <v/>
      </c>
      <c r="Q198" s="502">
        <f>IF(TRDHUGO[[#This Row],[2024]]="","",DONNÉES!DD181)</f>
        <v/>
      </c>
      <c r="R198" s="499" t="n"/>
      <c r="S198" s="369">
        <f>IF(TRDHUGO[[#This Row],[2024]]="","",DONNÉES!DC117)</f>
        <v/>
      </c>
      <c r="T198" s="501">
        <f>IF(TRDHUGO[[#This Row],[2024]]="","",DONNÉES!DD117)</f>
        <v/>
      </c>
      <c r="U198" s="369">
        <f>IF(TRDHUGO[[#This Row],[2024]]="","",DONNÉES!DC197)</f>
        <v/>
      </c>
      <c r="V198" s="369">
        <f>IF(TRDHUGO[[#This Row],[2024]]="","",DONNÉES!DD197)</f>
        <v/>
      </c>
    </row>
    <row r="199" ht="11.65" customHeight="1" s="161">
      <c r="A199" s="490" t="inlineStr">
        <is>
          <t>Novembre</t>
        </is>
      </c>
      <c r="B199" s="366">
        <f>IF(DONNÉES!DC54="","",DONNÉES!DC54)</f>
        <v/>
      </c>
      <c r="C199" s="495">
        <f>IF(TRDHUGO[[#This Row],[2024]]="","",DONNÉES!DD54)</f>
        <v/>
      </c>
      <c r="D199" s="366">
        <f>IF(TRDHUGO[[#This Row],[2024]]="","",DONNÉES!DC134)</f>
        <v/>
      </c>
      <c r="E199" s="500">
        <f>IF(TRDHUGO[[#This Row],[2024]]="","",DONNÉES!DD134)</f>
        <v/>
      </c>
      <c r="F199" s="366">
        <f>IF(TRDHUGO[[#This Row],[2024]]="","",DONNÉES!DC70)</f>
        <v/>
      </c>
      <c r="G199" s="495">
        <f>IF(TRDHUGO[[#This Row],[2024]]="","",DONNÉES!DD70)</f>
        <v/>
      </c>
      <c r="H199" s="369">
        <f>IF(TRDHUGO[[#This Row],[2024]]="","",DONNÉES!DC150)</f>
        <v/>
      </c>
      <c r="I199" s="500">
        <f>IF(TRDHUGO[[#This Row],[2024]]="","",DONNÉES!DD150)</f>
        <v/>
      </c>
      <c r="J199" s="369">
        <f>IF(TRDHUGO[[#This Row],[2024]]="","",DONNÉES!DC86)</f>
        <v/>
      </c>
      <c r="K199" s="501">
        <f>IF(TRDHUGO[[#This Row],[2024]]="","",DONNÉES!DD86)</f>
        <v/>
      </c>
      <c r="L199" s="369">
        <f>IF(TRDHUGO[[#This Row],[2024]]="","",DONNÉES!DC166)</f>
        <v/>
      </c>
      <c r="M199" s="500">
        <f>IF(TRDHUGO[[#This Row],[2024]]="","",DONNÉES!DD166)</f>
        <v/>
      </c>
      <c r="N199" s="369">
        <f>IF(TRDHUGO[[#This Row],[2024]]="","",DONNÉES!DC102)</f>
        <v/>
      </c>
      <c r="O199" s="501">
        <f>IF(TRDHUGO[[#This Row],[2024]]="","",DONNÉES!DD102)</f>
        <v/>
      </c>
      <c r="P199" s="369">
        <f>IF(TRDHUGO[[#This Row],[2024]]="","",DONNÉES!DC182)</f>
        <v/>
      </c>
      <c r="Q199" s="502">
        <f>IF(TRDHUGO[[#This Row],[2024]]="","",DONNÉES!DD182)</f>
        <v/>
      </c>
      <c r="R199" s="498" t="n"/>
      <c r="S199" s="369">
        <f>IF(TRDHUGO[[#This Row],[2024]]="","",DONNÉES!DC118)</f>
        <v/>
      </c>
      <c r="T199" s="501">
        <f>IF(TRDHUGO[[#This Row],[2024]]="","",DONNÉES!DD118)</f>
        <v/>
      </c>
      <c r="U199" s="369">
        <f>IF(TRDHUGO[[#This Row],[2024]]="","",DONNÉES!DC198)</f>
        <v/>
      </c>
      <c r="V199" s="369">
        <f>IF(TRDHUGO[[#This Row],[2024]]="","",DONNÉES!DD198)</f>
        <v/>
      </c>
    </row>
    <row r="200" ht="11.65" customFormat="1" customHeight="1" s="476">
      <c r="A200" s="490" t="inlineStr">
        <is>
          <t>Décembre</t>
        </is>
      </c>
      <c r="B200" s="366">
        <f>IF(DONNÉES!DC55="","",DONNÉES!DC55)</f>
        <v/>
      </c>
      <c r="C200" s="495">
        <f>IF(TRDHUGO[[#This Row],[2024]]="","",DONNÉES!DD55)</f>
        <v/>
      </c>
      <c r="D200" s="366">
        <f>IF(TRDHUGO[[#This Row],[2024]]="","",DONNÉES!DC164)</f>
        <v/>
      </c>
      <c r="E200" s="500">
        <f>IF(TRDHUGO[[#This Row],[2024]]="","",DONNÉES!DD135)</f>
        <v/>
      </c>
      <c r="F200" s="366">
        <f>IF(TRDHUGO[[#This Row],[2024]]="","",DONNÉES!DC71)</f>
        <v/>
      </c>
      <c r="G200" s="495">
        <f>IF(TRDHUGO[[#This Row],[2024]]="","",DONNÉES!DD71)</f>
        <v/>
      </c>
      <c r="H200" s="369">
        <f>IF(TRDHUGO[[#This Row],[2024]]="","",DONNÉES!DC151)</f>
        <v/>
      </c>
      <c r="I200" s="500">
        <f>IF(TRDHUGO[[#This Row],[2024]]="","",DONNÉES!DD151)</f>
        <v/>
      </c>
      <c r="J200" s="369">
        <f>IF(TRDHUGO[[#This Row],[2024]]="","",DONNÉES!DC87)</f>
        <v/>
      </c>
      <c r="K200" s="501">
        <f>IF(TRDHUGO[[#This Row],[2024]]="","",DONNÉES!DD87)</f>
        <v/>
      </c>
      <c r="L200" s="369">
        <f>IF(TRDHUGO[[#This Row],[2024]]="","",DONNÉES!DC167)</f>
        <v/>
      </c>
      <c r="M200" s="500">
        <f>IF(TRDHUGO[[#This Row],[2024]]="","",DONNÉES!DD167)</f>
        <v/>
      </c>
      <c r="N200" s="369">
        <f>IF(TRDHUGO[[#This Row],[2024]]="","",DONNÉES!DC103)</f>
        <v/>
      </c>
      <c r="O200" s="501">
        <f>IF(TRDHUGO[[#This Row],[2024]]="","",DONNÉES!DD103)</f>
        <v/>
      </c>
      <c r="P200" s="369">
        <f>IF(TRDHUGO[[#This Row],[2024]]="","",DONNÉES!DC183)</f>
        <v/>
      </c>
      <c r="Q200" s="502">
        <f>IF(TRDHUGO[[#This Row],[2024]]="","",DONNÉES!DD183)</f>
        <v/>
      </c>
      <c r="R200" s="498" t="n"/>
      <c r="S200" s="369">
        <f>IF(TRDHUGO[[#This Row],[2024]]="","",DONNÉES!DC119)</f>
        <v/>
      </c>
      <c r="T200" s="501">
        <f>IF(TRDHUGO[[#This Row],[2024]]="","",DONNÉES!DD119)</f>
        <v/>
      </c>
      <c r="U200" s="369">
        <f>IF(TRDHUGO[[#This Row],[2024]]="","",DONNÉES!DC199)</f>
        <v/>
      </c>
      <c r="V200" s="369">
        <f>IF(TRDHUGO[[#This Row],[2024]]="","",DONNÉES!DD199)</f>
        <v/>
      </c>
    </row>
    <row r="201" ht="11.65" customFormat="1" customHeight="1" s="476">
      <c r="A201" s="474" t="n"/>
      <c r="B201" s="478" t="n"/>
      <c r="C201" s="478" t="n"/>
      <c r="D201" s="101" t="n"/>
      <c r="E201" s="478" t="n"/>
      <c r="F201" s="478" t="n"/>
      <c r="G201" s="479" t="n"/>
      <c r="H201" s="474" t="n"/>
      <c r="I201" s="475" t="n"/>
      <c r="J201" s="478" t="n"/>
      <c r="K201" s="478" t="n"/>
      <c r="L201" s="101" t="n"/>
      <c r="M201" s="479" t="n"/>
      <c r="N201" s="474" t="n"/>
      <c r="O201" s="474" t="n"/>
      <c r="P201" s="474" t="n"/>
      <c r="Q201" s="474" t="n"/>
      <c r="R201" s="498" t="n"/>
      <c r="S201" s="474" t="n"/>
      <c r="T201" s="474" t="n"/>
      <c r="U201" s="474" t="n"/>
      <c r="V201" s="474" t="n"/>
    </row>
    <row r="202" ht="14.65" customHeight="1" s="161">
      <c r="A202" s="485" t="n"/>
      <c r="B202" s="486" t="inlineStr">
        <is>
          <t>Sur place</t>
        </is>
      </c>
      <c r="C202" s="487" t="n"/>
      <c r="D202" s="487" t="n"/>
      <c r="E202" s="488" t="n"/>
      <c r="F202" s="486" t="inlineStr">
        <is>
          <t>A emporter</t>
        </is>
      </c>
      <c r="G202" s="487" t="n"/>
      <c r="H202" s="487" t="n"/>
      <c r="I202" s="488" t="n"/>
      <c r="J202" s="486" t="inlineStr">
        <is>
          <t>Mc Drive</t>
        </is>
      </c>
      <c r="K202" s="487" t="n"/>
      <c r="L202" s="487" t="n"/>
      <c r="M202" s="488" t="n"/>
      <c r="N202" s="489" t="inlineStr">
        <is>
          <t>Kiosque</t>
        </is>
      </c>
      <c r="O202" s="487" t="n"/>
      <c r="P202" s="487" t="n"/>
      <c r="Q202" s="487" t="n"/>
      <c r="S202" s="504" t="inlineStr">
        <is>
          <t>Total</t>
        </is>
      </c>
    </row>
    <row r="203" ht="28.9" customHeight="1" s="161">
      <c r="A203" s="490" t="inlineStr">
        <is>
          <t>JEANCLO</t>
        </is>
      </c>
      <c r="B203" s="491" t="inlineStr">
        <is>
          <t>2024</t>
        </is>
      </c>
      <c r="C203" s="492" t="inlineStr">
        <is>
          <t>2023</t>
        </is>
      </c>
      <c r="D203" s="491" t="inlineStr">
        <is>
          <t>2024 cumul</t>
        </is>
      </c>
      <c r="E203" s="493" t="inlineStr">
        <is>
          <t>2023 cumul</t>
        </is>
      </c>
      <c r="F203" s="211" t="inlineStr">
        <is>
          <t xml:space="preserve">2024  </t>
        </is>
      </c>
      <c r="G203" s="492" t="inlineStr">
        <is>
          <t xml:space="preserve">2023  </t>
        </is>
      </c>
      <c r="H203" s="491" t="inlineStr">
        <is>
          <t xml:space="preserve">2024 cumul </t>
        </is>
      </c>
      <c r="I203" s="493" t="inlineStr">
        <is>
          <t xml:space="preserve">2023 cumul </t>
        </is>
      </c>
      <c r="J203" s="491" t="inlineStr">
        <is>
          <t xml:space="preserve">2024   </t>
        </is>
      </c>
      <c r="K203" s="492" t="inlineStr">
        <is>
          <t xml:space="preserve">2023   </t>
        </is>
      </c>
      <c r="L203" s="491" t="inlineStr">
        <is>
          <t xml:space="preserve">2024 cumul   </t>
        </is>
      </c>
      <c r="M203" s="493" t="inlineStr">
        <is>
          <t xml:space="preserve">2023 cumul   </t>
        </is>
      </c>
      <c r="N203" s="491" t="inlineStr">
        <is>
          <t xml:space="preserve">2024    </t>
        </is>
      </c>
      <c r="O203" s="492" t="inlineStr">
        <is>
          <t xml:space="preserve">2023    </t>
        </is>
      </c>
      <c r="P203" s="491" t="inlineStr">
        <is>
          <t xml:space="preserve">2024 cumul    </t>
        </is>
      </c>
      <c r="Q203" s="94" t="inlineStr">
        <is>
          <t xml:space="preserve">2023 cumul    </t>
        </is>
      </c>
      <c r="S203" s="491" t="inlineStr">
        <is>
          <t>2024</t>
        </is>
      </c>
      <c r="T203" s="492" t="inlineStr">
        <is>
          <t>2023</t>
        </is>
      </c>
      <c r="U203" s="491" t="inlineStr">
        <is>
          <t>2024 cumul</t>
        </is>
      </c>
      <c r="V203" s="493" t="inlineStr">
        <is>
          <t>2023 cumul</t>
        </is>
      </c>
    </row>
    <row r="204" ht="11.65" customHeight="1" s="161">
      <c r="A204" s="494" t="inlineStr">
        <is>
          <t>Janvier</t>
        </is>
      </c>
      <c r="B204" s="366">
        <f>IF(DONNÉES!DK44="","",DONNÉES!DK44)</f>
        <v/>
      </c>
      <c r="C204" s="495">
        <f>IF(TRDJEANCLO[[#This Row],[2024]]="","",DONNÉES!DL44)</f>
        <v/>
      </c>
      <c r="D204" s="366">
        <f>IF(TRDJEANCLO[[#This Row],[2024]]="","",DONNÉES!DK124)</f>
        <v/>
      </c>
      <c r="E204" s="496">
        <f>IF(TRDJEANCLO[[#This Row],[2024]]="","",DONNÉES!DL124)</f>
        <v/>
      </c>
      <c r="F204" s="366">
        <f>IF(TRDJEANCLO[[#This Row],[2024]]="","",DONNÉES!DK60)</f>
        <v/>
      </c>
      <c r="G204" s="495">
        <f>IF(TRDJEANCLO[[#This Row],[2024]]="","",DONNÉES!DL60)</f>
        <v/>
      </c>
      <c r="H204" s="366">
        <f>IF(TRDJEANCLO[[#This Row],[2024]]="","",DONNÉES!DK140)</f>
        <v/>
      </c>
      <c r="I204" s="496">
        <f>IF(TRDJEANCLO[[#This Row],[2024]]="","",DONNÉES!DL140)</f>
        <v/>
      </c>
      <c r="J204" s="366">
        <f>IF(TRDJEANCLO[[#This Row],[2024]]="","",DONNÉES!DK76)</f>
        <v/>
      </c>
      <c r="K204" s="495">
        <f>IF(TRDJEANCLO[[#This Row],[2024]]="","",DONNÉES!DL76)</f>
        <v/>
      </c>
      <c r="L204" s="366">
        <f>IF(TRDJEANCLO[[#This Row],[2024]]="","",DONNÉES!DK156)</f>
        <v/>
      </c>
      <c r="M204" s="496">
        <f>IF(TRDJEANCLO[[#This Row],[2024]]="","",DONNÉES!DL156)</f>
        <v/>
      </c>
      <c r="N204" s="366">
        <f>IF(TRDJEANCLO[[#This Row],[2024]]="","",DONNÉES!DK92)</f>
        <v/>
      </c>
      <c r="O204" s="495">
        <f>IF(TRDJEANCLO[[#This Row],[2024]]="","",DONNÉES!DL92)</f>
        <v/>
      </c>
      <c r="P204" s="366">
        <f>IF(TRDJEANCLO[[#This Row],[2024]]="","",DONNÉES!DK172)</f>
        <v/>
      </c>
      <c r="Q204" s="497">
        <f>IF(TRDJEANCLO[[#This Row],[2024]]="","",DONNÉES!DL172)</f>
        <v/>
      </c>
      <c r="R204" s="498" t="n"/>
      <c r="S204" s="366">
        <f>IF(TRDJEANCLO[[#This Row],[2024]]="","",DONNÉES!DK108)</f>
        <v/>
      </c>
      <c r="T204" s="495">
        <f>IF(TRDJEANCLO[[#This Row],[2024]]="","",DONNÉES!DL108)</f>
        <v/>
      </c>
      <c r="U204" s="366">
        <f>IF(TRDJEANCLO[[#This Row],[2024]]="","",DONNÉES!DK188)</f>
        <v/>
      </c>
      <c r="V204" s="366">
        <f>IF(TRDJEANCLO[[#This Row],[2024]]="","",DONNÉES!DL188)</f>
        <v/>
      </c>
    </row>
    <row r="205" ht="11.65" customFormat="1" customHeight="1" s="476">
      <c r="A205" s="494" t="inlineStr">
        <is>
          <t>Février</t>
        </is>
      </c>
      <c r="B205" s="366">
        <f>IF(DONNÉES!DK45="","",DONNÉES!DK45)</f>
        <v/>
      </c>
      <c r="C205" s="495">
        <f>IF(TRDJEANCLO[[#This Row],[2024]]="","",DONNÉES!DL45)</f>
        <v/>
      </c>
      <c r="D205" s="366">
        <f>IF(TRDJEANCLO[[#This Row],[2024]]="","",DONNÉES!DK125)</f>
        <v/>
      </c>
      <c r="E205" s="496">
        <f>IF(TRDJEANCLO[[#This Row],[2024]]="","",DONNÉES!DL125)</f>
        <v/>
      </c>
      <c r="F205" s="366">
        <f>IF(TRDJEANCLO[[#This Row],[2024]]="","",DONNÉES!DK61)</f>
        <v/>
      </c>
      <c r="G205" s="495">
        <f>IF(TRDJEANCLO[[#This Row],[2024]]="","",DONNÉES!DL61)</f>
        <v/>
      </c>
      <c r="H205" s="366">
        <f>IF(TRDJEANCLO[[#This Row],[2024]]="","",DONNÉES!DK141)</f>
        <v/>
      </c>
      <c r="I205" s="496">
        <f>IF(TRDJEANCLO[[#This Row],[2024]]="","",DONNÉES!DL141)</f>
        <v/>
      </c>
      <c r="J205" s="366">
        <f>IF(TRDJEANCLO[[#This Row],[2024]]="","",DONNÉES!DK77)</f>
        <v/>
      </c>
      <c r="K205" s="495">
        <f>IF(TRDJEANCLO[[#This Row],[2024]]="","",DONNÉES!DL77)</f>
        <v/>
      </c>
      <c r="L205" s="366">
        <f>IF(TRDJEANCLO[[#This Row],[2024]]="","",DONNÉES!DK157)</f>
        <v/>
      </c>
      <c r="M205" s="496">
        <f>IF(TRDJEANCLO[[#This Row],[2024]]="","",DONNÉES!DL157)</f>
        <v/>
      </c>
      <c r="N205" s="366">
        <f>IF(TRDJEANCLO[[#This Row],[2024]]="","",DONNÉES!DK93)</f>
        <v/>
      </c>
      <c r="O205" s="495">
        <f>IF(TRDJEANCLO[[#This Row],[2024]]="","",DONNÉES!DL93)</f>
        <v/>
      </c>
      <c r="P205" s="366">
        <f>IF(TRDJEANCLO[[#This Row],[2024]]="","",DONNÉES!DK173)</f>
        <v/>
      </c>
      <c r="Q205" s="497">
        <f>IF(TRDJEANCLO[[#This Row],[2024]]="","",DONNÉES!DL173)</f>
        <v/>
      </c>
      <c r="R205" s="498" t="n"/>
      <c r="S205" s="366">
        <f>IF(TRDJEANCLO[[#This Row],[2024]]="","",DONNÉES!DK109)</f>
        <v/>
      </c>
      <c r="T205" s="495">
        <f>IF(TRDJEANCLO[[#This Row],[2024]]="","",DONNÉES!DL109)</f>
        <v/>
      </c>
      <c r="U205" s="366">
        <f>IF(TRDJEANCLO[[#This Row],[2024]]="","",DONNÉES!DK189)</f>
        <v/>
      </c>
      <c r="V205" s="366">
        <f>IF(TRDJEANCLO[[#This Row],[2024]]="","",DONNÉES!DL189)</f>
        <v/>
      </c>
    </row>
    <row r="206" ht="11.65" customFormat="1" customHeight="1" s="476">
      <c r="A206" s="490" t="inlineStr">
        <is>
          <t>Mars</t>
        </is>
      </c>
      <c r="B206" s="366">
        <f>IF(DONNÉES!DK46="","",DONNÉES!DK46)</f>
        <v/>
      </c>
      <c r="C206" s="495">
        <f>IF(TRDJEANCLO[[#This Row],[2024]]="","",DONNÉES!DL46)</f>
        <v/>
      </c>
      <c r="D206" s="366">
        <f>IF(TRDJEANCLO[[#This Row],[2024]]="","",DONNÉES!DK126)</f>
        <v/>
      </c>
      <c r="E206" s="496">
        <f>IF(TRDJEANCLO[[#This Row],[2024]]="","",DONNÉES!DL126)</f>
        <v/>
      </c>
      <c r="F206" s="366">
        <f>IF(TRDJEANCLO[[#This Row],[2024]]="","",DONNÉES!DK62)</f>
        <v/>
      </c>
      <c r="G206" s="495">
        <f>IF(TRDJEANCLO[[#This Row],[2024]]="","",DONNÉES!DL62)</f>
        <v/>
      </c>
      <c r="H206" s="366">
        <f>IF(TRDJEANCLO[[#This Row],[2024]]="","",DONNÉES!DK142)</f>
        <v/>
      </c>
      <c r="I206" s="496">
        <f>IF(TRDJEANCLO[[#This Row],[2024]]="","",DONNÉES!DL142)</f>
        <v/>
      </c>
      <c r="J206" s="366">
        <f>IF(TRDJEANCLO[[#This Row],[2024]]="","",DONNÉES!DK78)</f>
        <v/>
      </c>
      <c r="K206" s="495">
        <f>IF(TRDJEANCLO[[#This Row],[2024]]="","",DONNÉES!DL78)</f>
        <v/>
      </c>
      <c r="L206" s="366">
        <f>IF(TRDJEANCLO[[#This Row],[2024]]="","",DONNÉES!DK158)</f>
        <v/>
      </c>
      <c r="M206" s="496">
        <f>IF(TRDJEANCLO[[#This Row],[2024]]="","",DONNÉES!DL158)</f>
        <v/>
      </c>
      <c r="N206" s="366">
        <f>IF(TRDJEANCLO[[#This Row],[2024]]="","",DONNÉES!DK94)</f>
        <v/>
      </c>
      <c r="O206" s="495">
        <f>IF(TRDJEANCLO[[#This Row],[2024]]="","",DONNÉES!DL94)</f>
        <v/>
      </c>
      <c r="P206" s="366">
        <f>IF(TRDJEANCLO[[#This Row],[2024]]="","",DONNÉES!DK174)</f>
        <v/>
      </c>
      <c r="Q206" s="497">
        <f>IF(TRDJEANCLO[[#This Row],[2024]]="","",DONNÉES!DL174)</f>
        <v/>
      </c>
      <c r="R206" s="498" t="n"/>
      <c r="S206" s="366">
        <f>IF(TRDJEANCLO[[#This Row],[2024]]="","",DONNÉES!DK110)</f>
        <v/>
      </c>
      <c r="T206" s="495">
        <f>IF(TRDJEANCLO[[#This Row],[2024]]="","",DONNÉES!DL110)</f>
        <v/>
      </c>
      <c r="U206" s="366">
        <f>IF(TRDJEANCLO[[#This Row],[2024]]="","",DONNÉES!DK190)</f>
        <v/>
      </c>
      <c r="V206" s="366">
        <f>IF(TRDJEANCLO[[#This Row],[2024]]="","",DONNÉES!DL190)</f>
        <v/>
      </c>
    </row>
    <row r="207" ht="11.65" customFormat="1" customHeight="1" s="476">
      <c r="A207" s="494" t="inlineStr">
        <is>
          <t>Avril</t>
        </is>
      </c>
      <c r="B207" s="366">
        <f>IF(DONNÉES!DK47="","",DONNÉES!DK47)</f>
        <v/>
      </c>
      <c r="C207" s="495">
        <f>IF(TRDJEANCLO[[#This Row],[2024]]="","",DONNÉES!DL47)</f>
        <v/>
      </c>
      <c r="D207" s="366">
        <f>IF(TRDJEANCLO[[#This Row],[2024]]="","",DONNÉES!DK127)</f>
        <v/>
      </c>
      <c r="E207" s="496">
        <f>IF(TRDJEANCLO[[#This Row],[2024]]="","",DONNÉES!DL127)</f>
        <v/>
      </c>
      <c r="F207" s="366">
        <f>IF(TRDJEANCLO[[#This Row],[2024]]="","",DONNÉES!DK63)</f>
        <v/>
      </c>
      <c r="G207" s="495">
        <f>IF(TRDJEANCLO[[#This Row],[2024]]="","",DONNÉES!DL63)</f>
        <v/>
      </c>
      <c r="H207" s="366">
        <f>IF(TRDJEANCLO[[#This Row],[2024]]="","",DONNÉES!DK143)</f>
        <v/>
      </c>
      <c r="I207" s="496">
        <f>IF(TRDJEANCLO[[#This Row],[2024]]="","",DONNÉES!DL143)</f>
        <v/>
      </c>
      <c r="J207" s="366">
        <f>IF(TRDJEANCLO[[#This Row],[2024]]="","",DONNÉES!DK79)</f>
        <v/>
      </c>
      <c r="K207" s="495">
        <f>IF(TRDJEANCLO[[#This Row],[2024]]="","",DONNÉES!DL79)</f>
        <v/>
      </c>
      <c r="L207" s="366">
        <f>IF(TRDJEANCLO[[#This Row],[2024]]="","",DONNÉES!DK159)</f>
        <v/>
      </c>
      <c r="M207" s="496">
        <f>IF(TRDJEANCLO[[#This Row],[2024]]="","",DONNÉES!DL159)</f>
        <v/>
      </c>
      <c r="N207" s="366">
        <f>IF(TRDJEANCLO[[#This Row],[2024]]="","",DONNÉES!DK95)</f>
        <v/>
      </c>
      <c r="O207" s="495">
        <f>IF(TRDJEANCLO[[#This Row],[2024]]="","",DONNÉES!DL95)</f>
        <v/>
      </c>
      <c r="P207" s="366">
        <f>IF(TRDJEANCLO[[#This Row],[2024]]="","",DONNÉES!DK175)</f>
        <v/>
      </c>
      <c r="Q207" s="497">
        <f>IF(TRDJEANCLO[[#This Row],[2024]]="","",DONNÉES!DL175)</f>
        <v/>
      </c>
      <c r="R207" s="499" t="n"/>
      <c r="S207" s="366">
        <f>IF(TRDJEANCLO[[#This Row],[2024]]="","",DONNÉES!DK111)</f>
        <v/>
      </c>
      <c r="T207" s="495">
        <f>IF(TRDJEANCLO[[#This Row],[2024]]="","",DONNÉES!DL111)</f>
        <v/>
      </c>
      <c r="U207" s="366">
        <f>IF(TRDJEANCLO[[#This Row],[2024]]="","",DONNÉES!DK191)</f>
        <v/>
      </c>
      <c r="V207" s="366">
        <f>IF(TRDJEANCLO[[#This Row],[2024]]="","",DONNÉES!DL191)</f>
        <v/>
      </c>
    </row>
    <row r="208" ht="11.65" customHeight="1" s="161">
      <c r="A208" s="490" t="inlineStr">
        <is>
          <t>Mai</t>
        </is>
      </c>
      <c r="B208" s="366">
        <f>IF(DONNÉES!DK48="","",DONNÉES!DK48)</f>
        <v/>
      </c>
      <c r="C208" s="495">
        <f>IF(TRDJEANCLO[[#This Row],[2024]]="","",DONNÉES!DL48)</f>
        <v/>
      </c>
      <c r="D208" s="366">
        <f>IF(TRDJEANCLO[[#This Row],[2024]]="","",DONNÉES!DK128)</f>
        <v/>
      </c>
      <c r="E208" s="496">
        <f>IF(TRDJEANCLO[[#This Row],[2024]]="","",DONNÉES!DL128)</f>
        <v/>
      </c>
      <c r="F208" s="366">
        <f>IF(TRDJEANCLO[[#This Row],[2024]]="","",DONNÉES!DK64)</f>
        <v/>
      </c>
      <c r="G208" s="495">
        <f>IF(TRDJEANCLO[[#This Row],[2024]]="","",DONNÉES!DL64)</f>
        <v/>
      </c>
      <c r="H208" s="366">
        <f>IF(TRDJEANCLO[[#This Row],[2024]]="","",DONNÉES!DK144)</f>
        <v/>
      </c>
      <c r="I208" s="496">
        <f>IF(TRDJEANCLO[[#This Row],[2024]]="","",DONNÉES!DL144)</f>
        <v/>
      </c>
      <c r="J208" s="366">
        <f>IF(TRDJEANCLO[[#This Row],[2024]]="","",DONNÉES!DK80)</f>
        <v/>
      </c>
      <c r="K208" s="495">
        <f>IF(TRDJEANCLO[[#This Row],[2024]]="","",DONNÉES!DL80)</f>
        <v/>
      </c>
      <c r="L208" s="366">
        <f>IF(TRDJEANCLO[[#This Row],[2024]]="","",DONNÉES!DK160)</f>
        <v/>
      </c>
      <c r="M208" s="496">
        <f>IF(TRDJEANCLO[[#This Row],[2024]]="","",DONNÉES!DL160)</f>
        <v/>
      </c>
      <c r="N208" s="366">
        <f>IF(TRDJEANCLO[[#This Row],[2024]]="","",DONNÉES!DK96)</f>
        <v/>
      </c>
      <c r="O208" s="495">
        <f>IF(TRDJEANCLO[[#This Row],[2024]]="","",DONNÉES!DL96)</f>
        <v/>
      </c>
      <c r="P208" s="366">
        <f>IF(TRDJEANCLO[[#This Row],[2024]]="","",DONNÉES!DK176)</f>
        <v/>
      </c>
      <c r="Q208" s="497">
        <f>IF(TRDJEANCLO[[#This Row],[2024]]="","",DONNÉES!DL176)</f>
        <v/>
      </c>
      <c r="R208" s="499" t="n"/>
      <c r="S208" s="366">
        <f>IF(TRDJEANCLO[[#This Row],[2024]]="","",DONNÉES!DK112)</f>
        <v/>
      </c>
      <c r="T208" s="495">
        <f>IF(TRDJEANCLO[[#This Row],[2024]]="","",DONNÉES!DL112)</f>
        <v/>
      </c>
      <c r="U208" s="366">
        <f>IF(TRDJEANCLO[[#This Row],[2024]]="","",DONNÉES!DK192)</f>
        <v/>
      </c>
      <c r="V208" s="366">
        <f>IF(TRDJEANCLO[[#This Row],[2024]]="","",DONNÉES!DL192)</f>
        <v/>
      </c>
    </row>
    <row r="209" ht="11.65" customHeight="1" s="161">
      <c r="A209" s="494" t="inlineStr">
        <is>
          <t>Juin</t>
        </is>
      </c>
      <c r="B209" s="366">
        <f>IF(DONNÉES!DK49="","",DONNÉES!DK49)</f>
        <v/>
      </c>
      <c r="C209" s="495">
        <f>IF(TRDJEANCLO[[#This Row],[2024]]="","",DONNÉES!DL49)</f>
        <v/>
      </c>
      <c r="D209" s="366">
        <f>IF(TRDJEANCLO[[#This Row],[2024]]="","",DONNÉES!DK129)</f>
        <v/>
      </c>
      <c r="E209" s="496">
        <f>IF(TRDJEANCLO[[#This Row],[2024]]="","",DONNÉES!DL129)</f>
        <v/>
      </c>
      <c r="F209" s="366">
        <f>IF(TRDJEANCLO[[#This Row],[2024]]="","",DONNÉES!DK65)</f>
        <v/>
      </c>
      <c r="G209" s="495">
        <f>IF(TRDJEANCLO[[#This Row],[2024]]="","",DONNÉES!DL65)</f>
        <v/>
      </c>
      <c r="H209" s="366">
        <f>IF(TRDJEANCLO[[#This Row],[2024]]="","",DONNÉES!DK145)</f>
        <v/>
      </c>
      <c r="I209" s="496">
        <f>IF(TRDJEANCLO[[#This Row],[2024]]="","",DONNÉES!DL145)</f>
        <v/>
      </c>
      <c r="J209" s="366">
        <f>IF(TRDJEANCLO[[#This Row],[2024]]="","",DONNÉES!DK81)</f>
        <v/>
      </c>
      <c r="K209" s="495">
        <f>IF(TRDJEANCLO[[#This Row],[2024]]="","",DONNÉES!DL81)</f>
        <v/>
      </c>
      <c r="L209" s="366">
        <f>IF(TRDJEANCLO[[#This Row],[2024]]="","",DONNÉES!DK161)</f>
        <v/>
      </c>
      <c r="M209" s="496">
        <f>IF(TRDJEANCLO[[#This Row],[2024]]="","",DONNÉES!DL161)</f>
        <v/>
      </c>
      <c r="N209" s="366">
        <f>IF(TRDJEANCLO[[#This Row],[2024]]="","",DONNÉES!DK97)</f>
        <v/>
      </c>
      <c r="O209" s="495">
        <f>IF(TRDJEANCLO[[#This Row],[2024]]="","",DONNÉES!DL97)</f>
        <v/>
      </c>
      <c r="P209" s="366">
        <f>IF(TRDJEANCLO[[#This Row],[2024]]="","",DONNÉES!DK177)</f>
        <v/>
      </c>
      <c r="Q209" s="497">
        <f>IF(TRDJEANCLO[[#This Row],[2024]]="","",DONNÉES!DL177)</f>
        <v/>
      </c>
      <c r="R209" s="499" t="n"/>
      <c r="S209" s="366">
        <f>IF(TRDJEANCLO[[#This Row],[2024]]="","",DONNÉES!DK113)</f>
        <v/>
      </c>
      <c r="T209" s="495">
        <f>IF(TRDJEANCLO[[#This Row],[2024]]="","",DONNÉES!DL113)</f>
        <v/>
      </c>
      <c r="U209" s="366">
        <f>IF(TRDJEANCLO[[#This Row],[2024]]="","",DONNÉES!DK193)</f>
        <v/>
      </c>
      <c r="V209" s="366">
        <f>IF(TRDJEANCLO[[#This Row],[2024]]="","",DONNÉES!DL193)</f>
        <v/>
      </c>
    </row>
    <row r="210" ht="11.65" customHeight="1" s="161">
      <c r="A210" s="490" t="inlineStr">
        <is>
          <t>Juillet</t>
        </is>
      </c>
      <c r="B210" s="366">
        <f>IF(DONNÉES!DK50="","",DONNÉES!DK50)</f>
        <v/>
      </c>
      <c r="C210" s="495">
        <f>IF(TRDJEANCLO[[#This Row],[2024]]="","",DONNÉES!DL50)</f>
        <v/>
      </c>
      <c r="D210" s="366">
        <f>IF(TRDJEANCLO[[#This Row],[2024]]="","",DONNÉES!DK130)</f>
        <v/>
      </c>
      <c r="E210" s="496">
        <f>IF(TRDJEANCLO[[#This Row],[2024]]="","",DONNÉES!DL130)</f>
        <v/>
      </c>
      <c r="F210" s="366">
        <f>IF(TRDJEANCLO[[#This Row],[2024]]="","",DONNÉES!DK66)</f>
        <v/>
      </c>
      <c r="G210" s="495">
        <f>IF(TRDJEANCLO[[#This Row],[2024]]="","",DONNÉES!DL66)</f>
        <v/>
      </c>
      <c r="H210" s="366">
        <f>IF(TRDJEANCLO[[#This Row],[2024]]="","",DONNÉES!DK146)</f>
        <v/>
      </c>
      <c r="I210" s="496">
        <f>IF(TRDJEANCLO[[#This Row],[2024]]="","",DONNÉES!DL146)</f>
        <v/>
      </c>
      <c r="J210" s="366">
        <f>IF(TRDJEANCLO[[#This Row],[2024]]="","",DONNÉES!DK82)</f>
        <v/>
      </c>
      <c r="K210" s="495">
        <f>IF(TRDJEANCLO[[#This Row],[2024]]="","",DONNÉES!DL82)</f>
        <v/>
      </c>
      <c r="L210" s="366">
        <f>IF(TRDJEANCLO[[#This Row],[2024]]="","",DONNÉES!DK162)</f>
        <v/>
      </c>
      <c r="M210" s="496">
        <f>IF(TRDJEANCLO[[#This Row],[2024]]="","",DONNÉES!DL162)</f>
        <v/>
      </c>
      <c r="N210" s="366">
        <f>IF(TRDJEANCLO[[#This Row],[2024]]="","",DONNÉES!DK98)</f>
        <v/>
      </c>
      <c r="O210" s="495">
        <f>IF(TRDJEANCLO[[#This Row],[2024]]="","",DONNÉES!DL98)</f>
        <v/>
      </c>
      <c r="P210" s="366">
        <f>IF(TRDJEANCLO[[#This Row],[2024]]="","",DONNÉES!DK178)</f>
        <v/>
      </c>
      <c r="Q210" s="497">
        <f>IF(TRDJEANCLO[[#This Row],[2024]]="","",DONNÉES!DL178)</f>
        <v/>
      </c>
      <c r="R210" s="499" t="n"/>
      <c r="S210" s="366">
        <f>IF(TRDJEANCLO[[#This Row],[2024]]="","",DONNÉES!DK114)</f>
        <v/>
      </c>
      <c r="T210" s="495">
        <f>IF(TRDJEANCLO[[#This Row],[2024]]="","",DONNÉES!DL114)</f>
        <v/>
      </c>
      <c r="U210" s="366">
        <f>IF(TRDJEANCLO[[#This Row],[2024]]="","",DONNÉES!DK194)</f>
        <v/>
      </c>
      <c r="V210" s="366">
        <f>IF(TRDJEANCLO[[#This Row],[2024]]="","",DONNÉES!DL194)</f>
        <v/>
      </c>
    </row>
    <row r="211" ht="11.65" customHeight="1" s="161">
      <c r="A211" s="494" t="inlineStr">
        <is>
          <t>Août</t>
        </is>
      </c>
      <c r="B211" s="366">
        <f>IF(DONNÉES!DK51="","",DONNÉES!DK51)</f>
        <v/>
      </c>
      <c r="C211" s="495">
        <f>IF(TRDJEANCLO[[#This Row],[2024]]="","",DONNÉES!DL51)</f>
        <v/>
      </c>
      <c r="D211" s="366">
        <f>IF(TRDJEANCLO[[#This Row],[2024]]="","",DONNÉES!DK131)</f>
        <v/>
      </c>
      <c r="E211" s="496">
        <f>IF(TRDJEANCLO[[#This Row],[2024]]="","",DONNÉES!DL131)</f>
        <v/>
      </c>
      <c r="F211" s="366">
        <f>IF(TRDJEANCLO[[#This Row],[2024]]="","",DONNÉES!DK67)</f>
        <v/>
      </c>
      <c r="G211" s="495">
        <f>IF(TRDJEANCLO[[#This Row],[2024]]="","",DONNÉES!DL67)</f>
        <v/>
      </c>
      <c r="H211" s="366">
        <f>IF(TRDJEANCLO[[#This Row],[2024]]="","",DONNÉES!DK147)</f>
        <v/>
      </c>
      <c r="I211" s="496">
        <f>IF(TRDJEANCLO[[#This Row],[2024]]="","",DONNÉES!DL147)</f>
        <v/>
      </c>
      <c r="J211" s="366">
        <f>IF(TRDJEANCLO[[#This Row],[2024]]="","",DONNÉES!DK83)</f>
        <v/>
      </c>
      <c r="K211" s="495">
        <f>IF(TRDJEANCLO[[#This Row],[2024]]="","",DONNÉES!DL83)</f>
        <v/>
      </c>
      <c r="L211" s="366">
        <f>IF(TRDJEANCLO[[#This Row],[2024]]="","",DONNÉES!DK163)</f>
        <v/>
      </c>
      <c r="M211" s="496">
        <f>IF(TRDJEANCLO[[#This Row],[2024]]="","",DONNÉES!DL163)</f>
        <v/>
      </c>
      <c r="N211" s="366">
        <f>IF(TRDJEANCLO[[#This Row],[2024]]="","",DONNÉES!DK99)</f>
        <v/>
      </c>
      <c r="O211" s="495">
        <f>IF(TRDJEANCLO[[#This Row],[2024]]="","",DONNÉES!DL99)</f>
        <v/>
      </c>
      <c r="P211" s="366">
        <f>IF(TRDJEANCLO[[#This Row],[2024]]="","",DONNÉES!DK179)</f>
        <v/>
      </c>
      <c r="Q211" s="497">
        <f>IF(TRDJEANCLO[[#This Row],[2024]]="","",DONNÉES!DL179)</f>
        <v/>
      </c>
      <c r="R211" s="499" t="n"/>
      <c r="S211" s="366">
        <f>IF(TRDJEANCLO[[#This Row],[2024]]="","",DONNÉES!DK115)</f>
        <v/>
      </c>
      <c r="T211" s="495">
        <f>IF(TRDJEANCLO[[#This Row],[2024]]="","",DONNÉES!DL115)</f>
        <v/>
      </c>
      <c r="U211" s="366">
        <f>IF(TRDJEANCLO[[#This Row],[2024]]="","",DONNÉES!DK195)</f>
        <v/>
      </c>
      <c r="V211" s="366">
        <f>IF(TRDJEANCLO[[#This Row],[2024]]="","",DONNÉES!DL195)</f>
        <v/>
      </c>
    </row>
    <row r="212" ht="11.65" customHeight="1" s="161">
      <c r="A212" s="490" t="inlineStr">
        <is>
          <t>Septembre</t>
        </is>
      </c>
      <c r="B212" s="366">
        <f>IF(DONNÉES!DK52="","",DONNÉES!DK52)</f>
        <v/>
      </c>
      <c r="C212" s="495">
        <f>IF(TRDJEANCLO[[#This Row],[2024]]="","",DONNÉES!DL52)</f>
        <v/>
      </c>
      <c r="D212" s="369">
        <f>IF(TRDJEANCLO[[#This Row],[2024]]="","",DONNÉES!DK132)</f>
        <v/>
      </c>
      <c r="E212" s="500">
        <f>IF(TRDJEANCLO[[#This Row],[2024]]="","",DONNÉES!DL132)</f>
        <v/>
      </c>
      <c r="F212" s="366">
        <f>IF(TRDJEANCLO[[#This Row],[2024]]="","",DONNÉES!DK68)</f>
        <v/>
      </c>
      <c r="G212" s="495">
        <f>IF(TRDJEANCLO[[#This Row],[2024]]="","",DONNÉES!DL68)</f>
        <v/>
      </c>
      <c r="H212" s="369">
        <f>IF(TRDJEANCLO[[#This Row],[2024]]="","",DONNÉES!DK148)</f>
        <v/>
      </c>
      <c r="I212" s="500">
        <f>IF(TRDJEANCLO[[#This Row],[2024]]="","",DONNÉES!DL148)</f>
        <v/>
      </c>
      <c r="J212" s="369">
        <f>IF(TRDJEANCLO[[#This Row],[2024]]="","",DONNÉES!DK84)</f>
        <v/>
      </c>
      <c r="K212" s="501">
        <f>IF(TRDJEANCLO[[#This Row],[2024]]="","",DONNÉES!DL84)</f>
        <v/>
      </c>
      <c r="L212" s="369">
        <f>IF(TRDJEANCLO[[#This Row],[2024]]="","",DONNÉES!DK164)</f>
        <v/>
      </c>
      <c r="M212" s="500">
        <f>IF(TRDJEANCLO[[#This Row],[2024]]="","",DONNÉES!DL164)</f>
        <v/>
      </c>
      <c r="N212" s="369">
        <f>IF(TRDJEANCLO[[#This Row],[2024]]="","",DONNÉES!DK100)</f>
        <v/>
      </c>
      <c r="O212" s="501">
        <f>IF(TRDJEANCLO[[#This Row],[2024]]="","",DONNÉES!DL100)</f>
        <v/>
      </c>
      <c r="P212" s="369">
        <f>IF(TRDJEANCLO[[#This Row],[2024]]="","",DONNÉES!DK180)</f>
        <v/>
      </c>
      <c r="Q212" s="502">
        <f>IF(TRDJEANCLO[[#This Row],[2024]]="","",DONNÉES!DL180)</f>
        <v/>
      </c>
      <c r="R212" s="503" t="n"/>
      <c r="S212" s="369">
        <f>IF(TRDJEANCLO[[#This Row],[2024]]="","",DONNÉES!DK116)</f>
        <v/>
      </c>
      <c r="T212" s="501">
        <f>IF(TRDJEANCLO[[#This Row],[2024]]="","",DONNÉES!DL116)</f>
        <v/>
      </c>
      <c r="U212" s="369">
        <f>IF(TRDJEANCLO[[#This Row],[2024]]="","",DONNÉES!DK196)</f>
        <v/>
      </c>
      <c r="V212" s="369">
        <f>IF(TRDJEANCLO[[#This Row],[2024]]="","",DONNÉES!DL196)</f>
        <v/>
      </c>
    </row>
    <row r="213" ht="11.65" customHeight="1" s="161">
      <c r="A213" s="494" t="inlineStr">
        <is>
          <t>Octobre</t>
        </is>
      </c>
      <c r="B213" s="366">
        <f>IF(DONNÉES!DK53="","",DONNÉES!DK53)</f>
        <v/>
      </c>
      <c r="C213" s="495">
        <f>IF(TRDJEANCLO[[#This Row],[2024]]="","",DONNÉES!DL53)</f>
        <v/>
      </c>
      <c r="D213" s="369">
        <f>IF(TRDJEANCLO[[#This Row],[2024]]="","",DONNÉES!DK133)</f>
        <v/>
      </c>
      <c r="E213" s="500">
        <f>IF(TRDJEANCLO[[#This Row],[2024]]="","",DONNÉES!DL133)</f>
        <v/>
      </c>
      <c r="F213" s="366">
        <f>IF(TRDJEANCLO[[#This Row],[2024]]="","",DONNÉES!DK69)</f>
        <v/>
      </c>
      <c r="G213" s="495">
        <f>IF(TRDJEANCLO[[#This Row],[2024]]="","",DONNÉES!DL69)</f>
        <v/>
      </c>
      <c r="H213" s="369">
        <f>IF(TRDJEANCLO[[#This Row],[2024]]="","",DONNÉES!DK149)</f>
        <v/>
      </c>
      <c r="I213" s="500">
        <f>IF(TRDJEANCLO[[#This Row],[2024]]="","",DONNÉES!DL149)</f>
        <v/>
      </c>
      <c r="J213" s="369">
        <f>IF(TRDJEANCLO[[#This Row],[2024]]="","",DONNÉES!DK85)</f>
        <v/>
      </c>
      <c r="K213" s="501">
        <f>IF(TRDJEANCLO[[#This Row],[2024]]="","",DONNÉES!DL85)</f>
        <v/>
      </c>
      <c r="L213" s="369">
        <f>IF(TRDJEANCLO[[#This Row],[2024]]="","",DONNÉES!DK165)</f>
        <v/>
      </c>
      <c r="M213" s="500">
        <f>IF(TRDJEANCLO[[#This Row],[2024]]="","",DONNÉES!DL165)</f>
        <v/>
      </c>
      <c r="N213" s="369">
        <f>IF(TRDJEANCLO[[#This Row],[2024]]="","",DONNÉES!DK101)</f>
        <v/>
      </c>
      <c r="O213" s="501">
        <f>IF(TRDJEANCLO[[#This Row],[2024]]="","",DONNÉES!DL101)</f>
        <v/>
      </c>
      <c r="P213" s="369">
        <f>IF(TRDJEANCLO[[#This Row],[2024]]="","",DONNÉES!DK181)</f>
        <v/>
      </c>
      <c r="Q213" s="502">
        <f>IF(TRDJEANCLO[[#This Row],[2024]]="","",DONNÉES!DL181)</f>
        <v/>
      </c>
      <c r="R213" s="499" t="n"/>
      <c r="S213" s="369">
        <f>IF(TRDJEANCLO[[#This Row],[2024]]="","",DONNÉES!DK117)</f>
        <v/>
      </c>
      <c r="T213" s="501">
        <f>IF(TRDJEANCLO[[#This Row],[2024]]="","",DONNÉES!DL117)</f>
        <v/>
      </c>
      <c r="U213" s="369">
        <f>IF(TRDJEANCLO[[#This Row],[2024]]="","",DONNÉES!DK197)</f>
        <v/>
      </c>
      <c r="V213" s="369">
        <f>IF(TRDJEANCLO[[#This Row],[2024]]="","",DONNÉES!DL197)</f>
        <v/>
      </c>
    </row>
    <row r="214" ht="11.65" customHeight="1" s="161">
      <c r="A214" s="490" t="inlineStr">
        <is>
          <t>Novembre</t>
        </is>
      </c>
      <c r="B214" s="366">
        <f>IF(DONNÉES!DK54="","",DONNÉES!DK54)</f>
        <v/>
      </c>
      <c r="C214" s="495">
        <f>IF(TRDJEANCLO[[#This Row],[2024]]="","",DONNÉES!DL54)</f>
        <v/>
      </c>
      <c r="D214" s="369">
        <f>IF(TRDJEANCLO[[#This Row],[2024]]="","",DONNÉES!DK134)</f>
        <v/>
      </c>
      <c r="E214" s="500">
        <f>IF(TRDJEANCLO[[#This Row],[2024]]="","",DONNÉES!DL134)</f>
        <v/>
      </c>
      <c r="F214" s="366">
        <f>IF(TRDJEANCLO[[#This Row],[2024]]="","",DONNÉES!DK70)</f>
        <v/>
      </c>
      <c r="G214" s="495">
        <f>IF(TRDJEANCLO[[#This Row],[2024]]="","",DONNÉES!DL70)</f>
        <v/>
      </c>
      <c r="H214" s="369">
        <f>IF(TRDJEANCLO[[#This Row],[2024]]="","",DONNÉES!DK150)</f>
        <v/>
      </c>
      <c r="I214" s="500">
        <f>IF(TRDJEANCLO[[#This Row],[2024]]="","",DONNÉES!DL150)</f>
        <v/>
      </c>
      <c r="J214" s="369">
        <f>IF(TRDJEANCLO[[#This Row],[2024]]="","",DONNÉES!DK86)</f>
        <v/>
      </c>
      <c r="K214" s="501">
        <f>IF(TRDJEANCLO[[#This Row],[2024]]="","",DONNÉES!DL86)</f>
        <v/>
      </c>
      <c r="L214" s="369">
        <f>IF(TRDJEANCLO[[#This Row],[2024]]="","",DONNÉES!DK166)</f>
        <v/>
      </c>
      <c r="M214" s="500">
        <f>IF(TRDJEANCLO[[#This Row],[2024]]="","",DONNÉES!DL166)</f>
        <v/>
      </c>
      <c r="N214" s="369">
        <f>IF(TRDJEANCLO[[#This Row],[2024]]="","",DONNÉES!DK102)</f>
        <v/>
      </c>
      <c r="O214" s="501">
        <f>IF(TRDJEANCLO[[#This Row],[2024]]="","",DONNÉES!DL102)</f>
        <v/>
      </c>
      <c r="P214" s="369">
        <f>IF(TRDJEANCLO[[#This Row],[2024]]="","",DONNÉES!DK182)</f>
        <v/>
      </c>
      <c r="Q214" s="502">
        <f>IF(TRDJEANCLO[[#This Row],[2024]]="","",DONNÉES!DL182)</f>
        <v/>
      </c>
      <c r="R214" s="498" t="n"/>
      <c r="S214" s="369">
        <f>IF(TRDJEANCLO[[#This Row],[2024]]="","",DONNÉES!DK118)</f>
        <v/>
      </c>
      <c r="T214" s="501">
        <f>IF(TRDJEANCLO[[#This Row],[2024]]="","",DONNÉES!DL118)</f>
        <v/>
      </c>
      <c r="U214" s="369">
        <f>IF(TRDJEANCLO[[#This Row],[2024]]="","",DONNÉES!DK198)</f>
        <v/>
      </c>
      <c r="V214" s="369">
        <f>IF(TRDJEANCLO[[#This Row],[2024]]="","",DONNÉES!DL198)</f>
        <v/>
      </c>
    </row>
    <row r="215" ht="11.65" customFormat="1" customHeight="1" s="476">
      <c r="A215" s="490" t="inlineStr">
        <is>
          <t>Décembre</t>
        </is>
      </c>
      <c r="B215" s="366">
        <f>IF(DONNÉES!DK55="","",DONNÉES!DK55)</f>
        <v/>
      </c>
      <c r="C215" s="495">
        <f>IF(TRDJEANCLO[[#This Row],[2024]]="","",DONNÉES!DL55)</f>
        <v/>
      </c>
      <c r="D215" s="369">
        <f>IF(TRDJEANCLO[[#This Row],[2024]]="","",DONNÉES!DK135)</f>
        <v/>
      </c>
      <c r="E215" s="500">
        <f>IF(TRDJEANCLO[[#This Row],[2024]]="","",DONNÉES!DL135)</f>
        <v/>
      </c>
      <c r="F215" s="366">
        <f>IF(TRDJEANCLO[[#This Row],[2024]]="","",DONNÉES!DK71)</f>
        <v/>
      </c>
      <c r="G215" s="495">
        <f>IF(TRDJEANCLO[[#This Row],[2024]]="","",DONNÉES!DL71)</f>
        <v/>
      </c>
      <c r="H215" s="369">
        <f>IF(TRDJEANCLO[[#This Row],[2024]]="","",DONNÉES!DK151)</f>
        <v/>
      </c>
      <c r="I215" s="500">
        <f>IF(TRDJEANCLO[[#This Row],[2024]]="","",DONNÉES!DL151)</f>
        <v/>
      </c>
      <c r="J215" s="369">
        <f>IF(TRDJEANCLO[[#This Row],[2024]]="","",DONNÉES!DK87)</f>
        <v/>
      </c>
      <c r="K215" s="501">
        <f>IF(TRDJEANCLO[[#This Row],[2024]]="","",DONNÉES!DL87)</f>
        <v/>
      </c>
      <c r="L215" s="369">
        <f>IF(TRDJEANCLO[[#This Row],[2024]]="","",DONNÉES!DK167)</f>
        <v/>
      </c>
      <c r="M215" s="500">
        <f>IF(TRDJEANCLO[[#This Row],[2024]]="","",DONNÉES!DL167)</f>
        <v/>
      </c>
      <c r="N215" s="369">
        <f>IF(TRDJEANCLO[[#This Row],[2024]]="","",DONNÉES!DK103)</f>
        <v/>
      </c>
      <c r="O215" s="501">
        <f>IF(TRDJEANCLO[[#This Row],[2024]]="","",DONNÉES!DL103)</f>
        <v/>
      </c>
      <c r="P215" s="369">
        <f>IF(TRDJEANCLO[[#This Row],[2024]]="","",DONNÉES!DK183)</f>
        <v/>
      </c>
      <c r="Q215" s="502">
        <f>IF(TRDJEANCLO[[#This Row],[2024]]="","",DONNÉES!DL183)</f>
        <v/>
      </c>
      <c r="R215" s="498" t="n"/>
      <c r="S215" s="369">
        <f>IF(TRDJEANCLO[[#This Row],[2024]]="","",DONNÉES!DK119)</f>
        <v/>
      </c>
      <c r="T215" s="501">
        <f>IF(TRDJEANCLO[[#This Row],[2024]]="","",DONNÉES!DL119)</f>
        <v/>
      </c>
      <c r="U215" s="369">
        <f>IF(TRDJEANCLO[[#This Row],[2024]]="","",DONNÉES!DK199)</f>
        <v/>
      </c>
      <c r="V215" s="369">
        <f>IF(TRDJEANCLO[[#This Row],[2024]]="","",DONNÉES!DL199)</f>
        <v/>
      </c>
    </row>
    <row r="216" ht="11.65" customFormat="1" customHeight="1" s="476">
      <c r="A216" s="474" t="n"/>
      <c r="B216" s="369" t="n"/>
      <c r="C216" s="369" t="n"/>
      <c r="D216" s="369" t="n"/>
      <c r="E216" s="369" t="n"/>
      <c r="F216" s="369" t="n"/>
      <c r="G216" s="369" t="n"/>
      <c r="H216" s="369" t="n"/>
      <c r="I216" s="369" t="n"/>
      <c r="J216" s="369" t="n"/>
      <c r="K216" s="369" t="n"/>
      <c r="L216" s="369" t="n"/>
      <c r="M216" s="369" t="n"/>
      <c r="N216" s="369" t="n"/>
      <c r="O216" s="369" t="n"/>
      <c r="P216" s="369" t="n"/>
      <c r="Q216" s="502" t="n"/>
      <c r="R216" s="498" t="n"/>
      <c r="S216" s="369" t="n"/>
      <c r="T216" s="369" t="n"/>
      <c r="U216" s="369" t="n"/>
      <c r="V216" s="369" t="n"/>
    </row>
    <row r="217" ht="14.65" customFormat="1" customHeight="1" s="476">
      <c r="A217" s="505" t="n"/>
      <c r="B217" s="506" t="inlineStr">
        <is>
          <t>Sur place</t>
        </is>
      </c>
      <c r="C217" s="487" t="n"/>
      <c r="D217" s="487" t="n"/>
      <c r="E217" s="488" t="n"/>
      <c r="F217" s="506" t="inlineStr">
        <is>
          <t>A emporter</t>
        </is>
      </c>
      <c r="G217" s="487" t="n"/>
      <c r="H217" s="487" t="n"/>
      <c r="I217" s="488" t="n"/>
      <c r="J217" s="506" t="inlineStr">
        <is>
          <t>Mc Drive</t>
        </is>
      </c>
      <c r="K217" s="487" t="n"/>
      <c r="L217" s="487" t="n"/>
      <c r="M217" s="488" t="n"/>
      <c r="N217" s="507" t="inlineStr">
        <is>
          <t>Kiosque</t>
        </is>
      </c>
      <c r="O217" s="487" t="n"/>
      <c r="P217" s="487" t="n"/>
      <c r="Q217" s="487" t="n"/>
      <c r="R217" s="498" t="n"/>
      <c r="S217" s="507" t="inlineStr">
        <is>
          <t>Total</t>
        </is>
      </c>
      <c r="T217" s="487" t="n"/>
      <c r="U217" s="487" t="n"/>
      <c r="V217" s="487" t="n"/>
    </row>
    <row r="218" ht="28.9" customHeight="1" s="161">
      <c r="A218" s="490" t="inlineStr">
        <is>
          <t>THOMAS</t>
        </is>
      </c>
      <c r="B218" s="491" t="inlineStr">
        <is>
          <t>2024</t>
        </is>
      </c>
      <c r="C218" s="492" t="inlineStr">
        <is>
          <t>2023</t>
        </is>
      </c>
      <c r="D218" s="491" t="inlineStr">
        <is>
          <t>2024 cumul</t>
        </is>
      </c>
      <c r="E218" s="493" t="inlineStr">
        <is>
          <t>2023 cumul</t>
        </is>
      </c>
      <c r="F218" s="211" t="inlineStr">
        <is>
          <t xml:space="preserve">2024  </t>
        </is>
      </c>
      <c r="G218" s="492" t="inlineStr">
        <is>
          <t xml:space="preserve">2023  </t>
        </is>
      </c>
      <c r="H218" s="491" t="inlineStr">
        <is>
          <t xml:space="preserve">2024 cumul </t>
        </is>
      </c>
      <c r="I218" s="493" t="inlineStr">
        <is>
          <t xml:space="preserve">2023 cumul </t>
        </is>
      </c>
      <c r="J218" s="491" t="inlineStr">
        <is>
          <t xml:space="preserve">2024   </t>
        </is>
      </c>
      <c r="K218" s="492" t="inlineStr">
        <is>
          <t xml:space="preserve">2023   </t>
        </is>
      </c>
      <c r="L218" s="491" t="inlineStr">
        <is>
          <t xml:space="preserve">2024 cumul   </t>
        </is>
      </c>
      <c r="M218" s="493" t="inlineStr">
        <is>
          <t xml:space="preserve">2023 cumul   </t>
        </is>
      </c>
      <c r="N218" s="491" t="inlineStr">
        <is>
          <t xml:space="preserve">2024    </t>
        </is>
      </c>
      <c r="O218" s="492" t="inlineStr">
        <is>
          <t xml:space="preserve">2023    </t>
        </is>
      </c>
      <c r="P218" s="491" t="inlineStr">
        <is>
          <t xml:space="preserve">2024 cumul    </t>
        </is>
      </c>
      <c r="Q218" s="94" t="inlineStr">
        <is>
          <t xml:space="preserve">2023 cumul    </t>
        </is>
      </c>
      <c r="S218" s="491" t="inlineStr">
        <is>
          <t>2024</t>
        </is>
      </c>
      <c r="T218" s="492" t="inlineStr">
        <is>
          <t>2023</t>
        </is>
      </c>
      <c r="U218" s="491" t="inlineStr">
        <is>
          <t>2024 cumul</t>
        </is>
      </c>
      <c r="V218" s="493" t="inlineStr">
        <is>
          <t>2023 cumul</t>
        </is>
      </c>
    </row>
    <row r="219" ht="11.65" customHeight="1" s="161">
      <c r="A219" s="494" t="inlineStr">
        <is>
          <t>Janvier</t>
        </is>
      </c>
      <c r="B219" s="366">
        <f>IF(DONNÉES!DS44="","",DONNÉES!DS44)</f>
        <v/>
      </c>
      <c r="C219" s="495">
        <f>IF(TRDTHOMAS[[#This Row],[2024]]="","",DONNÉES!DT44)</f>
        <v/>
      </c>
      <c r="D219" s="366">
        <f>IF(TRDTHOMAS[[#This Row],[2024]]="","",DONNÉES!DS124)</f>
        <v/>
      </c>
      <c r="E219" s="496">
        <f>IF(TRDTHOMAS[[#This Row],[2024]]="","",DONNÉES!DT124)</f>
        <v/>
      </c>
      <c r="F219" s="366">
        <f>IF(TRDTHOMAS[[#This Row],[2024]]="","",DONNÉES!DS60)</f>
        <v/>
      </c>
      <c r="G219" s="495">
        <f>IF(TRDTHOMAS[[#This Row],[2024]]="","",DONNÉES!DT60)</f>
        <v/>
      </c>
      <c r="H219" s="366">
        <f>IF(TRDTHOMAS[[#This Row],[2024]]="","",DONNÉES!DS140)</f>
        <v/>
      </c>
      <c r="I219" s="496">
        <f>IF(TRDTHOMAS[[#This Row],[2024]]="","",DONNÉES!DT140)</f>
        <v/>
      </c>
      <c r="J219" s="366">
        <f>IF(TRDTHOMAS[[#This Row],[2024]]="","",DONNÉES!DS76)</f>
        <v/>
      </c>
      <c r="K219" s="495">
        <f>IF(TRDTHOMAS[[#This Row],[2024]]="","",DONNÉES!DT76)</f>
        <v/>
      </c>
      <c r="L219" s="366">
        <f>IF(TRDTHOMAS[[#This Row],[2024]]="","",DONNÉES!DS156)</f>
        <v/>
      </c>
      <c r="M219" s="496">
        <f>IF(TRDTHOMAS[[#This Row],[2024]]="","",DONNÉES!DT156)</f>
        <v/>
      </c>
      <c r="N219" s="366">
        <f>IF(TRDTHOMAS[[#This Row],[2024]]="","",DONNÉES!DS92)</f>
        <v/>
      </c>
      <c r="O219" s="495">
        <f>IF(TRDTHOMAS[[#This Row],[2024]]="","",DONNÉES!DT92)</f>
        <v/>
      </c>
      <c r="P219" s="366">
        <f>IF(TRDTHOMAS[[#This Row],[2024]]="","",DONNÉES!DS172)</f>
        <v/>
      </c>
      <c r="Q219" s="497">
        <f>IF(TRDTHOMAS[[#This Row],[2024]]="","",DONNÉES!DT172)</f>
        <v/>
      </c>
      <c r="S219" s="366">
        <f>IF(TRDTHOMAS[[#This Row],[2024]]="","",DONNÉES!DS108)</f>
        <v/>
      </c>
      <c r="T219" s="495">
        <f>IF(TRDTHOMAS[[#This Row],[2024]]="","",DONNÉES!DT108)</f>
        <v/>
      </c>
      <c r="U219" s="366">
        <f>IF(TRDTHOMAS[[#This Row],[2024]]="","",DONNÉES!DS188)</f>
        <v/>
      </c>
      <c r="V219" s="366">
        <f>IF(TRDTHOMAS[[#This Row],[2024]]="","",DONNÉES!DT188)</f>
        <v/>
      </c>
    </row>
    <row r="220" ht="11.65" customFormat="1" customHeight="1" s="476">
      <c r="A220" s="494" t="inlineStr">
        <is>
          <t>Février</t>
        </is>
      </c>
      <c r="B220" s="366">
        <f>IF(DONNÉES!DS45="","",DONNÉES!DS45)</f>
        <v/>
      </c>
      <c r="C220" s="495">
        <f>IF(TRDTHOMAS[[#This Row],[2024]]="","",DONNÉES!DT45)</f>
        <v/>
      </c>
      <c r="D220" s="366">
        <f>IF(TRDTHOMAS[[#This Row],[2024]]="","",DONNÉES!DS125)</f>
        <v/>
      </c>
      <c r="E220" s="496">
        <f>IF(TRDTHOMAS[[#This Row],[2024]]="","",DONNÉES!DT125)</f>
        <v/>
      </c>
      <c r="F220" s="366">
        <f>IF(TRDTHOMAS[[#This Row],[2024]]="","",DONNÉES!DS61)</f>
        <v/>
      </c>
      <c r="G220" s="495">
        <f>IF(TRDTHOMAS[[#This Row],[2024]]="","",DONNÉES!DT61)</f>
        <v/>
      </c>
      <c r="H220" s="366">
        <f>IF(TRDTHOMAS[[#This Row],[2024]]="","",DONNÉES!DS141)</f>
        <v/>
      </c>
      <c r="I220" s="496">
        <f>IF(TRDTHOMAS[[#This Row],[2024]]="","",DONNÉES!DT141)</f>
        <v/>
      </c>
      <c r="J220" s="366">
        <f>IF(TRDTHOMAS[[#This Row],[2024]]="","",DONNÉES!DS77)</f>
        <v/>
      </c>
      <c r="K220" s="495">
        <f>IF(TRDTHOMAS[[#This Row],[2024]]="","",DONNÉES!DT77)</f>
        <v/>
      </c>
      <c r="L220" s="366">
        <f>IF(TRDTHOMAS[[#This Row],[2024]]="","",DONNÉES!DS157)</f>
        <v/>
      </c>
      <c r="M220" s="496">
        <f>IF(TRDTHOMAS[[#This Row],[2024]]="","",DONNÉES!DT157)</f>
        <v/>
      </c>
      <c r="N220" s="366">
        <f>IF(TRDTHOMAS[[#This Row],[2024]]="","",DONNÉES!DS93)</f>
        <v/>
      </c>
      <c r="O220" s="495">
        <f>IF(TRDTHOMAS[[#This Row],[2024]]="","",DONNÉES!DT93)</f>
        <v/>
      </c>
      <c r="P220" s="366">
        <f>IF(TRDTHOMAS[[#This Row],[2024]]="","",DONNÉES!DS173)</f>
        <v/>
      </c>
      <c r="Q220" s="497">
        <f>IF(TRDTHOMAS[[#This Row],[2024]]="","",DONNÉES!DT173)</f>
        <v/>
      </c>
      <c r="R220" s="498" t="n"/>
      <c r="S220" s="366">
        <f>IF(TRDTHOMAS[[#This Row],[2024]]="","",DONNÉES!DS109)</f>
        <v/>
      </c>
      <c r="T220" s="495">
        <f>IF(TRDTHOMAS[[#This Row],[2024]]="","",DONNÉES!DT109)</f>
        <v/>
      </c>
      <c r="U220" s="366">
        <f>IF(TRDTHOMAS[[#This Row],[2024]]="","",DONNÉES!DS189)</f>
        <v/>
      </c>
      <c r="V220" s="366">
        <f>IF(TRDTHOMAS[[#This Row],[2024]]="","",DONNÉES!DT189)</f>
        <v/>
      </c>
    </row>
    <row r="221" ht="11.65" customFormat="1" customHeight="1" s="476">
      <c r="A221" s="490" t="inlineStr">
        <is>
          <t>Mars</t>
        </is>
      </c>
      <c r="B221" s="366">
        <f>IF(DONNÉES!DS46="","",DONNÉES!DS46)</f>
        <v/>
      </c>
      <c r="C221" s="495">
        <f>IF(TRDTHOMAS[[#This Row],[2024]]="","",DONNÉES!DT46)</f>
        <v/>
      </c>
      <c r="D221" s="366">
        <f>IF(TRDTHOMAS[[#This Row],[2024]]="","",DONNÉES!DS126)</f>
        <v/>
      </c>
      <c r="E221" s="496">
        <f>IF(TRDTHOMAS[[#This Row],[2024]]="","",DONNÉES!DT126)</f>
        <v/>
      </c>
      <c r="F221" s="366">
        <f>IF(TRDTHOMAS[[#This Row],[2024]]="","",DONNÉES!DS62)</f>
        <v/>
      </c>
      <c r="G221" s="495">
        <f>IF(TRDTHOMAS[[#This Row],[2024]]="","",DONNÉES!DT62)</f>
        <v/>
      </c>
      <c r="H221" s="366">
        <f>IF(TRDTHOMAS[[#This Row],[2024]]="","",DONNÉES!DS142)</f>
        <v/>
      </c>
      <c r="I221" s="496">
        <f>IF(TRDTHOMAS[[#This Row],[2024]]="","",DONNÉES!DT142)</f>
        <v/>
      </c>
      <c r="J221" s="366">
        <f>IF(TRDTHOMAS[[#This Row],[2024]]="","",DONNÉES!DS78)</f>
        <v/>
      </c>
      <c r="K221" s="495">
        <f>IF(TRDTHOMAS[[#This Row],[2024]]="","",DONNÉES!DT78)</f>
        <v/>
      </c>
      <c r="L221" s="366">
        <f>IF(TRDTHOMAS[[#This Row],[2024]]="","",DONNÉES!DS158)</f>
        <v/>
      </c>
      <c r="M221" s="496">
        <f>IF(TRDTHOMAS[[#This Row],[2024]]="","",DONNÉES!DT158)</f>
        <v/>
      </c>
      <c r="N221" s="366">
        <f>IF(TRDTHOMAS[[#This Row],[2024]]="","",DONNÉES!DS94)</f>
        <v/>
      </c>
      <c r="O221" s="495">
        <f>IF(TRDTHOMAS[[#This Row],[2024]]="","",DONNÉES!DT94)</f>
        <v/>
      </c>
      <c r="P221" s="366">
        <f>IF(TRDTHOMAS[[#This Row],[2024]]="","",DONNÉES!DS174)</f>
        <v/>
      </c>
      <c r="Q221" s="497">
        <f>IF(TRDTHOMAS[[#This Row],[2024]]="","",DONNÉES!DT174)</f>
        <v/>
      </c>
      <c r="R221" s="498" t="n"/>
      <c r="S221" s="366">
        <f>IF(TRDTHOMAS[[#This Row],[2024]]="","",DONNÉES!DS110)</f>
        <v/>
      </c>
      <c r="T221" s="495">
        <f>IF(TRDTHOMAS[[#This Row],[2024]]="","",DONNÉES!DT110)</f>
        <v/>
      </c>
      <c r="U221" s="366">
        <f>IF(TRDTHOMAS[[#This Row],[2024]]="","",DONNÉES!DS190)</f>
        <v/>
      </c>
      <c r="V221" s="366">
        <f>IF(TRDTHOMAS[[#This Row],[2024]]="","",DONNÉES!DT190)</f>
        <v/>
      </c>
    </row>
    <row r="222" ht="11.65" customFormat="1" customHeight="1" s="476">
      <c r="A222" s="494" t="inlineStr">
        <is>
          <t>Avril</t>
        </is>
      </c>
      <c r="B222" s="366">
        <f>IF(DONNÉES!DS47="","",DONNÉES!DS47)</f>
        <v/>
      </c>
      <c r="C222" s="495">
        <f>IF(TRDTHOMAS[[#This Row],[2024]]="","",DONNÉES!DT47)</f>
        <v/>
      </c>
      <c r="D222" s="366">
        <f>IF(TRDTHOMAS[[#This Row],[2024]]="","",DONNÉES!DS127)</f>
        <v/>
      </c>
      <c r="E222" s="496">
        <f>IF(TRDTHOMAS[[#This Row],[2024]]="","",DONNÉES!DT127)</f>
        <v/>
      </c>
      <c r="F222" s="366">
        <f>IF(TRDTHOMAS[[#This Row],[2024]]="","",DONNÉES!DS63)</f>
        <v/>
      </c>
      <c r="G222" s="495">
        <f>IF(TRDTHOMAS[[#This Row],[2024]]="","",DONNÉES!DT63)</f>
        <v/>
      </c>
      <c r="H222" s="366">
        <f>IF(TRDTHOMAS[[#This Row],[2024]]="","",DONNÉES!DS143)</f>
        <v/>
      </c>
      <c r="I222" s="496">
        <f>IF(TRDTHOMAS[[#This Row],[2024]]="","",DONNÉES!DT143)</f>
        <v/>
      </c>
      <c r="J222" s="366">
        <f>IF(TRDTHOMAS[[#This Row],[2024]]="","",DONNÉES!DS79)</f>
        <v/>
      </c>
      <c r="K222" s="495">
        <f>IF(TRDTHOMAS[[#This Row],[2024]]="","",DONNÉES!DT79)</f>
        <v/>
      </c>
      <c r="L222" s="366">
        <f>IF(TRDTHOMAS[[#This Row],[2024]]="","",DONNÉES!DS159)</f>
        <v/>
      </c>
      <c r="M222" s="496">
        <f>IF(TRDTHOMAS[[#This Row],[2024]]="","",DONNÉES!DT159)</f>
        <v/>
      </c>
      <c r="N222" s="366">
        <f>IF(TRDTHOMAS[[#This Row],[2024]]="","",DONNÉES!DS95)</f>
        <v/>
      </c>
      <c r="O222" s="495">
        <f>IF(TRDTHOMAS[[#This Row],[2024]]="","",DONNÉES!DT95)</f>
        <v/>
      </c>
      <c r="P222" s="366">
        <f>IF(TRDTHOMAS[[#This Row],[2024]]="","",DONNÉES!DS175)</f>
        <v/>
      </c>
      <c r="Q222" s="497">
        <f>IF(TRDTHOMAS[[#This Row],[2024]]="","",DONNÉES!DT175)</f>
        <v/>
      </c>
      <c r="R222" s="498" t="n"/>
      <c r="S222" s="366">
        <f>IF(TRDTHOMAS[[#This Row],[2024]]="","",DONNÉES!DS111)</f>
        <v/>
      </c>
      <c r="T222" s="495">
        <f>IF(TRDTHOMAS[[#This Row],[2024]]="","",DONNÉES!DT111)</f>
        <v/>
      </c>
      <c r="U222" s="366">
        <f>IF(TRDTHOMAS[[#This Row],[2024]]="","",DONNÉES!DS191)</f>
        <v/>
      </c>
      <c r="V222" s="366">
        <f>IF(TRDTHOMAS[[#This Row],[2024]]="","",DONNÉES!DT191)</f>
        <v/>
      </c>
    </row>
    <row r="223" ht="11.65" customHeight="1" s="161">
      <c r="A223" s="490" t="inlineStr">
        <is>
          <t>Mai</t>
        </is>
      </c>
      <c r="B223" s="366">
        <f>IF(DONNÉES!DS48="","",DONNÉES!DS48)</f>
        <v/>
      </c>
      <c r="C223" s="495">
        <f>IF(TRDTHOMAS[[#This Row],[2024]]="","",DONNÉES!DT48)</f>
        <v/>
      </c>
      <c r="D223" s="366">
        <f>IF(TRDTHOMAS[[#This Row],[2024]]="","",DONNÉES!DS128)</f>
        <v/>
      </c>
      <c r="E223" s="496">
        <f>IF(TRDTHOMAS[[#This Row],[2024]]="","",DONNÉES!DT128)</f>
        <v/>
      </c>
      <c r="F223" s="366">
        <f>IF(TRDTHOMAS[[#This Row],[2024]]="","",DONNÉES!DS64)</f>
        <v/>
      </c>
      <c r="G223" s="495">
        <f>IF(TRDTHOMAS[[#This Row],[2024]]="","",DONNÉES!DT64)</f>
        <v/>
      </c>
      <c r="H223" s="366">
        <f>IF(TRDTHOMAS[[#This Row],[2024]]="","",DONNÉES!DS144)</f>
        <v/>
      </c>
      <c r="I223" s="496">
        <f>IF(TRDTHOMAS[[#This Row],[2024]]="","",DONNÉES!DT144)</f>
        <v/>
      </c>
      <c r="J223" s="366">
        <f>IF(TRDTHOMAS[[#This Row],[2024]]="","",DONNÉES!DS80)</f>
        <v/>
      </c>
      <c r="K223" s="495">
        <f>IF(TRDTHOMAS[[#This Row],[2024]]="","",DONNÉES!DT80)</f>
        <v/>
      </c>
      <c r="L223" s="366">
        <f>IF(TRDTHOMAS[[#This Row],[2024]]="","",DONNÉES!DS160)</f>
        <v/>
      </c>
      <c r="M223" s="496">
        <f>IF(TRDTHOMAS[[#This Row],[2024]]="","",DONNÉES!DT160)</f>
        <v/>
      </c>
      <c r="N223" s="366">
        <f>IF(TRDTHOMAS[[#This Row],[2024]]="","",DONNÉES!DS96)</f>
        <v/>
      </c>
      <c r="O223" s="495">
        <f>IF(TRDTHOMAS[[#This Row],[2024]]="","",DONNÉES!DT96)</f>
        <v/>
      </c>
      <c r="P223" s="366">
        <f>IF(TRDTHOMAS[[#This Row],[2024]]="","",DONNÉES!DS176)</f>
        <v/>
      </c>
      <c r="Q223" s="497">
        <f>IF(TRDTHOMAS[[#This Row],[2024]]="","",DONNÉES!DT176)</f>
        <v/>
      </c>
      <c r="R223" s="499" t="n"/>
      <c r="S223" s="366">
        <f>IF(TRDTHOMAS[[#This Row],[2024]]="","",DONNÉES!DS112)</f>
        <v/>
      </c>
      <c r="T223" s="495">
        <f>IF(TRDTHOMAS[[#This Row],[2024]]="","",DONNÉES!DT112)</f>
        <v/>
      </c>
      <c r="U223" s="366">
        <f>IF(TRDTHOMAS[[#This Row],[2024]]="","",DONNÉES!DS192)</f>
        <v/>
      </c>
      <c r="V223" s="366">
        <f>IF(TRDTHOMAS[[#This Row],[2024]]="","",DONNÉES!DT192)</f>
        <v/>
      </c>
    </row>
    <row r="224" ht="11.65" customHeight="1" s="161">
      <c r="A224" s="494" t="inlineStr">
        <is>
          <t>Juin</t>
        </is>
      </c>
      <c r="B224" s="366">
        <f>IF(DONNÉES!DS49="","",DONNÉES!DS49)</f>
        <v/>
      </c>
      <c r="C224" s="495">
        <f>IF(TRDTHOMAS[[#This Row],[2024]]="","",DONNÉES!DT49)</f>
        <v/>
      </c>
      <c r="D224" s="366">
        <f>IF(TRDTHOMAS[[#This Row],[2024]]="","",DONNÉES!DS129)</f>
        <v/>
      </c>
      <c r="E224" s="496">
        <f>IF(TRDTHOMAS[[#This Row],[2024]]="","",DONNÉES!DT129)</f>
        <v/>
      </c>
      <c r="F224" s="366">
        <f>IF(TRDTHOMAS[[#This Row],[2024]]="","",DONNÉES!DS65)</f>
        <v/>
      </c>
      <c r="G224" s="495">
        <f>IF(TRDTHOMAS[[#This Row],[2024]]="","",DONNÉES!DT65)</f>
        <v/>
      </c>
      <c r="H224" s="366">
        <f>IF(TRDTHOMAS[[#This Row],[2024]]="","",DONNÉES!DS145)</f>
        <v/>
      </c>
      <c r="I224" s="496">
        <f>IF(TRDTHOMAS[[#This Row],[2024]]="","",DONNÉES!DT145)</f>
        <v/>
      </c>
      <c r="J224" s="366">
        <f>IF(TRDTHOMAS[[#This Row],[2024]]="","",DONNÉES!DS81)</f>
        <v/>
      </c>
      <c r="K224" s="495">
        <f>IF(TRDTHOMAS[[#This Row],[2024]]="","",DONNÉES!DT81)</f>
        <v/>
      </c>
      <c r="L224" s="366">
        <f>IF(TRDTHOMAS[[#This Row],[2024]]="","",DONNÉES!DS161)</f>
        <v/>
      </c>
      <c r="M224" s="496">
        <f>IF(TRDTHOMAS[[#This Row],[2024]]="","",DONNÉES!DT161)</f>
        <v/>
      </c>
      <c r="N224" s="366">
        <f>IF(TRDTHOMAS[[#This Row],[2024]]="","",DONNÉES!DS97)</f>
        <v/>
      </c>
      <c r="O224" s="495">
        <f>IF(TRDTHOMAS[[#This Row],[2024]]="","",DONNÉES!DT97)</f>
        <v/>
      </c>
      <c r="P224" s="366">
        <f>IF(TRDTHOMAS[[#This Row],[2024]]="","",DONNÉES!DS177)</f>
        <v/>
      </c>
      <c r="Q224" s="497">
        <f>IF(TRDTHOMAS[[#This Row],[2024]]="","",DONNÉES!DT177)</f>
        <v/>
      </c>
      <c r="R224" s="499" t="n"/>
      <c r="S224" s="366">
        <f>IF(TRDTHOMAS[[#This Row],[2024]]="","",DONNÉES!DS113)</f>
        <v/>
      </c>
      <c r="T224" s="495">
        <f>IF(TRDTHOMAS[[#This Row],[2024]]="","",DONNÉES!DT113)</f>
        <v/>
      </c>
      <c r="U224" s="366">
        <f>IF(TRDTHOMAS[[#This Row],[2024]]="","",DONNÉES!DS193)</f>
        <v/>
      </c>
      <c r="V224" s="366">
        <f>IF(TRDTHOMAS[[#This Row],[2024]]="","",DONNÉES!DT193)</f>
        <v/>
      </c>
    </row>
    <row r="225" ht="11.65" customHeight="1" s="161">
      <c r="A225" s="490" t="inlineStr">
        <is>
          <t>Juillet</t>
        </is>
      </c>
      <c r="B225" s="366">
        <f>IF(DONNÉES!DS50="","",DONNÉES!DS50)</f>
        <v/>
      </c>
      <c r="C225" s="495">
        <f>IF(TRDTHOMAS[[#This Row],[2024]]="","",DONNÉES!DT50)</f>
        <v/>
      </c>
      <c r="D225" s="366">
        <f>IF(TRDTHOMAS[[#This Row],[2024]]="","",DONNÉES!DS130)</f>
        <v/>
      </c>
      <c r="E225" s="496">
        <f>IF(TRDTHOMAS[[#This Row],[2024]]="","",DONNÉES!DT130)</f>
        <v/>
      </c>
      <c r="F225" s="366">
        <f>IF(TRDTHOMAS[[#This Row],[2024]]="","",DONNÉES!DS66)</f>
        <v/>
      </c>
      <c r="G225" s="495">
        <f>IF(TRDTHOMAS[[#This Row],[2024]]="","",DONNÉES!DT66)</f>
        <v/>
      </c>
      <c r="H225" s="366">
        <f>IF(TRDTHOMAS[[#This Row],[2024]]="","",DONNÉES!DS146)</f>
        <v/>
      </c>
      <c r="I225" s="496">
        <f>IF(TRDTHOMAS[[#This Row],[2024]]="","",DONNÉES!DT146)</f>
        <v/>
      </c>
      <c r="J225" s="366">
        <f>IF(TRDTHOMAS[[#This Row],[2024]]="","",DONNÉES!DS82)</f>
        <v/>
      </c>
      <c r="K225" s="495">
        <f>IF(TRDTHOMAS[[#This Row],[2024]]="","",DONNÉES!DT82)</f>
        <v/>
      </c>
      <c r="L225" s="366">
        <f>IF(TRDTHOMAS[[#This Row],[2024]]="","",DONNÉES!DS162)</f>
        <v/>
      </c>
      <c r="M225" s="496">
        <f>IF(TRDTHOMAS[[#This Row],[2024]]="","",DONNÉES!DT162)</f>
        <v/>
      </c>
      <c r="N225" s="366">
        <f>IF(TRDTHOMAS[[#This Row],[2024]]="","",DONNÉES!DS98)</f>
        <v/>
      </c>
      <c r="O225" s="495">
        <f>IF(TRDTHOMAS[[#This Row],[2024]]="","",DONNÉES!DT98)</f>
        <v/>
      </c>
      <c r="P225" s="366">
        <f>IF(TRDTHOMAS[[#This Row],[2024]]="","",DONNÉES!DS178)</f>
        <v/>
      </c>
      <c r="Q225" s="497">
        <f>IF(TRDTHOMAS[[#This Row],[2024]]="","",DONNÉES!DT178)</f>
        <v/>
      </c>
      <c r="R225" s="499" t="n"/>
      <c r="S225" s="366">
        <f>IF(TRDTHOMAS[[#This Row],[2024]]="","",DONNÉES!DS114)</f>
        <v/>
      </c>
      <c r="T225" s="495">
        <f>IF(TRDTHOMAS[[#This Row],[2024]]="","",DONNÉES!DT114)</f>
        <v/>
      </c>
      <c r="U225" s="366">
        <f>IF(TRDTHOMAS[[#This Row],[2024]]="","",DONNÉES!DS194)</f>
        <v/>
      </c>
      <c r="V225" s="366">
        <f>IF(TRDTHOMAS[[#This Row],[2024]]="","",DONNÉES!DT194)</f>
        <v/>
      </c>
    </row>
    <row r="226" ht="11.65" customHeight="1" s="161">
      <c r="A226" s="494" t="inlineStr">
        <is>
          <t>Août</t>
        </is>
      </c>
      <c r="B226" s="366">
        <f>IF(DONNÉES!DS51="","",DONNÉES!DS51)</f>
        <v/>
      </c>
      <c r="C226" s="495">
        <f>IF(TRDTHOMAS[[#This Row],[2024]]="","",DONNÉES!DT51)</f>
        <v/>
      </c>
      <c r="D226" s="366">
        <f>IF(TRDTHOMAS[[#This Row],[2024]]="","",DONNÉES!DS131)</f>
        <v/>
      </c>
      <c r="E226" s="496">
        <f>IF(TRDTHOMAS[[#This Row],[2024]]="","",DONNÉES!DT131)</f>
        <v/>
      </c>
      <c r="F226" s="366">
        <f>IF(TRDTHOMAS[[#This Row],[2024]]="","",DONNÉES!DS67)</f>
        <v/>
      </c>
      <c r="G226" s="495">
        <f>IF(TRDTHOMAS[[#This Row],[2024]]="","",DONNÉES!DT67)</f>
        <v/>
      </c>
      <c r="H226" s="366">
        <f>IF(TRDTHOMAS[[#This Row],[2024]]="","",DONNÉES!DS147)</f>
        <v/>
      </c>
      <c r="I226" s="496">
        <f>IF(TRDTHOMAS[[#This Row],[2024]]="","",DONNÉES!DT147)</f>
        <v/>
      </c>
      <c r="J226" s="366">
        <f>IF(TRDTHOMAS[[#This Row],[2024]]="","",DONNÉES!DS83)</f>
        <v/>
      </c>
      <c r="K226" s="495">
        <f>IF(TRDTHOMAS[[#This Row],[2024]]="","",DONNÉES!DT83)</f>
        <v/>
      </c>
      <c r="L226" s="366">
        <f>IF(TRDTHOMAS[[#This Row],[2024]]="","",DONNÉES!DS163)</f>
        <v/>
      </c>
      <c r="M226" s="496">
        <f>IF(TRDTHOMAS[[#This Row],[2024]]="","",DONNÉES!DT163)</f>
        <v/>
      </c>
      <c r="N226" s="366">
        <f>IF(TRDTHOMAS[[#This Row],[2024]]="","",DONNÉES!DS99)</f>
        <v/>
      </c>
      <c r="O226" s="495">
        <f>IF(TRDTHOMAS[[#This Row],[2024]]="","",DONNÉES!DT99)</f>
        <v/>
      </c>
      <c r="P226" s="366">
        <f>IF(TRDTHOMAS[[#This Row],[2024]]="","",DONNÉES!DS179)</f>
        <v/>
      </c>
      <c r="Q226" s="497">
        <f>IF(TRDTHOMAS[[#This Row],[2024]]="","",DONNÉES!DT179)</f>
        <v/>
      </c>
      <c r="R226" s="499" t="n"/>
      <c r="S226" s="366">
        <f>IF(TRDTHOMAS[[#This Row],[2024]]="","",DONNÉES!DS115)</f>
        <v/>
      </c>
      <c r="T226" s="495">
        <f>IF(TRDTHOMAS[[#This Row],[2024]]="","",DONNÉES!DT115)</f>
        <v/>
      </c>
      <c r="U226" s="366">
        <f>IF(TRDTHOMAS[[#This Row],[2024]]="","",DONNÉES!DS195)</f>
        <v/>
      </c>
      <c r="V226" s="366">
        <f>IF(TRDTHOMAS[[#This Row],[2024]]="","",DONNÉES!DT195)</f>
        <v/>
      </c>
    </row>
    <row r="227" ht="11.65" customHeight="1" s="161">
      <c r="A227" s="490" t="inlineStr">
        <is>
          <t>Septembre</t>
        </is>
      </c>
      <c r="B227" s="366">
        <f>IF(DONNÉES!DS52="","",DONNÉES!DS52)</f>
        <v/>
      </c>
      <c r="C227" s="495">
        <f>IF(TRDTHOMAS[[#This Row],[2024]]="","",DONNÉES!DT52)</f>
        <v/>
      </c>
      <c r="D227" s="366">
        <f>IF(TRDTHOMAS[[#This Row],[2024]]="","",DONNÉES!DS132)</f>
        <v/>
      </c>
      <c r="E227" s="496">
        <f>IF(TRDTHOMAS[[#This Row],[2024]]="","",DONNÉES!DT132)</f>
        <v/>
      </c>
      <c r="F227" s="366">
        <f>IF(TRDTHOMAS[[#This Row],[2024]]="","",DONNÉES!DS68)</f>
        <v/>
      </c>
      <c r="G227" s="495">
        <f>IF(TRDTHOMAS[[#This Row],[2024]]="","",DONNÉES!DT68)</f>
        <v/>
      </c>
      <c r="H227" s="366">
        <f>IF(TRDTHOMAS[[#This Row],[2024]]="","",DONNÉES!DS148)</f>
        <v/>
      </c>
      <c r="I227" s="496">
        <f>IF(TRDTHOMAS[[#This Row],[2024]]="","",DONNÉES!DT148)</f>
        <v/>
      </c>
      <c r="J227" s="366">
        <f>IF(TRDTHOMAS[[#This Row],[2024]]="","",DONNÉES!DS84)</f>
        <v/>
      </c>
      <c r="K227" s="495">
        <f>IF(TRDTHOMAS[[#This Row],[2024]]="","",DONNÉES!DT84)</f>
        <v/>
      </c>
      <c r="L227" s="366">
        <f>IF(TRDTHOMAS[[#This Row],[2024]]="","",DONNÉES!DS164)</f>
        <v/>
      </c>
      <c r="M227" s="496">
        <f>IF(TRDTHOMAS[[#This Row],[2024]]="","",DONNÉES!DT164)</f>
        <v/>
      </c>
      <c r="N227" s="366">
        <f>IF(TRDTHOMAS[[#This Row],[2024]]="","",DONNÉES!DS100)</f>
        <v/>
      </c>
      <c r="O227" s="495">
        <f>IF(TRDTHOMAS[[#This Row],[2024]]="","",DONNÉES!DT100)</f>
        <v/>
      </c>
      <c r="P227" s="366">
        <f>IF(TRDTHOMAS[[#This Row],[2024]]="","",DONNÉES!DS180)</f>
        <v/>
      </c>
      <c r="Q227" s="497">
        <f>IF(TRDTHOMAS[[#This Row],[2024]]="","",DONNÉES!DT180)</f>
        <v/>
      </c>
      <c r="R227" s="499" t="n"/>
      <c r="S227" s="366">
        <f>IF(TRDTHOMAS[[#This Row],[2024]]="","",DONNÉES!DS116)</f>
        <v/>
      </c>
      <c r="T227" s="495">
        <f>IF(TRDTHOMAS[[#This Row],[2024]]="","",DONNÉES!DT116)</f>
        <v/>
      </c>
      <c r="U227" s="366">
        <f>IF(TRDTHOMAS[[#This Row],[2024]]="","",DONNÉES!DS196)</f>
        <v/>
      </c>
      <c r="V227" s="366">
        <f>IF(TRDTHOMAS[[#This Row],[2024]]="","",DONNÉES!DT196)</f>
        <v/>
      </c>
    </row>
    <row r="228" ht="11.65" customHeight="1" s="161">
      <c r="A228" s="494" t="inlineStr">
        <is>
          <t>Octobre</t>
        </is>
      </c>
      <c r="B228" s="366">
        <f>IF(DONNÉES!DS53="","",DONNÉES!DS53)</f>
        <v/>
      </c>
      <c r="C228" s="495">
        <f>IF(TRDTHOMAS[[#This Row],[2024]]="","",DONNÉES!DT53)</f>
        <v/>
      </c>
      <c r="D228" s="366">
        <f>IF(TRDTHOMAS[[#This Row],[2024]]="","",DONNÉES!DS133)</f>
        <v/>
      </c>
      <c r="E228" s="496">
        <f>IF(TRDTHOMAS[[#This Row],[2024]]="","",DONNÉES!DT133)</f>
        <v/>
      </c>
      <c r="F228" s="366">
        <f>IF(TRDTHOMAS[[#This Row],[2024]]="","",DONNÉES!DS69)</f>
        <v/>
      </c>
      <c r="G228" s="495">
        <f>IF(TRDTHOMAS[[#This Row],[2024]]="","",DONNÉES!DT69)</f>
        <v/>
      </c>
      <c r="H228" s="366">
        <f>IF(TRDTHOMAS[[#This Row],[2024]]="","",DONNÉES!DS149)</f>
        <v/>
      </c>
      <c r="I228" s="496">
        <f>IF(TRDTHOMAS[[#This Row],[2024]]="","",DONNÉES!DT149)</f>
        <v/>
      </c>
      <c r="J228" s="366">
        <f>IF(TRDTHOMAS[[#This Row],[2024]]="","",DONNÉES!DS85)</f>
        <v/>
      </c>
      <c r="K228" s="495">
        <f>IF(TRDTHOMAS[[#This Row],[2024]]="","",DONNÉES!DT85)</f>
        <v/>
      </c>
      <c r="L228" s="366">
        <f>IF(TRDTHOMAS[[#This Row],[2024]]="","",DONNÉES!DS165)</f>
        <v/>
      </c>
      <c r="M228" s="496">
        <f>IF(TRDTHOMAS[[#This Row],[2024]]="","",DONNÉES!DT165)</f>
        <v/>
      </c>
      <c r="N228" s="366">
        <f>IF(TRDTHOMAS[[#This Row],[2024]]="","",DONNÉES!DS101)</f>
        <v/>
      </c>
      <c r="O228" s="495">
        <f>IF(TRDTHOMAS[[#This Row],[2024]]="","",DONNÉES!DT101)</f>
        <v/>
      </c>
      <c r="P228" s="366">
        <f>IF(TRDTHOMAS[[#This Row],[2024]]="","",DONNÉES!DS181)</f>
        <v/>
      </c>
      <c r="Q228" s="497">
        <f>IF(TRDTHOMAS[[#This Row],[2024]]="","",DONNÉES!DT181)</f>
        <v/>
      </c>
      <c r="R228" s="503" t="n"/>
      <c r="S228" s="366">
        <f>IF(TRDTHOMAS[[#This Row],[2024]]="","",DONNÉES!DS117)</f>
        <v/>
      </c>
      <c r="T228" s="495">
        <f>IF(TRDTHOMAS[[#This Row],[2024]]="","",DONNÉES!DT117)</f>
        <v/>
      </c>
      <c r="U228" s="366">
        <f>IF(TRDTHOMAS[[#This Row],[2024]]="","",DONNÉES!DS197)</f>
        <v/>
      </c>
      <c r="V228" s="366">
        <f>IF(TRDTHOMAS[[#This Row],[2024]]="","",DONNÉES!DT197)</f>
        <v/>
      </c>
    </row>
    <row r="229" ht="11.65" customHeight="1" s="161">
      <c r="A229" s="490" t="inlineStr">
        <is>
          <t>Novembre</t>
        </is>
      </c>
      <c r="B229" s="366">
        <f>IF(DONNÉES!DS54="","",DONNÉES!DS54)</f>
        <v/>
      </c>
      <c r="C229" s="495">
        <f>IF(TRDTHOMAS[[#This Row],[2024]]="","",DONNÉES!DT54)</f>
        <v/>
      </c>
      <c r="D229" s="366">
        <f>IF(TRDTHOMAS[[#This Row],[2024]]="","",DONNÉES!DS134)</f>
        <v/>
      </c>
      <c r="E229" s="496">
        <f>IF(TRDTHOMAS[[#This Row],[2024]]="","",DONNÉES!DT134)</f>
        <v/>
      </c>
      <c r="F229" s="366">
        <f>IF(TRDTHOMAS[[#This Row],[2024]]="","",DONNÉES!DS70)</f>
        <v/>
      </c>
      <c r="G229" s="495">
        <f>IF(TRDTHOMAS[[#This Row],[2024]]="","",DONNÉES!DT70)</f>
        <v/>
      </c>
      <c r="H229" s="366">
        <f>IF(TRDTHOMAS[[#This Row],[2024]]="","",DONNÉES!DS150)</f>
        <v/>
      </c>
      <c r="I229" s="496">
        <f>IF(TRDTHOMAS[[#This Row],[2024]]="","",DONNÉES!DT150)</f>
        <v/>
      </c>
      <c r="J229" s="366">
        <f>IF(TRDTHOMAS[[#This Row],[2024]]="","",DONNÉES!DS86)</f>
        <v/>
      </c>
      <c r="K229" s="495">
        <f>IF(TRDTHOMAS[[#This Row],[2024]]="","",DONNÉES!DT86)</f>
        <v/>
      </c>
      <c r="L229" s="366">
        <f>IF(TRDTHOMAS[[#This Row],[2024]]="","",DONNÉES!DS166)</f>
        <v/>
      </c>
      <c r="M229" s="496">
        <f>IF(TRDTHOMAS[[#This Row],[2024]]="","",DONNÉES!DT166)</f>
        <v/>
      </c>
      <c r="N229" s="366">
        <f>IF(TRDTHOMAS[[#This Row],[2024]]="","",DONNÉES!DS102)</f>
        <v/>
      </c>
      <c r="O229" s="495">
        <f>IF(TRDTHOMAS[[#This Row],[2024]]="","",DONNÉES!DT102)</f>
        <v/>
      </c>
      <c r="P229" s="366">
        <f>IF(TRDTHOMAS[[#This Row],[2024]]="","",DONNÉES!DS182)</f>
        <v/>
      </c>
      <c r="Q229" s="497">
        <f>IF(TRDTHOMAS[[#This Row],[2024]]="","",DONNÉES!DT182)</f>
        <v/>
      </c>
      <c r="R229" s="499" t="n"/>
      <c r="S229" s="366">
        <f>IF(TRDTHOMAS[[#This Row],[2024]]="","",DONNÉES!DS118)</f>
        <v/>
      </c>
      <c r="T229" s="495">
        <f>IF(TRDTHOMAS[[#This Row],[2024]]="","",DONNÉES!DT118)</f>
        <v/>
      </c>
      <c r="U229" s="366">
        <f>IF(TRDTHOMAS[[#This Row],[2024]]="","",DONNÉES!DS198)</f>
        <v/>
      </c>
      <c r="V229" s="366">
        <f>IF(TRDTHOMAS[[#This Row],[2024]]="","",DONNÉES!DT198)</f>
        <v/>
      </c>
    </row>
    <row r="230" ht="11.65" customFormat="1" customHeight="1" s="476">
      <c r="A230" s="490" t="inlineStr">
        <is>
          <t>Décembre</t>
        </is>
      </c>
      <c r="B230" s="366">
        <f>IF(DONNÉES!DS55="","",DONNÉES!DS55)</f>
        <v/>
      </c>
      <c r="C230" s="495">
        <f>IF(TRDTHOMAS[[#This Row],[2024]]="","",DONNÉES!DT55)</f>
        <v/>
      </c>
      <c r="D230" s="366">
        <f>IF(TRDTHOMAS[[#This Row],[2024]]="","",DONNÉES!DS135)</f>
        <v/>
      </c>
      <c r="E230" s="496">
        <f>IF(TRDTHOMAS[[#This Row],[2024]]="","",DONNÉES!DT135)</f>
        <v/>
      </c>
      <c r="F230" s="366">
        <f>IF(TRDTHOMAS[[#This Row],[2024]]="","",DONNÉES!DS71)</f>
        <v/>
      </c>
      <c r="G230" s="495">
        <f>IF(TRDTHOMAS[[#This Row],[2024]]="","",DONNÉES!DT71)</f>
        <v/>
      </c>
      <c r="H230" s="366">
        <f>IF(TRDTHOMAS[[#This Row],[2024]]="","",DONNÉES!DS151)</f>
        <v/>
      </c>
      <c r="I230" s="496">
        <f>IF(TRDTHOMAS[[#This Row],[2024]]="","",DONNÉES!DT151)</f>
        <v/>
      </c>
      <c r="J230" s="366">
        <f>IF(TRDTHOMAS[[#This Row],[2024]]="","",DONNÉES!DS87)</f>
        <v/>
      </c>
      <c r="K230" s="495">
        <f>IF(TRDTHOMAS[[#This Row],[2024]]="","",DONNÉES!DT87)</f>
        <v/>
      </c>
      <c r="L230" s="366">
        <f>IF(TRDTHOMAS[[#This Row],[2024]]="","",DONNÉES!DS167)</f>
        <v/>
      </c>
      <c r="M230" s="496">
        <f>IF(TRDTHOMAS[[#This Row],[2024]]="","",DONNÉES!DT167)</f>
        <v/>
      </c>
      <c r="N230" s="366">
        <f>IF(TRDTHOMAS[[#This Row],[2024]]="","",DONNÉES!DS103)</f>
        <v/>
      </c>
      <c r="O230" s="495">
        <f>IF(TRDTHOMAS[[#This Row],[2024]]="","",DONNÉES!DT103)</f>
        <v/>
      </c>
      <c r="P230" s="366">
        <f>IF(TRDTHOMAS[[#This Row],[2024]]="","",DONNÉES!DS183)</f>
        <v/>
      </c>
      <c r="Q230" s="497">
        <f>IF(TRDTHOMAS[[#This Row],[2024]]="","",DONNÉES!DT183)</f>
        <v/>
      </c>
      <c r="R230" s="498" t="n"/>
      <c r="S230" s="366">
        <f>IF(TRDTHOMAS[[#This Row],[2024]]="","",DONNÉES!DS119)</f>
        <v/>
      </c>
      <c r="T230" s="495">
        <f>IF(TRDTHOMAS[[#This Row],[2024]]="","",DONNÉES!DT119)</f>
        <v/>
      </c>
      <c r="U230" s="366">
        <f>IF(TRDTHOMAS[[#This Row],[2024]]="","",DONNÉES!DS199)</f>
        <v/>
      </c>
      <c r="V230" s="366">
        <f>IF(TRDTHOMAS[[#This Row],[2024]]="","",DONNÉES!DT199)</f>
        <v/>
      </c>
    </row>
    <row r="231" ht="11.65" customFormat="1" customHeight="1" s="476">
      <c r="A231" s="474" t="n"/>
      <c r="B231" s="369" t="n"/>
      <c r="C231" s="369" t="n"/>
      <c r="D231" s="369" t="n"/>
      <c r="E231" s="369" t="n"/>
      <c r="F231" s="369" t="n"/>
      <c r="G231" s="369" t="n"/>
      <c r="H231" s="369" t="n"/>
      <c r="I231" s="369" t="n"/>
      <c r="J231" s="369" t="n"/>
      <c r="K231" s="369" t="n"/>
      <c r="L231" s="369" t="n"/>
      <c r="M231" s="369" t="n"/>
      <c r="N231" s="369" t="n"/>
      <c r="O231" s="369" t="n"/>
      <c r="P231" s="369" t="n"/>
      <c r="Q231" s="502" t="n"/>
      <c r="R231" s="498" t="n"/>
      <c r="S231" s="369" t="n"/>
      <c r="T231" s="369" t="n"/>
      <c r="U231" s="369" t="n"/>
      <c r="V231" s="369" t="n"/>
    </row>
    <row r="232" ht="14.65" customFormat="1" customHeight="1" s="476">
      <c r="A232" s="505" t="n"/>
      <c r="B232" s="506" t="inlineStr">
        <is>
          <t>Sur place</t>
        </is>
      </c>
      <c r="C232" s="487" t="n"/>
      <c r="D232" s="487" t="n"/>
      <c r="E232" s="488" t="n"/>
      <c r="F232" s="506" t="inlineStr">
        <is>
          <t>A emporter</t>
        </is>
      </c>
      <c r="G232" s="487" t="n"/>
      <c r="H232" s="487" t="n"/>
      <c r="I232" s="488" t="n"/>
      <c r="J232" s="506" t="inlineStr">
        <is>
          <t>Mc Drive</t>
        </is>
      </c>
      <c r="K232" s="487" t="n"/>
      <c r="L232" s="487" t="n"/>
      <c r="M232" s="488" t="n"/>
      <c r="N232" s="507" t="inlineStr">
        <is>
          <t>Kiosque</t>
        </is>
      </c>
      <c r="O232" s="487" t="n"/>
      <c r="P232" s="487" t="n"/>
      <c r="Q232" s="487" t="n"/>
      <c r="R232" s="498" t="n"/>
      <c r="S232" s="507" t="inlineStr">
        <is>
          <t>Total</t>
        </is>
      </c>
      <c r="T232" s="487" t="n"/>
      <c r="U232" s="487" t="n"/>
      <c r="V232" s="487" t="n"/>
    </row>
    <row r="233" ht="28.9" customHeight="1" s="161">
      <c r="A233" s="490" t="inlineStr">
        <is>
          <t>CATALINA</t>
        </is>
      </c>
      <c r="B233" s="491" t="inlineStr">
        <is>
          <t>2024</t>
        </is>
      </c>
      <c r="C233" s="492" t="inlineStr">
        <is>
          <t>2023</t>
        </is>
      </c>
      <c r="D233" s="491" t="inlineStr">
        <is>
          <t>2024 cumul</t>
        </is>
      </c>
      <c r="E233" s="493" t="inlineStr">
        <is>
          <t>2023 cumul</t>
        </is>
      </c>
      <c r="F233" s="211" t="inlineStr">
        <is>
          <t xml:space="preserve">2024  </t>
        </is>
      </c>
      <c r="G233" s="492" t="inlineStr">
        <is>
          <t xml:space="preserve">2023  </t>
        </is>
      </c>
      <c r="H233" s="491" t="inlineStr">
        <is>
          <t xml:space="preserve">2024 cumul </t>
        </is>
      </c>
      <c r="I233" s="493" t="inlineStr">
        <is>
          <t xml:space="preserve">2023 cumul </t>
        </is>
      </c>
      <c r="J233" s="491" t="inlineStr">
        <is>
          <t xml:space="preserve">2024   </t>
        </is>
      </c>
      <c r="K233" s="492" t="inlineStr">
        <is>
          <t xml:space="preserve">2023   </t>
        </is>
      </c>
      <c r="L233" s="491" t="inlineStr">
        <is>
          <t xml:space="preserve">2024 cumul   </t>
        </is>
      </c>
      <c r="M233" s="493" t="inlineStr">
        <is>
          <t xml:space="preserve">2023 cumul   </t>
        </is>
      </c>
      <c r="N233" s="491" t="inlineStr">
        <is>
          <t xml:space="preserve">2024    </t>
        </is>
      </c>
      <c r="O233" s="492" t="inlineStr">
        <is>
          <t xml:space="preserve">2023    </t>
        </is>
      </c>
      <c r="P233" s="491" t="inlineStr">
        <is>
          <t xml:space="preserve">2024 cumul    </t>
        </is>
      </c>
      <c r="Q233" s="94" t="inlineStr">
        <is>
          <t xml:space="preserve">2023 cumul    </t>
        </is>
      </c>
      <c r="S233" s="491" t="inlineStr">
        <is>
          <t>2024</t>
        </is>
      </c>
      <c r="T233" s="492" t="inlineStr">
        <is>
          <t>2023</t>
        </is>
      </c>
      <c r="U233" s="491" t="inlineStr">
        <is>
          <t>2024 cumul</t>
        </is>
      </c>
      <c r="V233" s="493" t="inlineStr">
        <is>
          <t>2023 cumul</t>
        </is>
      </c>
    </row>
    <row r="234" ht="11.65" customHeight="1" s="161">
      <c r="A234" s="494" t="inlineStr">
        <is>
          <t>Janvier</t>
        </is>
      </c>
      <c r="B234" s="366">
        <f>IF(DONNÉES!EA44="","",DONNÉES!EA44)</f>
        <v/>
      </c>
      <c r="C234" s="495">
        <f>IF(TRDCAT[[#This Row],[2024]]="","",DONNÉES!EB44)</f>
        <v/>
      </c>
      <c r="D234" s="366">
        <f>IF(TRDCAT[[#This Row],[2024]]="","",DONNÉES!EA124)</f>
        <v/>
      </c>
      <c r="E234" s="496">
        <f>IF(TRDCAT[[#This Row],[2024]]="","",DONNÉES!EB124)</f>
        <v/>
      </c>
      <c r="F234" s="366">
        <f>IF(TRDCAT[[#This Row],[2024]]="","",DONNÉES!EA60)</f>
        <v/>
      </c>
      <c r="G234" s="495">
        <f>IF(TRDCAT[[#This Row],[2024]]="","",DONNÉES!EB60)</f>
        <v/>
      </c>
      <c r="H234" s="366">
        <f>IF(TRDCAT[[#This Row],[2024]]="","",DONNÉES!EA140)</f>
        <v/>
      </c>
      <c r="I234" s="496">
        <f>IF(TRDCAT[[#This Row],[2024]]="","",DONNÉES!EB140)</f>
        <v/>
      </c>
      <c r="J234" s="366">
        <f>IF(TRDCAT[[#This Row],[2024]]="","",DONNÉES!EA76)</f>
        <v/>
      </c>
      <c r="K234" s="495">
        <f>IF(TRDCAT[[#This Row],[2024]]="","",DONNÉES!EB76)</f>
        <v/>
      </c>
      <c r="L234" s="366">
        <f>IF(TRDCAT[[#This Row],[2024]]="","",DONNÉES!EA156)</f>
        <v/>
      </c>
      <c r="M234" s="496">
        <f>IF(TRDCAT[[#This Row],[2024]]="","",DONNÉES!EB156)</f>
        <v/>
      </c>
      <c r="N234" s="366">
        <f>IF(TRDCAT[[#This Row],[2024]]="","",DONNÉES!EA92)</f>
        <v/>
      </c>
      <c r="O234" s="495">
        <f>IF(TRDCAT[[#This Row],[2024]]="","",DONNÉES!EB92)</f>
        <v/>
      </c>
      <c r="P234" s="366">
        <f>IF(TRDCAT[[#This Row],[2024]]="","",DONNÉES!EA172)</f>
        <v/>
      </c>
      <c r="Q234" s="497">
        <f>IF(TRDCAT[[#This Row],[2024]]="","",DONNÉES!EB172)</f>
        <v/>
      </c>
      <c r="S234" s="366">
        <f>IF(TRDCAT[[#This Row],[2024]]="","",DONNÉES!EA108)</f>
        <v/>
      </c>
      <c r="T234" s="495">
        <f>IF(TRDCAT[[#This Row],[2024]]="","",DONNÉES!EB108)</f>
        <v/>
      </c>
      <c r="U234" s="366">
        <f>IF(TRDCAT[[#This Row],[2024]]="","",DONNÉES!EA188)</f>
        <v/>
      </c>
      <c r="V234" s="366">
        <f>IF(TRDCAT[[#This Row],[2024]]="","",DONNÉES!EB188)</f>
        <v/>
      </c>
    </row>
    <row r="235" ht="11.65" customFormat="1" customHeight="1" s="476">
      <c r="A235" s="494" t="inlineStr">
        <is>
          <t>Février</t>
        </is>
      </c>
      <c r="B235" s="366">
        <f>IF(DONNÉES!EA45="","",DONNÉES!EA45)</f>
        <v/>
      </c>
      <c r="C235" s="495">
        <f>IF(TRDCAT[[#This Row],[2024]]="","",DONNÉES!EB45)</f>
        <v/>
      </c>
      <c r="D235" s="366">
        <f>IF(TRDCAT[[#This Row],[2024]]="","",DONNÉES!EA125)</f>
        <v/>
      </c>
      <c r="E235" s="496">
        <f>IF(TRDCAT[[#This Row],[2024]]="","",DONNÉES!EB125)</f>
        <v/>
      </c>
      <c r="F235" s="366">
        <f>IF(TRDCAT[[#This Row],[2024]]="","",DONNÉES!EA61)</f>
        <v/>
      </c>
      <c r="G235" s="495">
        <f>IF(TRDCAT[[#This Row],[2024]]="","",DONNÉES!EB61)</f>
        <v/>
      </c>
      <c r="H235" s="366">
        <f>IF(TRDCAT[[#This Row],[2024]]="","",DONNÉES!EA141)</f>
        <v/>
      </c>
      <c r="I235" s="496">
        <f>IF(TRDCAT[[#This Row],[2024]]="","",DONNÉES!EB141)</f>
        <v/>
      </c>
      <c r="J235" s="366">
        <f>IF(TRDCAT[[#This Row],[2024]]="","",DONNÉES!EA77)</f>
        <v/>
      </c>
      <c r="K235" s="495">
        <f>IF(TRDCAT[[#This Row],[2024]]="","",DONNÉES!EB77)</f>
        <v/>
      </c>
      <c r="L235" s="366">
        <f>IF(TRDCAT[[#This Row],[2024]]="","",DONNÉES!EA157)</f>
        <v/>
      </c>
      <c r="M235" s="496">
        <f>IF(TRDCAT[[#This Row],[2024]]="","",DONNÉES!EB157)</f>
        <v/>
      </c>
      <c r="N235" s="366">
        <f>IF(TRDCAT[[#This Row],[2024]]="","",DONNÉES!EA93)</f>
        <v/>
      </c>
      <c r="O235" s="495">
        <f>IF(TRDCAT[[#This Row],[2024]]="","",DONNÉES!EB93)</f>
        <v/>
      </c>
      <c r="P235" s="366">
        <f>IF(TRDCAT[[#This Row],[2024]]="","",DONNÉES!EA173)</f>
        <v/>
      </c>
      <c r="Q235" s="497">
        <f>IF(TRDCAT[[#This Row],[2024]]="","",DONNÉES!EB173)</f>
        <v/>
      </c>
      <c r="R235" s="498" t="n"/>
      <c r="S235" s="366">
        <f>IF(TRDCAT[[#This Row],[2024]]="","",DONNÉES!EA109)</f>
        <v/>
      </c>
      <c r="T235" s="495">
        <f>IF(TRDCAT[[#This Row],[2024]]="","",DONNÉES!EB109)</f>
        <v/>
      </c>
      <c r="U235" s="366">
        <f>IF(TRDCAT[[#This Row],[2024]]="","",DONNÉES!EA189)</f>
        <v/>
      </c>
      <c r="V235" s="366">
        <f>IF(TRDCAT[[#This Row],[2024]]="","",DONNÉES!EB189)</f>
        <v/>
      </c>
    </row>
    <row r="236" ht="11.65" customFormat="1" customHeight="1" s="476">
      <c r="A236" s="490" t="inlineStr">
        <is>
          <t>Mars</t>
        </is>
      </c>
      <c r="B236" s="366">
        <f>IF(DONNÉES!EA46="","",DONNÉES!EA46)</f>
        <v/>
      </c>
      <c r="C236" s="495">
        <f>IF(TRDCAT[[#This Row],[2024]]="","",DONNÉES!EB46)</f>
        <v/>
      </c>
      <c r="D236" s="366">
        <f>IF(TRDCAT[[#This Row],[2024]]="","",DONNÉES!EA126)</f>
        <v/>
      </c>
      <c r="E236" s="496">
        <f>IF(TRDCAT[[#This Row],[2024]]="","",DONNÉES!EB126)</f>
        <v/>
      </c>
      <c r="F236" s="366">
        <f>IF(TRDCAT[[#This Row],[2024]]="","",DONNÉES!EA62)</f>
        <v/>
      </c>
      <c r="G236" s="495">
        <f>IF(TRDCAT[[#This Row],[2024]]="","",DONNÉES!EB62)</f>
        <v/>
      </c>
      <c r="H236" s="366">
        <f>IF(TRDCAT[[#This Row],[2024]]="","",DONNÉES!EA142)</f>
        <v/>
      </c>
      <c r="I236" s="496">
        <f>IF(TRDCAT[[#This Row],[2024]]="","",DONNÉES!EB142)</f>
        <v/>
      </c>
      <c r="J236" s="366">
        <f>IF(TRDCAT[[#This Row],[2024]]="","",DONNÉES!EA78)</f>
        <v/>
      </c>
      <c r="K236" s="495">
        <f>IF(TRDCAT[[#This Row],[2024]]="","",DONNÉES!EB78)</f>
        <v/>
      </c>
      <c r="L236" s="366">
        <f>IF(TRDCAT[[#This Row],[2024]]="","",DONNÉES!EA158)</f>
        <v/>
      </c>
      <c r="M236" s="496">
        <f>IF(TRDCAT[[#This Row],[2024]]="","",DONNÉES!EB158)</f>
        <v/>
      </c>
      <c r="N236" s="366">
        <f>IF(TRDCAT[[#This Row],[2024]]="","",DONNÉES!EA94)</f>
        <v/>
      </c>
      <c r="O236" s="495">
        <f>IF(TRDCAT[[#This Row],[2024]]="","",DONNÉES!EB94)</f>
        <v/>
      </c>
      <c r="P236" s="366">
        <f>IF(TRDCAT[[#This Row],[2024]]="","",DONNÉES!EA174)</f>
        <v/>
      </c>
      <c r="Q236" s="497">
        <f>IF(TRDCAT[[#This Row],[2024]]="","",DONNÉES!EB174)</f>
        <v/>
      </c>
      <c r="R236" s="498" t="n"/>
      <c r="S236" s="366">
        <f>IF(TRDCAT[[#This Row],[2024]]="","",DONNÉES!EA110)</f>
        <v/>
      </c>
      <c r="T236" s="495">
        <f>IF(TRDCAT[[#This Row],[2024]]="","",DONNÉES!EB110)</f>
        <v/>
      </c>
      <c r="U236" s="366">
        <f>IF(TRDCAT[[#This Row],[2024]]="","",DONNÉES!EA190)</f>
        <v/>
      </c>
      <c r="V236" s="366">
        <f>IF(TRDCAT[[#This Row],[2024]]="","",DONNÉES!EB190)</f>
        <v/>
      </c>
    </row>
    <row r="237" ht="11.65" customFormat="1" customHeight="1" s="476">
      <c r="A237" s="494" t="inlineStr">
        <is>
          <t>Avril</t>
        </is>
      </c>
      <c r="B237" s="366">
        <f>IF(DONNÉES!EA47="","",DONNÉES!EA47)</f>
        <v/>
      </c>
      <c r="C237" s="495">
        <f>IF(TRDCAT[[#This Row],[2024]]="","",DONNÉES!EB47)</f>
        <v/>
      </c>
      <c r="D237" s="366">
        <f>IF(TRDCAT[[#This Row],[2024]]="","",DONNÉES!EA127)</f>
        <v/>
      </c>
      <c r="E237" s="496">
        <f>IF(TRDCAT[[#This Row],[2024]]="","",DONNÉES!EB127)</f>
        <v/>
      </c>
      <c r="F237" s="366">
        <f>IF(TRDCAT[[#This Row],[2024]]="","",DONNÉES!EA63)</f>
        <v/>
      </c>
      <c r="G237" s="495">
        <f>IF(TRDCAT[[#This Row],[2024]]="","",DONNÉES!EB63)</f>
        <v/>
      </c>
      <c r="H237" s="366">
        <f>IF(TRDCAT[[#This Row],[2024]]="","",DONNÉES!EA143)</f>
        <v/>
      </c>
      <c r="I237" s="496">
        <f>IF(TRDCAT[[#This Row],[2024]]="","",DONNÉES!EB143)</f>
        <v/>
      </c>
      <c r="J237" s="366">
        <f>IF(TRDCAT[[#This Row],[2024]]="","",DONNÉES!EA79)</f>
        <v/>
      </c>
      <c r="K237" s="495">
        <f>IF(TRDCAT[[#This Row],[2024]]="","",DONNÉES!EB79)</f>
        <v/>
      </c>
      <c r="L237" s="366">
        <f>IF(TRDCAT[[#This Row],[2024]]="","",DONNÉES!EA159)</f>
        <v/>
      </c>
      <c r="M237" s="496">
        <f>IF(TRDCAT[[#This Row],[2024]]="","",DONNÉES!EB159)</f>
        <v/>
      </c>
      <c r="N237" s="366">
        <f>IF(TRDCAT[[#This Row],[2024]]="","",DONNÉES!EA95)</f>
        <v/>
      </c>
      <c r="O237" s="495">
        <f>IF(TRDCAT[[#This Row],[2024]]="","",DONNÉES!EB95)</f>
        <v/>
      </c>
      <c r="P237" s="366">
        <f>IF(TRDCAT[[#This Row],[2024]]="","",DONNÉES!EA175)</f>
        <v/>
      </c>
      <c r="Q237" s="497">
        <f>IF(TRDCAT[[#This Row],[2024]]="","",DONNÉES!EB175)</f>
        <v/>
      </c>
      <c r="R237" s="498" t="n"/>
      <c r="S237" s="366">
        <f>IF(TRDCAT[[#This Row],[2024]]="","",DONNÉES!EA111)</f>
        <v/>
      </c>
      <c r="T237" s="495">
        <f>IF(TRDCAT[[#This Row],[2024]]="","",DONNÉES!EB111)</f>
        <v/>
      </c>
      <c r="U237" s="366">
        <f>IF(TRDCAT[[#This Row],[2024]]="","",DONNÉES!EA191)</f>
        <v/>
      </c>
      <c r="V237" s="366">
        <f>IF(TRDCAT[[#This Row],[2024]]="","",DONNÉES!EB191)</f>
        <v/>
      </c>
    </row>
    <row r="238" ht="11.65" customHeight="1" s="161">
      <c r="A238" s="490" t="inlineStr">
        <is>
          <t>Mai</t>
        </is>
      </c>
      <c r="B238" s="366">
        <f>IF(DONNÉES!EA48="","",DONNÉES!EA48)</f>
        <v/>
      </c>
      <c r="C238" s="495">
        <f>IF(TRDCAT[[#This Row],[2024]]="","",DONNÉES!EB48)</f>
        <v/>
      </c>
      <c r="D238" s="366">
        <f>IF(TRDCAT[[#This Row],[2024]]="","",DONNÉES!EA128)</f>
        <v/>
      </c>
      <c r="E238" s="496">
        <f>IF(TRDCAT[[#This Row],[2024]]="","",DONNÉES!EB128)</f>
        <v/>
      </c>
      <c r="F238" s="366">
        <f>IF(TRDCAT[[#This Row],[2024]]="","",DONNÉES!EA64)</f>
        <v/>
      </c>
      <c r="G238" s="495">
        <f>IF(TRDCAT[[#This Row],[2024]]="","",DONNÉES!EB64)</f>
        <v/>
      </c>
      <c r="H238" s="366">
        <f>IF(TRDCAT[[#This Row],[2024]]="","",DONNÉES!EA144)</f>
        <v/>
      </c>
      <c r="I238" s="496">
        <f>IF(TRDCAT[[#This Row],[2024]]="","",DONNÉES!EB144)</f>
        <v/>
      </c>
      <c r="J238" s="366">
        <f>IF(TRDCAT[[#This Row],[2024]]="","",DONNÉES!EA80)</f>
        <v/>
      </c>
      <c r="K238" s="495">
        <f>IF(TRDCAT[[#This Row],[2024]]="","",DONNÉES!EB80)</f>
        <v/>
      </c>
      <c r="L238" s="366">
        <f>IF(TRDCAT[[#This Row],[2024]]="","",DONNÉES!EA160)</f>
        <v/>
      </c>
      <c r="M238" s="496">
        <f>IF(TRDCAT[[#This Row],[2024]]="","",DONNÉES!EB160)</f>
        <v/>
      </c>
      <c r="N238" s="366">
        <f>IF(TRDCAT[[#This Row],[2024]]="","",DONNÉES!EA96)</f>
        <v/>
      </c>
      <c r="O238" s="495">
        <f>IF(TRDCAT[[#This Row],[2024]]="","",DONNÉES!EB96)</f>
        <v/>
      </c>
      <c r="P238" s="366">
        <f>IF(TRDCAT[[#This Row],[2024]]="","",DONNÉES!EA176)</f>
        <v/>
      </c>
      <c r="Q238" s="497">
        <f>IF(TRDCAT[[#This Row],[2024]]="","",DONNÉES!EB176)</f>
        <v/>
      </c>
      <c r="R238" s="499" t="n"/>
      <c r="S238" s="366">
        <f>IF(TRDCAT[[#This Row],[2024]]="","",DONNÉES!EA112)</f>
        <v/>
      </c>
      <c r="T238" s="495">
        <f>IF(TRDCAT[[#This Row],[2024]]="","",DONNÉES!EB112)</f>
        <v/>
      </c>
      <c r="U238" s="366">
        <f>IF(TRDCAT[[#This Row],[2024]]="","",DONNÉES!EA192)</f>
        <v/>
      </c>
      <c r="V238" s="366">
        <f>IF(TRDCAT[[#This Row],[2024]]="","",DONNÉES!EB192)</f>
        <v/>
      </c>
    </row>
    <row r="239" ht="11.65" customHeight="1" s="161">
      <c r="A239" s="494" t="inlineStr">
        <is>
          <t>Juin</t>
        </is>
      </c>
      <c r="B239" s="366">
        <f>IF(DONNÉES!EA49="","",DONNÉES!EA49)</f>
        <v/>
      </c>
      <c r="C239" s="495">
        <f>IF(TRDCAT[[#This Row],[2024]]="","",DONNÉES!EB49)</f>
        <v/>
      </c>
      <c r="D239" s="366">
        <f>IF(TRDCAT[[#This Row],[2024]]="","",DONNÉES!EA129)</f>
        <v/>
      </c>
      <c r="E239" s="496">
        <f>IF(TRDCAT[[#This Row],[2024]]="","",DONNÉES!EB129)</f>
        <v/>
      </c>
      <c r="F239" s="366">
        <f>IF(TRDCAT[[#This Row],[2024]]="","",DONNÉES!EA65)</f>
        <v/>
      </c>
      <c r="G239" s="495">
        <f>IF(TRDCAT[[#This Row],[2024]]="","",DONNÉES!EB65)</f>
        <v/>
      </c>
      <c r="H239" s="366">
        <f>IF(TRDCAT[[#This Row],[2024]]="","",DONNÉES!EA145)</f>
        <v/>
      </c>
      <c r="I239" s="496">
        <f>IF(TRDCAT[[#This Row],[2024]]="","",DONNÉES!EB145)</f>
        <v/>
      </c>
      <c r="J239" s="366">
        <f>IF(TRDCAT[[#This Row],[2024]]="","",DONNÉES!EA81)</f>
        <v/>
      </c>
      <c r="K239" s="495">
        <f>IF(TRDCAT[[#This Row],[2024]]="","",DONNÉES!EB81)</f>
        <v/>
      </c>
      <c r="L239" s="366">
        <f>IF(TRDCAT[[#This Row],[2024]]="","",DONNÉES!EA161)</f>
        <v/>
      </c>
      <c r="M239" s="496">
        <f>IF(TRDCAT[[#This Row],[2024]]="","",DONNÉES!EB161)</f>
        <v/>
      </c>
      <c r="N239" s="366">
        <f>IF(TRDCAT[[#This Row],[2024]]="","",DONNÉES!EA97)</f>
        <v/>
      </c>
      <c r="O239" s="495">
        <f>IF(TRDCAT[[#This Row],[2024]]="","",DONNÉES!EB97)</f>
        <v/>
      </c>
      <c r="P239" s="366">
        <f>IF(TRDCAT[[#This Row],[2024]]="","",DONNÉES!EA177)</f>
        <v/>
      </c>
      <c r="Q239" s="497">
        <f>IF(TRDCAT[[#This Row],[2024]]="","",DONNÉES!EB177)</f>
        <v/>
      </c>
      <c r="R239" s="499" t="n"/>
      <c r="S239" s="366">
        <f>IF(TRDCAT[[#This Row],[2024]]="","",DONNÉES!EA113)</f>
        <v/>
      </c>
      <c r="T239" s="495">
        <f>IF(TRDCAT[[#This Row],[2024]]="","",DONNÉES!EB113)</f>
        <v/>
      </c>
      <c r="U239" s="366">
        <f>IF(TRDCAT[[#This Row],[2024]]="","",DONNÉES!EA193)</f>
        <v/>
      </c>
      <c r="V239" s="366">
        <f>IF(TRDCAT[[#This Row],[2024]]="","",DONNÉES!EB193)</f>
        <v/>
      </c>
    </row>
    <row r="240" ht="11.65" customHeight="1" s="161">
      <c r="A240" s="490" t="inlineStr">
        <is>
          <t>Juillet</t>
        </is>
      </c>
      <c r="B240" s="366">
        <f>IF(DONNÉES!EA50="","",DONNÉES!EA50)</f>
        <v/>
      </c>
      <c r="C240" s="495">
        <f>IF(TRDCAT[[#This Row],[2024]]="","",DONNÉES!EB50)</f>
        <v/>
      </c>
      <c r="D240" s="366">
        <f>IF(TRDCAT[[#This Row],[2024]]="","",DONNÉES!EA130)</f>
        <v/>
      </c>
      <c r="E240" s="496">
        <f>IF(TRDCAT[[#This Row],[2024]]="","",DONNÉES!EB130)</f>
        <v/>
      </c>
      <c r="F240" s="366">
        <f>IF(TRDCAT[[#This Row],[2024]]="","",DONNÉES!EA66)</f>
        <v/>
      </c>
      <c r="G240" s="495">
        <f>IF(TRDCAT[[#This Row],[2024]]="","",DONNÉES!EB66)</f>
        <v/>
      </c>
      <c r="H240" s="366">
        <f>IF(TRDCAT[[#This Row],[2024]]="","",DONNÉES!EA146)</f>
        <v/>
      </c>
      <c r="I240" s="496">
        <f>IF(TRDCAT[[#This Row],[2024]]="","",DONNÉES!EB146)</f>
        <v/>
      </c>
      <c r="J240" s="366">
        <f>IF(TRDCAT[[#This Row],[2024]]="","",DONNÉES!EA82)</f>
        <v/>
      </c>
      <c r="K240" s="495">
        <f>IF(TRDCAT[[#This Row],[2024]]="","",DONNÉES!EB82)</f>
        <v/>
      </c>
      <c r="L240" s="366">
        <f>IF(TRDCAT[[#This Row],[2024]]="","",DONNÉES!EA162)</f>
        <v/>
      </c>
      <c r="M240" s="496">
        <f>IF(TRDCAT[[#This Row],[2024]]="","",DONNÉES!EB162)</f>
        <v/>
      </c>
      <c r="N240" s="366">
        <f>IF(TRDCAT[[#This Row],[2024]]="","",DONNÉES!EA98)</f>
        <v/>
      </c>
      <c r="O240" s="495">
        <f>IF(TRDCAT[[#This Row],[2024]]="","",DONNÉES!EB98)</f>
        <v/>
      </c>
      <c r="P240" s="366">
        <f>IF(TRDCAT[[#This Row],[2024]]="","",DONNÉES!EA178)</f>
        <v/>
      </c>
      <c r="Q240" s="497">
        <f>IF(TRDCAT[[#This Row],[2024]]="","",DONNÉES!EB178)</f>
        <v/>
      </c>
      <c r="R240" s="499" t="n"/>
      <c r="S240" s="366">
        <f>IF(TRDCAT[[#This Row],[2024]]="","",DONNÉES!EA114)</f>
        <v/>
      </c>
      <c r="T240" s="495">
        <f>IF(TRDCAT[[#This Row],[2024]]="","",DONNÉES!EB114)</f>
        <v/>
      </c>
      <c r="U240" s="366">
        <f>IF(TRDCAT[[#This Row],[2024]]="","",DONNÉES!EA194)</f>
        <v/>
      </c>
      <c r="V240" s="366">
        <f>IF(TRDCAT[[#This Row],[2024]]="","",DONNÉES!EB194)</f>
        <v/>
      </c>
    </row>
    <row r="241" ht="11.65" customHeight="1" s="161">
      <c r="A241" s="494" t="inlineStr">
        <is>
          <t>Août</t>
        </is>
      </c>
      <c r="B241" s="366">
        <f>IF(DONNÉES!EA51="","",DONNÉES!EA51)</f>
        <v/>
      </c>
      <c r="C241" s="495">
        <f>IF(TRDCAT[[#This Row],[2024]]="","",DONNÉES!EB51)</f>
        <v/>
      </c>
      <c r="D241" s="366">
        <f>IF(TRDCAT[[#This Row],[2024]]="","",DONNÉES!EA131)</f>
        <v/>
      </c>
      <c r="E241" s="496">
        <f>IF(TRDCAT[[#This Row],[2024]]="","",DONNÉES!EB131)</f>
        <v/>
      </c>
      <c r="F241" s="366">
        <f>IF(TRDCAT[[#This Row],[2024]]="","",DONNÉES!EA67)</f>
        <v/>
      </c>
      <c r="G241" s="495">
        <f>IF(TRDCAT[[#This Row],[2024]]="","",DONNÉES!EB67)</f>
        <v/>
      </c>
      <c r="H241" s="366">
        <f>IF(TRDCAT[[#This Row],[2024]]="","",DONNÉES!EA147)</f>
        <v/>
      </c>
      <c r="I241" s="496">
        <f>IF(TRDCAT[[#This Row],[2024]]="","",DONNÉES!EB147)</f>
        <v/>
      </c>
      <c r="J241" s="366">
        <f>IF(TRDCAT[[#This Row],[2024]]="","",DONNÉES!EA83)</f>
        <v/>
      </c>
      <c r="K241" s="495">
        <f>IF(TRDCAT[[#This Row],[2024]]="","",DONNÉES!EB83)</f>
        <v/>
      </c>
      <c r="L241" s="366">
        <f>IF(TRDCAT[[#This Row],[2024]]="","",DONNÉES!EA163)</f>
        <v/>
      </c>
      <c r="M241" s="496">
        <f>IF(TRDCAT[[#This Row],[2024]]="","",DONNÉES!EB163)</f>
        <v/>
      </c>
      <c r="N241" s="366">
        <f>IF(TRDCAT[[#This Row],[2024]]="","",DONNÉES!EA99)</f>
        <v/>
      </c>
      <c r="O241" s="495">
        <f>IF(TRDCAT[[#This Row],[2024]]="","",DONNÉES!EB99)</f>
        <v/>
      </c>
      <c r="P241" s="366">
        <f>IF(TRDCAT[[#This Row],[2024]]="","",DONNÉES!EA179)</f>
        <v/>
      </c>
      <c r="Q241" s="497">
        <f>IF(TRDCAT[[#This Row],[2024]]="","",DONNÉES!EB179)</f>
        <v/>
      </c>
      <c r="R241" s="499" t="n"/>
      <c r="S241" s="366">
        <f>IF(TRDCAT[[#This Row],[2024]]="","",DONNÉES!EA115)</f>
        <v/>
      </c>
      <c r="T241" s="495">
        <f>IF(TRDCAT[[#This Row],[2024]]="","",DONNÉES!EB115)</f>
        <v/>
      </c>
      <c r="U241" s="366">
        <f>IF(TRDCAT[[#This Row],[2024]]="","",DONNÉES!EA195)</f>
        <v/>
      </c>
      <c r="V241" s="366">
        <f>IF(TRDCAT[[#This Row],[2024]]="","",DONNÉES!EB195)</f>
        <v/>
      </c>
    </row>
    <row r="242" ht="11.65" customHeight="1" s="161">
      <c r="A242" s="490" t="inlineStr">
        <is>
          <t>Septembre</t>
        </is>
      </c>
      <c r="B242" s="366">
        <f>IF(DONNÉES!EA52="","",DONNÉES!EA52)</f>
        <v/>
      </c>
      <c r="C242" s="495">
        <f>IF(TRDCAT[[#This Row],[2024]]="","",DONNÉES!EB52)</f>
        <v/>
      </c>
      <c r="D242" s="366">
        <f>IF(TRDCAT[[#This Row],[2024]]="","",DONNÉES!EA132)</f>
        <v/>
      </c>
      <c r="E242" s="496">
        <f>IF(TRDCAT[[#This Row],[2024]]="","",DONNÉES!EB132)</f>
        <v/>
      </c>
      <c r="F242" s="366">
        <f>IF(TRDCAT[[#This Row],[2024]]="","",DONNÉES!EA68)</f>
        <v/>
      </c>
      <c r="G242" s="495">
        <f>IF(TRDCAT[[#This Row],[2024]]="","",DONNÉES!EB68)</f>
        <v/>
      </c>
      <c r="H242" s="366">
        <f>IF(TRDCAT[[#This Row],[2024]]="","",DONNÉES!EA148)</f>
        <v/>
      </c>
      <c r="I242" s="496">
        <f>IF(TRDCAT[[#This Row],[2024]]="","",DONNÉES!EB148)</f>
        <v/>
      </c>
      <c r="J242" s="366">
        <f>IF(TRDCAT[[#This Row],[2024]]="","",DONNÉES!EA84)</f>
        <v/>
      </c>
      <c r="K242" s="495">
        <f>IF(TRDCAT[[#This Row],[2024]]="","",DONNÉES!EB84)</f>
        <v/>
      </c>
      <c r="L242" s="366">
        <f>IF(TRDCAT[[#This Row],[2024]]="","",DONNÉES!EA164)</f>
        <v/>
      </c>
      <c r="M242" s="496">
        <f>IF(TRDCAT[[#This Row],[2024]]="","",DONNÉES!EB164)</f>
        <v/>
      </c>
      <c r="N242" s="366">
        <f>IF(TRDCAT[[#This Row],[2024]]="","",DONNÉES!EA100)</f>
        <v/>
      </c>
      <c r="O242" s="495">
        <f>IF(TRDCAT[[#This Row],[2024]]="","",DONNÉES!EB100)</f>
        <v/>
      </c>
      <c r="P242" s="366">
        <f>IF(TRDCAT[[#This Row],[2024]]="","",DONNÉES!EA180)</f>
        <v/>
      </c>
      <c r="Q242" s="497">
        <f>IF(TRDCAT[[#This Row],[2024]]="","",DONNÉES!EB180)</f>
        <v/>
      </c>
      <c r="R242" s="499" t="n"/>
      <c r="S242" s="366">
        <f>IF(TRDCAT[[#This Row],[2024]]="","",DONNÉES!EA116)</f>
        <v/>
      </c>
      <c r="T242" s="495">
        <f>IF(TRDCAT[[#This Row],[2024]]="","",DONNÉES!EB116)</f>
        <v/>
      </c>
      <c r="U242" s="366">
        <f>IF(TRDCAT[[#This Row],[2024]]="","",DONNÉES!EA196)</f>
        <v/>
      </c>
      <c r="V242" s="366">
        <f>IF(TRDCAT[[#This Row],[2024]]="","",DONNÉES!EB196)</f>
        <v/>
      </c>
    </row>
    <row r="243" ht="11.65" customHeight="1" s="161">
      <c r="A243" s="494" t="inlineStr">
        <is>
          <t>Octobre</t>
        </is>
      </c>
      <c r="B243" s="366">
        <f>IF(DONNÉES!EA53="","",DONNÉES!EA53)</f>
        <v/>
      </c>
      <c r="C243" s="495">
        <f>IF(TRDCAT[[#This Row],[2024]]="","",DONNÉES!EB53)</f>
        <v/>
      </c>
      <c r="D243" s="366">
        <f>IF(TRDCAT[[#This Row],[2024]]="","",DONNÉES!EA133)</f>
        <v/>
      </c>
      <c r="E243" s="496">
        <f>IF(TRDCAT[[#This Row],[2024]]="","",DONNÉES!EB133)</f>
        <v/>
      </c>
      <c r="F243" s="366">
        <f>IF(TRDCAT[[#This Row],[2024]]="","",DONNÉES!EA69)</f>
        <v/>
      </c>
      <c r="G243" s="495">
        <f>IF(TRDCAT[[#This Row],[2024]]="","",DONNÉES!EB69)</f>
        <v/>
      </c>
      <c r="H243" s="366">
        <f>IF(TRDCAT[[#This Row],[2024]]="","",DONNÉES!EA149)</f>
        <v/>
      </c>
      <c r="I243" s="496">
        <f>IF(TRDCAT[[#This Row],[2024]]="","",DONNÉES!EB149)</f>
        <v/>
      </c>
      <c r="J243" s="366">
        <f>IF(TRDCAT[[#This Row],[2024]]="","",DONNÉES!EA85)</f>
        <v/>
      </c>
      <c r="K243" s="495">
        <f>IF(TRDCAT[[#This Row],[2024]]="","",DONNÉES!EB85)</f>
        <v/>
      </c>
      <c r="L243" s="366">
        <f>IF(TRDCAT[[#This Row],[2024]]="","",DONNÉES!EA165)</f>
        <v/>
      </c>
      <c r="M243" s="496">
        <f>IF(TRDCAT[[#This Row],[2024]]="","",DONNÉES!EB165)</f>
        <v/>
      </c>
      <c r="N243" s="366">
        <f>IF(TRDCAT[[#This Row],[2024]]="","",DONNÉES!EA101)</f>
        <v/>
      </c>
      <c r="O243" s="495">
        <f>IF(TRDCAT[[#This Row],[2024]]="","",DONNÉES!EB101)</f>
        <v/>
      </c>
      <c r="P243" s="366">
        <f>IF(TRDCAT[[#This Row],[2024]]="","",DONNÉES!EA181)</f>
        <v/>
      </c>
      <c r="Q243" s="497">
        <f>IF(TRDCAT[[#This Row],[2024]]="","",DONNÉES!EB181)</f>
        <v/>
      </c>
      <c r="R243" s="503" t="n"/>
      <c r="S243" s="366">
        <f>IF(TRDCAT[[#This Row],[2024]]="","",DONNÉES!EA117)</f>
        <v/>
      </c>
      <c r="T243" s="495">
        <f>IF(TRDCAT[[#This Row],[2024]]="","",DONNÉES!EB117)</f>
        <v/>
      </c>
      <c r="U243" s="366">
        <f>IF(TRDCAT[[#This Row],[2024]]="","",DONNÉES!EA197)</f>
        <v/>
      </c>
      <c r="V243" s="366">
        <f>IF(TRDCAT[[#This Row],[2024]]="","",DONNÉES!EB197)</f>
        <v/>
      </c>
    </row>
    <row r="244" ht="11.65" customHeight="1" s="161">
      <c r="A244" s="490" t="inlineStr">
        <is>
          <t>Novembre</t>
        </is>
      </c>
      <c r="B244" s="366">
        <f>IF(DONNÉES!EA54="","",DONNÉES!EA54)</f>
        <v/>
      </c>
      <c r="C244" s="495">
        <f>IF(TRDCAT[[#This Row],[2024]]="","",DONNÉES!EB54)</f>
        <v/>
      </c>
      <c r="D244" s="366">
        <f>IF(TRDCAT[[#This Row],[2024]]="","",DONNÉES!EA134)</f>
        <v/>
      </c>
      <c r="E244" s="496">
        <f>IF(TRDCAT[[#This Row],[2024]]="","",DONNÉES!EB134)</f>
        <v/>
      </c>
      <c r="F244" s="366">
        <f>IF(TRDCAT[[#This Row],[2024]]="","",DONNÉES!EA70)</f>
        <v/>
      </c>
      <c r="G244" s="495">
        <f>IF(TRDCAT[[#This Row],[2024]]="","",DONNÉES!EB70)</f>
        <v/>
      </c>
      <c r="H244" s="366">
        <f>IF(TRDCAT[[#This Row],[2024]]="","",DONNÉES!EA150)</f>
        <v/>
      </c>
      <c r="I244" s="496">
        <f>IF(TRDCAT[[#This Row],[2024]]="","",DONNÉES!EB150)</f>
        <v/>
      </c>
      <c r="J244" s="366">
        <f>IF(TRDCAT[[#This Row],[2024]]="","",DONNÉES!EA86)</f>
        <v/>
      </c>
      <c r="K244" s="495">
        <f>IF(TRDCAT[[#This Row],[2024]]="","",DONNÉES!EB86)</f>
        <v/>
      </c>
      <c r="L244" s="366">
        <f>IF(TRDCAT[[#This Row],[2024]]="","",DONNÉES!EA166)</f>
        <v/>
      </c>
      <c r="M244" s="496">
        <f>IF(TRDCAT[[#This Row],[2024]]="","",DONNÉES!EB166)</f>
        <v/>
      </c>
      <c r="N244" s="366">
        <f>IF(TRDCAT[[#This Row],[2024]]="","",DONNÉES!EA102)</f>
        <v/>
      </c>
      <c r="O244" s="495">
        <f>IF(TRDCAT[[#This Row],[2024]]="","",DONNÉES!EB102)</f>
        <v/>
      </c>
      <c r="P244" s="366">
        <f>IF(TRDCAT[[#This Row],[2024]]="","",DONNÉES!EA182)</f>
        <v/>
      </c>
      <c r="Q244" s="497">
        <f>IF(TRDCAT[[#This Row],[2024]]="","",DONNÉES!EB182)</f>
        <v/>
      </c>
      <c r="R244" s="499" t="n"/>
      <c r="S244" s="366">
        <f>IF(TRDCAT[[#This Row],[2024]]="","",DONNÉES!EA118)</f>
        <v/>
      </c>
      <c r="T244" s="495">
        <f>IF(TRDCAT[[#This Row],[2024]]="","",DONNÉES!EB118)</f>
        <v/>
      </c>
      <c r="U244" s="366">
        <f>IF(TRDCAT[[#This Row],[2024]]="","",DONNÉES!EA198)</f>
        <v/>
      </c>
      <c r="V244" s="366">
        <f>IF(TRDCAT[[#This Row],[2024]]="","",DONNÉES!EB198)</f>
        <v/>
      </c>
    </row>
    <row r="245" ht="11.65" customFormat="1" customHeight="1" s="476">
      <c r="A245" s="490" t="inlineStr">
        <is>
          <t>Décembre</t>
        </is>
      </c>
      <c r="B245" s="366">
        <f>IF(DONNÉES!EA55="","",DONNÉES!EA55)</f>
        <v/>
      </c>
      <c r="C245" s="495">
        <f>IF(TRDCAT[[#This Row],[2024]]="","",DONNÉES!EB55)</f>
        <v/>
      </c>
      <c r="D245" s="366">
        <f>IF(TRDCAT[[#This Row],[2024]]="","",DONNÉES!EA135)</f>
        <v/>
      </c>
      <c r="E245" s="496">
        <f>IF(TRDCAT[[#This Row],[2024]]="","",DONNÉES!EB135)</f>
        <v/>
      </c>
      <c r="F245" s="366">
        <f>IF(TRDCAT[[#This Row],[2024]]="","",DONNÉES!EA71)</f>
        <v/>
      </c>
      <c r="G245" s="495">
        <f>IF(TRDCAT[[#This Row],[2024]]="","",DONNÉES!EB71)</f>
        <v/>
      </c>
      <c r="H245" s="366">
        <f>IF(TRDCAT[[#This Row],[2024]]="","",DONNÉES!EA151)</f>
        <v/>
      </c>
      <c r="I245" s="496">
        <f>IF(TRDCAT[[#This Row],[2024]]="","",DONNÉES!EB151)</f>
        <v/>
      </c>
      <c r="J245" s="366">
        <f>IF(TRDCAT[[#This Row],[2024]]="","",DONNÉES!EA87)</f>
        <v/>
      </c>
      <c r="K245" s="495">
        <f>IF(TRDCAT[[#This Row],[2024]]="","",DONNÉES!EB87)</f>
        <v/>
      </c>
      <c r="L245" s="366">
        <f>IF(TRDCAT[[#This Row],[2024]]="","",DONNÉES!EA167)</f>
        <v/>
      </c>
      <c r="M245" s="496">
        <f>IF(TRDCAT[[#This Row],[2024]]="","",DONNÉES!EB167)</f>
        <v/>
      </c>
      <c r="N245" s="366">
        <f>IF(TRDCAT[[#This Row],[2024]]="","",DONNÉES!EA103)</f>
        <v/>
      </c>
      <c r="O245" s="495">
        <f>IF(TRDCAT[[#This Row],[2024]]="","",DONNÉES!EB103)</f>
        <v/>
      </c>
      <c r="P245" s="366">
        <f>IF(TRDCAT[[#This Row],[2024]]="","",DONNÉES!EA183)</f>
        <v/>
      </c>
      <c r="Q245" s="497">
        <f>IF(TRDCAT[[#This Row],[2024]]="","",DONNÉES!EB183)</f>
        <v/>
      </c>
      <c r="R245" s="498" t="n"/>
      <c r="S245" s="366">
        <f>IF(TRDCAT[[#This Row],[2024]]="","",DONNÉES!EA119)</f>
        <v/>
      </c>
      <c r="T245" s="495">
        <f>IF(TRDCAT[[#This Row],[2024]]="","",DONNÉES!EB119)</f>
        <v/>
      </c>
      <c r="U245" s="366">
        <f>IF(TRDCAT[[#This Row],[2024]]="","",DONNÉES!EA199)</f>
        <v/>
      </c>
      <c r="V245" s="366">
        <f>IF(TRDCAT[[#This Row],[2024]]="","",DONNÉES!EB199)</f>
        <v/>
      </c>
    </row>
    <row r="246" ht="10.15" customFormat="1" customHeight="1" s="476">
      <c r="A246" s="474" t="n"/>
      <c r="B246" s="478" t="n"/>
      <c r="C246" s="478" t="n"/>
      <c r="D246" s="101" t="n"/>
      <c r="E246" s="478" t="n"/>
      <c r="F246" s="478" t="n"/>
      <c r="G246" s="479" t="n"/>
      <c r="H246" s="474" t="n"/>
      <c r="I246" s="475" t="n"/>
      <c r="J246" s="478" t="n"/>
      <c r="K246" s="478" t="n"/>
      <c r="L246" s="101" t="n"/>
      <c r="M246" s="479" t="n"/>
      <c r="N246" s="474" t="n"/>
      <c r="O246" s="474" t="n"/>
      <c r="P246" s="474" t="n"/>
      <c r="Q246" s="474" t="n"/>
      <c r="R246" s="498" t="n"/>
      <c r="S246" s="474" t="n"/>
      <c r="T246" s="474" t="n"/>
      <c r="U246" s="474" t="n"/>
      <c r="V246" s="474" t="n"/>
    </row>
    <row r="247" ht="10.15" customFormat="1" customHeight="1" s="476">
      <c r="A247" s="474" t="n"/>
      <c r="B247" s="478" t="n"/>
      <c r="C247" s="478" t="n"/>
      <c r="D247" s="101" t="n"/>
      <c r="E247" s="478" t="n"/>
      <c r="F247" s="478" t="n"/>
      <c r="G247" s="479" t="n"/>
      <c r="H247" s="474" t="n"/>
      <c r="I247" s="475" t="n"/>
      <c r="J247" s="478" t="n"/>
      <c r="K247" s="478" t="n"/>
      <c r="L247" s="101" t="n"/>
      <c r="M247" s="479" t="n"/>
      <c r="N247" s="474" t="n"/>
      <c r="O247" s="474" t="n"/>
      <c r="P247" s="474" t="n"/>
      <c r="Q247" s="474" t="n"/>
      <c r="R247" s="498" t="n"/>
      <c r="S247" s="474" t="n"/>
      <c r="T247" s="474" t="n"/>
      <c r="U247" s="474" t="n"/>
      <c r="V247" s="474" t="n"/>
    </row>
    <row r="248" ht="10.15" customFormat="1" customHeight="1" s="476">
      <c r="A248" s="474" t="n"/>
      <c r="B248" s="478" t="n"/>
      <c r="C248" s="478" t="n"/>
      <c r="D248" s="101" t="n"/>
      <c r="E248" s="478" t="n"/>
      <c r="F248" s="478" t="n"/>
      <c r="G248" s="479" t="n"/>
      <c r="H248" s="474" t="n"/>
      <c r="I248" s="475" t="n"/>
      <c r="J248" s="478" t="n"/>
      <c r="K248" s="478" t="n"/>
      <c r="L248" s="101" t="n"/>
      <c r="M248" s="479" t="n"/>
      <c r="N248" s="474" t="n"/>
      <c r="O248" s="474" t="n"/>
      <c r="P248" s="474" t="n"/>
      <c r="Q248" s="474" t="n"/>
      <c r="R248" s="498" t="n"/>
      <c r="S248" s="474" t="n"/>
      <c r="T248" s="474" t="n"/>
      <c r="U248" s="474" t="n"/>
      <c r="V248" s="474" t="n"/>
    </row>
    <row r="249" ht="10.15" customFormat="1" customHeight="1" s="476">
      <c r="A249" s="474" t="n"/>
      <c r="B249" s="478">
        <f>+SUM(TRDTHOMAS[2024])+SUM(TRDJEANCLO[2024])+SUM(TRDHUGO[2024])+SUM(TRDARTHUR[2024])+SUM(TRDLYSE[2024])+SUM(TRDR314[2024])+SUM(TRDDIVES[2024])+SUM(TRDTH4[2024])+SUM(TRDVICTOIRE[2024])+SUM(TRDHART[2024])+SUM(TRDTURVILLA[2024])+SUM(TRDVR7[2024])+SUM(TRDTIRR[2024])+SUM(TRDHTR8[2024])+SUM(TRDGLR5[2024])</f>
        <v/>
      </c>
      <c r="C249" s="478">
        <f>+SUM(TRDTHOMAS[2023])+SUM(TRDJEANCLO[2023])+SUM(TRDHUGO[2023])+SUM(TRDARTHUR[2023])+SUM(TRDLYSE[2023])+SUM(TRDR314[2023])+SUM(TRDDIVES[2023])+SUM(TRDTH4[2023])+SUM(TRDVICTOIRE[2023])+SUM(TRDHART[2023])+SUM(TRDTURVILLA[2023])+SUM(TRDVR7[2023])+SUM(TRDTIRR[2023])+SUM(TRDHTR8[2023])+SUM(TRDGLR5[2023])</f>
        <v/>
      </c>
      <c r="D249" s="478">
        <f>+SUM(TRDTHOMAS[2024 cumul])+SUM(TRDJEANCLO[2024 cumul])+SUM(TRDHUGO[2024 cumul])+SUM(TRDARTHUR[2024 cumul])+SUM(TRDLYSE[2024 cumul])+SUM(TRDR314[2024 cumul])+SUM(TRDDIVES[2024 cumul])+SUM(TRDTH4[2024 cumul])+SUM(TRDVICTOIRE[2024 cumul])+SUM(TRDHART[2024 cumul])+SUM(TRDTURVILLA[2024 cumul])+SUM(TRDVR7[2024 cumul])+SUM(TRDTIRR[2024 cumul])+SUM(TRDHTR8[2024 cumul])+SUM(TRDGLR5[2024 cumul])</f>
        <v/>
      </c>
      <c r="E249" s="478">
        <f>+SUM(TRDTHOMAS[2023 cumul])+SUM(TRDJEANCLO[2023 cumul])+SUM(TRDHUGO[2023 cumul])+SUM(TRDARTHUR[2023 cumul])+SUM(TRDLYSE[2023 cumul])+SUM(TRDR314[2023 cumul])+SUM(TRDDIVES[2023 cumul])+SUM(TRDTH4[2023 cumul])+SUM(TRDVICTOIRE[2023 cumul])+SUM(TRDHART[2023 cumul])+SUM(TRDTURVILLA[2023 cumul])+SUM(TRDVR7[2023 cumul])+SUM(TRDTIRR[2023 cumul])+SUM(TRDHTR8[2023 cumul])+SUM(TRDGLR5[2023 cumul])</f>
        <v/>
      </c>
      <c r="F249" s="478">
        <f>+SUM(TRDTHOMAS[[2024  ]])+SUM(TRDJEANCLO[[2024  ]])+SUM(TRDHUGO[[2024  ]])+SUM(TRDARTHUR[[2024  ]])+SUM(TRDLYSE[[2024  ]])+SUM(TRDR314[[2024  ]])+SUM(TRDDIVES[[2024  ]])+SUM(TRDTH4[[2024  ]])+SUM(TRDVICTOIRE[[2024  ]])+SUM(TRDHART[[2024  ]])+SUM(TRDTURVILLA[[2024  ]])+SUM(TRDVR7[[2024  ]])+SUM(TRDTIRR[[2024  ]])+SUM(TRDHTR8[[2024  ]])+SUM(TRDGLR5[[2024  ]])</f>
        <v/>
      </c>
      <c r="G249" s="478">
        <f>+SUM(TRDTHOMAS[[2023  ]])+SUM(TRDJEANCLO[[2023  ]])+SUM(TRDHUGO[[2023  ]])+SUM(TRDARTHUR[[2023  ]])+SUM(TRDLYSE[[2023  ]])+SUM(TRDR314[[2023  ]])+SUM(TRDDIVES[[2023  ]])+SUM(TRDTH4[[2023  ]])+SUM(TRDVICTOIRE[[2023  ]])+SUM(TRDHART[[2023  ]])+SUM(TRDTURVILLA[[2023  ]])+SUM(TRDVR7[[2023  ]])+SUM(TRDTIRR[[2023  ]])+SUM(TRDHTR8[[2023  ]])+SUM(TRDGLR5[[2023  ]])</f>
        <v/>
      </c>
      <c r="H249" s="478">
        <f>+SUM(TRDTHOMAS[[2024 cumul ]])+SUM(TRDJEANCLO[[2024 cumul ]])+SUM(TRDHUGO[[2024 cumul ]])+SUM(TRDARTHUR[[2024 cumul ]])+SUM(TRDLYSE[[2024 cumul ]])+SUM(TRDR314[[2024 cumul ]])+SUM(TRDDIVES[[2024 cumul ]])+SUM(TRDTH4[[2024 cumul ]])+SUM(TRDVICTOIRE[[2024 cumul ]])+SUM(TRDHART[[2024 cumul ]])+SUM(TRDTURVILLA[[2024 cumul ]])+SUM(TRDVR7[[2024 cumul ]])+SUM(TRDTIRR[[2024 cumul ]])+SUM(TRDHTR8[[2024 cumul ]])+SUM(TRDGLR5[[2024 cumul ]])</f>
        <v/>
      </c>
      <c r="I249" s="478">
        <f>+SUM(TRDTHOMAS[[2023 cumul ]])+SUM(TRDJEANCLO[[2023 cumul ]])+SUM(TRDHUGO[[2023 cumul ]])+SUM(TRDARTHUR[[2023 cumul ]])+SUM(TRDLYSE[[2023 cumul ]])+SUM(TRDR314[[2023 cumul ]])+SUM(TRDDIVES[[2023 cumul ]])+SUM(TRDTH4[[2023 cumul ]])+SUM(TRDVICTOIRE[[2023 cumul ]])+SUM(TRDHART[[2023 cumul ]])+SUM(TRDTURVILLA[[2023 cumul ]])+SUM(TRDVR7[[2023 cumul ]])+SUM(TRDTIRR[[2023 cumul ]])+SUM(TRDHTR8[[2023 cumul ]])+SUM(TRDGLR5[[2023 cumul ]])</f>
        <v/>
      </c>
      <c r="J249" s="478">
        <f>+SUM(TRDTHOMAS[[2024   ]])+SUM(TRDJEANCLO[[2024   ]])+SUM(TRDHUGO[[2024   ]])+SUM(TRDARTHUR[[2024   ]])+SUM(TRDLYSE[[2024   ]])+SUM(TRDR314[[2024   ]])+SUM(TRDDIVES[[2024   ]])+SUM(TRDTH4[[2024   ]])+SUM(TRDVICTOIRE[[2024   ]])+SUM(TRDHART[[2024   ]])+SUM(TRDTURVILLA[[2024   ]])+SUM(TRDVR7[[2024   ]])+SUM(TRDTIRR[[2024   ]])+SUM(TRDHTR8[[2024   ]])+SUM(TRDGLR5[[2024   ]])</f>
        <v/>
      </c>
      <c r="K249" s="478">
        <f>+SUM(TRDTHOMAS[[2023   ]])+SUM(TRDJEANCLO[[2023   ]])+SUM(TRDHUGO[[2023   ]])+SUM(TRDARTHUR[[2023   ]])+SUM(TRDLYSE[[2023   ]])+SUM(TRDR314[[2023   ]])+SUM(TRDDIVES[[2023   ]])+SUM(TRDTH4[[2023   ]])+SUM(TRDVICTOIRE[[2023   ]])+SUM(TRDHART[[2023   ]])+SUM(TRDTURVILLA[[2023   ]])+SUM(TRDVR7[[2023   ]])+SUM(TRDTIRR[[2023   ]])+SUM(TRDHTR8[[2023   ]])+SUM(TRDGLR5[[2023   ]])</f>
        <v/>
      </c>
      <c r="L249" s="478">
        <f>+SUM(TRDTHOMAS[[2024 cumul   ]])+SUM(TRDJEANCLO[[2024 cumul   ]])+SUM(TRDHUGO[[2024 cumul   ]])+SUM(TRDARTHUR[[2024 cumul   ]])+SUM(TRDLYSE[[2024 cumul   ]])+SUM(TRDR314[[2024 cumul   ]])+SUM(TRDDIVES[[2024 cumul   ]])+SUM(TRDTH4[[2024 cumul   ]])+SUM(TRDVICTOIRE[[2024 cumul   ]])+SUM(TRDHART[[2024 cumul   ]])+SUM(TRDTURVILLA[[2024 cumul   ]])+SUM(TRDVR7[[2024 cumul   ]])+SUM(TRDTIRR[[2024 cumul   ]])+SUM(TRDHTR8[[2024 cumul   ]])+SUM(TRDGLR5[[2024 cumul   ]])</f>
        <v/>
      </c>
      <c r="M249" s="478">
        <f>+SUM(TRDTHOMAS[[2023 cumul   ]])+SUM(TRDJEANCLO[[2023 cumul   ]])+SUM(TRDHUGO[[2023 cumul   ]])+SUM(TRDARTHUR[[2023 cumul   ]])+SUM(TRDLYSE[[2023 cumul   ]])+SUM(TRDR314[[2023 cumul   ]])+SUM(TRDDIVES[[2023 cumul   ]])+SUM(TRDTH4[[2023 cumul   ]])+SUM(TRDVICTOIRE[[2023 cumul   ]])+SUM(TRDHART[[2023 cumul   ]])+SUM(TRDTURVILLA[[2023 cumul   ]])+SUM(TRDVR7[[2023 cumul   ]])+SUM(TRDTIRR[[2023 cumul   ]])+SUM(TRDHTR8[[2023 cumul   ]])+SUM(TRDGLR5[[2023 cumul   ]])</f>
        <v/>
      </c>
      <c r="N249" s="478">
        <f>+SUM(TRDTHOMAS[[2024    ]])+SUM(TRDJEANCLO[[2024    ]])+SUM(TRDHUGO[[2024    ]])+SUM(TRDARTHUR[[2024    ]])+SUM(TRDLYSE[[2024    ]])+SUM(TRDR314[[2024    ]])+SUM(TRDDIVES[[2024    ]])+SUM(TRDTH4[[2024    ]])+SUM(TRDVICTOIRE[[2024    ]])+SUM(TRDHART[[2024    ]])+SUM(TRDTURVILLA[[2024    ]])+SUM(TRDVR7[[2024    ]])+SUM(TRDTIRR[[2024    ]])+SUM(TRDHTR8[[2024    ]])+SUM(TRDGLR5[[2024    ]])</f>
        <v/>
      </c>
      <c r="O249" s="478">
        <f>+SUM(TRDTHOMAS[[2023    ]])+SUM(TRDJEANCLO[[2023    ]])+SUM(TRDHUGO[[2023    ]])+SUM(TRDARTHUR[[2023    ]])+SUM(TRDLYSE[[2023    ]])+SUM(TRDR314[[2023    ]])+SUM(TRDDIVES[[2023    ]])+SUM(TRDTH4[[2023    ]])+SUM(TRDVICTOIRE[[2023    ]])+SUM(TRDHART[[2023    ]])+SUM(TRDTURVILLA[[2023    ]])+SUM(TRDVR7[[2023    ]])+SUM(TRDTIRR[[2023    ]])+SUM(TRDHTR8[[2023    ]])+SUM(TRDGLR5[[2023    ]])</f>
        <v/>
      </c>
      <c r="P249" s="478">
        <f>+SUM(TRDTHOMAS[[2024 cumul    ]])+SUM(TRDJEANCLO[[2024 cumul    ]])+SUM(TRDHUGO[[2024 cumul    ]])+SUM(TRDARTHUR[[2024 cumul    ]])+SUM(TRDLYSE[[2024 cumul    ]])+SUM(TRDR314[[2024 cumul    ]])+SUM(TRDDIVES[[2024 cumul    ]])+SUM(TRDTH4[[2024 cumul    ]])+SUM(TRDVICTOIRE[[2024 cumul    ]])+SUM(TRDHART[[2024 cumul    ]])+SUM(TRDTURVILLA[[2024 cumul    ]])+SUM(TRDVR7[[2024 cumul    ]])+SUM(TRDTIRR[[2024 cumul    ]])+SUM(TRDHTR8[[2024 cumul    ]])+SUM(TRDGLR5[[2024 cumul    ]])</f>
        <v/>
      </c>
      <c r="Q249" s="478">
        <f>+SUM(TRDTHOMAS[[2023 cumul    ]])+SUM(TRDJEANCLO[[2023 cumul    ]])+SUM(TRDHUGO[[2023 cumul    ]])+SUM(TRDARTHUR[[2023 cumul    ]])+SUM(TRDLYSE[[2023 cumul    ]])+SUM(TRDR314[[2023 cumul    ]])+SUM(TRDDIVES[[2023 cumul    ]])+SUM(TRDTH4[[2023 cumul    ]])+SUM(TRDVICTOIRE[[2023 cumul    ]])+SUM(TRDHART[[2023 cumul    ]])+SUM(TRDTURVILLA[[2023 cumul    ]])+SUM(TRDVR7[[2023 cumul    ]])+SUM(TRDTIRR[[2023 cumul    ]])+SUM(TRDHTR8[[2023 cumul    ]])+SUM(TRDGLR5[[2023 cumul    ]])</f>
        <v/>
      </c>
      <c r="R249" s="478">
        <f>+SUM(TRDTHOMAS[THOMAS])+SUM(TRDJEANCLO[JEANCLO])+SUM(TRDHUGO[HUGO])+SUM(TRDARTHUR[ARTHUR])+SUM(TRDLYSE[LYSE])+SUM(TRDR314[R3 14])+SUM(TRDDIVES[TL DIVES])+SUM(TRDTH4[TH4])+SUM(TRDVICTOIRE[VICTOIRE''S])+SUM(TRDHART[HART])+SUM(TRDTURVILLA[TURVILLA])+SUM(TRDVR7[VR7])+SUM(TRDTIRR[TIRR])+SUM(TRDHTR8[HTR8])+SUM(TRDGLR5[GLR5])</f>
        <v/>
      </c>
      <c r="S249" s="478">
        <f>+SUM(TRDTHOMAS[2024])+SUM(TRDJEANCLO[2024])+SUM(TRDHUGO[2024])+SUM(TRDARTHUR[2024])+SUM(TRDLYSE[2024])+SUM(TRDR314[2024])+SUM(TRDDIVES[2024])+SUM(TRDTH4[2024])+SUM(TRDVICTOIRE[2024])+SUM(TRDHART[2024])+SUM(TRDTURVILLA[2024])+SUM(TRDVR7[2024])+SUM(TRDTIRR[2024])+SUM(TRDHTR8[2024])+SUM(TRDGLR5[2024])</f>
        <v/>
      </c>
      <c r="T249" s="478">
        <f>+SUM(TRDTHOMAS[2023])+SUM(TRDJEANCLO[2023])+SUM(TRDHUGO[2023])+SUM(TRDARTHUR[2023])+SUM(TRDLYSE[2023])+SUM(TRDR314[2023])+SUM(TRDDIVES[2023])+SUM(TRDTH4[2023])+SUM(TRDVICTOIRE[2023])+SUM(TRDHART[2023])+SUM(TRDTURVILLA[2023])+SUM(TRDVR7[2023])+SUM(TRDTIRR[2023])+SUM(TRDHTR8[2023])+SUM(TRDGLR5[2023])</f>
        <v/>
      </c>
      <c r="U249" s="478">
        <f>+SUM(TRDTHOMAS[2024 cumul])+SUM(TRDJEANCLO[2024 cumul])+SUM(TRDHUGO[2024 cumul])+SUM(TRDARTHUR[2024 cumul])+SUM(TRDLYSE[2024 cumul])+SUM(TRDR314[2024 cumul])+SUM(TRDDIVES[2024 cumul])+SUM(TRDTH4[2024 cumul])+SUM(TRDVICTOIRE[2024 cumul])+SUM(TRDHART[2024 cumul])+SUM(TRDTURVILLA[2024 cumul])+SUM(TRDVR7[2024 cumul])+SUM(TRDTIRR[2024 cumul])+SUM(TRDHTR8[2024 cumul])+SUM(TRDGLR5[2024 cumul])</f>
        <v/>
      </c>
      <c r="V249" s="474" t="n"/>
    </row>
    <row r="250" ht="10.15" customFormat="1" customHeight="1" s="476">
      <c r="A250" s="474" t="n"/>
      <c r="B250" s="478" t="n"/>
      <c r="C250" s="478" t="n"/>
      <c r="D250" s="101" t="n"/>
      <c r="E250" s="478" t="n"/>
      <c r="F250" s="478" t="n"/>
      <c r="G250" s="479" t="n"/>
      <c r="H250" s="475" t="n"/>
      <c r="I250" s="475" t="n"/>
      <c r="J250" s="478" t="n"/>
      <c r="K250" s="478" t="n"/>
      <c r="L250" s="101" t="n"/>
      <c r="M250" s="479" t="n"/>
      <c r="N250" s="474" t="n"/>
      <c r="O250" s="474" t="n"/>
      <c r="P250" s="474" t="n"/>
      <c r="Q250" s="474" t="n"/>
      <c r="R250" s="498" t="n"/>
      <c r="S250" s="474" t="n"/>
      <c r="T250" s="474" t="n"/>
      <c r="U250" s="474" t="n"/>
      <c r="V250" s="474" t="n"/>
    </row>
    <row r="251" ht="11.65" customFormat="1" customHeight="1" s="476">
      <c r="A251" s="474" t="n"/>
      <c r="B251" s="478" t="n"/>
      <c r="C251" s="478" t="n"/>
      <c r="D251" s="101" t="n"/>
      <c r="E251" s="478" t="n"/>
      <c r="F251" s="478" t="n"/>
      <c r="G251" s="479" t="n"/>
      <c r="H251" s="475" t="n"/>
      <c r="I251" s="475" t="n"/>
      <c r="J251" s="478" t="n"/>
      <c r="K251" s="478" t="n"/>
      <c r="L251" s="101" t="n"/>
      <c r="M251" s="479" t="n"/>
      <c r="N251" s="474" t="n"/>
      <c r="O251" s="474" t="n"/>
      <c r="P251" s="474" t="n"/>
      <c r="Q251" s="474" t="n"/>
      <c r="R251" s="498" t="n"/>
      <c r="S251" s="474" t="n"/>
      <c r="T251" s="474" t="n"/>
      <c r="U251" s="474" t="n"/>
      <c r="V251" s="474" t="n"/>
    </row>
    <row r="252" ht="16.15" customHeight="1" s="161"/>
    <row r="254" customFormat="1" s="478">
      <c r="A254" s="474" t="n"/>
      <c r="D254" s="101" t="n"/>
      <c r="G254" s="479" t="n"/>
      <c r="H254" s="475" t="n"/>
      <c r="I254" s="475" t="n"/>
      <c r="L254" s="101" t="n"/>
      <c r="M254" s="479" t="n"/>
      <c r="N254" s="474" t="n"/>
      <c r="O254" s="474" t="n"/>
      <c r="P254" s="474" t="n"/>
      <c r="Q254" s="474" t="n"/>
      <c r="S254" s="474" t="n"/>
      <c r="T254" s="474" t="n"/>
      <c r="U254" s="474" t="n"/>
      <c r="V254" s="474" t="n"/>
    </row>
  </sheetData>
  <mergeCells count="81">
    <mergeCell ref="B217:E217"/>
    <mergeCell ref="J96:M96"/>
    <mergeCell ref="N34:Q34"/>
    <mergeCell ref="F157:I157"/>
    <mergeCell ref="S202:V202"/>
    <mergeCell ref="J126:M126"/>
    <mergeCell ref="F187:I187"/>
    <mergeCell ref="S81:V81"/>
    <mergeCell ref="B232:E232"/>
    <mergeCell ref="B141:E141"/>
    <mergeCell ref="J19:M19"/>
    <mergeCell ref="S96:V96"/>
    <mergeCell ref="N141:Q141"/>
    <mergeCell ref="J4:M4"/>
    <mergeCell ref="N111:Q111"/>
    <mergeCell ref="S19:V19"/>
    <mergeCell ref="S34:V34"/>
    <mergeCell ref="F81:I81"/>
    <mergeCell ref="F96:I96"/>
    <mergeCell ref="J217:M217"/>
    <mergeCell ref="N202:Q202"/>
    <mergeCell ref="S141:V141"/>
    <mergeCell ref="B51:E51"/>
    <mergeCell ref="N217:Q217"/>
    <mergeCell ref="S4:V4"/>
    <mergeCell ref="F19:I19"/>
    <mergeCell ref="F34:I34"/>
    <mergeCell ref="F172:I172"/>
    <mergeCell ref="B66:E66"/>
    <mergeCell ref="S217:V217"/>
    <mergeCell ref="J141:M141"/>
    <mergeCell ref="N51:Q51"/>
    <mergeCell ref="N66:Q66"/>
    <mergeCell ref="J34:M34"/>
    <mergeCell ref="N232:Q232"/>
    <mergeCell ref="J157:M157"/>
    <mergeCell ref="S111:V111"/>
    <mergeCell ref="F126:I126"/>
    <mergeCell ref="N157:Q157"/>
    <mergeCell ref="N172:Q172"/>
    <mergeCell ref="F111:I111"/>
    <mergeCell ref="S157:V157"/>
    <mergeCell ref="J51:M51"/>
    <mergeCell ref="J232:M232"/>
    <mergeCell ref="S51:V51"/>
    <mergeCell ref="F4:I4"/>
    <mergeCell ref="J111:M111"/>
    <mergeCell ref="B81:E81"/>
    <mergeCell ref="S232:V232"/>
    <mergeCell ref="F202:I202"/>
    <mergeCell ref="F217:I217"/>
    <mergeCell ref="J202:M202"/>
    <mergeCell ref="N96:Q96"/>
    <mergeCell ref="B157:E157"/>
    <mergeCell ref="F66:I66"/>
    <mergeCell ref="J172:M172"/>
    <mergeCell ref="J187:M187"/>
    <mergeCell ref="B19:E19"/>
    <mergeCell ref="B172:E172"/>
    <mergeCell ref="B34:E34"/>
    <mergeCell ref="F141:I141"/>
    <mergeCell ref="N19:Q19"/>
    <mergeCell ref="B187:E187"/>
    <mergeCell ref="J66:M66"/>
    <mergeCell ref="S172:V172"/>
    <mergeCell ref="N187:Q187"/>
    <mergeCell ref="B4:E4"/>
    <mergeCell ref="B126:E126"/>
    <mergeCell ref="S187:V187"/>
    <mergeCell ref="N4:Q4"/>
    <mergeCell ref="N126:Q126"/>
    <mergeCell ref="S126:V126"/>
    <mergeCell ref="B202:E202"/>
    <mergeCell ref="J81:M81"/>
    <mergeCell ref="B96:E96"/>
    <mergeCell ref="N81:Q81"/>
    <mergeCell ref="F51:I51"/>
    <mergeCell ref="B111:E111"/>
    <mergeCell ref="F232:I232"/>
    <mergeCell ref="S66:V66"/>
    <mergeCell ref="A3:V3"/>
  </mergeCells>
  <printOptions horizontalCentered="1"/>
  <pageMargins left="0.5118110236220472" right="0.5118110236220472" top="0.7480314960629921" bottom="0.7480314960629921" header="0.3149606299212598" footer="0.3149606299212598"/>
  <pageSetup orientation="portrait" paperSize="9" scale="53" fitToHeight="3"/>
  <headerFooter>
    <oddHeader/>
    <oddFooter>&amp;C&amp;"Helv,Gras"&amp;11 Page &amp;P / &amp;N</oddFooter>
    <evenHeader/>
    <evenFooter/>
    <firstHeader/>
    <firstFooter/>
  </headerFooter>
  <rowBreaks count="2" manualBreakCount="2">
    <brk id="94" min="0" max="21" man="1"/>
    <brk id="185" min="0" max="21" man="1"/>
  </rowBreaks>
  <tableParts count="32">
    <tablePart xmlns:r="http://schemas.openxmlformats.org/officeDocument/2006/relationships" r:id="rId1"/>
    <tablePart xmlns:r="http://schemas.openxmlformats.org/officeDocument/2006/relationships" r:id="rId2"/>
    <tablePart xmlns:r="http://schemas.openxmlformats.org/officeDocument/2006/relationships" r:id="rId3"/>
    <tablePart xmlns:r="http://schemas.openxmlformats.org/officeDocument/2006/relationships" r:id="rId4"/>
    <tablePart xmlns:r="http://schemas.openxmlformats.org/officeDocument/2006/relationships" r:id="rId5"/>
    <tablePart xmlns:r="http://schemas.openxmlformats.org/officeDocument/2006/relationships" r:id="rId6"/>
    <tablePart xmlns:r="http://schemas.openxmlformats.org/officeDocument/2006/relationships" r:id="rId7"/>
    <tablePart xmlns:r="http://schemas.openxmlformats.org/officeDocument/2006/relationships" r:id="rId8"/>
    <tablePart xmlns:r="http://schemas.openxmlformats.org/officeDocument/2006/relationships" r:id="rId9"/>
    <tablePart xmlns:r="http://schemas.openxmlformats.org/officeDocument/2006/relationships" r:id="rId10"/>
    <tablePart xmlns:r="http://schemas.openxmlformats.org/officeDocument/2006/relationships" r:id="rId11"/>
    <tablePart xmlns:r="http://schemas.openxmlformats.org/officeDocument/2006/relationships" r:id="rId12"/>
    <tablePart xmlns:r="http://schemas.openxmlformats.org/officeDocument/2006/relationships" r:id="rId13"/>
    <tablePart xmlns:r="http://schemas.openxmlformats.org/officeDocument/2006/relationships" r:id="rId14"/>
    <tablePart xmlns:r="http://schemas.openxmlformats.org/officeDocument/2006/relationships" r:id="rId15"/>
    <tablePart xmlns:r="http://schemas.openxmlformats.org/officeDocument/2006/relationships" r:id="rId16"/>
    <tablePart xmlns:r="http://schemas.openxmlformats.org/officeDocument/2006/relationships" r:id="rId17"/>
    <tablePart xmlns:r="http://schemas.openxmlformats.org/officeDocument/2006/relationships" r:id="rId18"/>
    <tablePart xmlns:r="http://schemas.openxmlformats.org/officeDocument/2006/relationships" r:id="rId19"/>
    <tablePart xmlns:r="http://schemas.openxmlformats.org/officeDocument/2006/relationships" r:id="rId20"/>
    <tablePart xmlns:r="http://schemas.openxmlformats.org/officeDocument/2006/relationships" r:id="rId21"/>
    <tablePart xmlns:r="http://schemas.openxmlformats.org/officeDocument/2006/relationships" r:id="rId22"/>
    <tablePart xmlns:r="http://schemas.openxmlformats.org/officeDocument/2006/relationships" r:id="rId23"/>
    <tablePart xmlns:r="http://schemas.openxmlformats.org/officeDocument/2006/relationships" r:id="rId24"/>
    <tablePart xmlns:r="http://schemas.openxmlformats.org/officeDocument/2006/relationships" r:id="rId25"/>
    <tablePart xmlns:r="http://schemas.openxmlformats.org/officeDocument/2006/relationships" r:id="rId26"/>
    <tablePart xmlns:r="http://schemas.openxmlformats.org/officeDocument/2006/relationships" r:id="rId27"/>
    <tablePart xmlns:r="http://schemas.openxmlformats.org/officeDocument/2006/relationships" r:id="rId28"/>
    <tablePart xmlns:r="http://schemas.openxmlformats.org/officeDocument/2006/relationships" r:id="rId29"/>
    <tablePart xmlns:r="http://schemas.openxmlformats.org/officeDocument/2006/relationships" r:id="rId30"/>
    <tablePart xmlns:r="http://schemas.openxmlformats.org/officeDocument/2006/relationships" r:id="rId31"/>
    <tablePart xmlns:r="http://schemas.openxmlformats.org/officeDocument/2006/relationships" r:id="rId32"/>
  </tableParts>
</worksheet>
</file>

<file path=xl/worksheets/sheet107.xml><?xml version="1.0" encoding="utf-8"?>
<worksheet xmlns="http://schemas.openxmlformats.org/spreadsheetml/2006/main">
  <sheetPr codeName="Feuil106">
    <tabColor rgb="FF92D050"/>
    <outlinePr summaryBelow="1" summaryRight="1"/>
    <pageSetUpPr/>
  </sheetPr>
  <dimension ref="A1:O146"/>
  <sheetViews>
    <sheetView showGridLines="0" view="pageBreakPreview" topLeftCell="A70" zoomScaleNormal="85" zoomScaleSheetLayoutView="100" workbookViewId="0">
      <selection activeCell="G26" activeCellId="2" sqref="E16 M26 G26"/>
    </sheetView>
  </sheetViews>
  <sheetFormatPr baseColWidth="10" defaultColWidth="11.42578125" defaultRowHeight="12.75"/>
  <cols>
    <col width="15.7109375" customWidth="1" style="474" min="1" max="1"/>
    <col width="9.7109375" customWidth="1" style="475" min="2" max="3"/>
    <col width="8.42578125" customWidth="1" style="101" min="4" max="4"/>
    <col width="9.7109375" customWidth="1" style="475" min="5" max="6"/>
    <col width="9.7109375" customWidth="1" style="101" min="7" max="7"/>
    <col width="5.28515625" customWidth="1" style="475" min="8" max="8"/>
    <col width="15.7109375" customWidth="1" style="475" min="9" max="9"/>
    <col width="9.7109375" customWidth="1" style="475" min="10" max="11"/>
    <col width="9.7109375" customWidth="1" style="101" min="12" max="12"/>
    <col width="9.7109375" customWidth="1" style="475" min="13" max="14"/>
    <col width="9.7109375" customWidth="1" style="101" min="15" max="15"/>
    <col width="11.42578125" customWidth="1" style="474" min="16" max="16384"/>
  </cols>
  <sheetData>
    <row r="1">
      <c r="A1" s="372" t="inlineStr">
        <is>
          <t>GROUPE REGIS REGO DE SEBES</t>
        </is>
      </c>
      <c r="B1" s="347" t="n"/>
      <c r="C1" s="347" t="n"/>
      <c r="D1" s="98" t="n"/>
      <c r="E1" s="347" t="n"/>
      <c r="F1" s="347" t="n"/>
      <c r="G1" s="98" t="n"/>
      <c r="H1" s="474" t="n"/>
      <c r="I1" s="474" t="n"/>
      <c r="J1" s="474" t="n"/>
      <c r="O1" s="104">
        <f>CONCATENATE("P&amp;L ",RIGHT(DONNÉES!B5,LEN(DONNÉES!B5)-3))</f>
        <v/>
      </c>
    </row>
    <row r="2">
      <c r="A2" s="372" t="n"/>
      <c r="B2" s="347" t="n"/>
      <c r="C2" s="347" t="n"/>
      <c r="D2" s="98" t="n"/>
      <c r="E2" s="347" t="n"/>
      <c r="F2" s="347" t="n"/>
      <c r="G2" s="98" t="n"/>
      <c r="H2" s="373" t="n"/>
      <c r="I2" s="373" t="n"/>
      <c r="J2" s="373" t="n"/>
    </row>
    <row r="3" ht="15.6" customHeight="1" s="161">
      <c r="A3" s="374" t="inlineStr">
        <is>
          <t>Transactions</t>
        </is>
      </c>
    </row>
    <row r="4" ht="33" customHeight="1" s="161">
      <c r="A4" s="370" t="n"/>
      <c r="B4" s="370" t="n"/>
      <c r="C4" s="370" t="n"/>
      <c r="D4" s="99" t="n"/>
      <c r="E4" s="21" t="n"/>
      <c r="F4" s="20" t="n"/>
      <c r="G4" s="99" t="n"/>
      <c r="H4" s="370" t="n"/>
      <c r="I4" s="370" t="n"/>
      <c r="J4" s="370" t="n"/>
    </row>
    <row r="5" ht="33" customHeight="1" s="161">
      <c r="A5" s="474" t="inlineStr">
        <is>
          <t>GLR5</t>
        </is>
      </c>
      <c r="B5" s="94" t="inlineStr">
        <is>
          <t>2024</t>
        </is>
      </c>
      <c r="C5" s="94" t="inlineStr">
        <is>
          <t>2023</t>
        </is>
      </c>
      <c r="D5" s="100" t="inlineStr">
        <is>
          <t>Variat.</t>
        </is>
      </c>
      <c r="E5" s="95" t="inlineStr">
        <is>
          <t>Cumulé 2024</t>
        </is>
      </c>
      <c r="F5" s="95" t="inlineStr">
        <is>
          <t>Cumulé 2023</t>
        </is>
      </c>
      <c r="G5" s="100" t="inlineStr">
        <is>
          <t>Cumulé variat.</t>
        </is>
      </c>
      <c r="H5" s="474" t="n"/>
      <c r="I5" s="474" t="inlineStr">
        <is>
          <t>HTR8</t>
        </is>
      </c>
      <c r="J5" s="94" t="inlineStr">
        <is>
          <t>2024</t>
        </is>
      </c>
      <c r="K5" s="94" t="inlineStr">
        <is>
          <t>2023</t>
        </is>
      </c>
      <c r="L5" s="100" t="inlineStr">
        <is>
          <t>Variat.</t>
        </is>
      </c>
      <c r="M5" s="95" t="inlineStr">
        <is>
          <t>Cumulé 2024</t>
        </is>
      </c>
      <c r="N5" s="95" t="inlineStr">
        <is>
          <t>Cumulé 2023</t>
        </is>
      </c>
      <c r="O5" s="100" t="inlineStr">
        <is>
          <t>Cumulé variat.</t>
        </is>
      </c>
    </row>
    <row r="6" ht="13.15" customFormat="1" customHeight="1" s="476">
      <c r="A6" s="476" t="inlineStr">
        <is>
          <t>Janvier</t>
        </is>
      </c>
      <c r="B6" s="284">
        <f>IF(DONNÉES!K108="","",DONNÉES!K108)</f>
        <v/>
      </c>
      <c r="C6" s="284">
        <f>IF(TRGLR5[[#This Row],[2024]]="","",DONNÉES!L108)</f>
        <v/>
      </c>
      <c r="D6" s="96">
        <f>IF(TRGLR5[[#This Row],[2024]]="","",(TRGLR5[[#This Row],[2024]]-TRGLR5[[#This Row],[2023]])/TRGLR5[[#This Row],[2023]])</f>
        <v/>
      </c>
      <c r="E6" s="284">
        <f>IF(TRGLR5[[#This Row],[2024]]="","",TRGLR5[[#This Row],[2024]])</f>
        <v/>
      </c>
      <c r="F6" s="86">
        <f>IF(TRGLR5[[#This Row],[2024]]="","",+TRGLR5[[#This Row],[2023]])</f>
        <v/>
      </c>
      <c r="G6" s="97">
        <f>IF(TRGLR5[[#This Row],[Cumulé 2024]]="","",+(TRGLR5[[#This Row],[Cumulé 2024]]-TRGLR5[[#This Row],[Cumulé 2023]])/TRGLR5[[#This Row],[Cumulé 2023]])</f>
        <v/>
      </c>
      <c r="I6" s="476" t="inlineStr">
        <is>
          <t>Janvier</t>
        </is>
      </c>
      <c r="J6" s="284">
        <f>IF(DONNÉES!S108="","",DONNÉES!S108)</f>
        <v/>
      </c>
      <c r="K6" s="284">
        <f>IF(TRHTR8[[#This Row],[2024]]="","",DONNÉES!T108)</f>
        <v/>
      </c>
      <c r="L6" s="96">
        <f>IF(TRHTR8[[#This Row],[2024]]="","",(TRHTR8[[#This Row],[2024]]-TRHTR8[[#This Row],[2023]])/TRHTR8[[#This Row],[2023]])</f>
        <v/>
      </c>
      <c r="M6" s="284">
        <f>IF(TRHTR8[[#This Row],[2024]]="","",TRHTR8[[#This Row],[2024]])</f>
        <v/>
      </c>
      <c r="N6" s="86">
        <f>IF(TRHTR8[[#This Row],[2024]]="","",+TRHTR8[[#This Row],[2023]])</f>
        <v/>
      </c>
      <c r="O6" s="97">
        <f>IF(TRHTR8[[#This Row],[Cumulé 2024]]="","",+(TRHTR8[[#This Row],[Cumulé 2024]]-TRHTR8[[#This Row],[Cumulé 2023]])/TRHTR8[[#This Row],[Cumulé 2023]])</f>
        <v/>
      </c>
    </row>
    <row r="7" ht="13.15" customFormat="1" customHeight="1" s="476">
      <c r="A7" s="476" t="inlineStr">
        <is>
          <t>Février</t>
        </is>
      </c>
      <c r="B7" s="284">
        <f>IF(DONNÉES!K109="","",DONNÉES!K109)</f>
        <v/>
      </c>
      <c r="C7" s="284">
        <f>IF(TRGLR5[[#This Row],[2024]]="","",DONNÉES!L109)</f>
        <v/>
      </c>
      <c r="D7" s="96">
        <f>IF(TRGLR5[[#This Row],[2024]]="","",(TRGLR5[[#This Row],[2024]]-TRGLR5[[#This Row],[2023]])/TRGLR5[[#This Row],[2023]])</f>
        <v/>
      </c>
      <c r="E7" s="284">
        <f>IF(TRGLR5[[#This Row],[2024]]="","",TRGLR5[[#This Row],[2024]]+E6)</f>
        <v/>
      </c>
      <c r="F7" s="86">
        <f>IF(TRGLR5[[#This Row],[2024]]="","",+TRGLR5[[#This Row],[2023]]+F6)</f>
        <v/>
      </c>
      <c r="G7" s="97">
        <f>IF(TRGLR5[[#This Row],[Cumulé 2024]]="","",+(TRGLR5[[#This Row],[Cumulé 2024]]-TRGLR5[[#This Row],[Cumulé 2023]])/TRGLR5[[#This Row],[Cumulé 2023]])</f>
        <v/>
      </c>
      <c r="I7" s="476" t="inlineStr">
        <is>
          <t>Février</t>
        </is>
      </c>
      <c r="J7" s="284">
        <f>IF(DONNÉES!S109="","",DONNÉES!S109)</f>
        <v/>
      </c>
      <c r="K7" s="284">
        <f>IF(TRHTR8[[#This Row],[2024]]="","",DONNÉES!T109)</f>
        <v/>
      </c>
      <c r="L7" s="96">
        <f>IF(TRHTR8[[#This Row],[2024]]="","",(TRHTR8[[#This Row],[2024]]-TRHTR8[[#This Row],[2023]])/TRHTR8[[#This Row],[2023]])</f>
        <v/>
      </c>
      <c r="M7" s="284">
        <f>IF(TRHTR8[[#This Row],[2024]]="","",TRHTR8[[#This Row],[2024]]+M6)</f>
        <v/>
      </c>
      <c r="N7" s="86">
        <f>IF(TRHTR8[[#This Row],[2024]]="","",+TRHTR8[[#This Row],[2023]]+N6)</f>
        <v/>
      </c>
      <c r="O7" s="97">
        <f>IF(TRHTR8[[#This Row],[Cumulé 2024]]="","",+(TRHTR8[[#This Row],[Cumulé 2024]]-TRHTR8[[#This Row],[Cumulé 2023]])/TRHTR8[[#This Row],[Cumulé 2023]])</f>
        <v/>
      </c>
    </row>
    <row r="8" ht="13.15" customFormat="1" customHeight="1" s="476">
      <c r="A8" s="474" t="inlineStr">
        <is>
          <t>Mars</t>
        </is>
      </c>
      <c r="B8" s="284">
        <f>IF(DONNÉES!K110="","",DONNÉES!K110)</f>
        <v/>
      </c>
      <c r="C8" s="284">
        <f>IF(TRGLR5[[#This Row],[2024]]="","",DONNÉES!L110)</f>
        <v/>
      </c>
      <c r="D8" s="96">
        <f>IF(TRGLR5[[#This Row],[2024]]="","",(TRGLR5[[#This Row],[2024]]-TRGLR5[[#This Row],[2023]])/TRGLR5[[#This Row],[2023]])</f>
        <v/>
      </c>
      <c r="E8" s="284">
        <f>IF(TRGLR5[[#This Row],[2024]]="","",TRGLR5[[#This Row],[2024]]+E7)</f>
        <v/>
      </c>
      <c r="F8" s="86">
        <f>IF(TRGLR5[[#This Row],[2024]]="","",+TRGLR5[[#This Row],[2023]]+F7)</f>
        <v/>
      </c>
      <c r="G8" s="97">
        <f>IF(TRGLR5[[#This Row],[Cumulé 2024]]="","",+(TRGLR5[[#This Row],[Cumulé 2024]]-TRGLR5[[#This Row],[Cumulé 2023]])/TRGLR5[[#This Row],[Cumulé 2023]])</f>
        <v/>
      </c>
      <c r="I8" s="474" t="inlineStr">
        <is>
          <t>Mars</t>
        </is>
      </c>
      <c r="J8" s="284">
        <f>IF(DONNÉES!S110="","",DONNÉES!S110)</f>
        <v/>
      </c>
      <c r="K8" s="284">
        <f>IF(TRHTR8[[#This Row],[2024]]="","",DONNÉES!T110)</f>
        <v/>
      </c>
      <c r="L8" s="96">
        <f>IF(TRHTR8[[#This Row],[2024]]="","",(TRHTR8[[#This Row],[2024]]-TRHTR8[[#This Row],[2023]])/TRHTR8[[#This Row],[2023]])</f>
        <v/>
      </c>
      <c r="M8" s="284">
        <f>IF(TRHTR8[[#This Row],[2024]]="","",TRHTR8[[#This Row],[2024]]+M7)</f>
        <v/>
      </c>
      <c r="N8" s="86">
        <f>IF(TRHTR8[[#This Row],[2024]]="","",+TRHTR8[[#This Row],[2023]]+N7)</f>
        <v/>
      </c>
      <c r="O8" s="97">
        <f>IF(TRHTR8[[#This Row],[Cumulé 2024]]="","",+(TRHTR8[[#This Row],[Cumulé 2024]]-TRHTR8[[#This Row],[Cumulé 2023]])/TRHTR8[[#This Row],[Cumulé 2023]])</f>
        <v/>
      </c>
    </row>
    <row r="9" ht="13.15" customHeight="1" s="161">
      <c r="A9" s="476" t="inlineStr">
        <is>
          <t>Avril</t>
        </is>
      </c>
      <c r="B9" s="284">
        <f>IF(DONNÉES!K111="","",DONNÉES!K111)</f>
        <v/>
      </c>
      <c r="C9" s="284">
        <f>IF(TRGLR5[[#This Row],[2024]]="","",DONNÉES!L111)</f>
        <v/>
      </c>
      <c r="D9" s="96">
        <f>IF(TRGLR5[[#This Row],[2024]]="","",(TRGLR5[[#This Row],[2024]]-TRGLR5[[#This Row],[2023]])/TRGLR5[[#This Row],[2023]])</f>
        <v/>
      </c>
      <c r="E9" s="284">
        <f>IF(TRGLR5[[#This Row],[2024]]="","",TRGLR5[[#This Row],[2024]]+E8)</f>
        <v/>
      </c>
      <c r="F9" s="86">
        <f>IF(TRGLR5[[#This Row],[2024]]="","",+TRGLR5[[#This Row],[2023]]+F8)</f>
        <v/>
      </c>
      <c r="G9" s="97">
        <f>IF(TRGLR5[[#This Row],[Cumulé 2024]]="","",+(TRGLR5[[#This Row],[Cumulé 2024]]-TRGLR5[[#This Row],[Cumulé 2023]])/TRGLR5[[#This Row],[Cumulé 2023]])</f>
        <v/>
      </c>
      <c r="H9" s="474" t="n"/>
      <c r="I9" s="476" t="inlineStr">
        <is>
          <t>Avril</t>
        </is>
      </c>
      <c r="J9" s="284">
        <f>IF(DONNÉES!S111="","",DONNÉES!S111)</f>
        <v/>
      </c>
      <c r="K9" s="284">
        <f>IF(TRHTR8[[#This Row],[2024]]="","",DONNÉES!T111)</f>
        <v/>
      </c>
      <c r="L9" s="96">
        <f>IF(TRHTR8[[#This Row],[2024]]="","",(TRHTR8[[#This Row],[2024]]-TRHTR8[[#This Row],[2023]])/TRHTR8[[#This Row],[2023]])</f>
        <v/>
      </c>
      <c r="M9" s="284">
        <f>IF(TRHTR8[[#This Row],[2024]]="","",TRHTR8[[#This Row],[2024]]+M8)</f>
        <v/>
      </c>
      <c r="N9" s="86">
        <f>IF(TRHTR8[[#This Row],[2024]]="","",+TRHTR8[[#This Row],[2023]]+N8)</f>
        <v/>
      </c>
      <c r="O9" s="97">
        <f>IF(TRHTR8[[#This Row],[Cumulé 2024]]="","",+(TRHTR8[[#This Row],[Cumulé 2024]]-TRHTR8[[#This Row],[Cumulé 2023]])/TRHTR8[[#This Row],[Cumulé 2023]])</f>
        <v/>
      </c>
    </row>
    <row r="10" ht="13.15" customHeight="1" s="161">
      <c r="A10" s="474" t="inlineStr">
        <is>
          <t>Mai</t>
        </is>
      </c>
      <c r="B10" s="284">
        <f>IF(DONNÉES!K112="","",DONNÉES!K112)</f>
        <v/>
      </c>
      <c r="C10" s="284">
        <f>IF(TRGLR5[[#This Row],[2024]]="","",DONNÉES!L112)</f>
        <v/>
      </c>
      <c r="D10" s="96">
        <f>IF(TRGLR5[[#This Row],[2024]]="","",(TRGLR5[[#This Row],[2024]]-TRGLR5[[#This Row],[2023]])/TRGLR5[[#This Row],[2023]])</f>
        <v/>
      </c>
      <c r="E10" s="284">
        <f>IF(TRGLR5[[#This Row],[2024]]="","",TRGLR5[[#This Row],[2024]]+E9)</f>
        <v/>
      </c>
      <c r="F10" s="86">
        <f>IF(TRGLR5[[#This Row],[2024]]="","",+TRGLR5[[#This Row],[2023]]+F9)</f>
        <v/>
      </c>
      <c r="G10" s="97">
        <f>IF(TRGLR5[[#This Row],[Cumulé 2024]]="","",+(TRGLR5[[#This Row],[Cumulé 2024]]-TRGLR5[[#This Row],[Cumulé 2023]])/TRGLR5[[#This Row],[Cumulé 2023]])</f>
        <v/>
      </c>
      <c r="H10" s="474" t="n"/>
      <c r="I10" s="474" t="inlineStr">
        <is>
          <t>Mai</t>
        </is>
      </c>
      <c r="J10" s="284">
        <f>IF(DONNÉES!S112="","",DONNÉES!S112)</f>
        <v/>
      </c>
      <c r="K10" s="284">
        <f>IF(TRHTR8[[#This Row],[2024]]="","",DONNÉES!T112)</f>
        <v/>
      </c>
      <c r="L10" s="96">
        <f>IF(TRHTR8[[#This Row],[2024]]="","",(TRHTR8[[#This Row],[2024]]-TRHTR8[[#This Row],[2023]])/TRHTR8[[#This Row],[2023]])</f>
        <v/>
      </c>
      <c r="M10" s="284">
        <f>IF(TRHTR8[[#This Row],[2024]]="","",TRHTR8[[#This Row],[2024]]+M9)</f>
        <v/>
      </c>
      <c r="N10" s="86">
        <f>IF(TRHTR8[[#This Row],[2024]]="","",+TRHTR8[[#This Row],[2023]]+N9)</f>
        <v/>
      </c>
      <c r="O10" s="97">
        <f>IF(TRHTR8[[#This Row],[Cumulé 2024]]="","",+(TRHTR8[[#This Row],[Cumulé 2024]]-TRHTR8[[#This Row],[Cumulé 2023]])/TRHTR8[[#This Row],[Cumulé 2023]])</f>
        <v/>
      </c>
    </row>
    <row r="11" ht="13.15" customHeight="1" s="161">
      <c r="A11" s="476" t="inlineStr">
        <is>
          <t>Juin</t>
        </is>
      </c>
      <c r="B11" s="284">
        <f>IF(DONNÉES!K113="","",DONNÉES!K113)</f>
        <v/>
      </c>
      <c r="C11" s="284">
        <f>IF(TRGLR5[[#This Row],[2024]]="","",DONNÉES!L113)</f>
        <v/>
      </c>
      <c r="D11" s="96">
        <f>IF(TRGLR5[[#This Row],[2024]]="","",(TRGLR5[[#This Row],[2024]]-TRGLR5[[#This Row],[2023]])/TRGLR5[[#This Row],[2023]])</f>
        <v/>
      </c>
      <c r="E11" s="284">
        <f>IF(TRGLR5[[#This Row],[2024]]="","",TRGLR5[[#This Row],[2024]]+E10)</f>
        <v/>
      </c>
      <c r="F11" s="86">
        <f>IF(TRGLR5[[#This Row],[2024]]="","",+TRGLR5[[#This Row],[2023]]+F10)</f>
        <v/>
      </c>
      <c r="G11" s="97">
        <f>IF(TRGLR5[[#This Row],[Cumulé 2024]]="","",+(TRGLR5[[#This Row],[Cumulé 2024]]-TRGLR5[[#This Row],[Cumulé 2023]])/TRGLR5[[#This Row],[Cumulé 2023]])</f>
        <v/>
      </c>
      <c r="H11" s="474" t="n"/>
      <c r="I11" s="476" t="inlineStr">
        <is>
          <t>Juin</t>
        </is>
      </c>
      <c r="J11" s="284">
        <f>IF(DONNÉES!S113="","",DONNÉES!S113)</f>
        <v/>
      </c>
      <c r="K11" s="284">
        <f>IF(TRHTR8[[#This Row],[2024]]="","",DONNÉES!T113)</f>
        <v/>
      </c>
      <c r="L11" s="96">
        <f>IF(TRHTR8[[#This Row],[2024]]="","",(TRHTR8[[#This Row],[2024]]-TRHTR8[[#This Row],[2023]])/TRHTR8[[#This Row],[2023]])</f>
        <v/>
      </c>
      <c r="M11" s="284">
        <f>IF(TRHTR8[[#This Row],[2024]]="","",TRHTR8[[#This Row],[2024]]+M10)</f>
        <v/>
      </c>
      <c r="N11" s="86">
        <f>IF(TRHTR8[[#This Row],[2024]]="","",+TRHTR8[[#This Row],[2023]]+N10)</f>
        <v/>
      </c>
      <c r="O11" s="97">
        <f>IF(TRHTR8[[#This Row],[Cumulé 2024]]="","",+(TRHTR8[[#This Row],[Cumulé 2024]]-TRHTR8[[#This Row],[Cumulé 2023]])/TRHTR8[[#This Row],[Cumulé 2023]])</f>
        <v/>
      </c>
    </row>
    <row r="12" ht="13.15" customHeight="1" s="161">
      <c r="A12" s="474" t="inlineStr">
        <is>
          <t>Juillet</t>
        </is>
      </c>
      <c r="B12" s="284">
        <f>IF(DONNÉES!K114="","",DONNÉES!K114)</f>
        <v/>
      </c>
      <c r="C12" s="284">
        <f>IF(TRGLR5[[#This Row],[2024]]="","",DONNÉES!L114)</f>
        <v/>
      </c>
      <c r="D12" s="96">
        <f>IF(TRGLR5[[#This Row],[2024]]="","",(TRGLR5[[#This Row],[2024]]-TRGLR5[[#This Row],[2023]])/TRGLR5[[#This Row],[2023]])</f>
        <v/>
      </c>
      <c r="E12" s="284">
        <f>IF(TRGLR5[[#This Row],[2024]]="","",TRGLR5[[#This Row],[2024]]+E11)</f>
        <v/>
      </c>
      <c r="F12" s="86">
        <f>IF(TRGLR5[[#This Row],[2024]]="","",+TRGLR5[[#This Row],[2023]]+F11)</f>
        <v/>
      </c>
      <c r="G12" s="97">
        <f>IF(TRGLR5[[#This Row],[Cumulé 2024]]="","",+(TRGLR5[[#This Row],[Cumulé 2024]]-TRGLR5[[#This Row],[Cumulé 2023]])/TRGLR5[[#This Row],[Cumulé 2023]])</f>
        <v/>
      </c>
      <c r="H12" s="474" t="n"/>
      <c r="I12" s="474" t="inlineStr">
        <is>
          <t>Juillet</t>
        </is>
      </c>
      <c r="J12" s="284">
        <f>IF(DONNÉES!S114="","",DONNÉES!S114)</f>
        <v/>
      </c>
      <c r="K12" s="284">
        <f>IF(TRHTR8[[#This Row],[2024]]="","",DONNÉES!T114)</f>
        <v/>
      </c>
      <c r="L12" s="96">
        <f>IF(TRHTR8[[#This Row],[2024]]="","",(TRHTR8[[#This Row],[2024]]-TRHTR8[[#This Row],[2023]])/TRHTR8[[#This Row],[2023]])</f>
        <v/>
      </c>
      <c r="M12" s="284">
        <f>IF(TRHTR8[[#This Row],[2024]]="","",TRHTR8[[#This Row],[2024]]+M11)</f>
        <v/>
      </c>
      <c r="N12" s="86">
        <f>IF(TRHTR8[[#This Row],[2024]]="","",+TRHTR8[[#This Row],[2023]]+N11)</f>
        <v/>
      </c>
      <c r="O12" s="97">
        <f>IF(TRHTR8[[#This Row],[Cumulé 2024]]="","",+(TRHTR8[[#This Row],[Cumulé 2024]]-TRHTR8[[#This Row],[Cumulé 2023]])/TRHTR8[[#This Row],[Cumulé 2023]])</f>
        <v/>
      </c>
    </row>
    <row r="13" ht="13.15" customHeight="1" s="161">
      <c r="A13" s="476" t="inlineStr">
        <is>
          <t>Août</t>
        </is>
      </c>
      <c r="B13" s="284">
        <f>IF(DONNÉES!K115="","",DONNÉES!K115)</f>
        <v/>
      </c>
      <c r="C13" s="284">
        <f>IF(TRGLR5[[#This Row],[2024]]="","",DONNÉES!L115)</f>
        <v/>
      </c>
      <c r="D13" s="96">
        <f>IF(TRGLR5[[#This Row],[2024]]="","",(TRGLR5[[#This Row],[2024]]-TRGLR5[[#This Row],[2023]])/TRGLR5[[#This Row],[2023]])</f>
        <v/>
      </c>
      <c r="E13" s="284">
        <f>IF(TRGLR5[[#This Row],[2024]]="","",TRGLR5[[#This Row],[2024]]+E12)</f>
        <v/>
      </c>
      <c r="F13" s="86">
        <f>IF(TRGLR5[[#This Row],[2024]]="","",+TRGLR5[[#This Row],[2023]]+F12)</f>
        <v/>
      </c>
      <c r="G13" s="97">
        <f>IF(TRGLR5[[#This Row],[Cumulé 2024]]="","",+(TRGLR5[[#This Row],[Cumulé 2024]]-TRGLR5[[#This Row],[Cumulé 2023]])/TRGLR5[[#This Row],[Cumulé 2023]])</f>
        <v/>
      </c>
      <c r="H13" s="474" t="n"/>
      <c r="I13" s="476" t="inlineStr">
        <is>
          <t>Août</t>
        </is>
      </c>
      <c r="J13" s="284">
        <f>IF(DONNÉES!S115="","",DONNÉES!S115)</f>
        <v/>
      </c>
      <c r="K13" s="284">
        <f>IF(TRHTR8[[#This Row],[2024]]="","",DONNÉES!T115)</f>
        <v/>
      </c>
      <c r="L13" s="96">
        <f>IF(TRHTR8[[#This Row],[2024]]="","",(TRHTR8[[#This Row],[2024]]-TRHTR8[[#This Row],[2023]])/TRHTR8[[#This Row],[2023]])</f>
        <v/>
      </c>
      <c r="M13" s="284">
        <f>IF(TRHTR8[[#This Row],[2024]]="","",TRHTR8[[#This Row],[2024]]+M12)</f>
        <v/>
      </c>
      <c r="N13" s="86">
        <f>IF(TRHTR8[[#This Row],[2024]]="","",+TRHTR8[[#This Row],[2023]]+N12)</f>
        <v/>
      </c>
      <c r="O13" s="97">
        <f>IF(TRHTR8[[#This Row],[Cumulé 2024]]="","",+(TRHTR8[[#This Row],[Cumulé 2024]]-TRHTR8[[#This Row],[Cumulé 2023]])/TRHTR8[[#This Row],[Cumulé 2023]])</f>
        <v/>
      </c>
    </row>
    <row r="14" ht="13.15" customHeight="1" s="161">
      <c r="A14" s="474" t="inlineStr">
        <is>
          <t>Septembre</t>
        </is>
      </c>
      <c r="B14" s="86">
        <f>IF(DONNÉES!K116="","",DONNÉES!K116)</f>
        <v/>
      </c>
      <c r="C14" s="86">
        <f>IF(TRGLR5[[#This Row],[2024]]="","",DONNÉES!L116)</f>
        <v/>
      </c>
      <c r="D14" s="97">
        <f>IF(TRGLR5[[#This Row],[2024]]="","",(TRGLR5[[#This Row],[2024]]-TRGLR5[[#This Row],[2023]])/TRGLR5[[#This Row],[2023]])</f>
        <v/>
      </c>
      <c r="E14" s="284">
        <f>IF(TRGLR5[[#This Row],[2024]]="","",TRGLR5[[#This Row],[2024]]+E13)</f>
        <v/>
      </c>
      <c r="F14" s="86">
        <f>IF(TRGLR5[[#This Row],[2024]]="","",+TRGLR5[[#This Row],[2023]]+F13)</f>
        <v/>
      </c>
      <c r="G14" s="97">
        <f>IF(TRGLR5[[#This Row],[Cumulé 2024]]="","",+(TRGLR5[[#This Row],[Cumulé 2024]]-TRGLR5[[#This Row],[Cumulé 2023]])/TRGLR5[[#This Row],[Cumulé 2023]])</f>
        <v/>
      </c>
      <c r="I14" s="474" t="inlineStr">
        <is>
          <t>Septembre</t>
        </is>
      </c>
      <c r="J14" s="86">
        <f>IF(DONNÉES!S116="","",DONNÉES!S116)</f>
        <v/>
      </c>
      <c r="K14" s="86">
        <f>IF(TRHTR8[[#This Row],[2024]]="","",DONNÉES!T116)</f>
        <v/>
      </c>
      <c r="L14" s="97">
        <f>IF(TRHTR8[[#This Row],[2024]]="","",(TRHTR8[[#This Row],[2024]]-TRHTR8[[#This Row],[2023]])/TRHTR8[[#This Row],[2023]])</f>
        <v/>
      </c>
      <c r="M14" s="284">
        <f>IF(TRHTR8[[#This Row],[2024]]="","",TRHTR8[[#This Row],[2024]]+M13)</f>
        <v/>
      </c>
      <c r="N14" s="86">
        <f>IF(TRHTR8[[#This Row],[2024]]="","",+TRHTR8[[#This Row],[2023]]+N13)</f>
        <v/>
      </c>
      <c r="O14" s="97">
        <f>IF(TRHTR8[[#This Row],[Cumulé 2024]]="","",+(TRHTR8[[#This Row],[Cumulé 2024]]-TRHTR8[[#This Row],[Cumulé 2023]])/TRHTR8[[#This Row],[Cumulé 2023]])</f>
        <v/>
      </c>
    </row>
    <row r="15" ht="13.15" customHeight="1" s="161">
      <c r="A15" s="476" t="inlineStr">
        <is>
          <t>Octobre</t>
        </is>
      </c>
      <c r="B15" s="86">
        <f>IF(DONNÉES!K117="","",DONNÉES!K117)</f>
        <v/>
      </c>
      <c r="C15" s="86">
        <f>IF(TRGLR5[[#This Row],[2024]]="","",DONNÉES!L117)</f>
        <v/>
      </c>
      <c r="D15" s="97">
        <f>IF(TRGLR5[[#This Row],[2024]]="","",(TRGLR5[[#This Row],[2024]]-TRGLR5[[#This Row],[2023]])/TRGLR5[[#This Row],[2023]])</f>
        <v/>
      </c>
      <c r="E15" s="284">
        <f>IF(TRGLR5[[#This Row],[2024]]="","",TRGLR5[[#This Row],[2024]]+E14)</f>
        <v/>
      </c>
      <c r="F15" s="86">
        <f>IF(TRGLR5[[#This Row],[2024]]="","",+TRGLR5[[#This Row],[2023]]+F14)</f>
        <v/>
      </c>
      <c r="G15" s="97">
        <f>IF(TRGLR5[[#This Row],[Cumulé 2024]]="","",+(TRGLR5[[#This Row],[Cumulé 2024]]-TRGLR5[[#This Row],[Cumulé 2023]])/TRGLR5[[#This Row],[Cumulé 2023]])</f>
        <v/>
      </c>
      <c r="H15" s="474" t="n"/>
      <c r="I15" s="476" t="inlineStr">
        <is>
          <t>Octobre</t>
        </is>
      </c>
      <c r="J15" s="86">
        <f>IF(DONNÉES!S117="","",DONNÉES!S117)</f>
        <v/>
      </c>
      <c r="K15" s="86">
        <f>IF(TRHTR8[[#This Row],[2024]]="","",DONNÉES!T117)</f>
        <v/>
      </c>
      <c r="L15" s="97">
        <f>IF(TRHTR8[[#This Row],[2024]]="","",(TRHTR8[[#This Row],[2024]]-TRHTR8[[#This Row],[2023]])/TRHTR8[[#This Row],[2023]])</f>
        <v/>
      </c>
      <c r="M15" s="284">
        <f>IF(TRHTR8[[#This Row],[2024]]="","",TRHTR8[[#This Row],[2024]]+M14)</f>
        <v/>
      </c>
      <c r="N15" s="86">
        <f>IF(TRHTR8[[#This Row],[2024]]="","",+TRHTR8[[#This Row],[2023]]+N14)</f>
        <v/>
      </c>
      <c r="O15" s="97">
        <f>IF(TRHTR8[[#This Row],[Cumulé 2024]]="","",+(TRHTR8[[#This Row],[Cumulé 2024]]-TRHTR8[[#This Row],[Cumulé 2023]])/TRHTR8[[#This Row],[Cumulé 2023]])</f>
        <v/>
      </c>
    </row>
    <row r="16" ht="13.15" customFormat="1" customHeight="1" s="476">
      <c r="A16" s="474" t="inlineStr">
        <is>
          <t>Novembre</t>
        </is>
      </c>
      <c r="B16" s="86">
        <f>IF(DONNÉES!K118="","",DONNÉES!K118)</f>
        <v/>
      </c>
      <c r="C16" s="86">
        <f>IF(TRGLR5[[#This Row],[2024]]="","",DONNÉES!L118)</f>
        <v/>
      </c>
      <c r="D16" s="97">
        <f>IF(TRGLR5[[#This Row],[2024]]="","",(TRGLR5[[#This Row],[2024]]-TRGLR5[[#This Row],[2023]])/TRGLR5[[#This Row],[2023]])</f>
        <v/>
      </c>
      <c r="E16" s="284">
        <f>IF(TRGLR5[[#This Row],[2024]]="","",TRGLR5[[#This Row],[2024]]+E15)</f>
        <v/>
      </c>
      <c r="F16" s="86">
        <f>IF(TRGLR5[[#This Row],[2024]]="","",+TRGLR5[[#This Row],[2023]]+F15)</f>
        <v/>
      </c>
      <c r="G16" s="97">
        <f>IF(TRGLR5[[#This Row],[Cumulé 2024]]="","",+(TRGLR5[[#This Row],[Cumulé 2024]]-TRGLR5[[#This Row],[Cumulé 2023]])/TRGLR5[[#This Row],[Cumulé 2023]])</f>
        <v/>
      </c>
      <c r="I16" s="474" t="inlineStr">
        <is>
          <t>Novembre</t>
        </is>
      </c>
      <c r="J16" s="86">
        <f>IF(DONNÉES!S118="","",DONNÉES!S118)</f>
        <v/>
      </c>
      <c r="K16" s="86">
        <f>IF(TRHTR8[[#This Row],[2024]]="","",DONNÉES!T118)</f>
        <v/>
      </c>
      <c r="L16" s="97">
        <f>IF(TRHTR8[[#This Row],[2024]]="","",(TRHTR8[[#This Row],[2024]]-TRHTR8[[#This Row],[2023]])/TRHTR8[[#This Row],[2023]])</f>
        <v/>
      </c>
      <c r="M16" s="284">
        <f>IF(TRHTR8[[#This Row],[2024]]="","",TRHTR8[[#This Row],[2024]]+M15)</f>
        <v/>
      </c>
      <c r="N16" s="86">
        <f>IF(TRHTR8[[#This Row],[2024]]="","",+TRHTR8[[#This Row],[2023]]+N15)</f>
        <v/>
      </c>
      <c r="O16" s="97">
        <f>IF(TRHTR8[[#This Row],[Cumulé 2024]]="","",+(TRHTR8[[#This Row],[Cumulé 2024]]-TRHTR8[[#This Row],[Cumulé 2023]])/TRHTR8[[#This Row],[Cumulé 2023]])</f>
        <v/>
      </c>
    </row>
    <row r="17" ht="13.15" customFormat="1" customHeight="1" s="476">
      <c r="A17" s="474" t="inlineStr">
        <is>
          <t>Décembre</t>
        </is>
      </c>
      <c r="B17" s="86">
        <f>IF(DONNÉES!K119="","",DONNÉES!K119)</f>
        <v/>
      </c>
      <c r="C17" s="86">
        <f>IF(TRGLR5[[#This Row],[2024]]="","",DONNÉES!L119)</f>
        <v/>
      </c>
      <c r="D17" s="97">
        <f>IF(TRGLR5[[#This Row],[2024]]="","",(TRGLR5[[#This Row],[2024]]-TRGLR5[[#This Row],[2023]])/TRGLR5[[#This Row],[2023]])</f>
        <v/>
      </c>
      <c r="E17" s="284">
        <f>IF(TRGLR5[[#This Row],[2024]]="","",TRGLR5[[#This Row],[2024]]+E16)</f>
        <v/>
      </c>
      <c r="F17" s="86">
        <f>IF(TRGLR5[[#This Row],[2024]]="","",+TRGLR5[[#This Row],[2023]]+F16)</f>
        <v/>
      </c>
      <c r="G17" s="97">
        <f>IF(TRGLR5[[#This Row],[Cumulé 2024]]="","",+(TRGLR5[[#This Row],[Cumulé 2024]]-TRGLR5[[#This Row],[Cumulé 2023]])/TRGLR5[[#This Row],[Cumulé 2023]])</f>
        <v/>
      </c>
      <c r="I17" s="474" t="inlineStr">
        <is>
          <t>Décembre</t>
        </is>
      </c>
      <c r="J17" s="86">
        <f>IF(DONNÉES!S119="","",DONNÉES!S119)</f>
        <v/>
      </c>
      <c r="K17" s="86">
        <f>IF(TRHTR8[[#This Row],[2024]]="","",DONNÉES!T119)</f>
        <v/>
      </c>
      <c r="L17" s="97">
        <f>IF(TRHTR8[[#This Row],[2024]]="","",(TRHTR8[[#This Row],[2024]]-TRHTR8[[#This Row],[2023]])/TRHTR8[[#This Row],[2023]])</f>
        <v/>
      </c>
      <c r="M17" s="284">
        <f>IF(TRHTR8[[#This Row],[2024]]="","",TRHTR8[[#This Row],[2024]]+M16)</f>
        <v/>
      </c>
      <c r="N17" s="86">
        <f>IF(TRHTR8[[#This Row],[2024]]="","",+TRHTR8[[#This Row],[2023]]+N16)</f>
        <v/>
      </c>
      <c r="O17" s="97">
        <f>IF(TRHTR8[[#This Row],[Cumulé 2024]]="","",+(TRHTR8[[#This Row],[Cumulé 2024]]-TRHTR8[[#This Row],[Cumulé 2023]])/TRHTR8[[#This Row],[Cumulé 2023]])</f>
        <v/>
      </c>
    </row>
    <row r="18" ht="16.9" customFormat="1" customHeight="1" s="476">
      <c r="A18" s="354" t="inlineStr">
        <is>
          <t xml:space="preserve"> TOTAL </t>
        </is>
      </c>
      <c r="B18" s="92">
        <f>SUBTOTAL(109,TRGLR5[2024])</f>
        <v/>
      </c>
      <c r="C18" s="92">
        <f>SUBTOTAL(109,TRGLR5[2023])</f>
        <v/>
      </c>
      <c r="D18" s="125" t="n"/>
      <c r="E18" s="93" t="n"/>
      <c r="F18" s="92" t="n"/>
      <c r="G18" s="125" t="n"/>
      <c r="I18" s="354" t="inlineStr">
        <is>
          <t xml:space="preserve">  TOTAL  </t>
        </is>
      </c>
      <c r="J18" s="92">
        <f>SUBTOTAL(109,TRHTR8[2024])</f>
        <v/>
      </c>
      <c r="K18" s="92">
        <f>SUBTOTAL(109,TRHTR8[2023])</f>
        <v/>
      </c>
      <c r="L18" s="125" t="n"/>
      <c r="M18" s="93" t="n"/>
      <c r="N18" s="92" t="n"/>
    </row>
    <row r="19" ht="30.6" customHeight="1" s="161">
      <c r="H19" s="474" t="n"/>
    </row>
    <row r="20" ht="33" customHeight="1" s="161">
      <c r="A20" s="474" t="inlineStr">
        <is>
          <t>TIRR</t>
        </is>
      </c>
      <c r="B20" s="94" t="inlineStr">
        <is>
          <t>2024</t>
        </is>
      </c>
      <c r="C20" s="94" t="inlineStr">
        <is>
          <t>2023</t>
        </is>
      </c>
      <c r="D20" s="100" t="inlineStr">
        <is>
          <t>Variat.</t>
        </is>
      </c>
      <c r="E20" s="95" t="inlineStr">
        <is>
          <t>Cumulé 2024</t>
        </is>
      </c>
      <c r="F20" s="95" t="inlineStr">
        <is>
          <t>Cumulé 2023</t>
        </is>
      </c>
      <c r="G20" s="100" t="inlineStr">
        <is>
          <t>Cumulé variat.</t>
        </is>
      </c>
      <c r="H20" s="474" t="n"/>
      <c r="I20" s="474" t="inlineStr">
        <is>
          <t>VR7</t>
        </is>
      </c>
      <c r="J20" s="94" t="inlineStr">
        <is>
          <t>2024</t>
        </is>
      </c>
      <c r="K20" s="94" t="inlineStr">
        <is>
          <t>2023</t>
        </is>
      </c>
      <c r="L20" s="100" t="inlineStr">
        <is>
          <t>Variat.</t>
        </is>
      </c>
      <c r="M20" s="95" t="inlineStr">
        <is>
          <t>Cumulé 2024</t>
        </is>
      </c>
      <c r="N20" s="95" t="inlineStr">
        <is>
          <t>Cumulé 2023</t>
        </is>
      </c>
      <c r="O20" s="100" t="inlineStr">
        <is>
          <t>Cumulé variat.</t>
        </is>
      </c>
    </row>
    <row r="21" ht="13.15" customHeight="1" s="161">
      <c r="A21" s="476" t="inlineStr">
        <is>
          <t>Janvier</t>
        </is>
      </c>
      <c r="B21" s="284">
        <f>IF(DONNÉES!AA108="","",DONNÉES!AA108)</f>
        <v/>
      </c>
      <c r="C21" s="284">
        <f>IF(TRTIRR[[#This Row],[2024]]="","",DONNÉES!AB108)</f>
        <v/>
      </c>
      <c r="D21" s="96">
        <f>IF(TRTIRR[[#This Row],[2024]]="","",(TRTIRR[[#This Row],[2024]]-TRTIRR[[#This Row],[2023]])/TRTIRR[[#This Row],[2023]])</f>
        <v/>
      </c>
      <c r="E21" s="284">
        <f>IF(TRTIRR[[#This Row],[2024]]="","",TRTIRR[[#This Row],[2024]])</f>
        <v/>
      </c>
      <c r="F21" s="86">
        <f>IF(TRTIRR[[#This Row],[2024]]="","",+TRTIRR[[#This Row],[2023]])</f>
        <v/>
      </c>
      <c r="G21" s="97">
        <f>IF(TRTIRR[[#This Row],[Cumulé 2024]]="","",+(TRTIRR[[#This Row],[Cumulé 2024]]-TRTIRR[[#This Row],[Cumulé 2023]])/TRTIRR[[#This Row],[Cumulé 2023]])</f>
        <v/>
      </c>
      <c r="H21" s="474" t="n"/>
      <c r="I21" s="476" t="inlineStr">
        <is>
          <t>Janvier</t>
        </is>
      </c>
      <c r="J21" s="284">
        <f>IF(DONNÉES!AI108="","",DONNÉES!AI108)</f>
        <v/>
      </c>
      <c r="K21" s="284">
        <f>IF(TRVR7[[#This Row],[2024]]="","",DONNÉES!AJ108)</f>
        <v/>
      </c>
      <c r="L21" s="102">
        <f>IF(TRVR7[[#This Row],[2024]]="","",(TRVR7[[#This Row],[2024]]-TRVR7[[#This Row],[2023]])/TRVR7[[#This Row],[2023]])</f>
        <v/>
      </c>
      <c r="M21" s="87">
        <f>IF(TRVR7[[#This Row],[2024]]="","",TRVR7[[#This Row],[2024]])</f>
        <v/>
      </c>
      <c r="N21" s="86">
        <f>IF(TRVR7[[#This Row],[2024]]="","",+TRVR7[[#This Row],[2023]])</f>
        <v/>
      </c>
      <c r="O21" s="103">
        <f>IF(TRVR7[[#This Row],[Cumulé 2024]]="","",+(TRVR7[[#This Row],[Cumulé 2024]]-TRVR7[[#This Row],[Cumulé 2023]])/TRVR7[[#This Row],[Cumulé 2023]])</f>
        <v/>
      </c>
    </row>
    <row r="22" ht="13.15" customHeight="1" s="161">
      <c r="A22" s="476" t="inlineStr">
        <is>
          <t>Février</t>
        </is>
      </c>
      <c r="B22" s="284">
        <f>IF(DONNÉES!AA109="","",DONNÉES!AA109)</f>
        <v/>
      </c>
      <c r="C22" s="284">
        <f>IF(TRTIRR[[#This Row],[2024]]="","",DONNÉES!AB109)</f>
        <v/>
      </c>
      <c r="D22" s="96">
        <f>IF(TRTIRR[[#This Row],[2024]]="","",(TRTIRR[[#This Row],[2024]]-TRTIRR[[#This Row],[2023]])/TRTIRR[[#This Row],[2023]])</f>
        <v/>
      </c>
      <c r="E22" s="284">
        <f>IF(TRTIRR[[#This Row],[2024]]="","",TRTIRR[[#This Row],[2024]]+E21)</f>
        <v/>
      </c>
      <c r="F22" s="86">
        <f>IF(TRTIRR[[#This Row],[2024]]="","",+TRTIRR[[#This Row],[2023]]+F21)</f>
        <v/>
      </c>
      <c r="G22" s="97">
        <f>IF(TRTIRR[[#This Row],[Cumulé 2024]]="","",+(TRTIRR[[#This Row],[Cumulé 2024]]-TRTIRR[[#This Row],[Cumulé 2023]])/TRTIRR[[#This Row],[Cumulé 2023]])</f>
        <v/>
      </c>
      <c r="H22" s="474" t="n"/>
      <c r="I22" s="476" t="inlineStr">
        <is>
          <t>Février</t>
        </is>
      </c>
      <c r="J22" s="284">
        <f>IF(DONNÉES!AI109="","",DONNÉES!AI109)</f>
        <v/>
      </c>
      <c r="K22" s="284">
        <f>IF(TRVR7[[#This Row],[2024]]="","",DONNÉES!AJ109)</f>
        <v/>
      </c>
      <c r="L22" s="102">
        <f>IF(TRVR7[[#This Row],[2024]]="","",(TRVR7[[#This Row],[2024]]-TRVR7[[#This Row],[2023]])/TRVR7[[#This Row],[2023]])</f>
        <v/>
      </c>
      <c r="M22" s="87">
        <f>IF(TRVR7[[#This Row],[2024]]="","",TRVR7[[#This Row],[2024]]+M21)</f>
        <v/>
      </c>
      <c r="N22" s="86">
        <f>IF(TRVR7[[#This Row],[2024]]="","",+TRVR7[[#This Row],[2023]]+N21)</f>
        <v/>
      </c>
      <c r="O22" s="103">
        <f>IF(TRVR7[[#This Row],[Cumulé 2024]]="","",+(TRVR7[[#This Row],[Cumulé 2024]]-TRVR7[[#This Row],[Cumulé 2023]])/TRVR7[[#This Row],[Cumulé 2023]])</f>
        <v/>
      </c>
    </row>
    <row r="23" ht="13.15" customHeight="1" s="161">
      <c r="A23" s="474" t="inlineStr">
        <is>
          <t>Mars</t>
        </is>
      </c>
      <c r="B23" s="284">
        <f>IF(DONNÉES!AA110="","",DONNÉES!AA110)</f>
        <v/>
      </c>
      <c r="C23" s="284">
        <f>IF(TRTIRR[[#This Row],[2024]]="","",DONNÉES!AB110)</f>
        <v/>
      </c>
      <c r="D23" s="96">
        <f>IF(TRTIRR[[#This Row],[2024]]="","",(TRTIRR[[#This Row],[2024]]-TRTIRR[[#This Row],[2023]])/TRTIRR[[#This Row],[2023]])</f>
        <v/>
      </c>
      <c r="E23" s="284">
        <f>IF(TRTIRR[[#This Row],[2024]]="","",TRTIRR[[#This Row],[2024]]+E22)</f>
        <v/>
      </c>
      <c r="F23" s="86">
        <f>IF(TRTIRR[[#This Row],[2024]]="","",+TRTIRR[[#This Row],[2023]]+F22)</f>
        <v/>
      </c>
      <c r="G23" s="97">
        <f>IF(TRTIRR[[#This Row],[Cumulé 2024]]="","",+(TRTIRR[[#This Row],[Cumulé 2024]]-TRTIRR[[#This Row],[Cumulé 2023]])/TRTIRR[[#This Row],[Cumulé 2023]])</f>
        <v/>
      </c>
      <c r="H23" s="474" t="n"/>
      <c r="I23" s="474" t="inlineStr">
        <is>
          <t>Mars</t>
        </is>
      </c>
      <c r="J23" s="284">
        <f>IF(DONNÉES!AI110="","",DONNÉES!AI110)</f>
        <v/>
      </c>
      <c r="K23" s="284">
        <f>IF(TRVR7[[#This Row],[2024]]="","",DONNÉES!AJ110)</f>
        <v/>
      </c>
      <c r="L23" s="102">
        <f>IF(TRVR7[[#This Row],[2024]]="","",(TRVR7[[#This Row],[2024]]-TRVR7[[#This Row],[2023]])/TRVR7[[#This Row],[2023]])</f>
        <v/>
      </c>
      <c r="M23" s="87">
        <f>IF(TRVR7[[#This Row],[2024]]="","",TRVR7[[#This Row],[2024]]+M22)</f>
        <v/>
      </c>
      <c r="N23" s="86">
        <f>IF(TRVR7[[#This Row],[2024]]="","",+TRVR7[[#This Row],[2023]]+N22)</f>
        <v/>
      </c>
      <c r="O23" s="103">
        <f>IF(TRVR7[[#This Row],[Cumulé 2024]]="","",+(TRVR7[[#This Row],[Cumulé 2024]]-TRVR7[[#This Row],[Cumulé 2023]])/TRVR7[[#This Row],[Cumulé 2023]])</f>
        <v/>
      </c>
    </row>
    <row r="24" ht="13.15" customHeight="1" s="161">
      <c r="A24" s="476" t="inlineStr">
        <is>
          <t>Avril</t>
        </is>
      </c>
      <c r="B24" s="284">
        <f>IF(DONNÉES!AA111="","",DONNÉES!AA111)</f>
        <v/>
      </c>
      <c r="C24" s="284">
        <f>IF(TRTIRR[[#This Row],[2024]]="","",DONNÉES!AB111)</f>
        <v/>
      </c>
      <c r="D24" s="96">
        <f>IF(TRTIRR[[#This Row],[2024]]="","",(TRTIRR[[#This Row],[2024]]-TRTIRR[[#This Row],[2023]])/TRTIRR[[#This Row],[2023]])</f>
        <v/>
      </c>
      <c r="E24" s="284">
        <f>IF(TRTIRR[[#This Row],[2024]]="","",TRTIRR[[#This Row],[2024]]+E23)</f>
        <v/>
      </c>
      <c r="F24" s="86">
        <f>IF(TRTIRR[[#This Row],[2024]]="","",+TRTIRR[[#This Row],[2023]]+F23)</f>
        <v/>
      </c>
      <c r="G24" s="97">
        <f>IF(TRTIRR[[#This Row],[Cumulé 2024]]="","",+(TRTIRR[[#This Row],[Cumulé 2024]]-TRTIRR[[#This Row],[Cumulé 2023]])/TRTIRR[[#This Row],[Cumulé 2023]])</f>
        <v/>
      </c>
      <c r="I24" s="476" t="inlineStr">
        <is>
          <t>Avril</t>
        </is>
      </c>
      <c r="J24" s="284">
        <f>IF(DONNÉES!AI111="","",DONNÉES!AI111)</f>
        <v/>
      </c>
      <c r="K24" s="284">
        <f>IF(TRVR7[[#This Row],[2024]]="","",DONNÉES!AJ111)</f>
        <v/>
      </c>
      <c r="L24" s="102">
        <f>IF(TRVR7[[#This Row],[2024]]="","",(TRVR7[[#This Row],[2024]]-TRVR7[[#This Row],[2023]])/TRVR7[[#This Row],[2023]])</f>
        <v/>
      </c>
      <c r="M24" s="87">
        <f>IF(TRVR7[[#This Row],[2024]]="","",TRVR7[[#This Row],[2024]]+M23)</f>
        <v/>
      </c>
      <c r="N24" s="86">
        <f>IF(TRVR7[[#This Row],[2024]]="","",+TRVR7[[#This Row],[2023]]+N23)</f>
        <v/>
      </c>
      <c r="O24" s="103">
        <f>IF(TRVR7[[#This Row],[Cumulé 2024]]="","",+(TRVR7[[#This Row],[Cumulé 2024]]-TRVR7[[#This Row],[Cumulé 2023]])/TRVR7[[#This Row],[Cumulé 2023]])</f>
        <v/>
      </c>
    </row>
    <row r="25" ht="13.15" customHeight="1" s="161">
      <c r="A25" s="474" t="inlineStr">
        <is>
          <t>Mai</t>
        </is>
      </c>
      <c r="B25" s="284">
        <f>IF(DONNÉES!AA112="","",DONNÉES!AA112)</f>
        <v/>
      </c>
      <c r="C25" s="284">
        <f>IF(TRTIRR[[#This Row],[2024]]="","",DONNÉES!AB112)</f>
        <v/>
      </c>
      <c r="D25" s="96">
        <f>IF(TRTIRR[[#This Row],[2024]]="","",(TRTIRR[[#This Row],[2024]]-TRTIRR[[#This Row],[2023]])/TRTIRR[[#This Row],[2023]])</f>
        <v/>
      </c>
      <c r="E25" s="284">
        <f>IF(TRTIRR[[#This Row],[2024]]="","",TRTIRR[[#This Row],[2024]]+E24)</f>
        <v/>
      </c>
      <c r="F25" s="86">
        <f>IF(TRTIRR[[#This Row],[2024]]="","",+TRTIRR[[#This Row],[2023]]+F24)</f>
        <v/>
      </c>
      <c r="G25" s="97">
        <f>IF(TRTIRR[[#This Row],[Cumulé 2024]]="","",+(TRTIRR[[#This Row],[Cumulé 2024]]-TRTIRR[[#This Row],[Cumulé 2023]])/TRTIRR[[#This Row],[Cumulé 2023]])</f>
        <v/>
      </c>
      <c r="H25" s="474" t="n"/>
      <c r="I25" s="474" t="inlineStr">
        <is>
          <t>Mai</t>
        </is>
      </c>
      <c r="J25" s="284">
        <f>IF(DONNÉES!AI112="","",DONNÉES!AI112)</f>
        <v/>
      </c>
      <c r="K25" s="284">
        <f>IF(TRVR7[[#This Row],[2024]]="","",DONNÉES!AJ112)</f>
        <v/>
      </c>
      <c r="L25" s="102">
        <f>IF(TRVR7[[#This Row],[2024]]="","",(TRVR7[[#This Row],[2024]]-TRVR7[[#This Row],[2023]])/TRVR7[[#This Row],[2023]])</f>
        <v/>
      </c>
      <c r="M25" s="87">
        <f>IF(TRVR7[[#This Row],[2024]]="","",TRVR7[[#This Row],[2024]]+M24)</f>
        <v/>
      </c>
      <c r="N25" s="86">
        <f>IF(TRVR7[[#This Row],[2024]]="","",+TRVR7[[#This Row],[2023]]+N24)</f>
        <v/>
      </c>
      <c r="O25" s="103">
        <f>IF(TRVR7[[#This Row],[Cumulé 2024]]="","",+(TRVR7[[#This Row],[Cumulé 2024]]-TRVR7[[#This Row],[Cumulé 2023]])/TRVR7[[#This Row],[Cumulé 2023]])</f>
        <v/>
      </c>
    </row>
    <row r="26" ht="13.15" customFormat="1" customHeight="1" s="476">
      <c r="A26" s="476" t="inlineStr">
        <is>
          <t>Juin</t>
        </is>
      </c>
      <c r="B26" s="284">
        <f>IF(DONNÉES!AA113="","",DONNÉES!AA113)</f>
        <v/>
      </c>
      <c r="C26" s="284">
        <f>IF(TRTIRR[[#This Row],[2024]]="","",DONNÉES!AB113)</f>
        <v/>
      </c>
      <c r="D26" s="96">
        <f>IF(TRTIRR[[#This Row],[2024]]="","",(TRTIRR[[#This Row],[2024]]-TRTIRR[[#This Row],[2023]])/TRTIRR[[#This Row],[2023]])</f>
        <v/>
      </c>
      <c r="E26" s="284">
        <f>IF(TRTIRR[[#This Row],[2024]]="","",TRTIRR[[#This Row],[2024]]+E25)</f>
        <v/>
      </c>
      <c r="F26" s="86">
        <f>IF(TRTIRR[[#This Row],[2024]]="","",+TRTIRR[[#This Row],[2023]]+F25)</f>
        <v/>
      </c>
      <c r="G26" s="97">
        <f>IF(TRTIRR[[#This Row],[Cumulé 2024]]="","",+(TRTIRR[[#This Row],[Cumulé 2024]]-TRTIRR[[#This Row],[Cumulé 2023]])/TRTIRR[[#This Row],[Cumulé 2023]])</f>
        <v/>
      </c>
      <c r="I26" s="476" t="inlineStr">
        <is>
          <t>Juin</t>
        </is>
      </c>
      <c r="J26" s="284">
        <f>IF(DONNÉES!AI113="","",DONNÉES!AI113)</f>
        <v/>
      </c>
      <c r="K26" s="284">
        <f>IF(TRVR7[[#This Row],[2024]]="","",DONNÉES!AJ113)</f>
        <v/>
      </c>
      <c r="L26" s="102">
        <f>IF(TRVR7[[#This Row],[2024]]="","",(TRVR7[[#This Row],[2024]]-TRVR7[[#This Row],[2023]])/TRVR7[[#This Row],[2023]])</f>
        <v/>
      </c>
      <c r="M26" s="87">
        <f>IF(TRVR7[[#This Row],[2024]]="","",TRVR7[[#This Row],[2024]]+M25)</f>
        <v/>
      </c>
      <c r="N26" s="86">
        <f>IF(TRVR7[[#This Row],[2024]]="","",+TRVR7[[#This Row],[2023]]+N25)</f>
        <v/>
      </c>
      <c r="O26" s="103">
        <f>IF(TRVR7[[#This Row],[Cumulé 2024]]="","",+(TRVR7[[#This Row],[Cumulé 2024]]-TRVR7[[#This Row],[Cumulé 2023]])/TRVR7[[#This Row],[Cumulé 2023]])</f>
        <v/>
      </c>
    </row>
    <row r="27" ht="13.15" customFormat="1" customHeight="1" s="476">
      <c r="A27" s="474" t="inlineStr">
        <is>
          <t>Juillet</t>
        </is>
      </c>
      <c r="B27" s="284">
        <f>IF(DONNÉES!AA114="","",DONNÉES!AA114)</f>
        <v/>
      </c>
      <c r="C27" s="284">
        <f>IF(TRTIRR[[#This Row],[2024]]="","",DONNÉES!AB114)</f>
        <v/>
      </c>
      <c r="D27" s="96">
        <f>IF(TRTIRR[[#This Row],[2024]]="","",(TRTIRR[[#This Row],[2024]]-TRTIRR[[#This Row],[2023]])/TRTIRR[[#This Row],[2023]])</f>
        <v/>
      </c>
      <c r="E27" s="284">
        <f>IF(TRTIRR[[#This Row],[2024]]="","",TRTIRR[[#This Row],[2024]]+E26)</f>
        <v/>
      </c>
      <c r="F27" s="86">
        <f>IF(TRTIRR[[#This Row],[2024]]="","",+TRTIRR[[#This Row],[2023]]+F26)</f>
        <v/>
      </c>
      <c r="G27" s="97">
        <f>IF(TRTIRR[[#This Row],[Cumulé 2024]]="","",+(TRTIRR[[#This Row],[Cumulé 2024]]-TRTIRR[[#This Row],[Cumulé 2023]])/TRTIRR[[#This Row],[Cumulé 2023]])</f>
        <v/>
      </c>
      <c r="I27" s="474" t="inlineStr">
        <is>
          <t>Juillet</t>
        </is>
      </c>
      <c r="J27" s="284">
        <f>IF(DONNÉES!AI114="","",DONNÉES!AI114)</f>
        <v/>
      </c>
      <c r="K27" s="284">
        <f>IF(TRVR7[[#This Row],[2024]]="","",DONNÉES!AJ114)</f>
        <v/>
      </c>
      <c r="L27" s="102">
        <f>IF(TRVR7[[#This Row],[2024]]="","",(TRVR7[[#This Row],[2024]]-TRVR7[[#This Row],[2023]])/TRVR7[[#This Row],[2023]])</f>
        <v/>
      </c>
      <c r="M27" s="87">
        <f>IF(TRVR7[[#This Row],[2024]]="","",TRVR7[[#This Row],[2024]]+M26)</f>
        <v/>
      </c>
      <c r="N27" s="86">
        <f>IF(TRVR7[[#This Row],[2024]]="","",+TRVR7[[#This Row],[2023]]+N26)</f>
        <v/>
      </c>
      <c r="O27" s="103">
        <f>IF(TRVR7[[#This Row],[Cumulé 2024]]="","",+(TRVR7[[#This Row],[Cumulé 2024]]-TRVR7[[#This Row],[Cumulé 2023]])/TRVR7[[#This Row],[Cumulé 2023]])</f>
        <v/>
      </c>
    </row>
    <row r="28" ht="13.15" customFormat="1" customHeight="1" s="476">
      <c r="A28" s="476" t="inlineStr">
        <is>
          <t>Août</t>
        </is>
      </c>
      <c r="B28" s="284">
        <f>IF(DONNÉES!AA115="","",DONNÉES!AA115)</f>
        <v/>
      </c>
      <c r="C28" s="284">
        <f>IF(TRTIRR[[#This Row],[2024]]="","",DONNÉES!AB115)</f>
        <v/>
      </c>
      <c r="D28" s="96">
        <f>IF(TRTIRR[[#This Row],[2024]]="","",(TRTIRR[[#This Row],[2024]]-TRTIRR[[#This Row],[2023]])/TRTIRR[[#This Row],[2023]])</f>
        <v/>
      </c>
      <c r="E28" s="284">
        <f>IF(TRTIRR[[#This Row],[2024]]="","",TRTIRR[[#This Row],[2024]]+E27)</f>
        <v/>
      </c>
      <c r="F28" s="86">
        <f>IF(TRTIRR[[#This Row],[2024]]="","",+TRTIRR[[#This Row],[2023]]+F27)</f>
        <v/>
      </c>
      <c r="G28" s="97">
        <f>IF(TRTIRR[[#This Row],[Cumulé 2024]]="","",+(TRTIRR[[#This Row],[Cumulé 2024]]-TRTIRR[[#This Row],[Cumulé 2023]])/TRTIRR[[#This Row],[Cumulé 2023]])</f>
        <v/>
      </c>
      <c r="I28" s="476" t="inlineStr">
        <is>
          <t>Août</t>
        </is>
      </c>
      <c r="J28" s="284">
        <f>IF(DONNÉES!AI115="","",DONNÉES!AI115)</f>
        <v/>
      </c>
      <c r="K28" s="284">
        <f>IF(TRVR7[[#This Row],[2024]]="","",DONNÉES!AJ115)</f>
        <v/>
      </c>
      <c r="L28" s="102">
        <f>IF(TRVR7[[#This Row],[2024]]="","",(TRVR7[[#This Row],[2024]]-TRVR7[[#This Row],[2023]])/TRVR7[[#This Row],[2023]])</f>
        <v/>
      </c>
      <c r="M28" s="87">
        <f>IF(TRVR7[[#This Row],[2024]]="","",TRVR7[[#This Row],[2024]]+M27)</f>
        <v/>
      </c>
      <c r="N28" s="86">
        <f>IF(TRVR7[[#This Row],[2024]]="","",+TRVR7[[#This Row],[2023]]+N27)</f>
        <v/>
      </c>
      <c r="O28" s="103">
        <f>IF(TRVR7[[#This Row],[Cumulé 2024]]="","",+(TRVR7[[#This Row],[Cumulé 2024]]-TRVR7[[#This Row],[Cumulé 2023]])/TRVR7[[#This Row],[Cumulé 2023]])</f>
        <v/>
      </c>
    </row>
    <row r="29" ht="13.15" customHeight="1" s="161">
      <c r="A29" s="474" t="inlineStr">
        <is>
          <t>Septembre</t>
        </is>
      </c>
      <c r="B29" s="86">
        <f>IF(DONNÉES!AA116="","",DONNÉES!AA116)</f>
        <v/>
      </c>
      <c r="C29" s="86">
        <f>IF(TRTIRR[[#This Row],[2024]]="","",DONNÉES!AB116)</f>
        <v/>
      </c>
      <c r="D29" s="97">
        <f>IF(TRTIRR[[#This Row],[2024]]="","",(TRTIRR[[#This Row],[2024]]-TRTIRR[[#This Row],[2023]])/TRTIRR[[#This Row],[2023]])</f>
        <v/>
      </c>
      <c r="E29" s="284">
        <f>IF(TRTIRR[[#This Row],[2024]]="","",TRTIRR[[#This Row],[2024]]+E28)</f>
        <v/>
      </c>
      <c r="F29" s="86">
        <f>IF(TRTIRR[[#This Row],[2024]]="","",+TRTIRR[[#This Row],[2023]]+F28)</f>
        <v/>
      </c>
      <c r="G29" s="97">
        <f>IF(TRTIRR[[#This Row],[Cumulé 2024]]="","",+(TRTIRR[[#This Row],[Cumulé 2024]]-TRTIRR[[#This Row],[Cumulé 2023]])/TRTIRR[[#This Row],[Cumulé 2023]])</f>
        <v/>
      </c>
      <c r="H29" s="474" t="n"/>
      <c r="I29" s="474" t="inlineStr">
        <is>
          <t>Septembre</t>
        </is>
      </c>
      <c r="J29" s="86">
        <f>IF(DONNÉES!AI116="","",DONNÉES!AI116)</f>
        <v/>
      </c>
      <c r="K29" s="86">
        <f>IF(TRVR7[[#This Row],[2024]]="","",DONNÉES!AJ116)</f>
        <v/>
      </c>
      <c r="L29" s="103">
        <f>IF(TRVR7[[#This Row],[2024]]="","",(TRVR7[[#This Row],[2024]]-TRVR7[[#This Row],[2023]])/TRVR7[[#This Row],[2023]])</f>
        <v/>
      </c>
      <c r="M29" s="87">
        <f>IF(TRVR7[[#This Row],[2024]]="","",TRVR7[[#This Row],[2024]]+M28)</f>
        <v/>
      </c>
      <c r="N29" s="86">
        <f>IF(TRVR7[[#This Row],[2024]]="","",+TRVR7[[#This Row],[2023]]+N28)</f>
        <v/>
      </c>
      <c r="O29" s="103">
        <f>IF(TRVR7[[#This Row],[Cumulé 2024]]="","",+(TRVR7[[#This Row],[Cumulé 2024]]-TRVR7[[#This Row],[Cumulé 2023]])/TRVR7[[#This Row],[Cumulé 2023]])</f>
        <v/>
      </c>
    </row>
    <row r="30" ht="13.15" customHeight="1" s="161">
      <c r="A30" s="476" t="inlineStr">
        <is>
          <t>Octobre</t>
        </is>
      </c>
      <c r="B30" s="86">
        <f>IF(DONNÉES!AA117="","",DONNÉES!AA117)</f>
        <v/>
      </c>
      <c r="C30" s="86">
        <f>IF(TRTIRR[[#This Row],[2024]]="","",DONNÉES!AB117)</f>
        <v/>
      </c>
      <c r="D30" s="97">
        <f>IF(TRTIRR[[#This Row],[2024]]="","",(TRTIRR[[#This Row],[2024]]-TRTIRR[[#This Row],[2023]])/TRTIRR[[#This Row],[2023]])</f>
        <v/>
      </c>
      <c r="E30" s="284">
        <f>IF(TRTIRR[[#This Row],[2024]]="","",TRTIRR[[#This Row],[2024]]+E29)</f>
        <v/>
      </c>
      <c r="F30" s="86">
        <f>IF(TRTIRR[[#This Row],[2024]]="","",+TRTIRR[[#This Row],[2023]]+F29)</f>
        <v/>
      </c>
      <c r="G30" s="97">
        <f>IF(TRTIRR[[#This Row],[Cumulé 2024]]="","",+(TRTIRR[[#This Row],[Cumulé 2024]]-TRTIRR[[#This Row],[Cumulé 2023]])/TRTIRR[[#This Row],[Cumulé 2023]])</f>
        <v/>
      </c>
      <c r="H30" s="474" t="n"/>
      <c r="I30" s="476" t="inlineStr">
        <is>
          <t>Octobre</t>
        </is>
      </c>
      <c r="J30" s="86">
        <f>IF(DONNÉES!AI117="","",DONNÉES!AI117)</f>
        <v/>
      </c>
      <c r="K30" s="86">
        <f>IF(TRVR7[[#This Row],[2024]]="","",DONNÉES!AJ117)</f>
        <v/>
      </c>
      <c r="L30" s="103">
        <f>IF(TRVR7[[#This Row],[2024]]="","",(TRVR7[[#This Row],[2024]]-TRVR7[[#This Row],[2023]])/TRVR7[[#This Row],[2023]])</f>
        <v/>
      </c>
      <c r="M30" s="87">
        <f>IF(TRVR7[[#This Row],[2024]]="","",TRVR7[[#This Row],[2024]]+M29)</f>
        <v/>
      </c>
      <c r="N30" s="86">
        <f>IF(TRVR7[[#This Row],[2024]]="","",+TRVR7[[#This Row],[2023]]+N29)</f>
        <v/>
      </c>
      <c r="O30" s="103">
        <f>IF(TRVR7[[#This Row],[Cumulé 2024]]="","",+(TRVR7[[#This Row],[Cumulé 2024]]-TRVR7[[#This Row],[Cumulé 2023]])/TRVR7[[#This Row],[Cumulé 2023]])</f>
        <v/>
      </c>
    </row>
    <row r="31" ht="13.15" customHeight="1" s="161">
      <c r="A31" s="474" t="inlineStr">
        <is>
          <t>Novembre</t>
        </is>
      </c>
      <c r="B31" s="86">
        <f>IF(DONNÉES!AA118="","",DONNÉES!AA118)</f>
        <v/>
      </c>
      <c r="C31" s="86">
        <f>IF(TRTIRR[[#This Row],[2024]]="","",DONNÉES!AB118)</f>
        <v/>
      </c>
      <c r="D31" s="97">
        <f>IF(TRTIRR[[#This Row],[2024]]="","",(TRTIRR[[#This Row],[2024]]-TRTIRR[[#This Row],[2023]])/TRTIRR[[#This Row],[2023]])</f>
        <v/>
      </c>
      <c r="E31" s="284">
        <f>IF(TRTIRR[[#This Row],[2024]]="","",TRTIRR[[#This Row],[2024]]+E30)</f>
        <v/>
      </c>
      <c r="F31" s="86">
        <f>IF(TRTIRR[[#This Row],[2024]]="","",+TRTIRR[[#This Row],[2023]]+F30)</f>
        <v/>
      </c>
      <c r="G31" s="97">
        <f>IF(TRTIRR[[#This Row],[Cumulé 2024]]="","",+(TRTIRR[[#This Row],[Cumulé 2024]]-TRTIRR[[#This Row],[Cumulé 2023]])/TRTIRR[[#This Row],[Cumulé 2023]])</f>
        <v/>
      </c>
      <c r="H31" s="474" t="n"/>
      <c r="I31" s="474" t="inlineStr">
        <is>
          <t>Novembre</t>
        </is>
      </c>
      <c r="J31" s="86">
        <f>IF(DONNÉES!AI118="","",DONNÉES!AI118)</f>
        <v/>
      </c>
      <c r="K31" s="86">
        <f>IF(TRVR7[[#This Row],[2024]]="","",DONNÉES!AJ118)</f>
        <v/>
      </c>
      <c r="L31" s="103">
        <f>IF(TRVR7[[#This Row],[2024]]="","",(TRVR7[[#This Row],[2024]]-TRVR7[[#This Row],[2023]])/TRVR7[[#This Row],[2023]])</f>
        <v/>
      </c>
      <c r="M31" s="87">
        <f>IF(TRVR7[[#This Row],[2024]]="","",TRVR7[[#This Row],[2024]]+M30)</f>
        <v/>
      </c>
      <c r="N31" s="86">
        <f>IF(TRVR7[[#This Row],[2024]]="","",+TRVR7[[#This Row],[2023]]+N30)</f>
        <v/>
      </c>
      <c r="O31" s="103">
        <f>IF(TRVR7[[#This Row],[Cumulé 2024]]="","",+(TRVR7[[#This Row],[Cumulé 2024]]-TRVR7[[#This Row],[Cumulé 2023]])/TRVR7[[#This Row],[Cumulé 2023]])</f>
        <v/>
      </c>
    </row>
    <row r="32" ht="13.15" customHeight="1" s="161">
      <c r="A32" s="474" t="inlineStr">
        <is>
          <t>Décembre</t>
        </is>
      </c>
      <c r="B32" s="86">
        <f>IF(DONNÉES!AA119="","",DONNÉES!AA119)</f>
        <v/>
      </c>
      <c r="C32" s="86">
        <f>IF(TRTIRR[[#This Row],[2024]]="","",DONNÉES!AB119)</f>
        <v/>
      </c>
      <c r="D32" s="97">
        <f>IF(TRTIRR[[#This Row],[2024]]="","",(TRTIRR[[#This Row],[2024]]-TRTIRR[[#This Row],[2023]])/TRTIRR[[#This Row],[2023]])</f>
        <v/>
      </c>
      <c r="E32" s="284">
        <f>IF(TRTIRR[[#This Row],[2024]]="","",TRTIRR[[#This Row],[2024]]+E31)</f>
        <v/>
      </c>
      <c r="F32" s="86">
        <f>IF(TRTIRR[[#This Row],[2024]]="","",+TRTIRR[[#This Row],[2023]]+F31)</f>
        <v/>
      </c>
      <c r="G32" s="97">
        <f>IF(TRTIRR[[#This Row],[Cumulé 2024]]="","",+(TRTIRR[[#This Row],[Cumulé 2024]]-TRTIRR[[#This Row],[Cumulé 2023]])/TRTIRR[[#This Row],[Cumulé 2023]])</f>
        <v/>
      </c>
      <c r="H32" s="474" t="n"/>
      <c r="I32" s="474" t="inlineStr">
        <is>
          <t>Décembre</t>
        </is>
      </c>
      <c r="J32" s="86">
        <f>IF(DONNÉES!AI119="","",DONNÉES!AI119)</f>
        <v/>
      </c>
      <c r="K32" s="86">
        <f>IF(TRVR7[[#This Row],[2024]]="","",DONNÉES!AJ119)</f>
        <v/>
      </c>
      <c r="L32" s="103">
        <f>IF(TRVR7[[#This Row],[2024]]="","",(TRVR7[[#This Row],[2024]]-TRVR7[[#This Row],[2023]])/TRVR7[[#This Row],[2023]])</f>
        <v/>
      </c>
      <c r="M32" s="87">
        <f>IF(TRVR7[[#This Row],[2024]]="","",TRVR7[[#This Row],[2024]]+M31)</f>
        <v/>
      </c>
      <c r="N32" s="86">
        <f>IF(TRVR7[[#This Row],[2024]]="","",+TRVR7[[#This Row],[2023]]+N31)</f>
        <v/>
      </c>
      <c r="O32" s="103">
        <f>IF(TRVR7[[#This Row],[Cumulé 2024]]="","",+(TRVR7[[#This Row],[Cumulé 2024]]-TRVR7[[#This Row],[Cumulé 2023]])/TRVR7[[#This Row],[Cumulé 2023]])</f>
        <v/>
      </c>
    </row>
    <row r="33" ht="16.9" customHeight="1" s="161">
      <c r="A33" s="354" t="inlineStr">
        <is>
          <t xml:space="preserve">  TOTAL  </t>
        </is>
      </c>
      <c r="B33" s="76">
        <f>SUBTOTAL(109,TRTIRR[2024])</f>
        <v/>
      </c>
      <c r="C33" s="76">
        <f>SUBTOTAL(109,TRTIRR[2023])</f>
        <v/>
      </c>
      <c r="D33" s="105" t="n"/>
      <c r="E33" s="88" t="n"/>
      <c r="F33" s="76" t="n"/>
      <c r="G33" s="105" t="n"/>
      <c r="H33" s="474" t="n"/>
      <c r="I33" s="354" t="inlineStr">
        <is>
          <t xml:space="preserve">  TOTAL  </t>
        </is>
      </c>
      <c r="J33" s="76">
        <f>SUBTOTAL(109,TRVR7[2024])</f>
        <v/>
      </c>
      <c r="K33" s="76">
        <f>SUBTOTAL(109,TRVR7[2023])</f>
        <v/>
      </c>
      <c r="L33" s="105" t="n"/>
      <c r="M33" s="88" t="n"/>
      <c r="N33" s="76" t="n"/>
    </row>
    <row r="34" ht="16.9" customHeight="1" s="161">
      <c r="A34" s="354" t="n"/>
      <c r="B34" s="76" t="n"/>
      <c r="C34" s="76" t="n"/>
      <c r="D34" s="105" t="n"/>
      <c r="E34" s="88" t="n"/>
      <c r="F34" s="76" t="n"/>
      <c r="G34" s="105" t="n"/>
      <c r="H34" s="474" t="n"/>
      <c r="I34" s="354" t="n"/>
      <c r="J34" s="76" t="n"/>
      <c r="K34" s="76" t="n"/>
      <c r="L34" s="105" t="n"/>
      <c r="M34" s="88" t="n"/>
      <c r="N34" s="76" t="n"/>
    </row>
    <row r="35" ht="33" customHeight="1" s="161">
      <c r="A35" s="474" t="inlineStr">
        <is>
          <t>TURVILLA</t>
        </is>
      </c>
      <c r="B35" s="94" t="inlineStr">
        <is>
          <t>2024</t>
        </is>
      </c>
      <c r="C35" s="94" t="inlineStr">
        <is>
          <t>2023</t>
        </is>
      </c>
      <c r="D35" s="100" t="inlineStr">
        <is>
          <t>Variat.</t>
        </is>
      </c>
      <c r="E35" s="95" t="inlineStr">
        <is>
          <t>Cumulé 2024</t>
        </is>
      </c>
      <c r="F35" s="95" t="inlineStr">
        <is>
          <t>Cumulé 2023</t>
        </is>
      </c>
      <c r="G35" s="100" t="inlineStr">
        <is>
          <t>Cumulé variat.</t>
        </is>
      </c>
      <c r="H35" s="474" t="n"/>
      <c r="I35" s="474" t="inlineStr">
        <is>
          <t>HART</t>
        </is>
      </c>
      <c r="J35" s="94" t="inlineStr">
        <is>
          <t>2024</t>
        </is>
      </c>
      <c r="K35" s="94" t="inlineStr">
        <is>
          <t>2023</t>
        </is>
      </c>
      <c r="L35" s="100" t="inlineStr">
        <is>
          <t>Variat.</t>
        </is>
      </c>
      <c r="M35" s="95" t="inlineStr">
        <is>
          <t>Cumulé 2024</t>
        </is>
      </c>
      <c r="N35" s="95" t="inlineStr">
        <is>
          <t>Cumulé 2023</t>
        </is>
      </c>
      <c r="O35" s="100" t="inlineStr">
        <is>
          <t>Cumulé variat.</t>
        </is>
      </c>
    </row>
    <row r="36" ht="13.15" customFormat="1" customHeight="1" s="476">
      <c r="A36" s="476" t="inlineStr">
        <is>
          <t>Janvier</t>
        </is>
      </c>
      <c r="B36" s="284">
        <f>IF(DONNÉES!AQ108="","",DONNÉES!AQ108)</f>
        <v/>
      </c>
      <c r="C36" s="284">
        <f>IF(TRTURVILLA[[#This Row],[2024]]="","",DONNÉES!AR108)</f>
        <v/>
      </c>
      <c r="D36" s="96">
        <f>IF(TRTURVILLA[[#This Row],[2024]]="","",(TRTURVILLA[[#This Row],[2024]]-TRTURVILLA[[#This Row],[2023]])/TRTURVILLA[[#This Row],[2023]])</f>
        <v/>
      </c>
      <c r="E36" s="284">
        <f>IF(TRTURVILLA[[#This Row],[2024]]="","",TRTURVILLA[[#This Row],[2024]])</f>
        <v/>
      </c>
      <c r="F36" s="86">
        <f>IF(TRTURVILLA[[#This Row],[2024]]="","",+TRTURVILLA[[#This Row],[2023]])</f>
        <v/>
      </c>
      <c r="G36" s="97">
        <f>IF(TRTURVILLA[[#This Row],[Cumulé 2024]]="","",+(TRTURVILLA[[#This Row],[Cumulé 2024]]-TRTURVILLA[[#This Row],[Cumulé 2023]])/TRTURVILLA[[#This Row],[Cumulé 2023]])</f>
        <v/>
      </c>
      <c r="I36" s="476" t="inlineStr">
        <is>
          <t>Janvier</t>
        </is>
      </c>
      <c r="J36" s="284">
        <f>IF(DONNÉES!AY108="","",DONNÉES!AY108)</f>
        <v/>
      </c>
      <c r="K36" s="284">
        <f>IF(TRHART[[#This Row],[2024]]="","",DONNÉES!AZ108)</f>
        <v/>
      </c>
      <c r="L36" s="96">
        <f>IF(TRHART[[#This Row],[2024]]="","",(TRHART[[#This Row],[2024]]-TRHART[[#This Row],[2023]])/TRHART[[#This Row],[2023]])</f>
        <v/>
      </c>
      <c r="M36" s="284">
        <f>IF(TRHART[[#This Row],[2024]]="","",TRHART[[#This Row],[2024]])</f>
        <v/>
      </c>
      <c r="N36" s="86">
        <f>IF(TRHART[[#This Row],[2024]]="","",+TRHART[[#This Row],[2023]])</f>
        <v/>
      </c>
      <c r="O36" s="97">
        <f>IF(TRHART[[#This Row],[Cumulé 2024]]="","",+(TRHART[[#This Row],[Cumulé 2024]]-TRHART[[#This Row],[Cumulé 2023]])/TRHART[[#This Row],[Cumulé 2023]])</f>
        <v/>
      </c>
    </row>
    <row r="37" ht="13.15" customFormat="1" customHeight="1" s="476">
      <c r="A37" s="476" t="inlineStr">
        <is>
          <t>Février</t>
        </is>
      </c>
      <c r="B37" s="284">
        <f>IF(DONNÉES!AQ109="","",DONNÉES!AQ109)</f>
        <v/>
      </c>
      <c r="C37" s="284">
        <f>IF(TRTURVILLA[[#This Row],[2024]]="","",DONNÉES!AR109)</f>
        <v/>
      </c>
      <c r="D37" s="96">
        <f>IF(TRTURVILLA[[#This Row],[2024]]="","",(TRTURVILLA[[#This Row],[2024]]-TRTURVILLA[[#This Row],[2023]])/TRTURVILLA[[#This Row],[2023]])</f>
        <v/>
      </c>
      <c r="E37" s="284">
        <f>IF(TRTURVILLA[[#This Row],[2024]]="","",TRTURVILLA[[#This Row],[2024]]+E36)</f>
        <v/>
      </c>
      <c r="F37" s="86">
        <f>IF(TRTURVILLA[[#This Row],[2024]]="","",+TRTURVILLA[[#This Row],[2023]]+F36)</f>
        <v/>
      </c>
      <c r="G37" s="97">
        <f>IF(TRTURVILLA[[#This Row],[Cumulé 2024]]="","",+(TRTURVILLA[[#This Row],[Cumulé 2024]]-TRTURVILLA[[#This Row],[Cumulé 2023]])/TRTURVILLA[[#This Row],[Cumulé 2023]])</f>
        <v/>
      </c>
      <c r="I37" s="476" t="inlineStr">
        <is>
          <t>Février</t>
        </is>
      </c>
      <c r="J37" s="284">
        <f>IF(DONNÉES!AY109="","",DONNÉES!AY109)</f>
        <v/>
      </c>
      <c r="K37" s="284">
        <f>IF(TRHART[[#This Row],[2024]]="","",DONNÉES!AZ109)</f>
        <v/>
      </c>
      <c r="L37" s="96">
        <f>IF(TRHART[[#This Row],[2024]]="","",(TRHART[[#This Row],[2024]]-TRHART[[#This Row],[2023]])/TRHART[[#This Row],[2023]])</f>
        <v/>
      </c>
      <c r="M37" s="284">
        <f>IF(TRHART[[#This Row],[2024]]="","",TRHART[[#This Row],[2024]]+M36)</f>
        <v/>
      </c>
      <c r="N37" s="86">
        <f>IF(TRHART[[#This Row],[2024]]="","",+TRHART[[#This Row],[2023]]+N36)</f>
        <v/>
      </c>
      <c r="O37" s="97">
        <f>IF(TRHART[[#This Row],[Cumulé 2024]]="","",+(TRHART[[#This Row],[Cumulé 2024]]-TRHART[[#This Row],[Cumulé 2023]])/TRHART[[#This Row],[Cumulé 2023]])</f>
        <v/>
      </c>
    </row>
    <row r="38" ht="13.15" customFormat="1" customHeight="1" s="476">
      <c r="A38" s="474" t="inlineStr">
        <is>
          <t>Mars</t>
        </is>
      </c>
      <c r="B38" s="284">
        <f>IF(DONNÉES!AQ110="","",DONNÉES!AQ110)</f>
        <v/>
      </c>
      <c r="C38" s="284">
        <f>IF(TRTURVILLA[[#This Row],[2024]]="","",DONNÉES!AR110)</f>
        <v/>
      </c>
      <c r="D38" s="96">
        <f>IF(TRTURVILLA[[#This Row],[2024]]="","",(TRTURVILLA[[#This Row],[2024]]-TRTURVILLA[[#This Row],[2023]])/TRTURVILLA[[#This Row],[2023]])</f>
        <v/>
      </c>
      <c r="E38" s="284">
        <f>IF(TRTURVILLA[[#This Row],[2024]]="","",TRTURVILLA[[#This Row],[2024]]+E37)</f>
        <v/>
      </c>
      <c r="F38" s="86">
        <f>IF(TRTURVILLA[[#This Row],[2024]]="","",+TRTURVILLA[[#This Row],[2023]]+F37)</f>
        <v/>
      </c>
      <c r="G38" s="97">
        <f>IF(TRTURVILLA[[#This Row],[Cumulé 2024]]="","",+(TRTURVILLA[[#This Row],[Cumulé 2024]]-TRTURVILLA[[#This Row],[Cumulé 2023]])/TRTURVILLA[[#This Row],[Cumulé 2023]])</f>
        <v/>
      </c>
      <c r="I38" s="474" t="inlineStr">
        <is>
          <t>Mars</t>
        </is>
      </c>
      <c r="J38" s="284">
        <f>IF(DONNÉES!AY110="","",DONNÉES!AY110)</f>
        <v/>
      </c>
      <c r="K38" s="284">
        <f>IF(TRHART[[#This Row],[2024]]="","",DONNÉES!AZ110)</f>
        <v/>
      </c>
      <c r="L38" s="96">
        <f>IF(TRHART[[#This Row],[2024]]="","",(TRHART[[#This Row],[2024]]-TRHART[[#This Row],[2023]])/TRHART[[#This Row],[2023]])</f>
        <v/>
      </c>
      <c r="M38" s="284">
        <f>IF(TRHART[[#This Row],[2024]]="","",TRHART[[#This Row],[2024]]+M37)</f>
        <v/>
      </c>
      <c r="N38" s="86">
        <f>IF(TRHART[[#This Row],[2024]]="","",+TRHART[[#This Row],[2023]]+N37)</f>
        <v/>
      </c>
      <c r="O38" s="97">
        <f>IF(TRHART[[#This Row],[Cumulé 2024]]="","",+(TRHART[[#This Row],[Cumulé 2024]]-TRHART[[#This Row],[Cumulé 2023]])/TRHART[[#This Row],[Cumulé 2023]])</f>
        <v/>
      </c>
    </row>
    <row r="39" ht="13.15" customHeight="1" s="161">
      <c r="A39" s="476" t="inlineStr">
        <is>
          <t>Avril</t>
        </is>
      </c>
      <c r="B39" s="284">
        <f>IF(DONNÉES!AQ111="","",DONNÉES!AQ111)</f>
        <v/>
      </c>
      <c r="C39" s="284">
        <f>IF(TRTURVILLA[[#This Row],[2024]]="","",DONNÉES!AR111)</f>
        <v/>
      </c>
      <c r="D39" s="96">
        <f>IF(TRTURVILLA[[#This Row],[2024]]="","",(TRTURVILLA[[#This Row],[2024]]-TRTURVILLA[[#This Row],[2023]])/TRTURVILLA[[#This Row],[2023]])</f>
        <v/>
      </c>
      <c r="E39" s="284">
        <f>IF(TRTURVILLA[[#This Row],[2024]]="","",TRTURVILLA[[#This Row],[2024]]+E38)</f>
        <v/>
      </c>
      <c r="F39" s="86">
        <f>IF(TRTURVILLA[[#This Row],[2024]]="","",+TRTURVILLA[[#This Row],[2023]]+F38)</f>
        <v/>
      </c>
      <c r="G39" s="97">
        <f>IF(TRTURVILLA[[#This Row],[Cumulé 2024]]="","",+(TRTURVILLA[[#This Row],[Cumulé 2024]]-TRTURVILLA[[#This Row],[Cumulé 2023]])/TRTURVILLA[[#This Row],[Cumulé 2023]])</f>
        <v/>
      </c>
      <c r="H39" s="474" t="n"/>
      <c r="I39" s="476" t="inlineStr">
        <is>
          <t>Avril</t>
        </is>
      </c>
      <c r="J39" s="284">
        <f>IF(DONNÉES!AY111="","",DONNÉES!AY111)</f>
        <v/>
      </c>
      <c r="K39" s="284">
        <f>IF(TRHART[[#This Row],[2024]]="","",DONNÉES!AZ111)</f>
        <v/>
      </c>
      <c r="L39" s="96">
        <f>IF(TRHART[[#This Row],[2024]]="","",(TRHART[[#This Row],[2024]]-TRHART[[#This Row],[2023]])/TRHART[[#This Row],[2023]])</f>
        <v/>
      </c>
      <c r="M39" s="284">
        <f>IF(TRHART[[#This Row],[2024]]="","",TRHART[[#This Row],[2024]]+M38)</f>
        <v/>
      </c>
      <c r="N39" s="86">
        <f>IF(TRHART[[#This Row],[2024]]="","",+TRHART[[#This Row],[2023]]+N38)</f>
        <v/>
      </c>
      <c r="O39" s="97">
        <f>IF(TRHART[[#This Row],[Cumulé 2024]]="","",+(TRHART[[#This Row],[Cumulé 2024]]-TRHART[[#This Row],[Cumulé 2023]])/TRHART[[#This Row],[Cumulé 2023]])</f>
        <v/>
      </c>
    </row>
    <row r="40" ht="13.15" customHeight="1" s="161">
      <c r="A40" s="474" t="inlineStr">
        <is>
          <t>Mai</t>
        </is>
      </c>
      <c r="B40" s="284">
        <f>IF(DONNÉES!AQ112="","",DONNÉES!AQ112)</f>
        <v/>
      </c>
      <c r="C40" s="284">
        <f>IF(TRTURVILLA[[#This Row],[2024]]="","",DONNÉES!AR112)</f>
        <v/>
      </c>
      <c r="D40" s="96">
        <f>IF(TRTURVILLA[[#This Row],[2024]]="","",(TRTURVILLA[[#This Row],[2024]]-TRTURVILLA[[#This Row],[2023]])/TRTURVILLA[[#This Row],[2023]])</f>
        <v/>
      </c>
      <c r="E40" s="284">
        <f>IF(TRTURVILLA[[#This Row],[2024]]="","",TRTURVILLA[[#This Row],[2024]]+E39)</f>
        <v/>
      </c>
      <c r="F40" s="86">
        <f>IF(TRTURVILLA[[#This Row],[2024]]="","",+TRTURVILLA[[#This Row],[2023]]+F39)</f>
        <v/>
      </c>
      <c r="G40" s="97">
        <f>IF(TRTURVILLA[[#This Row],[Cumulé 2024]]="","",+(TRTURVILLA[[#This Row],[Cumulé 2024]]-TRTURVILLA[[#This Row],[Cumulé 2023]])/TRTURVILLA[[#This Row],[Cumulé 2023]])</f>
        <v/>
      </c>
      <c r="H40" s="474" t="n"/>
      <c r="I40" s="474" t="inlineStr">
        <is>
          <t>Mai</t>
        </is>
      </c>
      <c r="J40" s="284">
        <f>IF(DONNÉES!AY112="","",DONNÉES!AY112)</f>
        <v/>
      </c>
      <c r="K40" s="284">
        <f>IF(TRHART[[#This Row],[2024]]="","",DONNÉES!AZ112)</f>
        <v/>
      </c>
      <c r="L40" s="96">
        <f>IF(TRHART[[#This Row],[2024]]="","",(TRHART[[#This Row],[2024]]-TRHART[[#This Row],[2023]])/TRHART[[#This Row],[2023]])</f>
        <v/>
      </c>
      <c r="M40" s="284">
        <f>IF(TRHART[[#This Row],[2024]]="","",TRHART[[#This Row],[2024]]+M39)</f>
        <v/>
      </c>
      <c r="N40" s="86">
        <f>IF(TRHART[[#This Row],[2024]]="","",+TRHART[[#This Row],[2023]]+N39)</f>
        <v/>
      </c>
      <c r="O40" s="97">
        <f>IF(TRHART[[#This Row],[Cumulé 2024]]="","",+(TRHART[[#This Row],[Cumulé 2024]]-TRHART[[#This Row],[Cumulé 2023]])/TRHART[[#This Row],[Cumulé 2023]])</f>
        <v/>
      </c>
    </row>
    <row r="41" ht="13.15" customHeight="1" s="161">
      <c r="A41" s="476" t="inlineStr">
        <is>
          <t>Juin</t>
        </is>
      </c>
      <c r="B41" s="284">
        <f>IF(DONNÉES!AQ113="","",DONNÉES!AQ113)</f>
        <v/>
      </c>
      <c r="C41" s="284">
        <f>IF(TRTURVILLA[[#This Row],[2024]]="","",DONNÉES!AR113)</f>
        <v/>
      </c>
      <c r="D41" s="96">
        <f>IF(TRTURVILLA[[#This Row],[2024]]="","",(TRTURVILLA[[#This Row],[2024]]-TRTURVILLA[[#This Row],[2023]])/TRTURVILLA[[#This Row],[2023]])</f>
        <v/>
      </c>
      <c r="E41" s="284">
        <f>IF(TRTURVILLA[[#This Row],[2024]]="","",TRTURVILLA[[#This Row],[2024]]+E40)</f>
        <v/>
      </c>
      <c r="F41" s="86">
        <f>IF(TRTURVILLA[[#This Row],[2024]]="","",+TRTURVILLA[[#This Row],[2023]]+F40)</f>
        <v/>
      </c>
      <c r="G41" s="97">
        <f>IF(TRTURVILLA[[#This Row],[Cumulé 2024]]="","",+(TRTURVILLA[[#This Row],[Cumulé 2024]]-TRTURVILLA[[#This Row],[Cumulé 2023]])/TRTURVILLA[[#This Row],[Cumulé 2023]])</f>
        <v/>
      </c>
      <c r="H41" s="474" t="n"/>
      <c r="I41" s="476" t="inlineStr">
        <is>
          <t>Juin</t>
        </is>
      </c>
      <c r="J41" s="284">
        <f>IF(DONNÉES!AY113="","",DONNÉES!AY113)</f>
        <v/>
      </c>
      <c r="K41" s="284">
        <f>IF(TRHART[[#This Row],[2024]]="","",DONNÉES!AZ113)</f>
        <v/>
      </c>
      <c r="L41" s="96">
        <f>IF(TRHART[[#This Row],[2024]]="","",(TRHART[[#This Row],[2024]]-TRHART[[#This Row],[2023]])/TRHART[[#This Row],[2023]])</f>
        <v/>
      </c>
      <c r="M41" s="284">
        <f>IF(TRHART[[#This Row],[2024]]="","",TRHART[[#This Row],[2024]]+M40)</f>
        <v/>
      </c>
      <c r="N41" s="86">
        <f>IF(TRHART[[#This Row],[2024]]="","",+TRHART[[#This Row],[2023]]+N40)</f>
        <v/>
      </c>
      <c r="O41" s="97">
        <f>IF(TRHART[[#This Row],[Cumulé 2024]]="","",+(TRHART[[#This Row],[Cumulé 2024]]-TRHART[[#This Row],[Cumulé 2023]])/TRHART[[#This Row],[Cumulé 2023]])</f>
        <v/>
      </c>
    </row>
    <row r="42" ht="13.15" customHeight="1" s="161">
      <c r="A42" s="474" t="inlineStr">
        <is>
          <t>Juillet</t>
        </is>
      </c>
      <c r="B42" s="284">
        <f>IF(DONNÉES!AQ114="","",DONNÉES!AQ114)</f>
        <v/>
      </c>
      <c r="C42" s="284">
        <f>IF(TRTURVILLA[[#This Row],[2024]]="","",DONNÉES!AR114)</f>
        <v/>
      </c>
      <c r="D42" s="96">
        <f>IF(TRTURVILLA[[#This Row],[2024]]="","",(TRTURVILLA[[#This Row],[2024]]-TRTURVILLA[[#This Row],[2023]])/TRTURVILLA[[#This Row],[2023]])</f>
        <v/>
      </c>
      <c r="E42" s="284">
        <f>IF(TRTURVILLA[[#This Row],[2024]]="","",TRTURVILLA[[#This Row],[2024]]+E41)</f>
        <v/>
      </c>
      <c r="F42" s="86">
        <f>IF(TRTURVILLA[[#This Row],[2024]]="","",+TRTURVILLA[[#This Row],[2023]]+F41)</f>
        <v/>
      </c>
      <c r="G42" s="97">
        <f>IF(TRTURVILLA[[#This Row],[Cumulé 2024]]="","",+(TRTURVILLA[[#This Row],[Cumulé 2024]]-TRTURVILLA[[#This Row],[Cumulé 2023]])/TRTURVILLA[[#This Row],[Cumulé 2023]])</f>
        <v/>
      </c>
      <c r="H42" s="474" t="n"/>
      <c r="I42" s="474" t="inlineStr">
        <is>
          <t>Juillet</t>
        </is>
      </c>
      <c r="J42" s="284">
        <f>IF(DONNÉES!AY114="","",DONNÉES!AY114)</f>
        <v/>
      </c>
      <c r="K42" s="284">
        <f>IF(TRHART[[#This Row],[2024]]="","",DONNÉES!AZ114)</f>
        <v/>
      </c>
      <c r="L42" s="96">
        <f>IF(TRHART[[#This Row],[2024]]="","",(TRHART[[#This Row],[2024]]-TRHART[[#This Row],[2023]])/TRHART[[#This Row],[2023]])</f>
        <v/>
      </c>
      <c r="M42" s="284">
        <f>IF(TRHART[[#This Row],[2024]]="","",TRHART[[#This Row],[2024]]+M41)</f>
        <v/>
      </c>
      <c r="N42" s="86">
        <f>IF(TRHART[[#This Row],[2024]]="","",+TRHART[[#This Row],[2023]]+N41)</f>
        <v/>
      </c>
      <c r="O42" s="97">
        <f>IF(TRHART[[#This Row],[Cumulé 2024]]="","",+(TRHART[[#This Row],[Cumulé 2024]]-TRHART[[#This Row],[Cumulé 2023]])/TRHART[[#This Row],[Cumulé 2023]])</f>
        <v/>
      </c>
    </row>
    <row r="43" ht="13.15" customHeight="1" s="161">
      <c r="A43" s="476" t="inlineStr">
        <is>
          <t>Août</t>
        </is>
      </c>
      <c r="B43" s="284">
        <f>IF(DONNÉES!AQ115="","",DONNÉES!AQ115)</f>
        <v/>
      </c>
      <c r="C43" s="284">
        <f>IF(TRTURVILLA[[#This Row],[2024]]="","",DONNÉES!AR115)</f>
        <v/>
      </c>
      <c r="D43" s="96">
        <f>IF(TRTURVILLA[[#This Row],[2024]]="","",(TRTURVILLA[[#This Row],[2024]]-TRTURVILLA[[#This Row],[2023]])/TRTURVILLA[[#This Row],[2023]])</f>
        <v/>
      </c>
      <c r="E43" s="284">
        <f>IF(TRTURVILLA[[#This Row],[2024]]="","",TRTURVILLA[[#This Row],[2024]]+E42)</f>
        <v/>
      </c>
      <c r="F43" s="86">
        <f>IF(TRTURVILLA[[#This Row],[2024]]="","",+TRTURVILLA[[#This Row],[2023]]+F42)</f>
        <v/>
      </c>
      <c r="G43" s="97">
        <f>IF(TRTURVILLA[[#This Row],[Cumulé 2024]]="","",+(TRTURVILLA[[#This Row],[Cumulé 2024]]-TRTURVILLA[[#This Row],[Cumulé 2023]])/TRTURVILLA[[#This Row],[Cumulé 2023]])</f>
        <v/>
      </c>
      <c r="H43" s="474" t="n"/>
      <c r="I43" s="476" t="inlineStr">
        <is>
          <t>Août</t>
        </is>
      </c>
      <c r="J43" s="284">
        <f>IF(DONNÉES!AY115="","",DONNÉES!AY115)</f>
        <v/>
      </c>
      <c r="K43" s="284">
        <f>IF(TRHART[[#This Row],[2024]]="","",DONNÉES!AZ115)</f>
        <v/>
      </c>
      <c r="L43" s="96">
        <f>IF(TRHART[[#This Row],[2024]]="","",(TRHART[[#This Row],[2024]]-TRHART[[#This Row],[2023]])/TRHART[[#This Row],[2023]])</f>
        <v/>
      </c>
      <c r="M43" s="284">
        <f>IF(TRHART[[#This Row],[2024]]="","",TRHART[[#This Row],[2024]]+M42)</f>
        <v/>
      </c>
      <c r="N43" s="86">
        <f>IF(TRHART[[#This Row],[2024]]="","",+TRHART[[#This Row],[2023]]+N42)</f>
        <v/>
      </c>
      <c r="O43" s="97">
        <f>IF(TRHART[[#This Row],[Cumulé 2024]]="","",+(TRHART[[#This Row],[Cumulé 2024]]-TRHART[[#This Row],[Cumulé 2023]])/TRHART[[#This Row],[Cumulé 2023]])</f>
        <v/>
      </c>
    </row>
    <row r="44" ht="13.15" customHeight="1" s="161">
      <c r="A44" s="474" t="inlineStr">
        <is>
          <t>Septembre</t>
        </is>
      </c>
      <c r="B44" s="86">
        <f>IF(DONNÉES!AQ116="","",DONNÉES!AQ116)</f>
        <v/>
      </c>
      <c r="C44" s="86">
        <f>IF(TRTURVILLA[[#This Row],[2024]]="","",DONNÉES!AR116)</f>
        <v/>
      </c>
      <c r="D44" s="97">
        <f>IF(TRTURVILLA[[#This Row],[2024]]="","",(TRTURVILLA[[#This Row],[2024]]-TRTURVILLA[[#This Row],[2023]])/TRTURVILLA[[#This Row],[2023]])</f>
        <v/>
      </c>
      <c r="E44" s="284">
        <f>IF(TRTURVILLA[[#This Row],[2024]]="","",TRTURVILLA[[#This Row],[2024]]+E43)</f>
        <v/>
      </c>
      <c r="F44" s="86">
        <f>IF(TRTURVILLA[[#This Row],[2024]]="","",+TRTURVILLA[[#This Row],[2023]]+F43)</f>
        <v/>
      </c>
      <c r="G44" s="97">
        <f>IF(TRTURVILLA[[#This Row],[Cumulé 2024]]="","",+(TRTURVILLA[[#This Row],[Cumulé 2024]]-TRTURVILLA[[#This Row],[Cumulé 2023]])/TRTURVILLA[[#This Row],[Cumulé 2023]])</f>
        <v/>
      </c>
      <c r="I44" s="474" t="inlineStr">
        <is>
          <t>Septembre</t>
        </is>
      </c>
      <c r="J44" s="86">
        <f>IF(DONNÉES!AY116="","",DONNÉES!AY116)</f>
        <v/>
      </c>
      <c r="K44" s="86">
        <f>IF(TRHART[[#This Row],[2024]]="","",DONNÉES!AZ116)</f>
        <v/>
      </c>
      <c r="L44" s="97">
        <f>IF(TRHART[[#This Row],[2024]]="","",(TRHART[[#This Row],[2024]]-TRHART[[#This Row],[2023]])/TRHART[[#This Row],[2023]])</f>
        <v/>
      </c>
      <c r="M44" s="284">
        <f>IF(TRHART[[#This Row],[2024]]="","",TRHART[[#This Row],[2024]]+M43)</f>
        <v/>
      </c>
      <c r="N44" s="86">
        <f>IF(TRHART[[#This Row],[2024]]="","",+TRHART[[#This Row],[2023]]+N43)</f>
        <v/>
      </c>
      <c r="O44" s="97">
        <f>IF(TRHART[[#This Row],[Cumulé 2024]]="","",+(TRHART[[#This Row],[Cumulé 2024]]-TRHART[[#This Row],[Cumulé 2023]])/TRHART[[#This Row],[Cumulé 2023]])</f>
        <v/>
      </c>
    </row>
    <row r="45" ht="13.15" customHeight="1" s="161">
      <c r="A45" s="476" t="inlineStr">
        <is>
          <t>Octobre</t>
        </is>
      </c>
      <c r="B45" s="86">
        <f>IF(DONNÉES!AQ117="","",DONNÉES!AQ117)</f>
        <v/>
      </c>
      <c r="C45" s="86">
        <f>IF(TRTURVILLA[[#This Row],[2024]]="","",DONNÉES!AR117)</f>
        <v/>
      </c>
      <c r="D45" s="97">
        <f>IF(TRTURVILLA[[#This Row],[2024]]="","",(TRTURVILLA[[#This Row],[2024]]-TRTURVILLA[[#This Row],[2023]])/TRTURVILLA[[#This Row],[2023]])</f>
        <v/>
      </c>
      <c r="E45" s="284">
        <f>IF(TRTURVILLA[[#This Row],[2024]]="","",TRTURVILLA[[#This Row],[2024]]+E44)</f>
        <v/>
      </c>
      <c r="F45" s="86">
        <f>IF(TRTURVILLA[[#This Row],[2024]]="","",+TRTURVILLA[[#This Row],[2023]]+F44)</f>
        <v/>
      </c>
      <c r="G45" s="97">
        <f>IF(TRTURVILLA[[#This Row],[Cumulé 2024]]="","",+(TRTURVILLA[[#This Row],[Cumulé 2024]]-TRTURVILLA[[#This Row],[Cumulé 2023]])/TRTURVILLA[[#This Row],[Cumulé 2023]])</f>
        <v/>
      </c>
      <c r="H45" s="474" t="n"/>
      <c r="I45" s="476" t="inlineStr">
        <is>
          <t>Octobre</t>
        </is>
      </c>
      <c r="J45" s="86">
        <f>IF(DONNÉES!AY117="","",DONNÉES!AY117)</f>
        <v/>
      </c>
      <c r="K45" s="86">
        <f>IF(TRHART[[#This Row],[2024]]="","",DONNÉES!AZ117)</f>
        <v/>
      </c>
      <c r="L45" s="97">
        <f>IF(TRHART[[#This Row],[2024]]="","",(TRHART[[#This Row],[2024]]-TRHART[[#This Row],[2023]])/TRHART[[#This Row],[2023]])</f>
        <v/>
      </c>
      <c r="M45" s="284">
        <f>IF(TRHART[[#This Row],[2024]]="","",TRHART[[#This Row],[2024]]+M44)</f>
        <v/>
      </c>
      <c r="N45" s="86">
        <f>IF(TRHART[[#This Row],[2024]]="","",+TRHART[[#This Row],[2023]]+N44)</f>
        <v/>
      </c>
      <c r="O45" s="97">
        <f>IF(TRHART[[#This Row],[Cumulé 2024]]="","",+(TRHART[[#This Row],[Cumulé 2024]]-TRHART[[#This Row],[Cumulé 2023]])/TRHART[[#This Row],[Cumulé 2023]])</f>
        <v/>
      </c>
    </row>
    <row r="46" ht="13.15" customFormat="1" customHeight="1" s="476">
      <c r="A46" s="474" t="inlineStr">
        <is>
          <t>Novembre</t>
        </is>
      </c>
      <c r="B46" s="86">
        <f>IF(DONNÉES!AQ118="","",DONNÉES!AQ118)</f>
        <v/>
      </c>
      <c r="C46" s="86">
        <f>IF(TRTURVILLA[[#This Row],[2024]]="","",DONNÉES!AR118)</f>
        <v/>
      </c>
      <c r="D46" s="97">
        <f>IF(TRTURVILLA[[#This Row],[2024]]="","",(TRTURVILLA[[#This Row],[2024]]-TRTURVILLA[[#This Row],[2023]])/TRTURVILLA[[#This Row],[2023]])</f>
        <v/>
      </c>
      <c r="E46" s="284">
        <f>IF(TRTURVILLA[[#This Row],[2024]]="","",TRTURVILLA[[#This Row],[2024]]+E45)</f>
        <v/>
      </c>
      <c r="F46" s="86">
        <f>IF(TRTURVILLA[[#This Row],[2024]]="","",+TRTURVILLA[[#This Row],[2023]]+F45)</f>
        <v/>
      </c>
      <c r="G46" s="97">
        <f>IF(TRTURVILLA[[#This Row],[Cumulé 2024]]="","",+(TRTURVILLA[[#This Row],[Cumulé 2024]]-TRTURVILLA[[#This Row],[Cumulé 2023]])/TRTURVILLA[[#This Row],[Cumulé 2023]])</f>
        <v/>
      </c>
      <c r="I46" s="474" t="inlineStr">
        <is>
          <t>Novembre</t>
        </is>
      </c>
      <c r="J46" s="86">
        <f>IF(DONNÉES!AY118="","",DONNÉES!AY118)</f>
        <v/>
      </c>
      <c r="K46" s="86">
        <f>IF(TRHART[[#This Row],[2024]]="","",DONNÉES!AZ118)</f>
        <v/>
      </c>
      <c r="L46" s="97">
        <f>IF(TRHART[[#This Row],[2024]]="","",(TRHART[[#This Row],[2024]]-TRHART[[#This Row],[2023]])/TRHART[[#This Row],[2023]])</f>
        <v/>
      </c>
      <c r="M46" s="284">
        <f>IF(TRHART[[#This Row],[2024]]="","",TRHART[[#This Row],[2024]]+M45)</f>
        <v/>
      </c>
      <c r="N46" s="86">
        <f>IF(TRHART[[#This Row],[2024]]="","",+TRHART[[#This Row],[2023]]+N45)</f>
        <v/>
      </c>
      <c r="O46" s="97">
        <f>IF(TRHART[[#This Row],[Cumulé 2024]]="","",+(TRHART[[#This Row],[Cumulé 2024]]-TRHART[[#This Row],[Cumulé 2023]])/TRHART[[#This Row],[Cumulé 2023]])</f>
        <v/>
      </c>
    </row>
    <row r="47" ht="13.15" customFormat="1" customHeight="1" s="476">
      <c r="A47" s="474" t="inlineStr">
        <is>
          <t>Décembre</t>
        </is>
      </c>
      <c r="B47" s="86">
        <f>IF(DONNÉES!AQ119="","",DONNÉES!AQ119)</f>
        <v/>
      </c>
      <c r="C47" s="86">
        <f>IF(TRTURVILLA[[#This Row],[2024]]="","",DONNÉES!AR119)</f>
        <v/>
      </c>
      <c r="D47" s="97">
        <f>IF(TRTURVILLA[[#This Row],[2024]]="","",(TRTURVILLA[[#This Row],[2024]]-TRTURVILLA[[#This Row],[2023]])/TRTURVILLA[[#This Row],[2023]])</f>
        <v/>
      </c>
      <c r="E47" s="284">
        <f>IF(TRTURVILLA[[#This Row],[2024]]="","",TRTURVILLA[[#This Row],[2024]]+E46)</f>
        <v/>
      </c>
      <c r="F47" s="86">
        <f>IF(TRTURVILLA[[#This Row],[2024]]="","",+TRTURVILLA[[#This Row],[2023]]+F46)</f>
        <v/>
      </c>
      <c r="G47" s="97">
        <f>IF(TRTURVILLA[[#This Row],[Cumulé 2024]]="","",+(TRTURVILLA[[#This Row],[Cumulé 2024]]-TRTURVILLA[[#This Row],[Cumulé 2023]])/TRTURVILLA[[#This Row],[Cumulé 2023]])</f>
        <v/>
      </c>
      <c r="I47" s="474" t="inlineStr">
        <is>
          <t>Décembre</t>
        </is>
      </c>
      <c r="J47" s="86">
        <f>IF(DONNÉES!AY119="","",DONNÉES!AY119)</f>
        <v/>
      </c>
      <c r="K47" s="86">
        <f>IF(TRHART[[#This Row],[2024]]="","",DONNÉES!AZ119)</f>
        <v/>
      </c>
      <c r="L47" s="97">
        <f>IF(TRHART[[#This Row],[2024]]="","",(TRHART[[#This Row],[2024]]-TRHART[[#This Row],[2023]])/TRHART[[#This Row],[2023]])</f>
        <v/>
      </c>
      <c r="M47" s="284">
        <f>IF(TRHART[[#This Row],[2024]]="","",TRHART[[#This Row],[2024]]+M46)</f>
        <v/>
      </c>
      <c r="N47" s="86">
        <f>IF(TRHART[[#This Row],[2024]]="","",+TRHART[[#This Row],[2023]]+N46)</f>
        <v/>
      </c>
      <c r="O47" s="97">
        <f>IF(TRHART[[#This Row],[Cumulé 2024]]="","",+(TRHART[[#This Row],[Cumulé 2024]]-TRHART[[#This Row],[Cumulé 2023]])/TRHART[[#This Row],[Cumulé 2023]])</f>
        <v/>
      </c>
    </row>
    <row r="48" ht="16.9" customFormat="1" customHeight="1" s="476">
      <c r="A48" s="354" t="inlineStr">
        <is>
          <t xml:space="preserve"> TOTAL </t>
        </is>
      </c>
      <c r="B48" s="92">
        <f>SUBTOTAL(109,TRTURVILLA[2024])</f>
        <v/>
      </c>
      <c r="C48" s="92">
        <f>SUBTOTAL(109,TRTURVILLA[2023])</f>
        <v/>
      </c>
      <c r="D48" s="125" t="n"/>
      <c r="E48" s="93" t="n"/>
      <c r="F48" s="92" t="n"/>
      <c r="G48" s="125" t="n"/>
      <c r="I48" s="354" t="inlineStr">
        <is>
          <t xml:space="preserve">  TOTAL  </t>
        </is>
      </c>
      <c r="J48" s="92">
        <f>SUBTOTAL(109,TRHART[2024])</f>
        <v/>
      </c>
      <c r="K48" s="92">
        <f>SUBTOTAL(109,TRHART[2023])</f>
        <v/>
      </c>
      <c r="L48" s="125" t="n"/>
      <c r="M48" s="93" t="n"/>
      <c r="N48" s="92" t="n"/>
    </row>
    <row r="49" ht="30.6" customHeight="1" s="161">
      <c r="H49" s="474" t="n"/>
    </row>
    <row r="50" ht="33" customHeight="1" s="161">
      <c r="A50" s="474" t="inlineStr">
        <is>
          <t>VICTOIRE</t>
        </is>
      </c>
      <c r="B50" s="94" t="inlineStr">
        <is>
          <t>2024</t>
        </is>
      </c>
      <c r="C50" s="94" t="inlineStr">
        <is>
          <t>2023</t>
        </is>
      </c>
      <c r="D50" s="100" t="inlineStr">
        <is>
          <t>Variat.</t>
        </is>
      </c>
      <c r="E50" s="95" t="inlineStr">
        <is>
          <t>Cumulé 2024</t>
        </is>
      </c>
      <c r="F50" s="95" t="inlineStr">
        <is>
          <t>Cumulé 2023</t>
        </is>
      </c>
      <c r="G50" s="100" t="inlineStr">
        <is>
          <t>Cumulé variat.</t>
        </is>
      </c>
      <c r="H50" s="474" t="n"/>
      <c r="I50" s="474" t="inlineStr">
        <is>
          <t>THOMAS</t>
        </is>
      </c>
      <c r="J50" s="94" t="inlineStr">
        <is>
          <t>2024</t>
        </is>
      </c>
      <c r="K50" s="94" t="inlineStr">
        <is>
          <t>2023</t>
        </is>
      </c>
      <c r="L50" s="100" t="inlineStr">
        <is>
          <t>Variat.</t>
        </is>
      </c>
      <c r="M50" s="95" t="inlineStr">
        <is>
          <t>Cumulé 2024</t>
        </is>
      </c>
      <c r="N50" s="95" t="inlineStr">
        <is>
          <t>Cumulé 2023</t>
        </is>
      </c>
      <c r="O50" s="100" t="inlineStr">
        <is>
          <t>Cumulé variat.</t>
        </is>
      </c>
    </row>
    <row r="51" ht="13.15" customHeight="1" s="161">
      <c r="A51" s="476" t="inlineStr">
        <is>
          <t>Janvier</t>
        </is>
      </c>
      <c r="B51" s="284">
        <f>IF(DONNÉES!BG108="","",DONNÉES!BG108)</f>
        <v/>
      </c>
      <c r="C51" s="284">
        <f>IF(TRVICTOIRE[[#This Row],[2024]]="","",DONNÉES!BH108)</f>
        <v/>
      </c>
      <c r="D51" s="96">
        <f>IF(TRVICTOIRE[[#This Row],[2024]]="","",(TRVICTOIRE[[#This Row],[2024]]-TRVICTOIRE[[#This Row],[2023]])/TRVICTOIRE[[#This Row],[2023]])</f>
        <v/>
      </c>
      <c r="E51" s="284">
        <f>IF(TRVICTOIRE[[#This Row],[2024]]="","",TRVICTOIRE[[#This Row],[2024]])</f>
        <v/>
      </c>
      <c r="F51" s="86">
        <f>IF(TRVICTOIRE[[#This Row],[2024]]="","",+TRVICTOIRE[[#This Row],[2023]])</f>
        <v/>
      </c>
      <c r="G51" s="97">
        <f>IF(TRVICTOIRE[[#This Row],[Cumulé 2024]]="","",+(TRVICTOIRE[[#This Row],[Cumulé 2024]]-TRVICTOIRE[[#This Row],[Cumulé 2023]])/TRVICTOIRE[[#This Row],[Cumulé 2023]])</f>
        <v/>
      </c>
      <c r="H51" s="474" t="n"/>
      <c r="I51" s="476" t="inlineStr">
        <is>
          <t>Janvier</t>
        </is>
      </c>
      <c r="J51" s="87">
        <f>IF(DONNÉES!EA108="","",DONNÉES!EA108)</f>
        <v/>
      </c>
      <c r="K51" s="87">
        <f>IF(TRCAT[[#This Row],[2024]]="","",DONNÉES!EB108)</f>
        <v/>
      </c>
      <c r="L51" s="102">
        <f>IF(TRCAT[[#This Row],[2024]]="","",(TRCAT[[#This Row],[2024]]-TRCAT[[#This Row],[2023]])/TRCAT[[#This Row],[2023]])</f>
        <v/>
      </c>
      <c r="M51" s="87">
        <f>IF(TRCAT[[#This Row],[2024]]="","",TRCAT[[#This Row],[2024]])</f>
        <v/>
      </c>
      <c r="N51" s="86">
        <f>IF(TRCAT[[#This Row],[2024]]="","",+TRCAT[[#This Row],[2023]])</f>
        <v/>
      </c>
      <c r="O51" s="103">
        <f>IF(TRCAT[[#This Row],[Cumulé 2024]]="","",+(TRCAT[[#This Row],[Cumulé 2024]]-TRCAT[[#This Row],[Cumulé 2023]])/TRCAT[[#This Row],[Cumulé 2023]])</f>
        <v/>
      </c>
    </row>
    <row r="52" ht="13.15" customHeight="1" s="161">
      <c r="A52" s="476" t="inlineStr">
        <is>
          <t>Février</t>
        </is>
      </c>
      <c r="B52" s="284">
        <f>IF(DONNÉES!BG109="","",DONNÉES!BG109)</f>
        <v/>
      </c>
      <c r="C52" s="284">
        <f>IF(TRVICTOIRE[[#This Row],[2024]]="","",DONNÉES!BH109)</f>
        <v/>
      </c>
      <c r="D52" s="96">
        <f>IF(TRVICTOIRE[[#This Row],[2024]]="","",(TRVICTOIRE[[#This Row],[2024]]-TRVICTOIRE[[#This Row],[2023]])/TRVICTOIRE[[#This Row],[2023]])</f>
        <v/>
      </c>
      <c r="E52" s="284">
        <f>IF(TRVICTOIRE[[#This Row],[2024]]="","",TRVICTOIRE[[#This Row],[2024]]+E51)</f>
        <v/>
      </c>
      <c r="F52" s="86">
        <f>IF(TRVICTOIRE[[#This Row],[2024]]="","",+TRVICTOIRE[[#This Row],[2023]]+F51)</f>
        <v/>
      </c>
      <c r="G52" s="97">
        <f>IF(TRVICTOIRE[[#This Row],[Cumulé 2024]]="","",+(TRVICTOIRE[[#This Row],[Cumulé 2024]]-TRVICTOIRE[[#This Row],[Cumulé 2023]])/TRVICTOIRE[[#This Row],[Cumulé 2023]])</f>
        <v/>
      </c>
      <c r="H52" s="474" t="n"/>
      <c r="I52" s="476" t="inlineStr">
        <is>
          <t>Février</t>
        </is>
      </c>
      <c r="J52" s="87">
        <f>IF(DONNÉES!EA109="","",DONNÉES!EA109)</f>
        <v/>
      </c>
      <c r="K52" s="87">
        <f>IF(TRCAT[[#This Row],[2024]]="","",DONNÉES!EB109)</f>
        <v/>
      </c>
      <c r="L52" s="102">
        <f>IF(TRCAT[[#This Row],[2024]]="","",(TRCAT[[#This Row],[2024]]-TRCAT[[#This Row],[2023]])/TRCAT[[#This Row],[2023]])</f>
        <v/>
      </c>
      <c r="M52" s="87">
        <f>IF(TRCAT[[#This Row],[2024]]="","",TRCAT[[#This Row],[2024]])</f>
        <v/>
      </c>
      <c r="N52" s="86">
        <f>IF(TRCAT[[#This Row],[2024]]="","",+TRCAT[[#This Row],[2023]])</f>
        <v/>
      </c>
      <c r="O52" s="103">
        <f>IF(TRCAT[[#This Row],[Cumulé 2024]]="","",+(TRCAT[[#This Row],[Cumulé 2024]]-TRCAT[[#This Row],[Cumulé 2023]])/TRCAT[[#This Row],[Cumulé 2023]])</f>
        <v/>
      </c>
    </row>
    <row r="53" ht="13.15" customHeight="1" s="161">
      <c r="A53" s="474" t="inlineStr">
        <is>
          <t>Mars</t>
        </is>
      </c>
      <c r="B53" s="284">
        <f>IF(DONNÉES!BG110="","",DONNÉES!BG110)</f>
        <v/>
      </c>
      <c r="C53" s="284">
        <f>IF(TRVICTOIRE[[#This Row],[2024]]="","",DONNÉES!BH110)</f>
        <v/>
      </c>
      <c r="D53" s="96">
        <f>IF(TRVICTOIRE[[#This Row],[2024]]="","",(TRVICTOIRE[[#This Row],[2024]]-TRVICTOIRE[[#This Row],[2023]])/TRVICTOIRE[[#This Row],[2023]])</f>
        <v/>
      </c>
      <c r="E53" s="284">
        <f>IF(TRVICTOIRE[[#This Row],[2024]]="","",TRVICTOIRE[[#This Row],[2024]]+E52)</f>
        <v/>
      </c>
      <c r="F53" s="86">
        <f>IF(TRVICTOIRE[[#This Row],[2024]]="","",+TRVICTOIRE[[#This Row],[2023]]+F52)</f>
        <v/>
      </c>
      <c r="G53" s="97">
        <f>IF(TRVICTOIRE[[#This Row],[Cumulé 2024]]="","",+(TRVICTOIRE[[#This Row],[Cumulé 2024]]-TRVICTOIRE[[#This Row],[Cumulé 2023]])/TRVICTOIRE[[#This Row],[Cumulé 2023]])</f>
        <v/>
      </c>
      <c r="H53" s="474" t="n"/>
      <c r="I53" s="474" t="inlineStr">
        <is>
          <t>Mars</t>
        </is>
      </c>
      <c r="J53" s="87">
        <f>IF(DONNÉES!EA110="","",DONNÉES!EA110)</f>
        <v/>
      </c>
      <c r="K53" s="87">
        <f>IF(TRCAT[[#This Row],[2024]]="","",DONNÉES!EB110)</f>
        <v/>
      </c>
      <c r="L53" s="102">
        <f>IF(TRCAT[[#This Row],[2024]]="","",(TRCAT[[#This Row],[2024]]-TRCAT[[#This Row],[2023]])/TRCAT[[#This Row],[2023]])</f>
        <v/>
      </c>
      <c r="M53" s="87">
        <f>IF(TRCAT[[#This Row],[2024]]="","",TRCAT[[#This Row],[2024]])</f>
        <v/>
      </c>
      <c r="N53" s="86">
        <f>IF(TRCAT[[#This Row],[2024]]="","",+TRCAT[[#This Row],[2023]])</f>
        <v/>
      </c>
      <c r="O53" s="103">
        <f>IF(TRCAT[[#This Row],[Cumulé 2024]]="","",+(TRCAT[[#This Row],[Cumulé 2024]]-TRCAT[[#This Row],[Cumulé 2023]])/TRCAT[[#This Row],[Cumulé 2023]])</f>
        <v/>
      </c>
    </row>
    <row r="54" ht="13.15" customHeight="1" s="161">
      <c r="A54" s="476" t="inlineStr">
        <is>
          <t>Avril</t>
        </is>
      </c>
      <c r="B54" s="284">
        <f>IF(DONNÉES!BG111="","",DONNÉES!BG111)</f>
        <v/>
      </c>
      <c r="C54" s="284">
        <f>IF(TRVICTOIRE[[#This Row],[2024]]="","",DONNÉES!BH111)</f>
        <v/>
      </c>
      <c r="D54" s="96">
        <f>IF(TRVICTOIRE[[#This Row],[2024]]="","",(TRVICTOIRE[[#This Row],[2024]]-TRVICTOIRE[[#This Row],[2023]])/TRVICTOIRE[[#This Row],[2023]])</f>
        <v/>
      </c>
      <c r="E54" s="284">
        <f>IF(TRVICTOIRE[[#This Row],[2024]]="","",TRVICTOIRE[[#This Row],[2024]]+E53)</f>
        <v/>
      </c>
      <c r="F54" s="86">
        <f>IF(TRVICTOIRE[[#This Row],[2024]]="","",+TRVICTOIRE[[#This Row],[2023]]+F53)</f>
        <v/>
      </c>
      <c r="G54" s="97">
        <f>IF(TRVICTOIRE[[#This Row],[Cumulé 2024]]="","",+(TRVICTOIRE[[#This Row],[Cumulé 2024]]-TRVICTOIRE[[#This Row],[Cumulé 2023]])/TRVICTOIRE[[#This Row],[Cumulé 2023]])</f>
        <v/>
      </c>
      <c r="I54" s="476" t="inlineStr">
        <is>
          <t>Avril</t>
        </is>
      </c>
      <c r="J54" s="87">
        <f>IF(DONNÉES!EA111="","",DONNÉES!EA111)</f>
        <v/>
      </c>
      <c r="K54" s="87">
        <f>IF(TRCAT[[#This Row],[2024]]="","",DONNÉES!EB111)</f>
        <v/>
      </c>
      <c r="L54" s="102">
        <f>IF(TRCAT[[#This Row],[2024]]="","",(TRCAT[[#This Row],[2024]]-TRCAT[[#This Row],[2023]])/TRCAT[[#This Row],[2023]])</f>
        <v/>
      </c>
      <c r="M54" s="87">
        <f>IF(TRCAT[[#This Row],[2024]]="","",TRCAT[[#This Row],[2024]])</f>
        <v/>
      </c>
      <c r="N54" s="86">
        <f>IF(TRCAT[[#This Row],[2024]]="","",+TRCAT[[#This Row],[2023]])</f>
        <v/>
      </c>
      <c r="O54" s="103">
        <f>IF(TRCAT[[#This Row],[Cumulé 2024]]="","",+(TRCAT[[#This Row],[Cumulé 2024]]-TRCAT[[#This Row],[Cumulé 2023]])/TRCAT[[#This Row],[Cumulé 2023]])</f>
        <v/>
      </c>
    </row>
    <row r="55" ht="13.15" customHeight="1" s="161">
      <c r="A55" s="474" t="inlineStr">
        <is>
          <t>Mai</t>
        </is>
      </c>
      <c r="B55" s="284">
        <f>IF(DONNÉES!BG112="","",DONNÉES!BG112)</f>
        <v/>
      </c>
      <c r="C55" s="284">
        <f>IF(TRVICTOIRE[[#This Row],[2024]]="","",DONNÉES!BH112)</f>
        <v/>
      </c>
      <c r="D55" s="96">
        <f>IF(TRVICTOIRE[[#This Row],[2024]]="","",(TRVICTOIRE[[#This Row],[2024]]-TRVICTOIRE[[#This Row],[2023]])/TRVICTOIRE[[#This Row],[2023]])</f>
        <v/>
      </c>
      <c r="E55" s="284">
        <f>IF(TRVICTOIRE[[#This Row],[2024]]="","",TRVICTOIRE[[#This Row],[2024]]+E54)</f>
        <v/>
      </c>
      <c r="F55" s="86">
        <f>IF(TRVICTOIRE[[#This Row],[2024]]="","",+TRVICTOIRE[[#This Row],[2023]]+F54)</f>
        <v/>
      </c>
      <c r="G55" s="97">
        <f>IF(TRVICTOIRE[[#This Row],[Cumulé 2024]]="","",+(TRVICTOIRE[[#This Row],[Cumulé 2024]]-TRVICTOIRE[[#This Row],[Cumulé 2023]])/TRVICTOIRE[[#This Row],[Cumulé 2023]])</f>
        <v/>
      </c>
      <c r="H55" s="474" t="n"/>
      <c r="I55" s="474" t="inlineStr">
        <is>
          <t>Mai</t>
        </is>
      </c>
      <c r="J55" s="87">
        <f>IF(DONNÉES!EA112="","",DONNÉES!EA112)</f>
        <v/>
      </c>
      <c r="K55" s="87">
        <f>IF(TRCAT[[#This Row],[2024]]="","",DONNÉES!EB112)</f>
        <v/>
      </c>
      <c r="L55" s="102">
        <f>IF(TRCAT[[#This Row],[2024]]="","",(TRCAT[[#This Row],[2024]]-TRCAT[[#This Row],[2023]])/TRCAT[[#This Row],[2023]])</f>
        <v/>
      </c>
      <c r="M55" s="87">
        <f>IF(TRCAT[[#This Row],[2024]]="","",TRCAT[[#This Row],[2024]])</f>
        <v/>
      </c>
      <c r="N55" s="86">
        <f>IF(TRCAT[[#This Row],[2024]]="","",+TRCAT[[#This Row],[2023]])</f>
        <v/>
      </c>
      <c r="O55" s="103">
        <f>IF(TRCAT[[#This Row],[Cumulé 2024]]="","",+(TRCAT[[#This Row],[Cumulé 2024]]-TRCAT[[#This Row],[Cumulé 2023]])/TRCAT[[#This Row],[Cumulé 2023]])</f>
        <v/>
      </c>
    </row>
    <row r="56" ht="13.15" customFormat="1" customHeight="1" s="476">
      <c r="A56" s="476" t="inlineStr">
        <is>
          <t>Juin</t>
        </is>
      </c>
      <c r="B56" s="284">
        <f>IF(DONNÉES!BG113="","",DONNÉES!BG113)</f>
        <v/>
      </c>
      <c r="C56" s="284">
        <f>IF(TRVICTOIRE[[#This Row],[2024]]="","",DONNÉES!BH113)</f>
        <v/>
      </c>
      <c r="D56" s="96">
        <f>IF(TRVICTOIRE[[#This Row],[2024]]="","",(TRVICTOIRE[[#This Row],[2024]]-TRVICTOIRE[[#This Row],[2023]])/TRVICTOIRE[[#This Row],[2023]])</f>
        <v/>
      </c>
      <c r="E56" s="284">
        <f>IF(TRVICTOIRE[[#This Row],[2024]]="","",TRVICTOIRE[[#This Row],[2024]]+E55)</f>
        <v/>
      </c>
      <c r="F56" s="86">
        <f>IF(TRVICTOIRE[[#This Row],[2024]]="","",+TRVICTOIRE[[#This Row],[2023]]+F55)</f>
        <v/>
      </c>
      <c r="G56" s="97">
        <f>IF(TRVICTOIRE[[#This Row],[Cumulé 2024]]="","",+(TRVICTOIRE[[#This Row],[Cumulé 2024]]-TRVICTOIRE[[#This Row],[Cumulé 2023]])/TRVICTOIRE[[#This Row],[Cumulé 2023]])</f>
        <v/>
      </c>
      <c r="I56" s="476" t="inlineStr">
        <is>
          <t>Juin</t>
        </is>
      </c>
      <c r="J56" s="87">
        <f>IF(DONNÉES!EA113="","",DONNÉES!EA113)</f>
        <v/>
      </c>
      <c r="K56" s="87">
        <f>IF(TRCAT[[#This Row],[2024]]="","",DONNÉES!EB113)</f>
        <v/>
      </c>
      <c r="L56" s="102">
        <f>IF(TRCAT[[#This Row],[2024]]="","",(TRCAT[[#This Row],[2024]]-TRCAT[[#This Row],[2023]])/TRCAT[[#This Row],[2023]])</f>
        <v/>
      </c>
      <c r="M56" s="87">
        <f>IF(TRCAT[[#This Row],[2024]]="","",TRCAT[[#This Row],[2024]])</f>
        <v/>
      </c>
      <c r="N56" s="86">
        <f>IF(TRCAT[[#This Row],[2024]]="","",+TRCAT[[#This Row],[2023]])</f>
        <v/>
      </c>
      <c r="O56" s="103">
        <f>IF(TRCAT[[#This Row],[Cumulé 2024]]="","",+(TRCAT[[#This Row],[Cumulé 2024]]-TRCAT[[#This Row],[Cumulé 2023]])/TRCAT[[#This Row],[Cumulé 2023]])</f>
        <v/>
      </c>
    </row>
    <row r="57" ht="13.15" customFormat="1" customHeight="1" s="476">
      <c r="A57" s="474" t="inlineStr">
        <is>
          <t>Juillet</t>
        </is>
      </c>
      <c r="B57" s="284">
        <f>IF(DONNÉES!BG114="","",DONNÉES!BG114)</f>
        <v/>
      </c>
      <c r="C57" s="284">
        <f>IF(TRVICTOIRE[[#This Row],[2024]]="","",DONNÉES!BH114)</f>
        <v/>
      </c>
      <c r="D57" s="96">
        <f>IF(TRVICTOIRE[[#This Row],[2024]]="","",(TRVICTOIRE[[#This Row],[2024]]-TRVICTOIRE[[#This Row],[2023]])/TRVICTOIRE[[#This Row],[2023]])</f>
        <v/>
      </c>
      <c r="E57" s="284">
        <f>IF(TRVICTOIRE[[#This Row],[2024]]="","",TRVICTOIRE[[#This Row],[2024]]+E56)</f>
        <v/>
      </c>
      <c r="F57" s="86">
        <f>IF(TRVICTOIRE[[#This Row],[2024]]="","",+TRVICTOIRE[[#This Row],[2023]]+F56)</f>
        <v/>
      </c>
      <c r="G57" s="97">
        <f>IF(TRVICTOIRE[[#This Row],[Cumulé 2024]]="","",+(TRVICTOIRE[[#This Row],[Cumulé 2024]]-TRVICTOIRE[[#This Row],[Cumulé 2023]])/TRVICTOIRE[[#This Row],[Cumulé 2023]])</f>
        <v/>
      </c>
      <c r="I57" s="474" t="inlineStr">
        <is>
          <t>Juillet</t>
        </is>
      </c>
      <c r="J57" s="87">
        <f>IF(DONNÉES!EA114="","",DONNÉES!EA114)</f>
        <v/>
      </c>
      <c r="K57" s="87">
        <f>IF(TRCAT[[#This Row],[2024]]="","",DONNÉES!EB114)</f>
        <v/>
      </c>
      <c r="L57" s="102">
        <f>IF(TRCAT[[#This Row],[2024]]="","",(TRCAT[[#This Row],[2024]]-TRCAT[[#This Row],[2023]])/TRCAT[[#This Row],[2023]])</f>
        <v/>
      </c>
      <c r="M57" s="87">
        <f>IF(TRCAT[[#This Row],[2024]]="","",TRCAT[[#This Row],[2024]])</f>
        <v/>
      </c>
      <c r="N57" s="86">
        <f>IF(TRCAT[[#This Row],[2024]]="","",+TRCAT[[#This Row],[2023]])</f>
        <v/>
      </c>
      <c r="O57" s="103">
        <f>IF(TRCAT[[#This Row],[Cumulé 2024]]="","",+(TRCAT[[#This Row],[Cumulé 2024]]-TRCAT[[#This Row],[Cumulé 2023]])/TRCAT[[#This Row],[Cumulé 2023]])</f>
        <v/>
      </c>
    </row>
    <row r="58" ht="13.15" customFormat="1" customHeight="1" s="476">
      <c r="A58" s="476" t="inlineStr">
        <is>
          <t>Août</t>
        </is>
      </c>
      <c r="B58" s="284">
        <f>IF(DONNÉES!BG115="","",DONNÉES!BG115)</f>
        <v/>
      </c>
      <c r="C58" s="284">
        <f>IF(TRVICTOIRE[[#This Row],[2024]]="","",DONNÉES!BH115)</f>
        <v/>
      </c>
      <c r="D58" s="96">
        <f>IF(TRVICTOIRE[[#This Row],[2024]]="","",(TRVICTOIRE[[#This Row],[2024]]-TRVICTOIRE[[#This Row],[2023]])/TRVICTOIRE[[#This Row],[2023]])</f>
        <v/>
      </c>
      <c r="E58" s="284">
        <f>IF(TRVICTOIRE[[#This Row],[2024]]="","",TRVICTOIRE[[#This Row],[2024]]+E57)</f>
        <v/>
      </c>
      <c r="F58" s="86">
        <f>IF(TRVICTOIRE[[#This Row],[2024]]="","",+TRVICTOIRE[[#This Row],[2023]]+F57)</f>
        <v/>
      </c>
      <c r="G58" s="97">
        <f>IF(TRVICTOIRE[[#This Row],[Cumulé 2024]]="","",+(TRVICTOIRE[[#This Row],[Cumulé 2024]]-TRVICTOIRE[[#This Row],[Cumulé 2023]])/TRVICTOIRE[[#This Row],[Cumulé 2023]])</f>
        <v/>
      </c>
      <c r="I58" s="476" t="inlineStr">
        <is>
          <t>Août</t>
        </is>
      </c>
      <c r="J58" s="87">
        <f>IF(DONNÉES!EA115="","",DONNÉES!EA115)</f>
        <v/>
      </c>
      <c r="K58" s="87">
        <f>IF(TRCAT[[#This Row],[2024]]="","",DONNÉES!EB115)</f>
        <v/>
      </c>
      <c r="L58" s="102">
        <f>IF(TRCAT[[#This Row],[2024]]="","",(TRCAT[[#This Row],[2024]]-TRCAT[[#This Row],[2023]])/TRCAT[[#This Row],[2023]])</f>
        <v/>
      </c>
      <c r="M58" s="87">
        <f>IF(TRCAT[[#This Row],[2024]]="","",TRCAT[[#This Row],[2024]])</f>
        <v/>
      </c>
      <c r="N58" s="86">
        <f>IF(TRCAT[[#This Row],[2024]]="","",+TRCAT[[#This Row],[2023]])</f>
        <v/>
      </c>
      <c r="O58" s="103">
        <f>IF(TRCAT[[#This Row],[Cumulé 2024]]="","",+(TRCAT[[#This Row],[Cumulé 2024]]-TRCAT[[#This Row],[Cumulé 2023]])/TRCAT[[#This Row],[Cumulé 2023]])</f>
        <v/>
      </c>
    </row>
    <row r="59" ht="13.15" customHeight="1" s="161">
      <c r="A59" s="474" t="inlineStr">
        <is>
          <t>Septembre</t>
        </is>
      </c>
      <c r="B59" s="86">
        <f>IF(DONNÉES!BG116="","",DONNÉES!BG116)</f>
        <v/>
      </c>
      <c r="C59" s="86">
        <f>IF(TRVICTOIRE[[#This Row],[2024]]="","",DONNÉES!BH116)</f>
        <v/>
      </c>
      <c r="D59" s="97">
        <f>IF(TRVICTOIRE[[#This Row],[2024]]="","",(TRVICTOIRE[[#This Row],[2024]]-TRVICTOIRE[[#This Row],[2023]])/TRVICTOIRE[[#This Row],[2023]])</f>
        <v/>
      </c>
      <c r="E59" s="284">
        <f>IF(TRVICTOIRE[[#This Row],[2024]]="","",TRVICTOIRE[[#This Row],[2024]]+E58)</f>
        <v/>
      </c>
      <c r="F59" s="86">
        <f>IF(TRVICTOIRE[[#This Row],[2024]]="","",+TRVICTOIRE[[#This Row],[2023]]+F58)</f>
        <v/>
      </c>
      <c r="G59" s="97">
        <f>IF(TRVICTOIRE[[#This Row],[Cumulé 2024]]="","",+(TRVICTOIRE[[#This Row],[Cumulé 2024]]-TRVICTOIRE[[#This Row],[Cumulé 2023]])/TRVICTOIRE[[#This Row],[Cumulé 2023]])</f>
        <v/>
      </c>
      <c r="H59" s="474" t="n"/>
      <c r="I59" s="474" t="inlineStr">
        <is>
          <t>Septembre</t>
        </is>
      </c>
      <c r="J59" s="87">
        <f>IF(DONNÉES!EA116="","",DONNÉES!EA116)</f>
        <v/>
      </c>
      <c r="K59" s="87">
        <f>IF(TRCAT[[#This Row],[2024]]="","",DONNÉES!EB116)</f>
        <v/>
      </c>
      <c r="L59" s="103">
        <f>IF(TRCAT[[#This Row],[2024]]="","",(TRCAT[[#This Row],[2024]]-TRCAT[[#This Row],[2023]])/TRCAT[[#This Row],[2023]])</f>
        <v/>
      </c>
      <c r="M59" s="87">
        <f>IF(TRCAT[[#This Row],[2024]]="","",TRCAT[[#This Row],[2024]])</f>
        <v/>
      </c>
      <c r="N59" s="86">
        <f>IF(TRCAT[[#This Row],[2024]]="","",+TRCAT[[#This Row],[2023]])</f>
        <v/>
      </c>
      <c r="O59" s="103">
        <f>IF(TRCAT[[#This Row],[Cumulé 2024]]="","",+(TRCAT[[#This Row],[Cumulé 2024]]-TRCAT[[#This Row],[Cumulé 2023]])/TRCAT[[#This Row],[Cumulé 2023]])</f>
        <v/>
      </c>
    </row>
    <row r="60" ht="13.15" customHeight="1" s="161">
      <c r="A60" s="476" t="inlineStr">
        <is>
          <t>Octobre</t>
        </is>
      </c>
      <c r="B60" s="86">
        <f>IF(DONNÉES!BG117="","",DONNÉES!BG117)</f>
        <v/>
      </c>
      <c r="C60" s="86">
        <f>IF(TRVICTOIRE[[#This Row],[2024]]="","",DONNÉES!BH117)</f>
        <v/>
      </c>
      <c r="D60" s="97">
        <f>IF(TRVICTOIRE[[#This Row],[2024]]="","",(TRVICTOIRE[[#This Row],[2024]]-TRVICTOIRE[[#This Row],[2023]])/TRVICTOIRE[[#This Row],[2023]])</f>
        <v/>
      </c>
      <c r="E60" s="284">
        <f>IF(TRVICTOIRE[[#This Row],[2024]]="","",TRVICTOIRE[[#This Row],[2024]]+E59)</f>
        <v/>
      </c>
      <c r="F60" s="86">
        <f>IF(TRVICTOIRE[[#This Row],[2024]]="","",+TRVICTOIRE[[#This Row],[2023]]+F59)</f>
        <v/>
      </c>
      <c r="G60" s="97">
        <f>IF(TRVICTOIRE[[#This Row],[Cumulé 2024]]="","",+(TRVICTOIRE[[#This Row],[Cumulé 2024]]-TRVICTOIRE[[#This Row],[Cumulé 2023]])/TRVICTOIRE[[#This Row],[Cumulé 2023]])</f>
        <v/>
      </c>
      <c r="H60" s="474" t="n"/>
      <c r="I60" s="476" t="inlineStr">
        <is>
          <t>Octobre</t>
        </is>
      </c>
      <c r="J60" s="87">
        <f>IF(DONNÉES!EA117="","",DONNÉES!EA117)</f>
        <v/>
      </c>
      <c r="K60" s="87">
        <f>IF(TRCAT[[#This Row],[2024]]="","",DONNÉES!EB117)</f>
        <v/>
      </c>
      <c r="L60" s="103">
        <f>IF(TRCAT[[#This Row],[2024]]="","",(TRCAT[[#This Row],[2024]]-TRCAT[[#This Row],[2023]])/TRCAT[[#This Row],[2023]])</f>
        <v/>
      </c>
      <c r="M60" s="87">
        <f>IF(TRCAT[[#This Row],[2024]]="","",TRCAT[[#This Row],[2024]])</f>
        <v/>
      </c>
      <c r="N60" s="86">
        <f>IF(TRCAT[[#This Row],[2024]]="","",+TRCAT[[#This Row],[2023]])</f>
        <v/>
      </c>
      <c r="O60" s="103">
        <f>IF(TRCAT[[#This Row],[Cumulé 2024]]="","",+(TRCAT[[#This Row],[Cumulé 2024]]-TRCAT[[#This Row],[Cumulé 2023]])/TRCAT[[#This Row],[Cumulé 2023]])</f>
        <v/>
      </c>
    </row>
    <row r="61" ht="13.15" customHeight="1" s="161">
      <c r="A61" s="474" t="inlineStr">
        <is>
          <t>Novembre</t>
        </is>
      </c>
      <c r="B61" s="86">
        <f>IF(DONNÉES!BG118="","",DONNÉES!BG118)</f>
        <v/>
      </c>
      <c r="C61" s="86">
        <f>IF(TRVICTOIRE[[#This Row],[2024]]="","",DONNÉES!BH118)</f>
        <v/>
      </c>
      <c r="D61" s="97">
        <f>IF(TRVICTOIRE[[#This Row],[2024]]="","",(TRVICTOIRE[[#This Row],[2024]]-TRVICTOIRE[[#This Row],[2023]])/TRVICTOIRE[[#This Row],[2023]])</f>
        <v/>
      </c>
      <c r="E61" s="284">
        <f>IF(TRVICTOIRE[[#This Row],[2024]]="","",TRVICTOIRE[[#This Row],[2024]]+E60)</f>
        <v/>
      </c>
      <c r="F61" s="86">
        <f>IF(TRVICTOIRE[[#This Row],[2024]]="","",+TRVICTOIRE[[#This Row],[2023]]+F60)</f>
        <v/>
      </c>
      <c r="G61" s="97">
        <f>IF(TRVICTOIRE[[#This Row],[Cumulé 2024]]="","",+(TRVICTOIRE[[#This Row],[Cumulé 2024]]-TRVICTOIRE[[#This Row],[Cumulé 2023]])/TRVICTOIRE[[#This Row],[Cumulé 2023]])</f>
        <v/>
      </c>
      <c r="H61" s="474" t="n"/>
      <c r="I61" s="474" t="inlineStr">
        <is>
          <t>Novembre</t>
        </is>
      </c>
      <c r="J61" s="87">
        <f>IF(DONNÉES!EA118="","",DONNÉES!EA118)</f>
        <v/>
      </c>
      <c r="K61" s="87">
        <f>IF(TRCAT[[#This Row],[2024]]="","",DONNÉES!EB118)</f>
        <v/>
      </c>
      <c r="L61" s="103">
        <f>IF(TRCAT[[#This Row],[2024]]="","",(TRCAT[[#This Row],[2024]]-TRCAT[[#This Row],[2023]])/TRCAT[[#This Row],[2023]])</f>
        <v/>
      </c>
      <c r="M61" s="87">
        <f>IF(TRCAT[[#This Row],[2024]]="","",TRCAT[[#This Row],[2024]])</f>
        <v/>
      </c>
      <c r="N61" s="86">
        <f>IF(TRCAT[[#This Row],[2024]]="","",+TRCAT[[#This Row],[2023]])</f>
        <v/>
      </c>
      <c r="O61" s="103">
        <f>IF(TRCAT[[#This Row],[Cumulé 2024]]="","",+(TRCAT[[#This Row],[Cumulé 2024]]-TRCAT[[#This Row],[Cumulé 2023]])/TRCAT[[#This Row],[Cumulé 2023]])</f>
        <v/>
      </c>
    </row>
    <row r="62" ht="13.15" customHeight="1" s="161">
      <c r="A62" s="474" t="inlineStr">
        <is>
          <t>Décembre</t>
        </is>
      </c>
      <c r="B62" s="86">
        <f>IF(DONNÉES!BG119="","",DONNÉES!BG119)</f>
        <v/>
      </c>
      <c r="C62" s="86">
        <f>IF(TRVICTOIRE[[#This Row],[2024]]="","",DONNÉES!BH119)</f>
        <v/>
      </c>
      <c r="D62" s="97">
        <f>IF(TRVICTOIRE[[#This Row],[2024]]="","",(TRVICTOIRE[[#This Row],[2024]]-TRVICTOIRE[[#This Row],[2023]])/TRVICTOIRE[[#This Row],[2023]])</f>
        <v/>
      </c>
      <c r="E62" s="284">
        <f>IF(TRVICTOIRE[[#This Row],[2024]]="","",TRVICTOIRE[[#This Row],[2024]]+E61)</f>
        <v/>
      </c>
      <c r="F62" s="86">
        <f>IF(TRVICTOIRE[[#This Row],[2024]]="","",+TRVICTOIRE[[#This Row],[2023]]+F61)</f>
        <v/>
      </c>
      <c r="G62" s="97">
        <f>IF(TRVICTOIRE[[#This Row],[Cumulé 2024]]="","",+(TRVICTOIRE[[#This Row],[Cumulé 2024]]-TRVICTOIRE[[#This Row],[Cumulé 2023]])/TRVICTOIRE[[#This Row],[Cumulé 2023]])</f>
        <v/>
      </c>
      <c r="H62" s="474" t="n"/>
      <c r="I62" s="474" t="inlineStr">
        <is>
          <t>Décembre</t>
        </is>
      </c>
      <c r="J62" s="87">
        <f>IF(DONNÉES!EA119="","",DONNÉES!EA119)</f>
        <v/>
      </c>
      <c r="K62" s="87">
        <f>IF(TRCAT[[#This Row],[2024]]="","",DONNÉES!EB119)</f>
        <v/>
      </c>
      <c r="L62" s="103">
        <f>IF(TRCAT[[#This Row],[2024]]="","",(TRCAT[[#This Row],[2024]]-TRCAT[[#This Row],[2023]])/TRCAT[[#This Row],[2023]])</f>
        <v/>
      </c>
      <c r="M62" s="87">
        <f>IF(TRCAT[[#This Row],[2024]]="","",TRCAT[[#This Row],[2024]])</f>
        <v/>
      </c>
      <c r="N62" s="86">
        <f>IF(TRCAT[[#This Row],[2024]]="","",+TRCAT[[#This Row],[2023]])</f>
        <v/>
      </c>
      <c r="O62" s="103">
        <f>IF(TRCAT[[#This Row],[Cumulé 2024]]="","",+(TRCAT[[#This Row],[Cumulé 2024]]-TRCAT[[#This Row],[Cumulé 2023]])/TRCAT[[#This Row],[Cumulé 2023]])</f>
        <v/>
      </c>
    </row>
    <row r="63" ht="16.9" customHeight="1" s="161">
      <c r="A63" s="354" t="inlineStr">
        <is>
          <t xml:space="preserve">  TOTAL  </t>
        </is>
      </c>
      <c r="B63" s="76">
        <f>SUBTOTAL(109,TRVICTOIRE[2024])</f>
        <v/>
      </c>
      <c r="C63" s="76">
        <f>SUBTOTAL(109,TRVICTOIRE[2023])</f>
        <v/>
      </c>
      <c r="D63" s="105" t="n"/>
      <c r="E63" s="88" t="n"/>
      <c r="F63" s="76" t="n"/>
      <c r="G63" s="105" t="n"/>
      <c r="H63" s="474" t="n"/>
      <c r="I63" s="354" t="inlineStr">
        <is>
          <t xml:space="preserve">  TOTAL  </t>
        </is>
      </c>
      <c r="J63" s="76">
        <f>SUBTOTAL(109,TRCAT[2024])</f>
        <v/>
      </c>
      <c r="K63" s="76">
        <f>SUBTOTAL(109,TRCAT[2023])</f>
        <v/>
      </c>
      <c r="L63" s="105" t="n"/>
      <c r="M63" s="88" t="n"/>
      <c r="N63" s="76" t="n"/>
    </row>
    <row r="64" ht="16.9" customHeight="1" s="161">
      <c r="A64" s="354" t="n"/>
      <c r="B64" s="76" t="n"/>
      <c r="C64" s="76" t="n"/>
      <c r="D64" s="105" t="n"/>
      <c r="E64" s="88" t="n"/>
      <c r="F64" s="76" t="n"/>
      <c r="G64" s="105" t="n"/>
      <c r="H64" s="474" t="n"/>
      <c r="I64" s="354" t="n"/>
      <c r="J64" s="76" t="n"/>
      <c r="K64" s="76" t="n"/>
      <c r="L64" s="105" t="n"/>
      <c r="M64" s="88" t="n"/>
      <c r="N64" s="76" t="n"/>
    </row>
    <row r="65" ht="33" customHeight="1" s="161">
      <c r="A65" s="474" t="inlineStr">
        <is>
          <t>R3 14</t>
        </is>
      </c>
      <c r="B65" s="94" t="inlineStr">
        <is>
          <t>2024</t>
        </is>
      </c>
      <c r="C65" s="94" t="inlineStr">
        <is>
          <t>2023</t>
        </is>
      </c>
      <c r="D65" s="100" t="inlineStr">
        <is>
          <t>Variat.</t>
        </is>
      </c>
      <c r="E65" s="95" t="inlineStr">
        <is>
          <t>Cumulé 2024</t>
        </is>
      </c>
      <c r="F65" s="95" t="inlineStr">
        <is>
          <t>Cumulé 2023</t>
        </is>
      </c>
      <c r="G65" s="100" t="inlineStr">
        <is>
          <t>Cumulé variat.</t>
        </is>
      </c>
      <c r="H65" s="474" t="n"/>
      <c r="I65" s="474" t="inlineStr">
        <is>
          <t>LYSE</t>
        </is>
      </c>
      <c r="J65" s="94" t="inlineStr">
        <is>
          <t>2024</t>
        </is>
      </c>
      <c r="K65" s="94" t="inlineStr">
        <is>
          <t>2023</t>
        </is>
      </c>
      <c r="L65" s="100" t="inlineStr">
        <is>
          <t>Variat.</t>
        </is>
      </c>
      <c r="M65" s="95" t="inlineStr">
        <is>
          <t>Cumulé 2024</t>
        </is>
      </c>
      <c r="N65" s="95" t="inlineStr">
        <is>
          <t>Cumulé 2023</t>
        </is>
      </c>
      <c r="O65" s="100" t="inlineStr">
        <is>
          <t>Cumulé variat.</t>
        </is>
      </c>
    </row>
    <row r="66" ht="13.15" customFormat="1" customHeight="1" s="476">
      <c r="A66" s="476" t="inlineStr">
        <is>
          <t>Janvier</t>
        </is>
      </c>
      <c r="B66" s="284">
        <f>IF(DONNÉES!CE108="","",DONNÉES!CE108)</f>
        <v/>
      </c>
      <c r="C66" s="284">
        <f>IF(TRBIGNALET[[#This Row],[2024]]="","",DONNÉES!CF108)</f>
        <v/>
      </c>
      <c r="D66" s="96">
        <f>IF(TRBIGNALET[[#This Row],[2024]]="","",(TRBIGNALET[[#This Row],[2024]]-TRBIGNALET[[#This Row],[2023]])/TRBIGNALET[[#This Row],[2023]])</f>
        <v/>
      </c>
      <c r="E66" s="284">
        <f>IF(TRBIGNALET[[#This Row],[2024]]="","",TRBIGNALET[[#This Row],[2024]])</f>
        <v/>
      </c>
      <c r="F66" s="86">
        <f>IF(TRBIGNALET[[#This Row],[2024]]="","",+TRBIGNALET[[#This Row],[2023]])</f>
        <v/>
      </c>
      <c r="G66" s="97">
        <f>IF(TRBIGNALET[[#This Row],[Cumulé 2024]]="","",+(TRBIGNALET[[#This Row],[Cumulé 2024]]-TRBIGNALET[[#This Row],[Cumulé 2023]])/TRBIGNALET[[#This Row],[Cumulé 2023]])</f>
        <v/>
      </c>
      <c r="I66" s="476" t="inlineStr">
        <is>
          <t>Janvier</t>
        </is>
      </c>
      <c r="J66" s="284">
        <f>IF(DONNÉES!CM108="","",DONNÉES!CM108)</f>
        <v/>
      </c>
      <c r="K66" s="284">
        <f>IF(TRLYSE[[#This Row],[2024]]="","",DONNÉES!CN108)</f>
        <v/>
      </c>
      <c r="L66" s="96">
        <f>IF(TRLYSE[[#This Row],[2024]]="","",(TRLYSE[[#This Row],[2024]]-TRLYSE[[#This Row],[2023]])/TRLYSE[[#This Row],[2023]])</f>
        <v/>
      </c>
      <c r="M66" s="284">
        <f>IF(TRLYSE[[#This Row],[2024]]="","",TRLYSE[[#This Row],[2024]])</f>
        <v/>
      </c>
      <c r="N66" s="86">
        <f>IF(TRLYSE[[#This Row],[2024]]="","",+TRLYSE[[#This Row],[2023]])</f>
        <v/>
      </c>
      <c r="O66" s="97">
        <f>IF(TRLYSE[[#This Row],[Cumulé 2024]]="","",+(TRLYSE[[#This Row],[Cumulé 2024]]-TRLYSE[[#This Row],[Cumulé 2023]])/TRLYSE[[#This Row],[Cumulé 2023]])</f>
        <v/>
      </c>
    </row>
    <row r="67" ht="13.15" customFormat="1" customHeight="1" s="476">
      <c r="A67" s="476" t="inlineStr">
        <is>
          <t>Février</t>
        </is>
      </c>
      <c r="B67" s="284">
        <f>IF(DONNÉES!CE109="","",DONNÉES!CE109)</f>
        <v/>
      </c>
      <c r="C67" s="284">
        <f>IF(TRBIGNALET[[#This Row],[2024]]="","",DONNÉES!CF109)</f>
        <v/>
      </c>
      <c r="D67" s="96">
        <f>IF(TRBIGNALET[[#This Row],[2024]]="","",(TRBIGNALET[[#This Row],[2024]]-TRBIGNALET[[#This Row],[2023]])/TRBIGNALET[[#This Row],[2023]])</f>
        <v/>
      </c>
      <c r="E67" s="284">
        <f>IF(TRBIGNALET[[#This Row],[2024]]="","",TRBIGNALET[[#This Row],[2024]]+E66)</f>
        <v/>
      </c>
      <c r="F67" s="86">
        <f>IF(TRBIGNALET[[#This Row],[2024]]="","",+TRBIGNALET[[#This Row],[2023]]+F66)</f>
        <v/>
      </c>
      <c r="G67" s="97">
        <f>IF(TRBIGNALET[[#This Row],[Cumulé 2024]]="","",+(TRBIGNALET[[#This Row],[Cumulé 2024]]-TRBIGNALET[[#This Row],[Cumulé 2023]])/TRBIGNALET[[#This Row],[Cumulé 2023]])</f>
        <v/>
      </c>
      <c r="I67" s="476" t="inlineStr">
        <is>
          <t>Février</t>
        </is>
      </c>
      <c r="J67" s="284">
        <f>IF(DONNÉES!CM109="","",DONNÉES!CM109)</f>
        <v/>
      </c>
      <c r="K67" s="284">
        <f>IF(TRLYSE[[#This Row],[2024]]="","",DONNÉES!CN109)</f>
        <v/>
      </c>
      <c r="L67" s="96">
        <f>IF(TRLYSE[[#This Row],[2024]]="","",(TRLYSE[[#This Row],[2024]]-TRLYSE[[#This Row],[2023]])/TRLYSE[[#This Row],[2023]])</f>
        <v/>
      </c>
      <c r="M67" s="284">
        <f>IF(TRLYSE[[#This Row],[2024]]="","",TRLYSE[[#This Row],[2024]]+M66)</f>
        <v/>
      </c>
      <c r="N67" s="86">
        <f>IF(TRLYSE[[#This Row],[2024]]="","",+TRLYSE[[#This Row],[2023]]+N66)</f>
        <v/>
      </c>
      <c r="O67" s="97">
        <f>IF(TRLYSE[[#This Row],[Cumulé 2024]]="","",+(TRLYSE[[#This Row],[Cumulé 2024]]-TRLYSE[[#This Row],[Cumulé 2023]])/TRLYSE[[#This Row],[Cumulé 2023]])</f>
        <v/>
      </c>
    </row>
    <row r="68" ht="13.15" customFormat="1" customHeight="1" s="476">
      <c r="A68" s="474" t="inlineStr">
        <is>
          <t>Mars</t>
        </is>
      </c>
      <c r="B68" s="284">
        <f>IF(DONNÉES!CE110="","",DONNÉES!CE110)</f>
        <v/>
      </c>
      <c r="C68" s="284">
        <f>IF(TRBIGNALET[[#This Row],[2024]]="","",DONNÉES!CF110)</f>
        <v/>
      </c>
      <c r="D68" s="96">
        <f>IF(TRBIGNALET[[#This Row],[2024]]="","",(TRBIGNALET[[#This Row],[2024]]-TRBIGNALET[[#This Row],[2023]])/TRBIGNALET[[#This Row],[2023]])</f>
        <v/>
      </c>
      <c r="E68" s="284">
        <f>IF(TRBIGNALET[[#This Row],[2024]]="","",TRBIGNALET[[#This Row],[2024]]+E67)</f>
        <v/>
      </c>
      <c r="F68" s="86">
        <f>IF(TRBIGNALET[[#This Row],[2024]]="","",+TRBIGNALET[[#This Row],[2023]]+F67)</f>
        <v/>
      </c>
      <c r="G68" s="97">
        <f>IF(TRBIGNALET[[#This Row],[Cumulé 2024]]="","",+(TRBIGNALET[[#This Row],[Cumulé 2024]]-TRBIGNALET[[#This Row],[Cumulé 2023]])/TRBIGNALET[[#This Row],[Cumulé 2023]])</f>
        <v/>
      </c>
      <c r="I68" s="474" t="inlineStr">
        <is>
          <t>Mars</t>
        </is>
      </c>
      <c r="J68" s="284">
        <f>IF(DONNÉES!CM110="","",DONNÉES!CM110)</f>
        <v/>
      </c>
      <c r="K68" s="284">
        <f>IF(TRLYSE[[#This Row],[2024]]="","",DONNÉES!CN110)</f>
        <v/>
      </c>
      <c r="L68" s="96">
        <f>IF(TRLYSE[[#This Row],[2024]]="","",(TRLYSE[[#This Row],[2024]]-TRLYSE[[#This Row],[2023]])/TRLYSE[[#This Row],[2023]])</f>
        <v/>
      </c>
      <c r="M68" s="284">
        <f>IF(TRLYSE[[#This Row],[2024]]="","",TRLYSE[[#This Row],[2024]]+M67)</f>
        <v/>
      </c>
      <c r="N68" s="86">
        <f>IF(TRLYSE[[#This Row],[2024]]="","",+TRLYSE[[#This Row],[2023]]+N67)</f>
        <v/>
      </c>
      <c r="O68" s="97">
        <f>IF(TRLYSE[[#This Row],[Cumulé 2024]]="","",+(TRLYSE[[#This Row],[Cumulé 2024]]-TRLYSE[[#This Row],[Cumulé 2023]])/TRLYSE[[#This Row],[Cumulé 2023]])</f>
        <v/>
      </c>
    </row>
    <row r="69" ht="13.15" customHeight="1" s="161">
      <c r="A69" s="476" t="inlineStr">
        <is>
          <t>Avril</t>
        </is>
      </c>
      <c r="B69" s="284">
        <f>IF(DONNÉES!CE111="","",DONNÉES!CE111)</f>
        <v/>
      </c>
      <c r="C69" s="284">
        <f>IF(TRBIGNALET[[#This Row],[2024]]="","",DONNÉES!CF111)</f>
        <v/>
      </c>
      <c r="D69" s="96">
        <f>IF(TRBIGNALET[[#This Row],[2024]]="","",(TRBIGNALET[[#This Row],[2024]]-TRBIGNALET[[#This Row],[2023]])/TRBIGNALET[[#This Row],[2023]])</f>
        <v/>
      </c>
      <c r="E69" s="284">
        <f>IF(TRBIGNALET[[#This Row],[2024]]="","",TRBIGNALET[[#This Row],[2024]]+E68)</f>
        <v/>
      </c>
      <c r="F69" s="86">
        <f>IF(TRBIGNALET[[#This Row],[2024]]="","",+TRBIGNALET[[#This Row],[2023]]+F68)</f>
        <v/>
      </c>
      <c r="G69" s="97">
        <f>IF(TRBIGNALET[[#This Row],[Cumulé 2024]]="","",+(TRBIGNALET[[#This Row],[Cumulé 2024]]-TRBIGNALET[[#This Row],[Cumulé 2023]])/TRBIGNALET[[#This Row],[Cumulé 2023]])</f>
        <v/>
      </c>
      <c r="H69" s="474" t="n"/>
      <c r="I69" s="476" t="inlineStr">
        <is>
          <t>Avril</t>
        </is>
      </c>
      <c r="J69" s="284">
        <f>IF(DONNÉES!CM111="","",DONNÉES!CM111)</f>
        <v/>
      </c>
      <c r="K69" s="284">
        <f>IF(TRLYSE[[#This Row],[2024]]="","",DONNÉES!CN111)</f>
        <v/>
      </c>
      <c r="L69" s="96">
        <f>IF(TRLYSE[[#This Row],[2024]]="","",(TRLYSE[[#This Row],[2024]]-TRLYSE[[#This Row],[2023]])/TRLYSE[[#This Row],[2023]])</f>
        <v/>
      </c>
      <c r="M69" s="284">
        <f>IF(TRLYSE[[#This Row],[2024]]="","",TRLYSE[[#This Row],[2024]]+M68)</f>
        <v/>
      </c>
      <c r="N69" s="86">
        <f>IF(TRLYSE[[#This Row],[2024]]="","",+TRLYSE[[#This Row],[2023]]+N68)</f>
        <v/>
      </c>
      <c r="O69" s="97">
        <f>IF(TRLYSE[[#This Row],[Cumulé 2024]]="","",+(TRLYSE[[#This Row],[Cumulé 2024]]-TRLYSE[[#This Row],[Cumulé 2023]])/TRLYSE[[#This Row],[Cumulé 2023]])</f>
        <v/>
      </c>
    </row>
    <row r="70" ht="13.15" customHeight="1" s="161">
      <c r="A70" s="474" t="inlineStr">
        <is>
          <t>Mai</t>
        </is>
      </c>
      <c r="B70" s="284">
        <f>IF(DONNÉES!CE112="","",DONNÉES!CE112)</f>
        <v/>
      </c>
      <c r="C70" s="284">
        <f>IF(TRBIGNALET[[#This Row],[2024]]="","",DONNÉES!CF112)</f>
        <v/>
      </c>
      <c r="D70" s="96">
        <f>IF(TRBIGNALET[[#This Row],[2024]]="","",(TRBIGNALET[[#This Row],[2024]]-TRBIGNALET[[#This Row],[2023]])/TRBIGNALET[[#This Row],[2023]])</f>
        <v/>
      </c>
      <c r="E70" s="284">
        <f>IF(TRBIGNALET[[#This Row],[2024]]="","",TRBIGNALET[[#This Row],[2024]]+E69)</f>
        <v/>
      </c>
      <c r="F70" s="86">
        <f>IF(TRBIGNALET[[#This Row],[2024]]="","",+TRBIGNALET[[#This Row],[2023]]+F69)</f>
        <v/>
      </c>
      <c r="G70" s="97">
        <f>IF(TRBIGNALET[[#This Row],[Cumulé 2024]]="","",+(TRBIGNALET[[#This Row],[Cumulé 2024]]-TRBIGNALET[[#This Row],[Cumulé 2023]])/TRBIGNALET[[#This Row],[Cumulé 2023]])</f>
        <v/>
      </c>
      <c r="H70" s="474" t="n"/>
      <c r="I70" s="474" t="inlineStr">
        <is>
          <t>Mai</t>
        </is>
      </c>
      <c r="J70" s="284">
        <f>IF(DONNÉES!CM112="","",DONNÉES!CM112)</f>
        <v/>
      </c>
      <c r="K70" s="284">
        <f>IF(TRLYSE[[#This Row],[2024]]="","",DONNÉES!CN112)</f>
        <v/>
      </c>
      <c r="L70" s="96">
        <f>IF(TRLYSE[[#This Row],[2024]]="","",(TRLYSE[[#This Row],[2024]]-TRLYSE[[#This Row],[2023]])/TRLYSE[[#This Row],[2023]])</f>
        <v/>
      </c>
      <c r="M70" s="284">
        <f>IF(TRLYSE[[#This Row],[2024]]="","",TRLYSE[[#This Row],[2024]]+M69)</f>
        <v/>
      </c>
      <c r="N70" s="86">
        <f>IF(TRLYSE[[#This Row],[2024]]="","",+TRLYSE[[#This Row],[2023]]+N69)</f>
        <v/>
      </c>
      <c r="O70" s="97">
        <f>IF(TRLYSE[[#This Row],[Cumulé 2024]]="","",+(TRLYSE[[#This Row],[Cumulé 2024]]-TRLYSE[[#This Row],[Cumulé 2023]])/TRLYSE[[#This Row],[Cumulé 2023]])</f>
        <v/>
      </c>
    </row>
    <row r="71" ht="13.15" customHeight="1" s="161">
      <c r="A71" s="476" t="inlineStr">
        <is>
          <t>Juin</t>
        </is>
      </c>
      <c r="B71" s="284">
        <f>IF(DONNÉES!CE113="","",DONNÉES!CE113)</f>
        <v/>
      </c>
      <c r="C71" s="284">
        <f>IF(TRBIGNALET[[#This Row],[2024]]="","",DONNÉES!CF113)</f>
        <v/>
      </c>
      <c r="D71" s="96">
        <f>IF(TRBIGNALET[[#This Row],[2024]]="","",(TRBIGNALET[[#This Row],[2024]]-TRBIGNALET[[#This Row],[2023]])/TRBIGNALET[[#This Row],[2023]])</f>
        <v/>
      </c>
      <c r="E71" s="284">
        <f>IF(TRBIGNALET[[#This Row],[2024]]="","",TRBIGNALET[[#This Row],[2024]]+E70)</f>
        <v/>
      </c>
      <c r="F71" s="86">
        <f>IF(TRBIGNALET[[#This Row],[2024]]="","",+TRBIGNALET[[#This Row],[2023]]+F70)</f>
        <v/>
      </c>
      <c r="G71" s="97">
        <f>IF(TRBIGNALET[[#This Row],[Cumulé 2024]]="","",+(TRBIGNALET[[#This Row],[Cumulé 2024]]-TRBIGNALET[[#This Row],[Cumulé 2023]])/TRBIGNALET[[#This Row],[Cumulé 2023]])</f>
        <v/>
      </c>
      <c r="H71" s="474" t="n"/>
      <c r="I71" s="476" t="inlineStr">
        <is>
          <t>Juin</t>
        </is>
      </c>
      <c r="J71" s="284">
        <f>IF(DONNÉES!CM113="","",DONNÉES!CM113)</f>
        <v/>
      </c>
      <c r="K71" s="284">
        <f>IF(TRLYSE[[#This Row],[2024]]="","",DONNÉES!CN113)</f>
        <v/>
      </c>
      <c r="L71" s="96">
        <f>IF(TRLYSE[[#This Row],[2024]]="","",(TRLYSE[[#This Row],[2024]]-TRLYSE[[#This Row],[2023]])/TRLYSE[[#This Row],[2023]])</f>
        <v/>
      </c>
      <c r="M71" s="284">
        <f>IF(TRLYSE[[#This Row],[2024]]="","",TRLYSE[[#This Row],[2024]]+M70)</f>
        <v/>
      </c>
      <c r="N71" s="86">
        <f>IF(TRLYSE[[#This Row],[2024]]="","",+TRLYSE[[#This Row],[2023]]+N70)</f>
        <v/>
      </c>
      <c r="O71" s="97">
        <f>IF(TRLYSE[[#This Row],[Cumulé 2024]]="","",+(TRLYSE[[#This Row],[Cumulé 2024]]-TRLYSE[[#This Row],[Cumulé 2023]])/TRLYSE[[#This Row],[Cumulé 2023]])</f>
        <v/>
      </c>
    </row>
    <row r="72" ht="13.15" customHeight="1" s="161">
      <c r="A72" s="474" t="inlineStr">
        <is>
          <t>Juillet</t>
        </is>
      </c>
      <c r="B72" s="284">
        <f>IF(DONNÉES!CE114="","",DONNÉES!CE114)</f>
        <v/>
      </c>
      <c r="C72" s="284">
        <f>IF(TRBIGNALET[[#This Row],[2024]]="","",DONNÉES!CF114)</f>
        <v/>
      </c>
      <c r="D72" s="96">
        <f>IF(TRBIGNALET[[#This Row],[2024]]="","",(TRBIGNALET[[#This Row],[2024]]-TRBIGNALET[[#This Row],[2023]])/TRBIGNALET[[#This Row],[2023]])</f>
        <v/>
      </c>
      <c r="E72" s="284">
        <f>IF(TRBIGNALET[[#This Row],[2024]]="","",TRBIGNALET[[#This Row],[2024]]+E71)</f>
        <v/>
      </c>
      <c r="F72" s="86">
        <f>IF(TRBIGNALET[[#This Row],[2024]]="","",+TRBIGNALET[[#This Row],[2023]]+F71)</f>
        <v/>
      </c>
      <c r="G72" s="97">
        <f>IF(TRBIGNALET[[#This Row],[Cumulé 2024]]="","",+(TRBIGNALET[[#This Row],[Cumulé 2024]]-TRBIGNALET[[#This Row],[Cumulé 2023]])/TRBIGNALET[[#This Row],[Cumulé 2023]])</f>
        <v/>
      </c>
      <c r="H72" s="474" t="n"/>
      <c r="I72" s="474" t="inlineStr">
        <is>
          <t>Juillet</t>
        </is>
      </c>
      <c r="J72" s="284">
        <f>IF(DONNÉES!CM114="","",DONNÉES!CM114)</f>
        <v/>
      </c>
      <c r="K72" s="284">
        <f>IF(TRLYSE[[#This Row],[2024]]="","",DONNÉES!CN114)</f>
        <v/>
      </c>
      <c r="L72" s="96">
        <f>IF(TRLYSE[[#This Row],[2024]]="","",(TRLYSE[[#This Row],[2024]]-TRLYSE[[#This Row],[2023]])/TRLYSE[[#This Row],[2023]])</f>
        <v/>
      </c>
      <c r="M72" s="284">
        <f>IF(TRLYSE[[#This Row],[2024]]="","",TRLYSE[[#This Row],[2024]]+M71)</f>
        <v/>
      </c>
      <c r="N72" s="86">
        <f>IF(TRLYSE[[#This Row],[2024]]="","",+TRLYSE[[#This Row],[2023]]+N71)</f>
        <v/>
      </c>
      <c r="O72" s="97">
        <f>IF(TRLYSE[[#This Row],[Cumulé 2024]]="","",+(TRLYSE[[#This Row],[Cumulé 2024]]-TRLYSE[[#This Row],[Cumulé 2023]])/TRLYSE[[#This Row],[Cumulé 2023]])</f>
        <v/>
      </c>
    </row>
    <row r="73" ht="13.15" customHeight="1" s="161">
      <c r="A73" s="476" t="inlineStr">
        <is>
          <t>Août</t>
        </is>
      </c>
      <c r="B73" s="284">
        <f>IF(DONNÉES!CE115="","",DONNÉES!CE115)</f>
        <v/>
      </c>
      <c r="C73" s="284">
        <f>IF(TRBIGNALET[[#This Row],[2024]]="","",DONNÉES!CF115)</f>
        <v/>
      </c>
      <c r="D73" s="96">
        <f>IF(TRBIGNALET[[#This Row],[2024]]="","",(TRBIGNALET[[#This Row],[2024]]-TRBIGNALET[[#This Row],[2023]])/TRBIGNALET[[#This Row],[2023]])</f>
        <v/>
      </c>
      <c r="E73" s="284">
        <f>IF(TRBIGNALET[[#This Row],[2024]]="","",TRBIGNALET[[#This Row],[2024]]+E72)</f>
        <v/>
      </c>
      <c r="F73" s="86">
        <f>IF(TRBIGNALET[[#This Row],[2024]]="","",+TRBIGNALET[[#This Row],[2023]]+F72)</f>
        <v/>
      </c>
      <c r="G73" s="97">
        <f>IF(TRBIGNALET[[#This Row],[Cumulé 2024]]="","",+(TRBIGNALET[[#This Row],[Cumulé 2024]]-TRBIGNALET[[#This Row],[Cumulé 2023]])/TRBIGNALET[[#This Row],[Cumulé 2023]])</f>
        <v/>
      </c>
      <c r="H73" s="474" t="n"/>
      <c r="I73" s="476" t="inlineStr">
        <is>
          <t>Août</t>
        </is>
      </c>
      <c r="J73" s="284">
        <f>IF(DONNÉES!CM115="","",DONNÉES!CM115)</f>
        <v/>
      </c>
      <c r="K73" s="284">
        <f>IF(TRLYSE[[#This Row],[2024]]="","",DONNÉES!CN115)</f>
        <v/>
      </c>
      <c r="L73" s="96">
        <f>IF(TRLYSE[[#This Row],[2024]]="","",(TRLYSE[[#This Row],[2024]]-TRLYSE[[#This Row],[2023]])/TRLYSE[[#This Row],[2023]])</f>
        <v/>
      </c>
      <c r="M73" s="284">
        <f>IF(TRLYSE[[#This Row],[2024]]="","",TRLYSE[[#This Row],[2024]]+M72)</f>
        <v/>
      </c>
      <c r="N73" s="86">
        <f>IF(TRLYSE[[#This Row],[2024]]="","",+TRLYSE[[#This Row],[2023]]+N72)</f>
        <v/>
      </c>
      <c r="O73" s="97">
        <f>IF(TRLYSE[[#This Row],[Cumulé 2024]]="","",+(TRLYSE[[#This Row],[Cumulé 2024]]-TRLYSE[[#This Row],[Cumulé 2023]])/TRLYSE[[#This Row],[Cumulé 2023]])</f>
        <v/>
      </c>
    </row>
    <row r="74" ht="13.15" customHeight="1" s="161">
      <c r="A74" s="474" t="inlineStr">
        <is>
          <t>Septembre</t>
        </is>
      </c>
      <c r="B74" s="86">
        <f>IF(DONNÉES!CE116="","",DONNÉES!CE116)</f>
        <v/>
      </c>
      <c r="C74" s="86">
        <f>IF(TRBIGNALET[[#This Row],[2024]]="","",DONNÉES!CF116)</f>
        <v/>
      </c>
      <c r="D74" s="97">
        <f>IF(TRBIGNALET[[#This Row],[2024]]="","",(TRBIGNALET[[#This Row],[2024]]-TRBIGNALET[[#This Row],[2023]])/TRBIGNALET[[#This Row],[2023]])</f>
        <v/>
      </c>
      <c r="E74" s="284">
        <f>IF(TRBIGNALET[[#This Row],[2024]]="","",TRBIGNALET[[#This Row],[2024]]+E73)</f>
        <v/>
      </c>
      <c r="F74" s="86">
        <f>IF(TRBIGNALET[[#This Row],[2024]]="","",+TRBIGNALET[[#This Row],[2023]]+F73)</f>
        <v/>
      </c>
      <c r="G74" s="97">
        <f>IF(TRBIGNALET[[#This Row],[Cumulé 2024]]="","",+(TRBIGNALET[[#This Row],[Cumulé 2024]]-TRBIGNALET[[#This Row],[Cumulé 2023]])/TRBIGNALET[[#This Row],[Cumulé 2023]])</f>
        <v/>
      </c>
      <c r="I74" s="474" t="inlineStr">
        <is>
          <t>Septembre</t>
        </is>
      </c>
      <c r="J74" s="86">
        <f>IF(DONNÉES!CM116="","",DONNÉES!CM116)</f>
        <v/>
      </c>
      <c r="K74" s="86">
        <f>IF(TRLYSE[[#This Row],[2024]]="","",DONNÉES!CN116)</f>
        <v/>
      </c>
      <c r="L74" s="97">
        <f>IF(TRLYSE[[#This Row],[2024]]="","",(TRLYSE[[#This Row],[2024]]-TRLYSE[[#This Row],[2023]])/TRLYSE[[#This Row],[2023]])</f>
        <v/>
      </c>
      <c r="M74" s="284">
        <f>IF(TRLYSE[[#This Row],[2024]]="","",TRLYSE[[#This Row],[2024]]+M73)</f>
        <v/>
      </c>
      <c r="N74" s="86">
        <f>IF(TRLYSE[[#This Row],[2024]]="","",+TRLYSE[[#This Row],[2023]]+N73)</f>
        <v/>
      </c>
      <c r="O74" s="97">
        <f>IF(TRLYSE[[#This Row],[Cumulé 2024]]="","",+(TRLYSE[[#This Row],[Cumulé 2024]]-TRLYSE[[#This Row],[Cumulé 2023]])/TRLYSE[[#This Row],[Cumulé 2023]])</f>
        <v/>
      </c>
    </row>
    <row r="75" ht="13.15" customHeight="1" s="161">
      <c r="A75" s="476" t="inlineStr">
        <is>
          <t>Octobre</t>
        </is>
      </c>
      <c r="B75" s="86">
        <f>IF(DONNÉES!CE117="","",DONNÉES!CE117)</f>
        <v/>
      </c>
      <c r="C75" s="86">
        <f>IF(TRBIGNALET[[#This Row],[2024]]="","",DONNÉES!CF117)</f>
        <v/>
      </c>
      <c r="D75" s="97">
        <f>IF(TRBIGNALET[[#This Row],[2024]]="","",(TRBIGNALET[[#This Row],[2024]]-TRBIGNALET[[#This Row],[2023]])/TRBIGNALET[[#This Row],[2023]])</f>
        <v/>
      </c>
      <c r="E75" s="284">
        <f>IF(TRBIGNALET[[#This Row],[2024]]="","",TRBIGNALET[[#This Row],[2024]]+E74)</f>
        <v/>
      </c>
      <c r="F75" s="86">
        <f>IF(TRBIGNALET[[#This Row],[2024]]="","",+TRBIGNALET[[#This Row],[2023]]+F74)</f>
        <v/>
      </c>
      <c r="G75" s="97">
        <f>IF(TRBIGNALET[[#This Row],[Cumulé 2024]]="","",+(TRBIGNALET[[#This Row],[Cumulé 2024]]-TRBIGNALET[[#This Row],[Cumulé 2023]])/TRBIGNALET[[#This Row],[Cumulé 2023]])</f>
        <v/>
      </c>
      <c r="H75" s="474" t="n"/>
      <c r="I75" s="476" t="inlineStr">
        <is>
          <t>Octobre</t>
        </is>
      </c>
      <c r="J75" s="86">
        <f>IF(DONNÉES!CM117="","",DONNÉES!CM117)</f>
        <v/>
      </c>
      <c r="K75" s="86">
        <f>IF(TRLYSE[[#This Row],[2024]]="","",DONNÉES!CN117)</f>
        <v/>
      </c>
      <c r="L75" s="97">
        <f>IF(TRLYSE[[#This Row],[2024]]="","",(TRLYSE[[#This Row],[2024]]-TRLYSE[[#This Row],[2023]])/TRLYSE[[#This Row],[2023]])</f>
        <v/>
      </c>
      <c r="M75" s="284">
        <f>IF(TRLYSE[[#This Row],[2024]]="","",TRLYSE[[#This Row],[2024]]+M74)</f>
        <v/>
      </c>
      <c r="N75" s="86">
        <f>IF(TRLYSE[[#This Row],[2024]]="","",+TRLYSE[[#This Row],[2023]]+N74)</f>
        <v/>
      </c>
      <c r="O75" s="97">
        <f>IF(TRLYSE[[#This Row],[Cumulé 2024]]="","",+(TRLYSE[[#This Row],[Cumulé 2024]]-TRLYSE[[#This Row],[Cumulé 2023]])/TRLYSE[[#This Row],[Cumulé 2023]])</f>
        <v/>
      </c>
    </row>
    <row r="76" ht="13.15" customFormat="1" customHeight="1" s="476">
      <c r="A76" s="474" t="inlineStr">
        <is>
          <t>Novembre</t>
        </is>
      </c>
      <c r="B76" s="86">
        <f>IF(DONNÉES!CE118="","",DONNÉES!CE118)</f>
        <v/>
      </c>
      <c r="C76" s="86">
        <f>IF(TRBIGNALET[[#This Row],[2024]]="","",DONNÉES!CF118)</f>
        <v/>
      </c>
      <c r="D76" s="97">
        <f>IF(TRBIGNALET[[#This Row],[2024]]="","",(TRBIGNALET[[#This Row],[2024]]-TRBIGNALET[[#This Row],[2023]])/TRBIGNALET[[#This Row],[2023]])</f>
        <v/>
      </c>
      <c r="E76" s="284">
        <f>IF(TRBIGNALET[[#This Row],[2024]]="","",TRBIGNALET[[#This Row],[2024]]+E75)</f>
        <v/>
      </c>
      <c r="F76" s="86">
        <f>IF(TRBIGNALET[[#This Row],[2024]]="","",+TRBIGNALET[[#This Row],[2023]]+F75)</f>
        <v/>
      </c>
      <c r="G76" s="97">
        <f>IF(TRBIGNALET[[#This Row],[Cumulé 2024]]="","",+(TRBIGNALET[[#This Row],[Cumulé 2024]]-TRBIGNALET[[#This Row],[Cumulé 2023]])/TRBIGNALET[[#This Row],[Cumulé 2023]])</f>
        <v/>
      </c>
      <c r="I76" s="474" t="inlineStr">
        <is>
          <t>Novembre</t>
        </is>
      </c>
      <c r="J76" s="86">
        <f>IF(DONNÉES!CM118="","",DONNÉES!CM118)</f>
        <v/>
      </c>
      <c r="K76" s="86">
        <f>IF(TRLYSE[[#This Row],[2024]]="","",DONNÉES!CN118)</f>
        <v/>
      </c>
      <c r="L76" s="97">
        <f>IF(TRLYSE[[#This Row],[2024]]="","",(TRLYSE[[#This Row],[2024]]-TRLYSE[[#This Row],[2023]])/TRLYSE[[#This Row],[2023]])</f>
        <v/>
      </c>
      <c r="M76" s="284">
        <f>IF(TRLYSE[[#This Row],[2024]]="","",TRLYSE[[#This Row],[2024]]+M75)</f>
        <v/>
      </c>
      <c r="N76" s="86">
        <f>IF(TRLYSE[[#This Row],[2024]]="","",+TRLYSE[[#This Row],[2023]]+N75)</f>
        <v/>
      </c>
      <c r="O76" s="97">
        <f>IF(TRLYSE[[#This Row],[Cumulé 2024]]="","",+(TRLYSE[[#This Row],[Cumulé 2024]]-TRLYSE[[#This Row],[Cumulé 2023]])/TRLYSE[[#This Row],[Cumulé 2023]])</f>
        <v/>
      </c>
    </row>
    <row r="77" ht="13.15" customFormat="1" customHeight="1" s="476">
      <c r="A77" s="474" t="inlineStr">
        <is>
          <t>Décembre</t>
        </is>
      </c>
      <c r="B77" s="86">
        <f>IF(DONNÉES!CE119="","",DONNÉES!CE119)</f>
        <v/>
      </c>
      <c r="C77" s="86">
        <f>IF(TRBIGNALET[[#This Row],[2024]]="","",DONNÉES!CF119)</f>
        <v/>
      </c>
      <c r="D77" s="97">
        <f>IF(TRBIGNALET[[#This Row],[2024]]="","",(TRBIGNALET[[#This Row],[2024]]-TRBIGNALET[[#This Row],[2023]])/TRBIGNALET[[#This Row],[2023]])</f>
        <v/>
      </c>
      <c r="E77" s="284">
        <f>IF(TRBIGNALET[[#This Row],[2024]]="","",TRBIGNALET[[#This Row],[2024]]+E76)</f>
        <v/>
      </c>
      <c r="F77" s="86">
        <f>IF(TRBIGNALET[[#This Row],[2024]]="","",+TRBIGNALET[[#This Row],[2023]]+F76)</f>
        <v/>
      </c>
      <c r="G77" s="97">
        <f>IF(TRBIGNALET[[#This Row],[Cumulé 2024]]="","",+(TRBIGNALET[[#This Row],[Cumulé 2024]]-TRBIGNALET[[#This Row],[Cumulé 2023]])/TRBIGNALET[[#This Row],[Cumulé 2023]])</f>
        <v/>
      </c>
      <c r="I77" s="474" t="inlineStr">
        <is>
          <t>Décembre</t>
        </is>
      </c>
      <c r="J77" s="86">
        <f>IF(DONNÉES!CM119="","",DONNÉES!CM119)</f>
        <v/>
      </c>
      <c r="K77" s="86">
        <f>IF(TRLYSE[[#This Row],[2024]]="","",DONNÉES!CN119)</f>
        <v/>
      </c>
      <c r="L77" s="97">
        <f>IF(TRLYSE[[#This Row],[2024]]="","",(TRLYSE[[#This Row],[2024]]-TRLYSE[[#This Row],[2023]])/TRLYSE[[#This Row],[2023]])</f>
        <v/>
      </c>
      <c r="M77" s="284">
        <f>IF(TRLYSE[[#This Row],[2024]]="","",TRLYSE[[#This Row],[2024]]+M76)</f>
        <v/>
      </c>
      <c r="N77" s="86">
        <f>IF(TRLYSE[[#This Row],[2024]]="","",+TRLYSE[[#This Row],[2023]]+N76)</f>
        <v/>
      </c>
      <c r="O77" s="97">
        <f>IF(TRLYSE[[#This Row],[Cumulé 2024]]="","",+(TRLYSE[[#This Row],[Cumulé 2024]]-TRLYSE[[#This Row],[Cumulé 2023]])/TRLYSE[[#This Row],[Cumulé 2023]])</f>
        <v/>
      </c>
    </row>
    <row r="78" ht="16.9" customFormat="1" customHeight="1" s="476">
      <c r="A78" s="354" t="inlineStr">
        <is>
          <t xml:space="preserve"> TOTAL </t>
        </is>
      </c>
      <c r="B78" s="92">
        <f>SUBTOTAL(109,TRBIGNALET[2024])</f>
        <v/>
      </c>
      <c r="C78" s="92">
        <f>SUBTOTAL(109,TRBIGNALET[2023])</f>
        <v/>
      </c>
      <c r="D78" s="125" t="n"/>
      <c r="E78" s="93" t="n"/>
      <c r="F78" s="92" t="n"/>
      <c r="G78" s="125" t="n"/>
      <c r="I78" s="354" t="inlineStr">
        <is>
          <t xml:space="preserve">  TOTAL  </t>
        </is>
      </c>
      <c r="J78" s="92">
        <f>SUBTOTAL(109,TRLYSE[2024])</f>
        <v/>
      </c>
      <c r="K78" s="92">
        <f>SUBTOTAL(109,TRLYSE[2023])</f>
        <v/>
      </c>
      <c r="L78" s="125" t="n"/>
      <c r="M78" s="93" t="n"/>
      <c r="N78" s="92" t="n"/>
    </row>
    <row r="79" ht="30.6" customHeight="1" s="161">
      <c r="H79" s="474" t="n"/>
    </row>
    <row r="80" ht="33" customHeight="1" s="161">
      <c r="A80" s="474" t="inlineStr">
        <is>
          <t>TL DIVES</t>
        </is>
      </c>
      <c r="B80" s="94" t="inlineStr">
        <is>
          <t>2024</t>
        </is>
      </c>
      <c r="C80" s="94" t="inlineStr">
        <is>
          <t>2023</t>
        </is>
      </c>
      <c r="D80" s="100" t="inlineStr">
        <is>
          <t>Variat.</t>
        </is>
      </c>
      <c r="E80" s="95" t="inlineStr">
        <is>
          <t>Cumulé 2024</t>
        </is>
      </c>
      <c r="F80" s="95" t="inlineStr">
        <is>
          <t>Cumulé 2023</t>
        </is>
      </c>
      <c r="G80" s="100" t="inlineStr">
        <is>
          <t>Cumulé variat.</t>
        </is>
      </c>
      <c r="H80" s="474" t="n"/>
      <c r="I80" s="474" t="inlineStr">
        <is>
          <t>TH4</t>
        </is>
      </c>
      <c r="J80" s="94" t="inlineStr">
        <is>
          <t>2024</t>
        </is>
      </c>
      <c r="K80" s="94" t="inlineStr">
        <is>
          <t>2023</t>
        </is>
      </c>
      <c r="L80" s="100" t="inlineStr">
        <is>
          <t>Variat.</t>
        </is>
      </c>
      <c r="M80" s="95" t="inlineStr">
        <is>
          <t>Cumulé 2024</t>
        </is>
      </c>
      <c r="N80" s="95" t="inlineStr">
        <is>
          <t>Cumulé 2023</t>
        </is>
      </c>
      <c r="O80" s="100" t="inlineStr">
        <is>
          <t>Cumulé variat.</t>
        </is>
      </c>
    </row>
    <row r="81" ht="13.15" customHeight="1" s="161">
      <c r="A81" s="476" t="inlineStr">
        <is>
          <t>Janvier</t>
        </is>
      </c>
      <c r="B81" s="284">
        <f>IF(DONNÉES!BW108="","",DONNÉES!BW108)</f>
        <v/>
      </c>
      <c r="C81" s="284">
        <f>IF(TRDIVES[[#This Row],[2024]]="","",DONNÉES!BX108)</f>
        <v/>
      </c>
      <c r="D81" s="96">
        <f>IF(TRDIVES[[#This Row],[2024]]="","",(TRDIVES[[#This Row],[2024]]-TRDIVES[[#This Row],[2023]])/TRDIVES[[#This Row],[2023]])</f>
        <v/>
      </c>
      <c r="E81" s="284">
        <f>IF(TRDIVES[[#This Row],[2024]]="","",TRDIVES[[#This Row],[2024]])</f>
        <v/>
      </c>
      <c r="F81" s="86">
        <f>IF(TRDIVES[[#This Row],[2024]]="","",+TRDIVES[[#This Row],[2023]])</f>
        <v/>
      </c>
      <c r="G81" s="97">
        <f>IF(TRDIVES[[#This Row],[Cumulé 2024]]="","",+(TRDIVES[[#This Row],[Cumulé 2024]]-TRDIVES[[#This Row],[Cumulé 2023]])/TRDIVES[[#This Row],[Cumulé 2023]])</f>
        <v/>
      </c>
      <c r="H81" s="474" t="n"/>
      <c r="I81" s="476" t="inlineStr">
        <is>
          <t>Janvier</t>
        </is>
      </c>
      <c r="J81" s="284">
        <f>IF(DONNÉES!BO108="","",DONNÉES!BO108)</f>
        <v/>
      </c>
      <c r="K81" s="284">
        <f>IF(TRTH4[[#This Row],[2024]]="","",DONNÉES!BP108)</f>
        <v/>
      </c>
      <c r="L81" s="102">
        <f>IF(TRTH4[[#This Row],[2024]]="","",(TRTH4[[#This Row],[2024]]-TRTH4[[#This Row],[2023]])/TRTH4[[#This Row],[2023]])</f>
        <v/>
      </c>
      <c r="M81" s="87">
        <f>IF(TRTH4[[#This Row],[2024]]="","",TRTH4[[#This Row],[2024]])</f>
        <v/>
      </c>
      <c r="N81" s="86">
        <f>IF(TRTH4[[#This Row],[2024]]="","",+TRTH4[[#This Row],[2023]])</f>
        <v/>
      </c>
      <c r="O81" s="103">
        <f>IF(TRTH4[[#This Row],[Cumulé 2024]]="","",+(TRTH4[[#This Row],[Cumulé 2024]]-TRTH4[[#This Row],[Cumulé 2023]])/TRTH4[[#This Row],[Cumulé 2023]])</f>
        <v/>
      </c>
    </row>
    <row r="82" ht="13.15" customHeight="1" s="161">
      <c r="A82" s="476" t="inlineStr">
        <is>
          <t>Février</t>
        </is>
      </c>
      <c r="B82" s="284">
        <f>IF(DONNÉES!BW109="","",DONNÉES!BW109)</f>
        <v/>
      </c>
      <c r="C82" s="284">
        <f>IF(TRDIVES[[#This Row],[2024]]="","",DONNÉES!BX109)</f>
        <v/>
      </c>
      <c r="D82" s="96">
        <f>IF(TRDIVES[[#This Row],[2024]]="","",(TRDIVES[[#This Row],[2024]]-TRDIVES[[#This Row],[2023]])/TRDIVES[[#This Row],[2023]])</f>
        <v/>
      </c>
      <c r="E82" s="284">
        <f>IF(TRDIVES[[#This Row],[2024]]="","",TRDIVES[[#This Row],[2024]]+E81)</f>
        <v/>
      </c>
      <c r="F82" s="86">
        <f>IF(TRDIVES[[#This Row],[2024]]="","",+TRDIVES[[#This Row],[2023]]+F81)</f>
        <v/>
      </c>
      <c r="G82" s="97">
        <f>IF(TRDIVES[[#This Row],[Cumulé 2024]]="","",+(TRDIVES[[#This Row],[Cumulé 2024]]-TRDIVES[[#This Row],[Cumulé 2023]])/TRDIVES[[#This Row],[Cumulé 2023]])</f>
        <v/>
      </c>
      <c r="H82" s="474" t="n"/>
      <c r="I82" s="476" t="inlineStr">
        <is>
          <t>Février</t>
        </is>
      </c>
      <c r="J82" s="284">
        <f>IF(DONNÉES!BO109="","",DONNÉES!BO109)</f>
        <v/>
      </c>
      <c r="K82" s="284">
        <f>IF(TRTH4[[#This Row],[2024]]="","",DONNÉES!BP109)</f>
        <v/>
      </c>
      <c r="L82" s="102">
        <f>IF(TRTH4[[#This Row],[2024]]="","",(TRTH4[[#This Row],[2024]]-TRTH4[[#This Row],[2023]])/TRTH4[[#This Row],[2023]])</f>
        <v/>
      </c>
      <c r="M82" s="87">
        <f>IF(TRTH4[[#This Row],[2024]]="","",TRTH4[[#This Row],[2024]]+M81)</f>
        <v/>
      </c>
      <c r="N82" s="86">
        <f>IF(TRTH4[[#This Row],[2024]]="","",+TRTH4[[#This Row],[2023]]+N81)</f>
        <v/>
      </c>
      <c r="O82" s="103">
        <f>IF(TRTH4[[#This Row],[Cumulé 2024]]="","",+(TRTH4[[#This Row],[Cumulé 2024]]-TRTH4[[#This Row],[Cumulé 2023]])/TRTH4[[#This Row],[Cumulé 2023]])</f>
        <v/>
      </c>
    </row>
    <row r="83" ht="13.15" customHeight="1" s="161">
      <c r="A83" s="474" t="inlineStr">
        <is>
          <t>Mars</t>
        </is>
      </c>
      <c r="B83" s="284">
        <f>IF(DONNÉES!BW110="","",DONNÉES!BW110)</f>
        <v/>
      </c>
      <c r="C83" s="284">
        <f>IF(TRDIVES[[#This Row],[2024]]="","",DONNÉES!BX110)</f>
        <v/>
      </c>
      <c r="D83" s="96">
        <f>IF(TRDIVES[[#This Row],[2024]]="","",(TRDIVES[[#This Row],[2024]]-TRDIVES[[#This Row],[2023]])/TRDIVES[[#This Row],[2023]])</f>
        <v/>
      </c>
      <c r="E83" s="284">
        <f>IF(TRDIVES[[#This Row],[2024]]="","",TRDIVES[[#This Row],[2024]]+E82)</f>
        <v/>
      </c>
      <c r="F83" s="86">
        <f>IF(TRDIVES[[#This Row],[2024]]="","",+TRDIVES[[#This Row],[2023]]+F82)</f>
        <v/>
      </c>
      <c r="G83" s="97">
        <f>IF(TRDIVES[[#This Row],[Cumulé 2024]]="","",+(TRDIVES[[#This Row],[Cumulé 2024]]-TRDIVES[[#This Row],[Cumulé 2023]])/TRDIVES[[#This Row],[Cumulé 2023]])</f>
        <v/>
      </c>
      <c r="H83" s="474" t="n"/>
      <c r="I83" s="474" t="inlineStr">
        <is>
          <t>Mars</t>
        </is>
      </c>
      <c r="J83" s="284">
        <f>IF(DONNÉES!BO110="","",DONNÉES!BO110)</f>
        <v/>
      </c>
      <c r="K83" s="284">
        <f>IF(TRTH4[[#This Row],[2024]]="","",DONNÉES!BP110)</f>
        <v/>
      </c>
      <c r="L83" s="102">
        <f>IF(TRTH4[[#This Row],[2024]]="","",(TRTH4[[#This Row],[2024]]-TRTH4[[#This Row],[2023]])/TRTH4[[#This Row],[2023]])</f>
        <v/>
      </c>
      <c r="M83" s="87">
        <f>IF(TRTH4[[#This Row],[2024]]="","",TRTH4[[#This Row],[2024]]+M82)</f>
        <v/>
      </c>
      <c r="N83" s="86">
        <f>IF(TRTH4[[#This Row],[2024]]="","",+TRTH4[[#This Row],[2023]]+N82)</f>
        <v/>
      </c>
      <c r="O83" s="103">
        <f>IF(TRTH4[[#This Row],[Cumulé 2024]]="","",+(TRTH4[[#This Row],[Cumulé 2024]]-TRTH4[[#This Row],[Cumulé 2023]])/TRTH4[[#This Row],[Cumulé 2023]])</f>
        <v/>
      </c>
    </row>
    <row r="84" ht="13.15" customHeight="1" s="161">
      <c r="A84" s="476" t="inlineStr">
        <is>
          <t>Avril</t>
        </is>
      </c>
      <c r="B84" s="284">
        <f>IF(DONNÉES!BW111="","",DONNÉES!BW111)</f>
        <v/>
      </c>
      <c r="C84" s="284">
        <f>IF(TRDIVES[[#This Row],[2024]]="","",DONNÉES!BX111)</f>
        <v/>
      </c>
      <c r="D84" s="96">
        <f>IF(TRDIVES[[#This Row],[2024]]="","",(TRDIVES[[#This Row],[2024]]-TRDIVES[[#This Row],[2023]])/TRDIVES[[#This Row],[2023]])</f>
        <v/>
      </c>
      <c r="E84" s="284">
        <f>IF(TRDIVES[[#This Row],[2024]]="","",TRDIVES[[#This Row],[2024]]+E83)</f>
        <v/>
      </c>
      <c r="F84" s="86">
        <f>IF(TRDIVES[[#This Row],[2024]]="","",+TRDIVES[[#This Row],[2023]]+F83)</f>
        <v/>
      </c>
      <c r="G84" s="97">
        <f>IF(TRDIVES[[#This Row],[Cumulé 2024]]="","",+(TRDIVES[[#This Row],[Cumulé 2024]]-TRDIVES[[#This Row],[Cumulé 2023]])/TRDIVES[[#This Row],[Cumulé 2023]])</f>
        <v/>
      </c>
      <c r="I84" s="476" t="inlineStr">
        <is>
          <t>Avril</t>
        </is>
      </c>
      <c r="J84" s="284">
        <f>IF(DONNÉES!BO111="","",DONNÉES!BO111)</f>
        <v/>
      </c>
      <c r="K84" s="284">
        <f>IF(TRTH4[[#This Row],[2024]]="","",DONNÉES!BP111)</f>
        <v/>
      </c>
      <c r="L84" s="102">
        <f>IF(TRTH4[[#This Row],[2024]]="","",(TRTH4[[#This Row],[2024]]-TRTH4[[#This Row],[2023]])/TRTH4[[#This Row],[2023]])</f>
        <v/>
      </c>
      <c r="M84" s="87">
        <f>IF(TRTH4[[#This Row],[2024]]="","",TRTH4[[#This Row],[2024]]+M83)</f>
        <v/>
      </c>
      <c r="N84" s="86">
        <f>IF(TRTH4[[#This Row],[2024]]="","",+TRTH4[[#This Row],[2023]]+N83)</f>
        <v/>
      </c>
      <c r="O84" s="103">
        <f>IF(TRTH4[[#This Row],[Cumulé 2024]]="","",+(TRTH4[[#This Row],[Cumulé 2024]]-TRTH4[[#This Row],[Cumulé 2023]])/TRTH4[[#This Row],[Cumulé 2023]])</f>
        <v/>
      </c>
    </row>
    <row r="85" ht="13.15" customHeight="1" s="161">
      <c r="A85" s="474" t="inlineStr">
        <is>
          <t>Mai</t>
        </is>
      </c>
      <c r="B85" s="284">
        <f>IF(DONNÉES!BW112="","",DONNÉES!BW112)</f>
        <v/>
      </c>
      <c r="C85" s="284">
        <f>IF(TRDIVES[[#This Row],[2024]]="","",DONNÉES!BX112)</f>
        <v/>
      </c>
      <c r="D85" s="96">
        <f>IF(TRDIVES[[#This Row],[2024]]="","",(TRDIVES[[#This Row],[2024]]-TRDIVES[[#This Row],[2023]])/TRDIVES[[#This Row],[2023]])</f>
        <v/>
      </c>
      <c r="E85" s="284">
        <f>IF(TRDIVES[[#This Row],[2024]]="","",TRDIVES[[#This Row],[2024]]+E84)</f>
        <v/>
      </c>
      <c r="F85" s="86">
        <f>IF(TRDIVES[[#This Row],[2024]]="","",+TRDIVES[[#This Row],[2023]]+F84)</f>
        <v/>
      </c>
      <c r="G85" s="97">
        <f>IF(TRDIVES[[#This Row],[Cumulé 2024]]="","",+(TRDIVES[[#This Row],[Cumulé 2024]]-TRDIVES[[#This Row],[Cumulé 2023]])/TRDIVES[[#This Row],[Cumulé 2023]])</f>
        <v/>
      </c>
      <c r="H85" s="474" t="n"/>
      <c r="I85" s="474" t="inlineStr">
        <is>
          <t>Mai</t>
        </is>
      </c>
      <c r="J85" s="284">
        <f>IF(DONNÉES!BO112="","",DONNÉES!BO112)</f>
        <v/>
      </c>
      <c r="K85" s="284">
        <f>IF(TRTH4[[#This Row],[2024]]="","",DONNÉES!BP112)</f>
        <v/>
      </c>
      <c r="L85" s="102">
        <f>IF(TRTH4[[#This Row],[2024]]="","",(TRTH4[[#This Row],[2024]]-TRTH4[[#This Row],[2023]])/TRTH4[[#This Row],[2023]])</f>
        <v/>
      </c>
      <c r="M85" s="87">
        <f>IF(TRTH4[[#This Row],[2024]]="","",TRTH4[[#This Row],[2024]]+M84)</f>
        <v/>
      </c>
      <c r="N85" s="86">
        <f>IF(TRTH4[[#This Row],[2024]]="","",+TRTH4[[#This Row],[2023]]+N84)</f>
        <v/>
      </c>
      <c r="O85" s="103">
        <f>IF(TRTH4[[#This Row],[Cumulé 2024]]="","",+(TRTH4[[#This Row],[Cumulé 2024]]-TRTH4[[#This Row],[Cumulé 2023]])/TRTH4[[#This Row],[Cumulé 2023]])</f>
        <v/>
      </c>
    </row>
    <row r="86" ht="13.15" customFormat="1" customHeight="1" s="476">
      <c r="A86" s="476" t="inlineStr">
        <is>
          <t>Juin</t>
        </is>
      </c>
      <c r="B86" s="284">
        <f>IF(DONNÉES!BW113="","",DONNÉES!BW113)</f>
        <v/>
      </c>
      <c r="C86" s="284">
        <f>IF(TRDIVES[[#This Row],[2024]]="","",DONNÉES!BX113)</f>
        <v/>
      </c>
      <c r="D86" s="96">
        <f>IF(TRDIVES[[#This Row],[2024]]="","",(TRDIVES[[#This Row],[2024]]-TRDIVES[[#This Row],[2023]])/TRDIVES[[#This Row],[2023]])</f>
        <v/>
      </c>
      <c r="E86" s="284">
        <f>IF(TRDIVES[[#This Row],[2024]]="","",TRDIVES[[#This Row],[2024]]+E85)</f>
        <v/>
      </c>
      <c r="F86" s="86">
        <f>IF(TRDIVES[[#This Row],[2024]]="","",+TRDIVES[[#This Row],[2023]]+F85)</f>
        <v/>
      </c>
      <c r="G86" s="97">
        <f>IF(TRDIVES[[#This Row],[Cumulé 2024]]="","",+(TRDIVES[[#This Row],[Cumulé 2024]]-TRDIVES[[#This Row],[Cumulé 2023]])/TRDIVES[[#This Row],[Cumulé 2023]])</f>
        <v/>
      </c>
      <c r="I86" s="476" t="inlineStr">
        <is>
          <t>Juin</t>
        </is>
      </c>
      <c r="J86" s="284">
        <f>IF(DONNÉES!BO113="","",DONNÉES!BO113)</f>
        <v/>
      </c>
      <c r="K86" s="284">
        <f>IF(TRTH4[[#This Row],[2024]]="","",DONNÉES!BP113)</f>
        <v/>
      </c>
      <c r="L86" s="102">
        <f>IF(TRTH4[[#This Row],[2024]]="","",(TRTH4[[#This Row],[2024]]-TRTH4[[#This Row],[2023]])/TRTH4[[#This Row],[2023]])</f>
        <v/>
      </c>
      <c r="M86" s="87">
        <f>IF(TRTH4[[#This Row],[2024]]="","",TRTH4[[#This Row],[2024]]+M85)</f>
        <v/>
      </c>
      <c r="N86" s="86">
        <f>IF(TRTH4[[#This Row],[2024]]="","",+TRTH4[[#This Row],[2023]]+N85)</f>
        <v/>
      </c>
      <c r="O86" s="103">
        <f>IF(TRTH4[[#This Row],[Cumulé 2024]]="","",+(TRTH4[[#This Row],[Cumulé 2024]]-TRTH4[[#This Row],[Cumulé 2023]])/TRTH4[[#This Row],[Cumulé 2023]])</f>
        <v/>
      </c>
    </row>
    <row r="87" ht="13.15" customFormat="1" customHeight="1" s="476">
      <c r="A87" s="474" t="inlineStr">
        <is>
          <t>Juillet</t>
        </is>
      </c>
      <c r="B87" s="284">
        <f>IF(DONNÉES!BW114="","",DONNÉES!BW114)</f>
        <v/>
      </c>
      <c r="C87" s="284">
        <f>IF(TRDIVES[[#This Row],[2024]]="","",DONNÉES!BX114)</f>
        <v/>
      </c>
      <c r="D87" s="96">
        <f>IF(TRDIVES[[#This Row],[2024]]="","",(TRDIVES[[#This Row],[2024]]-TRDIVES[[#This Row],[2023]])/TRDIVES[[#This Row],[2023]])</f>
        <v/>
      </c>
      <c r="E87" s="284">
        <f>IF(TRDIVES[[#This Row],[2024]]="","",TRDIVES[[#This Row],[2024]]+E86)</f>
        <v/>
      </c>
      <c r="F87" s="86">
        <f>IF(TRDIVES[[#This Row],[2024]]="","",+TRDIVES[[#This Row],[2023]]+F86)</f>
        <v/>
      </c>
      <c r="G87" s="97">
        <f>IF(TRDIVES[[#This Row],[Cumulé 2024]]="","",+(TRDIVES[[#This Row],[Cumulé 2024]]-TRDIVES[[#This Row],[Cumulé 2023]])/TRDIVES[[#This Row],[Cumulé 2023]])</f>
        <v/>
      </c>
      <c r="I87" s="474" t="inlineStr">
        <is>
          <t>Juillet</t>
        </is>
      </c>
      <c r="J87" s="284">
        <f>IF(DONNÉES!BO114="","",DONNÉES!BO114)</f>
        <v/>
      </c>
      <c r="K87" s="284">
        <f>IF(TRTH4[[#This Row],[2024]]="","",DONNÉES!BP114)</f>
        <v/>
      </c>
      <c r="L87" s="102">
        <f>IF(TRTH4[[#This Row],[2024]]="","",(TRTH4[[#This Row],[2024]]-TRTH4[[#This Row],[2023]])/TRTH4[[#This Row],[2023]])</f>
        <v/>
      </c>
      <c r="M87" s="87">
        <f>IF(TRTH4[[#This Row],[2024]]="","",TRTH4[[#This Row],[2024]]+M86)</f>
        <v/>
      </c>
      <c r="N87" s="86">
        <f>IF(TRTH4[[#This Row],[2024]]="","",+TRTH4[[#This Row],[2023]]+N86)</f>
        <v/>
      </c>
      <c r="O87" s="103">
        <f>IF(TRTH4[[#This Row],[Cumulé 2024]]="","",+(TRTH4[[#This Row],[Cumulé 2024]]-TRTH4[[#This Row],[Cumulé 2023]])/TRTH4[[#This Row],[Cumulé 2023]])</f>
        <v/>
      </c>
    </row>
    <row r="88" ht="13.15" customFormat="1" customHeight="1" s="476">
      <c r="A88" s="476" t="inlineStr">
        <is>
          <t>Août</t>
        </is>
      </c>
      <c r="B88" s="284">
        <f>IF(DONNÉES!BW115="","",DONNÉES!BW115)</f>
        <v/>
      </c>
      <c r="C88" s="284">
        <f>IF(TRDIVES[[#This Row],[2024]]="","",DONNÉES!BX115)</f>
        <v/>
      </c>
      <c r="D88" s="96">
        <f>IF(TRDIVES[[#This Row],[2024]]="","",(TRDIVES[[#This Row],[2024]]-TRDIVES[[#This Row],[2023]])/TRDIVES[[#This Row],[2023]])</f>
        <v/>
      </c>
      <c r="E88" s="284">
        <f>IF(TRDIVES[[#This Row],[2024]]="","",TRDIVES[[#This Row],[2024]]+E87)</f>
        <v/>
      </c>
      <c r="F88" s="86">
        <f>IF(TRDIVES[[#This Row],[2024]]="","",+TRDIVES[[#This Row],[2023]]+F87)</f>
        <v/>
      </c>
      <c r="G88" s="97">
        <f>IF(TRDIVES[[#This Row],[Cumulé 2024]]="","",+(TRDIVES[[#This Row],[Cumulé 2024]]-TRDIVES[[#This Row],[Cumulé 2023]])/TRDIVES[[#This Row],[Cumulé 2023]])</f>
        <v/>
      </c>
      <c r="I88" s="476" t="inlineStr">
        <is>
          <t>Août</t>
        </is>
      </c>
      <c r="J88" s="284">
        <f>IF(DONNÉES!BO115="","",DONNÉES!BO115)</f>
        <v/>
      </c>
      <c r="K88" s="284">
        <f>IF(TRTH4[[#This Row],[2024]]="","",DONNÉES!BP115)</f>
        <v/>
      </c>
      <c r="L88" s="102">
        <f>IF(TRTH4[[#This Row],[2024]]="","",(TRTH4[[#This Row],[2024]]-TRTH4[[#This Row],[2023]])/TRTH4[[#This Row],[2023]])</f>
        <v/>
      </c>
      <c r="M88" s="87">
        <f>IF(TRTH4[[#This Row],[2024]]="","",TRTH4[[#This Row],[2024]]+M87)</f>
        <v/>
      </c>
      <c r="N88" s="86">
        <f>IF(TRTH4[[#This Row],[2024]]="","",+TRTH4[[#This Row],[2023]]+N87)</f>
        <v/>
      </c>
      <c r="O88" s="103">
        <f>IF(TRTH4[[#This Row],[Cumulé 2024]]="","",+(TRTH4[[#This Row],[Cumulé 2024]]-TRTH4[[#This Row],[Cumulé 2023]])/TRTH4[[#This Row],[Cumulé 2023]])</f>
        <v/>
      </c>
    </row>
    <row r="89" ht="13.15" customHeight="1" s="161">
      <c r="A89" s="474" t="inlineStr">
        <is>
          <t>Septembre</t>
        </is>
      </c>
      <c r="B89" s="86">
        <f>IF(DONNÉES!BW116="","",DONNÉES!BW116)</f>
        <v/>
      </c>
      <c r="C89" s="86">
        <f>IF(TRDIVES[[#This Row],[2024]]="","",DONNÉES!BX116)</f>
        <v/>
      </c>
      <c r="D89" s="97">
        <f>IF(TRDIVES[[#This Row],[2024]]="","",(TRDIVES[[#This Row],[2024]]-TRDIVES[[#This Row],[2023]])/TRDIVES[[#This Row],[2023]])</f>
        <v/>
      </c>
      <c r="E89" s="284">
        <f>IF(TRDIVES[[#This Row],[2024]]="","",TRDIVES[[#This Row],[2024]]+E88)</f>
        <v/>
      </c>
      <c r="F89" s="86">
        <f>IF(TRDIVES[[#This Row],[2024]]="","",+TRDIVES[[#This Row],[2023]]+F88)</f>
        <v/>
      </c>
      <c r="G89" s="97">
        <f>IF(TRDIVES[[#This Row],[Cumulé 2024]]="","",+(TRDIVES[[#This Row],[Cumulé 2024]]-TRDIVES[[#This Row],[Cumulé 2023]])/TRDIVES[[#This Row],[Cumulé 2023]])</f>
        <v/>
      </c>
      <c r="H89" s="474" t="n"/>
      <c r="I89" s="474" t="inlineStr">
        <is>
          <t>Septembre</t>
        </is>
      </c>
      <c r="J89" s="86">
        <f>IF(DONNÉES!BO116="","",DONNÉES!BO116)</f>
        <v/>
      </c>
      <c r="K89" s="86">
        <f>IF(TRTH4[[#This Row],[2024]]="","",DONNÉES!BP116)</f>
        <v/>
      </c>
      <c r="L89" s="103">
        <f>IF(TRTH4[[#This Row],[2024]]="","",(TRTH4[[#This Row],[2024]]-TRTH4[[#This Row],[2023]])/TRTH4[[#This Row],[2023]])</f>
        <v/>
      </c>
      <c r="M89" s="87">
        <f>IF(TRTH4[[#This Row],[2024]]="","",TRTH4[[#This Row],[2024]]+M88)</f>
        <v/>
      </c>
      <c r="N89" s="86">
        <f>IF(TRTH4[[#This Row],[2024]]="","",+TRTH4[[#This Row],[2023]]+N88)</f>
        <v/>
      </c>
      <c r="O89" s="103">
        <f>IF(TRTH4[[#This Row],[Cumulé 2024]]="","",+(TRTH4[[#This Row],[Cumulé 2024]]-TRTH4[[#This Row],[Cumulé 2023]])/TRTH4[[#This Row],[Cumulé 2023]])</f>
        <v/>
      </c>
    </row>
    <row r="90" ht="13.15" customHeight="1" s="161">
      <c r="A90" s="476" t="inlineStr">
        <is>
          <t>Octobre</t>
        </is>
      </c>
      <c r="B90" s="86">
        <f>IF(DONNÉES!BW117="","",DONNÉES!BW117)</f>
        <v/>
      </c>
      <c r="C90" s="86">
        <f>IF(TRDIVES[[#This Row],[2024]]="","",DONNÉES!BX117)</f>
        <v/>
      </c>
      <c r="D90" s="97">
        <f>IF(TRDIVES[[#This Row],[2024]]="","",(TRDIVES[[#This Row],[2024]]-TRDIVES[[#This Row],[2023]])/TRDIVES[[#This Row],[2023]])</f>
        <v/>
      </c>
      <c r="E90" s="284">
        <f>IF(TRDIVES[[#This Row],[2024]]="","",TRDIVES[[#This Row],[2024]]+E89)</f>
        <v/>
      </c>
      <c r="F90" s="86">
        <f>IF(TRDIVES[[#This Row],[2024]]="","",+TRDIVES[[#This Row],[2023]]+F89)</f>
        <v/>
      </c>
      <c r="G90" s="97">
        <f>IF(TRDIVES[[#This Row],[Cumulé 2024]]="","",+(TRDIVES[[#This Row],[Cumulé 2024]]-TRDIVES[[#This Row],[Cumulé 2023]])/TRDIVES[[#This Row],[Cumulé 2023]])</f>
        <v/>
      </c>
      <c r="H90" s="474" t="n"/>
      <c r="I90" s="476" t="inlineStr">
        <is>
          <t>Octobre</t>
        </is>
      </c>
      <c r="J90" s="86">
        <f>IF(DONNÉES!BO117="","",DONNÉES!BO117)</f>
        <v/>
      </c>
      <c r="K90" s="86">
        <f>IF(TRTH4[[#This Row],[2024]]="","",DONNÉES!BP117)</f>
        <v/>
      </c>
      <c r="L90" s="103">
        <f>IF(TRTH4[[#This Row],[2024]]="","",(TRTH4[[#This Row],[2024]]-TRTH4[[#This Row],[2023]])/TRTH4[[#This Row],[2023]])</f>
        <v/>
      </c>
      <c r="M90" s="87">
        <f>IF(TRTH4[[#This Row],[2024]]="","",TRTH4[[#This Row],[2024]]+M89)</f>
        <v/>
      </c>
      <c r="N90" s="86">
        <f>IF(TRTH4[[#This Row],[2024]]="","",+TRTH4[[#This Row],[2023]]+N89)</f>
        <v/>
      </c>
      <c r="O90" s="103">
        <f>IF(TRTH4[[#This Row],[Cumulé 2024]]="","",+(TRTH4[[#This Row],[Cumulé 2024]]-TRTH4[[#This Row],[Cumulé 2023]])/TRTH4[[#This Row],[Cumulé 2023]])</f>
        <v/>
      </c>
    </row>
    <row r="91" ht="13.15" customHeight="1" s="161">
      <c r="A91" s="474" t="inlineStr">
        <is>
          <t>Novembre</t>
        </is>
      </c>
      <c r="B91" s="86">
        <f>IF(DONNÉES!BW118="","",DONNÉES!BW118)</f>
        <v/>
      </c>
      <c r="C91" s="86">
        <f>IF(TRDIVES[[#This Row],[2024]]="","",DONNÉES!BX118)</f>
        <v/>
      </c>
      <c r="D91" s="97">
        <f>IF(TRDIVES[[#This Row],[2024]]="","",(TRDIVES[[#This Row],[2024]]-TRDIVES[[#This Row],[2023]])/TRDIVES[[#This Row],[2023]])</f>
        <v/>
      </c>
      <c r="E91" s="284">
        <f>IF(TRDIVES[[#This Row],[2024]]="","",TRDIVES[[#This Row],[2024]]+E90)</f>
        <v/>
      </c>
      <c r="F91" s="86">
        <f>IF(TRDIVES[[#This Row],[2024]]="","",+TRDIVES[[#This Row],[2023]]+F90)</f>
        <v/>
      </c>
      <c r="G91" s="97">
        <f>IF(TRDIVES[[#This Row],[Cumulé 2024]]="","",+(TRDIVES[[#This Row],[Cumulé 2024]]-TRDIVES[[#This Row],[Cumulé 2023]])/TRDIVES[[#This Row],[Cumulé 2023]])</f>
        <v/>
      </c>
      <c r="H91" s="474" t="n"/>
      <c r="I91" s="474" t="inlineStr">
        <is>
          <t>Novembre</t>
        </is>
      </c>
      <c r="J91" s="86">
        <f>IF(DONNÉES!BO118="","",DONNÉES!BO118)</f>
        <v/>
      </c>
      <c r="K91" s="86">
        <f>IF(TRTH4[[#This Row],[2024]]="","",DONNÉES!BP118)</f>
        <v/>
      </c>
      <c r="L91" s="103">
        <f>IF(TRTH4[[#This Row],[2024]]="","",(TRTH4[[#This Row],[2024]]-TRTH4[[#This Row],[2023]])/TRTH4[[#This Row],[2023]])</f>
        <v/>
      </c>
      <c r="M91" s="87">
        <f>IF(TRTH4[[#This Row],[2024]]="","",TRTH4[[#This Row],[2024]]+M90)</f>
        <v/>
      </c>
      <c r="N91" s="86">
        <f>IF(TRTH4[[#This Row],[2024]]="","",+TRTH4[[#This Row],[2023]]+N90)</f>
        <v/>
      </c>
      <c r="O91" s="103">
        <f>IF(TRTH4[[#This Row],[Cumulé 2024]]="","",+(TRTH4[[#This Row],[Cumulé 2024]]-TRTH4[[#This Row],[Cumulé 2023]])/TRTH4[[#This Row],[Cumulé 2023]])</f>
        <v/>
      </c>
    </row>
    <row r="92" ht="13.15" customHeight="1" s="161">
      <c r="A92" s="474" t="inlineStr">
        <is>
          <t>Décembre</t>
        </is>
      </c>
      <c r="B92" s="86">
        <f>IF(DONNÉES!BW119="","",DONNÉES!BW119)</f>
        <v/>
      </c>
      <c r="C92" s="86">
        <f>IF(TRDIVES[[#This Row],[2024]]="","",DONNÉES!BX119)</f>
        <v/>
      </c>
      <c r="D92" s="97">
        <f>IF(TRDIVES[[#This Row],[2024]]="","",(TRDIVES[[#This Row],[2024]]-TRDIVES[[#This Row],[2023]])/TRDIVES[[#This Row],[2023]])</f>
        <v/>
      </c>
      <c r="E92" s="284">
        <f>IF(TRDIVES[[#This Row],[2024]]="","",TRDIVES[[#This Row],[2024]]+E91)</f>
        <v/>
      </c>
      <c r="F92" s="86">
        <f>IF(TRDIVES[[#This Row],[2024]]="","",+TRDIVES[[#This Row],[2023]]+F91)</f>
        <v/>
      </c>
      <c r="G92" s="97">
        <f>IF(TRDIVES[[#This Row],[Cumulé 2024]]="","",+(TRDIVES[[#This Row],[Cumulé 2024]]-TRDIVES[[#This Row],[Cumulé 2023]])/TRDIVES[[#This Row],[Cumulé 2023]])</f>
        <v/>
      </c>
      <c r="H92" s="474" t="n"/>
      <c r="I92" s="474" t="inlineStr">
        <is>
          <t>Décembre</t>
        </is>
      </c>
      <c r="J92" s="86">
        <f>IF(DONNÉES!BO119="","",DONNÉES!BO119)</f>
        <v/>
      </c>
      <c r="K92" s="86">
        <f>IF(TRTH4[[#This Row],[2024]]="","",DONNÉES!BP119)</f>
        <v/>
      </c>
      <c r="L92" s="103">
        <f>IF(TRTH4[[#This Row],[2024]]="","",(TRTH4[[#This Row],[2024]]-TRTH4[[#This Row],[2023]])/TRTH4[[#This Row],[2023]])</f>
        <v/>
      </c>
      <c r="M92" s="87">
        <f>IF(TRTH4[[#This Row],[2024]]="","",TRTH4[[#This Row],[2024]]+M91)</f>
        <v/>
      </c>
      <c r="N92" s="86">
        <f>IF(TRTH4[[#This Row],[2024]]="","",+TRTH4[[#This Row],[2023]]+N91)</f>
        <v/>
      </c>
      <c r="O92" s="103">
        <f>IF(TRTH4[[#This Row],[Cumulé 2024]]="","",+(TRTH4[[#This Row],[Cumulé 2024]]-TRTH4[[#This Row],[Cumulé 2023]])/TRTH4[[#This Row],[Cumulé 2023]])</f>
        <v/>
      </c>
    </row>
    <row r="93" ht="16.9" customHeight="1" s="161">
      <c r="A93" s="354" t="inlineStr">
        <is>
          <t xml:space="preserve">  TOTAL  </t>
        </is>
      </c>
      <c r="B93" s="76">
        <f>SUBTOTAL(109,TRDIVES[2024])</f>
        <v/>
      </c>
      <c r="C93" s="76">
        <f>SUBTOTAL(109,TRDIVES[2023])</f>
        <v/>
      </c>
      <c r="D93" s="105" t="n"/>
      <c r="E93" s="88" t="n"/>
      <c r="F93" s="76" t="n"/>
      <c r="G93" s="105" t="n"/>
      <c r="H93" s="474" t="n"/>
      <c r="I93" s="354" t="inlineStr">
        <is>
          <t xml:space="preserve">  TOTAL  </t>
        </is>
      </c>
      <c r="J93" s="76">
        <f>SUBTOTAL(109,TRTH4[2024])</f>
        <v/>
      </c>
      <c r="K93" s="76">
        <f>SUBTOTAL(109,TRTH4[2023])</f>
        <v/>
      </c>
      <c r="L93" s="105" t="n"/>
      <c r="M93" s="88" t="n"/>
      <c r="N93" s="76" t="n"/>
    </row>
    <row r="94" ht="30.6" customHeight="1" s="161">
      <c r="M94" s="84" t="n"/>
    </row>
    <row r="95" ht="33" customHeight="1" s="161">
      <c r="A95" s="474" t="inlineStr">
        <is>
          <t>ARTHUR</t>
        </is>
      </c>
      <c r="B95" s="94" t="inlineStr">
        <is>
          <t>2024</t>
        </is>
      </c>
      <c r="C95" s="94" t="inlineStr">
        <is>
          <t>2023</t>
        </is>
      </c>
      <c r="D95" s="100" t="inlineStr">
        <is>
          <t>Variat.</t>
        </is>
      </c>
      <c r="E95" s="95" t="inlineStr">
        <is>
          <t>Cumulé 2024</t>
        </is>
      </c>
      <c r="F95" s="95" t="inlineStr">
        <is>
          <t>Cumulé 2023</t>
        </is>
      </c>
      <c r="G95" s="100" t="inlineStr">
        <is>
          <t>Cumulé variat.</t>
        </is>
      </c>
      <c r="H95" s="474" t="n"/>
      <c r="I95" s="474" t="inlineStr">
        <is>
          <t>HUGO</t>
        </is>
      </c>
      <c r="J95" s="94" t="inlineStr">
        <is>
          <t>2024</t>
        </is>
      </c>
      <c r="K95" s="94" t="inlineStr">
        <is>
          <t>2023</t>
        </is>
      </c>
      <c r="L95" s="100" t="inlineStr">
        <is>
          <t>Variat.</t>
        </is>
      </c>
      <c r="M95" s="95" t="inlineStr">
        <is>
          <t>Cumulé 2024</t>
        </is>
      </c>
      <c r="N95" s="95" t="inlineStr">
        <is>
          <t>Cumulé 2023</t>
        </is>
      </c>
      <c r="O95" s="100" t="inlineStr">
        <is>
          <t>Cumulé variat.</t>
        </is>
      </c>
    </row>
    <row r="96" ht="13.15" customFormat="1" customHeight="1" s="476">
      <c r="A96" s="476" t="inlineStr">
        <is>
          <t>Janvier</t>
        </is>
      </c>
      <c r="B96" s="87">
        <f>IF(DONNÉES!CU108="","",DONNÉES!CU108)</f>
        <v/>
      </c>
      <c r="C96" s="87">
        <f>IF(TRARTHUR[[#This Row],[2024]]="","",DONNÉES!CV108)</f>
        <v/>
      </c>
      <c r="D96" s="102">
        <f>IF(TRARTHUR[[#This Row],[2024]]="","",(TRARTHUR[[#This Row],[2024]]-TRARTHUR[[#This Row],[2023]])/TRARTHUR[[#This Row],[2023]])</f>
        <v/>
      </c>
      <c r="E96" s="87">
        <f>IF(TRARTHUR[[#This Row],[2024]]="","",TRARTHUR[[#This Row],[2024]])</f>
        <v/>
      </c>
      <c r="F96" s="86">
        <f>IF(TRARTHUR[[#This Row],[2024]]="","",+TRARTHUR[[#This Row],[2023]])</f>
        <v/>
      </c>
      <c r="G96" s="103">
        <f>IF(TRARTHUR[[#This Row],[Cumulé 2024]]="","",+(TRARTHUR[[#This Row],[Cumulé 2024]]-TRARTHUR[[#This Row],[Cumulé 2023]])/TRARTHUR[[#This Row],[Cumulé 2023]])</f>
        <v/>
      </c>
      <c r="I96" s="476" t="inlineStr">
        <is>
          <t>Janvier</t>
        </is>
      </c>
      <c r="J96" s="87">
        <f>IF(DONNÉES!DC108="","",DONNÉES!DC108)</f>
        <v/>
      </c>
      <c r="K96" s="87">
        <f>IF(TRHUGO[[#This Row],[2024]]="","",DONNÉES!DD108)</f>
        <v/>
      </c>
      <c r="L96" s="102">
        <f>IF(TRHUGO[[#This Row],[2024]]="","",(TRHUGO[[#This Row],[2024]]-TRHUGO[[#This Row],[2023]])/TRHUGO[[#This Row],[2023]])</f>
        <v/>
      </c>
      <c r="M96" s="87">
        <f>IF(TRHUGO[[#This Row],[2024]]="","",TRHUGO[[#This Row],[2024]])</f>
        <v/>
      </c>
      <c r="N96" s="86">
        <f>IF(TRHUGO[[#This Row],[2024]]="","",+TRHUGO[[#This Row],[2023]])</f>
        <v/>
      </c>
      <c r="O96" s="103">
        <f>IF(TRHUGO[[#This Row],[Cumulé 2024]]="","",+(TRHUGO[[#This Row],[Cumulé 2024]]-TRHUGO[[#This Row],[Cumulé 2023]])/TRHUGO[[#This Row],[Cumulé 2023]])</f>
        <v/>
      </c>
    </row>
    <row r="97" ht="13.15" customFormat="1" customHeight="1" s="476">
      <c r="A97" s="476" t="inlineStr">
        <is>
          <t>Février</t>
        </is>
      </c>
      <c r="B97" s="87">
        <f>IF(DONNÉES!CU109="","",DONNÉES!CU109)</f>
        <v/>
      </c>
      <c r="C97" s="87">
        <f>IF(TRARTHUR[[#This Row],[2024]]="","",DONNÉES!CV109)</f>
        <v/>
      </c>
      <c r="D97" s="102">
        <f>IF(TRARTHUR[[#This Row],[2024]]="","",(TRARTHUR[[#This Row],[2024]]-TRARTHUR[[#This Row],[2023]])/TRARTHUR[[#This Row],[2023]])</f>
        <v/>
      </c>
      <c r="E97" s="87">
        <f>IF(TRARTHUR[[#This Row],[2024]]="","",TRARTHUR[[#This Row],[2024]]+E96)</f>
        <v/>
      </c>
      <c r="F97" s="86">
        <f>IF(TRARTHUR[[#This Row],[2024]]="","",+TRARTHUR[[#This Row],[2023]]+F96)</f>
        <v/>
      </c>
      <c r="G97" s="103">
        <f>IF(TRARTHUR[[#This Row],[Cumulé 2024]]="","",+(TRARTHUR[[#This Row],[Cumulé 2024]]-TRARTHUR[[#This Row],[Cumulé 2023]])/TRARTHUR[[#This Row],[Cumulé 2023]])</f>
        <v/>
      </c>
      <c r="I97" s="476" t="inlineStr">
        <is>
          <t>Février</t>
        </is>
      </c>
      <c r="J97" s="87">
        <f>IF(DONNÉES!DC109="","",DONNÉES!DC109)</f>
        <v/>
      </c>
      <c r="K97" s="87">
        <f>IF(TRHUGO[[#This Row],[2024]]="","",DONNÉES!DD109)</f>
        <v/>
      </c>
      <c r="L97" s="102">
        <f>IF(TRHUGO[[#This Row],[2024]]="","",(TRHUGO[[#This Row],[2024]]-TRHUGO[[#This Row],[2023]])/TRHUGO[[#This Row],[2023]])</f>
        <v/>
      </c>
      <c r="M97" s="87">
        <f>IF(TRHUGO[[#This Row],[2024]]="","",TRHUGO[[#This Row],[2024]]+M96)</f>
        <v/>
      </c>
      <c r="N97" s="86">
        <f>IF(TRHUGO[[#This Row],[2024]]="","",+TRHUGO[[#This Row],[2023]]+N96)</f>
        <v/>
      </c>
      <c r="O97" s="103">
        <f>IF(TRHUGO[[#This Row],[Cumulé 2024]]="","",+(TRHUGO[[#This Row],[Cumulé 2024]]-TRHUGO[[#This Row],[Cumulé 2023]])/TRHUGO[[#This Row],[Cumulé 2023]])</f>
        <v/>
      </c>
    </row>
    <row r="98" ht="13.15" customFormat="1" customHeight="1" s="476">
      <c r="A98" s="474" t="inlineStr">
        <is>
          <t>Mars</t>
        </is>
      </c>
      <c r="B98" s="87">
        <f>IF(DONNÉES!CU110="","",DONNÉES!CU110)</f>
        <v/>
      </c>
      <c r="C98" s="87">
        <f>IF(TRARTHUR[[#This Row],[2024]]="","",DONNÉES!CV110)</f>
        <v/>
      </c>
      <c r="D98" s="102">
        <f>IF(TRARTHUR[[#This Row],[2024]]="","",(TRARTHUR[[#This Row],[2024]]-TRARTHUR[[#This Row],[2023]])/TRARTHUR[[#This Row],[2023]])</f>
        <v/>
      </c>
      <c r="E98" s="87">
        <f>IF(TRARTHUR[[#This Row],[2024]]="","",TRARTHUR[[#This Row],[2024]]+E97)</f>
        <v/>
      </c>
      <c r="F98" s="86">
        <f>IF(TRARTHUR[[#This Row],[2024]]="","",+TRARTHUR[[#This Row],[2023]]+F97)</f>
        <v/>
      </c>
      <c r="G98" s="103">
        <f>IF(TRARTHUR[[#This Row],[Cumulé 2024]]="","",+(TRARTHUR[[#This Row],[Cumulé 2024]]-TRARTHUR[[#This Row],[Cumulé 2023]])/TRARTHUR[[#This Row],[Cumulé 2023]])</f>
        <v/>
      </c>
      <c r="I98" s="474" t="inlineStr">
        <is>
          <t>Mars</t>
        </is>
      </c>
      <c r="J98" s="87">
        <f>IF(DONNÉES!DC110="","",DONNÉES!DC110)</f>
        <v/>
      </c>
      <c r="K98" s="87">
        <f>IF(TRHUGO[[#This Row],[2024]]="","",DONNÉES!DD110)</f>
        <v/>
      </c>
      <c r="L98" s="102">
        <f>IF(TRHUGO[[#This Row],[2024]]="","",(TRHUGO[[#This Row],[2024]]-TRHUGO[[#This Row],[2023]])/TRHUGO[[#This Row],[2023]])</f>
        <v/>
      </c>
      <c r="M98" s="87">
        <f>IF(TRHUGO[[#This Row],[2024]]="","",TRHUGO[[#This Row],[2024]]+M97)</f>
        <v/>
      </c>
      <c r="N98" s="86">
        <f>IF(TRHUGO[[#This Row],[2024]]="","",+TRHUGO[[#This Row],[2023]]+N97)</f>
        <v/>
      </c>
      <c r="O98" s="103">
        <f>IF(TRHUGO[[#This Row],[Cumulé 2024]]="","",+(TRHUGO[[#This Row],[Cumulé 2024]]-TRHUGO[[#This Row],[Cumulé 2023]])/TRHUGO[[#This Row],[Cumulé 2023]])</f>
        <v/>
      </c>
    </row>
    <row r="99" ht="13.15" customHeight="1" s="161">
      <c r="A99" s="476" t="inlineStr">
        <is>
          <t>Avril</t>
        </is>
      </c>
      <c r="B99" s="87">
        <f>IF(DONNÉES!CU111="","",DONNÉES!CU111)</f>
        <v/>
      </c>
      <c r="C99" s="87">
        <f>IF(TRARTHUR[[#This Row],[2024]]="","",DONNÉES!CV111)</f>
        <v/>
      </c>
      <c r="D99" s="102">
        <f>IF(TRARTHUR[[#This Row],[2024]]="","",(TRARTHUR[[#This Row],[2024]]-TRARTHUR[[#This Row],[2023]])/TRARTHUR[[#This Row],[2023]])</f>
        <v/>
      </c>
      <c r="E99" s="87">
        <f>IF(TRARTHUR[[#This Row],[2024]]="","",TRARTHUR[[#This Row],[2024]]+E98)</f>
        <v/>
      </c>
      <c r="F99" s="86">
        <f>IF(TRARTHUR[[#This Row],[2024]]="","",+TRARTHUR[[#This Row],[2023]]+F98)</f>
        <v/>
      </c>
      <c r="G99" s="103">
        <f>IF(TRARTHUR[[#This Row],[Cumulé 2024]]="","",+(TRARTHUR[[#This Row],[Cumulé 2024]]-TRARTHUR[[#This Row],[Cumulé 2023]])/TRARTHUR[[#This Row],[Cumulé 2023]])</f>
        <v/>
      </c>
      <c r="H99" s="474" t="n"/>
      <c r="I99" s="476" t="inlineStr">
        <is>
          <t>Avril</t>
        </is>
      </c>
      <c r="J99" s="87">
        <f>IF(DONNÉES!DC111="","",DONNÉES!DC111)</f>
        <v/>
      </c>
      <c r="K99" s="87">
        <f>IF(TRHUGO[[#This Row],[2024]]="","",DONNÉES!DD111)</f>
        <v/>
      </c>
      <c r="L99" s="102">
        <f>IF(TRHUGO[[#This Row],[2024]]="","",(TRHUGO[[#This Row],[2024]]-TRHUGO[[#This Row],[2023]])/TRHUGO[[#This Row],[2023]])</f>
        <v/>
      </c>
      <c r="M99" s="87">
        <f>IF(TRHUGO[[#This Row],[2024]]="","",TRHUGO[[#This Row],[2024]]+M98)</f>
        <v/>
      </c>
      <c r="N99" s="86">
        <f>IF(TRHUGO[[#This Row],[2024]]="","",+TRHUGO[[#This Row],[2023]]+N98)</f>
        <v/>
      </c>
      <c r="O99" s="103">
        <f>IF(TRHUGO[[#This Row],[Cumulé 2024]]="","",+(TRHUGO[[#This Row],[Cumulé 2024]]-TRHUGO[[#This Row],[Cumulé 2023]])/TRHUGO[[#This Row],[Cumulé 2023]])</f>
        <v/>
      </c>
    </row>
    <row r="100" ht="13.15" customHeight="1" s="161">
      <c r="A100" s="474" t="inlineStr">
        <is>
          <t>Mai</t>
        </is>
      </c>
      <c r="B100" s="87">
        <f>IF(DONNÉES!CU112="","",DONNÉES!CU112)</f>
        <v/>
      </c>
      <c r="C100" s="87">
        <f>IF(TRARTHUR[[#This Row],[2024]]="","",DONNÉES!CV112)</f>
        <v/>
      </c>
      <c r="D100" s="102">
        <f>IF(TRARTHUR[[#This Row],[2024]]="","",(TRARTHUR[[#This Row],[2024]]-TRARTHUR[[#This Row],[2023]])/TRARTHUR[[#This Row],[2023]])</f>
        <v/>
      </c>
      <c r="E100" s="87">
        <f>IF(TRARTHUR[[#This Row],[2024]]="","",TRARTHUR[[#This Row],[2024]]+E99)</f>
        <v/>
      </c>
      <c r="F100" s="86">
        <f>IF(TRARTHUR[[#This Row],[2024]]="","",+TRARTHUR[[#This Row],[2023]]+F99)</f>
        <v/>
      </c>
      <c r="G100" s="103">
        <f>IF(TRARTHUR[[#This Row],[Cumulé 2024]]="","",+(TRARTHUR[[#This Row],[Cumulé 2024]]-TRARTHUR[[#This Row],[Cumulé 2023]])/TRARTHUR[[#This Row],[Cumulé 2023]])</f>
        <v/>
      </c>
      <c r="H100" s="474" t="n"/>
      <c r="I100" s="474" t="inlineStr">
        <is>
          <t>Mai</t>
        </is>
      </c>
      <c r="J100" s="87">
        <f>IF(DONNÉES!DC112="","",DONNÉES!DC112)</f>
        <v/>
      </c>
      <c r="K100" s="87">
        <f>IF(TRHUGO[[#This Row],[2024]]="","",DONNÉES!DD112)</f>
        <v/>
      </c>
      <c r="L100" s="102">
        <f>IF(TRHUGO[[#This Row],[2024]]="","",(TRHUGO[[#This Row],[2024]]-TRHUGO[[#This Row],[2023]])/TRHUGO[[#This Row],[2023]])</f>
        <v/>
      </c>
      <c r="M100" s="87">
        <f>IF(TRHUGO[[#This Row],[2024]]="","",TRHUGO[[#This Row],[2024]]+M99)</f>
        <v/>
      </c>
      <c r="N100" s="86">
        <f>IF(TRHUGO[[#This Row],[2024]]="","",+TRHUGO[[#This Row],[2023]]+N99)</f>
        <v/>
      </c>
      <c r="O100" s="103">
        <f>IF(TRHUGO[[#This Row],[Cumulé 2024]]="","",+(TRHUGO[[#This Row],[Cumulé 2024]]-TRHUGO[[#This Row],[Cumulé 2023]])/TRHUGO[[#This Row],[Cumulé 2023]])</f>
        <v/>
      </c>
    </row>
    <row r="101" ht="13.15" customHeight="1" s="161">
      <c r="A101" s="476" t="inlineStr">
        <is>
          <t>Juin</t>
        </is>
      </c>
      <c r="B101" s="87">
        <f>IF(DONNÉES!CU113="","",DONNÉES!CU113)</f>
        <v/>
      </c>
      <c r="C101" s="87">
        <f>IF(TRARTHUR[[#This Row],[2024]]="","",DONNÉES!CV113)</f>
        <v/>
      </c>
      <c r="D101" s="102">
        <f>IF(TRARTHUR[[#This Row],[2024]]="","",(TRARTHUR[[#This Row],[2024]]-TRARTHUR[[#This Row],[2023]])/TRARTHUR[[#This Row],[2023]])</f>
        <v/>
      </c>
      <c r="E101" s="87">
        <f>IF(TRARTHUR[[#This Row],[2024]]="","",TRARTHUR[[#This Row],[2024]]+E100)</f>
        <v/>
      </c>
      <c r="F101" s="86">
        <f>IF(TRARTHUR[[#This Row],[2024]]="","",+TRARTHUR[[#This Row],[2023]]+F100)</f>
        <v/>
      </c>
      <c r="G101" s="103">
        <f>IF(TRARTHUR[[#This Row],[Cumulé 2024]]="","",+(TRARTHUR[[#This Row],[Cumulé 2024]]-TRARTHUR[[#This Row],[Cumulé 2023]])/TRARTHUR[[#This Row],[Cumulé 2023]])</f>
        <v/>
      </c>
      <c r="H101" s="474" t="n"/>
      <c r="I101" s="476" t="inlineStr">
        <is>
          <t>Juin</t>
        </is>
      </c>
      <c r="J101" s="87">
        <f>IF(DONNÉES!DC113="","",DONNÉES!DC113)</f>
        <v/>
      </c>
      <c r="K101" s="87">
        <f>IF(TRHUGO[[#This Row],[2024]]="","",DONNÉES!DD113)</f>
        <v/>
      </c>
      <c r="L101" s="102">
        <f>IF(TRHUGO[[#This Row],[2024]]="","",(TRHUGO[[#This Row],[2024]]-TRHUGO[[#This Row],[2023]])/TRHUGO[[#This Row],[2023]])</f>
        <v/>
      </c>
      <c r="M101" s="87">
        <f>IF(TRHUGO[[#This Row],[2024]]="","",TRHUGO[[#This Row],[2024]]+M100)</f>
        <v/>
      </c>
      <c r="N101" s="86">
        <f>IF(TRHUGO[[#This Row],[2024]]="","",+TRHUGO[[#This Row],[2023]]+N100)</f>
        <v/>
      </c>
      <c r="O101" s="103">
        <f>IF(TRHUGO[[#This Row],[Cumulé 2024]]="","",+(TRHUGO[[#This Row],[Cumulé 2024]]-TRHUGO[[#This Row],[Cumulé 2023]])/TRHUGO[[#This Row],[Cumulé 2023]])</f>
        <v/>
      </c>
    </row>
    <row r="102" ht="13.15" customHeight="1" s="161">
      <c r="A102" s="474" t="inlineStr">
        <is>
          <t>Juillet</t>
        </is>
      </c>
      <c r="B102" s="87">
        <f>IF(DONNÉES!CU114="","",DONNÉES!CU114)</f>
        <v/>
      </c>
      <c r="C102" s="87">
        <f>IF(TRARTHUR[[#This Row],[2024]]="","",DONNÉES!CV114)</f>
        <v/>
      </c>
      <c r="D102" s="102">
        <f>IF(TRARTHUR[[#This Row],[2024]]="","",(TRARTHUR[[#This Row],[2024]]-TRARTHUR[[#This Row],[2023]])/TRARTHUR[[#This Row],[2023]])</f>
        <v/>
      </c>
      <c r="E102" s="87">
        <f>IF(TRARTHUR[[#This Row],[2024]]="","",TRARTHUR[[#This Row],[2024]]+E101)</f>
        <v/>
      </c>
      <c r="F102" s="86">
        <f>IF(TRARTHUR[[#This Row],[2024]]="","",+TRARTHUR[[#This Row],[2023]]+F101)</f>
        <v/>
      </c>
      <c r="G102" s="103">
        <f>IF(TRARTHUR[[#This Row],[Cumulé 2024]]="","",+(TRARTHUR[[#This Row],[Cumulé 2024]]-TRARTHUR[[#This Row],[Cumulé 2023]])/TRARTHUR[[#This Row],[Cumulé 2023]])</f>
        <v/>
      </c>
      <c r="H102" s="474" t="n"/>
      <c r="I102" s="474" t="inlineStr">
        <is>
          <t>Juillet</t>
        </is>
      </c>
      <c r="J102" s="87">
        <f>IF(DONNÉES!DC114="","",DONNÉES!DC114)</f>
        <v/>
      </c>
      <c r="K102" s="87">
        <f>IF(TRHUGO[[#This Row],[2024]]="","",DONNÉES!DD114)</f>
        <v/>
      </c>
      <c r="L102" s="102">
        <f>IF(TRHUGO[[#This Row],[2024]]="","",(TRHUGO[[#This Row],[2024]]-TRHUGO[[#This Row],[2023]])/TRHUGO[[#This Row],[2023]])</f>
        <v/>
      </c>
      <c r="M102" s="87">
        <f>IF(TRHUGO[[#This Row],[2024]]="","",TRHUGO[[#This Row],[2024]]+M101)</f>
        <v/>
      </c>
      <c r="N102" s="86">
        <f>IF(TRHUGO[[#This Row],[2024]]="","",+TRHUGO[[#This Row],[2023]]+N101)</f>
        <v/>
      </c>
      <c r="O102" s="103">
        <f>IF(TRHUGO[[#This Row],[Cumulé 2024]]="","",+(TRHUGO[[#This Row],[Cumulé 2024]]-TRHUGO[[#This Row],[Cumulé 2023]])/TRHUGO[[#This Row],[Cumulé 2023]])</f>
        <v/>
      </c>
    </row>
    <row r="103" ht="13.15" customHeight="1" s="161">
      <c r="A103" s="476" t="inlineStr">
        <is>
          <t>Août</t>
        </is>
      </c>
      <c r="B103" s="87">
        <f>IF(DONNÉES!CU115="","",DONNÉES!CU115)</f>
        <v/>
      </c>
      <c r="C103" s="87">
        <f>IF(TRARTHUR[[#This Row],[2024]]="","",DONNÉES!CV115)</f>
        <v/>
      </c>
      <c r="D103" s="102">
        <f>IF(TRARTHUR[[#This Row],[2024]]="","",(TRARTHUR[[#This Row],[2024]]-TRARTHUR[[#This Row],[2023]])/TRARTHUR[[#This Row],[2023]])</f>
        <v/>
      </c>
      <c r="E103" s="87">
        <f>IF(TRARTHUR[[#This Row],[2024]]="","",TRARTHUR[[#This Row],[2024]]+E102)</f>
        <v/>
      </c>
      <c r="F103" s="86">
        <f>IF(TRARTHUR[[#This Row],[2024]]="","",+TRARTHUR[[#This Row],[2023]]+F102)</f>
        <v/>
      </c>
      <c r="G103" s="103">
        <f>IF(TRARTHUR[[#This Row],[Cumulé 2024]]="","",+(TRARTHUR[[#This Row],[Cumulé 2024]]-TRARTHUR[[#This Row],[Cumulé 2023]])/TRARTHUR[[#This Row],[Cumulé 2023]])</f>
        <v/>
      </c>
      <c r="H103" s="474" t="n"/>
      <c r="I103" s="476" t="inlineStr">
        <is>
          <t>Août</t>
        </is>
      </c>
      <c r="J103" s="87">
        <f>IF(DONNÉES!DC115="","",DONNÉES!DC115)</f>
        <v/>
      </c>
      <c r="K103" s="87">
        <f>IF(TRHUGO[[#This Row],[2024]]="","",DONNÉES!DD115)</f>
        <v/>
      </c>
      <c r="L103" s="102">
        <f>IF(TRHUGO[[#This Row],[2024]]="","",(TRHUGO[[#This Row],[2024]]-TRHUGO[[#This Row],[2023]])/TRHUGO[[#This Row],[2023]])</f>
        <v/>
      </c>
      <c r="M103" s="87">
        <f>IF(TRHUGO[[#This Row],[2024]]="","",TRHUGO[[#This Row],[2024]]+M102)</f>
        <v/>
      </c>
      <c r="N103" s="86">
        <f>IF(TRHUGO[[#This Row],[2024]]="","",+TRHUGO[[#This Row],[2023]]+N102)</f>
        <v/>
      </c>
      <c r="O103" s="103">
        <f>IF(TRHUGO[[#This Row],[Cumulé 2024]]="","",+(TRHUGO[[#This Row],[Cumulé 2024]]-TRHUGO[[#This Row],[Cumulé 2023]])/TRHUGO[[#This Row],[Cumulé 2023]])</f>
        <v/>
      </c>
    </row>
    <row r="104" ht="13.15" customHeight="1" s="161">
      <c r="A104" s="474" t="inlineStr">
        <is>
          <t>Septembre</t>
        </is>
      </c>
      <c r="B104" s="87">
        <f>IF(DONNÉES!CU116="","",DONNÉES!CU116)</f>
        <v/>
      </c>
      <c r="C104" s="87">
        <f>IF(TRARTHUR[[#This Row],[2024]]="","",DONNÉES!CV116)</f>
        <v/>
      </c>
      <c r="D104" s="103">
        <f>IF(TRARTHUR[[#This Row],[2024]]="","",(TRARTHUR[[#This Row],[2024]]-TRARTHUR[[#This Row],[2023]])/TRARTHUR[[#This Row],[2023]])</f>
        <v/>
      </c>
      <c r="E104" s="87">
        <f>IF(TRARTHUR[[#This Row],[2024]]="","",TRARTHUR[[#This Row],[2024]]+E103)</f>
        <v/>
      </c>
      <c r="F104" s="86">
        <f>IF(TRARTHUR[[#This Row],[2024]]="","",+TRARTHUR[[#This Row],[2023]]+F103)</f>
        <v/>
      </c>
      <c r="G104" s="103">
        <f>IF(TRARTHUR[[#This Row],[Cumulé 2024]]="","",+(TRARTHUR[[#This Row],[Cumulé 2024]]-TRARTHUR[[#This Row],[Cumulé 2023]])/TRARTHUR[[#This Row],[Cumulé 2023]])</f>
        <v/>
      </c>
      <c r="I104" s="474" t="inlineStr">
        <is>
          <t>Septembre</t>
        </is>
      </c>
      <c r="J104" s="87">
        <f>IF(DONNÉES!DC116="","",DONNÉES!DC116)</f>
        <v/>
      </c>
      <c r="K104" s="87">
        <f>IF(TRHUGO[[#This Row],[2024]]="","",DONNÉES!DD116)</f>
        <v/>
      </c>
      <c r="L104" s="103">
        <f>IF(TRHUGO[[#This Row],[2024]]="","",(TRHUGO[[#This Row],[2024]]-TRHUGO[[#This Row],[2023]])/TRHUGO[[#This Row],[2023]])</f>
        <v/>
      </c>
      <c r="M104" s="87">
        <f>IF(TRHUGO[[#This Row],[2024]]="","",TRHUGO[[#This Row],[2024]]+M103)</f>
        <v/>
      </c>
      <c r="N104" s="86">
        <f>IF(TRHUGO[[#This Row],[2024]]="","",+TRHUGO[[#This Row],[2023]]+N103)</f>
        <v/>
      </c>
      <c r="O104" s="103">
        <f>IF(TRHUGO[[#This Row],[Cumulé 2024]]="","",+(TRHUGO[[#This Row],[Cumulé 2024]]-TRHUGO[[#This Row],[Cumulé 2023]])/TRHUGO[[#This Row],[Cumulé 2023]])</f>
        <v/>
      </c>
    </row>
    <row r="105" ht="13.15" customHeight="1" s="161">
      <c r="A105" s="476" t="inlineStr">
        <is>
          <t>Octobre</t>
        </is>
      </c>
      <c r="B105" s="87">
        <f>IF(DONNÉES!CU117="","",DONNÉES!CU117)</f>
        <v/>
      </c>
      <c r="C105" s="87">
        <f>IF(TRARTHUR[[#This Row],[2024]]="","",DONNÉES!CV117)</f>
        <v/>
      </c>
      <c r="D105" s="103">
        <f>IF(TRARTHUR[[#This Row],[2024]]="","",(TRARTHUR[[#This Row],[2024]]-TRARTHUR[[#This Row],[2023]])/TRARTHUR[[#This Row],[2023]])</f>
        <v/>
      </c>
      <c r="E105" s="87">
        <f>IF(TRARTHUR[[#This Row],[2024]]="","",TRARTHUR[[#This Row],[2024]]+E104)</f>
        <v/>
      </c>
      <c r="F105" s="86">
        <f>IF(TRARTHUR[[#This Row],[2024]]="","",+TRARTHUR[[#This Row],[2023]]+F104)</f>
        <v/>
      </c>
      <c r="G105" s="103">
        <f>IF(TRARTHUR[[#This Row],[Cumulé 2024]]="","",+(TRARTHUR[[#This Row],[Cumulé 2024]]-TRARTHUR[[#This Row],[Cumulé 2023]])/TRARTHUR[[#This Row],[Cumulé 2023]])</f>
        <v/>
      </c>
      <c r="I105" s="476" t="inlineStr">
        <is>
          <t>Octobre</t>
        </is>
      </c>
      <c r="J105" s="87">
        <f>IF(DONNÉES!DC117="","",DONNÉES!DC117)</f>
        <v/>
      </c>
      <c r="K105" s="87">
        <f>IF(TRHUGO[[#This Row],[2024]]="","",DONNÉES!DD117)</f>
        <v/>
      </c>
      <c r="L105" s="103">
        <f>IF(TRHUGO[[#This Row],[2024]]="","",(TRHUGO[[#This Row],[2024]]-TRHUGO[[#This Row],[2023]])/TRHUGO[[#This Row],[2023]])</f>
        <v/>
      </c>
      <c r="M105" s="87">
        <f>IF(TRHUGO[[#This Row],[2024]]="","",TRHUGO[[#This Row],[2024]]+M104)</f>
        <v/>
      </c>
      <c r="N105" s="86">
        <f>IF(TRHUGO[[#This Row],[2024]]="","",+TRHUGO[[#This Row],[2023]]+N104)</f>
        <v/>
      </c>
      <c r="O105" s="103">
        <f>IF(TRHUGO[[#This Row],[Cumulé 2024]]="","",+(TRHUGO[[#This Row],[Cumulé 2024]]-TRHUGO[[#This Row],[Cumulé 2023]])/TRHUGO[[#This Row],[Cumulé 2023]])</f>
        <v/>
      </c>
    </row>
    <row r="106" ht="13.15" customHeight="1" s="161">
      <c r="A106" s="474" t="inlineStr">
        <is>
          <t>Novembre</t>
        </is>
      </c>
      <c r="B106" s="87">
        <f>IF(DONNÉES!CU118="","",DONNÉES!CU118)</f>
        <v/>
      </c>
      <c r="C106" s="87">
        <f>IF(TRARTHUR[[#This Row],[2024]]="","",DONNÉES!CV118)</f>
        <v/>
      </c>
      <c r="D106" s="103">
        <f>IF(TRARTHUR[[#This Row],[2024]]="","",(TRARTHUR[[#This Row],[2024]]-TRARTHUR[[#This Row],[2023]])/TRARTHUR[[#This Row],[2023]])</f>
        <v/>
      </c>
      <c r="E106" s="87">
        <f>IF(TRARTHUR[[#This Row],[2024]]="","",TRARTHUR[[#This Row],[2024]]+E105)</f>
        <v/>
      </c>
      <c r="F106" s="86">
        <f>IF(TRARTHUR[[#This Row],[2024]]="","",+TRARTHUR[[#This Row],[2023]]+F105)</f>
        <v/>
      </c>
      <c r="G106" s="103">
        <f>IF(TRARTHUR[[#This Row],[Cumulé 2024]]="","",+(TRARTHUR[[#This Row],[Cumulé 2024]]-TRARTHUR[[#This Row],[Cumulé 2023]])/TRARTHUR[[#This Row],[Cumulé 2023]])</f>
        <v/>
      </c>
      <c r="I106" s="474" t="inlineStr">
        <is>
          <t>Novembre</t>
        </is>
      </c>
      <c r="J106" s="87">
        <f>IF(DONNÉES!DC118="","",DONNÉES!DC118)</f>
        <v/>
      </c>
      <c r="K106" s="87">
        <f>IF(TRHUGO[[#This Row],[2024]]="","",DONNÉES!DD118)</f>
        <v/>
      </c>
      <c r="L106" s="103">
        <f>IF(TRHUGO[[#This Row],[2024]]="","",(TRHUGO[[#This Row],[2024]]-TRHUGO[[#This Row],[2023]])/TRHUGO[[#This Row],[2023]])</f>
        <v/>
      </c>
      <c r="M106" s="87">
        <f>IF(TRHUGO[[#This Row],[2024]]="","",TRHUGO[[#This Row],[2024]]+M105)</f>
        <v/>
      </c>
      <c r="N106" s="86">
        <f>IF(TRHUGO[[#This Row],[2024]]="","",+TRHUGO[[#This Row],[2023]]+N105)</f>
        <v/>
      </c>
      <c r="O106" s="103">
        <f>IF(TRHUGO[[#This Row],[Cumulé 2024]]="","",+(TRHUGO[[#This Row],[Cumulé 2024]]-TRHUGO[[#This Row],[Cumulé 2023]])/TRHUGO[[#This Row],[Cumulé 2023]])</f>
        <v/>
      </c>
    </row>
    <row r="107" ht="13.15" customHeight="1" s="161">
      <c r="A107" s="474" t="inlineStr">
        <is>
          <t>Décembre</t>
        </is>
      </c>
      <c r="B107" s="87">
        <f>IF(DONNÉES!CU119="","",DONNÉES!CU119)</f>
        <v/>
      </c>
      <c r="C107" s="87">
        <f>IF(TRARTHUR[[#This Row],[2024]]="","",DONNÉES!CV119)</f>
        <v/>
      </c>
      <c r="D107" s="103">
        <f>IF(TRARTHUR[[#This Row],[2024]]="","",(TRARTHUR[[#This Row],[2024]]-TRARTHUR[[#This Row],[2023]])/TRARTHUR[[#This Row],[2023]])</f>
        <v/>
      </c>
      <c r="E107" s="87">
        <f>IF(TRARTHUR[[#This Row],[2024]]="","",TRARTHUR[[#This Row],[2024]]+E106)</f>
        <v/>
      </c>
      <c r="F107" s="86">
        <f>IF(TRARTHUR[[#This Row],[2024]]="","",+TRARTHUR[[#This Row],[2023]]+F106)</f>
        <v/>
      </c>
      <c r="G107" s="103">
        <f>IF(TRARTHUR[[#This Row],[Cumulé 2024]]="","",+(TRARTHUR[[#This Row],[Cumulé 2024]]-TRARTHUR[[#This Row],[Cumulé 2023]])/TRARTHUR[[#This Row],[Cumulé 2023]])</f>
        <v/>
      </c>
      <c r="I107" s="474" t="inlineStr">
        <is>
          <t>Décembre</t>
        </is>
      </c>
      <c r="J107" s="87">
        <f>IF(DONNÉES!DC119="","",DONNÉES!DC119)</f>
        <v/>
      </c>
      <c r="K107" s="87">
        <f>IF(TRHUGO[[#This Row],[2024]]="","",DONNÉES!DD119)</f>
        <v/>
      </c>
      <c r="L107" s="103">
        <f>IF(TRHUGO[[#This Row],[2024]]="","",(TRHUGO[[#This Row],[2024]]-TRHUGO[[#This Row],[2023]])/TRHUGO[[#This Row],[2023]])</f>
        <v/>
      </c>
      <c r="M107" s="87">
        <f>IF(TRHUGO[[#This Row],[2024]]="","",TRHUGO[[#This Row],[2024]]+M106)</f>
        <v/>
      </c>
      <c r="N107" s="86">
        <f>IF(TRHUGO[[#This Row],[2024]]="","",+TRHUGO[[#This Row],[2023]]+N106)</f>
        <v/>
      </c>
      <c r="O107" s="103">
        <f>IF(TRHUGO[[#This Row],[Cumulé 2024]]="","",+(TRHUGO[[#This Row],[Cumulé 2024]]-TRHUGO[[#This Row],[Cumulé 2023]])/TRHUGO[[#This Row],[Cumulé 2023]])</f>
        <v/>
      </c>
    </row>
    <row r="108" ht="16.9" customHeight="1" s="161">
      <c r="A108" s="354" t="inlineStr">
        <is>
          <t xml:space="preserve">  TOTAL  </t>
        </is>
      </c>
      <c r="B108" s="76">
        <f>SUBTOTAL(109,TRARTHUR[2024])</f>
        <v/>
      </c>
      <c r="C108" s="76">
        <f>SUBTOTAL(109,TRARTHUR[2023])</f>
        <v/>
      </c>
      <c r="D108" s="105" t="n"/>
      <c r="E108" s="88" t="n"/>
      <c r="F108" s="76" t="n"/>
      <c r="G108" s="105" t="n"/>
      <c r="I108" s="354" t="inlineStr">
        <is>
          <t xml:space="preserve">  TOTAL  </t>
        </is>
      </c>
      <c r="J108" s="76">
        <f>SUBTOTAL(109,TRHUGO[2024])</f>
        <v/>
      </c>
      <c r="K108" s="76">
        <f>SUBTOTAL(109,TRHUGO[2023])</f>
        <v/>
      </c>
      <c r="L108" s="105" t="n"/>
      <c r="M108" s="88" t="n"/>
      <c r="N108" s="76" t="n"/>
    </row>
    <row r="109" ht="30.6" customHeight="1" s="161">
      <c r="M109" s="84" t="n"/>
    </row>
    <row r="110" ht="33" customHeight="1" s="161">
      <c r="A110" s="474" t="inlineStr">
        <is>
          <t>JEANCLO</t>
        </is>
      </c>
      <c r="B110" s="94" t="inlineStr">
        <is>
          <t>2024</t>
        </is>
      </c>
      <c r="C110" s="94" t="inlineStr">
        <is>
          <t>2023</t>
        </is>
      </c>
      <c r="D110" s="100" t="inlineStr">
        <is>
          <t>Variat.</t>
        </is>
      </c>
      <c r="E110" s="95" t="inlineStr">
        <is>
          <t>Cumulé 2024</t>
        </is>
      </c>
      <c r="F110" s="95" t="inlineStr">
        <is>
          <t>Cumulé 2023</t>
        </is>
      </c>
      <c r="G110" s="100" t="inlineStr">
        <is>
          <t>Cumulé variat.</t>
        </is>
      </c>
      <c r="H110" s="474" t="n"/>
      <c r="I110" s="474" t="inlineStr">
        <is>
          <t>THOMAS</t>
        </is>
      </c>
      <c r="J110" s="94" t="inlineStr">
        <is>
          <t>2024</t>
        </is>
      </c>
      <c r="K110" s="94" t="inlineStr">
        <is>
          <t>2023</t>
        </is>
      </c>
      <c r="L110" s="100" t="inlineStr">
        <is>
          <t>Variat.</t>
        </is>
      </c>
      <c r="M110" s="95" t="inlineStr">
        <is>
          <t>Cumulé 2024</t>
        </is>
      </c>
      <c r="N110" s="95" t="inlineStr">
        <is>
          <t>Cumulé 2023</t>
        </is>
      </c>
      <c r="O110" s="100" t="inlineStr">
        <is>
          <t>Cumulé variat.</t>
        </is>
      </c>
    </row>
    <row r="111" ht="13.15" customFormat="1" customHeight="1" s="476">
      <c r="A111" s="476" t="inlineStr">
        <is>
          <t>Janvier</t>
        </is>
      </c>
      <c r="B111" s="87">
        <f>IF(DONNÉES!DK108="","",DONNÉES!DK108)</f>
        <v/>
      </c>
      <c r="C111" s="87">
        <f>IF(TRJEANCLO[[#This Row],[2024]]="","",DONNÉES!DL108)</f>
        <v/>
      </c>
      <c r="D111" s="102">
        <f>IF(TRJEANCLO[[#This Row],[2024]]="","",(TRJEANCLO[[#This Row],[2024]]-TRJEANCLO[[#This Row],[2023]])/TRJEANCLO[[#This Row],[2023]])</f>
        <v/>
      </c>
      <c r="E111" s="87">
        <f>IF(TRJEANCLO[[#This Row],[2024]]="","",TRJEANCLO[[#This Row],[2024]])</f>
        <v/>
      </c>
      <c r="F111" s="86">
        <f>IF(TRJEANCLO[[#This Row],[2024]]="","",+TRJEANCLO[[#This Row],[2023]])</f>
        <v/>
      </c>
      <c r="G111" s="103">
        <f>IF(TRJEANCLO[[#This Row],[Cumulé 2024]]="","",+(TRJEANCLO[[#This Row],[Cumulé 2024]]-TRJEANCLO[[#This Row],[Cumulé 2023]])/TRJEANCLO[[#This Row],[Cumulé 2023]])</f>
        <v/>
      </c>
      <c r="I111" s="476" t="inlineStr">
        <is>
          <t>Janvier</t>
        </is>
      </c>
      <c r="J111" s="87">
        <f>IF(DONNÉES!DS108="","",DONNÉES!DS108)</f>
        <v/>
      </c>
      <c r="K111" s="87">
        <f>IF(TRTHOMAS[[#This Row],[2024]]="","",DONNÉES!DT108)</f>
        <v/>
      </c>
      <c r="L111" s="102">
        <f>IF(TRTHOMAS[[#This Row],[2024]]="","",(TRTHOMAS[[#This Row],[2024]]-TRTHOMAS[[#This Row],[2023]])/TRTHOMAS[[#This Row],[2023]])</f>
        <v/>
      </c>
      <c r="M111" s="87">
        <f>IF(TRTHOMAS[[#This Row],[2024]]="","",TRTHOMAS[[#This Row],[2024]])</f>
        <v/>
      </c>
      <c r="N111" s="86">
        <f>IF(TRTHOMAS[[#This Row],[2024]]="","",+TRTHOMAS[[#This Row],[2023]])</f>
        <v/>
      </c>
      <c r="O111" s="103">
        <f>IF(TRTHOMAS[[#This Row],[Cumulé 2024]]="","",+(TRTHOMAS[[#This Row],[Cumulé 2024]]-TRTHOMAS[[#This Row],[Cumulé 2023]])/TRTHOMAS[[#This Row],[Cumulé 2023]])</f>
        <v/>
      </c>
    </row>
    <row r="112" ht="13.15" customFormat="1" customHeight="1" s="476">
      <c r="A112" s="476" t="inlineStr">
        <is>
          <t>Février</t>
        </is>
      </c>
      <c r="B112" s="87">
        <f>IF(DONNÉES!DK109="","",DONNÉES!DK109)</f>
        <v/>
      </c>
      <c r="C112" s="87">
        <f>IF(TRJEANCLO[[#This Row],[2024]]="","",DONNÉES!DL109)</f>
        <v/>
      </c>
      <c r="D112" s="102">
        <f>IF(TRJEANCLO[[#This Row],[2024]]="","",(TRJEANCLO[[#This Row],[2024]]-TRJEANCLO[[#This Row],[2023]])/TRJEANCLO[[#This Row],[2023]])</f>
        <v/>
      </c>
      <c r="E112" s="87">
        <f>IF(TRJEANCLO[[#This Row],[2024]]="","",TRJEANCLO[[#This Row],[2024]]+E111)</f>
        <v/>
      </c>
      <c r="F112" s="86">
        <f>IF(TRJEANCLO[[#This Row],[2024]]="","",+TRJEANCLO[[#This Row],[2023]]+F111)</f>
        <v/>
      </c>
      <c r="G112" s="103">
        <f>IF(TRJEANCLO[[#This Row],[Cumulé 2024]]="","",+(TRJEANCLO[[#This Row],[Cumulé 2024]]-TRJEANCLO[[#This Row],[Cumulé 2023]])/TRJEANCLO[[#This Row],[Cumulé 2023]])</f>
        <v/>
      </c>
      <c r="I112" s="476" t="inlineStr">
        <is>
          <t>Février</t>
        </is>
      </c>
      <c r="J112" s="87">
        <f>IF(DONNÉES!DS109="","",DONNÉES!DS109)</f>
        <v/>
      </c>
      <c r="K112" s="87">
        <f>IF(TRTHOMAS[[#This Row],[2024]]="","",DONNÉES!DT109)</f>
        <v/>
      </c>
      <c r="L112" s="102">
        <f>IF(TRTHOMAS[[#This Row],[2024]]="","",(TRTHOMAS[[#This Row],[2024]]-TRTHOMAS[[#This Row],[2023]])/TRTHOMAS[[#This Row],[2023]])</f>
        <v/>
      </c>
      <c r="M112" s="87">
        <f>IF(TRTHOMAS[[#This Row],[2024]]="","",TRTHOMAS[[#This Row],[2024]]+M111)</f>
        <v/>
      </c>
      <c r="N112" s="86">
        <f>IF(TRTHOMAS[[#This Row],[2024]]="","",+TRTHOMAS[[#This Row],[2023]]+N111)</f>
        <v/>
      </c>
      <c r="O112" s="103">
        <f>IF(TRTHOMAS[[#This Row],[Cumulé 2024]]="","",+(TRTHOMAS[[#This Row],[Cumulé 2024]]-TRTHOMAS[[#This Row],[Cumulé 2023]])/TRTHOMAS[[#This Row],[Cumulé 2023]])</f>
        <v/>
      </c>
    </row>
    <row r="113" ht="13.15" customFormat="1" customHeight="1" s="476">
      <c r="A113" s="474" t="inlineStr">
        <is>
          <t>Mars</t>
        </is>
      </c>
      <c r="B113" s="87">
        <f>IF(DONNÉES!DK110="","",DONNÉES!DK110)</f>
        <v/>
      </c>
      <c r="C113" s="87">
        <f>IF(TRJEANCLO[[#This Row],[2024]]="","",DONNÉES!DL110)</f>
        <v/>
      </c>
      <c r="D113" s="102">
        <f>IF(TRJEANCLO[[#This Row],[2024]]="","",(TRJEANCLO[[#This Row],[2024]]-TRJEANCLO[[#This Row],[2023]])/TRJEANCLO[[#This Row],[2023]])</f>
        <v/>
      </c>
      <c r="E113" s="87">
        <f>IF(TRJEANCLO[[#This Row],[2024]]="","",TRJEANCLO[[#This Row],[2024]]+E112)</f>
        <v/>
      </c>
      <c r="F113" s="86">
        <f>IF(TRJEANCLO[[#This Row],[2024]]="","",+TRJEANCLO[[#This Row],[2023]]+F112)</f>
        <v/>
      </c>
      <c r="G113" s="103">
        <f>IF(TRJEANCLO[[#This Row],[Cumulé 2024]]="","",+(TRJEANCLO[[#This Row],[Cumulé 2024]]-TRJEANCLO[[#This Row],[Cumulé 2023]])/TRJEANCLO[[#This Row],[Cumulé 2023]])</f>
        <v/>
      </c>
      <c r="I113" s="474" t="inlineStr">
        <is>
          <t>Mars</t>
        </is>
      </c>
      <c r="J113" s="87">
        <f>IF(DONNÉES!DS110="","",DONNÉES!DS110)</f>
        <v/>
      </c>
      <c r="K113" s="87">
        <f>IF(TRTHOMAS[[#This Row],[2024]]="","",DONNÉES!DT110)</f>
        <v/>
      </c>
      <c r="L113" s="102">
        <f>IF(TRTHOMAS[[#This Row],[2024]]="","",(TRTHOMAS[[#This Row],[2024]]-TRTHOMAS[[#This Row],[2023]])/TRTHOMAS[[#This Row],[2023]])</f>
        <v/>
      </c>
      <c r="M113" s="87">
        <f>IF(TRTHOMAS[[#This Row],[2024]]="","",TRTHOMAS[[#This Row],[2024]]+M112)</f>
        <v/>
      </c>
      <c r="N113" s="86">
        <f>IF(TRTHOMAS[[#This Row],[2024]]="","",+TRTHOMAS[[#This Row],[2023]]+N112)</f>
        <v/>
      </c>
      <c r="O113" s="103">
        <f>IF(TRTHOMAS[[#This Row],[Cumulé 2024]]="","",+(TRTHOMAS[[#This Row],[Cumulé 2024]]-TRTHOMAS[[#This Row],[Cumulé 2023]])/TRTHOMAS[[#This Row],[Cumulé 2023]])</f>
        <v/>
      </c>
    </row>
    <row r="114" ht="13.15" customHeight="1" s="161">
      <c r="A114" s="476" t="inlineStr">
        <is>
          <t>Avril</t>
        </is>
      </c>
      <c r="B114" s="87">
        <f>IF(DONNÉES!DK111="","",DONNÉES!DK111)</f>
        <v/>
      </c>
      <c r="C114" s="87">
        <f>IF(TRJEANCLO[[#This Row],[2024]]="","",DONNÉES!DL111)</f>
        <v/>
      </c>
      <c r="D114" s="102">
        <f>IF(TRJEANCLO[[#This Row],[2024]]="","",(TRJEANCLO[[#This Row],[2024]]-TRJEANCLO[[#This Row],[2023]])/TRJEANCLO[[#This Row],[2023]])</f>
        <v/>
      </c>
      <c r="E114" s="87">
        <f>IF(TRJEANCLO[[#This Row],[2024]]="","",TRJEANCLO[[#This Row],[2024]]+E113)</f>
        <v/>
      </c>
      <c r="F114" s="86">
        <f>IF(TRJEANCLO[[#This Row],[2024]]="","",+TRJEANCLO[[#This Row],[2023]]+F113)</f>
        <v/>
      </c>
      <c r="G114" s="103">
        <f>IF(TRJEANCLO[[#This Row],[Cumulé 2024]]="","",+(TRJEANCLO[[#This Row],[Cumulé 2024]]-TRJEANCLO[[#This Row],[Cumulé 2023]])/TRJEANCLO[[#This Row],[Cumulé 2023]])</f>
        <v/>
      </c>
      <c r="H114" s="474" t="n"/>
      <c r="I114" s="476" t="inlineStr">
        <is>
          <t>Avril</t>
        </is>
      </c>
      <c r="J114" s="87">
        <f>IF(DONNÉES!DS111="","",DONNÉES!DS111)</f>
        <v/>
      </c>
      <c r="K114" s="87">
        <f>IF(TRTHOMAS[[#This Row],[2024]]="","",DONNÉES!DT111)</f>
        <v/>
      </c>
      <c r="L114" s="102">
        <f>IF(TRTHOMAS[[#This Row],[2024]]="","",(TRTHOMAS[[#This Row],[2024]]-TRTHOMAS[[#This Row],[2023]])/TRTHOMAS[[#This Row],[2023]])</f>
        <v/>
      </c>
      <c r="M114" s="87">
        <f>IF(TRTHOMAS[[#This Row],[2024]]="","",TRTHOMAS[[#This Row],[2024]]+M113)</f>
        <v/>
      </c>
      <c r="N114" s="86">
        <f>IF(TRTHOMAS[[#This Row],[2024]]="","",+TRTHOMAS[[#This Row],[2023]]+N113)</f>
        <v/>
      </c>
      <c r="O114" s="103">
        <f>IF(TRTHOMAS[[#This Row],[Cumulé 2024]]="","",+(TRTHOMAS[[#This Row],[Cumulé 2024]]-TRTHOMAS[[#This Row],[Cumulé 2023]])/TRTHOMAS[[#This Row],[Cumulé 2023]])</f>
        <v/>
      </c>
    </row>
    <row r="115" ht="13.15" customHeight="1" s="161">
      <c r="A115" s="474" t="inlineStr">
        <is>
          <t>Mai</t>
        </is>
      </c>
      <c r="B115" s="87">
        <f>IF(DONNÉES!DK112="","",DONNÉES!DK112)</f>
        <v/>
      </c>
      <c r="C115" s="87">
        <f>IF(TRJEANCLO[[#This Row],[2024]]="","",DONNÉES!DL112)</f>
        <v/>
      </c>
      <c r="D115" s="102">
        <f>IF(TRJEANCLO[[#This Row],[2024]]="","",(TRJEANCLO[[#This Row],[2024]]-TRJEANCLO[[#This Row],[2023]])/TRJEANCLO[[#This Row],[2023]])</f>
        <v/>
      </c>
      <c r="E115" s="87">
        <f>IF(TRJEANCLO[[#This Row],[2024]]="","",TRJEANCLO[[#This Row],[2024]]+E114)</f>
        <v/>
      </c>
      <c r="F115" s="86">
        <f>IF(TRJEANCLO[[#This Row],[2024]]="","",+TRJEANCLO[[#This Row],[2023]]+F114)</f>
        <v/>
      </c>
      <c r="G115" s="103">
        <f>IF(TRJEANCLO[[#This Row],[Cumulé 2024]]="","",+(TRJEANCLO[[#This Row],[Cumulé 2024]]-TRJEANCLO[[#This Row],[Cumulé 2023]])/TRJEANCLO[[#This Row],[Cumulé 2023]])</f>
        <v/>
      </c>
      <c r="H115" s="474" t="n"/>
      <c r="I115" s="474" t="inlineStr">
        <is>
          <t>Mai</t>
        </is>
      </c>
      <c r="J115" s="87">
        <f>IF(DONNÉES!DS112="","",DONNÉES!DS112)</f>
        <v/>
      </c>
      <c r="K115" s="87">
        <f>IF(TRTHOMAS[[#This Row],[2024]]="","",DONNÉES!DT112)</f>
        <v/>
      </c>
      <c r="L115" s="102">
        <f>IF(TRTHOMAS[[#This Row],[2024]]="","",(TRTHOMAS[[#This Row],[2024]]-TRTHOMAS[[#This Row],[2023]])/TRTHOMAS[[#This Row],[2023]])</f>
        <v/>
      </c>
      <c r="M115" s="87">
        <f>IF(TRTHOMAS[[#This Row],[2024]]="","",TRTHOMAS[[#This Row],[2024]]+M114)</f>
        <v/>
      </c>
      <c r="N115" s="86">
        <f>IF(TRTHOMAS[[#This Row],[2024]]="","",+TRTHOMAS[[#This Row],[2023]]+N114)</f>
        <v/>
      </c>
      <c r="O115" s="103">
        <f>IF(TRTHOMAS[[#This Row],[Cumulé 2024]]="","",+(TRTHOMAS[[#This Row],[Cumulé 2024]]-TRTHOMAS[[#This Row],[Cumulé 2023]])/TRTHOMAS[[#This Row],[Cumulé 2023]])</f>
        <v/>
      </c>
    </row>
    <row r="116" ht="13.15" customHeight="1" s="161">
      <c r="A116" s="476" t="inlineStr">
        <is>
          <t>Juin</t>
        </is>
      </c>
      <c r="B116" s="87">
        <f>IF(DONNÉES!DK113="","",DONNÉES!DK113)</f>
        <v/>
      </c>
      <c r="C116" s="87">
        <f>IF(TRJEANCLO[[#This Row],[2024]]="","",DONNÉES!DL113)</f>
        <v/>
      </c>
      <c r="D116" s="102">
        <f>IF(TRJEANCLO[[#This Row],[2024]]="","",(TRJEANCLO[[#This Row],[2024]]-TRJEANCLO[[#This Row],[2023]])/TRJEANCLO[[#This Row],[2023]])</f>
        <v/>
      </c>
      <c r="E116" s="87">
        <f>IF(TRJEANCLO[[#This Row],[2024]]="","",TRJEANCLO[[#This Row],[2024]]+E115)</f>
        <v/>
      </c>
      <c r="F116" s="86">
        <f>IF(TRJEANCLO[[#This Row],[2024]]="","",+TRJEANCLO[[#This Row],[2023]]+F115)</f>
        <v/>
      </c>
      <c r="G116" s="103">
        <f>IF(TRJEANCLO[[#This Row],[Cumulé 2024]]="","",+(TRJEANCLO[[#This Row],[Cumulé 2024]]-TRJEANCLO[[#This Row],[Cumulé 2023]])/TRJEANCLO[[#This Row],[Cumulé 2023]])</f>
        <v/>
      </c>
      <c r="H116" s="474" t="n"/>
      <c r="I116" s="476" t="inlineStr">
        <is>
          <t>Juin</t>
        </is>
      </c>
      <c r="J116" s="87">
        <f>IF(DONNÉES!DS113="","",DONNÉES!DS113)</f>
        <v/>
      </c>
      <c r="K116" s="87">
        <f>IF(TRTHOMAS[[#This Row],[2024]]="","",DONNÉES!DT113)</f>
        <v/>
      </c>
      <c r="L116" s="102">
        <f>IF(TRTHOMAS[[#This Row],[2024]]="","",(TRTHOMAS[[#This Row],[2024]]-TRTHOMAS[[#This Row],[2023]])/TRTHOMAS[[#This Row],[2023]])</f>
        <v/>
      </c>
      <c r="M116" s="87">
        <f>IF(TRTHOMAS[[#This Row],[2024]]="","",TRTHOMAS[[#This Row],[2024]]+M115)</f>
        <v/>
      </c>
      <c r="N116" s="86">
        <f>IF(TRTHOMAS[[#This Row],[2024]]="","",+TRTHOMAS[[#This Row],[2023]]+N115)</f>
        <v/>
      </c>
      <c r="O116" s="103">
        <f>IF(TRTHOMAS[[#This Row],[Cumulé 2024]]="","",+(TRTHOMAS[[#This Row],[Cumulé 2024]]-TRTHOMAS[[#This Row],[Cumulé 2023]])/TRTHOMAS[[#This Row],[Cumulé 2023]])</f>
        <v/>
      </c>
    </row>
    <row r="117" ht="13.15" customHeight="1" s="161">
      <c r="A117" s="474" t="inlineStr">
        <is>
          <t>Juillet</t>
        </is>
      </c>
      <c r="B117" s="87">
        <f>IF(DONNÉES!DK114="","",DONNÉES!DK114)</f>
        <v/>
      </c>
      <c r="C117" s="87">
        <f>IF(TRJEANCLO[[#This Row],[2024]]="","",DONNÉES!DL114)</f>
        <v/>
      </c>
      <c r="D117" s="102">
        <f>IF(TRJEANCLO[[#This Row],[2024]]="","",(TRJEANCLO[[#This Row],[2024]]-TRJEANCLO[[#This Row],[2023]])/TRJEANCLO[[#This Row],[2023]])</f>
        <v/>
      </c>
      <c r="E117" s="87">
        <f>IF(TRJEANCLO[[#This Row],[2024]]="","",TRJEANCLO[[#This Row],[2024]]+E116)</f>
        <v/>
      </c>
      <c r="F117" s="86">
        <f>IF(TRJEANCLO[[#This Row],[2024]]="","",+TRJEANCLO[[#This Row],[2023]]+F116)</f>
        <v/>
      </c>
      <c r="G117" s="103">
        <f>IF(TRJEANCLO[[#This Row],[Cumulé 2024]]="","",+(TRJEANCLO[[#This Row],[Cumulé 2024]]-TRJEANCLO[[#This Row],[Cumulé 2023]])/TRJEANCLO[[#This Row],[Cumulé 2023]])</f>
        <v/>
      </c>
      <c r="H117" s="474" t="n"/>
      <c r="I117" s="474" t="inlineStr">
        <is>
          <t>Juillet</t>
        </is>
      </c>
      <c r="J117" s="87">
        <f>IF(DONNÉES!DS114="","",DONNÉES!DS114)</f>
        <v/>
      </c>
      <c r="K117" s="87">
        <f>IF(TRTHOMAS[[#This Row],[2024]]="","",DONNÉES!DT114)</f>
        <v/>
      </c>
      <c r="L117" s="102">
        <f>IF(TRTHOMAS[[#This Row],[2024]]="","",(TRTHOMAS[[#This Row],[2024]]-TRTHOMAS[[#This Row],[2023]])/TRTHOMAS[[#This Row],[2023]])</f>
        <v/>
      </c>
      <c r="M117" s="87">
        <f>IF(TRTHOMAS[[#This Row],[2024]]="","",TRTHOMAS[[#This Row],[2024]]+M116)</f>
        <v/>
      </c>
      <c r="N117" s="86">
        <f>IF(TRTHOMAS[[#This Row],[2024]]="","",+TRTHOMAS[[#This Row],[2023]]+N116)</f>
        <v/>
      </c>
      <c r="O117" s="103">
        <f>IF(TRTHOMAS[[#This Row],[Cumulé 2024]]="","",+(TRTHOMAS[[#This Row],[Cumulé 2024]]-TRTHOMAS[[#This Row],[Cumulé 2023]])/TRTHOMAS[[#This Row],[Cumulé 2023]])</f>
        <v/>
      </c>
    </row>
    <row r="118" ht="13.15" customHeight="1" s="161">
      <c r="A118" s="476" t="inlineStr">
        <is>
          <t>Août</t>
        </is>
      </c>
      <c r="B118" s="87">
        <f>IF(DONNÉES!DK115="","",DONNÉES!DK115)</f>
        <v/>
      </c>
      <c r="C118" s="87">
        <f>IF(TRJEANCLO[[#This Row],[2024]]="","",DONNÉES!DL115)</f>
        <v/>
      </c>
      <c r="D118" s="102">
        <f>IF(TRJEANCLO[[#This Row],[2024]]="","",(TRJEANCLO[[#This Row],[2024]]-TRJEANCLO[[#This Row],[2023]])/TRJEANCLO[[#This Row],[2023]])</f>
        <v/>
      </c>
      <c r="E118" s="87">
        <f>IF(TRJEANCLO[[#This Row],[2024]]="","",TRJEANCLO[[#This Row],[2024]]+E117)</f>
        <v/>
      </c>
      <c r="F118" s="86">
        <f>IF(TRJEANCLO[[#This Row],[2024]]="","",+TRJEANCLO[[#This Row],[2023]]+F117)</f>
        <v/>
      </c>
      <c r="G118" s="103">
        <f>IF(TRJEANCLO[[#This Row],[Cumulé 2024]]="","",+(TRJEANCLO[[#This Row],[Cumulé 2024]]-TRJEANCLO[[#This Row],[Cumulé 2023]])/TRJEANCLO[[#This Row],[Cumulé 2023]])</f>
        <v/>
      </c>
      <c r="H118" s="474" t="n"/>
      <c r="I118" s="476" t="inlineStr">
        <is>
          <t>Août</t>
        </is>
      </c>
      <c r="J118" s="87">
        <f>IF(DONNÉES!DS115="","",DONNÉES!DS115)</f>
        <v/>
      </c>
      <c r="K118" s="87">
        <f>IF(TRTHOMAS[[#This Row],[2024]]="","",DONNÉES!DT115)</f>
        <v/>
      </c>
      <c r="L118" s="102">
        <f>IF(TRTHOMAS[[#This Row],[2024]]="","",(TRTHOMAS[[#This Row],[2024]]-TRTHOMAS[[#This Row],[2023]])/TRTHOMAS[[#This Row],[2023]])</f>
        <v/>
      </c>
      <c r="M118" s="87">
        <f>IF(TRTHOMAS[[#This Row],[2024]]="","",TRTHOMAS[[#This Row],[2024]]+M117)</f>
        <v/>
      </c>
      <c r="N118" s="86">
        <f>IF(TRTHOMAS[[#This Row],[2024]]="","",+TRTHOMAS[[#This Row],[2023]]+N117)</f>
        <v/>
      </c>
      <c r="O118" s="103">
        <f>IF(TRTHOMAS[[#This Row],[Cumulé 2024]]="","",+(TRTHOMAS[[#This Row],[Cumulé 2024]]-TRTHOMAS[[#This Row],[Cumulé 2023]])/TRTHOMAS[[#This Row],[Cumulé 2023]])</f>
        <v/>
      </c>
    </row>
    <row r="119" ht="13.15" customHeight="1" s="161">
      <c r="A119" s="474" t="inlineStr">
        <is>
          <t>Septembre</t>
        </is>
      </c>
      <c r="B119" s="87">
        <f>IF(DONNÉES!DK116="","",DONNÉES!DK116)</f>
        <v/>
      </c>
      <c r="C119" s="87">
        <f>IF(TRJEANCLO[[#This Row],[2024]]="","",DONNÉES!DL116)</f>
        <v/>
      </c>
      <c r="D119" s="103">
        <f>IF(TRJEANCLO[[#This Row],[2024]]="","",(TRJEANCLO[[#This Row],[2024]]-TRJEANCLO[[#This Row],[2023]])/TRJEANCLO[[#This Row],[2023]])</f>
        <v/>
      </c>
      <c r="E119" s="87">
        <f>IF(TRJEANCLO[[#This Row],[2024]]="","",TRJEANCLO[[#This Row],[2024]]+E118)</f>
        <v/>
      </c>
      <c r="F119" s="86">
        <f>IF(TRJEANCLO[[#This Row],[2024]]="","",+TRJEANCLO[[#This Row],[2023]]+F118)</f>
        <v/>
      </c>
      <c r="G119" s="103">
        <f>IF(TRJEANCLO[[#This Row],[Cumulé 2024]]="","",+(TRJEANCLO[[#This Row],[Cumulé 2024]]-TRJEANCLO[[#This Row],[Cumulé 2023]])/TRJEANCLO[[#This Row],[Cumulé 2023]])</f>
        <v/>
      </c>
      <c r="I119" s="474" t="inlineStr">
        <is>
          <t>Septembre</t>
        </is>
      </c>
      <c r="J119" s="87">
        <f>IF(DONNÉES!DS116="","",DONNÉES!DS116)</f>
        <v/>
      </c>
      <c r="K119" s="87">
        <f>IF(TRTHOMAS[[#This Row],[2024]]="","",DONNÉES!DT116)</f>
        <v/>
      </c>
      <c r="L119" s="103">
        <f>IF(TRTHOMAS[[#This Row],[2024]]="","",(TRTHOMAS[[#This Row],[2024]]-TRTHOMAS[[#This Row],[2023]])/TRTHOMAS[[#This Row],[2023]])</f>
        <v/>
      </c>
      <c r="M119" s="87">
        <f>IF(TRTHOMAS[[#This Row],[2024]]="","",TRTHOMAS[[#This Row],[2024]]+M118)</f>
        <v/>
      </c>
      <c r="N119" s="86">
        <f>IF(TRTHOMAS[[#This Row],[2024]]="","",+TRTHOMAS[[#This Row],[2023]]+N118)</f>
        <v/>
      </c>
      <c r="O119" s="103">
        <f>IF(TRTHOMAS[[#This Row],[Cumulé 2024]]="","",+(TRTHOMAS[[#This Row],[Cumulé 2024]]-TRTHOMAS[[#This Row],[Cumulé 2023]])/TRTHOMAS[[#This Row],[Cumulé 2023]])</f>
        <v/>
      </c>
    </row>
    <row r="120" ht="13.15" customHeight="1" s="161">
      <c r="A120" s="476" t="inlineStr">
        <is>
          <t>Octobre</t>
        </is>
      </c>
      <c r="B120" s="87">
        <f>IF(DONNÉES!DK117="","",DONNÉES!DK117)</f>
        <v/>
      </c>
      <c r="C120" s="87">
        <f>IF(TRJEANCLO[[#This Row],[2024]]="","",DONNÉES!DL117)</f>
        <v/>
      </c>
      <c r="D120" s="103">
        <f>IF(TRJEANCLO[[#This Row],[2024]]="","",(TRJEANCLO[[#This Row],[2024]]-TRJEANCLO[[#This Row],[2023]])/TRJEANCLO[[#This Row],[2023]])</f>
        <v/>
      </c>
      <c r="E120" s="87">
        <f>IF(TRJEANCLO[[#This Row],[2024]]="","",TRJEANCLO[[#This Row],[2024]]+E119)</f>
        <v/>
      </c>
      <c r="F120" s="86">
        <f>IF(TRJEANCLO[[#This Row],[2024]]="","",+TRJEANCLO[[#This Row],[2023]]+F119)</f>
        <v/>
      </c>
      <c r="G120" s="103">
        <f>IF(TRJEANCLO[[#This Row],[Cumulé 2024]]="","",+(TRJEANCLO[[#This Row],[Cumulé 2024]]-TRJEANCLO[[#This Row],[Cumulé 2023]])/TRJEANCLO[[#This Row],[Cumulé 2023]])</f>
        <v/>
      </c>
      <c r="I120" s="476" t="inlineStr">
        <is>
          <t>Octobre</t>
        </is>
      </c>
      <c r="J120" s="87">
        <f>IF(DONNÉES!DS117="","",DONNÉES!DS117)</f>
        <v/>
      </c>
      <c r="K120" s="87">
        <f>IF(TRTHOMAS[[#This Row],[2024]]="","",DONNÉES!DT117)</f>
        <v/>
      </c>
      <c r="L120" s="103">
        <f>IF(TRTHOMAS[[#This Row],[2024]]="","",(TRTHOMAS[[#This Row],[2024]]-TRTHOMAS[[#This Row],[2023]])/TRTHOMAS[[#This Row],[2023]])</f>
        <v/>
      </c>
      <c r="M120" s="87">
        <f>IF(TRTHOMAS[[#This Row],[2024]]="","",TRTHOMAS[[#This Row],[2024]]+M119)</f>
        <v/>
      </c>
      <c r="N120" s="86">
        <f>IF(TRTHOMAS[[#This Row],[2024]]="","",+TRTHOMAS[[#This Row],[2023]]+N119)</f>
        <v/>
      </c>
      <c r="O120" s="103">
        <f>IF(TRTHOMAS[[#This Row],[Cumulé 2024]]="","",+(TRTHOMAS[[#This Row],[Cumulé 2024]]-TRTHOMAS[[#This Row],[Cumulé 2023]])/TRTHOMAS[[#This Row],[Cumulé 2023]])</f>
        <v/>
      </c>
    </row>
    <row r="121" ht="13.15" customHeight="1" s="161">
      <c r="A121" s="474" t="inlineStr">
        <is>
          <t>Novembre</t>
        </is>
      </c>
      <c r="B121" s="87">
        <f>IF(DONNÉES!DK118="","",DONNÉES!DK118)</f>
        <v/>
      </c>
      <c r="C121" s="87">
        <f>IF(TRJEANCLO[[#This Row],[2024]]="","",DONNÉES!DL118)</f>
        <v/>
      </c>
      <c r="D121" s="103">
        <f>IF(TRJEANCLO[[#This Row],[2024]]="","",(TRJEANCLO[[#This Row],[2024]]-TRJEANCLO[[#This Row],[2023]])/TRJEANCLO[[#This Row],[2023]])</f>
        <v/>
      </c>
      <c r="E121" s="87">
        <f>IF(TRJEANCLO[[#This Row],[2024]]="","",TRJEANCLO[[#This Row],[2024]]+E120)</f>
        <v/>
      </c>
      <c r="F121" s="86">
        <f>IF(TRJEANCLO[[#This Row],[2024]]="","",+TRJEANCLO[[#This Row],[2023]]+F120)</f>
        <v/>
      </c>
      <c r="G121" s="103">
        <f>IF(TRJEANCLO[[#This Row],[Cumulé 2024]]="","",+(TRJEANCLO[[#This Row],[Cumulé 2024]]-TRJEANCLO[[#This Row],[Cumulé 2023]])/TRJEANCLO[[#This Row],[Cumulé 2023]])</f>
        <v/>
      </c>
      <c r="I121" s="474" t="inlineStr">
        <is>
          <t>Novembre</t>
        </is>
      </c>
      <c r="J121" s="87">
        <f>IF(DONNÉES!DS118="","",DONNÉES!DS118)</f>
        <v/>
      </c>
      <c r="K121" s="87">
        <f>IF(TRTHOMAS[[#This Row],[2024]]="","",DONNÉES!DT118)</f>
        <v/>
      </c>
      <c r="L121" s="103">
        <f>IF(TRTHOMAS[[#This Row],[2024]]="","",(TRTHOMAS[[#This Row],[2024]]-TRTHOMAS[[#This Row],[2023]])/TRTHOMAS[[#This Row],[2023]])</f>
        <v/>
      </c>
      <c r="M121" s="87">
        <f>IF(TRTHOMAS[[#This Row],[2024]]="","",TRTHOMAS[[#This Row],[2024]]+M120)</f>
        <v/>
      </c>
      <c r="N121" s="86">
        <f>IF(TRTHOMAS[[#This Row],[2024]]="","",+TRTHOMAS[[#This Row],[2023]]+N120)</f>
        <v/>
      </c>
      <c r="O121" s="103">
        <f>IF(TRTHOMAS[[#This Row],[Cumulé 2024]]="","",+(TRTHOMAS[[#This Row],[Cumulé 2024]]-TRTHOMAS[[#This Row],[Cumulé 2023]])/TRTHOMAS[[#This Row],[Cumulé 2023]])</f>
        <v/>
      </c>
    </row>
    <row r="122" ht="13.15" customHeight="1" s="161">
      <c r="A122" s="474" t="inlineStr">
        <is>
          <t>Décembre</t>
        </is>
      </c>
      <c r="B122" s="87">
        <f>IF(DONNÉES!DK119="","",DONNÉES!DK119)</f>
        <v/>
      </c>
      <c r="C122" s="87">
        <f>IF(TRJEANCLO[[#This Row],[2024]]="","",DONNÉES!DL119)</f>
        <v/>
      </c>
      <c r="D122" s="103">
        <f>IF(TRJEANCLO[[#This Row],[2024]]="","",(TRJEANCLO[[#This Row],[2024]]-TRJEANCLO[[#This Row],[2023]])/TRJEANCLO[[#This Row],[2023]])</f>
        <v/>
      </c>
      <c r="E122" s="87">
        <f>IF(TRJEANCLO[[#This Row],[2024]]="","",TRJEANCLO[[#This Row],[2024]]+E121)</f>
        <v/>
      </c>
      <c r="F122" s="86">
        <f>IF(TRJEANCLO[[#This Row],[2024]]="","",+TRJEANCLO[[#This Row],[2023]]+F121)</f>
        <v/>
      </c>
      <c r="G122" s="103">
        <f>IF(TRJEANCLO[[#This Row],[Cumulé 2024]]="","",+(TRJEANCLO[[#This Row],[Cumulé 2024]]-TRJEANCLO[[#This Row],[Cumulé 2023]])/TRJEANCLO[[#This Row],[Cumulé 2023]])</f>
        <v/>
      </c>
      <c r="I122" s="474" t="inlineStr">
        <is>
          <t>Décembre</t>
        </is>
      </c>
      <c r="J122" s="87">
        <f>IF(DONNÉES!DS119="","",DONNÉES!DS119)</f>
        <v/>
      </c>
      <c r="K122" s="87">
        <f>IF(TRTHOMAS[[#This Row],[2024]]="","",DONNÉES!DT119)</f>
        <v/>
      </c>
      <c r="L122" s="103">
        <f>IF(TRTHOMAS[[#This Row],[2024]]="","",(TRTHOMAS[[#This Row],[2024]]-TRTHOMAS[[#This Row],[2023]])/TRTHOMAS[[#This Row],[2023]])</f>
        <v/>
      </c>
      <c r="M122" s="87">
        <f>IF(TRTHOMAS[[#This Row],[2024]]="","",TRTHOMAS[[#This Row],[2024]]+M121)</f>
        <v/>
      </c>
      <c r="N122" s="86">
        <f>IF(TRTHOMAS[[#This Row],[2024]]="","",+TRTHOMAS[[#This Row],[2023]]+N121)</f>
        <v/>
      </c>
      <c r="O122" s="103">
        <f>IF(TRTHOMAS[[#This Row],[Cumulé 2024]]="","",+(TRTHOMAS[[#This Row],[Cumulé 2024]]-TRTHOMAS[[#This Row],[Cumulé 2023]])/TRTHOMAS[[#This Row],[Cumulé 2023]])</f>
        <v/>
      </c>
    </row>
    <row r="123" ht="16.9" customHeight="1" s="161">
      <c r="A123" s="354" t="inlineStr">
        <is>
          <t xml:space="preserve">  TOTAL  </t>
        </is>
      </c>
      <c r="B123" s="76">
        <f>SUBTOTAL(109,TRJEANCLO[2024])</f>
        <v/>
      </c>
      <c r="C123" s="76">
        <f>SUBTOTAL(109,TRJEANCLO[2023])</f>
        <v/>
      </c>
      <c r="D123" s="105" t="n"/>
      <c r="E123" s="88" t="n"/>
      <c r="F123" s="76" t="n"/>
      <c r="G123" s="105" t="n"/>
      <c r="I123" s="354" t="inlineStr">
        <is>
          <t xml:space="preserve">  TOTAL  </t>
        </is>
      </c>
      <c r="J123" s="76">
        <f>SUBTOTAL(109,TRTHOMAS[2024])</f>
        <v/>
      </c>
      <c r="K123" s="76">
        <f>SUBTOTAL(109,TRTHOMAS[2023])</f>
        <v/>
      </c>
      <c r="L123" s="105" t="n"/>
      <c r="M123" s="88" t="n"/>
      <c r="N123" s="76" t="n"/>
    </row>
    <row r="124" ht="30.6" customHeight="1" s="161">
      <c r="M124" s="84" t="n"/>
    </row>
    <row r="125" ht="33" customHeight="1" s="161">
      <c r="A125" s="474" t="inlineStr">
        <is>
          <t>GLOBAL</t>
        </is>
      </c>
      <c r="B125" s="94" t="inlineStr">
        <is>
          <t>2024</t>
        </is>
      </c>
      <c r="C125" s="94" t="inlineStr">
        <is>
          <t>2023</t>
        </is>
      </c>
      <c r="D125" s="100" t="inlineStr">
        <is>
          <t>Variat.</t>
        </is>
      </c>
      <c r="E125" s="95" t="inlineStr">
        <is>
          <t>Cumulé 2024</t>
        </is>
      </c>
      <c r="F125" s="95" t="inlineStr">
        <is>
          <t>Cumulé 2023</t>
        </is>
      </c>
      <c r="G125" s="100" t="inlineStr">
        <is>
          <t>Cumulé variat.</t>
        </is>
      </c>
    </row>
    <row r="126" ht="13.15" customHeight="1" s="161">
      <c r="A126" s="476" t="inlineStr">
        <is>
          <t>Janvier</t>
        </is>
      </c>
      <c r="B126" s="87">
        <f>IF(DONNÉES!C108="","",DONNÉES!C108)</f>
        <v/>
      </c>
      <c r="C126" s="87">
        <f>IF(TRGLOBAL[[#This Row],[2024]]="","",DONNÉES!D108)</f>
        <v/>
      </c>
      <c r="D126" s="102">
        <f>IF(TRGLOBAL[[#This Row],[2024]]="","",(TRGLOBAL[[#This Row],[2024]]-TRGLOBAL[[#This Row],[2023]])/TRGLOBAL[[#This Row],[2023]])</f>
        <v/>
      </c>
      <c r="E126" s="87">
        <f>IF(TRGLOBAL[[#This Row],[2024]]="","",TRGLOBAL[[#This Row],[2024]])</f>
        <v/>
      </c>
      <c r="F126" s="86">
        <f>IF(TRGLOBAL[[#This Row],[2024]]="","",+TRGLOBAL[[#This Row],[2023]])</f>
        <v/>
      </c>
      <c r="G126" s="103">
        <f>IF(TRGLOBAL[[#This Row],[Cumulé 2024]]="","",+(TRGLOBAL[[#This Row],[Cumulé 2024]]-TRGLOBAL[[#This Row],[Cumulé 2023]])/TRGLOBAL[[#This Row],[Cumulé 2023]])</f>
        <v/>
      </c>
      <c r="H126" s="83" t="n"/>
    </row>
    <row r="127" ht="13.15" customHeight="1" s="161">
      <c r="A127" s="476" t="inlineStr">
        <is>
          <t>Février</t>
        </is>
      </c>
      <c r="B127" s="87">
        <f>IF(DONNÉES!C109="","",DONNÉES!C109)</f>
        <v/>
      </c>
      <c r="C127" s="87">
        <f>IF(TRGLOBAL[[#This Row],[2024]]="","",DONNÉES!D109)</f>
        <v/>
      </c>
      <c r="D127" s="102">
        <f>IF(TRGLOBAL[[#This Row],[2024]]="","",(TRGLOBAL[[#This Row],[2024]]-TRGLOBAL[[#This Row],[2023]])/TRGLOBAL[[#This Row],[2023]])</f>
        <v/>
      </c>
      <c r="E127" s="87">
        <f>IF(TRGLOBAL[[#This Row],[2024]]="","",TRGLOBAL[[#This Row],[2024]]+E126)</f>
        <v/>
      </c>
      <c r="F127" s="86">
        <f>IF(TRGLOBAL[[#This Row],[2024]]="","",+TRGLOBAL[[#This Row],[2023]]+F126)</f>
        <v/>
      </c>
      <c r="G127" s="103">
        <f>IF(TRGLOBAL[[#This Row],[Cumulé 2024]]="","",+(TRGLOBAL[[#This Row],[Cumulé 2024]]-TRGLOBAL[[#This Row],[Cumulé 2023]])/TRGLOBAL[[#This Row],[Cumulé 2023]])</f>
        <v/>
      </c>
    </row>
    <row r="128" ht="13.15" customHeight="1" s="161">
      <c r="A128" s="474" t="inlineStr">
        <is>
          <t>Mars</t>
        </is>
      </c>
      <c r="B128" s="87">
        <f>IF(DONNÉES!C110="","",DONNÉES!C110)</f>
        <v/>
      </c>
      <c r="C128" s="87">
        <f>IF(TRGLOBAL[[#This Row],[2024]]="","",DONNÉES!D110)</f>
        <v/>
      </c>
      <c r="D128" s="102">
        <f>IF(TRGLOBAL[[#This Row],[2024]]="","",(TRGLOBAL[[#This Row],[2024]]-TRGLOBAL[[#This Row],[2023]])/TRGLOBAL[[#This Row],[2023]])</f>
        <v/>
      </c>
      <c r="E128" s="87">
        <f>IF(TRGLOBAL[[#This Row],[2024]]="","",TRGLOBAL[[#This Row],[2024]]+E127)</f>
        <v/>
      </c>
      <c r="F128" s="86">
        <f>IF(TRGLOBAL[[#This Row],[2024]]="","",+TRGLOBAL[[#This Row],[2023]]+F127)</f>
        <v/>
      </c>
      <c r="G128" s="103">
        <f>IF(TRGLOBAL[[#This Row],[Cumulé 2024]]="","",+(TRGLOBAL[[#This Row],[Cumulé 2024]]-TRGLOBAL[[#This Row],[Cumulé 2023]])/TRGLOBAL[[#This Row],[Cumulé 2023]])</f>
        <v/>
      </c>
    </row>
    <row r="129" ht="13.15" customHeight="1" s="161">
      <c r="A129" s="476" t="inlineStr">
        <is>
          <t>Avril</t>
        </is>
      </c>
      <c r="B129" s="258">
        <f>IF(DONNÉES!C111="","",DONNÉES!C111)</f>
        <v/>
      </c>
      <c r="C129" s="258">
        <f>IF(TRGLOBAL[[#This Row],[2024]]="","",DONNÉES!D111)</f>
        <v/>
      </c>
      <c r="D129" s="102">
        <f>IF(TRGLOBAL[[#This Row],[2024]]="","",(TRGLOBAL[[#This Row],[2024]]-TRGLOBAL[[#This Row],[2023]])/TRGLOBAL[[#This Row],[2023]])</f>
        <v/>
      </c>
      <c r="E129" s="87">
        <f>IF(TRGLOBAL[[#This Row],[2024]]="","",TRGLOBAL[[#This Row],[2024]]+E128)</f>
        <v/>
      </c>
      <c r="F129" s="86">
        <f>IF(TRGLOBAL[[#This Row],[2024]]="","",+TRGLOBAL[[#This Row],[2023]]+F128)</f>
        <v/>
      </c>
      <c r="G129" s="103">
        <f>IF(TRGLOBAL[[#This Row],[Cumulé 2024]]="","",+(TRGLOBAL[[#This Row],[Cumulé 2024]]-TRGLOBAL[[#This Row],[Cumulé 2023]])/TRGLOBAL[[#This Row],[Cumulé 2023]])</f>
        <v/>
      </c>
    </row>
    <row r="130" ht="13.15" customHeight="1" s="161">
      <c r="A130" s="474" t="inlineStr">
        <is>
          <t>Mai</t>
        </is>
      </c>
      <c r="B130" s="258">
        <f>IF(DONNÉES!C112="","",DONNÉES!C112)</f>
        <v/>
      </c>
      <c r="C130" s="258">
        <f>IF(TRGLOBAL[[#This Row],[2024]]="","",DONNÉES!D112)</f>
        <v/>
      </c>
      <c r="D130" s="102">
        <f>IF(TRGLOBAL[[#This Row],[2024]]="","",(TRGLOBAL[[#This Row],[2024]]-TRGLOBAL[[#This Row],[2023]])/TRGLOBAL[[#This Row],[2023]])</f>
        <v/>
      </c>
      <c r="E130" s="87">
        <f>IF(TRGLOBAL[[#This Row],[2024]]="","",TRGLOBAL[[#This Row],[2024]]+E129)</f>
        <v/>
      </c>
      <c r="F130" s="86">
        <f>IF(TRGLOBAL[[#This Row],[2024]]="","",+TRGLOBAL[[#This Row],[2023]]+F129)</f>
        <v/>
      </c>
      <c r="G130" s="103">
        <f>IF(TRGLOBAL[[#This Row],[Cumulé 2024]]="","",+(TRGLOBAL[[#This Row],[Cumulé 2024]]-TRGLOBAL[[#This Row],[Cumulé 2023]])/TRGLOBAL[[#This Row],[Cumulé 2023]])</f>
        <v/>
      </c>
    </row>
    <row r="131" ht="13.15" customHeight="1" s="161">
      <c r="A131" s="476" t="inlineStr">
        <is>
          <t>Juin</t>
        </is>
      </c>
      <c r="B131" s="258">
        <f>IF(DONNÉES!C113="","",DONNÉES!C113)</f>
        <v/>
      </c>
      <c r="C131" s="258">
        <f>IF(TRGLOBAL[[#This Row],[2024]]="","",DONNÉES!D113)</f>
        <v/>
      </c>
      <c r="D131" s="102">
        <f>IF(TRGLOBAL[[#This Row],[2024]]="","",(TRGLOBAL[[#This Row],[2024]]-TRGLOBAL[[#This Row],[2023]])/TRGLOBAL[[#This Row],[2023]])</f>
        <v/>
      </c>
      <c r="E131" s="87">
        <f>IF(TRGLOBAL[[#This Row],[2024]]="","",TRGLOBAL[[#This Row],[2024]]+E130)</f>
        <v/>
      </c>
      <c r="F131" s="86">
        <f>IF(TRGLOBAL[[#This Row],[2024]]="","",+TRGLOBAL[[#This Row],[2023]]+F130)</f>
        <v/>
      </c>
      <c r="G131" s="103">
        <f>IF(TRGLOBAL[[#This Row],[Cumulé 2024]]="","",+(TRGLOBAL[[#This Row],[Cumulé 2024]]-TRGLOBAL[[#This Row],[Cumulé 2023]])/TRGLOBAL[[#This Row],[Cumulé 2023]])</f>
        <v/>
      </c>
    </row>
    <row r="132" ht="13.15" customHeight="1" s="161">
      <c r="A132" s="474" t="inlineStr">
        <is>
          <t>Juillet</t>
        </is>
      </c>
      <c r="B132" s="258">
        <f>IF(DONNÉES!C114="","",DONNÉES!C114)</f>
        <v/>
      </c>
      <c r="C132" s="258">
        <f>IF(TRGLOBAL[[#This Row],[2024]]="","",DONNÉES!D114)</f>
        <v/>
      </c>
      <c r="D132" s="102">
        <f>IF(TRGLOBAL[[#This Row],[2024]]="","",(TRGLOBAL[[#This Row],[2024]]-TRGLOBAL[[#This Row],[2023]])/TRGLOBAL[[#This Row],[2023]])</f>
        <v/>
      </c>
      <c r="E132" s="87">
        <f>IF(TRGLOBAL[[#This Row],[2024]]="","",TRGLOBAL[[#This Row],[2024]]+E131)</f>
        <v/>
      </c>
      <c r="F132" s="86">
        <f>IF(TRGLOBAL[[#This Row],[2024]]="","",+TRGLOBAL[[#This Row],[2023]]+F131)</f>
        <v/>
      </c>
      <c r="G132" s="103">
        <f>IF(TRGLOBAL[[#This Row],[Cumulé 2024]]="","",+(TRGLOBAL[[#This Row],[Cumulé 2024]]-TRGLOBAL[[#This Row],[Cumulé 2023]])/TRGLOBAL[[#This Row],[Cumulé 2023]])</f>
        <v/>
      </c>
    </row>
    <row r="133" ht="13.15" customHeight="1" s="161">
      <c r="A133" s="476" t="inlineStr">
        <is>
          <t>Août</t>
        </is>
      </c>
      <c r="B133" s="258">
        <f>IF(DONNÉES!C115="","",DONNÉES!C115)</f>
        <v/>
      </c>
      <c r="C133" s="258">
        <f>IF(TRGLOBAL[[#This Row],[2024]]="","",DONNÉES!D115)</f>
        <v/>
      </c>
      <c r="D133" s="102">
        <f>IF(TRGLOBAL[[#This Row],[2024]]="","",(TRGLOBAL[[#This Row],[2024]]-TRGLOBAL[[#This Row],[2023]])/TRGLOBAL[[#This Row],[2023]])</f>
        <v/>
      </c>
      <c r="E133" s="87">
        <f>IF(TRGLOBAL[[#This Row],[2024]]="","",TRGLOBAL[[#This Row],[2024]]+E132)</f>
        <v/>
      </c>
      <c r="F133" s="86">
        <f>IF(TRGLOBAL[[#This Row],[2024]]="","",+TRGLOBAL[[#This Row],[2023]]+F132)</f>
        <v/>
      </c>
      <c r="G133" s="103">
        <f>IF(TRGLOBAL[[#This Row],[Cumulé 2024]]="","",+(TRGLOBAL[[#This Row],[Cumulé 2024]]-TRGLOBAL[[#This Row],[Cumulé 2023]])/TRGLOBAL[[#This Row],[Cumulé 2023]])</f>
        <v/>
      </c>
    </row>
    <row r="134" ht="13.15" customHeight="1" s="161">
      <c r="A134" s="474" t="inlineStr">
        <is>
          <t>Septembre</t>
        </is>
      </c>
      <c r="B134" s="258">
        <f>IF(DONNÉES!C116="","",DONNÉES!C116)</f>
        <v/>
      </c>
      <c r="C134" s="258">
        <f>IF(TRGLOBAL[[#This Row],[2024]]="","",DONNÉES!D116)</f>
        <v/>
      </c>
      <c r="D134" s="103">
        <f>IF(TRGLOBAL[[#This Row],[2024]]="","",(TRGLOBAL[[#This Row],[2024]]-TRGLOBAL[[#This Row],[2023]])/TRGLOBAL[[#This Row],[2023]])</f>
        <v/>
      </c>
      <c r="E134" s="87">
        <f>IF(TRGLOBAL[[#This Row],[2024]]="","",TRGLOBAL[[#This Row],[2024]]+E133)</f>
        <v/>
      </c>
      <c r="F134" s="86">
        <f>IF(TRGLOBAL[[#This Row],[2024]]="","",+TRGLOBAL[[#This Row],[2023]]+F133)</f>
        <v/>
      </c>
      <c r="G134" s="103">
        <f>IF(TRGLOBAL[[#This Row],[Cumulé 2024]]="","",+(TRGLOBAL[[#This Row],[Cumulé 2024]]-TRGLOBAL[[#This Row],[Cumulé 2023]])/TRGLOBAL[[#This Row],[Cumulé 2023]])</f>
        <v/>
      </c>
    </row>
    <row r="135" ht="13.15" customHeight="1" s="161">
      <c r="A135" s="476" t="inlineStr">
        <is>
          <t>Octobre</t>
        </is>
      </c>
      <c r="B135" s="258">
        <f>IF(DONNÉES!C117="","",DONNÉES!C117)</f>
        <v/>
      </c>
      <c r="C135" s="258">
        <f>IF(TRGLOBAL[[#This Row],[2024]]="","",DONNÉES!D117)</f>
        <v/>
      </c>
      <c r="D135" s="103">
        <f>IF(TRGLOBAL[[#This Row],[2024]]="","",(TRGLOBAL[[#This Row],[2024]]-TRGLOBAL[[#This Row],[2023]])/TRGLOBAL[[#This Row],[2023]])</f>
        <v/>
      </c>
      <c r="E135" s="87">
        <f>IF(TRGLOBAL[[#This Row],[2024]]="","",TRGLOBAL[[#This Row],[2024]]+E134)</f>
        <v/>
      </c>
      <c r="F135" s="86">
        <f>IF(TRGLOBAL[[#This Row],[2024]]="","",+TRGLOBAL[[#This Row],[2023]]+F134)</f>
        <v/>
      </c>
      <c r="G135" s="103">
        <f>IF(TRGLOBAL[[#This Row],[Cumulé 2024]]="","",+(TRGLOBAL[[#This Row],[Cumulé 2024]]-TRGLOBAL[[#This Row],[Cumulé 2023]])/TRGLOBAL[[#This Row],[Cumulé 2023]])</f>
        <v/>
      </c>
    </row>
    <row r="136" ht="13.15" customHeight="1" s="161">
      <c r="A136" s="474" t="inlineStr">
        <is>
          <t>Novembre</t>
        </is>
      </c>
      <c r="B136" s="258">
        <f>IF(DONNÉES!C118="","",DONNÉES!C118)</f>
        <v/>
      </c>
      <c r="C136" s="258">
        <f>IF(TRGLOBAL[[#This Row],[2024]]="","",DONNÉES!D118)</f>
        <v/>
      </c>
      <c r="D136" s="103">
        <f>IF(TRGLOBAL[[#This Row],[2024]]="","",(TRGLOBAL[[#This Row],[2024]]-TRGLOBAL[[#This Row],[2023]])/TRGLOBAL[[#This Row],[2023]])</f>
        <v/>
      </c>
      <c r="E136" s="87">
        <f>IF(TRGLOBAL[[#This Row],[2024]]="","",TRGLOBAL[[#This Row],[2024]]+E135)</f>
        <v/>
      </c>
      <c r="F136" s="86">
        <f>IF(TRGLOBAL[[#This Row],[2024]]="","",+TRGLOBAL[[#This Row],[2023]]+F135)</f>
        <v/>
      </c>
      <c r="G136" s="103">
        <f>IF(TRGLOBAL[[#This Row],[Cumulé 2024]]="","",+(TRGLOBAL[[#This Row],[Cumulé 2024]]-TRGLOBAL[[#This Row],[Cumulé 2023]])/TRGLOBAL[[#This Row],[Cumulé 2023]])</f>
        <v/>
      </c>
    </row>
    <row r="137" ht="13.15" customHeight="1" s="161">
      <c r="A137" s="474" t="inlineStr">
        <is>
          <t>Décembre</t>
        </is>
      </c>
      <c r="B137" s="258">
        <f>IF(DONNÉES!C119="","",DONNÉES!C119)</f>
        <v/>
      </c>
      <c r="C137" s="258">
        <f>IF(TRGLOBAL[[#This Row],[2024]]="","",DONNÉES!D119)</f>
        <v/>
      </c>
      <c r="D137" s="103">
        <f>IF(TRGLOBAL[[#This Row],[2024]]="","",(TRGLOBAL[[#This Row],[2024]]-TRGLOBAL[[#This Row],[2023]])/TRGLOBAL[[#This Row],[2023]])</f>
        <v/>
      </c>
      <c r="E137" s="87">
        <f>IF(TRGLOBAL[[#This Row],[2024]]="","",TRGLOBAL[[#This Row],[2024]]+E136)</f>
        <v/>
      </c>
      <c r="F137" s="86">
        <f>IF(TRGLOBAL[[#This Row],[2024]]="","",+TRGLOBAL[[#This Row],[2023]]+F136)</f>
        <v/>
      </c>
      <c r="G137" s="103">
        <f>IF(TRGLOBAL[[#This Row],[Cumulé 2024]]="","",+(TRGLOBAL[[#This Row],[Cumulé 2024]]-TRGLOBAL[[#This Row],[Cumulé 2023]])/TRGLOBAL[[#This Row],[Cumulé 2023]])</f>
        <v/>
      </c>
    </row>
    <row r="138" ht="16.9" customHeight="1" s="161">
      <c r="A138" s="354" t="inlineStr">
        <is>
          <t xml:space="preserve">  TOTAL  </t>
        </is>
      </c>
      <c r="B138" s="76">
        <f>SUBTOTAL(109,TRGLOBAL[2024])</f>
        <v/>
      </c>
      <c r="C138" s="76">
        <f>SUBTOTAL(109,TRGLOBAL[2023])</f>
        <v/>
      </c>
      <c r="D138" s="105" t="n"/>
      <c r="E138" s="88" t="n"/>
      <c r="F138" s="76" t="n"/>
    </row>
    <row r="146">
      <c r="F146" s="83" t="n"/>
      <c r="I146" s="83" t="n"/>
      <c r="J146" s="83" t="n"/>
      <c r="K146" s="83" t="n"/>
    </row>
  </sheetData>
  <mergeCells count="1">
    <mergeCell ref="A3:O3"/>
  </mergeCells>
  <pageMargins left="0.7086614173228347" right="0.7086614173228347" top="0.7480314960629921" bottom="0.7480314960629921" header="0.3149606299212598" footer="0.3149606299212598"/>
  <pageSetup orientation="portrait" paperSize="9" scale="55" fitToHeight="2"/>
  <headerFooter>
    <oddHeader/>
    <oddFooter>&amp;C&amp;"Helv,Gras"&amp;11 Page &amp;P / &amp;N</oddFooter>
    <evenHeader/>
    <evenFooter/>
    <firstHeader/>
    <firstFooter/>
  </headerFooter>
  <rowBreaks count="1" manualBreakCount="1">
    <brk id="78" min="0" max="16383" man="1"/>
  </rowBreaks>
  <drawing xmlns:r="http://schemas.openxmlformats.org/officeDocument/2006/relationships" r:id="rId1"/>
  <tableParts count="17">
    <tablePart xmlns:r="http://schemas.openxmlformats.org/officeDocument/2006/relationships" r:id="rId2"/>
    <tablePart xmlns:r="http://schemas.openxmlformats.org/officeDocument/2006/relationships" r:id="rId3"/>
    <tablePart xmlns:r="http://schemas.openxmlformats.org/officeDocument/2006/relationships" r:id="rId4"/>
    <tablePart xmlns:r="http://schemas.openxmlformats.org/officeDocument/2006/relationships" r:id="rId5"/>
    <tablePart xmlns:r="http://schemas.openxmlformats.org/officeDocument/2006/relationships" r:id="rId6"/>
    <tablePart xmlns:r="http://schemas.openxmlformats.org/officeDocument/2006/relationships" r:id="rId7"/>
    <tablePart xmlns:r="http://schemas.openxmlformats.org/officeDocument/2006/relationships" r:id="rId8"/>
    <tablePart xmlns:r="http://schemas.openxmlformats.org/officeDocument/2006/relationships" r:id="rId9"/>
    <tablePart xmlns:r="http://schemas.openxmlformats.org/officeDocument/2006/relationships" r:id="rId10"/>
    <tablePart xmlns:r="http://schemas.openxmlformats.org/officeDocument/2006/relationships" r:id="rId11"/>
    <tablePart xmlns:r="http://schemas.openxmlformats.org/officeDocument/2006/relationships" r:id="rId12"/>
    <tablePart xmlns:r="http://schemas.openxmlformats.org/officeDocument/2006/relationships" r:id="rId13"/>
    <tablePart xmlns:r="http://schemas.openxmlformats.org/officeDocument/2006/relationships" r:id="rId14"/>
    <tablePart xmlns:r="http://schemas.openxmlformats.org/officeDocument/2006/relationships" r:id="rId15"/>
    <tablePart xmlns:r="http://schemas.openxmlformats.org/officeDocument/2006/relationships" r:id="rId16"/>
    <tablePart xmlns:r="http://schemas.openxmlformats.org/officeDocument/2006/relationships" r:id="rId17"/>
    <tablePart xmlns:r="http://schemas.openxmlformats.org/officeDocument/2006/relationships" r:id="rId18"/>
  </tableParts>
</worksheet>
</file>

<file path=xl/worksheets/sheet108.xml><?xml version="1.0" encoding="utf-8"?>
<worksheet xmlns="http://schemas.openxmlformats.org/spreadsheetml/2006/main">
  <sheetPr codeName="Feuil107">
    <tabColor rgb="FF92D050"/>
    <outlinePr summaryBelow="1" summaryRight="1"/>
    <pageSetUpPr/>
  </sheetPr>
  <dimension ref="A1:N259"/>
  <sheetViews>
    <sheetView showGridLines="0" view="pageBreakPreview" zoomScaleNormal="115" zoomScaleSheetLayoutView="100" workbookViewId="0">
      <pane ySplit="4" topLeftCell="A213" activePane="bottomLeft" state="frozen"/>
      <selection activeCell="G26" activeCellId="2" sqref="E16 M26 G26"/>
      <selection pane="bottomLeft" activeCell="G26" activeCellId="2" sqref="E16 M26 G26"/>
    </sheetView>
  </sheetViews>
  <sheetFormatPr baseColWidth="10" defaultColWidth="11.42578125" defaultRowHeight="12.75"/>
  <cols>
    <col width="15.7109375" customWidth="1" style="474" min="1" max="1"/>
    <col width="8.7109375" customWidth="1" style="478" min="2" max="3"/>
    <col width="8.7109375" customWidth="1" style="101" min="4" max="4"/>
    <col width="8.7109375" customWidth="1" style="478" min="5" max="6"/>
    <col width="8.7109375" customWidth="1" style="479" min="7" max="7"/>
    <col width="8.7109375" customWidth="1" style="475" min="8" max="9"/>
    <col width="3" customWidth="1" style="478" min="10" max="10"/>
    <col width="8.7109375" customWidth="1" style="478" min="11" max="11"/>
    <col width="8.7109375" customWidth="1" style="101" min="12" max="12"/>
    <col width="8.7109375" customWidth="1" style="479" min="13" max="13"/>
    <col width="8.7109375" customWidth="1" style="474" min="14" max="14"/>
    <col width="11.42578125" customWidth="1" style="474" min="15" max="16384"/>
  </cols>
  <sheetData>
    <row r="1">
      <c r="A1" s="372" t="inlineStr">
        <is>
          <t>GROUPE REGIS REGO DE SEBES</t>
        </is>
      </c>
      <c r="B1" s="480" t="n"/>
      <c r="C1" s="480" t="n"/>
      <c r="D1" s="98" t="n"/>
      <c r="E1" s="480" t="n"/>
      <c r="F1" s="480" t="n"/>
      <c r="G1" s="481" t="n"/>
      <c r="H1" s="474" t="n"/>
      <c r="I1" s="474" t="n"/>
      <c r="J1" s="482" t="n"/>
      <c r="N1" s="483">
        <f>CONCATENATE("P&amp;L ",RIGHT(DONNÉES!B5,LEN(DONNÉES!B5)-3))</f>
        <v/>
      </c>
    </row>
    <row r="2">
      <c r="A2" s="372" t="n"/>
      <c r="B2" s="480" t="n"/>
      <c r="C2" s="480" t="n"/>
      <c r="D2" s="98" t="n"/>
      <c r="E2" s="480" t="n"/>
      <c r="F2" s="480" t="n"/>
      <c r="G2" s="481" t="n"/>
      <c r="H2" s="373" t="n"/>
      <c r="I2" s="373" t="n"/>
      <c r="J2" s="484" t="n"/>
    </row>
    <row r="3" ht="15.6" customHeight="1" s="161">
      <c r="A3" s="374" t="inlineStr">
        <is>
          <t>Paniers moyens détail</t>
        </is>
      </c>
    </row>
    <row r="4" ht="12" customHeight="1" s="161">
      <c r="A4" s="370" t="n"/>
      <c r="B4" s="508" t="n"/>
      <c r="C4" s="508" t="n"/>
      <c r="D4" s="99" t="n"/>
      <c r="E4" s="508" t="n"/>
      <c r="F4" s="508" t="n"/>
      <c r="G4" s="509" t="n"/>
      <c r="H4" s="370" t="n"/>
      <c r="I4" s="370" t="n"/>
      <c r="J4" s="508" t="n"/>
    </row>
    <row r="5" ht="15" customHeight="1" s="161">
      <c r="A5" s="485" t="n"/>
      <c r="B5" s="486" t="inlineStr">
        <is>
          <t>Sur place</t>
        </is>
      </c>
      <c r="C5" s="487" t="n"/>
      <c r="D5" s="487" t="n"/>
      <c r="E5" s="488" t="n"/>
      <c r="F5" s="489" t="inlineStr">
        <is>
          <t>A emporter</t>
        </is>
      </c>
      <c r="G5" s="487" t="n"/>
      <c r="H5" s="487" t="n"/>
      <c r="I5" s="487" t="n"/>
      <c r="J5" s="508" t="n"/>
      <c r="K5" s="489" t="inlineStr">
        <is>
          <t>Total</t>
        </is>
      </c>
      <c r="L5" s="487" t="n"/>
      <c r="M5" s="487" t="n"/>
      <c r="N5" s="487" t="n"/>
    </row>
    <row r="6" ht="30" customHeight="1" s="161">
      <c r="A6" s="490" t="inlineStr">
        <is>
          <t>GLR5</t>
        </is>
      </c>
      <c r="B6" s="491" t="inlineStr">
        <is>
          <t>2024</t>
        </is>
      </c>
      <c r="C6" s="492" t="inlineStr">
        <is>
          <t>2023</t>
        </is>
      </c>
      <c r="D6" s="491" t="inlineStr">
        <is>
          <t>2024 cumul</t>
        </is>
      </c>
      <c r="E6" s="493" t="inlineStr">
        <is>
          <t>2023 cumul</t>
        </is>
      </c>
      <c r="F6" s="491" t="inlineStr">
        <is>
          <t xml:space="preserve">2024  </t>
        </is>
      </c>
      <c r="G6" s="492" t="inlineStr">
        <is>
          <t xml:space="preserve">2023  </t>
        </is>
      </c>
      <c r="H6" s="491" t="inlineStr">
        <is>
          <t xml:space="preserve">2024 cumul </t>
        </is>
      </c>
      <c r="I6" s="525" t="inlineStr">
        <is>
          <t xml:space="preserve">2023 cumul </t>
        </is>
      </c>
      <c r="J6" s="474" t="n"/>
      <c r="K6" s="491" t="inlineStr">
        <is>
          <t xml:space="preserve">2024  </t>
        </is>
      </c>
      <c r="L6" s="492" t="inlineStr">
        <is>
          <t xml:space="preserve">2023  </t>
        </is>
      </c>
      <c r="M6" s="491" t="inlineStr">
        <is>
          <t xml:space="preserve">2024 cumul </t>
        </is>
      </c>
      <c r="N6" s="493" t="inlineStr">
        <is>
          <t xml:space="preserve">2023 cumul </t>
        </is>
      </c>
    </row>
    <row r="7" ht="10.15" customFormat="1" customHeight="1" s="476">
      <c r="A7" s="494" t="inlineStr">
        <is>
          <t>Janvier</t>
        </is>
      </c>
      <c r="B7" s="526">
        <f>IF(DONNÉES!K204="","",DONNÉES!K204)</f>
        <v/>
      </c>
      <c r="C7" s="527">
        <f>IF(PMDBIGNALET117145[[#This Row],[2024]]="","",DONNÉES!L204)</f>
        <v/>
      </c>
      <c r="D7" s="526">
        <f>IF(PMDBIGNALET117145[[#This Row],[2024]]="","",DONNÉES!K252)</f>
        <v/>
      </c>
      <c r="E7" s="528">
        <f>IF(PMDBIGNALET117145[[#This Row],[2024]]="","",DONNÉES!L252)</f>
        <v/>
      </c>
      <c r="F7" s="526">
        <f>IF(PMDBIGNALET117145[[#This Row],[2024]]="","",DONNÉES!K220)</f>
        <v/>
      </c>
      <c r="G7" s="527">
        <f>IF(PMDBIGNALET117145[[#This Row],[2024]]="","",DONNÉES!L220)</f>
        <v/>
      </c>
      <c r="H7" s="526">
        <f>IF(PMDBIGNALET117145[[#This Row],[2024]]="","",DONNÉES!K268)</f>
        <v/>
      </c>
      <c r="I7" s="526">
        <f>IF(PMDBIGNALET117145[[#This Row],[2024]]="","",DONNÉES!L268)</f>
        <v/>
      </c>
      <c r="K7" s="526">
        <f>IF(PMDBIGNALET117145[[#This Row],[2024]]="","",DONNÉES!K236)</f>
        <v/>
      </c>
      <c r="L7" s="527">
        <f>IF(PMDBIGNALET117145[[#This Row],[2024]]="","",DONNÉES!L236)</f>
        <v/>
      </c>
      <c r="M7" s="526">
        <f>IF(PMDBIGNALET117145[[#This Row],[2024]]="","",DONNÉES!K284)</f>
        <v/>
      </c>
      <c r="N7" s="526">
        <f>IF(PMDBIGNALET117145[[#This Row],[2024]]="","",DONNÉES!L284)</f>
        <v/>
      </c>
    </row>
    <row r="8" ht="10.15" customFormat="1" customHeight="1" s="476">
      <c r="A8" s="494" t="inlineStr">
        <is>
          <t>Février</t>
        </is>
      </c>
      <c r="B8" s="526">
        <f>IF(DONNÉES!K205="","",DONNÉES!K205)</f>
        <v/>
      </c>
      <c r="C8" s="527">
        <f>IF(PMDBIGNALET117145[[#This Row],[2024]]="","",DONNÉES!L205)</f>
        <v/>
      </c>
      <c r="D8" s="526">
        <f>IF(PMDBIGNALET117145[[#This Row],[2024]]="","",DONNÉES!K253)</f>
        <v/>
      </c>
      <c r="E8" s="528">
        <f>IF(PMDBIGNALET117145[[#This Row],[2024]]="","",DONNÉES!L253)</f>
        <v/>
      </c>
      <c r="F8" s="526">
        <f>IF(PMDBIGNALET117145[[#This Row],[2024]]="","",DONNÉES!K221)</f>
        <v/>
      </c>
      <c r="G8" s="527">
        <f>IF(PMDBIGNALET117145[[#This Row],[2024]]="","",DONNÉES!L221)</f>
        <v/>
      </c>
      <c r="H8" s="526">
        <f>IF(PMDBIGNALET117145[[#This Row],[2024]]="","",DONNÉES!K269)</f>
        <v/>
      </c>
      <c r="I8" s="526">
        <f>IF(PMDBIGNALET117145[[#This Row],[2024]]="","",DONNÉES!L269)</f>
        <v/>
      </c>
      <c r="K8" s="526">
        <f>IF(PMDBIGNALET117145[[#This Row],[2024]]="","",DONNÉES!K237)</f>
        <v/>
      </c>
      <c r="L8" s="527">
        <f>IF(PMDBIGNALET117145[[#This Row],[2024]]="","",DONNÉES!L237)</f>
        <v/>
      </c>
      <c r="M8" s="526">
        <f>IF(PMDBIGNALET117145[[#This Row],[2024]]="","",DONNÉES!K285)</f>
        <v/>
      </c>
      <c r="N8" s="526">
        <f>IF(PMDBIGNALET117145[[#This Row],[2024]]="","",DONNÉES!L285)</f>
        <v/>
      </c>
    </row>
    <row r="9" ht="10.15" customFormat="1" customHeight="1" s="476">
      <c r="A9" s="490" t="inlineStr">
        <is>
          <t>Mars</t>
        </is>
      </c>
      <c r="B9" s="526">
        <f>IF(DONNÉES!K206="","",DONNÉES!K206)</f>
        <v/>
      </c>
      <c r="C9" s="527">
        <f>IF(PMDBIGNALET117145[[#This Row],[2024]]="","",DONNÉES!L206)</f>
        <v/>
      </c>
      <c r="D9" s="526">
        <f>IF(PMDBIGNALET117145[[#This Row],[2024]]="","",DONNÉES!K254)</f>
        <v/>
      </c>
      <c r="E9" s="528">
        <f>IF(PMDBIGNALET117145[[#This Row],[2024]]="","",DONNÉES!L254)</f>
        <v/>
      </c>
      <c r="F9" s="526">
        <f>IF(PMDBIGNALET117145[[#This Row],[2024]]="","",DONNÉES!K222)</f>
        <v/>
      </c>
      <c r="G9" s="527">
        <f>IF(PMDBIGNALET117145[[#This Row],[2024]]="","",DONNÉES!L222)</f>
        <v/>
      </c>
      <c r="H9" s="526">
        <f>IF(PMDBIGNALET117145[[#This Row],[2024]]="","",DONNÉES!K270)</f>
        <v/>
      </c>
      <c r="I9" s="526">
        <f>IF(PMDBIGNALET117145[[#This Row],[2024]]="","",DONNÉES!L270)</f>
        <v/>
      </c>
      <c r="K9" s="526">
        <f>IF(PMDBIGNALET117145[[#This Row],[2024]]="","",DONNÉES!K238)</f>
        <v/>
      </c>
      <c r="L9" s="527">
        <f>IF(PMDBIGNALET117145[[#This Row],[2024]]="","",DONNÉES!L238)</f>
        <v/>
      </c>
      <c r="M9" s="526">
        <f>IF(PMDBIGNALET117145[[#This Row],[2024]]="","",DONNÉES!K286)</f>
        <v/>
      </c>
      <c r="N9" s="526">
        <f>IF(PMDBIGNALET117145[[#This Row],[2024]]="","",DONNÉES!L286)</f>
        <v/>
      </c>
    </row>
    <row r="10" ht="10.15" customHeight="1" s="161">
      <c r="A10" s="494" t="inlineStr">
        <is>
          <t>Avril</t>
        </is>
      </c>
      <c r="B10" s="526">
        <f>IF(DONNÉES!K207="","",DONNÉES!K207)</f>
        <v/>
      </c>
      <c r="C10" s="527">
        <f>IF(PMDBIGNALET117145[[#This Row],[2024]]="","",DONNÉES!L207)</f>
        <v/>
      </c>
      <c r="D10" s="526">
        <f>IF(PMDBIGNALET117145[[#This Row],[2024]]="","",DONNÉES!K255)</f>
        <v/>
      </c>
      <c r="E10" s="528">
        <f>IF(PMDBIGNALET117145[[#This Row],[2024]]="","",DONNÉES!L255)</f>
        <v/>
      </c>
      <c r="F10" s="526">
        <f>IF(PMDBIGNALET117145[[#This Row],[2024]]="","",DONNÉES!K223)</f>
        <v/>
      </c>
      <c r="G10" s="527">
        <f>IF(PMDBIGNALET117145[[#This Row],[2024]]="","",DONNÉES!L223)</f>
        <v/>
      </c>
      <c r="H10" s="526">
        <f>IF(PMDBIGNALET117145[[#This Row],[2024]]="","",DONNÉES!K271)</f>
        <v/>
      </c>
      <c r="I10" s="526">
        <f>IF(PMDBIGNALET117145[[#This Row],[2024]]="","",DONNÉES!L271)</f>
        <v/>
      </c>
      <c r="J10" s="474" t="n"/>
      <c r="K10" s="526">
        <f>IF(PMDBIGNALET117145[[#This Row],[2024]]="","",DONNÉES!K239)</f>
        <v/>
      </c>
      <c r="L10" s="527">
        <f>IF(PMDBIGNALET117145[[#This Row],[2024]]="","",DONNÉES!L239)</f>
        <v/>
      </c>
      <c r="M10" s="526">
        <f>IF(PMDBIGNALET117145[[#This Row],[2024]]="","",DONNÉES!K287)</f>
        <v/>
      </c>
      <c r="N10" s="526">
        <f>IF(PMDBIGNALET117145[[#This Row],[2024]]="","",DONNÉES!L287)</f>
        <v/>
      </c>
    </row>
    <row r="11" ht="10.15" customHeight="1" s="161">
      <c r="A11" s="490" t="inlineStr">
        <is>
          <t>Mai</t>
        </is>
      </c>
      <c r="B11" s="526">
        <f>IF(DONNÉES!K208="","",DONNÉES!K208)</f>
        <v/>
      </c>
      <c r="C11" s="527">
        <f>IF(PMDBIGNALET117145[[#This Row],[2024]]="","",DONNÉES!L208)</f>
        <v/>
      </c>
      <c r="D11" s="526">
        <f>IF(PMDBIGNALET117145[[#This Row],[2024]]="","",DONNÉES!K256)</f>
        <v/>
      </c>
      <c r="E11" s="528">
        <f>IF(PMDBIGNALET117145[[#This Row],[2024]]="","",DONNÉES!L256)</f>
        <v/>
      </c>
      <c r="F11" s="526">
        <f>IF(PMDBIGNALET117145[[#This Row],[2024]]="","",DONNÉES!K224)</f>
        <v/>
      </c>
      <c r="G11" s="527">
        <f>IF(PMDBIGNALET117145[[#This Row],[2024]]="","",DONNÉES!L224)</f>
        <v/>
      </c>
      <c r="H11" s="526">
        <f>IF(PMDBIGNALET117145[[#This Row],[2024]]="","",DONNÉES!K272)</f>
        <v/>
      </c>
      <c r="I11" s="526">
        <f>IF(PMDBIGNALET117145[[#This Row],[2024]]="","",DONNÉES!L272)</f>
        <v/>
      </c>
      <c r="J11" s="474" t="n"/>
      <c r="K11" s="526">
        <f>IF(PMDBIGNALET117145[[#This Row],[2024]]="","",DONNÉES!K240)</f>
        <v/>
      </c>
      <c r="L11" s="527">
        <f>IF(PMDBIGNALET117145[[#This Row],[2024]]="","",DONNÉES!L240)</f>
        <v/>
      </c>
      <c r="M11" s="526">
        <f>IF(PMDBIGNALET117145[[#This Row],[2024]]="","",DONNÉES!K288)</f>
        <v/>
      </c>
      <c r="N11" s="526">
        <f>IF(PMDBIGNALET117145[[#This Row],[2024]]="","",DONNÉES!L288)</f>
        <v/>
      </c>
    </row>
    <row r="12" ht="10.15" customHeight="1" s="161">
      <c r="A12" s="494" t="inlineStr">
        <is>
          <t>Juin</t>
        </is>
      </c>
      <c r="B12" s="526">
        <f>IF(DONNÉES!K209="","",DONNÉES!K209)</f>
        <v/>
      </c>
      <c r="C12" s="527">
        <f>IF(PMDBIGNALET117145[[#This Row],[2024]]="","",DONNÉES!L209)</f>
        <v/>
      </c>
      <c r="D12" s="526">
        <f>IF(PMDBIGNALET117145[[#This Row],[2024]]="","",DONNÉES!K257)</f>
        <v/>
      </c>
      <c r="E12" s="528">
        <f>IF(PMDBIGNALET117145[[#This Row],[2024]]="","",DONNÉES!L257)</f>
        <v/>
      </c>
      <c r="F12" s="526">
        <f>IF(PMDBIGNALET117145[[#This Row],[2024]]="","",DONNÉES!K225)</f>
        <v/>
      </c>
      <c r="G12" s="527">
        <f>IF(PMDBIGNALET117145[[#This Row],[2024]]="","",DONNÉES!L225)</f>
        <v/>
      </c>
      <c r="H12" s="526">
        <f>IF(PMDBIGNALET117145[[#This Row],[2024]]="","",DONNÉES!K273)</f>
        <v/>
      </c>
      <c r="I12" s="526">
        <f>IF(PMDBIGNALET117145[[#This Row],[2024]]="","",DONNÉES!L273)</f>
        <v/>
      </c>
      <c r="J12" s="474" t="n"/>
      <c r="K12" s="526">
        <f>IF(PMDBIGNALET117145[[#This Row],[2024]]="","",DONNÉES!K241)</f>
        <v/>
      </c>
      <c r="L12" s="527">
        <f>IF(PMDBIGNALET117145[[#This Row],[2024]]="","",DONNÉES!L241)</f>
        <v/>
      </c>
      <c r="M12" s="526">
        <f>IF(PMDBIGNALET117145[[#This Row],[2024]]="","",DONNÉES!K289)</f>
        <v/>
      </c>
      <c r="N12" s="526">
        <f>IF(PMDBIGNALET117145[[#This Row],[2024]]="","",DONNÉES!L289)</f>
        <v/>
      </c>
    </row>
    <row r="13" ht="10.15" customHeight="1" s="161">
      <c r="A13" s="490" t="inlineStr">
        <is>
          <t>Juillet</t>
        </is>
      </c>
      <c r="B13" s="526">
        <f>IF(DONNÉES!K210="","",DONNÉES!K210)</f>
        <v/>
      </c>
      <c r="C13" s="527">
        <f>IF(PMDBIGNALET117145[[#This Row],[2024]]="","",DONNÉES!L210)</f>
        <v/>
      </c>
      <c r="D13" s="526">
        <f>IF(PMDBIGNALET117145[[#This Row],[2024]]="","",DONNÉES!K258)</f>
        <v/>
      </c>
      <c r="E13" s="528">
        <f>IF(PMDBIGNALET117145[[#This Row],[2024]]="","",DONNÉES!L258)</f>
        <v/>
      </c>
      <c r="F13" s="526">
        <f>IF(PMDBIGNALET117145[[#This Row],[2024]]="","",DONNÉES!K226)</f>
        <v/>
      </c>
      <c r="G13" s="527">
        <f>IF(PMDBIGNALET117145[[#This Row],[2024]]="","",DONNÉES!L226)</f>
        <v/>
      </c>
      <c r="H13" s="526">
        <f>IF(PMDBIGNALET117145[[#This Row],[2024]]="","",DONNÉES!K274)</f>
        <v/>
      </c>
      <c r="I13" s="526">
        <f>IF(PMDBIGNALET117145[[#This Row],[2024]]="","",DONNÉES!L274)</f>
        <v/>
      </c>
      <c r="J13" s="474" t="n"/>
      <c r="K13" s="526">
        <f>IF(PMDBIGNALET117145[[#This Row],[2024]]="","",DONNÉES!K242)</f>
        <v/>
      </c>
      <c r="L13" s="527">
        <f>IF(PMDBIGNALET117145[[#This Row],[2024]]="","",DONNÉES!L242)</f>
        <v/>
      </c>
      <c r="M13" s="526">
        <f>IF(PMDBIGNALET117145[[#This Row],[2024]]="","",DONNÉES!K290)</f>
        <v/>
      </c>
      <c r="N13" s="526">
        <f>IF(PMDBIGNALET117145[[#This Row],[2024]]="","",DONNÉES!L290)</f>
        <v/>
      </c>
    </row>
    <row r="14" ht="10.15" customHeight="1" s="161">
      <c r="A14" s="494" t="inlineStr">
        <is>
          <t>Août</t>
        </is>
      </c>
      <c r="B14" s="526">
        <f>IF(DONNÉES!K211="","",DONNÉES!K211)</f>
        <v/>
      </c>
      <c r="C14" s="527">
        <f>IF(PMDBIGNALET117145[[#This Row],[2024]]="","",DONNÉES!L211)</f>
        <v/>
      </c>
      <c r="D14" s="526">
        <f>IF(PMDBIGNALET117145[[#This Row],[2024]]="","",DONNÉES!K259)</f>
        <v/>
      </c>
      <c r="E14" s="528">
        <f>IF(PMDBIGNALET117145[[#This Row],[2024]]="","",DONNÉES!L259)</f>
        <v/>
      </c>
      <c r="F14" s="526">
        <f>IF(PMDBIGNALET117145[[#This Row],[2024]]="","",DONNÉES!K227)</f>
        <v/>
      </c>
      <c r="G14" s="527">
        <f>IF(PMDBIGNALET117145[[#This Row],[2024]]="","",DONNÉES!L227)</f>
        <v/>
      </c>
      <c r="H14" s="526">
        <f>IF(PMDBIGNALET117145[[#This Row],[2024]]="","",DONNÉES!K275)</f>
        <v/>
      </c>
      <c r="I14" s="526">
        <f>IF(PMDBIGNALET117145[[#This Row],[2024]]="","",DONNÉES!L275)</f>
        <v/>
      </c>
      <c r="J14" s="474" t="n"/>
      <c r="K14" s="526">
        <f>IF(PMDBIGNALET117145[[#This Row],[2024]]="","",DONNÉES!K243)</f>
        <v/>
      </c>
      <c r="L14" s="527">
        <f>IF(PMDBIGNALET117145[[#This Row],[2024]]="","",DONNÉES!L243)</f>
        <v/>
      </c>
      <c r="M14" s="526">
        <f>IF(PMDBIGNALET117145[[#This Row],[2024]]="","",DONNÉES!K291)</f>
        <v/>
      </c>
      <c r="N14" s="526">
        <f>IF(PMDBIGNALET117145[[#This Row],[2024]]="","",DONNÉES!L291)</f>
        <v/>
      </c>
    </row>
    <row r="15" ht="10.15" customHeight="1" s="161">
      <c r="A15" s="490" t="inlineStr">
        <is>
          <t>Septembre</t>
        </is>
      </c>
      <c r="B15" s="529">
        <f>IF(DONNÉES!K212="","",DONNÉES!K212)</f>
        <v/>
      </c>
      <c r="C15" s="530">
        <f>IF(PMDBIGNALET117145[[#This Row],[2024]]="","",DONNÉES!L212)</f>
        <v/>
      </c>
      <c r="D15" s="529">
        <f>IF(PMDBIGNALET117145[[#This Row],[2024]]="","",DONNÉES!K260)</f>
        <v/>
      </c>
      <c r="E15" s="531">
        <f>IF(PMDBIGNALET117145[[#This Row],[2024]]="","",DONNÉES!L260)</f>
        <v/>
      </c>
      <c r="F15" s="529">
        <f>IF(PMDBIGNALET117145[[#This Row],[2024]]="","",DONNÉES!K228)</f>
        <v/>
      </c>
      <c r="G15" s="530">
        <f>IF(PMDBIGNALET117145[[#This Row],[2024]]="","",DONNÉES!L228)</f>
        <v/>
      </c>
      <c r="H15" s="529">
        <f>IF(PMDBIGNALET117145[[#This Row],[2024]]="","",DONNÉES!K276)</f>
        <v/>
      </c>
      <c r="I15" s="529">
        <f>IF(PMDBIGNALET117145[[#This Row],[2024]]="","",DONNÉES!L276)</f>
        <v/>
      </c>
      <c r="J15" s="475" t="n"/>
      <c r="K15" s="529">
        <f>IF(PMDBIGNALET117145[[#This Row],[2024]]="","",DONNÉES!K244)</f>
        <v/>
      </c>
      <c r="L15" s="530">
        <f>IF(PMDBIGNALET117145[[#This Row],[2024]]="","",DONNÉES!L244)</f>
        <v/>
      </c>
      <c r="M15" s="529">
        <f>IF(PMDBIGNALET117145[[#This Row],[2024]]="","",DONNÉES!K292)</f>
        <v/>
      </c>
      <c r="N15" s="529">
        <f>IF(PMDBIGNALET117145[[#This Row],[2024]]="","",DONNÉES!L292)</f>
        <v/>
      </c>
    </row>
    <row r="16" ht="10.15" customHeight="1" s="161">
      <c r="A16" s="494" t="inlineStr">
        <is>
          <t>Octobre</t>
        </is>
      </c>
      <c r="B16" s="529">
        <f>IF(DONNÉES!K213="","",DONNÉES!K213)</f>
        <v/>
      </c>
      <c r="C16" s="530">
        <f>IF(PMDBIGNALET117145[[#This Row],[2024]]="","",DONNÉES!L213)</f>
        <v/>
      </c>
      <c r="D16" s="529">
        <f>IF(PMDBIGNALET117145[[#This Row],[2024]]="","",DONNÉES!K261)</f>
        <v/>
      </c>
      <c r="E16" s="531">
        <f>IF(PMDBIGNALET117145[[#This Row],[2024]]="","",DONNÉES!L261)</f>
        <v/>
      </c>
      <c r="F16" s="529">
        <f>IF(PMDBIGNALET117145[[#This Row],[2024]]="","",DONNÉES!K229)</f>
        <v/>
      </c>
      <c r="G16" s="530">
        <f>IF(PMDBIGNALET117145[[#This Row],[2024]]="","",DONNÉES!L229)</f>
        <v/>
      </c>
      <c r="H16" s="529">
        <f>IF(PMDBIGNALET117145[[#This Row],[2024]]="","",DONNÉES!K277)</f>
        <v/>
      </c>
      <c r="I16" s="529">
        <f>IF(PMDBIGNALET117145[[#This Row],[2024]]="","",DONNÉES!L277)</f>
        <v/>
      </c>
      <c r="J16" s="474" t="n"/>
      <c r="K16" s="529">
        <f>IF(PMDBIGNALET117145[[#This Row],[2024]]="","",DONNÉES!K245)</f>
        <v/>
      </c>
      <c r="L16" s="530">
        <f>IF(PMDBIGNALET117145[[#This Row],[2024]]="","",DONNÉES!L245)</f>
        <v/>
      </c>
      <c r="M16" s="529">
        <f>IF(PMDBIGNALET117145[[#This Row],[2024]]="","",DONNÉES!K293)</f>
        <v/>
      </c>
      <c r="N16" s="529">
        <f>IF(PMDBIGNALET117145[[#This Row],[2024]]="","",DONNÉES!L293)</f>
        <v/>
      </c>
    </row>
    <row r="17" ht="10.15" customFormat="1" customHeight="1" s="476">
      <c r="A17" s="490" t="inlineStr">
        <is>
          <t>Novembre</t>
        </is>
      </c>
      <c r="B17" s="529">
        <f>IF(DONNÉES!K214="","",DONNÉES!K214)</f>
        <v/>
      </c>
      <c r="C17" s="530">
        <f>IF(PMDBIGNALET117145[[#This Row],[2024]]="","",DONNÉES!L214)</f>
        <v/>
      </c>
      <c r="D17" s="529">
        <f>IF(PMDBIGNALET117145[[#This Row],[2024]]="","",DONNÉES!K262)</f>
        <v/>
      </c>
      <c r="E17" s="531">
        <f>IF(PMDBIGNALET117145[[#This Row],[2024]]="","",DONNÉES!L262)</f>
        <v/>
      </c>
      <c r="F17" s="529">
        <f>IF(PMDBIGNALET117145[[#This Row],[2024]]="","",DONNÉES!K230)</f>
        <v/>
      </c>
      <c r="G17" s="530">
        <f>IF(PMDBIGNALET117145[[#This Row],[2024]]="","",DONNÉES!L230)</f>
        <v/>
      </c>
      <c r="H17" s="529">
        <f>IF(PMDBIGNALET117145[[#This Row],[2024]]="","",DONNÉES!K278)</f>
        <v/>
      </c>
      <c r="I17" s="529">
        <f>IF(PMDBIGNALET117145[[#This Row],[2024]]="","",DONNÉES!L278)</f>
        <v/>
      </c>
      <c r="K17" s="529">
        <f>IF(PMDBIGNALET117145[[#This Row],[2024]]="","",DONNÉES!K246)</f>
        <v/>
      </c>
      <c r="L17" s="530">
        <f>IF(PMDBIGNALET117145[[#This Row],[2024]]="","",DONNÉES!L246)</f>
        <v/>
      </c>
      <c r="M17" s="529">
        <f>IF(PMDBIGNALET117145[[#This Row],[2024]]="","",DONNÉES!K294)</f>
        <v/>
      </c>
      <c r="N17" s="529">
        <f>IF(PMDBIGNALET117145[[#This Row],[2024]]="","",DONNÉES!L294)</f>
        <v/>
      </c>
    </row>
    <row r="18" ht="10.15" customFormat="1" customHeight="1" s="476">
      <c r="A18" s="490" t="inlineStr">
        <is>
          <t>Décembre</t>
        </is>
      </c>
      <c r="B18" s="529">
        <f>IF(DONNÉES!K215="","",DONNÉES!K215)</f>
        <v/>
      </c>
      <c r="C18" s="530">
        <f>IF(PMDBIGNALET117145[[#This Row],[2024]]="","",DONNÉES!L215)</f>
        <v/>
      </c>
      <c r="D18" s="529">
        <f>IF(PMDBIGNALET117145[[#This Row],[2024]]="","",DONNÉES!K263)</f>
        <v/>
      </c>
      <c r="E18" s="531">
        <f>IF(PMDBIGNALET117145[[#This Row],[2024]]="","",DONNÉES!L263)</f>
        <v/>
      </c>
      <c r="F18" s="529">
        <f>IF(PMDBIGNALET117145[[#This Row],[2024]]="","",DONNÉES!K231)</f>
        <v/>
      </c>
      <c r="G18" s="530">
        <f>IF(PMDBIGNALET117145[[#This Row],[2024]]="","",DONNÉES!L231)</f>
        <v/>
      </c>
      <c r="H18" s="529">
        <f>IF(PMDBIGNALET117145[[#This Row],[2024]]="","",DONNÉES!K279)</f>
        <v/>
      </c>
      <c r="I18" s="529">
        <f>IF(PMDBIGNALET117145[[#This Row],[2024]]="","",DONNÉES!L279)</f>
        <v/>
      </c>
      <c r="K18" s="529">
        <f>IF(PMDBIGNALET117145[[#This Row],[2024]]="","",DONNÉES!K247)</f>
        <v/>
      </c>
      <c r="L18" s="530">
        <f>IF(PMDBIGNALET117145[[#This Row],[2024]]="","",DONNÉES!L247)</f>
        <v/>
      </c>
      <c r="M18" s="529">
        <f>IF(PMDBIGNALET117145[[#This Row],[2024]]="","",DONNÉES!K295)</f>
        <v/>
      </c>
      <c r="N18" s="529">
        <f>IF(PMDBIGNALET117145[[#This Row],[2024]]="","",DONNÉES!L295)</f>
        <v/>
      </c>
    </row>
    <row r="19" ht="11.65" customFormat="1" customHeight="1" s="476">
      <c r="A19" s="532" t="inlineStr">
        <is>
          <t xml:space="preserve"> TOTAL </t>
        </is>
      </c>
      <c r="B19" s="533">
        <f>SUBTOTAL(101,PMDBIGNALET117145[2024])</f>
        <v/>
      </c>
      <c r="C19" s="534">
        <f>SUBTOTAL(101,PMDBIGNALET117145[2023])</f>
        <v/>
      </c>
      <c r="D19" s="534">
        <f>SUBTOTAL(101,PMDBIGNALET117145[2024 cumul])</f>
        <v/>
      </c>
      <c r="E19" s="535">
        <f>SUBTOTAL(101,PMDBIGNALET117145[2023 cumul])</f>
        <v/>
      </c>
      <c r="F19" s="536">
        <f>SUBTOTAL(101,PMDBIGNALET117145[[2024  ]])</f>
        <v/>
      </c>
      <c r="G19" s="537">
        <f>SUBTOTAL(101,PMDBIGNALET117145[[2023  ]])</f>
        <v/>
      </c>
      <c r="H19" s="533">
        <f>SUBTOTAL(101,PMDBIGNALET117145[[2024 cumul ]])</f>
        <v/>
      </c>
      <c r="I19" s="533">
        <f>SUBTOTAL(101,PMDBIGNALET117145[[2023 cumul ]])</f>
        <v/>
      </c>
      <c r="K19" s="533">
        <f>SUBTOTAL(101,PMDGLR5[[2024  ]])</f>
        <v/>
      </c>
      <c r="L19" s="534">
        <f>SUBTOTAL(101,PMDGLR5[[2023  ]])</f>
        <v/>
      </c>
      <c r="M19" s="533">
        <f>SUBTOTAL(101,PMDGLR5[[2024 cumul ]])</f>
        <v/>
      </c>
      <c r="N19" s="533">
        <f>SUBTOTAL(101,PMDGLR5[[2023 cumul ]])</f>
        <v/>
      </c>
    </row>
    <row r="20" ht="12" customHeight="1" s="161">
      <c r="H20" s="474" t="n"/>
    </row>
    <row r="21" ht="15" customHeight="1" s="161">
      <c r="A21" s="505" t="n"/>
      <c r="B21" s="506" t="inlineStr">
        <is>
          <t>Sur place</t>
        </is>
      </c>
      <c r="C21" s="487" t="n"/>
      <c r="D21" s="487" t="n"/>
      <c r="E21" s="488" t="n"/>
      <c r="F21" s="507" t="inlineStr">
        <is>
          <t>A emporter</t>
        </is>
      </c>
      <c r="G21" s="487" t="n"/>
      <c r="H21" s="487" t="n"/>
      <c r="I21" s="487" t="n"/>
      <c r="J21" s="508" t="n"/>
      <c r="K21" s="507" t="inlineStr">
        <is>
          <t>Total</t>
        </is>
      </c>
      <c r="L21" s="487" t="n"/>
      <c r="M21" s="487" t="n"/>
      <c r="N21" s="487" t="n"/>
    </row>
    <row r="22" ht="30" customHeight="1" s="161">
      <c r="A22" s="490" t="inlineStr">
        <is>
          <t>HTR8</t>
        </is>
      </c>
      <c r="B22" s="491" t="inlineStr">
        <is>
          <t>2024</t>
        </is>
      </c>
      <c r="C22" s="492" t="inlineStr">
        <is>
          <t>2023</t>
        </is>
      </c>
      <c r="D22" s="491" t="inlineStr">
        <is>
          <t>2024 cumul</t>
        </is>
      </c>
      <c r="E22" s="493" t="inlineStr">
        <is>
          <t>2023 cumul</t>
        </is>
      </c>
      <c r="F22" s="491" t="inlineStr">
        <is>
          <t xml:space="preserve">2024  </t>
        </is>
      </c>
      <c r="G22" s="492" t="inlineStr">
        <is>
          <t xml:space="preserve">2023  </t>
        </is>
      </c>
      <c r="H22" s="491" t="inlineStr">
        <is>
          <t xml:space="preserve">2024 cumul </t>
        </is>
      </c>
      <c r="I22" s="525" t="inlineStr">
        <is>
          <t xml:space="preserve">2023 cumul </t>
        </is>
      </c>
      <c r="J22" s="474" t="n"/>
      <c r="K22" s="491" t="inlineStr">
        <is>
          <t xml:space="preserve">2024  </t>
        </is>
      </c>
      <c r="L22" s="492" t="inlineStr">
        <is>
          <t xml:space="preserve">2023  </t>
        </is>
      </c>
      <c r="M22" s="491" t="inlineStr">
        <is>
          <t xml:space="preserve">2024 cumul </t>
        </is>
      </c>
      <c r="N22" s="493" t="inlineStr">
        <is>
          <t xml:space="preserve">2023 cumul </t>
        </is>
      </c>
    </row>
    <row r="23" ht="10.15" customFormat="1" customHeight="1" s="476">
      <c r="A23" s="494" t="inlineStr">
        <is>
          <t>Janvier</t>
        </is>
      </c>
      <c r="B23" s="526">
        <f>IF(DONNÉES!S204="","",DONNÉES!S204)</f>
        <v/>
      </c>
      <c r="C23" s="527">
        <f>IF(PMDCINE124152[[#This Row],[2024]]="","",DONNÉES!T204)</f>
        <v/>
      </c>
      <c r="D23" s="526">
        <f>IF(PMDCINE124152[[#This Row],[2024]]="","",DONNÉES!S252)</f>
        <v/>
      </c>
      <c r="E23" s="528">
        <f>IF(PMDCINE124152[[#This Row],[2024]]="","",DONNÉES!T252)</f>
        <v/>
      </c>
      <c r="F23" s="526">
        <f>IF(PMDCINE124152[[#This Row],[2024]]="","",DONNÉES!S220)</f>
        <v/>
      </c>
      <c r="G23" s="527">
        <f>IF(PMDCINE124152[[#This Row],[2024]]="","",DONNÉES!T220)</f>
        <v/>
      </c>
      <c r="H23" s="526">
        <f>IF(PMDCINE124152[[#This Row],[2024]]="","",DONNÉES!S268)</f>
        <v/>
      </c>
      <c r="I23" s="526">
        <f>IF(PMDCINE124152[[#This Row],[2024]]="","",DONNÉES!T268)</f>
        <v/>
      </c>
      <c r="K23" s="526">
        <f>IF(PMDCINE124152[[#This Row],[2024]]="","",DONNÉES!S236)</f>
        <v/>
      </c>
      <c r="L23" s="527">
        <f>IF(PMDCINE124152[[#This Row],[2024]]="","",DONNÉES!T236)</f>
        <v/>
      </c>
      <c r="M23" s="526">
        <f>IF(PMDCINE124152[[#This Row],[2024]]="","",DONNÉES!S284)</f>
        <v/>
      </c>
      <c r="N23" s="526">
        <f>IF(PMDCINE124152[[#This Row],[2024]]="","",DONNÉES!T284)</f>
        <v/>
      </c>
    </row>
    <row r="24" ht="10.15" customFormat="1" customHeight="1" s="476">
      <c r="A24" s="494" t="inlineStr">
        <is>
          <t>Février</t>
        </is>
      </c>
      <c r="B24" s="526">
        <f>IF(DONNÉES!S205="","",DONNÉES!S205)</f>
        <v/>
      </c>
      <c r="C24" s="527">
        <f>IF(PMDCINE124152[[#This Row],[2024]]="","",DONNÉES!T205)</f>
        <v/>
      </c>
      <c r="D24" s="526">
        <f>IF(PMDCINE124152[[#This Row],[2024]]="","",DONNÉES!S253)</f>
        <v/>
      </c>
      <c r="E24" s="528">
        <f>IF(PMDCINE124152[[#This Row],[2024]]="","",DONNÉES!T253)</f>
        <v/>
      </c>
      <c r="F24" s="526">
        <f>IF(PMDCINE124152[[#This Row],[2024]]="","",DONNÉES!S221)</f>
        <v/>
      </c>
      <c r="G24" s="527">
        <f>IF(PMDCINE124152[[#This Row],[2024]]="","",DONNÉES!T221)</f>
        <v/>
      </c>
      <c r="H24" s="526">
        <f>IF(PMDCINE124152[[#This Row],[2024]]="","",DONNÉES!S269)</f>
        <v/>
      </c>
      <c r="I24" s="526">
        <f>IF(PMDCINE124152[[#This Row],[2024]]="","",DONNÉES!T269)</f>
        <v/>
      </c>
      <c r="K24" s="526">
        <f>IF(PMDCINE124152[[#This Row],[2024]]="","",DONNÉES!S237)</f>
        <v/>
      </c>
      <c r="L24" s="527">
        <f>IF(PMDCINE124152[[#This Row],[2024]]="","",DONNÉES!T237)</f>
        <v/>
      </c>
      <c r="M24" s="526">
        <f>IF(PMDCINE124152[[#This Row],[2024]]="","",DONNÉES!S285)</f>
        <v/>
      </c>
      <c r="N24" s="526">
        <f>IF(PMDCINE124152[[#This Row],[2024]]="","",DONNÉES!T285)</f>
        <v/>
      </c>
    </row>
    <row r="25" ht="10.15" customFormat="1" customHeight="1" s="476">
      <c r="A25" s="490" t="inlineStr">
        <is>
          <t>Mars</t>
        </is>
      </c>
      <c r="B25" s="526">
        <f>IF(DONNÉES!S206="","",DONNÉES!S206)</f>
        <v/>
      </c>
      <c r="C25" s="527">
        <f>IF(PMDCINE124152[[#This Row],[2024]]="","",DONNÉES!T206)</f>
        <v/>
      </c>
      <c r="D25" s="526">
        <f>IF(PMDCINE124152[[#This Row],[2024]]="","",DONNÉES!S254)</f>
        <v/>
      </c>
      <c r="E25" s="528">
        <f>IF(PMDCINE124152[[#This Row],[2024]]="","",DONNÉES!T254)</f>
        <v/>
      </c>
      <c r="F25" s="526">
        <f>IF(PMDCINE124152[[#This Row],[2024]]="","",DONNÉES!S222)</f>
        <v/>
      </c>
      <c r="G25" s="527">
        <f>IF(PMDCINE124152[[#This Row],[2024]]="","",DONNÉES!T222)</f>
        <v/>
      </c>
      <c r="H25" s="526">
        <f>IF(PMDCINE124152[[#This Row],[2024]]="","",DONNÉES!S270)</f>
        <v/>
      </c>
      <c r="I25" s="526">
        <f>IF(PMDCINE124152[[#This Row],[2024]]="","",DONNÉES!T270)</f>
        <v/>
      </c>
      <c r="K25" s="526">
        <f>IF(PMDCINE124152[[#This Row],[2024]]="","",DONNÉES!S238)</f>
        <v/>
      </c>
      <c r="L25" s="527">
        <f>IF(PMDCINE124152[[#This Row],[2024]]="","",DONNÉES!T238)</f>
        <v/>
      </c>
      <c r="M25" s="526">
        <f>IF(PMDCINE124152[[#This Row],[2024]]="","",DONNÉES!S286)</f>
        <v/>
      </c>
      <c r="N25" s="526">
        <f>IF(PMDCINE124152[[#This Row],[2024]]="","",DONNÉES!T286)</f>
        <v/>
      </c>
    </row>
    <row r="26" ht="10.15" customHeight="1" s="161">
      <c r="A26" s="494" t="inlineStr">
        <is>
          <t>Avril</t>
        </is>
      </c>
      <c r="B26" s="526">
        <f>IF(DONNÉES!S207="","",DONNÉES!S207)</f>
        <v/>
      </c>
      <c r="C26" s="527">
        <f>IF(PMDCINE124152[[#This Row],[2024]]="","",DONNÉES!T207)</f>
        <v/>
      </c>
      <c r="D26" s="526">
        <f>IF(PMDCINE124152[[#This Row],[2024]]="","",DONNÉES!S255)</f>
        <v/>
      </c>
      <c r="E26" s="528">
        <f>IF(PMDCINE124152[[#This Row],[2024]]="","",DONNÉES!T255)</f>
        <v/>
      </c>
      <c r="F26" s="526">
        <f>IF(PMDCINE124152[[#This Row],[2024]]="","",DONNÉES!S223)</f>
        <v/>
      </c>
      <c r="G26" s="527">
        <f>IF(PMDCINE124152[[#This Row],[2024]]="","",DONNÉES!T223)</f>
        <v/>
      </c>
      <c r="H26" s="526">
        <f>IF(PMDCINE124152[[#This Row],[2024]]="","",DONNÉES!S271)</f>
        <v/>
      </c>
      <c r="I26" s="526">
        <f>IF(PMDCINE124152[[#This Row],[2024]]="","",DONNÉES!T271)</f>
        <v/>
      </c>
      <c r="J26" s="474" t="n"/>
      <c r="K26" s="526">
        <f>IF(PMDCINE124152[[#This Row],[2024]]="","",DONNÉES!S239)</f>
        <v/>
      </c>
      <c r="L26" s="527">
        <f>IF(PMDCINE124152[[#This Row],[2024]]="","",DONNÉES!T239)</f>
        <v/>
      </c>
      <c r="M26" s="526">
        <f>IF(PMDCINE124152[[#This Row],[2024]]="","",DONNÉES!S287)</f>
        <v/>
      </c>
      <c r="N26" s="526">
        <f>IF(PMDCINE124152[[#This Row],[2024]]="","",DONNÉES!T287)</f>
        <v/>
      </c>
    </row>
    <row r="27" ht="10.15" customHeight="1" s="161">
      <c r="A27" s="490" t="inlineStr">
        <is>
          <t>Mai</t>
        </is>
      </c>
      <c r="B27" s="526">
        <f>IF(DONNÉES!S208="","",DONNÉES!S208)</f>
        <v/>
      </c>
      <c r="C27" s="527">
        <f>IF(PMDCINE124152[[#This Row],[2024]]="","",DONNÉES!T208)</f>
        <v/>
      </c>
      <c r="D27" s="526">
        <f>IF(PMDCINE124152[[#This Row],[2024]]="","",DONNÉES!S256)</f>
        <v/>
      </c>
      <c r="E27" s="528">
        <f>IF(PMDCINE124152[[#This Row],[2024]]="","",DONNÉES!T256)</f>
        <v/>
      </c>
      <c r="F27" s="526">
        <f>IF(PMDCINE124152[[#This Row],[2024]]="","",DONNÉES!S224)</f>
        <v/>
      </c>
      <c r="G27" s="527">
        <f>IF(PMDCINE124152[[#This Row],[2024]]="","",DONNÉES!T224)</f>
        <v/>
      </c>
      <c r="H27" s="526">
        <f>IF(PMDCINE124152[[#This Row],[2024]]="","",DONNÉES!S272)</f>
        <v/>
      </c>
      <c r="I27" s="526">
        <f>IF(PMDCINE124152[[#This Row],[2024]]="","",DONNÉES!T272)</f>
        <v/>
      </c>
      <c r="J27" s="474" t="n"/>
      <c r="K27" s="526">
        <f>IF(PMDCINE124152[[#This Row],[2024]]="","",DONNÉES!S240)</f>
        <v/>
      </c>
      <c r="L27" s="527">
        <f>IF(PMDCINE124152[[#This Row],[2024]]="","",DONNÉES!T240)</f>
        <v/>
      </c>
      <c r="M27" s="526">
        <f>IF(PMDCINE124152[[#This Row],[2024]]="","",DONNÉES!S288)</f>
        <v/>
      </c>
      <c r="N27" s="526">
        <f>IF(PMDCINE124152[[#This Row],[2024]]="","",DONNÉES!T288)</f>
        <v/>
      </c>
    </row>
    <row r="28" ht="10.15" customHeight="1" s="161">
      <c r="A28" s="494" t="inlineStr">
        <is>
          <t>Juin</t>
        </is>
      </c>
      <c r="B28" s="526">
        <f>IF(DONNÉES!S209="","",DONNÉES!S209)</f>
        <v/>
      </c>
      <c r="C28" s="527">
        <f>IF(PMDCINE124152[[#This Row],[2024]]="","",DONNÉES!T209)</f>
        <v/>
      </c>
      <c r="D28" s="526">
        <f>IF(PMDCINE124152[[#This Row],[2024]]="","",DONNÉES!S257)</f>
        <v/>
      </c>
      <c r="E28" s="528">
        <f>IF(PMDCINE124152[[#This Row],[2024]]="","",DONNÉES!T257)</f>
        <v/>
      </c>
      <c r="F28" s="526">
        <f>IF(PMDCINE124152[[#This Row],[2024]]="","",DONNÉES!S225)</f>
        <v/>
      </c>
      <c r="G28" s="527">
        <f>IF(PMDCINE124152[[#This Row],[2024]]="","",DONNÉES!T225)</f>
        <v/>
      </c>
      <c r="H28" s="526">
        <f>IF(PMDCINE124152[[#This Row],[2024]]="","",DONNÉES!S273)</f>
        <v/>
      </c>
      <c r="I28" s="526">
        <f>IF(PMDCINE124152[[#This Row],[2024]]="","",DONNÉES!T273)</f>
        <v/>
      </c>
      <c r="J28" s="474" t="n"/>
      <c r="K28" s="526">
        <f>IF(PMDCINE124152[[#This Row],[2024]]="","",DONNÉES!S241)</f>
        <v/>
      </c>
      <c r="L28" s="527">
        <f>IF(PMDCINE124152[[#This Row],[2024]]="","",DONNÉES!T241)</f>
        <v/>
      </c>
      <c r="M28" s="526">
        <f>IF(PMDCINE124152[[#This Row],[2024]]="","",DONNÉES!S289)</f>
        <v/>
      </c>
      <c r="N28" s="526">
        <f>IF(PMDCINE124152[[#This Row],[2024]]="","",DONNÉES!T289)</f>
        <v/>
      </c>
    </row>
    <row r="29" ht="10.15" customHeight="1" s="161">
      <c r="A29" s="490" t="inlineStr">
        <is>
          <t>Juillet</t>
        </is>
      </c>
      <c r="B29" s="526">
        <f>IF(DONNÉES!S210="","",DONNÉES!S210)</f>
        <v/>
      </c>
      <c r="C29" s="527">
        <f>IF(PMDCINE124152[[#This Row],[2024]]="","",DONNÉES!T210)</f>
        <v/>
      </c>
      <c r="D29" s="526">
        <f>IF(PMDCINE124152[[#This Row],[2024]]="","",DONNÉES!S258)</f>
        <v/>
      </c>
      <c r="E29" s="528">
        <f>IF(PMDCINE124152[[#This Row],[2024]]="","",DONNÉES!T258)</f>
        <v/>
      </c>
      <c r="F29" s="526">
        <f>IF(PMDCINE124152[[#This Row],[2024]]="","",DONNÉES!S226)</f>
        <v/>
      </c>
      <c r="G29" s="527">
        <f>IF(PMDCINE124152[[#This Row],[2024]]="","",DONNÉES!T226)</f>
        <v/>
      </c>
      <c r="H29" s="526">
        <f>IF(PMDCINE124152[[#This Row],[2024]]="","",DONNÉES!S274)</f>
        <v/>
      </c>
      <c r="I29" s="526">
        <f>IF(PMDCINE124152[[#This Row],[2024]]="","",DONNÉES!T274)</f>
        <v/>
      </c>
      <c r="J29" s="474" t="n"/>
      <c r="K29" s="526">
        <f>IF(PMDCINE124152[[#This Row],[2024]]="","",DONNÉES!S242)</f>
        <v/>
      </c>
      <c r="L29" s="527">
        <f>IF(PMDCINE124152[[#This Row],[2024]]="","",DONNÉES!T242)</f>
        <v/>
      </c>
      <c r="M29" s="526">
        <f>IF(PMDCINE124152[[#This Row],[2024]]="","",DONNÉES!S290)</f>
        <v/>
      </c>
      <c r="N29" s="526">
        <f>IF(PMDCINE124152[[#This Row],[2024]]="","",DONNÉES!T290)</f>
        <v/>
      </c>
    </row>
    <row r="30" ht="10.15" customHeight="1" s="161">
      <c r="A30" s="494" t="inlineStr">
        <is>
          <t>Août</t>
        </is>
      </c>
      <c r="B30" s="526">
        <f>IF(DONNÉES!S211="","",DONNÉES!S211)</f>
        <v/>
      </c>
      <c r="C30" s="527">
        <f>IF(PMDCINE124152[[#This Row],[2024]]="","",DONNÉES!T211)</f>
        <v/>
      </c>
      <c r="D30" s="526">
        <f>IF(PMDCINE124152[[#This Row],[2024]]="","",DONNÉES!S259)</f>
        <v/>
      </c>
      <c r="E30" s="528">
        <f>IF(PMDCINE124152[[#This Row],[2024]]="","",DONNÉES!T259)</f>
        <v/>
      </c>
      <c r="F30" s="526">
        <f>IF(PMDCINE124152[[#This Row],[2024]]="","",DONNÉES!S227)</f>
        <v/>
      </c>
      <c r="G30" s="527">
        <f>IF(PMDCINE124152[[#This Row],[2024]]="","",DONNÉES!T227)</f>
        <v/>
      </c>
      <c r="H30" s="526">
        <f>IF(PMDCINE124152[[#This Row],[2024]]="","",DONNÉES!S275)</f>
        <v/>
      </c>
      <c r="I30" s="526">
        <f>IF(PMDCINE124152[[#This Row],[2024]]="","",DONNÉES!T275)</f>
        <v/>
      </c>
      <c r="J30" s="474" t="n"/>
      <c r="K30" s="526">
        <f>IF(PMDCINE124152[[#This Row],[2024]]="","",DONNÉES!S243)</f>
        <v/>
      </c>
      <c r="L30" s="527">
        <f>IF(PMDCINE124152[[#This Row],[2024]]="","",DONNÉES!T243)</f>
        <v/>
      </c>
      <c r="M30" s="526">
        <f>IF(PMDCINE124152[[#This Row],[2024]]="","",DONNÉES!S291)</f>
        <v/>
      </c>
      <c r="N30" s="526">
        <f>IF(PMDCINE124152[[#This Row],[2024]]="","",DONNÉES!T291)</f>
        <v/>
      </c>
    </row>
    <row r="31" ht="10.15" customHeight="1" s="161">
      <c r="A31" s="490" t="inlineStr">
        <is>
          <t>Septembre</t>
        </is>
      </c>
      <c r="B31" s="526">
        <f>IF(DONNÉES!S212="","",DONNÉES!S212)</f>
        <v/>
      </c>
      <c r="C31" s="527">
        <f>IF(PMDCINE124152[[#This Row],[2024]]="","",DONNÉES!T212)</f>
        <v/>
      </c>
      <c r="D31" s="526">
        <f>IF(PMDCINE124152[[#This Row],[2024]]="","",DONNÉES!S260)</f>
        <v/>
      </c>
      <c r="E31" s="528">
        <f>IF(PMDCINE124152[[#This Row],[2024]]="","",DONNÉES!T260)</f>
        <v/>
      </c>
      <c r="F31" s="526">
        <f>IF(PMDCINE124152[[#This Row],[2024]]="","",DONNÉES!S228)</f>
        <v/>
      </c>
      <c r="G31" s="527">
        <f>IF(PMDCINE124152[[#This Row],[2024]]="","",DONNÉES!T228)</f>
        <v/>
      </c>
      <c r="H31" s="526">
        <f>IF(PMDCINE124152[[#This Row],[2024]]="","",DONNÉES!S276)</f>
        <v/>
      </c>
      <c r="I31" s="526">
        <f>IF(PMDCINE124152[[#This Row],[2024]]="","",DONNÉES!T276)</f>
        <v/>
      </c>
      <c r="J31" s="475" t="n"/>
      <c r="K31" s="529">
        <f>IF(PMDCINE124152[[#This Row],[2024]]="","",DONNÉES!S244)</f>
        <v/>
      </c>
      <c r="L31" s="530">
        <f>IF(PMDCINE124152[[#This Row],[2024]]="","",DONNÉES!T244)</f>
        <v/>
      </c>
      <c r="M31" s="529">
        <f>IF(PMDCINE124152[[#This Row],[2024]]="","",DONNÉES!S292)</f>
        <v/>
      </c>
      <c r="N31" s="529">
        <f>IF(PMDCINE124152[[#This Row],[2024]]="","",DONNÉES!T292)</f>
        <v/>
      </c>
    </row>
    <row r="32" ht="10.15" customHeight="1" s="161">
      <c r="A32" s="494" t="inlineStr">
        <is>
          <t>Octobre</t>
        </is>
      </c>
      <c r="B32" s="526">
        <f>IF(DONNÉES!S213="","",DONNÉES!S213)</f>
        <v/>
      </c>
      <c r="C32" s="527">
        <f>IF(PMDCINE124152[[#This Row],[2024]]="","",DONNÉES!T213)</f>
        <v/>
      </c>
      <c r="D32" s="526">
        <f>IF(PMDCINE124152[[#This Row],[2024]]="","",DONNÉES!S261)</f>
        <v/>
      </c>
      <c r="E32" s="528">
        <f>IF(PMDCINE124152[[#This Row],[2024]]="","",DONNÉES!T261)</f>
        <v/>
      </c>
      <c r="F32" s="526">
        <f>IF(PMDCINE124152[[#This Row],[2024]]="","",DONNÉES!S229)</f>
        <v/>
      </c>
      <c r="G32" s="527">
        <f>IF(PMDCINE124152[[#This Row],[2024]]="","",DONNÉES!T229)</f>
        <v/>
      </c>
      <c r="H32" s="526">
        <f>IF(PMDCINE124152[[#This Row],[2024]]="","",DONNÉES!S277)</f>
        <v/>
      </c>
      <c r="I32" s="526">
        <f>IF(PMDCINE124152[[#This Row],[2024]]="","",DONNÉES!T277)</f>
        <v/>
      </c>
      <c r="J32" s="474" t="n"/>
      <c r="K32" s="529">
        <f>IF(PMDCINE124152[[#This Row],[2024]]="","",DONNÉES!S245)</f>
        <v/>
      </c>
      <c r="L32" s="530">
        <f>IF(PMDCINE124152[[#This Row],[2024]]="","",DONNÉES!T245)</f>
        <v/>
      </c>
      <c r="M32" s="529">
        <f>IF(PMDCINE124152[[#This Row],[2024]]="","",DONNÉES!S293)</f>
        <v/>
      </c>
      <c r="N32" s="529">
        <f>IF(PMDCINE124152[[#This Row],[2024]]="","",DONNÉES!T293)</f>
        <v/>
      </c>
    </row>
    <row r="33" ht="10.15" customFormat="1" customHeight="1" s="476">
      <c r="A33" s="490" t="inlineStr">
        <is>
          <t>Novembre</t>
        </is>
      </c>
      <c r="B33" s="526">
        <f>IF(DONNÉES!S214="","",DONNÉES!S214)</f>
        <v/>
      </c>
      <c r="C33" s="527">
        <f>IF(PMDCINE124152[[#This Row],[2024]]="","",DONNÉES!T214)</f>
        <v/>
      </c>
      <c r="D33" s="526">
        <f>IF(PMDCINE124152[[#This Row],[2024]]="","",DONNÉES!S262)</f>
        <v/>
      </c>
      <c r="E33" s="528">
        <f>IF(PMDCINE124152[[#This Row],[2024]]="","",DONNÉES!T262)</f>
        <v/>
      </c>
      <c r="F33" s="526">
        <f>IF(PMDCINE124152[[#This Row],[2024]]="","",DONNÉES!S230)</f>
        <v/>
      </c>
      <c r="G33" s="527">
        <f>IF(PMDCINE124152[[#This Row],[2024]]="","",DONNÉES!T230)</f>
        <v/>
      </c>
      <c r="H33" s="526">
        <f>IF(PMDCINE124152[[#This Row],[2024]]="","",DONNÉES!S278)</f>
        <v/>
      </c>
      <c r="I33" s="526">
        <f>IF(PMDCINE124152[[#This Row],[2024]]="","",DONNÉES!T278)</f>
        <v/>
      </c>
      <c r="K33" s="529">
        <f>IF(PMDCINE124152[[#This Row],[2024]]="","",DONNÉES!S246)</f>
        <v/>
      </c>
      <c r="L33" s="530">
        <f>IF(PMDCINE124152[[#This Row],[2024]]="","",DONNÉES!T246)</f>
        <v/>
      </c>
      <c r="M33" s="529">
        <f>IF(PMDCINE124152[[#This Row],[2024]]="","",DONNÉES!S294)</f>
        <v/>
      </c>
      <c r="N33" s="529">
        <f>IF(PMDCINE124152[[#This Row],[2024]]="","",DONNÉES!T294)</f>
        <v/>
      </c>
    </row>
    <row r="34" ht="10.15" customFormat="1" customHeight="1" s="476">
      <c r="A34" s="490" t="inlineStr">
        <is>
          <t>Décembre</t>
        </is>
      </c>
      <c r="B34" s="526">
        <f>IF(DONNÉES!S215="","",DONNÉES!S215)</f>
        <v/>
      </c>
      <c r="C34" s="527">
        <f>IF(PMDCINE124152[[#This Row],[2024]]="","",DONNÉES!T215)</f>
        <v/>
      </c>
      <c r="D34" s="526">
        <f>IF(PMDCINE124152[[#This Row],[2024]]="","",DONNÉES!S263)</f>
        <v/>
      </c>
      <c r="E34" s="528">
        <f>IF(PMDCINE124152[[#This Row],[2024]]="","",DONNÉES!T263)</f>
        <v/>
      </c>
      <c r="F34" s="526">
        <f>IF(PMDCINE124152[[#This Row],[2024]]="","",DONNÉES!S231)</f>
        <v/>
      </c>
      <c r="G34" s="527">
        <f>IF(PMDCINE124152[[#This Row],[2024]]="","",DONNÉES!T231)</f>
        <v/>
      </c>
      <c r="H34" s="526">
        <f>IF(PMDCINE124152[[#This Row],[2024]]="","",DONNÉES!S279)</f>
        <v/>
      </c>
      <c r="I34" s="526">
        <f>IF(PMDCINE124152[[#This Row],[2024]]="","",DONNÉES!T279)</f>
        <v/>
      </c>
      <c r="K34" s="529">
        <f>IF(PMDCINE124152[[#This Row],[2024]]="","",DONNÉES!S247)</f>
        <v/>
      </c>
      <c r="L34" s="530">
        <f>IF(PMDCINE124152[[#This Row],[2024]]="","",DONNÉES!T247)</f>
        <v/>
      </c>
      <c r="M34" s="529">
        <f>IF(PMDCINE124152[[#This Row],[2024]]="","",DONNÉES!S295)</f>
        <v/>
      </c>
      <c r="N34" s="529">
        <f>IF(PMDCINE124152[[#This Row],[2024]]="","",DONNÉES!T295)</f>
        <v/>
      </c>
    </row>
    <row r="35" ht="11.65" customFormat="1" customHeight="1" s="476">
      <c r="A35" s="532" t="inlineStr">
        <is>
          <t xml:space="preserve"> TOTAL </t>
        </is>
      </c>
      <c r="B35" s="533">
        <f>SUBTOTAL(101,PMDCINE124152[2024])</f>
        <v/>
      </c>
      <c r="C35" s="534">
        <f>SUBTOTAL(101,PMDCINE124152[2023])</f>
        <v/>
      </c>
      <c r="D35" s="534">
        <f>SUBTOTAL(101,PMDCINE124152[2024 cumul])</f>
        <v/>
      </c>
      <c r="E35" s="535">
        <f>SUBTOTAL(101,PMDCINE124152[2023 cumul])</f>
        <v/>
      </c>
      <c r="F35" s="536">
        <f>SUBTOTAL(101,PMDCINE124152[[2024  ]])</f>
        <v/>
      </c>
      <c r="G35" s="537">
        <f>SUBTOTAL(101,PMDCINE124152[[2023  ]])</f>
        <v/>
      </c>
      <c r="H35" s="533">
        <f>SUBTOTAL(101,PMDCINE124152[[2024 cumul ]])</f>
        <v/>
      </c>
      <c r="I35" s="533">
        <f>SUBTOTAL(101,PMDCINE124152[[2023 cumul ]])</f>
        <v/>
      </c>
      <c r="K35" s="533">
        <f>SUBTOTAL(101,PMDHTR8[[2024  ]])</f>
        <v/>
      </c>
      <c r="L35" s="534">
        <f>SUBTOTAL(101,PMDHTR8[[2023  ]])</f>
        <v/>
      </c>
      <c r="M35" s="533">
        <f>SUBTOTAL(101,PMDHTR8[[2024 cumul ]])</f>
        <v/>
      </c>
      <c r="N35" s="533">
        <f>SUBTOTAL(101,PMDHTR8[[2023 cumul ]])</f>
        <v/>
      </c>
    </row>
    <row r="36" ht="12" customHeight="1" s="161">
      <c r="H36" s="474" t="n"/>
    </row>
    <row r="37" ht="15" customHeight="1" s="161">
      <c r="A37" s="505" t="n"/>
      <c r="B37" s="506" t="inlineStr">
        <is>
          <t>Sur place</t>
        </is>
      </c>
      <c r="C37" s="487" t="n"/>
      <c r="D37" s="487" t="n"/>
      <c r="E37" s="488" t="n"/>
      <c r="F37" s="507" t="inlineStr">
        <is>
          <t>A emporter</t>
        </is>
      </c>
      <c r="G37" s="487" t="n"/>
      <c r="H37" s="487" t="n"/>
      <c r="I37" s="487" t="n"/>
      <c r="J37" s="508" t="n"/>
      <c r="K37" s="507" t="inlineStr">
        <is>
          <t>Total</t>
        </is>
      </c>
      <c r="L37" s="487" t="n"/>
      <c r="M37" s="487" t="n"/>
      <c r="N37" s="487" t="n"/>
    </row>
    <row r="38" ht="30" customHeight="1" s="161">
      <c r="A38" s="490" t="inlineStr">
        <is>
          <t>TIRR</t>
        </is>
      </c>
      <c r="B38" s="491" t="inlineStr">
        <is>
          <t>2024</t>
        </is>
      </c>
      <c r="C38" s="492" t="inlineStr">
        <is>
          <t>2023</t>
        </is>
      </c>
      <c r="D38" s="491" t="inlineStr">
        <is>
          <t>2024 cumul</t>
        </is>
      </c>
      <c r="E38" s="493" t="inlineStr">
        <is>
          <t>2023 cumul</t>
        </is>
      </c>
      <c r="F38" s="491" t="inlineStr">
        <is>
          <t xml:space="preserve">2024  </t>
        </is>
      </c>
      <c r="G38" s="492" t="inlineStr">
        <is>
          <t xml:space="preserve">2023  </t>
        </is>
      </c>
      <c r="H38" s="491" t="inlineStr">
        <is>
          <t xml:space="preserve">2024 cumul </t>
        </is>
      </c>
      <c r="I38" s="525" t="inlineStr">
        <is>
          <t xml:space="preserve">2023 cumul </t>
        </is>
      </c>
      <c r="J38" s="474" t="n"/>
      <c r="K38" s="491" t="inlineStr">
        <is>
          <t xml:space="preserve">2024  </t>
        </is>
      </c>
      <c r="L38" s="492" t="inlineStr">
        <is>
          <t xml:space="preserve">2023  </t>
        </is>
      </c>
      <c r="M38" s="491" t="inlineStr">
        <is>
          <t xml:space="preserve">2024 cumul </t>
        </is>
      </c>
      <c r="N38" s="493" t="inlineStr">
        <is>
          <t xml:space="preserve">2023 cumul </t>
        </is>
      </c>
    </row>
    <row r="39" ht="10.15" customFormat="1" customHeight="1" s="476">
      <c r="A39" s="494" t="inlineStr">
        <is>
          <t>Janvier</t>
        </is>
      </c>
      <c r="B39" s="526">
        <f>IF(DONNÉES!AA204="","",DONNÉES!AA204)</f>
        <v/>
      </c>
      <c r="C39" s="527">
        <f>IF(PMDLN131159[[#This Row],[2024]]="","",DONNÉES!AB204)</f>
        <v/>
      </c>
      <c r="D39" s="526">
        <f>IF(PMDLN131159[[#This Row],[2024]]="","",DONNÉES!AA252)</f>
        <v/>
      </c>
      <c r="E39" s="528">
        <f>IF(PMDLN131159[[#This Row],[2024]]="","",DONNÉES!AB252)</f>
        <v/>
      </c>
      <c r="F39" s="526">
        <f>IF(PMDLN131159[[#This Row],[2024]]="","",DONNÉES!AA220)</f>
        <v/>
      </c>
      <c r="G39" s="527">
        <f>IF(PMDLN131159[[#This Row],[2024]]="","",DONNÉES!AB220)</f>
        <v/>
      </c>
      <c r="H39" s="526">
        <f>IF(PMDLN131159[[#This Row],[2024]]="","",DONNÉES!AA268)</f>
        <v/>
      </c>
      <c r="I39" s="526">
        <f>IF(PMDLN131159[[#This Row],[2024]]="","",DONNÉES!AB268)</f>
        <v/>
      </c>
      <c r="K39" s="526">
        <f>IF(PMDLN131159[[#This Row],[2024]]="","",DONNÉES!AA236)</f>
        <v/>
      </c>
      <c r="L39" s="527">
        <f>IF(PMDLN131159[[#This Row],[2024]]="","",DONNÉES!AB236)</f>
        <v/>
      </c>
      <c r="M39" s="527">
        <f>IF(PMDLN131159[[#This Row],[2024]]="","",DONNÉES!AA284)</f>
        <v/>
      </c>
      <c r="N39" s="526">
        <f>IF(PMDLN131159[[#This Row],[2024]]="","",DONNÉES!AB284)</f>
        <v/>
      </c>
    </row>
    <row r="40" ht="10.15" customFormat="1" customHeight="1" s="476">
      <c r="A40" s="494" t="inlineStr">
        <is>
          <t>Février</t>
        </is>
      </c>
      <c r="B40" s="526">
        <f>IF(DONNÉES!AA205="","",DONNÉES!AA205)</f>
        <v/>
      </c>
      <c r="C40" s="527">
        <f>IF(PMDLN131159[[#This Row],[2024]]="","",DONNÉES!AB205)</f>
        <v/>
      </c>
      <c r="D40" s="526">
        <f>IF(PMDLN131159[[#This Row],[2024]]="","",DONNÉES!AA253)</f>
        <v/>
      </c>
      <c r="E40" s="528">
        <f>IF(PMDLN131159[[#This Row],[2024]]="","",DONNÉES!AB253)</f>
        <v/>
      </c>
      <c r="F40" s="526">
        <f>IF(PMDLN131159[[#This Row],[2024]]="","",DONNÉES!AA221)</f>
        <v/>
      </c>
      <c r="G40" s="527">
        <f>IF(PMDLN131159[[#This Row],[2024]]="","",DONNÉES!AB221)</f>
        <v/>
      </c>
      <c r="H40" s="526">
        <f>IF(PMDLN131159[[#This Row],[2024]]="","",DONNÉES!AA269)</f>
        <v/>
      </c>
      <c r="I40" s="526">
        <f>IF(PMDLN131159[[#This Row],[2024]]="","",DONNÉES!AB269)</f>
        <v/>
      </c>
      <c r="K40" s="526">
        <f>IF(PMDLN131159[[#This Row],[2024]]="","",DONNÉES!AA237)</f>
        <v/>
      </c>
      <c r="L40" s="527">
        <f>IF(PMDLN131159[[#This Row],[2024]]="","",DONNÉES!AB237)</f>
        <v/>
      </c>
      <c r="M40" s="527">
        <f>IF(PMDLN131159[[#This Row],[2024]]="","",DONNÉES!AA285)</f>
        <v/>
      </c>
      <c r="N40" s="526">
        <f>IF(PMDLN131159[[#This Row],[2024]]="","",DONNÉES!AB285)</f>
        <v/>
      </c>
    </row>
    <row r="41" ht="10.15" customFormat="1" customHeight="1" s="476">
      <c r="A41" s="490" t="inlineStr">
        <is>
          <t>Mars</t>
        </is>
      </c>
      <c r="B41" s="526">
        <f>IF(DONNÉES!AA206="","",DONNÉES!AA206)</f>
        <v/>
      </c>
      <c r="C41" s="527">
        <f>IF(PMDLN131159[[#This Row],[2024]]="","",DONNÉES!AB206)</f>
        <v/>
      </c>
      <c r="D41" s="526">
        <f>IF(PMDLN131159[[#This Row],[2024]]="","",DONNÉES!AA254)</f>
        <v/>
      </c>
      <c r="E41" s="528">
        <f>IF(PMDLN131159[[#This Row],[2024]]="","",DONNÉES!AB254)</f>
        <v/>
      </c>
      <c r="F41" s="526">
        <f>IF(PMDLN131159[[#This Row],[2024]]="","",DONNÉES!AA222)</f>
        <v/>
      </c>
      <c r="G41" s="527">
        <f>IF(PMDLN131159[[#This Row],[2024]]="","",DONNÉES!AB222)</f>
        <v/>
      </c>
      <c r="H41" s="526">
        <f>IF(PMDLN131159[[#This Row],[2024]]="","",DONNÉES!AA270)</f>
        <v/>
      </c>
      <c r="I41" s="526">
        <f>IF(PMDLN131159[[#This Row],[2024]]="","",DONNÉES!AB270)</f>
        <v/>
      </c>
      <c r="K41" s="526">
        <f>IF(PMDLN131159[[#This Row],[2024]]="","",DONNÉES!AA238)</f>
        <v/>
      </c>
      <c r="L41" s="527">
        <f>IF(PMDLN131159[[#This Row],[2024]]="","",DONNÉES!AB238)</f>
        <v/>
      </c>
      <c r="M41" s="527">
        <f>IF(PMDLN131159[[#This Row],[2024]]="","",DONNÉES!AA286)</f>
        <v/>
      </c>
      <c r="N41" s="526">
        <f>IF(PMDLN131159[[#This Row],[2024]]="","",DONNÉES!AB286)</f>
        <v/>
      </c>
    </row>
    <row r="42" ht="10.15" customHeight="1" s="161">
      <c r="A42" s="494" t="inlineStr">
        <is>
          <t>Avril</t>
        </is>
      </c>
      <c r="B42" s="526">
        <f>IF(DONNÉES!AA207="","",DONNÉES!AA207)</f>
        <v/>
      </c>
      <c r="C42" s="527">
        <f>IF(PMDLN131159[[#This Row],[2024]]="","",DONNÉES!AB207)</f>
        <v/>
      </c>
      <c r="D42" s="526">
        <f>IF(PMDLN131159[[#This Row],[2024]]="","",DONNÉES!AA255)</f>
        <v/>
      </c>
      <c r="E42" s="528">
        <f>IF(PMDLN131159[[#This Row],[2024]]="","",DONNÉES!AB255)</f>
        <v/>
      </c>
      <c r="F42" s="526">
        <f>IF(PMDLN131159[[#This Row],[2024]]="","",DONNÉES!AA223)</f>
        <v/>
      </c>
      <c r="G42" s="527">
        <f>IF(PMDLN131159[[#This Row],[2024]]="","",DONNÉES!AB223)</f>
        <v/>
      </c>
      <c r="H42" s="526">
        <f>IF(PMDLN131159[[#This Row],[2024]]="","",DONNÉES!AA271)</f>
        <v/>
      </c>
      <c r="I42" s="526">
        <f>IF(PMDLN131159[[#This Row],[2024]]="","",DONNÉES!AB271)</f>
        <v/>
      </c>
      <c r="J42" s="474" t="n"/>
      <c r="K42" s="526">
        <f>IF(PMDLN131159[[#This Row],[2024]]="","",DONNÉES!AA239)</f>
        <v/>
      </c>
      <c r="L42" s="527">
        <f>IF(PMDLN131159[[#This Row],[2024]]="","",DONNÉES!AB239)</f>
        <v/>
      </c>
      <c r="M42" s="527">
        <f>IF(PMDLN131159[[#This Row],[2024]]="","",DONNÉES!AA287)</f>
        <v/>
      </c>
      <c r="N42" s="526">
        <f>IF(PMDLN131159[[#This Row],[2024]]="","",DONNÉES!AB287)</f>
        <v/>
      </c>
    </row>
    <row r="43" ht="10.15" customHeight="1" s="161">
      <c r="A43" s="490" t="inlineStr">
        <is>
          <t>Mai</t>
        </is>
      </c>
      <c r="B43" s="526">
        <f>IF(DONNÉES!AA208="","",DONNÉES!AA208)</f>
        <v/>
      </c>
      <c r="C43" s="527">
        <f>IF(PMDLN131159[[#This Row],[2024]]="","",DONNÉES!AB208)</f>
        <v/>
      </c>
      <c r="D43" s="526">
        <f>IF(PMDLN131159[[#This Row],[2024]]="","",DONNÉES!AA256)</f>
        <v/>
      </c>
      <c r="E43" s="528">
        <f>IF(PMDLN131159[[#This Row],[2024]]="","",DONNÉES!AB256)</f>
        <v/>
      </c>
      <c r="F43" s="526">
        <f>IF(PMDLN131159[[#This Row],[2024]]="","",DONNÉES!AA224)</f>
        <v/>
      </c>
      <c r="G43" s="527">
        <f>IF(PMDLN131159[[#This Row],[2024]]="","",DONNÉES!AB224)</f>
        <v/>
      </c>
      <c r="H43" s="526">
        <f>IF(PMDLN131159[[#This Row],[2024]]="","",DONNÉES!AA272)</f>
        <v/>
      </c>
      <c r="I43" s="526">
        <f>IF(PMDLN131159[[#This Row],[2024]]="","",DONNÉES!AB272)</f>
        <v/>
      </c>
      <c r="J43" s="474" t="n"/>
      <c r="K43" s="526">
        <f>IF(PMDLN131159[[#This Row],[2024]]="","",DONNÉES!AA240)</f>
        <v/>
      </c>
      <c r="L43" s="527">
        <f>IF(PMDLN131159[[#This Row],[2024]]="","",DONNÉES!AB240)</f>
        <v/>
      </c>
      <c r="M43" s="527">
        <f>IF(PMDLN131159[[#This Row],[2024]]="","",DONNÉES!AA288)</f>
        <v/>
      </c>
      <c r="N43" s="526">
        <f>IF(PMDLN131159[[#This Row],[2024]]="","",DONNÉES!AB288)</f>
        <v/>
      </c>
    </row>
    <row r="44" ht="10.15" customHeight="1" s="161">
      <c r="A44" s="494" t="inlineStr">
        <is>
          <t>Juin</t>
        </is>
      </c>
      <c r="B44" s="526">
        <f>IF(DONNÉES!AA209="","",DONNÉES!AA209)</f>
        <v/>
      </c>
      <c r="C44" s="527">
        <f>IF(PMDLN131159[[#This Row],[2024]]="","",DONNÉES!AB209)</f>
        <v/>
      </c>
      <c r="D44" s="526">
        <f>IF(PMDLN131159[[#This Row],[2024]]="","",DONNÉES!AA257)</f>
        <v/>
      </c>
      <c r="E44" s="528">
        <f>IF(PMDLN131159[[#This Row],[2024]]="","",DONNÉES!AB257)</f>
        <v/>
      </c>
      <c r="F44" s="526">
        <f>IF(PMDLN131159[[#This Row],[2024]]="","",DONNÉES!AA225)</f>
        <v/>
      </c>
      <c r="G44" s="527">
        <f>IF(PMDLN131159[[#This Row],[2024]]="","",DONNÉES!AB225)</f>
        <v/>
      </c>
      <c r="H44" s="526">
        <f>IF(PMDLN131159[[#This Row],[2024]]="","",DONNÉES!AA273)</f>
        <v/>
      </c>
      <c r="I44" s="526">
        <f>IF(PMDLN131159[[#This Row],[2024]]="","",DONNÉES!AB273)</f>
        <v/>
      </c>
      <c r="J44" s="474" t="n"/>
      <c r="K44" s="526">
        <f>IF(PMDLN131159[[#This Row],[2024]]="","",DONNÉES!AA241)</f>
        <v/>
      </c>
      <c r="L44" s="527">
        <f>IF(PMDLN131159[[#This Row],[2024]]="","",DONNÉES!AB241)</f>
        <v/>
      </c>
      <c r="M44" s="527">
        <f>IF(PMDLN131159[[#This Row],[2024]]="","",DONNÉES!AA289)</f>
        <v/>
      </c>
      <c r="N44" s="526">
        <f>IF(PMDLN131159[[#This Row],[2024]]="","",DONNÉES!AB289)</f>
        <v/>
      </c>
    </row>
    <row r="45" ht="10.15" customHeight="1" s="161">
      <c r="A45" s="490" t="inlineStr">
        <is>
          <t>Juillet</t>
        </is>
      </c>
      <c r="B45" s="526">
        <f>IF(DONNÉES!AA210="","",DONNÉES!AA210)</f>
        <v/>
      </c>
      <c r="C45" s="527">
        <f>IF(PMDLN131159[[#This Row],[2024]]="","",DONNÉES!AB210)</f>
        <v/>
      </c>
      <c r="D45" s="526">
        <f>IF(PMDLN131159[[#This Row],[2024]]="","",DONNÉES!AA258)</f>
        <v/>
      </c>
      <c r="E45" s="528">
        <f>IF(PMDLN131159[[#This Row],[2024]]="","",DONNÉES!AB258)</f>
        <v/>
      </c>
      <c r="F45" s="526">
        <f>IF(PMDLN131159[[#This Row],[2024]]="","",DONNÉES!AA226)</f>
        <v/>
      </c>
      <c r="G45" s="527">
        <f>IF(PMDLN131159[[#This Row],[2024]]="","",DONNÉES!AB226)</f>
        <v/>
      </c>
      <c r="H45" s="526">
        <f>IF(PMDLN131159[[#This Row],[2024]]="","",DONNÉES!AA274)</f>
        <v/>
      </c>
      <c r="I45" s="526">
        <f>IF(PMDLN131159[[#This Row],[2024]]="","",DONNÉES!AB274)</f>
        <v/>
      </c>
      <c r="J45" s="474" t="n"/>
      <c r="K45" s="526">
        <f>IF(PMDLN131159[[#This Row],[2024]]="","",DONNÉES!AA242)</f>
        <v/>
      </c>
      <c r="L45" s="527">
        <f>IF(PMDLN131159[[#This Row],[2024]]="","",DONNÉES!AB242)</f>
        <v/>
      </c>
      <c r="M45" s="527">
        <f>IF(PMDLN131159[[#This Row],[2024]]="","",DONNÉES!AA290)</f>
        <v/>
      </c>
      <c r="N45" s="526">
        <f>IF(PMDLN131159[[#This Row],[2024]]="","",DONNÉES!AB290)</f>
        <v/>
      </c>
    </row>
    <row r="46" ht="10.15" customHeight="1" s="161">
      <c r="A46" s="494" t="inlineStr">
        <is>
          <t>Août</t>
        </is>
      </c>
      <c r="B46" s="526">
        <f>IF(DONNÉES!AA211="","",DONNÉES!AA211)</f>
        <v/>
      </c>
      <c r="C46" s="527">
        <f>IF(PMDLN131159[[#This Row],[2024]]="","",DONNÉES!AB211)</f>
        <v/>
      </c>
      <c r="D46" s="526">
        <f>IF(PMDLN131159[[#This Row],[2024]]="","",DONNÉES!AA259)</f>
        <v/>
      </c>
      <c r="E46" s="528">
        <f>IF(PMDLN131159[[#This Row],[2024]]="","",DONNÉES!AB259)</f>
        <v/>
      </c>
      <c r="F46" s="526">
        <f>IF(PMDLN131159[[#This Row],[2024]]="","",DONNÉES!AA227)</f>
        <v/>
      </c>
      <c r="G46" s="527">
        <f>IF(PMDLN131159[[#This Row],[2024]]="","",DONNÉES!AB227)</f>
        <v/>
      </c>
      <c r="H46" s="526">
        <f>IF(PMDLN131159[[#This Row],[2024]]="","",DONNÉES!AA275)</f>
        <v/>
      </c>
      <c r="I46" s="526">
        <f>IF(PMDLN131159[[#This Row],[2024]]="","",DONNÉES!AB275)</f>
        <v/>
      </c>
      <c r="J46" s="474" t="n"/>
      <c r="K46" s="526">
        <f>IF(PMDLN131159[[#This Row],[2024]]="","",DONNÉES!AA243)</f>
        <v/>
      </c>
      <c r="L46" s="527">
        <f>IF(PMDLN131159[[#This Row],[2024]]="","",DONNÉES!AB243)</f>
        <v/>
      </c>
      <c r="M46" s="527">
        <f>IF(PMDLN131159[[#This Row],[2024]]="","",DONNÉES!AA291)</f>
        <v/>
      </c>
      <c r="N46" s="526">
        <f>IF(PMDLN131159[[#This Row],[2024]]="","",DONNÉES!AB291)</f>
        <v/>
      </c>
    </row>
    <row r="47" ht="10.15" customHeight="1" s="161">
      <c r="A47" s="490" t="inlineStr">
        <is>
          <t>Septembre</t>
        </is>
      </c>
      <c r="B47" s="526">
        <f>IF(DONNÉES!AA212="","",DONNÉES!AA212)</f>
        <v/>
      </c>
      <c r="C47" s="527">
        <f>IF(PMDLN131159[[#This Row],[2024]]="","",DONNÉES!AB212)</f>
        <v/>
      </c>
      <c r="D47" s="526">
        <f>IF(PMDLN131159[[#This Row],[2024]]="","",DONNÉES!AA260)</f>
        <v/>
      </c>
      <c r="E47" s="528">
        <f>IF(PMDLN131159[[#This Row],[2024]]="","",DONNÉES!AB260)</f>
        <v/>
      </c>
      <c r="F47" s="526">
        <f>IF(PMDLN131159[[#This Row],[2024]]="","",DONNÉES!AA228)</f>
        <v/>
      </c>
      <c r="G47" s="527">
        <f>IF(PMDLN131159[[#This Row],[2024]]="","",DONNÉES!AB228)</f>
        <v/>
      </c>
      <c r="H47" s="526">
        <f>IF(PMDLN131159[[#This Row],[2024]]="","",DONNÉES!AA276)</f>
        <v/>
      </c>
      <c r="I47" s="526">
        <f>IF(PMDLN131159[[#This Row],[2024]]="","",DONNÉES!AB276)</f>
        <v/>
      </c>
      <c r="J47" s="475" t="n"/>
      <c r="K47" s="529">
        <f>IF(PMDLN131159[[#This Row],[2024]]="","",DONNÉES!AA244)</f>
        <v/>
      </c>
      <c r="L47" s="530">
        <f>IF(PMDLN131159[[#This Row],[2024]]="","",DONNÉES!AB244)</f>
        <v/>
      </c>
      <c r="M47" s="530">
        <f>IF(PMDLN131159[[#This Row],[2024]]="","",DONNÉES!AA292)</f>
        <v/>
      </c>
      <c r="N47" s="529">
        <f>IF(PMDLN131159[[#This Row],[2024]]="","",DONNÉES!AB292)</f>
        <v/>
      </c>
    </row>
    <row r="48" ht="10.15" customHeight="1" s="161">
      <c r="A48" s="494" t="inlineStr">
        <is>
          <t>Octobre</t>
        </is>
      </c>
      <c r="B48" s="526">
        <f>IF(DONNÉES!AA213="","",DONNÉES!AA213)</f>
        <v/>
      </c>
      <c r="C48" s="527">
        <f>IF(PMDLN131159[[#This Row],[2024]]="","",DONNÉES!AB213)</f>
        <v/>
      </c>
      <c r="D48" s="526">
        <f>IF(PMDLN131159[[#This Row],[2024]]="","",DONNÉES!AA261)</f>
        <v/>
      </c>
      <c r="E48" s="528">
        <f>IF(PMDLN131159[[#This Row],[2024]]="","",DONNÉES!AB261)</f>
        <v/>
      </c>
      <c r="F48" s="526">
        <f>IF(PMDLN131159[[#This Row],[2024]]="","",DONNÉES!AA229)</f>
        <v/>
      </c>
      <c r="G48" s="527">
        <f>IF(PMDLN131159[[#This Row],[2024]]="","",DONNÉES!AB229)</f>
        <v/>
      </c>
      <c r="H48" s="526">
        <f>IF(PMDLN131159[[#This Row],[2024]]="","",DONNÉES!AA277)</f>
        <v/>
      </c>
      <c r="I48" s="526">
        <f>IF(PMDLN131159[[#This Row],[2024]]="","",DONNÉES!AB277)</f>
        <v/>
      </c>
      <c r="J48" s="474" t="n"/>
      <c r="K48" s="529">
        <f>IF(PMDLN131159[[#This Row],[2024]]="","",DONNÉES!AA245)</f>
        <v/>
      </c>
      <c r="L48" s="530">
        <f>IF(PMDLN131159[[#This Row],[2024]]="","",DONNÉES!AB245)</f>
        <v/>
      </c>
      <c r="M48" s="530">
        <f>IF(PMDLN131159[[#This Row],[2024]]="","",DONNÉES!AA293)</f>
        <v/>
      </c>
      <c r="N48" s="529">
        <f>IF(PMDLN131159[[#This Row],[2024]]="","",DONNÉES!AB293)</f>
        <v/>
      </c>
    </row>
    <row r="49" ht="10.15" customFormat="1" customHeight="1" s="476">
      <c r="A49" s="490" t="inlineStr">
        <is>
          <t>Novembre</t>
        </is>
      </c>
      <c r="B49" s="526">
        <f>IF(DONNÉES!AA214="","",DONNÉES!AA214)</f>
        <v/>
      </c>
      <c r="C49" s="527">
        <f>IF(PMDLN131159[[#This Row],[2024]]="","",DONNÉES!AB214)</f>
        <v/>
      </c>
      <c r="D49" s="526">
        <f>IF(PMDLN131159[[#This Row],[2024]]="","",DONNÉES!AA262)</f>
        <v/>
      </c>
      <c r="E49" s="528">
        <f>IF(PMDLN131159[[#This Row],[2024]]="","",DONNÉES!AB262)</f>
        <v/>
      </c>
      <c r="F49" s="526">
        <f>IF(PMDLN131159[[#This Row],[2024]]="","",DONNÉES!AA230)</f>
        <v/>
      </c>
      <c r="G49" s="527">
        <f>IF(PMDLN131159[[#This Row],[2024]]="","",DONNÉES!AB230)</f>
        <v/>
      </c>
      <c r="H49" s="526">
        <f>IF(PMDLN131159[[#This Row],[2024]]="","",DONNÉES!AA278)</f>
        <v/>
      </c>
      <c r="I49" s="526">
        <f>IF(PMDLN131159[[#This Row],[2024]]="","",DONNÉES!AB278)</f>
        <v/>
      </c>
      <c r="K49" s="529">
        <f>IF(PMDLN131159[[#This Row],[2024]]="","",DONNÉES!AA246)</f>
        <v/>
      </c>
      <c r="L49" s="530">
        <f>IF(PMDLN131159[[#This Row],[2024]]="","",DONNÉES!AB246)</f>
        <v/>
      </c>
      <c r="M49" s="530">
        <f>IF(PMDLN131159[[#This Row],[2024]]="","",DONNÉES!AA294)</f>
        <v/>
      </c>
      <c r="N49" s="529">
        <f>IF(PMDLN131159[[#This Row],[2024]]="","",DONNÉES!AB294)</f>
        <v/>
      </c>
    </row>
    <row r="50" ht="10.15" customFormat="1" customHeight="1" s="476">
      <c r="A50" s="490" t="inlineStr">
        <is>
          <t>Décembre</t>
        </is>
      </c>
      <c r="B50" s="526">
        <f>IF(DONNÉES!AA215="","",DONNÉES!AA215)</f>
        <v/>
      </c>
      <c r="C50" s="527">
        <f>IF(PMDLN131159[[#This Row],[2024]]="","",DONNÉES!AB215)</f>
        <v/>
      </c>
      <c r="D50" s="526">
        <f>IF(PMDLN131159[[#This Row],[2024]]="","",DONNÉES!AA263)</f>
        <v/>
      </c>
      <c r="E50" s="528">
        <f>IF(PMDLN131159[[#This Row],[2024]]="","",DONNÉES!AB263)</f>
        <v/>
      </c>
      <c r="F50" s="526">
        <f>IF(PMDLN131159[[#This Row],[2024]]="","",DONNÉES!AA231)</f>
        <v/>
      </c>
      <c r="G50" s="527">
        <f>IF(PMDLN131159[[#This Row],[2024]]="","",DONNÉES!AB231)</f>
        <v/>
      </c>
      <c r="H50" s="526">
        <f>IF(PMDLN131159[[#This Row],[2024]]="","",DONNÉES!AA279)</f>
        <v/>
      </c>
      <c r="I50" s="526">
        <f>IF(PMDLN131159[[#This Row],[2024]]="","",DONNÉES!AB279)</f>
        <v/>
      </c>
      <c r="K50" s="529">
        <f>IF(PMDLN131159[[#This Row],[2024]]="","",DONNÉES!AA247)</f>
        <v/>
      </c>
      <c r="L50" s="530">
        <f>IF(PMDLN131159[[#This Row],[2024]]="","",DONNÉES!AB247)</f>
        <v/>
      </c>
      <c r="M50" s="530">
        <f>IF(PMDLN131159[[#This Row],[2024]]="","",DONNÉES!AA295)</f>
        <v/>
      </c>
      <c r="N50" s="529">
        <f>IF(PMDLN131159[[#This Row],[2024]]="","",DONNÉES!AB295)</f>
        <v/>
      </c>
    </row>
    <row r="51" ht="11.65" customFormat="1" customHeight="1" s="476">
      <c r="A51" s="532" t="inlineStr">
        <is>
          <t xml:space="preserve"> TOTAL </t>
        </is>
      </c>
      <c r="B51" s="533">
        <f>SUBTOTAL(101,PMDLN131159[2024])</f>
        <v/>
      </c>
      <c r="C51" s="534">
        <f>SUBTOTAL(101,PMDLN131159[2023])</f>
        <v/>
      </c>
      <c r="D51" s="534">
        <f>SUBTOTAL(101,PMDLN131159[2024 cumul])</f>
        <v/>
      </c>
      <c r="E51" s="535">
        <f>SUBTOTAL(101,PMDLN131159[2023 cumul])</f>
        <v/>
      </c>
      <c r="F51" s="536">
        <f>SUBTOTAL(101,PMDLN131159[[2024  ]])</f>
        <v/>
      </c>
      <c r="G51" s="537">
        <f>SUBTOTAL(101,PMDLN131159[[2023  ]])</f>
        <v/>
      </c>
      <c r="H51" s="533">
        <f>SUBTOTAL(101,PMDLN131159[[2024 cumul ]])</f>
        <v/>
      </c>
      <c r="I51" s="533">
        <f>SUBTOTAL(101,PMDLN131159[[2023 cumul ]])</f>
        <v/>
      </c>
      <c r="K51" s="533">
        <f>SUBTOTAL(101,PMDTIRR[[2024  ]])</f>
        <v/>
      </c>
      <c r="L51" s="534">
        <f>SUBTOTAL(101,PMDTIRR[[2023  ]])</f>
        <v/>
      </c>
      <c r="M51" s="534">
        <f>SUBTOTAL(101,PMDTIRR[[2024 cumul ]])</f>
        <v/>
      </c>
      <c r="N51" s="533">
        <f>SUBTOTAL(101,PMDTIRR[[2023 cumul ]])</f>
        <v/>
      </c>
    </row>
    <row r="52" ht="11.65" customFormat="1" customHeight="1" s="476">
      <c r="A52" s="532" t="n"/>
      <c r="B52" s="533" t="n"/>
      <c r="C52" s="533" t="n"/>
      <c r="D52" s="533" t="n"/>
      <c r="E52" s="535" t="n"/>
      <c r="F52" s="536" t="n"/>
      <c r="G52" s="536" t="n"/>
      <c r="H52" s="533" t="n"/>
      <c r="I52" s="533" t="n"/>
      <c r="K52" s="533" t="n"/>
      <c r="L52" s="533" t="n"/>
      <c r="M52" s="533" t="n"/>
      <c r="N52" s="533" t="n"/>
    </row>
    <row r="53" ht="15" customHeight="1" s="161">
      <c r="A53" s="510" t="n"/>
      <c r="B53" s="511" t="inlineStr">
        <is>
          <t>Sur place</t>
        </is>
      </c>
      <c r="C53" s="487" t="n"/>
      <c r="D53" s="487" t="n"/>
      <c r="E53" s="488" t="n"/>
      <c r="F53" s="512" t="inlineStr">
        <is>
          <t>A emporter</t>
        </is>
      </c>
      <c r="G53" s="487" t="n"/>
      <c r="H53" s="487" t="n"/>
      <c r="I53" s="487" t="n"/>
      <c r="J53" s="508" t="n"/>
      <c r="K53" s="512" t="inlineStr">
        <is>
          <t>Total</t>
        </is>
      </c>
      <c r="L53" s="487" t="n"/>
      <c r="M53" s="487" t="n"/>
      <c r="N53" s="487" t="n"/>
    </row>
    <row r="54" ht="30" customHeight="1" s="161">
      <c r="A54" s="490" t="inlineStr">
        <is>
          <t>VR7</t>
        </is>
      </c>
      <c r="B54" s="491" t="inlineStr">
        <is>
          <t>2024</t>
        </is>
      </c>
      <c r="C54" s="492" t="inlineStr">
        <is>
          <t>2023</t>
        </is>
      </c>
      <c r="D54" s="491" t="inlineStr">
        <is>
          <t>2024 cumul</t>
        </is>
      </c>
      <c r="E54" s="493" t="inlineStr">
        <is>
          <t>2023 cumul</t>
        </is>
      </c>
      <c r="F54" s="491" t="inlineStr">
        <is>
          <t xml:space="preserve">2024  </t>
        </is>
      </c>
      <c r="G54" s="492" t="inlineStr">
        <is>
          <t xml:space="preserve">2023  </t>
        </is>
      </c>
      <c r="H54" s="491" t="inlineStr">
        <is>
          <t xml:space="preserve">2024 cumul </t>
        </is>
      </c>
      <c r="I54" s="525" t="inlineStr">
        <is>
          <t xml:space="preserve">2023 cumul </t>
        </is>
      </c>
      <c r="J54" s="474" t="n"/>
      <c r="K54" s="491" t="inlineStr">
        <is>
          <t xml:space="preserve">2024  </t>
        </is>
      </c>
      <c r="L54" s="492" t="inlineStr">
        <is>
          <t xml:space="preserve">2023  </t>
        </is>
      </c>
      <c r="M54" s="491" t="inlineStr">
        <is>
          <t xml:space="preserve">2024 cumul </t>
        </is>
      </c>
      <c r="N54" s="493" t="inlineStr">
        <is>
          <t xml:space="preserve">2023 cumul </t>
        </is>
      </c>
    </row>
    <row r="55" ht="10.15" customFormat="1" customHeight="1" s="476">
      <c r="A55" s="494" t="inlineStr">
        <is>
          <t>Janvier</t>
        </is>
      </c>
      <c r="B55" s="526">
        <f>IF(DONNÉES!AI204="","",DONNÉES!AI204)</f>
        <v/>
      </c>
      <c r="C55" s="527">
        <f>IF(PMDBIGNALET117[[#This Row],[2024]]="","",DONNÉES!AJ204)</f>
        <v/>
      </c>
      <c r="D55" s="526">
        <f>IF(PMDBIGNALET117[[#This Row],[2024]]="","",DONNÉES!AI252)</f>
        <v/>
      </c>
      <c r="E55" s="528">
        <f>IF(PMDBIGNALET117[[#This Row],[2024]]="","",DONNÉES!AJ252)</f>
        <v/>
      </c>
      <c r="F55" s="526">
        <f>IF(PMDBIGNALET117[[#This Row],[2024]]="","",DONNÉES!AI220)</f>
        <v/>
      </c>
      <c r="G55" s="527">
        <f>IF(PMDBIGNALET117[[#This Row],[2024]]="","",DONNÉES!AJ220)</f>
        <v/>
      </c>
      <c r="H55" s="526">
        <f>IF(PMDBIGNALET117[[#This Row],[2024]]="","",DONNÉES!AI268)</f>
        <v/>
      </c>
      <c r="I55" s="526">
        <f>IF(PMDBIGNALET117[[#This Row],[2024]]="","",DONNÉES!AJ268)</f>
        <v/>
      </c>
      <c r="K55" s="526">
        <f>IF(PMDBIGNALET117[[#This Row],[2024]]="","",DONNÉES!AI236)</f>
        <v/>
      </c>
      <c r="L55" s="527">
        <f>IF(PMDBIGNALET117[[#This Row],[2024]]="","",DONNÉES!AJ236)</f>
        <v/>
      </c>
      <c r="M55" s="526">
        <f>IF(PMDBIGNALET117[[#This Row],[2024]]="","",DONNÉES!AI284)</f>
        <v/>
      </c>
      <c r="N55" s="526">
        <f>IF(PMDBIGNALET117[[#This Row],[2024]]="","",DONNÉES!AJ284)</f>
        <v/>
      </c>
    </row>
    <row r="56" ht="10.15" customFormat="1" customHeight="1" s="476">
      <c r="A56" s="494" t="inlineStr">
        <is>
          <t>Février</t>
        </is>
      </c>
      <c r="B56" s="526">
        <f>IF(DONNÉES!AI205="","",DONNÉES!AI205)</f>
        <v/>
      </c>
      <c r="C56" s="527">
        <f>IF(PMDBIGNALET117[[#This Row],[2024]]="","",DONNÉES!AJ205)</f>
        <v/>
      </c>
      <c r="D56" s="526">
        <f>IF(PMDBIGNALET117[[#This Row],[2024]]="","",DONNÉES!AI253)</f>
        <v/>
      </c>
      <c r="E56" s="528">
        <f>IF(PMDBIGNALET117[[#This Row],[2024]]="","",DONNÉES!AJ253)</f>
        <v/>
      </c>
      <c r="F56" s="526">
        <f>IF(PMDBIGNALET117[[#This Row],[2024]]="","",DONNÉES!AI221)</f>
        <v/>
      </c>
      <c r="G56" s="527">
        <f>IF(PMDBIGNALET117[[#This Row],[2024]]="","",DONNÉES!AJ221)</f>
        <v/>
      </c>
      <c r="H56" s="526">
        <f>IF(PMDBIGNALET117[[#This Row],[2024]]="","",DONNÉES!AI269)</f>
        <v/>
      </c>
      <c r="I56" s="526">
        <f>IF(PMDBIGNALET117[[#This Row],[2024]]="","",DONNÉES!AJ269)</f>
        <v/>
      </c>
      <c r="K56" s="526">
        <f>IF(PMDBIGNALET117[[#This Row],[2024]]="","",DONNÉES!AI237)</f>
        <v/>
      </c>
      <c r="L56" s="527">
        <f>IF(PMDBIGNALET117[[#This Row],[2024]]="","",DONNÉES!AJ237)</f>
        <v/>
      </c>
      <c r="M56" s="526">
        <f>IF(PMDBIGNALET117[[#This Row],[2024]]="","",DONNÉES!AI285)</f>
        <v/>
      </c>
      <c r="N56" s="526">
        <f>IF(PMDBIGNALET117[[#This Row],[2024]]="","",DONNÉES!AJ285)</f>
        <v/>
      </c>
    </row>
    <row r="57" ht="10.15" customFormat="1" customHeight="1" s="476">
      <c r="A57" s="490" t="inlineStr">
        <is>
          <t>Mars</t>
        </is>
      </c>
      <c r="B57" s="526">
        <f>IF(DONNÉES!AI206="","",DONNÉES!AI206)</f>
        <v/>
      </c>
      <c r="C57" s="527">
        <f>IF(PMDBIGNALET117[[#This Row],[2024]]="","",DONNÉES!AJ206)</f>
        <v/>
      </c>
      <c r="D57" s="526">
        <f>IF(PMDBIGNALET117[[#This Row],[2024]]="","",DONNÉES!AI254)</f>
        <v/>
      </c>
      <c r="E57" s="528">
        <f>IF(PMDBIGNALET117[[#This Row],[2024]]="","",DONNÉES!AJ254)</f>
        <v/>
      </c>
      <c r="F57" s="526">
        <f>IF(PMDBIGNALET117[[#This Row],[2024]]="","",DONNÉES!AI222)</f>
        <v/>
      </c>
      <c r="G57" s="527">
        <f>IF(PMDBIGNALET117[[#This Row],[2024]]="","",DONNÉES!AJ222)</f>
        <v/>
      </c>
      <c r="H57" s="526">
        <f>IF(PMDBIGNALET117[[#This Row],[2024]]="","",DONNÉES!AI270)</f>
        <v/>
      </c>
      <c r="I57" s="526">
        <f>IF(PMDBIGNALET117[[#This Row],[2024]]="","",DONNÉES!AJ270)</f>
        <v/>
      </c>
      <c r="K57" s="526">
        <f>IF(PMDBIGNALET117[[#This Row],[2024]]="","",DONNÉES!AI238)</f>
        <v/>
      </c>
      <c r="L57" s="527">
        <f>IF(PMDBIGNALET117[[#This Row],[2024]]="","",DONNÉES!AJ238)</f>
        <v/>
      </c>
      <c r="M57" s="526">
        <f>IF(PMDBIGNALET117[[#This Row],[2024]]="","",DONNÉES!AI286)</f>
        <v/>
      </c>
      <c r="N57" s="526">
        <f>IF(PMDBIGNALET117[[#This Row],[2024]]="","",DONNÉES!AJ286)</f>
        <v/>
      </c>
    </row>
    <row r="58" ht="10.15" customHeight="1" s="161">
      <c r="A58" s="494" t="inlineStr">
        <is>
          <t>Avril</t>
        </is>
      </c>
      <c r="B58" s="526">
        <f>IF(DONNÉES!AI207="","",DONNÉES!AI207)</f>
        <v/>
      </c>
      <c r="C58" s="527">
        <f>IF(PMDBIGNALET117[[#This Row],[2024]]="","",DONNÉES!AJ207)</f>
        <v/>
      </c>
      <c r="D58" s="526">
        <f>IF(PMDBIGNALET117[[#This Row],[2024]]="","",DONNÉES!AI255)</f>
        <v/>
      </c>
      <c r="E58" s="528">
        <f>IF(PMDBIGNALET117[[#This Row],[2024]]="","",DONNÉES!AJ255)</f>
        <v/>
      </c>
      <c r="F58" s="526">
        <f>IF(PMDBIGNALET117[[#This Row],[2024]]="","",DONNÉES!AI223)</f>
        <v/>
      </c>
      <c r="G58" s="527">
        <f>IF(PMDBIGNALET117[[#This Row],[2024]]="","",DONNÉES!AJ223)</f>
        <v/>
      </c>
      <c r="H58" s="526">
        <f>IF(PMDBIGNALET117[[#This Row],[2024]]="","",DONNÉES!AI271)</f>
        <v/>
      </c>
      <c r="I58" s="526">
        <f>IF(PMDBIGNALET117[[#This Row],[2024]]="","",DONNÉES!AJ271)</f>
        <v/>
      </c>
      <c r="J58" s="474" t="n"/>
      <c r="K58" s="526">
        <f>IF(PMDBIGNALET117[[#This Row],[2024]]="","",DONNÉES!AI239)</f>
        <v/>
      </c>
      <c r="L58" s="527">
        <f>IF(PMDBIGNALET117[[#This Row],[2024]]="","",DONNÉES!AJ239)</f>
        <v/>
      </c>
      <c r="M58" s="526">
        <f>IF(PMDBIGNALET117[[#This Row],[2024]]="","",DONNÉES!AI287)</f>
        <v/>
      </c>
      <c r="N58" s="526">
        <f>IF(PMDBIGNALET117[[#This Row],[2024]]="","",DONNÉES!AJ287)</f>
        <v/>
      </c>
    </row>
    <row r="59" ht="10.15" customHeight="1" s="161">
      <c r="A59" s="490" t="inlineStr">
        <is>
          <t>Mai</t>
        </is>
      </c>
      <c r="B59" s="526">
        <f>IF(DONNÉES!AI208="","",DONNÉES!AI208)</f>
        <v/>
      </c>
      <c r="C59" s="527">
        <f>IF(PMDBIGNALET117[[#This Row],[2024]]="","",DONNÉES!AJ208)</f>
        <v/>
      </c>
      <c r="D59" s="526">
        <f>IF(PMDBIGNALET117[[#This Row],[2024]]="","",DONNÉES!AI256)</f>
        <v/>
      </c>
      <c r="E59" s="528">
        <f>IF(PMDBIGNALET117[[#This Row],[2024]]="","",DONNÉES!AJ256)</f>
        <v/>
      </c>
      <c r="F59" s="526">
        <f>IF(PMDBIGNALET117[[#This Row],[2024]]="","",DONNÉES!AI224)</f>
        <v/>
      </c>
      <c r="G59" s="527">
        <f>IF(PMDBIGNALET117[[#This Row],[2024]]="","",DONNÉES!AJ224)</f>
        <v/>
      </c>
      <c r="H59" s="526">
        <f>IF(PMDBIGNALET117[[#This Row],[2024]]="","",DONNÉES!AI272)</f>
        <v/>
      </c>
      <c r="I59" s="526">
        <f>IF(PMDBIGNALET117[[#This Row],[2024]]="","",DONNÉES!AJ272)</f>
        <v/>
      </c>
      <c r="J59" s="474" t="n"/>
      <c r="K59" s="526">
        <f>IF(PMDBIGNALET117[[#This Row],[2024]]="","",DONNÉES!AI240)</f>
        <v/>
      </c>
      <c r="L59" s="527">
        <f>IF(PMDBIGNALET117[[#This Row],[2024]]="","",DONNÉES!AJ240)</f>
        <v/>
      </c>
      <c r="M59" s="526">
        <f>IF(PMDBIGNALET117[[#This Row],[2024]]="","",DONNÉES!AI288)</f>
        <v/>
      </c>
      <c r="N59" s="526">
        <f>IF(PMDBIGNALET117[[#This Row],[2024]]="","",DONNÉES!AJ288)</f>
        <v/>
      </c>
    </row>
    <row r="60" ht="10.15" customHeight="1" s="161">
      <c r="A60" s="494" t="inlineStr">
        <is>
          <t>Juin</t>
        </is>
      </c>
      <c r="B60" s="526">
        <f>IF(DONNÉES!AI209="","",DONNÉES!AI209)</f>
        <v/>
      </c>
      <c r="C60" s="527">
        <f>IF(PMDBIGNALET117[[#This Row],[2024]]="","",DONNÉES!AJ209)</f>
        <v/>
      </c>
      <c r="D60" s="526">
        <f>IF(PMDBIGNALET117[[#This Row],[2024]]="","",DONNÉES!AI257)</f>
        <v/>
      </c>
      <c r="E60" s="528">
        <f>IF(PMDBIGNALET117[[#This Row],[2024]]="","",DONNÉES!AJ257)</f>
        <v/>
      </c>
      <c r="F60" s="526">
        <f>IF(PMDBIGNALET117[[#This Row],[2024]]="","",DONNÉES!AI225)</f>
        <v/>
      </c>
      <c r="G60" s="527">
        <f>IF(PMDBIGNALET117[[#This Row],[2024]]="","",DONNÉES!AJ225)</f>
        <v/>
      </c>
      <c r="H60" s="526">
        <f>IF(PMDBIGNALET117[[#This Row],[2024]]="","",DONNÉES!AI273)</f>
        <v/>
      </c>
      <c r="I60" s="526">
        <f>IF(PMDBIGNALET117[[#This Row],[2024]]="","",DONNÉES!AJ273)</f>
        <v/>
      </c>
      <c r="J60" s="474" t="n"/>
      <c r="K60" s="526">
        <f>IF(PMDBIGNALET117[[#This Row],[2024]]="","",DONNÉES!AI241)</f>
        <v/>
      </c>
      <c r="L60" s="527">
        <f>IF(PMDBIGNALET117[[#This Row],[2024]]="","",DONNÉES!AJ241)</f>
        <v/>
      </c>
      <c r="M60" s="526">
        <f>IF(PMDBIGNALET117[[#This Row],[2024]]="","",DONNÉES!AI289)</f>
        <v/>
      </c>
      <c r="N60" s="526">
        <f>IF(PMDBIGNALET117[[#This Row],[2024]]="","",DONNÉES!AJ289)</f>
        <v/>
      </c>
    </row>
    <row r="61" ht="10.15" customHeight="1" s="161">
      <c r="A61" s="490" t="inlineStr">
        <is>
          <t>Juillet</t>
        </is>
      </c>
      <c r="B61" s="526">
        <f>IF(DONNÉES!AI210="","",DONNÉES!AI210)</f>
        <v/>
      </c>
      <c r="C61" s="527">
        <f>IF(PMDBIGNALET117[[#This Row],[2024]]="","",DONNÉES!AJ210)</f>
        <v/>
      </c>
      <c r="D61" s="526">
        <f>IF(PMDBIGNALET117[[#This Row],[2024]]="","",DONNÉES!AI258)</f>
        <v/>
      </c>
      <c r="E61" s="528">
        <f>IF(PMDBIGNALET117[[#This Row],[2024]]="","",DONNÉES!AJ258)</f>
        <v/>
      </c>
      <c r="F61" s="526">
        <f>IF(PMDBIGNALET117[[#This Row],[2024]]="","",DONNÉES!AI226)</f>
        <v/>
      </c>
      <c r="G61" s="527">
        <f>IF(PMDBIGNALET117[[#This Row],[2024]]="","",DONNÉES!AJ226)</f>
        <v/>
      </c>
      <c r="H61" s="526">
        <f>IF(PMDBIGNALET117[[#This Row],[2024]]="","",DONNÉES!AI274)</f>
        <v/>
      </c>
      <c r="I61" s="526">
        <f>IF(PMDBIGNALET117[[#This Row],[2024]]="","",DONNÉES!AJ274)</f>
        <v/>
      </c>
      <c r="J61" s="474" t="n"/>
      <c r="K61" s="526">
        <f>IF(PMDBIGNALET117[[#This Row],[2024]]="","",DONNÉES!AI242)</f>
        <v/>
      </c>
      <c r="L61" s="527">
        <f>IF(PMDBIGNALET117[[#This Row],[2024]]="","",DONNÉES!AJ242)</f>
        <v/>
      </c>
      <c r="M61" s="526">
        <f>IF(PMDBIGNALET117[[#This Row],[2024]]="","",DONNÉES!AI290)</f>
        <v/>
      </c>
      <c r="N61" s="526">
        <f>IF(PMDBIGNALET117[[#This Row],[2024]]="","",DONNÉES!AJ290)</f>
        <v/>
      </c>
    </row>
    <row r="62" ht="10.15" customHeight="1" s="161">
      <c r="A62" s="494" t="inlineStr">
        <is>
          <t>Août</t>
        </is>
      </c>
      <c r="B62" s="526">
        <f>IF(DONNÉES!AI211="","",DONNÉES!AI211)</f>
        <v/>
      </c>
      <c r="C62" s="527">
        <f>IF(PMDBIGNALET117[[#This Row],[2024]]="","",DONNÉES!AJ211)</f>
        <v/>
      </c>
      <c r="D62" s="526">
        <f>IF(PMDBIGNALET117[[#This Row],[2024]]="","",DONNÉES!AI259)</f>
        <v/>
      </c>
      <c r="E62" s="528">
        <f>IF(PMDBIGNALET117[[#This Row],[2024]]="","",DONNÉES!AJ259)</f>
        <v/>
      </c>
      <c r="F62" s="526">
        <f>IF(PMDBIGNALET117[[#This Row],[2024]]="","",DONNÉES!AI227)</f>
        <v/>
      </c>
      <c r="G62" s="527">
        <f>IF(PMDBIGNALET117[[#This Row],[2024]]="","",DONNÉES!AJ227)</f>
        <v/>
      </c>
      <c r="H62" s="526">
        <f>IF(PMDBIGNALET117[[#This Row],[2024]]="","",DONNÉES!AI275)</f>
        <v/>
      </c>
      <c r="I62" s="526">
        <f>IF(PMDBIGNALET117[[#This Row],[2024]]="","",DONNÉES!AJ275)</f>
        <v/>
      </c>
      <c r="J62" s="474" t="n"/>
      <c r="K62" s="526">
        <f>IF(PMDBIGNALET117[[#This Row],[2024]]="","",DONNÉES!#REF!)</f>
        <v/>
      </c>
      <c r="L62" s="527">
        <f>IF(PMDBIGNALET117[[#This Row],[2024]]="","",DONNÉES!AJ243)</f>
        <v/>
      </c>
      <c r="M62" s="526">
        <f>IF(PMDBIGNALET117[[#This Row],[2024]]="","",DONNÉES!AI291)</f>
        <v/>
      </c>
      <c r="N62" s="526">
        <f>IF(PMDBIGNALET117[[#This Row],[2024]]="","",DONNÉES!AJ291)</f>
        <v/>
      </c>
    </row>
    <row r="63" ht="10.15" customHeight="1" s="161">
      <c r="A63" s="490" t="inlineStr">
        <is>
          <t>Septembre</t>
        </is>
      </c>
      <c r="B63" s="529">
        <f>IF(DONNÉES!AI212="","",DONNÉES!AI212)</f>
        <v/>
      </c>
      <c r="C63" s="530">
        <f>IF(PMDBIGNALET117[[#This Row],[2024]]="","",DONNÉES!AJ212)</f>
        <v/>
      </c>
      <c r="D63" s="529">
        <f>IF(PMDBIGNALET117[[#This Row],[2024]]="","",DONNÉES!AI260)</f>
        <v/>
      </c>
      <c r="E63" s="531">
        <f>IF(PMDBIGNALET117[[#This Row],[2024]]="","",DONNÉES!AJ260)</f>
        <v/>
      </c>
      <c r="F63" s="529">
        <f>IF(PMDBIGNALET117[[#This Row],[2024]]="","",DONNÉES!AI228)</f>
        <v/>
      </c>
      <c r="G63" s="530">
        <f>IF(PMDBIGNALET117[[#This Row],[2024]]="","",DONNÉES!AJ228)</f>
        <v/>
      </c>
      <c r="H63" s="529">
        <f>IF(PMDBIGNALET117[[#This Row],[2024]]="","",DONNÉES!AI276)</f>
        <v/>
      </c>
      <c r="I63" s="529">
        <f>IF(PMDBIGNALET117[[#This Row],[2024]]="","",DONNÉES!AJ276)</f>
        <v/>
      </c>
      <c r="J63" s="475" t="n"/>
      <c r="K63" s="529">
        <f>IF(PMDBIGNALET117[[#This Row],[2024]]="","",DONNÉES!AI243)</f>
        <v/>
      </c>
      <c r="L63" s="530">
        <f>IF(PMDBIGNALET117[[#This Row],[2024]]="","",DONNÉES!AJ244)</f>
        <v/>
      </c>
      <c r="M63" s="529">
        <f>IF(PMDBIGNALET117[[#This Row],[2024]]="","",DONNÉES!AI292)</f>
        <v/>
      </c>
      <c r="N63" s="529">
        <f>IF(PMDBIGNALET117[[#This Row],[2024]]="","",DONNÉES!AJ292)</f>
        <v/>
      </c>
    </row>
    <row r="64" ht="10.15" customHeight="1" s="161">
      <c r="A64" s="494" t="inlineStr">
        <is>
          <t>Octobre</t>
        </is>
      </c>
      <c r="B64" s="529">
        <f>IF(DONNÉES!AI213="","",DONNÉES!AI213)</f>
        <v/>
      </c>
      <c r="C64" s="530">
        <f>IF(PMDBIGNALET117[[#This Row],[2024]]="","",DONNÉES!AJ213)</f>
        <v/>
      </c>
      <c r="D64" s="529">
        <f>IF(PMDBIGNALET117[[#This Row],[2024]]="","",DONNÉES!AI261)</f>
        <v/>
      </c>
      <c r="E64" s="531">
        <f>IF(PMDBIGNALET117[[#This Row],[2024]]="","",DONNÉES!AJ261)</f>
        <v/>
      </c>
      <c r="F64" s="529">
        <f>IF(PMDBIGNALET117[[#This Row],[2024]]="","",DONNÉES!AI229)</f>
        <v/>
      </c>
      <c r="G64" s="530">
        <f>IF(PMDBIGNALET117[[#This Row],[2024]]="","",DONNÉES!AJ229)</f>
        <v/>
      </c>
      <c r="H64" s="529">
        <f>IF(PMDBIGNALET117[[#This Row],[2024]]="","",DONNÉES!AI277)</f>
        <v/>
      </c>
      <c r="I64" s="529">
        <f>IF(PMDBIGNALET117[[#This Row],[2024]]="","",DONNÉES!AJ277)</f>
        <v/>
      </c>
      <c r="J64" s="474" t="n"/>
      <c r="K64" s="529">
        <f>IF(PMDBIGNALET117[[#This Row],[2024]]="","",DONNÉES!AI245)</f>
        <v/>
      </c>
      <c r="L64" s="530">
        <f>IF(PMDBIGNALET117[[#This Row],[2024]]="","",DONNÉES!AJ245)</f>
        <v/>
      </c>
      <c r="M64" s="529">
        <f>IF(PMDBIGNALET117[[#This Row],[2024]]="","",DONNÉES!AI293)</f>
        <v/>
      </c>
      <c r="N64" s="529">
        <f>IF(PMDBIGNALET117[[#This Row],[2024]]="","",DONNÉES!AJ293)</f>
        <v/>
      </c>
    </row>
    <row r="65" ht="10.15" customFormat="1" customHeight="1" s="476">
      <c r="A65" s="490" t="inlineStr">
        <is>
          <t>Novembre</t>
        </is>
      </c>
      <c r="B65" s="529">
        <f>IF(DONNÉES!AI214="","",DONNÉES!AI214)</f>
        <v/>
      </c>
      <c r="C65" s="530">
        <f>IF(PMDBIGNALET117[[#This Row],[2024]]="","",DONNÉES!AJ214)</f>
        <v/>
      </c>
      <c r="D65" s="529">
        <f>IF(PMDBIGNALET117[[#This Row],[2024]]="","",DONNÉES!AI262)</f>
        <v/>
      </c>
      <c r="E65" s="531">
        <f>IF(PMDBIGNALET117[[#This Row],[2024]]="","",DONNÉES!AJ262)</f>
        <v/>
      </c>
      <c r="F65" s="529">
        <f>IF(PMDBIGNALET117[[#This Row],[2024]]="","",DONNÉES!AI230)</f>
        <v/>
      </c>
      <c r="G65" s="530">
        <f>IF(PMDBIGNALET117[[#This Row],[2024]]="","",DONNÉES!AJ230)</f>
        <v/>
      </c>
      <c r="H65" s="529">
        <f>IF(PMDBIGNALET117[[#This Row],[2024]]="","",DONNÉES!AI278)</f>
        <v/>
      </c>
      <c r="I65" s="529">
        <f>IF(PMDBIGNALET117[[#This Row],[2024]]="","",DONNÉES!AJ278)</f>
        <v/>
      </c>
      <c r="K65" s="529">
        <f>IF(PMDBIGNALET117[[#This Row],[2024]]="","",DONNÉES!AI246)</f>
        <v/>
      </c>
      <c r="L65" s="530">
        <f>IF(PMDBIGNALET117[[#This Row],[2024]]="","",DONNÉES!AJ246)</f>
        <v/>
      </c>
      <c r="M65" s="529">
        <f>IF(PMDBIGNALET117[[#This Row],[2024]]="","",DONNÉES!AI294)</f>
        <v/>
      </c>
      <c r="N65" s="529">
        <f>IF(PMDBIGNALET117[[#This Row],[2024]]="","",DONNÉES!AJ294)</f>
        <v/>
      </c>
    </row>
    <row r="66" ht="10.15" customFormat="1" customHeight="1" s="476">
      <c r="A66" s="490" t="inlineStr">
        <is>
          <t>Décembre</t>
        </is>
      </c>
      <c r="B66" s="529">
        <f>IF(DONNÉES!AI215="","",DONNÉES!AI215)</f>
        <v/>
      </c>
      <c r="C66" s="530">
        <f>IF(PMDBIGNALET117[[#This Row],[2024]]="","",DONNÉES!AJ215)</f>
        <v/>
      </c>
      <c r="D66" s="529">
        <f>IF(PMDBIGNALET117[[#This Row],[2024]]="","",DONNÉES!AI263)</f>
        <v/>
      </c>
      <c r="E66" s="531">
        <f>IF(PMDBIGNALET117[[#This Row],[2024]]="","",DONNÉES!AJ263)</f>
        <v/>
      </c>
      <c r="F66" s="529">
        <f>IF(PMDBIGNALET117[[#This Row],[2024]]="","",DONNÉES!AI231)</f>
        <v/>
      </c>
      <c r="G66" s="530">
        <f>IF(PMDBIGNALET117[[#This Row],[2024]]="","",DONNÉES!AJ231)</f>
        <v/>
      </c>
      <c r="H66" s="529">
        <f>IF(PMDBIGNALET117[[#This Row],[2024]]="","",DONNÉES!AI279)</f>
        <v/>
      </c>
      <c r="I66" s="529">
        <f>IF(PMDBIGNALET117[[#This Row],[2024]]="","",DONNÉES!AJ279)</f>
        <v/>
      </c>
      <c r="K66" s="529">
        <f>IF(PMDBIGNALET117[[#This Row],[2024]]="","",DONNÉES!AI247)</f>
        <v/>
      </c>
      <c r="L66" s="530">
        <f>IF(PMDBIGNALET117[[#This Row],[2024]]="","",DONNÉES!AJ247)</f>
        <v/>
      </c>
      <c r="M66" s="529">
        <f>IF(PMDBIGNALET117[[#This Row],[2024]]="","",DONNÉES!AI295)</f>
        <v/>
      </c>
      <c r="N66" s="529">
        <f>IF(PMDBIGNALET117[[#This Row],[2024]]="","",DONNÉES!AJ295)</f>
        <v/>
      </c>
    </row>
    <row r="67" ht="11.65" customFormat="1" customHeight="1" s="476">
      <c r="A67" s="532" t="inlineStr">
        <is>
          <t xml:space="preserve"> TOTAL </t>
        </is>
      </c>
      <c r="B67" s="533">
        <f>SUBTOTAL(101,PMDBIGNALET117[2024])</f>
        <v/>
      </c>
      <c r="C67" s="534">
        <f>SUBTOTAL(101,PMDBIGNALET117[2023])</f>
        <v/>
      </c>
      <c r="D67" s="534">
        <f>SUBTOTAL(101,PMDBIGNALET117[2024 cumul])</f>
        <v/>
      </c>
      <c r="E67" s="535">
        <f>SUBTOTAL(101,PMDBIGNALET117[2023 cumul])</f>
        <v/>
      </c>
      <c r="F67" s="536">
        <f>SUBTOTAL(101,PMDBIGNALET117[[2024  ]])</f>
        <v/>
      </c>
      <c r="G67" s="537">
        <f>SUBTOTAL(101,PMDBIGNALET117[[2023  ]])</f>
        <v/>
      </c>
      <c r="H67" s="533">
        <f>SUBTOTAL(101,PMDBIGNALET117[[2024 cumul ]])</f>
        <v/>
      </c>
      <c r="I67" s="533">
        <f>SUBTOTAL(101,PMDBIGNALET117[[2023 cumul ]])</f>
        <v/>
      </c>
      <c r="K67" s="533">
        <f>SUBTOTAL(101,PMDVR7[[2024  ]])</f>
        <v/>
      </c>
      <c r="L67" s="534">
        <f>SUBTOTAL(101,PMDVR7[[2023  ]])</f>
        <v/>
      </c>
      <c r="M67" s="533">
        <f>SUBTOTAL(101,PMDVR7[[2024 cumul ]])</f>
        <v/>
      </c>
      <c r="N67" s="533">
        <f>SUBTOTAL(101,PMDVR7[[2023 cumul ]])</f>
        <v/>
      </c>
    </row>
    <row r="68" ht="12" customHeight="1" s="161">
      <c r="H68" s="474" t="n"/>
    </row>
    <row r="69" ht="15" customHeight="1" s="161">
      <c r="A69" s="510" t="n"/>
      <c r="B69" s="511" t="inlineStr">
        <is>
          <t>Sur place</t>
        </is>
      </c>
      <c r="C69" s="487" t="n"/>
      <c r="D69" s="487" t="n"/>
      <c r="E69" s="488" t="n"/>
      <c r="F69" s="512" t="inlineStr">
        <is>
          <t>A emporter</t>
        </is>
      </c>
      <c r="G69" s="487" t="n"/>
      <c r="H69" s="487" t="n"/>
      <c r="I69" s="487" t="n"/>
      <c r="J69" s="508" t="n"/>
      <c r="K69" s="512" t="inlineStr">
        <is>
          <t>Total</t>
        </is>
      </c>
      <c r="L69" s="487" t="n"/>
      <c r="M69" s="487" t="n"/>
      <c r="N69" s="487" t="n"/>
    </row>
    <row r="70" ht="30" customHeight="1" s="161">
      <c r="A70" s="538" t="inlineStr">
        <is>
          <t>TURVILLA</t>
        </is>
      </c>
      <c r="B70" s="491" t="inlineStr">
        <is>
          <t>2024</t>
        </is>
      </c>
      <c r="C70" s="492" t="inlineStr">
        <is>
          <t>2023</t>
        </is>
      </c>
      <c r="D70" s="491" t="inlineStr">
        <is>
          <t>2024 cumul</t>
        </is>
      </c>
      <c r="E70" s="493" t="inlineStr">
        <is>
          <t>2023 cumul</t>
        </is>
      </c>
      <c r="F70" s="491" t="inlineStr">
        <is>
          <t xml:space="preserve">2024  </t>
        </is>
      </c>
      <c r="G70" s="492" t="inlineStr">
        <is>
          <t xml:space="preserve">2023  </t>
        </is>
      </c>
      <c r="H70" s="491" t="inlineStr">
        <is>
          <t xml:space="preserve">2024 cumul </t>
        </is>
      </c>
      <c r="I70" s="525" t="inlineStr">
        <is>
          <t xml:space="preserve">2023 cumul </t>
        </is>
      </c>
      <c r="J70" s="474" t="n"/>
      <c r="K70" s="491" t="inlineStr">
        <is>
          <t xml:space="preserve">2024  </t>
        </is>
      </c>
      <c r="L70" s="492" t="inlineStr">
        <is>
          <t xml:space="preserve">2023  </t>
        </is>
      </c>
      <c r="M70" s="491" t="inlineStr">
        <is>
          <t xml:space="preserve">2024 cumul </t>
        </is>
      </c>
      <c r="N70" s="493" t="inlineStr">
        <is>
          <t xml:space="preserve">2023 cumul </t>
        </is>
      </c>
    </row>
    <row r="71" ht="10.15" customFormat="1" customHeight="1" s="476">
      <c r="A71" s="494" t="inlineStr">
        <is>
          <t>Janvier</t>
        </is>
      </c>
      <c r="B71" s="526">
        <f>IF(DONNÉES!AQ204="","",DONNÉES!AQ204)</f>
        <v/>
      </c>
      <c r="C71" s="527">
        <f>IF(PMDCINE124[[#This Row],[2024]]="","",DONNÉES!AR204)</f>
        <v/>
      </c>
      <c r="D71" s="526">
        <f>IF(PMDCINE124[[#This Row],[2024]]="","",DONNÉES!AQ252)</f>
        <v/>
      </c>
      <c r="E71" s="528">
        <f>IF(PMDCINE124[[#This Row],[2024]]="","",DONNÉES!AR252)</f>
        <v/>
      </c>
      <c r="F71" s="526">
        <f>IF(PMDCINE124[[#This Row],[2024]]="","",DONNÉES!AQ220)</f>
        <v/>
      </c>
      <c r="G71" s="527">
        <f>IF(PMDCINE124[[#This Row],[2024]]="","",DONNÉES!AR220)</f>
        <v/>
      </c>
      <c r="H71" s="526">
        <f>IF(PMDCINE124[[#This Row],[2024]]="","",DONNÉES!AQ268)</f>
        <v/>
      </c>
      <c r="I71" s="526">
        <f>IF(PMDCINE124[[#This Row],[2024]]="","",DONNÉES!AR268)</f>
        <v/>
      </c>
      <c r="K71" s="526">
        <f>IF(PMDCINE124[[#This Row],[2024]]="","",DONNÉES!AQ236)</f>
        <v/>
      </c>
      <c r="L71" s="527">
        <f>IF(PMDCINE124[[#This Row],[2024]]="","",DONNÉES!AR236)</f>
        <v/>
      </c>
      <c r="M71" s="526">
        <f>IF(PMDCINE124[[#This Row],[2024]]="","",DONNÉES!AQ284)</f>
        <v/>
      </c>
      <c r="N71" s="526">
        <f>IF(PMDCINE124[[#This Row],[2024]]="","",DONNÉES!AR284)</f>
        <v/>
      </c>
    </row>
    <row r="72" ht="10.15" customFormat="1" customHeight="1" s="476">
      <c r="A72" s="494" t="inlineStr">
        <is>
          <t>Février</t>
        </is>
      </c>
      <c r="B72" s="526">
        <f>IF(DONNÉES!AQ205="","",DONNÉES!AQ205)</f>
        <v/>
      </c>
      <c r="C72" s="527">
        <f>IF(PMDCINE124[[#This Row],[2024]]="","",DONNÉES!AR205)</f>
        <v/>
      </c>
      <c r="D72" s="526">
        <f>IF(PMDCINE124[[#This Row],[2024]]="","",DONNÉES!AQ253)</f>
        <v/>
      </c>
      <c r="E72" s="528">
        <f>IF(PMDCINE124[[#This Row],[2024]]="","",DONNÉES!AR253)</f>
        <v/>
      </c>
      <c r="F72" s="526">
        <f>IF(PMDCINE124[[#This Row],[2024]]="","",DONNÉES!AQ221)</f>
        <v/>
      </c>
      <c r="G72" s="527">
        <f>IF(PMDCINE124[[#This Row],[2024]]="","",DONNÉES!AR221)</f>
        <v/>
      </c>
      <c r="H72" s="526">
        <f>IF(PMDCINE124[[#This Row],[2024]]="","",DONNÉES!AQ269)</f>
        <v/>
      </c>
      <c r="I72" s="526">
        <f>IF(PMDCINE124[[#This Row],[2024]]="","",DONNÉES!AR269)</f>
        <v/>
      </c>
      <c r="K72" s="526">
        <f>IF(PMDCINE124[[#This Row],[2024]]="","",DONNÉES!AQ237)</f>
        <v/>
      </c>
      <c r="L72" s="527">
        <f>IF(PMDCINE124[[#This Row],[2024]]="","",DONNÉES!AR237)</f>
        <v/>
      </c>
      <c r="M72" s="526">
        <f>IF(PMDCINE124[[#This Row],[2024]]="","",DONNÉES!AQ285)</f>
        <v/>
      </c>
      <c r="N72" s="526">
        <f>IF(PMDCINE124[[#This Row],[2024]]="","",DONNÉES!AR285)</f>
        <v/>
      </c>
    </row>
    <row r="73" ht="10.15" customFormat="1" customHeight="1" s="476">
      <c r="A73" s="490" t="inlineStr">
        <is>
          <t>Mars</t>
        </is>
      </c>
      <c r="B73" s="526">
        <f>IF(DONNÉES!AQ206="","",DONNÉES!AQ206)</f>
        <v/>
      </c>
      <c r="C73" s="527">
        <f>IF(PMDCINE124[[#This Row],[2024]]="","",DONNÉES!AR206)</f>
        <v/>
      </c>
      <c r="D73" s="526">
        <f>IF(PMDCINE124[[#This Row],[2024]]="","",DONNÉES!AQ254)</f>
        <v/>
      </c>
      <c r="E73" s="528">
        <f>IF(PMDCINE124[[#This Row],[2024]]="","",DONNÉES!AR254)</f>
        <v/>
      </c>
      <c r="F73" s="526">
        <f>IF(PMDCINE124[[#This Row],[2024]]="","",DONNÉES!AQ222)</f>
        <v/>
      </c>
      <c r="G73" s="527">
        <f>IF(PMDCINE124[[#This Row],[2024]]="","",DONNÉES!AR222)</f>
        <v/>
      </c>
      <c r="H73" s="526">
        <f>IF(PMDCINE124[[#This Row],[2024]]="","",DONNÉES!AQ270)</f>
        <v/>
      </c>
      <c r="I73" s="526">
        <f>IF(PMDCINE124[[#This Row],[2024]]="","",DONNÉES!AR270)</f>
        <v/>
      </c>
      <c r="K73" s="526">
        <f>IF(PMDCINE124[[#This Row],[2024]]="","",DONNÉES!AQ238)</f>
        <v/>
      </c>
      <c r="L73" s="527">
        <f>IF(PMDCINE124[[#This Row],[2024]]="","",DONNÉES!AR238)</f>
        <v/>
      </c>
      <c r="M73" s="526">
        <f>IF(PMDCINE124[[#This Row],[2024]]="","",DONNÉES!AQ286)</f>
        <v/>
      </c>
      <c r="N73" s="526">
        <f>IF(PMDCINE124[[#This Row],[2024]]="","",DONNÉES!AR286)</f>
        <v/>
      </c>
    </row>
    <row r="74" ht="10.15" customHeight="1" s="161">
      <c r="A74" s="494" t="inlineStr">
        <is>
          <t>Avril</t>
        </is>
      </c>
      <c r="B74" s="526">
        <f>IF(DONNÉES!AQ207="","",DONNÉES!AQ207)</f>
        <v/>
      </c>
      <c r="C74" s="527">
        <f>IF(PMDCINE124[[#This Row],[2024]]="","",DONNÉES!AR207)</f>
        <v/>
      </c>
      <c r="D74" s="526">
        <f>IF(PMDCINE124[[#This Row],[2024]]="","",DONNÉES!AQ255)</f>
        <v/>
      </c>
      <c r="E74" s="528">
        <f>IF(PMDCINE124[[#This Row],[2024]]="","",DONNÉES!AR255)</f>
        <v/>
      </c>
      <c r="F74" s="526">
        <f>IF(PMDCINE124[[#This Row],[2024]]="","",DONNÉES!AQ223)</f>
        <v/>
      </c>
      <c r="G74" s="527">
        <f>IF(PMDCINE124[[#This Row],[2024]]="","",DONNÉES!AR223)</f>
        <v/>
      </c>
      <c r="H74" s="526">
        <f>IF(PMDCINE124[[#This Row],[2024]]="","",DONNÉES!AQ271)</f>
        <v/>
      </c>
      <c r="I74" s="526">
        <f>IF(PMDCINE124[[#This Row],[2024]]="","",DONNÉES!AR271)</f>
        <v/>
      </c>
      <c r="J74" s="474" t="n"/>
      <c r="K74" s="526">
        <f>IF(PMDCINE124[[#This Row],[2024]]="","",DONNÉES!AQ239)</f>
        <v/>
      </c>
      <c r="L74" s="527">
        <f>IF(PMDCINE124[[#This Row],[2024]]="","",DONNÉES!AR239)</f>
        <v/>
      </c>
      <c r="M74" s="526">
        <f>IF(PMDCINE124[[#This Row],[2024]]="","",DONNÉES!AQ287)</f>
        <v/>
      </c>
      <c r="N74" s="526">
        <f>IF(PMDCINE124[[#This Row],[2024]]="","",DONNÉES!AR287)</f>
        <v/>
      </c>
    </row>
    <row r="75" ht="10.15" customHeight="1" s="161">
      <c r="A75" s="490" t="inlineStr">
        <is>
          <t>Mai</t>
        </is>
      </c>
      <c r="B75" s="526">
        <f>IF(DONNÉES!AQ208="","",DONNÉES!AQ208)</f>
        <v/>
      </c>
      <c r="C75" s="527">
        <f>IF(PMDCINE124[[#This Row],[2024]]="","",DONNÉES!AR208)</f>
        <v/>
      </c>
      <c r="D75" s="526">
        <f>IF(PMDCINE124[[#This Row],[2024]]="","",DONNÉES!AQ256)</f>
        <v/>
      </c>
      <c r="E75" s="528">
        <f>IF(PMDCINE124[[#This Row],[2024]]="","",DONNÉES!AR256)</f>
        <v/>
      </c>
      <c r="F75" s="526">
        <f>IF(PMDCINE124[[#This Row],[2024]]="","",DONNÉES!AQ224)</f>
        <v/>
      </c>
      <c r="G75" s="527">
        <f>IF(PMDCINE124[[#This Row],[2024]]="","",DONNÉES!AR224)</f>
        <v/>
      </c>
      <c r="H75" s="526">
        <f>IF(PMDCINE124[[#This Row],[2024]]="","",DONNÉES!AQ272)</f>
        <v/>
      </c>
      <c r="I75" s="526">
        <f>IF(PMDCINE124[[#This Row],[2024]]="","",DONNÉES!AR272)</f>
        <v/>
      </c>
      <c r="J75" s="474" t="n"/>
      <c r="K75" s="526">
        <f>IF(PMDCINE124[[#This Row],[2024]]="","",DONNÉES!AQ240)</f>
        <v/>
      </c>
      <c r="L75" s="527">
        <f>IF(PMDCINE124[[#This Row],[2024]]="","",DONNÉES!AR240)</f>
        <v/>
      </c>
      <c r="M75" s="526">
        <f>IF(PMDCINE124[[#This Row],[2024]]="","",DONNÉES!AQ288)</f>
        <v/>
      </c>
      <c r="N75" s="526">
        <f>IF(PMDCINE124[[#This Row],[2024]]="","",DONNÉES!AR288)</f>
        <v/>
      </c>
    </row>
    <row r="76" ht="10.15" customHeight="1" s="161">
      <c r="A76" s="494" t="inlineStr">
        <is>
          <t>Juin</t>
        </is>
      </c>
      <c r="B76" s="526">
        <f>IF(DONNÉES!AQ209="","",DONNÉES!AQ209)</f>
        <v/>
      </c>
      <c r="C76" s="527">
        <f>IF(PMDCINE124[[#This Row],[2024]]="","",DONNÉES!AR209)</f>
        <v/>
      </c>
      <c r="D76" s="526">
        <f>IF(PMDCINE124[[#This Row],[2024]]="","",DONNÉES!AQ257)</f>
        <v/>
      </c>
      <c r="E76" s="528">
        <f>IF(PMDCINE124[[#This Row],[2024]]="","",DONNÉES!AR257)</f>
        <v/>
      </c>
      <c r="F76" s="526">
        <f>IF(PMDCINE124[[#This Row],[2024]]="","",DONNÉES!AQ225)</f>
        <v/>
      </c>
      <c r="G76" s="527">
        <f>IF(PMDCINE124[[#This Row],[2024]]="","",DONNÉES!AR225)</f>
        <v/>
      </c>
      <c r="H76" s="526">
        <f>IF(PMDCINE124[[#This Row],[2024]]="","",DONNÉES!AQ273)</f>
        <v/>
      </c>
      <c r="I76" s="526">
        <f>IF(PMDCINE124[[#This Row],[2024]]="","",DONNÉES!AR273)</f>
        <v/>
      </c>
      <c r="J76" s="474" t="n"/>
      <c r="K76" s="526">
        <f>IF(PMDCINE124[[#This Row],[2024]]="","",DONNÉES!AQ241)</f>
        <v/>
      </c>
      <c r="L76" s="527">
        <f>IF(PMDCINE124[[#This Row],[2024]]="","",DONNÉES!AR241)</f>
        <v/>
      </c>
      <c r="M76" s="526">
        <f>IF(PMDCINE124[[#This Row],[2024]]="","",DONNÉES!AQ289)</f>
        <v/>
      </c>
      <c r="N76" s="526">
        <f>IF(PMDCINE124[[#This Row],[2024]]="","",DONNÉES!AR289)</f>
        <v/>
      </c>
    </row>
    <row r="77" ht="10.15" customHeight="1" s="161">
      <c r="A77" s="490" t="inlineStr">
        <is>
          <t>Juillet</t>
        </is>
      </c>
      <c r="B77" s="526">
        <f>IF(DONNÉES!AQ210="","",DONNÉES!AQ210)</f>
        <v/>
      </c>
      <c r="C77" s="527">
        <f>IF(PMDCINE124[[#This Row],[2024]]="","",DONNÉES!AR210)</f>
        <v/>
      </c>
      <c r="D77" s="526">
        <f>IF(PMDCINE124[[#This Row],[2024]]="","",DONNÉES!AQ258)</f>
        <v/>
      </c>
      <c r="E77" s="528">
        <f>IF(PMDCINE124[[#This Row],[2024]]="","",DONNÉES!AR258)</f>
        <v/>
      </c>
      <c r="F77" s="526">
        <f>IF(PMDCINE124[[#This Row],[2024]]="","",DONNÉES!AQ226)</f>
        <v/>
      </c>
      <c r="G77" s="527">
        <f>IF(PMDCINE124[[#This Row],[2024]]="","",DONNÉES!AR226)</f>
        <v/>
      </c>
      <c r="H77" s="526">
        <f>IF(PMDCINE124[[#This Row],[2024]]="","",DONNÉES!AQ274)</f>
        <v/>
      </c>
      <c r="I77" s="526">
        <f>IF(PMDCINE124[[#This Row],[2024]]="","",DONNÉES!AR274)</f>
        <v/>
      </c>
      <c r="J77" s="474" t="n"/>
      <c r="K77" s="526">
        <f>IF(PMDCINE124[[#This Row],[2024]]="","",DONNÉES!AQ242)</f>
        <v/>
      </c>
      <c r="L77" s="527">
        <f>IF(PMDCINE124[[#This Row],[2024]]="","",DONNÉES!AR242)</f>
        <v/>
      </c>
      <c r="M77" s="526">
        <f>IF(PMDCINE124[[#This Row],[2024]]="","",DONNÉES!AQ290)</f>
        <v/>
      </c>
      <c r="N77" s="526">
        <f>IF(PMDCINE124[[#This Row],[2024]]="","",DONNÉES!AR290)</f>
        <v/>
      </c>
    </row>
    <row r="78" ht="10.15" customHeight="1" s="161">
      <c r="A78" s="494" t="inlineStr">
        <is>
          <t>Août</t>
        </is>
      </c>
      <c r="B78" s="526">
        <f>IF(DONNÉES!AQ211="","",DONNÉES!AQ211)</f>
        <v/>
      </c>
      <c r="C78" s="527">
        <f>IF(PMDCINE124[[#This Row],[2024]]="","",DONNÉES!AR211)</f>
        <v/>
      </c>
      <c r="D78" s="526">
        <f>IF(PMDCINE124[[#This Row],[2024]]="","",DONNÉES!AQ259)</f>
        <v/>
      </c>
      <c r="E78" s="528">
        <f>IF(PMDCINE124[[#This Row],[2024]]="","",DONNÉES!AR259)</f>
        <v/>
      </c>
      <c r="F78" s="526">
        <f>IF(PMDCINE124[[#This Row],[2024]]="","",DONNÉES!AQ227)</f>
        <v/>
      </c>
      <c r="G78" s="527">
        <f>IF(PMDCINE124[[#This Row],[2024]]="","",DONNÉES!AR227)</f>
        <v/>
      </c>
      <c r="H78" s="526">
        <f>IF(PMDCINE124[[#This Row],[2024]]="","",DONNÉES!AQ275)</f>
        <v/>
      </c>
      <c r="I78" s="526">
        <f>IF(PMDCINE124[[#This Row],[2024]]="","",DONNÉES!AR275)</f>
        <v/>
      </c>
      <c r="J78" s="474" t="n"/>
      <c r="K78" s="526">
        <f>IF(PMDCINE124[[#This Row],[2024]]="","",DONNÉES!AQ243)</f>
        <v/>
      </c>
      <c r="L78" s="527">
        <f>IF(PMDCINE124[[#This Row],[2024]]="","",DONNÉES!AR243)</f>
        <v/>
      </c>
      <c r="M78" s="526">
        <f>IF(PMDCINE124[[#This Row],[2024]]="","",DONNÉES!AQ291)</f>
        <v/>
      </c>
      <c r="N78" s="526">
        <f>IF(PMDCINE124[[#This Row],[2024]]="","",DONNÉES!AR291)</f>
        <v/>
      </c>
    </row>
    <row r="79" ht="10.15" customHeight="1" s="161">
      <c r="A79" s="490" t="inlineStr">
        <is>
          <t>Septembre</t>
        </is>
      </c>
      <c r="B79" s="529">
        <f>IF(DONNÉES!AQ212="","",DONNÉES!AQ212)</f>
        <v/>
      </c>
      <c r="C79" s="530">
        <f>IF(PMDCINE124[[#This Row],[2024]]="","",DONNÉES!AR212)</f>
        <v/>
      </c>
      <c r="D79" s="529">
        <f>IF(PMDCINE124[[#This Row],[2024]]="","",DONNÉES!AQ260)</f>
        <v/>
      </c>
      <c r="E79" s="531">
        <f>IF(PMDCINE124[[#This Row],[2024]]="","",DONNÉES!AR260)</f>
        <v/>
      </c>
      <c r="F79" s="529">
        <f>IF(PMDCINE124[[#This Row],[2024]]="","",DONNÉES!AQ228)</f>
        <v/>
      </c>
      <c r="G79" s="530">
        <f>IF(PMDCINE124[[#This Row],[2024]]="","",DONNÉES!AR228)</f>
        <v/>
      </c>
      <c r="H79" s="529">
        <f>IF(PMDCINE124[[#This Row],[2024]]="","",DONNÉES!AQ276)</f>
        <v/>
      </c>
      <c r="I79" s="529">
        <f>IF(PMDCINE124[[#This Row],[2024]]="","",DONNÉES!AR276)</f>
        <v/>
      </c>
      <c r="J79" s="475" t="n"/>
      <c r="K79" s="529">
        <f>IF(PMDCINE124[[#This Row],[2024]]="","",DONNÉES!AQ244)</f>
        <v/>
      </c>
      <c r="L79" s="530">
        <f>IF(PMDCINE124[[#This Row],[2024]]="","",DONNÉES!AR244)</f>
        <v/>
      </c>
      <c r="M79" s="529">
        <f>IF(PMDCINE124[[#This Row],[2024]]="","",DONNÉES!AQ292)</f>
        <v/>
      </c>
      <c r="N79" s="529">
        <f>IF(PMDCINE124[[#This Row],[2024]]="","",DONNÉES!AR292)</f>
        <v/>
      </c>
    </row>
    <row r="80" ht="10.15" customHeight="1" s="161">
      <c r="A80" s="494" t="inlineStr">
        <is>
          <t>Octobre</t>
        </is>
      </c>
      <c r="B80" s="529">
        <f>IF(DONNÉES!AQ213="","",DONNÉES!AQ213)</f>
        <v/>
      </c>
      <c r="C80" s="530">
        <f>IF(PMDCINE124[[#This Row],[2024]]="","",DONNÉES!AR213)</f>
        <v/>
      </c>
      <c r="D80" s="529">
        <f>IF(PMDCINE124[[#This Row],[2024]]="","",DONNÉES!AQ261)</f>
        <v/>
      </c>
      <c r="E80" s="531">
        <f>IF(PMDCINE124[[#This Row],[2024]]="","",DONNÉES!AR261)</f>
        <v/>
      </c>
      <c r="F80" s="529">
        <f>IF(PMDCINE124[[#This Row],[2024]]="","",DONNÉES!AQ229)</f>
        <v/>
      </c>
      <c r="G80" s="530">
        <f>IF(PMDCINE124[[#This Row],[2024]]="","",DONNÉES!AR229)</f>
        <v/>
      </c>
      <c r="H80" s="529">
        <f>IF(PMDCINE124[[#This Row],[2024]]="","",DONNÉES!AQ277)</f>
        <v/>
      </c>
      <c r="I80" s="529">
        <f>IF(PMDCINE124[[#This Row],[2024]]="","",DONNÉES!AR277)</f>
        <v/>
      </c>
      <c r="J80" s="474" t="n"/>
      <c r="K80" s="529">
        <f>IF(PMDCINE124[[#This Row],[2024]]="","",DONNÉES!AQ245)</f>
        <v/>
      </c>
      <c r="L80" s="530">
        <f>IF(PMDCINE124[[#This Row],[2024]]="","",DONNÉES!AR245)</f>
        <v/>
      </c>
      <c r="M80" s="529">
        <f>IF(PMDCINE124[[#This Row],[2024]]="","",DONNÉES!AQ293)</f>
        <v/>
      </c>
      <c r="N80" s="529">
        <f>IF(PMDCINE124[[#This Row],[2024]]="","",DONNÉES!AR293)</f>
        <v/>
      </c>
    </row>
    <row r="81" ht="10.15" customFormat="1" customHeight="1" s="476">
      <c r="A81" s="490" t="inlineStr">
        <is>
          <t>Novembre</t>
        </is>
      </c>
      <c r="B81" s="529">
        <f>IF(DONNÉES!AQ214="","",DONNÉES!AQ214)</f>
        <v/>
      </c>
      <c r="C81" s="530">
        <f>IF(PMDCINE124[[#This Row],[2024]]="","",DONNÉES!AR214)</f>
        <v/>
      </c>
      <c r="D81" s="529">
        <f>IF(PMDCINE124[[#This Row],[2024]]="","",DONNÉES!AQ262)</f>
        <v/>
      </c>
      <c r="E81" s="531">
        <f>IF(PMDCINE124[[#This Row],[2024]]="","",DONNÉES!AR262)</f>
        <v/>
      </c>
      <c r="F81" s="529">
        <f>IF(PMDCINE124[[#This Row],[2024]]="","",DONNÉES!AQ230)</f>
        <v/>
      </c>
      <c r="G81" s="530">
        <f>IF(PMDCINE124[[#This Row],[2024]]="","",DONNÉES!AR230)</f>
        <v/>
      </c>
      <c r="H81" s="529">
        <f>IF(PMDCINE124[[#This Row],[2024]]="","",DONNÉES!AQ278)</f>
        <v/>
      </c>
      <c r="I81" s="529">
        <f>IF(PMDCINE124[[#This Row],[2024]]="","",DONNÉES!AR278)</f>
        <v/>
      </c>
      <c r="K81" s="529">
        <f>IF(PMDCINE124[[#This Row],[2024]]="","",DONNÉES!AQ246)</f>
        <v/>
      </c>
      <c r="L81" s="530">
        <f>IF(PMDCINE124[[#This Row],[2024]]="","",DONNÉES!AR246)</f>
        <v/>
      </c>
      <c r="M81" s="529">
        <f>IF(PMDCINE124[[#This Row],[2024]]="","",DONNÉES!AQ294)</f>
        <v/>
      </c>
      <c r="N81" s="529">
        <f>IF(PMDCINE124[[#This Row],[2024]]="","",DONNÉES!AR294)</f>
        <v/>
      </c>
    </row>
    <row r="82" ht="10.15" customFormat="1" customHeight="1" s="476">
      <c r="A82" s="490" t="inlineStr">
        <is>
          <t>Décembre</t>
        </is>
      </c>
      <c r="B82" s="529">
        <f>IF(DONNÉES!AQ215="","",DONNÉES!AQ215)</f>
        <v/>
      </c>
      <c r="C82" s="530">
        <f>IF(PMDCINE124[[#This Row],[2024]]="","",DONNÉES!AR215)</f>
        <v/>
      </c>
      <c r="D82" s="529">
        <f>IF(PMDCINE124[[#This Row],[2024]]="","",DONNÉES!AQ263)</f>
        <v/>
      </c>
      <c r="E82" s="531">
        <f>IF(PMDCINE124[[#This Row],[2024]]="","",DONNÉES!AR263)</f>
        <v/>
      </c>
      <c r="F82" s="529">
        <f>IF(PMDCINE124[[#This Row],[2024]]="","",DONNÉES!AQ231)</f>
        <v/>
      </c>
      <c r="G82" s="530">
        <f>IF(PMDCINE124[[#This Row],[2024]]="","",DONNÉES!AR231)</f>
        <v/>
      </c>
      <c r="H82" s="529">
        <f>IF(PMDCINE124[[#This Row],[2024]]="","",DONNÉES!AQ279)</f>
        <v/>
      </c>
      <c r="I82" s="529">
        <f>IF(PMDCINE124[[#This Row],[2024]]="","",DONNÉES!AR279)</f>
        <v/>
      </c>
      <c r="K82" s="529">
        <f>IF(PMDCINE124[[#This Row],[2024]]="","",DONNÉES!AQ247)</f>
        <v/>
      </c>
      <c r="L82" s="530">
        <f>IF(PMDCINE124[[#This Row],[2024]]="","",DONNÉES!AR247)</f>
        <v/>
      </c>
      <c r="M82" s="529">
        <f>IF(PMDCINE124[[#This Row],[2024]]="","",DONNÉES!AQ295)</f>
        <v/>
      </c>
      <c r="N82" s="529">
        <f>IF(PMDCINE124[[#This Row],[2024]]="","",DONNÉES!AR295)</f>
        <v/>
      </c>
    </row>
    <row r="83" ht="11.65" customFormat="1" customHeight="1" s="476">
      <c r="A83" s="532" t="inlineStr">
        <is>
          <t xml:space="preserve"> TOTAL </t>
        </is>
      </c>
      <c r="B83" s="533">
        <f>SUBTOTAL(101,PMDCINE124[2024])</f>
        <v/>
      </c>
      <c r="C83" s="534">
        <f>SUBTOTAL(101,PMDCINE124[2023])</f>
        <v/>
      </c>
      <c r="D83" s="534">
        <f>SUBTOTAL(101,PMDCINE124[2024 cumul])</f>
        <v/>
      </c>
      <c r="E83" s="535">
        <f>SUBTOTAL(101,PMDCINE124[2023 cumul])</f>
        <v/>
      </c>
      <c r="F83" s="536">
        <f>SUBTOTAL(101,PMDCINE124[[2024  ]])</f>
        <v/>
      </c>
      <c r="G83" s="537">
        <f>SUBTOTAL(101,PMDCINE124[[2023  ]])</f>
        <v/>
      </c>
      <c r="H83" s="533">
        <f>SUBTOTAL(101,PMDCINE124[[2024 cumul ]])</f>
        <v/>
      </c>
      <c r="I83" s="533">
        <f>SUBTOTAL(101,PMDCINE124[[2023 cumul ]])</f>
        <v/>
      </c>
      <c r="K83" s="533">
        <f>SUBTOTAL(101,PMDTURVILLA[[2024  ]])</f>
        <v/>
      </c>
      <c r="L83" s="534">
        <f>SUBTOTAL(101,PMDTURVILLA[[2023  ]])</f>
        <v/>
      </c>
      <c r="M83" s="533">
        <f>SUBTOTAL(101,PMDTURVILLA[[2024 cumul ]])</f>
        <v/>
      </c>
      <c r="N83" s="533">
        <f>SUBTOTAL(101,PMDTURVILLA[[2023 cumul ]])</f>
        <v/>
      </c>
    </row>
    <row r="84" ht="12" customHeight="1" s="161">
      <c r="H84" s="474" t="n"/>
    </row>
    <row r="85" ht="15" customHeight="1" s="161">
      <c r="A85" s="513" t="n"/>
      <c r="B85" s="514" t="inlineStr">
        <is>
          <t>Sur place</t>
        </is>
      </c>
      <c r="C85" s="487" t="n"/>
      <c r="D85" s="487" t="n"/>
      <c r="E85" s="488" t="n"/>
      <c r="F85" s="515" t="inlineStr">
        <is>
          <t>A emporter</t>
        </is>
      </c>
      <c r="G85" s="487" t="n"/>
      <c r="H85" s="487" t="n"/>
      <c r="I85" s="487" t="n"/>
      <c r="J85" s="508" t="n"/>
      <c r="K85" s="515" t="inlineStr">
        <is>
          <t>Total</t>
        </is>
      </c>
      <c r="L85" s="487" t="n"/>
      <c r="M85" s="487" t="n"/>
      <c r="N85" s="487" t="n"/>
    </row>
    <row r="86" ht="30" customHeight="1" s="161">
      <c r="A86" s="490" t="inlineStr">
        <is>
          <t>HART</t>
        </is>
      </c>
      <c r="B86" s="491" t="inlineStr">
        <is>
          <t>2024</t>
        </is>
      </c>
      <c r="C86" s="492" t="inlineStr">
        <is>
          <t>2023</t>
        </is>
      </c>
      <c r="D86" s="491" t="inlineStr">
        <is>
          <t>2024 cumul</t>
        </is>
      </c>
      <c r="E86" s="493" t="inlineStr">
        <is>
          <t>2023 cumul</t>
        </is>
      </c>
      <c r="F86" s="491" t="inlineStr">
        <is>
          <t xml:space="preserve">2024  </t>
        </is>
      </c>
      <c r="G86" s="492" t="inlineStr">
        <is>
          <t xml:space="preserve">2023  </t>
        </is>
      </c>
      <c r="H86" s="491" t="inlineStr">
        <is>
          <t xml:space="preserve">2024 cumul </t>
        </is>
      </c>
      <c r="I86" s="525" t="inlineStr">
        <is>
          <t xml:space="preserve">2023 cumul </t>
        </is>
      </c>
      <c r="J86" s="474" t="n"/>
      <c r="K86" s="491" t="inlineStr">
        <is>
          <t xml:space="preserve">2024  </t>
        </is>
      </c>
      <c r="L86" s="492" t="inlineStr">
        <is>
          <t xml:space="preserve">2023  </t>
        </is>
      </c>
      <c r="M86" s="491" t="inlineStr">
        <is>
          <t xml:space="preserve">2024 cumul </t>
        </is>
      </c>
      <c r="N86" s="493" t="inlineStr">
        <is>
          <t xml:space="preserve">2023 cumul </t>
        </is>
      </c>
    </row>
    <row r="87" ht="10.15" customFormat="1" customHeight="1" s="476">
      <c r="A87" s="494" t="inlineStr">
        <is>
          <t>Janvier</t>
        </is>
      </c>
      <c r="B87" s="526">
        <f>IF(DONNÉES!AY204="","",DONNÉES!AY204)</f>
        <v/>
      </c>
      <c r="C87" s="527">
        <f>IF(PMDLN131[[#This Row],[2024]]="","",DONNÉES!AZ204)</f>
        <v/>
      </c>
      <c r="D87" s="526">
        <f>IF(PMDLN131[[#This Row],[2024]]="","",DONNÉES!AY252)</f>
        <v/>
      </c>
      <c r="E87" s="528">
        <f>IF(PMDLN131[[#This Row],[2024]]="","",DONNÉES!AZ252)</f>
        <v/>
      </c>
      <c r="F87" s="526">
        <f>IF(PMDLN131[[#This Row],[2024]]="","",DONNÉES!AY220)</f>
        <v/>
      </c>
      <c r="G87" s="527">
        <f>IF(PMDLN131[[#This Row],[2024]]="","",DONNÉES!AZ220)</f>
        <v/>
      </c>
      <c r="H87" s="526">
        <f>IF(PMDLN131[[#This Row],[2024]]="","",DONNÉES!AY268)</f>
        <v/>
      </c>
      <c r="I87" s="526">
        <f>IF(PMDLN131[[#This Row],[2024]]="","",DONNÉES!AZ268)</f>
        <v/>
      </c>
      <c r="K87" s="526">
        <f>IF(PMDLN131[[#This Row],[2024]]="","",DONNÉES!AY236)</f>
        <v/>
      </c>
      <c r="L87" s="527">
        <f>IF(PMDLN131[[#This Row],[2024]]="","",DONNÉES!AZ236)</f>
        <v/>
      </c>
      <c r="M87" s="527">
        <f>IF(PMDLN131[[#This Row],[2024]]="","",DONNÉES!AY284)</f>
        <v/>
      </c>
      <c r="N87" s="526">
        <f>IF(PMDLN131[[#This Row],[2024]]="","",DONNÉES!AZ284)</f>
        <v/>
      </c>
    </row>
    <row r="88" ht="10.15" customFormat="1" customHeight="1" s="476">
      <c r="A88" s="494" t="inlineStr">
        <is>
          <t>Février</t>
        </is>
      </c>
      <c r="B88" s="526">
        <f>IF(DONNÉES!AY205="","",DONNÉES!AY205)</f>
        <v/>
      </c>
      <c r="C88" s="527">
        <f>IF(PMDLN131[[#This Row],[2024]]="","",DONNÉES!AZ205)</f>
        <v/>
      </c>
      <c r="D88" s="526">
        <f>IF(PMDLN131[[#This Row],[2024]]="","",DONNÉES!AY253)</f>
        <v/>
      </c>
      <c r="E88" s="528">
        <f>IF(PMDLN131[[#This Row],[2024]]="","",DONNÉES!AZ253)</f>
        <v/>
      </c>
      <c r="F88" s="526">
        <f>IF(PMDLN131[[#This Row],[2024]]="","",DONNÉES!AY221)</f>
        <v/>
      </c>
      <c r="G88" s="527">
        <f>IF(PMDLN131[[#This Row],[2024]]="","",DONNÉES!AZ221)</f>
        <v/>
      </c>
      <c r="H88" s="526">
        <f>IF(PMDLN131[[#This Row],[2024]]="","",DONNÉES!AY269)</f>
        <v/>
      </c>
      <c r="I88" s="526">
        <f>IF(PMDLN131[[#This Row],[2024]]="","",DONNÉES!AZ269)</f>
        <v/>
      </c>
      <c r="K88" s="526">
        <f>IF(PMDLN131[[#This Row],[2024]]="","",DONNÉES!AY237)</f>
        <v/>
      </c>
      <c r="L88" s="527">
        <f>IF(PMDLN131[[#This Row],[2024]]="","",DONNÉES!AZ237)</f>
        <v/>
      </c>
      <c r="M88" s="527">
        <f>IF(PMDLN131[[#This Row],[2024]]="","",DONNÉES!AY285)</f>
        <v/>
      </c>
      <c r="N88" s="526">
        <f>IF(PMDLN131[[#This Row],[2024]]="","",DONNÉES!AZ285)</f>
        <v/>
      </c>
    </row>
    <row r="89" ht="10.15" customFormat="1" customHeight="1" s="476">
      <c r="A89" s="490" t="inlineStr">
        <is>
          <t>Mars</t>
        </is>
      </c>
      <c r="B89" s="526">
        <f>IF(DONNÉES!AY206="","",DONNÉES!AY206)</f>
        <v/>
      </c>
      <c r="C89" s="527">
        <f>IF(PMDLN131[[#This Row],[2024]]="","",DONNÉES!AZ206)</f>
        <v/>
      </c>
      <c r="D89" s="526">
        <f>IF(PMDLN131[[#This Row],[2024]]="","",DONNÉES!AY254)</f>
        <v/>
      </c>
      <c r="E89" s="528">
        <f>IF(PMDLN131[[#This Row],[2024]]="","",DONNÉES!AZ254)</f>
        <v/>
      </c>
      <c r="F89" s="526">
        <f>IF(PMDLN131[[#This Row],[2024]]="","",DONNÉES!AY222)</f>
        <v/>
      </c>
      <c r="G89" s="527">
        <f>IF(PMDLN131[[#This Row],[2024]]="","",DONNÉES!AZ222)</f>
        <v/>
      </c>
      <c r="H89" s="526">
        <f>IF(PMDLN131[[#This Row],[2024]]="","",DONNÉES!AY270)</f>
        <v/>
      </c>
      <c r="I89" s="526">
        <f>IF(PMDLN131[[#This Row],[2024]]="","",DONNÉES!AZ270)</f>
        <v/>
      </c>
      <c r="K89" s="526">
        <f>IF(PMDLN131[[#This Row],[2024]]="","",DONNÉES!AY238)</f>
        <v/>
      </c>
      <c r="L89" s="527">
        <f>IF(PMDLN131[[#This Row],[2024]]="","",DONNÉES!AZ238)</f>
        <v/>
      </c>
      <c r="M89" s="527">
        <f>IF(PMDLN131[[#This Row],[2024]]="","",DONNÉES!AY286)</f>
        <v/>
      </c>
      <c r="N89" s="526">
        <f>IF(PMDLN131[[#This Row],[2024]]="","",DONNÉES!AZ286)</f>
        <v/>
      </c>
    </row>
    <row r="90" ht="10.15" customHeight="1" s="161">
      <c r="A90" s="494" t="inlineStr">
        <is>
          <t>Avril</t>
        </is>
      </c>
      <c r="B90" s="526">
        <f>IF(DONNÉES!AY207="","",DONNÉES!AY207)</f>
        <v/>
      </c>
      <c r="C90" s="527">
        <f>IF(PMDLN131[[#This Row],[2024]]="","",DONNÉES!AZ207)</f>
        <v/>
      </c>
      <c r="D90" s="526">
        <f>IF(PMDLN131[[#This Row],[2024]]="","",DONNÉES!AY255)</f>
        <v/>
      </c>
      <c r="E90" s="528">
        <f>IF(PMDLN131[[#This Row],[2024]]="","",DONNÉES!AZ255)</f>
        <v/>
      </c>
      <c r="F90" s="526">
        <f>IF(PMDLN131[[#This Row],[2024]]="","",DONNÉES!AY223)</f>
        <v/>
      </c>
      <c r="G90" s="527">
        <f>IF(PMDLN131[[#This Row],[2024]]="","",DONNÉES!AZ223)</f>
        <v/>
      </c>
      <c r="H90" s="526">
        <f>IF(PMDLN131[[#This Row],[2024]]="","",DONNÉES!AY271)</f>
        <v/>
      </c>
      <c r="I90" s="526">
        <f>IF(PMDLN131[[#This Row],[2024]]="","",DONNÉES!AZ271)</f>
        <v/>
      </c>
      <c r="J90" s="474" t="n"/>
      <c r="K90" s="526">
        <f>IF(PMDLN131[[#This Row],[2024]]="","",DONNÉES!AY239)</f>
        <v/>
      </c>
      <c r="L90" s="527">
        <f>IF(PMDLN131[[#This Row],[2024]]="","",DONNÉES!AZ239)</f>
        <v/>
      </c>
      <c r="M90" s="527">
        <f>IF(PMDLN131[[#This Row],[2024]]="","",DONNÉES!AY287)</f>
        <v/>
      </c>
      <c r="N90" s="526">
        <f>IF(PMDLN131[[#This Row],[2024]]="","",DONNÉES!AZ287)</f>
        <v/>
      </c>
    </row>
    <row r="91" ht="10.15" customHeight="1" s="161">
      <c r="A91" s="490" t="inlineStr">
        <is>
          <t>Mai</t>
        </is>
      </c>
      <c r="B91" s="526">
        <f>IF(DONNÉES!AY208="","",DONNÉES!AY208)</f>
        <v/>
      </c>
      <c r="C91" s="527">
        <f>IF(PMDLN131[[#This Row],[2024]]="","",DONNÉES!AZ208)</f>
        <v/>
      </c>
      <c r="D91" s="526">
        <f>IF(PMDLN131[[#This Row],[2024]]="","",DONNÉES!AY256)</f>
        <v/>
      </c>
      <c r="E91" s="528">
        <f>IF(PMDLN131[[#This Row],[2024]]="","",DONNÉES!AZ256)</f>
        <v/>
      </c>
      <c r="F91" s="526">
        <f>IF(PMDLN131[[#This Row],[2024]]="","",DONNÉES!AY224)</f>
        <v/>
      </c>
      <c r="G91" s="527">
        <f>IF(PMDLN131[[#This Row],[2024]]="","",DONNÉES!AZ224)</f>
        <v/>
      </c>
      <c r="H91" s="526">
        <f>IF(PMDLN131[[#This Row],[2024]]="","",DONNÉES!AY272)</f>
        <v/>
      </c>
      <c r="I91" s="526">
        <f>IF(PMDLN131[[#This Row],[2024]]="","",DONNÉES!AZ272)</f>
        <v/>
      </c>
      <c r="J91" s="474" t="n"/>
      <c r="K91" s="526">
        <f>IF(PMDLN131[[#This Row],[2024]]="","",DONNÉES!AY240)</f>
        <v/>
      </c>
      <c r="L91" s="527">
        <f>IF(PMDLN131[[#This Row],[2024]]="","",DONNÉES!AZ240)</f>
        <v/>
      </c>
      <c r="M91" s="527">
        <f>IF(PMDLN131[[#This Row],[2024]]="","",DONNÉES!AY288)</f>
        <v/>
      </c>
      <c r="N91" s="526">
        <f>IF(PMDLN131[[#This Row],[2024]]="","",DONNÉES!AZ288)</f>
        <v/>
      </c>
    </row>
    <row r="92" ht="10.15" customHeight="1" s="161">
      <c r="A92" s="494" t="inlineStr">
        <is>
          <t>Juin</t>
        </is>
      </c>
      <c r="B92" s="526">
        <f>IF(DONNÉES!AY209="","",DONNÉES!AY209)</f>
        <v/>
      </c>
      <c r="C92" s="527">
        <f>IF(PMDLN131[[#This Row],[2024]]="","",DONNÉES!AZ209)</f>
        <v/>
      </c>
      <c r="D92" s="526">
        <f>IF(PMDLN131[[#This Row],[2024]]="","",DONNÉES!AY257)</f>
        <v/>
      </c>
      <c r="E92" s="528">
        <f>IF(PMDLN131[[#This Row],[2024]]="","",DONNÉES!AZ257)</f>
        <v/>
      </c>
      <c r="F92" s="526">
        <f>IF(PMDLN131[[#This Row],[2024]]="","",DONNÉES!AY225)</f>
        <v/>
      </c>
      <c r="G92" s="527">
        <f>IF(PMDLN131[[#This Row],[2024]]="","",DONNÉES!AZ225)</f>
        <v/>
      </c>
      <c r="H92" s="526">
        <f>IF(PMDLN131[[#This Row],[2024]]="","",DONNÉES!AY273)</f>
        <v/>
      </c>
      <c r="I92" s="526">
        <f>IF(PMDLN131[[#This Row],[2024]]="","",DONNÉES!AZ273)</f>
        <v/>
      </c>
      <c r="J92" s="474" t="n"/>
      <c r="K92" s="526">
        <f>IF(PMDLN131[[#This Row],[2024]]="","",DONNÉES!AY241)</f>
        <v/>
      </c>
      <c r="L92" s="527">
        <f>IF(PMDLN131[[#This Row],[2024]]="","",DONNÉES!AZ241)</f>
        <v/>
      </c>
      <c r="M92" s="527">
        <f>IF(PMDLN131[[#This Row],[2024]]="","",DONNÉES!AY289)</f>
        <v/>
      </c>
      <c r="N92" s="526">
        <f>IF(PMDLN131[[#This Row],[2024]]="","",DONNÉES!AZ289)</f>
        <v/>
      </c>
    </row>
    <row r="93" ht="10.15" customHeight="1" s="161">
      <c r="A93" s="490" t="inlineStr">
        <is>
          <t>Juillet</t>
        </is>
      </c>
      <c r="B93" s="526">
        <f>IF(DONNÉES!AY210="","",DONNÉES!AY210)</f>
        <v/>
      </c>
      <c r="C93" s="527">
        <f>IF(PMDLN131[[#This Row],[2024]]="","",DONNÉES!AZ210)</f>
        <v/>
      </c>
      <c r="D93" s="526">
        <f>IF(PMDLN131[[#This Row],[2024]]="","",DONNÉES!AY258)</f>
        <v/>
      </c>
      <c r="E93" s="528">
        <f>IF(PMDLN131[[#This Row],[2024]]="","",DONNÉES!AZ258)</f>
        <v/>
      </c>
      <c r="F93" s="526">
        <f>IF(PMDLN131[[#This Row],[2024]]="","",DONNÉES!AY226)</f>
        <v/>
      </c>
      <c r="G93" s="527">
        <f>IF(PMDLN131[[#This Row],[2024]]="","",DONNÉES!AZ226)</f>
        <v/>
      </c>
      <c r="H93" s="526">
        <f>IF(PMDLN131[[#This Row],[2024]]="","",DONNÉES!AY274)</f>
        <v/>
      </c>
      <c r="I93" s="526">
        <f>IF(PMDLN131[[#This Row],[2024]]="","",DONNÉES!AZ274)</f>
        <v/>
      </c>
      <c r="J93" s="474" t="n"/>
      <c r="K93" s="526">
        <f>IF(PMDLN131[[#This Row],[2024]]="","",DONNÉES!AY242)</f>
        <v/>
      </c>
      <c r="L93" s="527">
        <f>IF(PMDLN131[[#This Row],[2024]]="","",DONNÉES!AZ242)</f>
        <v/>
      </c>
      <c r="M93" s="527">
        <f>IF(PMDLN131[[#This Row],[2024]]="","",DONNÉES!AY290)</f>
        <v/>
      </c>
      <c r="N93" s="526">
        <f>IF(PMDLN131[[#This Row],[2024]]="","",DONNÉES!AZ290)</f>
        <v/>
      </c>
    </row>
    <row r="94" ht="10.15" customHeight="1" s="161">
      <c r="A94" s="494" t="inlineStr">
        <is>
          <t>Août</t>
        </is>
      </c>
      <c r="B94" s="526">
        <f>IF(DONNÉES!AY211="","",DONNÉES!AY211)</f>
        <v/>
      </c>
      <c r="C94" s="527">
        <f>IF(PMDLN131[[#This Row],[2024]]="","",DONNÉES!AZ211)</f>
        <v/>
      </c>
      <c r="D94" s="526">
        <f>IF(PMDLN131[[#This Row],[2024]]="","",DONNÉES!AY259)</f>
        <v/>
      </c>
      <c r="E94" s="528">
        <f>IF(PMDLN131[[#This Row],[2024]]="","",DONNÉES!AZ259)</f>
        <v/>
      </c>
      <c r="F94" s="526">
        <f>IF(PMDLN131[[#This Row],[2024]]="","",DONNÉES!AY227)</f>
        <v/>
      </c>
      <c r="G94" s="527">
        <f>IF(PMDLN131[[#This Row],[2024]]="","",DONNÉES!AZ227)</f>
        <v/>
      </c>
      <c r="H94" s="526">
        <f>IF(PMDLN131[[#This Row],[2024]]="","",DONNÉES!AY275)</f>
        <v/>
      </c>
      <c r="I94" s="526">
        <f>IF(PMDLN131[[#This Row],[2024]]="","",DONNÉES!AZ275)</f>
        <v/>
      </c>
      <c r="J94" s="474" t="n"/>
      <c r="K94" s="526">
        <f>IF(PMDLN131[[#This Row],[2024]]="","",DONNÉES!AY243)</f>
        <v/>
      </c>
      <c r="L94" s="527">
        <f>IF(PMDLN131[[#This Row],[2024]]="","",DONNÉES!AZ243)</f>
        <v/>
      </c>
      <c r="M94" s="527">
        <f>IF(PMDLN131[[#This Row],[2024]]="","",DONNÉES!AY291)</f>
        <v/>
      </c>
      <c r="N94" s="526">
        <f>IF(PMDLN131[[#This Row],[2024]]="","",DONNÉES!AZ291)</f>
        <v/>
      </c>
    </row>
    <row r="95" ht="10.15" customHeight="1" s="161">
      <c r="A95" s="490" t="inlineStr">
        <is>
          <t>Septembre</t>
        </is>
      </c>
      <c r="B95" s="529">
        <f>IF(DONNÉES!AY212="","",DONNÉES!AY212)</f>
        <v/>
      </c>
      <c r="C95" s="530">
        <f>IF(PMDLN131[[#This Row],[2024]]="","",DONNÉES!AZ212)</f>
        <v/>
      </c>
      <c r="D95" s="529">
        <f>IF(PMDLN131[[#This Row],[2024]]="","",DONNÉES!AY260)</f>
        <v/>
      </c>
      <c r="E95" s="531">
        <f>IF(PMDLN131[[#This Row],[2024]]="","",DONNÉES!AZ260)</f>
        <v/>
      </c>
      <c r="F95" s="529">
        <f>IF(PMDLN131[[#This Row],[2024]]="","",DONNÉES!AY228)</f>
        <v/>
      </c>
      <c r="G95" s="530">
        <f>IF(PMDLN131[[#This Row],[2024]]="","",DONNÉES!AZ228)</f>
        <v/>
      </c>
      <c r="H95" s="529">
        <f>IF(PMDLN131[[#This Row],[2024]]="","",DONNÉES!AY276)</f>
        <v/>
      </c>
      <c r="I95" s="529">
        <f>IF(PMDLN131[[#This Row],[2024]]="","",DONNÉES!AZ276)</f>
        <v/>
      </c>
      <c r="J95" s="475" t="n"/>
      <c r="K95" s="529">
        <f>IF(PMDLN131[[#This Row],[2024]]="","",DONNÉES!AY244)</f>
        <v/>
      </c>
      <c r="L95" s="530">
        <f>IF(PMDLN131[[#This Row],[2024]]="","",DONNÉES!AZ244)</f>
        <v/>
      </c>
      <c r="M95" s="530">
        <f>IF(PMDLN131[[#This Row],[2024]]="","",DONNÉES!AY292)</f>
        <v/>
      </c>
      <c r="N95" s="529">
        <f>IF(PMDLN131[[#This Row],[2024]]="","",DONNÉES!AZ292)</f>
        <v/>
      </c>
    </row>
    <row r="96" ht="10.15" customHeight="1" s="161">
      <c r="A96" s="494" t="inlineStr">
        <is>
          <t>Octobre</t>
        </is>
      </c>
      <c r="B96" s="529">
        <f>IF(DONNÉES!AY213="","",DONNÉES!AY213)</f>
        <v/>
      </c>
      <c r="C96" s="530">
        <f>IF(PMDLN131[[#This Row],[2024]]="","",DONNÉES!AZ213)</f>
        <v/>
      </c>
      <c r="D96" s="529">
        <f>IF(PMDLN131[[#This Row],[2024]]="","",DONNÉES!AY261)</f>
        <v/>
      </c>
      <c r="E96" s="531">
        <f>IF(PMDLN131[[#This Row],[2024]]="","",DONNÉES!AZ261)</f>
        <v/>
      </c>
      <c r="F96" s="529">
        <f>IF(PMDLN131[[#This Row],[2024]]="","",DONNÉES!AY229)</f>
        <v/>
      </c>
      <c r="G96" s="530">
        <f>IF(PMDLN131[[#This Row],[2024]]="","",DONNÉES!AZ229)</f>
        <v/>
      </c>
      <c r="H96" s="529">
        <f>IF(PMDLN131[[#This Row],[2024]]="","",DONNÉES!AY277)</f>
        <v/>
      </c>
      <c r="I96" s="529">
        <f>IF(PMDLN131[[#This Row],[2024]]="","",DONNÉES!AZ277)</f>
        <v/>
      </c>
      <c r="J96" s="474" t="n"/>
      <c r="K96" s="529">
        <f>IF(PMDLN131[[#This Row],[2024]]="","",DONNÉES!AY245)</f>
        <v/>
      </c>
      <c r="L96" s="530">
        <f>IF(PMDLN131[[#This Row],[2024]]="","",DONNÉES!AZ245)</f>
        <v/>
      </c>
      <c r="M96" s="530">
        <f>IF(PMDLN131[[#This Row],[2024]]="","",DONNÉES!AY293)</f>
        <v/>
      </c>
      <c r="N96" s="529">
        <f>IF(PMDLN131[[#This Row],[2024]]="","",DONNÉES!AZ293)</f>
        <v/>
      </c>
    </row>
    <row r="97" ht="10.15" customFormat="1" customHeight="1" s="476">
      <c r="A97" s="490" t="inlineStr">
        <is>
          <t>Novembre</t>
        </is>
      </c>
      <c r="B97" s="529">
        <f>IF(DONNÉES!AY214="","",DONNÉES!AY214)</f>
        <v/>
      </c>
      <c r="C97" s="530">
        <f>IF(PMDLN131[[#This Row],[2024]]="","",DONNÉES!AZ214)</f>
        <v/>
      </c>
      <c r="D97" s="529">
        <f>IF(PMDLN131[[#This Row],[2024]]="","",DONNÉES!AY262)</f>
        <v/>
      </c>
      <c r="E97" s="531">
        <f>IF(PMDLN131[[#This Row],[2024]]="","",DONNÉES!AZ262)</f>
        <v/>
      </c>
      <c r="F97" s="529">
        <f>IF(PMDLN131[[#This Row],[2024]]="","",DONNÉES!AY230)</f>
        <v/>
      </c>
      <c r="G97" s="530">
        <f>IF(PMDLN131[[#This Row],[2024]]="","",DONNÉES!AZ230)</f>
        <v/>
      </c>
      <c r="H97" s="529">
        <f>IF(PMDLN131[[#This Row],[2024]]="","",DONNÉES!AY278)</f>
        <v/>
      </c>
      <c r="I97" s="529">
        <f>IF(PMDLN131[[#This Row],[2024]]="","",DONNÉES!AZ278)</f>
        <v/>
      </c>
      <c r="K97" s="529">
        <f>IF(PMDLN131[[#This Row],[2024]]="","",DONNÉES!AY246)</f>
        <v/>
      </c>
      <c r="L97" s="530">
        <f>IF(PMDLN131[[#This Row],[2024]]="","",DONNÉES!AZ246)</f>
        <v/>
      </c>
      <c r="M97" s="530">
        <f>IF(PMDLN131[[#This Row],[2024]]="","",DONNÉES!AY294)</f>
        <v/>
      </c>
      <c r="N97" s="529">
        <f>IF(PMDLN131[[#This Row],[2024]]="","",DONNÉES!AZ294)</f>
        <v/>
      </c>
    </row>
    <row r="98" ht="10.15" customFormat="1" customHeight="1" s="476">
      <c r="A98" s="490" t="inlineStr">
        <is>
          <t>Décembre</t>
        </is>
      </c>
      <c r="B98" s="529">
        <f>IF(DONNÉES!AY215="","",DONNÉES!AY215)</f>
        <v/>
      </c>
      <c r="C98" s="530">
        <f>IF(PMDLN131[[#This Row],[2024]]="","",DONNÉES!AZ215)</f>
        <v/>
      </c>
      <c r="D98" s="529">
        <f>IF(PMDLN131[[#This Row],[2024]]="","",DONNÉES!AY263)</f>
        <v/>
      </c>
      <c r="E98" s="531">
        <f>IF(PMDLN131[[#This Row],[2024]]="","",DONNÉES!AZ263)</f>
        <v/>
      </c>
      <c r="F98" s="529">
        <f>IF(PMDLN131[[#This Row],[2024]]="","",DONNÉES!AY231)</f>
        <v/>
      </c>
      <c r="G98" s="530">
        <f>IF(PMDLN131[[#This Row],[2024]]="","",DONNÉES!AZ231)</f>
        <v/>
      </c>
      <c r="H98" s="529">
        <f>IF(PMDLN131[[#This Row],[2024]]="","",DONNÉES!AY279)</f>
        <v/>
      </c>
      <c r="I98" s="529">
        <f>IF(PMDLN131[[#This Row],[2024]]="","",DONNÉES!AZ279)</f>
        <v/>
      </c>
      <c r="K98" s="529">
        <f>IF(PMDLN131[[#This Row],[2024]]="","",DONNÉES!AY247)</f>
        <v/>
      </c>
      <c r="L98" s="530">
        <f>IF(PMDLN131[[#This Row],[2024]]="","",DONNÉES!AZ247)</f>
        <v/>
      </c>
      <c r="M98" s="530">
        <f>IF(PMDLN131[[#This Row],[2024]]="","",DONNÉES!AY295)</f>
        <v/>
      </c>
      <c r="N98" s="529">
        <f>IF(PMDLN131[[#This Row],[2024]]="","",DONNÉES!AZ295)</f>
        <v/>
      </c>
    </row>
    <row r="99" ht="11.65" customFormat="1" customHeight="1" s="476">
      <c r="A99" s="532" t="inlineStr">
        <is>
          <t xml:space="preserve"> TOTAL </t>
        </is>
      </c>
      <c r="B99" s="533">
        <f>SUBTOTAL(101,PMDLN131[2024])</f>
        <v/>
      </c>
      <c r="C99" s="534">
        <f>SUBTOTAL(101,PMDLN131[2023])</f>
        <v/>
      </c>
      <c r="D99" s="534">
        <f>SUBTOTAL(101,PMDLN131[2024 cumul])</f>
        <v/>
      </c>
      <c r="E99" s="535">
        <f>SUBTOTAL(101,PMDLN131[2023 cumul])</f>
        <v/>
      </c>
      <c r="F99" s="536">
        <f>SUBTOTAL(101,PMDLN131[[2024  ]])</f>
        <v/>
      </c>
      <c r="G99" s="537">
        <f>SUBTOTAL(101,PMDLN131[[2023  ]])</f>
        <v/>
      </c>
      <c r="H99" s="533">
        <f>SUBTOTAL(101,PMDLN131[[2024 cumul ]])</f>
        <v/>
      </c>
      <c r="I99" s="533">
        <f>SUBTOTAL(101,PMDLN131[[2023 cumul ]])</f>
        <v/>
      </c>
      <c r="K99" s="533">
        <f>SUBTOTAL(101,PMDHART[[2024  ]])</f>
        <v/>
      </c>
      <c r="L99" s="534">
        <f>SUBTOTAL(101,PMDHART[[2023  ]])</f>
        <v/>
      </c>
      <c r="M99" s="534">
        <f>SUBTOTAL(101,PMDHART[[2024 cumul ]])</f>
        <v/>
      </c>
      <c r="N99" s="533">
        <f>SUBTOTAL(101,PMDHART[[2023 cumul ]])</f>
        <v/>
      </c>
    </row>
    <row r="100" ht="12" customHeight="1" s="161">
      <c r="H100" s="474" t="n"/>
    </row>
    <row r="101" ht="15" customHeight="1" s="161">
      <c r="A101" s="513" t="n"/>
      <c r="B101" s="514" t="inlineStr">
        <is>
          <t>Sur place</t>
        </is>
      </c>
      <c r="C101" s="487" t="n"/>
      <c r="D101" s="487" t="n"/>
      <c r="E101" s="488" t="n"/>
      <c r="F101" s="515" t="inlineStr">
        <is>
          <t>A emporter</t>
        </is>
      </c>
      <c r="G101" s="487" t="n"/>
      <c r="H101" s="487" t="n"/>
      <c r="I101" s="487" t="n"/>
      <c r="J101" s="508" t="n"/>
      <c r="K101" s="515" t="inlineStr">
        <is>
          <t>Total</t>
        </is>
      </c>
      <c r="L101" s="487" t="n"/>
      <c r="M101" s="487" t="n"/>
      <c r="N101" s="487" t="n"/>
    </row>
    <row r="102" ht="30" customHeight="1" s="161">
      <c r="A102" s="490" t="inlineStr">
        <is>
          <t>VICTOIRE</t>
        </is>
      </c>
      <c r="B102" s="491" t="inlineStr">
        <is>
          <t>2024</t>
        </is>
      </c>
      <c r="C102" s="492" t="inlineStr">
        <is>
          <t>2023</t>
        </is>
      </c>
      <c r="D102" s="491" t="inlineStr">
        <is>
          <t>2024 cumul</t>
        </is>
      </c>
      <c r="E102" s="493" t="inlineStr">
        <is>
          <t>2023 cumul</t>
        </is>
      </c>
      <c r="F102" s="491" t="inlineStr">
        <is>
          <t xml:space="preserve">2024  </t>
        </is>
      </c>
      <c r="G102" s="492" t="inlineStr">
        <is>
          <t xml:space="preserve">2023  </t>
        </is>
      </c>
      <c r="H102" s="491" t="inlineStr">
        <is>
          <t xml:space="preserve">2024 cumul </t>
        </is>
      </c>
      <c r="I102" s="525" t="inlineStr">
        <is>
          <t xml:space="preserve">2023 cumul </t>
        </is>
      </c>
      <c r="J102" s="474" t="n"/>
      <c r="K102" s="491" t="inlineStr">
        <is>
          <t xml:space="preserve">2024  </t>
        </is>
      </c>
      <c r="L102" s="492" t="inlineStr">
        <is>
          <t xml:space="preserve">2023  </t>
        </is>
      </c>
      <c r="M102" s="491" t="inlineStr">
        <is>
          <t xml:space="preserve">2024 cumul </t>
        </is>
      </c>
      <c r="N102" s="493" t="inlineStr">
        <is>
          <t xml:space="preserve">2023 cumul </t>
        </is>
      </c>
    </row>
    <row r="103" ht="10.15" customFormat="1" customHeight="1" s="476">
      <c r="A103" s="494" t="inlineStr">
        <is>
          <t>Janvier</t>
        </is>
      </c>
      <c r="B103" s="526">
        <f>IF(DONNÉES!BG204="","",DONNÉES!BG204)</f>
        <v/>
      </c>
      <c r="C103" s="527">
        <f>IF(PMDVERNON138[[#This Row],[2024]]="","",DONNÉES!BH204)</f>
        <v/>
      </c>
      <c r="D103" s="526">
        <f>IF(PMDVERNON138[[#This Row],[2024]]="","",DONNÉES!BG252)</f>
        <v/>
      </c>
      <c r="E103" s="528">
        <f>IF(PMDVERNON138[[#This Row],[2024]]="","",DONNÉES!BH252)</f>
        <v/>
      </c>
      <c r="F103" s="526">
        <f>IF(PMDVERNON138[[#This Row],[2024]]="","",DONNÉES!BG220)</f>
        <v/>
      </c>
      <c r="G103" s="527">
        <f>IF(PMDVERNON138[[#This Row],[2024]]="","",DONNÉES!BH220)</f>
        <v/>
      </c>
      <c r="H103" s="526">
        <f>IF(PMDVERNON138[[#This Row],[2024]]="","",DONNÉES!BG268)</f>
        <v/>
      </c>
      <c r="I103" s="526">
        <f>IF(PMDVERNON138[[#This Row],[2024]]="","",DONNÉES!BH268)</f>
        <v/>
      </c>
      <c r="K103" s="526">
        <f>IF(PMDVERNON138[[#This Row],[2024]]="","",DONNÉES!BG236)</f>
        <v/>
      </c>
      <c r="L103" s="527">
        <f>IF(PMDVERNON138[[#This Row],[2024]]="","",DONNÉES!BH236)</f>
        <v/>
      </c>
      <c r="M103" s="526">
        <f>IF(PMDVERNON138[[#This Row],[2024]]="","",DONNÉES!BG284)</f>
        <v/>
      </c>
      <c r="N103" s="526">
        <f>IF(PMDVERNON138[[#This Row],[2024]]="","",DONNÉES!BH284)</f>
        <v/>
      </c>
    </row>
    <row r="104" ht="10.15" customFormat="1" customHeight="1" s="476">
      <c r="A104" s="494" t="inlineStr">
        <is>
          <t>Février</t>
        </is>
      </c>
      <c r="B104" s="526">
        <f>IF(DONNÉES!BG205="","",DONNÉES!BG205)</f>
        <v/>
      </c>
      <c r="C104" s="527">
        <f>IF(PMDVERNON138[[#This Row],[2024]]="","",DONNÉES!BH205)</f>
        <v/>
      </c>
      <c r="D104" s="526">
        <f>IF(PMDVERNON138[[#This Row],[2024]]="","",DONNÉES!BG253)</f>
        <v/>
      </c>
      <c r="E104" s="528">
        <f>IF(PMDVERNON138[[#This Row],[2024]]="","",DONNÉES!BH253)</f>
        <v/>
      </c>
      <c r="F104" s="526">
        <f>IF(PMDVERNON138[[#This Row],[2024]]="","",DONNÉES!BG221)</f>
        <v/>
      </c>
      <c r="G104" s="527">
        <f>IF(PMDVERNON138[[#This Row],[2024]]="","",DONNÉES!BH221)</f>
        <v/>
      </c>
      <c r="H104" s="526">
        <f>IF(PMDVERNON138[[#This Row],[2024]]="","",DONNÉES!BG269)</f>
        <v/>
      </c>
      <c r="I104" s="526">
        <f>IF(PMDVERNON138[[#This Row],[2024]]="","",DONNÉES!BH269)</f>
        <v/>
      </c>
      <c r="K104" s="526">
        <f>IF(PMDVERNON138[[#This Row],[2024]]="","",DONNÉES!BG237)</f>
        <v/>
      </c>
      <c r="L104" s="527">
        <f>IF(PMDVERNON138[[#This Row],[2024]]="","",DONNÉES!BH237)</f>
        <v/>
      </c>
      <c r="M104" s="526">
        <f>IF(PMDVERNON138[[#This Row],[2024]]="","",DONNÉES!BG285)</f>
        <v/>
      </c>
      <c r="N104" s="526">
        <f>IF(PMDVERNON138[[#This Row],[2024]]="","",DONNÉES!BH285)</f>
        <v/>
      </c>
    </row>
    <row r="105" ht="10.15" customFormat="1" customHeight="1" s="476">
      <c r="A105" s="490" t="inlineStr">
        <is>
          <t>Mars</t>
        </is>
      </c>
      <c r="B105" s="526">
        <f>IF(DONNÉES!BG206="","",DONNÉES!BG206)</f>
        <v/>
      </c>
      <c r="C105" s="527">
        <f>IF(PMDVERNON138[[#This Row],[2024]]="","",DONNÉES!BH206)</f>
        <v/>
      </c>
      <c r="D105" s="526">
        <f>IF(PMDVERNON138[[#This Row],[2024]]="","",DONNÉES!BG254)</f>
        <v/>
      </c>
      <c r="E105" s="528">
        <f>IF(PMDVERNON138[[#This Row],[2024]]="","",DONNÉES!BH254)</f>
        <v/>
      </c>
      <c r="F105" s="526">
        <f>IF(PMDVERNON138[[#This Row],[2024]]="","",DONNÉES!BG222)</f>
        <v/>
      </c>
      <c r="G105" s="527">
        <f>IF(PMDVERNON138[[#This Row],[2024]]="","",DONNÉES!BH222)</f>
        <v/>
      </c>
      <c r="H105" s="526">
        <f>IF(PMDVERNON138[[#This Row],[2024]]="","",DONNÉES!BG270)</f>
        <v/>
      </c>
      <c r="I105" s="526">
        <f>IF(PMDVERNON138[[#This Row],[2024]]="","",DONNÉES!BH270)</f>
        <v/>
      </c>
      <c r="K105" s="526">
        <f>IF(PMDVERNON138[[#This Row],[2024]]="","",DONNÉES!BG238)</f>
        <v/>
      </c>
      <c r="L105" s="527">
        <f>IF(PMDVERNON138[[#This Row],[2024]]="","",DONNÉES!#REF!)</f>
        <v/>
      </c>
      <c r="M105" s="526">
        <f>IF(PMDVERNON138[[#This Row],[2024]]="","",DONNÉES!BG286)</f>
        <v/>
      </c>
      <c r="N105" s="526">
        <f>IF(PMDVERNON138[[#This Row],[2024]]="","",DONNÉES!BH286)</f>
        <v/>
      </c>
    </row>
    <row r="106" ht="10.15" customHeight="1" s="161">
      <c r="A106" s="494" t="inlineStr">
        <is>
          <t>Avril</t>
        </is>
      </c>
      <c r="B106" s="526">
        <f>IF(DONNÉES!BG207="","",DONNÉES!BG207)</f>
        <v/>
      </c>
      <c r="C106" s="527">
        <f>IF(PMDVERNON138[[#This Row],[2024]]="","",DONNÉES!BH207)</f>
        <v/>
      </c>
      <c r="D106" s="526">
        <f>IF(PMDVERNON138[[#This Row],[2024]]="","",DONNÉES!BG255)</f>
        <v/>
      </c>
      <c r="E106" s="528">
        <f>IF(PMDVERNON138[[#This Row],[2024]]="","",DONNÉES!BH255)</f>
        <v/>
      </c>
      <c r="F106" s="526">
        <f>IF(PMDVERNON138[[#This Row],[2024]]="","",DONNÉES!BG223)</f>
        <v/>
      </c>
      <c r="G106" s="527">
        <f>IF(PMDVERNON138[[#This Row],[2024]]="","",DONNÉES!BH223)</f>
        <v/>
      </c>
      <c r="H106" s="526">
        <f>IF(PMDVERNON138[[#This Row],[2024]]="","",DONNÉES!BG271)</f>
        <v/>
      </c>
      <c r="I106" s="526">
        <f>IF(PMDVERNON138[[#This Row],[2024]]="","",DONNÉES!BH271)</f>
        <v/>
      </c>
      <c r="J106" s="474" t="n"/>
      <c r="K106" s="526">
        <f>IF(PMDVERNON138[[#This Row],[2024]]="","",DONNÉES!BG239)</f>
        <v/>
      </c>
      <c r="L106" s="527">
        <f>IF(PMDVERNON138[[#This Row],[2024]]="","",DONNÉES!BH238)</f>
        <v/>
      </c>
      <c r="M106" s="526">
        <f>IF(PMDVERNON138[[#This Row],[2024]]="","",DONNÉES!BG287)</f>
        <v/>
      </c>
      <c r="N106" s="526">
        <f>IF(PMDVERNON138[[#This Row],[2024]]="","",DONNÉES!BH287)</f>
        <v/>
      </c>
    </row>
    <row r="107" ht="10.15" customHeight="1" s="161">
      <c r="A107" s="490" t="inlineStr">
        <is>
          <t>Mai</t>
        </is>
      </c>
      <c r="B107" s="526">
        <f>IF(DONNÉES!BG208="","",DONNÉES!BG208)</f>
        <v/>
      </c>
      <c r="C107" s="527">
        <f>IF(PMDVERNON138[[#This Row],[2024]]="","",DONNÉES!BH208)</f>
        <v/>
      </c>
      <c r="D107" s="526">
        <f>IF(PMDVERNON138[[#This Row],[2024]]="","",DONNÉES!BG256)</f>
        <v/>
      </c>
      <c r="E107" s="528">
        <f>IF(PMDVERNON138[[#This Row],[2024]]="","",DONNÉES!BH256)</f>
        <v/>
      </c>
      <c r="F107" s="526">
        <f>IF(PMDVERNON138[[#This Row],[2024]]="","",DONNÉES!BG224)</f>
        <v/>
      </c>
      <c r="G107" s="527">
        <f>IF(PMDVERNON138[[#This Row],[2024]]="","",DONNÉES!BH224)</f>
        <v/>
      </c>
      <c r="H107" s="526">
        <f>IF(PMDVERNON138[[#This Row],[2024]]="","",DONNÉES!BG272)</f>
        <v/>
      </c>
      <c r="I107" s="526">
        <f>IF(PMDVERNON138[[#This Row],[2024]]="","",DONNÉES!BH272)</f>
        <v/>
      </c>
      <c r="J107" s="474" t="n"/>
      <c r="K107" s="526">
        <f>IF(PMDVERNON138[[#This Row],[2024]]="","",DONNÉES!BG240)</f>
        <v/>
      </c>
      <c r="L107" s="527">
        <f>IF(PMDVERNON138[[#This Row],[2024]]="","",DONNÉES!BH240)</f>
        <v/>
      </c>
      <c r="M107" s="526">
        <f>IF(PMDVERNON138[[#This Row],[2024]]="","",DONNÉES!BG288)</f>
        <v/>
      </c>
      <c r="N107" s="526">
        <f>IF(PMDVERNON138[[#This Row],[2024]]="","",DONNÉES!BH288)</f>
        <v/>
      </c>
    </row>
    <row r="108" ht="10.15" customHeight="1" s="161">
      <c r="A108" s="494" t="inlineStr">
        <is>
          <t>Juin</t>
        </is>
      </c>
      <c r="B108" s="526">
        <f>IF(DONNÉES!BG209="","",DONNÉES!BG209)</f>
        <v/>
      </c>
      <c r="C108" s="527">
        <f>IF(PMDVERNON138[[#This Row],[2024]]="","",DONNÉES!BH209)</f>
        <v/>
      </c>
      <c r="D108" s="526">
        <f>IF(PMDVERNON138[[#This Row],[2024]]="","",DONNÉES!BG257)</f>
        <v/>
      </c>
      <c r="E108" s="528">
        <f>IF(PMDVERNON138[[#This Row],[2024]]="","",DONNÉES!BH257)</f>
        <v/>
      </c>
      <c r="F108" s="526">
        <f>IF(PMDVERNON138[[#This Row],[2024]]="","",DONNÉES!BG225)</f>
        <v/>
      </c>
      <c r="G108" s="527">
        <f>IF(PMDVERNON138[[#This Row],[2024]]="","",DONNÉES!BH225)</f>
        <v/>
      </c>
      <c r="H108" s="526">
        <f>IF(PMDVERNON138[[#This Row],[2024]]="","",DONNÉES!BG273)</f>
        <v/>
      </c>
      <c r="I108" s="526">
        <f>IF(PMDVERNON138[[#This Row],[2024]]="","",DONNÉES!BH273)</f>
        <v/>
      </c>
      <c r="J108" s="474" t="n"/>
      <c r="K108" s="526">
        <f>IF(PMDVERNON138[[#This Row],[2024]]="","",DONNÉES!BG241)</f>
        <v/>
      </c>
      <c r="L108" s="527">
        <f>IF(PMDVERNON138[[#This Row],[2024]]="","",DONNÉES!BH241)</f>
        <v/>
      </c>
      <c r="M108" s="526">
        <f>IF(PMDVERNON138[[#This Row],[2024]]="","",DONNÉES!BG289)</f>
        <v/>
      </c>
      <c r="N108" s="526">
        <f>IF(PMDVERNON138[[#This Row],[2024]]="","",DONNÉES!BH289)</f>
        <v/>
      </c>
    </row>
    <row r="109" ht="10.15" customHeight="1" s="161">
      <c r="A109" s="490" t="inlineStr">
        <is>
          <t>Juillet</t>
        </is>
      </c>
      <c r="B109" s="526">
        <f>IF(DONNÉES!BG210="","",DONNÉES!BG210)</f>
        <v/>
      </c>
      <c r="C109" s="527">
        <f>IF(PMDVERNON138[[#This Row],[2024]]="","",DONNÉES!BH210)</f>
        <v/>
      </c>
      <c r="D109" s="526">
        <f>IF(PMDVERNON138[[#This Row],[2024]]="","",DONNÉES!BG258)</f>
        <v/>
      </c>
      <c r="E109" s="528">
        <f>IF(PMDVERNON138[[#This Row],[2024]]="","",DONNÉES!BH258)</f>
        <v/>
      </c>
      <c r="F109" s="526">
        <f>IF(PMDVERNON138[[#This Row],[2024]]="","",DONNÉES!BG226)</f>
        <v/>
      </c>
      <c r="G109" s="527">
        <f>IF(PMDVERNON138[[#This Row],[2024]]="","",DONNÉES!BH226)</f>
        <v/>
      </c>
      <c r="H109" s="526">
        <f>IF(PMDVERNON138[[#This Row],[2024]]="","",DONNÉES!BG274)</f>
        <v/>
      </c>
      <c r="I109" s="526">
        <f>IF(PMDVERNON138[[#This Row],[2024]]="","",DONNÉES!BH274)</f>
        <v/>
      </c>
      <c r="J109" s="474" t="n"/>
      <c r="K109" s="526">
        <f>IF(PMDVERNON138[[#This Row],[2024]]="","",DONNÉES!BG242)</f>
        <v/>
      </c>
      <c r="L109" s="527">
        <f>IF(PMDVERNON138[[#This Row],[2024]]="","",DONNÉES!BH242)</f>
        <v/>
      </c>
      <c r="M109" s="526">
        <f>IF(PMDVERNON138[[#This Row],[2024]]="","",DONNÉES!BG290)</f>
        <v/>
      </c>
      <c r="N109" s="526">
        <f>IF(PMDVERNON138[[#This Row],[2024]]="","",DONNÉES!BH290)</f>
        <v/>
      </c>
    </row>
    <row r="110" ht="10.15" customHeight="1" s="161">
      <c r="A110" s="494" t="inlineStr">
        <is>
          <t>Août</t>
        </is>
      </c>
      <c r="B110" s="526">
        <f>IF(DONNÉES!BG211="","",DONNÉES!BG211)</f>
        <v/>
      </c>
      <c r="C110" s="527">
        <f>IF(PMDVERNON138[[#This Row],[2024]]="","",DONNÉES!BH211)</f>
        <v/>
      </c>
      <c r="D110" s="526">
        <f>IF(PMDVERNON138[[#This Row],[2024]]="","",DONNÉES!BG259)</f>
        <v/>
      </c>
      <c r="E110" s="528">
        <f>IF(PMDVERNON138[[#This Row],[2024]]="","",DONNÉES!BH259)</f>
        <v/>
      </c>
      <c r="F110" s="526">
        <f>IF(PMDVERNON138[[#This Row],[2024]]="","",DONNÉES!BG227)</f>
        <v/>
      </c>
      <c r="G110" s="527">
        <f>IF(PMDVERNON138[[#This Row],[2024]]="","",DONNÉES!BH227)</f>
        <v/>
      </c>
      <c r="H110" s="526">
        <f>IF(PMDVERNON138[[#This Row],[2024]]="","",DONNÉES!BG275)</f>
        <v/>
      </c>
      <c r="I110" s="526">
        <f>IF(PMDVERNON138[[#This Row],[2024]]="","",DONNÉES!BH275)</f>
        <v/>
      </c>
      <c r="J110" s="474" t="n"/>
      <c r="K110" s="526">
        <f>IF(PMDVERNON138[[#This Row],[2024]]="","",DONNÉES!BG243)</f>
        <v/>
      </c>
      <c r="L110" s="527">
        <f>IF(PMDVERNON138[[#This Row],[2024]]="","",DONNÉES!BH243)</f>
        <v/>
      </c>
      <c r="M110" s="526">
        <f>IF(PMDVERNON138[[#This Row],[2024]]="","",DONNÉES!BG291)</f>
        <v/>
      </c>
      <c r="N110" s="526">
        <f>IF(PMDVERNON138[[#This Row],[2024]]="","",DONNÉES!BH291)</f>
        <v/>
      </c>
    </row>
    <row r="111" ht="10.15" customHeight="1" s="161">
      <c r="A111" s="490" t="inlineStr">
        <is>
          <t>Septembre</t>
        </is>
      </c>
      <c r="B111" s="526">
        <f>IF(DONNÉES!BG212="","",DONNÉES!BG212)</f>
        <v/>
      </c>
      <c r="C111" s="527">
        <f>IF(PMDVERNON138[[#This Row],[2024]]="","",DONNÉES!BH212)</f>
        <v/>
      </c>
      <c r="D111" s="526">
        <f>IF(PMDVERNON138[[#This Row],[2024]]="","",DONNÉES!BG260)</f>
        <v/>
      </c>
      <c r="E111" s="528">
        <f>IF(PMDVERNON138[[#This Row],[2024]]="","",DONNÉES!BH260)</f>
        <v/>
      </c>
      <c r="F111" s="526">
        <f>IF(PMDVERNON138[[#This Row],[2024]]="","",DONNÉES!BG228)</f>
        <v/>
      </c>
      <c r="G111" s="527">
        <f>IF(PMDVERNON138[[#This Row],[2024]]="","",DONNÉES!BH228)</f>
        <v/>
      </c>
      <c r="H111" s="526">
        <f>IF(PMDVERNON138[[#This Row],[2024]]="","",DONNÉES!BG276)</f>
        <v/>
      </c>
      <c r="I111" s="526">
        <f>IF(PMDVERNON138[[#This Row],[2024]]="","",DONNÉES!BH276)</f>
        <v/>
      </c>
      <c r="J111" s="475" t="n"/>
      <c r="K111" s="526">
        <f>IF(PMDVERNON138[[#This Row],[2024]]="","",DONNÉES!BG244)</f>
        <v/>
      </c>
      <c r="L111" s="527">
        <f>IF(PMDVERNON138[[#This Row],[2024]]="","",DONNÉES!BH244)</f>
        <v/>
      </c>
      <c r="M111" s="526">
        <f>IF(PMDVERNON138[[#This Row],[2024]]="","",DONNÉES!BG292)</f>
        <v/>
      </c>
      <c r="N111" s="526">
        <f>IF(PMDVERNON138[[#This Row],[2024]]="","",DONNÉES!BH292)</f>
        <v/>
      </c>
    </row>
    <row r="112" ht="10.15" customHeight="1" s="161">
      <c r="A112" s="494" t="inlineStr">
        <is>
          <t>Octobre</t>
        </is>
      </c>
      <c r="B112" s="526">
        <f>IF(DONNÉES!BG213="","",DONNÉES!BG213)</f>
        <v/>
      </c>
      <c r="C112" s="527">
        <f>IF(PMDVERNON138[[#This Row],[2024]]="","",DONNÉES!BH213)</f>
        <v/>
      </c>
      <c r="D112" s="526">
        <f>IF(PMDVERNON138[[#This Row],[2024]]="","",DONNÉES!BG261)</f>
        <v/>
      </c>
      <c r="E112" s="528">
        <f>IF(PMDVERNON138[[#This Row],[2024]]="","",DONNÉES!BH261)</f>
        <v/>
      </c>
      <c r="F112" s="526">
        <f>IF(PMDVERNON138[[#This Row],[2024]]="","",DONNÉES!BG229)</f>
        <v/>
      </c>
      <c r="G112" s="527">
        <f>IF(PMDVERNON138[[#This Row],[2024]]="","",DONNÉES!BH229)</f>
        <v/>
      </c>
      <c r="H112" s="526">
        <f>IF(PMDVERNON138[[#This Row],[2024]]="","",DONNÉES!BG277)</f>
        <v/>
      </c>
      <c r="I112" s="526">
        <f>IF(PMDVERNON138[[#This Row],[2024]]="","",DONNÉES!BH277)</f>
        <v/>
      </c>
      <c r="J112" s="474" t="n"/>
      <c r="K112" s="526">
        <f>IF(PMDVERNON138[[#This Row],[2024]]="","",DONNÉES!BG245)</f>
        <v/>
      </c>
      <c r="L112" s="527">
        <f>IF(PMDVERNON138[[#This Row],[2024]]="","",DONNÉES!BH245)</f>
        <v/>
      </c>
      <c r="M112" s="526">
        <f>IF(PMDVERNON138[[#This Row],[2024]]="","",DONNÉES!BG293)</f>
        <v/>
      </c>
      <c r="N112" s="526">
        <f>IF(PMDVERNON138[[#This Row],[2024]]="","",DONNÉES!BH293)</f>
        <v/>
      </c>
    </row>
    <row r="113" ht="10.15" customFormat="1" customHeight="1" s="476">
      <c r="A113" s="490" t="inlineStr">
        <is>
          <t>Novembre</t>
        </is>
      </c>
      <c r="B113" s="526">
        <f>IF(DONNÉES!BG214="","",DONNÉES!BG214)</f>
        <v/>
      </c>
      <c r="C113" s="527">
        <f>IF(PMDVERNON138[[#This Row],[2024]]="","",DONNÉES!BH214)</f>
        <v/>
      </c>
      <c r="D113" s="526">
        <f>IF(PMDVERNON138[[#This Row],[2024]]="","",DONNÉES!BG262)</f>
        <v/>
      </c>
      <c r="E113" s="528">
        <f>IF(PMDVERNON138[[#This Row],[2024]]="","",DONNÉES!BH262)</f>
        <v/>
      </c>
      <c r="F113" s="526">
        <f>IF(PMDVERNON138[[#This Row],[2024]]="","",DONNÉES!BG230)</f>
        <v/>
      </c>
      <c r="G113" s="527">
        <f>IF(PMDVERNON138[[#This Row],[2024]]="","",DONNÉES!BH230)</f>
        <v/>
      </c>
      <c r="H113" s="526">
        <f>IF(PMDVERNON138[[#This Row],[2024]]="","",DONNÉES!BG278)</f>
        <v/>
      </c>
      <c r="I113" s="526">
        <f>IF(PMDVERNON138[[#This Row],[2024]]="","",DONNÉES!BH278)</f>
        <v/>
      </c>
      <c r="K113" s="526">
        <f>IF(PMDVERNON138[[#This Row],[2024]]="","",DONNÉES!BG246)</f>
        <v/>
      </c>
      <c r="L113" s="527">
        <f>IF(PMDVERNON138[[#This Row],[2024]]="","",DONNÉES!BH246)</f>
        <v/>
      </c>
      <c r="M113" s="526">
        <f>IF(PMDVERNON138[[#This Row],[2024]]="","",DONNÉES!BG294)</f>
        <v/>
      </c>
      <c r="N113" s="526">
        <f>IF(PMDVERNON138[[#This Row],[2024]]="","",DONNÉES!BH294)</f>
        <v/>
      </c>
    </row>
    <row r="114" ht="10.15" customFormat="1" customHeight="1" s="476">
      <c r="A114" s="490" t="inlineStr">
        <is>
          <t>Décembre</t>
        </is>
      </c>
      <c r="B114" s="526">
        <f>IF(DONNÉES!BG215="","",DONNÉES!BG215)</f>
        <v/>
      </c>
      <c r="C114" s="527">
        <f>IF(PMDVERNON138[[#This Row],[2024]]="","",DONNÉES!BH215)</f>
        <v/>
      </c>
      <c r="D114" s="526">
        <f>IF(PMDVERNON138[[#This Row],[2024]]="","",DONNÉES!BG263)</f>
        <v/>
      </c>
      <c r="E114" s="528">
        <f>IF(PMDVERNON138[[#This Row],[2024]]="","",DONNÉES!BH263)</f>
        <v/>
      </c>
      <c r="F114" s="526">
        <f>IF(PMDVERNON138[[#This Row],[2024]]="","",DONNÉES!BG231)</f>
        <v/>
      </c>
      <c r="G114" s="527">
        <f>IF(PMDVERNON138[[#This Row],[2024]]="","",DONNÉES!BH231)</f>
        <v/>
      </c>
      <c r="H114" s="526">
        <f>IF(PMDVERNON138[[#This Row],[2024]]="","",DONNÉES!BG279)</f>
        <v/>
      </c>
      <c r="I114" s="526">
        <f>IF(PMDVERNON138[[#This Row],[2024]]="","",DONNÉES!BH279)</f>
        <v/>
      </c>
      <c r="K114" s="526">
        <f>IF(PMDVERNON138[[#This Row],[2024]]="","",DONNÉES!BG247)</f>
        <v/>
      </c>
      <c r="L114" s="527">
        <f>IF(PMDVERNON138[[#This Row],[2024]]="","",DONNÉES!BH247)</f>
        <v/>
      </c>
      <c r="M114" s="526">
        <f>IF(PMDVERNON138[[#This Row],[2024]]="","",DONNÉES!BG295)</f>
        <v/>
      </c>
      <c r="N114" s="526">
        <f>IF(PMDVERNON138[[#This Row],[2024]]="","",DONNÉES!BH295)</f>
        <v/>
      </c>
    </row>
    <row r="115" ht="11.65" customFormat="1" customHeight="1" s="476">
      <c r="A115" s="532" t="inlineStr">
        <is>
          <t xml:space="preserve"> TOTAL </t>
        </is>
      </c>
      <c r="B115" s="533">
        <f>SUBTOTAL(101,PMDVERNON138[2024])</f>
        <v/>
      </c>
      <c r="C115" s="534">
        <f>SUBTOTAL(101,PMDVERNON138[2023])</f>
        <v/>
      </c>
      <c r="D115" s="534">
        <f>SUBTOTAL(101,PMDVERNON138[2024 cumul])</f>
        <v/>
      </c>
      <c r="E115" s="535">
        <f>SUBTOTAL(101,PMDVERNON138[2023 cumul])</f>
        <v/>
      </c>
      <c r="F115" s="536">
        <f>SUBTOTAL(101,PMDVERNON138[[2024  ]])</f>
        <v/>
      </c>
      <c r="G115" s="537">
        <f>SUBTOTAL(101,PMDVERNON138[[2023  ]])</f>
        <v/>
      </c>
      <c r="H115" s="533">
        <f>SUBTOTAL(101,PMDVERNON138[[2024 cumul ]])</f>
        <v/>
      </c>
      <c r="I115" s="533">
        <f>SUBTOTAL(101,PMDVERNON138[[2023 cumul ]])</f>
        <v/>
      </c>
      <c r="K115" s="533">
        <f>SUBTOTAL(101,PMDVICTOIRE[[2024  ]])</f>
        <v/>
      </c>
      <c r="L115" s="534">
        <f>SUBTOTAL(101,PMDVICTOIRE[[2023  ]])</f>
        <v/>
      </c>
      <c r="M115" s="534">
        <f>SUBTOTAL(101,PMDVICTOIRE[[2024 cumul ]])</f>
        <v/>
      </c>
      <c r="N115" s="533">
        <f>SUBTOTAL(101,PMDVICTOIRE[[2023 cumul ]])</f>
        <v/>
      </c>
    </row>
    <row r="116" ht="11.65" customFormat="1" customHeight="1" s="476">
      <c r="A116" s="532" t="n"/>
      <c r="B116" s="533" t="n"/>
      <c r="C116" s="533" t="n"/>
      <c r="D116" s="533" t="n"/>
      <c r="E116" s="535" t="n"/>
      <c r="F116" s="536" t="n"/>
      <c r="G116" s="536" t="n"/>
      <c r="H116" s="533" t="n"/>
      <c r="I116" s="533" t="n"/>
      <c r="K116" s="533" t="n"/>
      <c r="L116" s="533" t="n"/>
      <c r="M116" s="533" t="n"/>
      <c r="N116" s="533" t="n"/>
    </row>
    <row r="117" ht="15" customHeight="1" s="161">
      <c r="A117" s="516" t="n"/>
      <c r="B117" s="517" t="inlineStr">
        <is>
          <t>Sur place</t>
        </is>
      </c>
      <c r="C117" s="487" t="n"/>
      <c r="D117" s="487" t="n"/>
      <c r="E117" s="488" t="n"/>
      <c r="F117" s="518" t="inlineStr">
        <is>
          <t>A emporter</t>
        </is>
      </c>
      <c r="G117" s="487" t="n"/>
      <c r="H117" s="487" t="n"/>
      <c r="I117" s="487" t="n"/>
      <c r="J117" s="508" t="n"/>
      <c r="K117" s="518" t="inlineStr">
        <is>
          <t>Total</t>
        </is>
      </c>
      <c r="L117" s="487" t="n"/>
      <c r="M117" s="487" t="n"/>
      <c r="N117" s="487" t="n"/>
    </row>
    <row r="118" ht="30" customHeight="1" s="161">
      <c r="A118" s="490" t="inlineStr">
        <is>
          <t>R3 14</t>
        </is>
      </c>
      <c r="B118" s="491" t="inlineStr">
        <is>
          <t>2024</t>
        </is>
      </c>
      <c r="C118" s="492" t="inlineStr">
        <is>
          <t>2023</t>
        </is>
      </c>
      <c r="D118" s="491" t="inlineStr">
        <is>
          <t>2024 cumul</t>
        </is>
      </c>
      <c r="E118" s="493" t="inlineStr">
        <is>
          <t>2023 cumul</t>
        </is>
      </c>
      <c r="F118" s="491" t="inlineStr">
        <is>
          <t xml:space="preserve">2024  </t>
        </is>
      </c>
      <c r="G118" s="492" t="inlineStr">
        <is>
          <t xml:space="preserve">2023  </t>
        </is>
      </c>
      <c r="H118" s="491" t="inlineStr">
        <is>
          <t xml:space="preserve">2024 cumul </t>
        </is>
      </c>
      <c r="I118" s="525" t="inlineStr">
        <is>
          <t xml:space="preserve">2023 cumul </t>
        </is>
      </c>
      <c r="J118" s="474" t="n"/>
      <c r="K118" s="491" t="inlineStr">
        <is>
          <t xml:space="preserve">2024  </t>
        </is>
      </c>
      <c r="L118" s="492" t="inlineStr">
        <is>
          <t xml:space="preserve">2023  </t>
        </is>
      </c>
      <c r="M118" s="491" t="inlineStr">
        <is>
          <t xml:space="preserve">2024 cumul </t>
        </is>
      </c>
      <c r="N118" s="493" t="inlineStr">
        <is>
          <t xml:space="preserve">2023 cumul </t>
        </is>
      </c>
    </row>
    <row r="119" ht="10.15" customFormat="1" customHeight="1" s="476">
      <c r="A119" s="494" t="inlineStr">
        <is>
          <t>Janvier</t>
        </is>
      </c>
      <c r="B119" s="526">
        <f>IF(DONNÉES!CE204="","",DONNÉES!CE204)</f>
        <v/>
      </c>
      <c r="C119" s="527">
        <f>IF(PMDBIGNALET[[#This Row],[2024]]="","",DONNÉES!CF204)</f>
        <v/>
      </c>
      <c r="D119" s="526">
        <f>IF(PMDBIGNALET[[#This Row],[2024]]="","",DONNÉES!CE252)</f>
        <v/>
      </c>
      <c r="E119" s="528">
        <f>IF(PMDBIGNALET[[#This Row],[2024]]="","",DONNÉES!CF252)</f>
        <v/>
      </c>
      <c r="F119" s="526">
        <f>IF(PMDBIGNALET[[#This Row],[2024]]="","",DONNÉES!CE220)</f>
        <v/>
      </c>
      <c r="G119" s="527">
        <f>IF(PMDBIGNALET[[#This Row],[2024]]="","",DONNÉES!CF220)</f>
        <v/>
      </c>
      <c r="H119" s="526">
        <f>IF(PMDBIGNALET[[#This Row],[2024]]="","",DONNÉES!CE268)</f>
        <v/>
      </c>
      <c r="I119" s="526">
        <f>IF(PMDBIGNALET[[#This Row],[2024]]="","",DONNÉES!CF268)</f>
        <v/>
      </c>
      <c r="K119" s="526">
        <f>IF(PMDBIGNALET[[#This Row],[2024]]="","",DONNÉES!CE236)</f>
        <v/>
      </c>
      <c r="L119" s="527">
        <f>IF(PMDBIGNALET[[#This Row],[2024]]="","",DONNÉES!CF236)</f>
        <v/>
      </c>
      <c r="M119" s="526">
        <f>IF(PMDBIGNALET[[#This Row],[2024]]="","",DONNÉES!CE284)</f>
        <v/>
      </c>
      <c r="N119" s="526">
        <f>IF(PMDBIGNALET[[#This Row],[2024]]="","",DONNÉES!CF284)</f>
        <v/>
      </c>
    </row>
    <row r="120" ht="10.15" customFormat="1" customHeight="1" s="476">
      <c r="A120" s="494" t="inlineStr">
        <is>
          <t>Février</t>
        </is>
      </c>
      <c r="B120" s="526">
        <f>IF(DONNÉES!CE205="","",DONNÉES!CE205)</f>
        <v/>
      </c>
      <c r="C120" s="527">
        <f>IF(PMDBIGNALET[[#This Row],[2024]]="","",DONNÉES!CF205)</f>
        <v/>
      </c>
      <c r="D120" s="526">
        <f>IF(PMDBIGNALET[[#This Row],[2024]]="","",DONNÉES!CE253)</f>
        <v/>
      </c>
      <c r="E120" s="528">
        <f>IF(PMDBIGNALET[[#This Row],[2024]]="","",DONNÉES!CF253)</f>
        <v/>
      </c>
      <c r="F120" s="526">
        <f>IF(PMDBIGNALET[[#This Row],[2024]]="","",DONNÉES!CE221)</f>
        <v/>
      </c>
      <c r="G120" s="527">
        <f>IF(PMDBIGNALET[[#This Row],[2024]]="","",DONNÉES!CF221)</f>
        <v/>
      </c>
      <c r="H120" s="526">
        <f>IF(PMDBIGNALET[[#This Row],[2024]]="","",DONNÉES!CE269)</f>
        <v/>
      </c>
      <c r="I120" s="526">
        <f>IF(PMDBIGNALET[[#This Row],[2024]]="","",DONNÉES!CF269)</f>
        <v/>
      </c>
      <c r="K120" s="526">
        <f>IF(PMDBIGNALET[[#This Row],[2024]]="","",DONNÉES!CE237)</f>
        <v/>
      </c>
      <c r="L120" s="527">
        <f>IF(PMDBIGNALET[[#This Row],[2024]]="","",DONNÉES!CF237)</f>
        <v/>
      </c>
      <c r="M120" s="526">
        <f>IF(PMDBIGNALET[[#This Row],[2024]]="","",DONNÉES!CE285)</f>
        <v/>
      </c>
      <c r="N120" s="526">
        <f>IF(PMDBIGNALET[[#This Row],[2024]]="","",DONNÉES!CF285)</f>
        <v/>
      </c>
    </row>
    <row r="121" ht="10.15" customFormat="1" customHeight="1" s="476">
      <c r="A121" s="490" t="inlineStr">
        <is>
          <t>Mars</t>
        </is>
      </c>
      <c r="B121" s="526">
        <f>IF(DONNÉES!CE206="","",DONNÉES!CE206)</f>
        <v/>
      </c>
      <c r="C121" s="527">
        <f>IF(PMDBIGNALET[[#This Row],[2024]]="","",DONNÉES!CF206)</f>
        <v/>
      </c>
      <c r="D121" s="526">
        <f>IF(PMDBIGNALET[[#This Row],[2024]]="","",DONNÉES!CE254)</f>
        <v/>
      </c>
      <c r="E121" s="528">
        <f>IF(PMDBIGNALET[[#This Row],[2024]]="","",DONNÉES!CF254)</f>
        <v/>
      </c>
      <c r="F121" s="526">
        <f>IF(PMDBIGNALET[[#This Row],[2024]]="","",DONNÉES!CE222)</f>
        <v/>
      </c>
      <c r="G121" s="527">
        <f>IF(PMDBIGNALET[[#This Row],[2024]]="","",DONNÉES!CF222)</f>
        <v/>
      </c>
      <c r="H121" s="526">
        <f>IF(PMDBIGNALET[[#This Row],[2024]]="","",DONNÉES!CE270)</f>
        <v/>
      </c>
      <c r="I121" s="526">
        <f>IF(PMDBIGNALET[[#This Row],[2024]]="","",DONNÉES!CF270)</f>
        <v/>
      </c>
      <c r="K121" s="526">
        <f>IF(PMDBIGNALET[[#This Row],[2024]]="","",DONNÉES!CE238)</f>
        <v/>
      </c>
      <c r="L121" s="527">
        <f>IF(PMDBIGNALET[[#This Row],[2024]]="","",DONNÉES!CF238)</f>
        <v/>
      </c>
      <c r="M121" s="526">
        <f>IF(PMDBIGNALET[[#This Row],[2024]]="","",DONNÉES!CE286)</f>
        <v/>
      </c>
      <c r="N121" s="526">
        <f>IF(PMDBIGNALET[[#This Row],[2024]]="","",DONNÉES!CF286)</f>
        <v/>
      </c>
    </row>
    <row r="122" ht="10.15" customHeight="1" s="161">
      <c r="A122" s="494" t="inlineStr">
        <is>
          <t>Avril</t>
        </is>
      </c>
      <c r="B122" s="526">
        <f>IF(DONNÉES!CE207="","",DONNÉES!CE207)</f>
        <v/>
      </c>
      <c r="C122" s="527">
        <f>IF(PMDBIGNALET[[#This Row],[2024]]="","",DONNÉES!CF207)</f>
        <v/>
      </c>
      <c r="D122" s="526">
        <f>IF(PMDBIGNALET[[#This Row],[2024]]="","",DONNÉES!CE255)</f>
        <v/>
      </c>
      <c r="E122" s="528">
        <f>IF(PMDBIGNALET[[#This Row],[2024]]="","",DONNÉES!CF255)</f>
        <v/>
      </c>
      <c r="F122" s="526">
        <f>IF(PMDBIGNALET[[#This Row],[2024]]="","",DONNÉES!CE223)</f>
        <v/>
      </c>
      <c r="G122" s="527">
        <f>IF(PMDBIGNALET[[#This Row],[2024]]="","",DONNÉES!CF223)</f>
        <v/>
      </c>
      <c r="H122" s="526">
        <f>IF(PMDBIGNALET[[#This Row],[2024]]="","",DONNÉES!CE271)</f>
        <v/>
      </c>
      <c r="I122" s="526">
        <f>IF(PMDBIGNALET[[#This Row],[2024]]="","",DONNÉES!CF271)</f>
        <v/>
      </c>
      <c r="J122" s="474" t="n"/>
      <c r="K122" s="526">
        <f>IF(PMDBIGNALET[[#This Row],[2024]]="","",DONNÉES!CE239)</f>
        <v/>
      </c>
      <c r="L122" s="527">
        <f>IF(PMDBIGNALET[[#This Row],[2024]]="","",DONNÉES!CF239)</f>
        <v/>
      </c>
      <c r="M122" s="526">
        <f>IF(PMDBIGNALET[[#This Row],[2024]]="","",DONNÉES!CE287)</f>
        <v/>
      </c>
      <c r="N122" s="526">
        <f>IF(PMDBIGNALET[[#This Row],[2024]]="","",DONNÉES!CF287)</f>
        <v/>
      </c>
    </row>
    <row r="123" ht="10.15" customHeight="1" s="161">
      <c r="A123" s="490" t="inlineStr">
        <is>
          <t>Mai</t>
        </is>
      </c>
      <c r="B123" s="526">
        <f>IF(DONNÉES!CE208="","",DONNÉES!CE208)</f>
        <v/>
      </c>
      <c r="C123" s="527">
        <f>IF(PMDBIGNALET[[#This Row],[2024]]="","",DONNÉES!CF208)</f>
        <v/>
      </c>
      <c r="D123" s="526">
        <f>IF(PMDBIGNALET[[#This Row],[2024]]="","",DONNÉES!CE256)</f>
        <v/>
      </c>
      <c r="E123" s="528">
        <f>IF(PMDBIGNALET[[#This Row],[2024]]="","",DONNÉES!CF256)</f>
        <v/>
      </c>
      <c r="F123" s="526">
        <f>IF(PMDBIGNALET[[#This Row],[2024]]="","",DONNÉES!CE224)</f>
        <v/>
      </c>
      <c r="G123" s="527">
        <f>IF(PMDBIGNALET[[#This Row],[2024]]="","",DONNÉES!CF224)</f>
        <v/>
      </c>
      <c r="H123" s="526">
        <f>IF(PMDBIGNALET[[#This Row],[2024]]="","",DONNÉES!CE272)</f>
        <v/>
      </c>
      <c r="I123" s="526">
        <f>IF(PMDBIGNALET[[#This Row],[2024]]="","",DONNÉES!CF272)</f>
        <v/>
      </c>
      <c r="J123" s="474" t="n"/>
      <c r="K123" s="526">
        <f>IF(PMDBIGNALET[[#This Row],[2024]]="","",DONNÉES!CE240)</f>
        <v/>
      </c>
      <c r="L123" s="527">
        <f>IF(PMDBIGNALET[[#This Row],[2024]]="","",DONNÉES!CF240)</f>
        <v/>
      </c>
      <c r="M123" s="526">
        <f>IF(PMDBIGNALET[[#This Row],[2024]]="","",DONNÉES!CE288)</f>
        <v/>
      </c>
      <c r="N123" s="526">
        <f>IF(PMDBIGNALET[[#This Row],[2024]]="","",DONNÉES!CF288)</f>
        <v/>
      </c>
    </row>
    <row r="124" ht="10.15" customHeight="1" s="161">
      <c r="A124" s="494" t="inlineStr">
        <is>
          <t>Juin</t>
        </is>
      </c>
      <c r="B124" s="526">
        <f>IF(DONNÉES!CE209="","",DONNÉES!CE209)</f>
        <v/>
      </c>
      <c r="C124" s="527">
        <f>IF(PMDBIGNALET[[#This Row],[2024]]="","",DONNÉES!CF209)</f>
        <v/>
      </c>
      <c r="D124" s="526">
        <f>IF(PMDBIGNALET[[#This Row],[2024]]="","",DONNÉES!CE257)</f>
        <v/>
      </c>
      <c r="E124" s="528">
        <f>IF(PMDBIGNALET[[#This Row],[2024]]="","",DONNÉES!CF257)</f>
        <v/>
      </c>
      <c r="F124" s="526">
        <f>IF(PMDBIGNALET[[#This Row],[2024]]="","",DONNÉES!CE225)</f>
        <v/>
      </c>
      <c r="G124" s="527">
        <f>IF(PMDBIGNALET[[#This Row],[2024]]="","",DONNÉES!CF225)</f>
        <v/>
      </c>
      <c r="H124" s="526">
        <f>IF(PMDBIGNALET[[#This Row],[2024]]="","",DONNÉES!CE273)</f>
        <v/>
      </c>
      <c r="I124" s="526">
        <f>IF(PMDBIGNALET[[#This Row],[2024]]="","",DONNÉES!CF273)</f>
        <v/>
      </c>
      <c r="J124" s="474" t="n"/>
      <c r="K124" s="526">
        <f>IF(PMDBIGNALET[[#This Row],[2024]]="","",DONNÉES!CE241)</f>
        <v/>
      </c>
      <c r="L124" s="527">
        <f>IF(PMDBIGNALET[[#This Row],[2024]]="","",DONNÉES!CF241)</f>
        <v/>
      </c>
      <c r="M124" s="526">
        <f>IF(PMDBIGNALET[[#This Row],[2024]]="","",DONNÉES!CE289)</f>
        <v/>
      </c>
      <c r="N124" s="526">
        <f>IF(PMDBIGNALET[[#This Row],[2024]]="","",DONNÉES!CF289)</f>
        <v/>
      </c>
    </row>
    <row r="125" ht="10.15" customHeight="1" s="161">
      <c r="A125" s="490" t="inlineStr">
        <is>
          <t>Juillet</t>
        </is>
      </c>
      <c r="B125" s="526">
        <f>IF(DONNÉES!CE210="","",DONNÉES!CE210)</f>
        <v/>
      </c>
      <c r="C125" s="527">
        <f>IF(PMDBIGNALET[[#This Row],[2024]]="","",DONNÉES!CF210)</f>
        <v/>
      </c>
      <c r="D125" s="526">
        <f>IF(PMDBIGNALET[[#This Row],[2024]]="","",DONNÉES!CE258)</f>
        <v/>
      </c>
      <c r="E125" s="528">
        <f>IF(PMDBIGNALET[[#This Row],[2024]]="","",DONNÉES!CF258)</f>
        <v/>
      </c>
      <c r="F125" s="526">
        <f>IF(PMDBIGNALET[[#This Row],[2024]]="","",DONNÉES!CE226)</f>
        <v/>
      </c>
      <c r="G125" s="527">
        <f>IF(PMDBIGNALET[[#This Row],[2024]]="","",DONNÉES!CF226)</f>
        <v/>
      </c>
      <c r="H125" s="526">
        <f>IF(PMDBIGNALET[[#This Row],[2024]]="","",DONNÉES!CE274)</f>
        <v/>
      </c>
      <c r="I125" s="526">
        <f>IF(PMDBIGNALET[[#This Row],[2024]]="","",DONNÉES!CF274)</f>
        <v/>
      </c>
      <c r="J125" s="474" t="n"/>
      <c r="K125" s="526">
        <f>IF(PMDBIGNALET[[#This Row],[2024]]="","",DONNÉES!CE242)</f>
        <v/>
      </c>
      <c r="L125" s="527">
        <f>IF(PMDBIGNALET[[#This Row],[2024]]="","",DONNÉES!CF242)</f>
        <v/>
      </c>
      <c r="M125" s="526">
        <f>IF(PMDBIGNALET[[#This Row],[2024]]="","",DONNÉES!CE290)</f>
        <v/>
      </c>
      <c r="N125" s="526">
        <f>IF(PMDBIGNALET[[#This Row],[2024]]="","",DONNÉES!CF290)</f>
        <v/>
      </c>
    </row>
    <row r="126" ht="10.15" customHeight="1" s="161">
      <c r="A126" s="494" t="inlineStr">
        <is>
          <t>Août</t>
        </is>
      </c>
      <c r="B126" s="526">
        <f>IF(DONNÉES!CE211="","",DONNÉES!CE211)</f>
        <v/>
      </c>
      <c r="C126" s="527">
        <f>IF(PMDBIGNALET[[#This Row],[2024]]="","",DONNÉES!CF211)</f>
        <v/>
      </c>
      <c r="D126" s="526">
        <f>IF(PMDBIGNALET[[#This Row],[2024]]="","",DONNÉES!CE259)</f>
        <v/>
      </c>
      <c r="E126" s="528">
        <f>IF(PMDBIGNALET[[#This Row],[2024]]="","",DONNÉES!CF259)</f>
        <v/>
      </c>
      <c r="F126" s="526">
        <f>IF(PMDBIGNALET[[#This Row],[2024]]="","",DONNÉES!CE227)</f>
        <v/>
      </c>
      <c r="G126" s="527">
        <f>IF(PMDBIGNALET[[#This Row],[2024]]="","",DONNÉES!CF227)</f>
        <v/>
      </c>
      <c r="H126" s="526">
        <f>IF(PMDBIGNALET[[#This Row],[2024]]="","",DONNÉES!CE275)</f>
        <v/>
      </c>
      <c r="I126" s="526">
        <f>IF(PMDBIGNALET[[#This Row],[2024]]="","",DONNÉES!CF275)</f>
        <v/>
      </c>
      <c r="J126" s="474" t="n"/>
      <c r="K126" s="526">
        <f>IF(PMDBIGNALET[[#This Row],[2024]]="","",DONNÉES!CE243)</f>
        <v/>
      </c>
      <c r="L126" s="527">
        <f>IF(PMDBIGNALET[[#This Row],[2024]]="","",DONNÉES!CF243)</f>
        <v/>
      </c>
      <c r="M126" s="526">
        <f>IF(PMDBIGNALET[[#This Row],[2024]]="","",DONNÉES!CE291)</f>
        <v/>
      </c>
      <c r="N126" s="526">
        <f>IF(PMDBIGNALET[[#This Row],[2024]]="","",DONNÉES!CF291)</f>
        <v/>
      </c>
    </row>
    <row r="127" ht="10.15" customHeight="1" s="161">
      <c r="A127" s="490" t="inlineStr">
        <is>
          <t>Septembre</t>
        </is>
      </c>
      <c r="B127" s="529">
        <f>IF(DONNÉES!CE212="","",DONNÉES!CE212)</f>
        <v/>
      </c>
      <c r="C127" s="530">
        <f>IF(PMDBIGNALET[[#This Row],[2024]]="","",DONNÉES!CF212)</f>
        <v/>
      </c>
      <c r="D127" s="529">
        <f>IF(PMDBIGNALET[[#This Row],[2024]]="","",DONNÉES!CE260)</f>
        <v/>
      </c>
      <c r="E127" s="531">
        <f>IF(PMDBIGNALET[[#This Row],[2024]]="","",DONNÉES!CF260)</f>
        <v/>
      </c>
      <c r="F127" s="529">
        <f>IF(PMDBIGNALET[[#This Row],[2024]]="","",DONNÉES!CE228)</f>
        <v/>
      </c>
      <c r="G127" s="530">
        <f>IF(PMDBIGNALET[[#This Row],[2024]]="","",DONNÉES!CF228)</f>
        <v/>
      </c>
      <c r="H127" s="529">
        <f>IF(PMDBIGNALET[[#This Row],[2024]]="","",DONNÉES!CE276)</f>
        <v/>
      </c>
      <c r="I127" s="529">
        <f>IF(PMDBIGNALET[[#This Row],[2024]]="","",DONNÉES!CF276)</f>
        <v/>
      </c>
      <c r="J127" s="475" t="n"/>
      <c r="K127" s="529">
        <f>IF(PMDBIGNALET[[#This Row],[2024]]="","",DONNÉES!CE244)</f>
        <v/>
      </c>
      <c r="L127" s="530">
        <f>IF(PMDBIGNALET[[#This Row],[2024]]="","",DONNÉES!CF244)</f>
        <v/>
      </c>
      <c r="M127" s="529">
        <f>IF(PMDBIGNALET[[#This Row],[2024]]="","",DONNÉES!CE292)</f>
        <v/>
      </c>
      <c r="N127" s="529">
        <f>IF(PMDBIGNALET[[#This Row],[2024]]="","",DONNÉES!CF292)</f>
        <v/>
      </c>
    </row>
    <row r="128" ht="10.15" customHeight="1" s="161">
      <c r="A128" s="494" t="inlineStr">
        <is>
          <t>Octobre</t>
        </is>
      </c>
      <c r="B128" s="529">
        <f>IF(DONNÉES!CE213="","",DONNÉES!CE213)</f>
        <v/>
      </c>
      <c r="C128" s="530">
        <f>IF(PMDBIGNALET[[#This Row],[2024]]="","",DONNÉES!CF213)</f>
        <v/>
      </c>
      <c r="D128" s="529">
        <f>IF(PMDBIGNALET[[#This Row],[2024]]="","",DONNÉES!CE261)</f>
        <v/>
      </c>
      <c r="E128" s="531">
        <f>IF(PMDBIGNALET[[#This Row],[2024]]="","",DONNÉES!CF261)</f>
        <v/>
      </c>
      <c r="F128" s="529">
        <f>IF(PMDBIGNALET[[#This Row],[2024]]="","",DONNÉES!CE229)</f>
        <v/>
      </c>
      <c r="G128" s="530">
        <f>IF(PMDBIGNALET[[#This Row],[2024]]="","",DONNÉES!CF229)</f>
        <v/>
      </c>
      <c r="H128" s="529">
        <f>IF(PMDBIGNALET[[#This Row],[2024]]="","",DONNÉES!CE277)</f>
        <v/>
      </c>
      <c r="I128" s="529">
        <f>IF(PMDBIGNALET[[#This Row],[2024]]="","",DONNÉES!CF277)</f>
        <v/>
      </c>
      <c r="J128" s="474" t="n"/>
      <c r="K128" s="529">
        <f>IF(PMDBIGNALET[[#This Row],[2024]]="","",DONNÉES!CE245)</f>
        <v/>
      </c>
      <c r="L128" s="530">
        <f>IF(PMDBIGNALET[[#This Row],[2024]]="","",DONNÉES!CF245)</f>
        <v/>
      </c>
      <c r="M128" s="529">
        <f>IF(PMDBIGNALET[[#This Row],[2024]]="","",DONNÉES!CE293)</f>
        <v/>
      </c>
      <c r="N128" s="529">
        <f>IF(PMDBIGNALET[[#This Row],[2024]]="","",DONNÉES!CF293)</f>
        <v/>
      </c>
    </row>
    <row r="129" ht="10.15" customFormat="1" customHeight="1" s="476">
      <c r="A129" s="490" t="inlineStr">
        <is>
          <t>Novembre</t>
        </is>
      </c>
      <c r="B129" s="529">
        <f>IF(DONNÉES!CE214="","",DONNÉES!CE214)</f>
        <v/>
      </c>
      <c r="C129" s="530">
        <f>IF(PMDBIGNALET[[#This Row],[2024]]="","",DONNÉES!CF214)</f>
        <v/>
      </c>
      <c r="D129" s="529">
        <f>IF(PMDBIGNALET[[#This Row],[2024]]="","",DONNÉES!CE262)</f>
        <v/>
      </c>
      <c r="E129" s="531">
        <f>IF(PMDBIGNALET[[#This Row],[2024]]="","",DONNÉES!CF262)</f>
        <v/>
      </c>
      <c r="F129" s="529">
        <f>IF(PMDBIGNALET[[#This Row],[2024]]="","",DONNÉES!CE230)</f>
        <v/>
      </c>
      <c r="G129" s="530">
        <f>IF(PMDBIGNALET[[#This Row],[2024]]="","",DONNÉES!CF230)</f>
        <v/>
      </c>
      <c r="H129" s="529">
        <f>IF(PMDBIGNALET[[#This Row],[2024]]="","",DONNÉES!CE278)</f>
        <v/>
      </c>
      <c r="I129" s="529">
        <f>IF(PMDBIGNALET[[#This Row],[2024]]="","",DONNÉES!CF278)</f>
        <v/>
      </c>
      <c r="K129" s="529">
        <f>IF(PMDBIGNALET[[#This Row],[2024]]="","",DONNÉES!CE246)</f>
        <v/>
      </c>
      <c r="L129" s="530">
        <f>IF(PMDBIGNALET[[#This Row],[2024]]="","",DONNÉES!CF246)</f>
        <v/>
      </c>
      <c r="M129" s="529">
        <f>IF(PMDBIGNALET[[#This Row],[2024]]="","",DONNÉES!CE294)</f>
        <v/>
      </c>
      <c r="N129" s="529">
        <f>IF(PMDBIGNALET[[#This Row],[2024]]="","",DONNÉES!CF294)</f>
        <v/>
      </c>
    </row>
    <row r="130" ht="10.15" customFormat="1" customHeight="1" s="476">
      <c r="A130" s="490" t="inlineStr">
        <is>
          <t>Décembre</t>
        </is>
      </c>
      <c r="B130" s="529">
        <f>IF(DONNÉES!CE215="","",DONNÉES!CE215)</f>
        <v/>
      </c>
      <c r="C130" s="530">
        <f>IF(PMDBIGNALET[[#This Row],[2024]]="","",DONNÉES!CF215)</f>
        <v/>
      </c>
      <c r="D130" s="529">
        <f>IF(PMDBIGNALET[[#This Row],[2024]]="","",DONNÉES!CE263)</f>
        <v/>
      </c>
      <c r="E130" s="531">
        <f>IF(PMDBIGNALET[[#This Row],[2024]]="","",DONNÉES!CF263)</f>
        <v/>
      </c>
      <c r="F130" s="529">
        <f>IF(PMDBIGNALET[[#This Row],[2024]]="","",DONNÉES!CE231)</f>
        <v/>
      </c>
      <c r="G130" s="530">
        <f>IF(PMDBIGNALET[[#This Row],[2024]]="","",DONNÉES!CF231)</f>
        <v/>
      </c>
      <c r="H130" s="529">
        <f>IF(PMDBIGNALET[[#This Row],[2024]]="","",DONNÉES!CE279)</f>
        <v/>
      </c>
      <c r="I130" s="529">
        <f>IF(PMDBIGNALET[[#This Row],[2024]]="","",DONNÉES!CF279)</f>
        <v/>
      </c>
      <c r="K130" s="529">
        <f>IF(PMDBIGNALET[[#This Row],[2024]]="","",DONNÉES!CE247)</f>
        <v/>
      </c>
      <c r="L130" s="530">
        <f>IF(PMDBIGNALET[[#This Row],[2024]]="","",DONNÉES!CF247)</f>
        <v/>
      </c>
      <c r="M130" s="529">
        <f>IF(PMDBIGNALET[[#This Row],[2024]]="","",DONNÉES!CE295)</f>
        <v/>
      </c>
      <c r="N130" s="529">
        <f>IF(PMDBIGNALET[[#This Row],[2024]]="","",DONNÉES!CF295)</f>
        <v/>
      </c>
    </row>
    <row r="131" ht="11.65" customFormat="1" customHeight="1" s="476">
      <c r="A131" s="532" t="inlineStr">
        <is>
          <t xml:space="preserve"> TOTAL </t>
        </is>
      </c>
      <c r="B131" s="533">
        <f>SUBTOTAL(101,PMDBIGNALET[2024])</f>
        <v/>
      </c>
      <c r="C131" s="534">
        <f>SUBTOTAL(101,PMDBIGNALET[2023])</f>
        <v/>
      </c>
      <c r="D131" s="534">
        <f>SUBTOTAL(101,PMDBIGNALET[2024 cumul])</f>
        <v/>
      </c>
      <c r="E131" s="535">
        <f>SUBTOTAL(101,PMDBIGNALET[2023 cumul])</f>
        <v/>
      </c>
      <c r="F131" s="536">
        <f>SUBTOTAL(101,PMDBIGNALET[[2024  ]])</f>
        <v/>
      </c>
      <c r="G131" s="537">
        <f>SUBTOTAL(101,PMDBIGNALET[[2023  ]])</f>
        <v/>
      </c>
      <c r="H131" s="533">
        <f>SUBTOTAL(101,PMDBIGNALET[[2024 cumul ]])</f>
        <v/>
      </c>
      <c r="I131" s="533">
        <f>SUBTOTAL(101,PMDBIGNALET[[2023 cumul ]])</f>
        <v/>
      </c>
      <c r="K131" s="533">
        <f>SUBTOTAL(101,PMDR314[[2024  ]])</f>
        <v/>
      </c>
      <c r="L131" s="534">
        <f>SUBTOTAL(101,PMDR314[[2023  ]])</f>
        <v/>
      </c>
      <c r="M131" s="533">
        <f>SUBTOTAL(101,PMDR314[[2024 cumul ]])</f>
        <v/>
      </c>
      <c r="N131" s="533">
        <f>SUBTOTAL(101,PMDR314[[2023 cumul ]])</f>
        <v/>
      </c>
    </row>
    <row r="132" ht="12" customHeight="1" s="161">
      <c r="H132" s="474" t="n"/>
    </row>
    <row r="133" ht="15" customHeight="1" s="161">
      <c r="A133" s="516" t="n"/>
      <c r="B133" s="517" t="inlineStr">
        <is>
          <t>Sur place</t>
        </is>
      </c>
      <c r="C133" s="487" t="n"/>
      <c r="D133" s="487" t="n"/>
      <c r="E133" s="488" t="n"/>
      <c r="F133" s="518" t="inlineStr">
        <is>
          <t>A emporter</t>
        </is>
      </c>
      <c r="G133" s="487" t="n"/>
      <c r="H133" s="487" t="n"/>
      <c r="I133" s="487" t="n"/>
      <c r="J133" s="508" t="n"/>
      <c r="K133" s="518" t="inlineStr">
        <is>
          <t>Total</t>
        </is>
      </c>
      <c r="L133" s="487" t="n"/>
      <c r="M133" s="487" t="n"/>
      <c r="N133" s="487" t="n"/>
    </row>
    <row r="134" ht="30" customHeight="1" s="161">
      <c r="A134" s="490" t="inlineStr">
        <is>
          <t>LYSE</t>
        </is>
      </c>
      <c r="B134" s="491" t="inlineStr">
        <is>
          <t>2024</t>
        </is>
      </c>
      <c r="C134" s="492" t="inlineStr">
        <is>
          <t>2023</t>
        </is>
      </c>
      <c r="D134" s="491" t="inlineStr">
        <is>
          <t>2024 cumul</t>
        </is>
      </c>
      <c r="E134" s="493" t="inlineStr">
        <is>
          <t>2023 cumul</t>
        </is>
      </c>
      <c r="F134" s="491" t="inlineStr">
        <is>
          <t xml:space="preserve">2024  </t>
        </is>
      </c>
      <c r="G134" s="492" t="inlineStr">
        <is>
          <t xml:space="preserve">2023  </t>
        </is>
      </c>
      <c r="H134" s="491" t="inlineStr">
        <is>
          <t xml:space="preserve">2024 cumul </t>
        </is>
      </c>
      <c r="I134" s="525" t="inlineStr">
        <is>
          <t xml:space="preserve">2023 cumul </t>
        </is>
      </c>
      <c r="J134" s="474" t="n"/>
      <c r="K134" s="491" t="inlineStr">
        <is>
          <t xml:space="preserve">2024  </t>
        </is>
      </c>
      <c r="L134" s="492" t="inlineStr">
        <is>
          <t xml:space="preserve">2023  </t>
        </is>
      </c>
      <c r="M134" s="491" t="inlineStr">
        <is>
          <t xml:space="preserve">2024 cumul </t>
        </is>
      </c>
      <c r="N134" s="493" t="inlineStr">
        <is>
          <t xml:space="preserve">2023 cumul </t>
        </is>
      </c>
    </row>
    <row r="135" ht="10.15" customFormat="1" customHeight="1" s="476">
      <c r="A135" s="494" t="inlineStr">
        <is>
          <t>Janvier</t>
        </is>
      </c>
      <c r="B135" s="526">
        <f>IF(DONNÉES!CM204="","",DONNÉES!CM204)</f>
        <v/>
      </c>
      <c r="C135" s="527">
        <f>IF(PMDCINE[[#This Row],[2024]]="","",DONNÉES!CN204)</f>
        <v/>
      </c>
      <c r="D135" s="526">
        <f>IF(PMDCINE[[#This Row],[2024]]="","",DONNÉES!CM252)</f>
        <v/>
      </c>
      <c r="E135" s="528">
        <f>IF(PMDCINE[[#This Row],[2024]]="","",DONNÉES!CN252)</f>
        <v/>
      </c>
      <c r="F135" s="526">
        <f>IF(PMDCINE[[#This Row],[2024]]="","",DONNÉES!CM220)</f>
        <v/>
      </c>
      <c r="G135" s="527">
        <f>IF(PMDCINE[[#This Row],[2024]]="","",DONNÉES!CN220)</f>
        <v/>
      </c>
      <c r="H135" s="526">
        <f>IF(PMDCINE[[#This Row],[2024]]="","",DONNÉES!CM268)</f>
        <v/>
      </c>
      <c r="I135" s="526">
        <f>IF(PMDCINE[[#This Row],[2024]]="","",DONNÉES!CN268)</f>
        <v/>
      </c>
      <c r="K135" s="526">
        <f>IF(PMDCINE[[#This Row],[2024]]="","",DONNÉES!CM236)</f>
        <v/>
      </c>
      <c r="L135" s="527">
        <f>IF(PMDCINE[[#This Row],[2024]]="","",DONNÉES!CN236)</f>
        <v/>
      </c>
      <c r="M135" s="526">
        <f>IF(PMDCINE[[#This Row],[2024]]="","",DONNÉES!CM284)</f>
        <v/>
      </c>
      <c r="N135" s="526">
        <f>IF(PMDCINE[[#This Row],[2024]]="","",DONNÉES!CN284)</f>
        <v/>
      </c>
    </row>
    <row r="136" ht="10.15" customFormat="1" customHeight="1" s="476">
      <c r="A136" s="494" t="inlineStr">
        <is>
          <t>Février</t>
        </is>
      </c>
      <c r="B136" s="526">
        <f>IF(DONNÉES!CM205="","",DONNÉES!CM205)</f>
        <v/>
      </c>
      <c r="C136" s="527">
        <f>IF(PMDCINE[[#This Row],[2024]]="","",DONNÉES!CN205)</f>
        <v/>
      </c>
      <c r="D136" s="526">
        <f>IF(PMDCINE[[#This Row],[2024]]="","",DONNÉES!CM253)</f>
        <v/>
      </c>
      <c r="E136" s="528">
        <f>IF(PMDCINE[[#This Row],[2024]]="","",DONNÉES!CN253)</f>
        <v/>
      </c>
      <c r="F136" s="526">
        <f>IF(PMDCINE[[#This Row],[2024]]="","",DONNÉES!CM221)</f>
        <v/>
      </c>
      <c r="G136" s="527">
        <f>IF(PMDCINE[[#This Row],[2024]]="","",DONNÉES!CN221)</f>
        <v/>
      </c>
      <c r="H136" s="526">
        <f>IF(PMDCINE[[#This Row],[2024]]="","",DONNÉES!CM269)</f>
        <v/>
      </c>
      <c r="I136" s="526">
        <f>IF(PMDCINE[[#This Row],[2024]]="","",DONNÉES!CN269)</f>
        <v/>
      </c>
      <c r="K136" s="526">
        <f>IF(PMDCINE[[#This Row],[2024]]="","",DONNÉES!CM237)</f>
        <v/>
      </c>
      <c r="L136" s="527">
        <f>IF(PMDCINE[[#This Row],[2024]]="","",DONNÉES!CN237)</f>
        <v/>
      </c>
      <c r="M136" s="526">
        <f>IF(PMDCINE[[#This Row],[2024]]="","",DONNÉES!CM285)</f>
        <v/>
      </c>
      <c r="N136" s="526">
        <f>IF(PMDCINE[[#This Row],[2024]]="","",DONNÉES!CN285)</f>
        <v/>
      </c>
    </row>
    <row r="137" ht="10.15" customFormat="1" customHeight="1" s="476">
      <c r="A137" s="490" t="inlineStr">
        <is>
          <t>Mars</t>
        </is>
      </c>
      <c r="B137" s="526">
        <f>IF(DONNÉES!CM206="","",DONNÉES!CM206)</f>
        <v/>
      </c>
      <c r="C137" s="527">
        <f>IF(PMDCINE[[#This Row],[2024]]="","",DONNÉES!CN206)</f>
        <v/>
      </c>
      <c r="D137" s="526">
        <f>IF(PMDCINE[[#This Row],[2024]]="","",DONNÉES!CM254)</f>
        <v/>
      </c>
      <c r="E137" s="528">
        <f>IF(PMDCINE[[#This Row],[2024]]="","",DONNÉES!CN254)</f>
        <v/>
      </c>
      <c r="F137" s="526">
        <f>IF(PMDCINE[[#This Row],[2024]]="","",DONNÉES!CM222)</f>
        <v/>
      </c>
      <c r="G137" s="527">
        <f>IF(PMDCINE[[#This Row],[2024]]="","",DONNÉES!CN222)</f>
        <v/>
      </c>
      <c r="H137" s="526">
        <f>IF(PMDCINE[[#This Row],[2024]]="","",DONNÉES!CM270)</f>
        <v/>
      </c>
      <c r="I137" s="526">
        <f>IF(PMDCINE[[#This Row],[2024]]="","",DONNÉES!CN270)</f>
        <v/>
      </c>
      <c r="K137" s="526">
        <f>IF(PMDCINE[[#This Row],[2024]]="","",DONNÉES!CM238)</f>
        <v/>
      </c>
      <c r="L137" s="527">
        <f>IF(PMDCINE[[#This Row],[2024]]="","",DONNÉES!CN238)</f>
        <v/>
      </c>
      <c r="M137" s="526">
        <f>IF(PMDCINE[[#This Row],[2024]]="","",DONNÉES!CM286)</f>
        <v/>
      </c>
      <c r="N137" s="526">
        <f>IF(PMDCINE[[#This Row],[2024]]="","",DONNÉES!CN286)</f>
        <v/>
      </c>
    </row>
    <row r="138" ht="10.15" customHeight="1" s="161">
      <c r="A138" s="494" t="inlineStr">
        <is>
          <t>Avril</t>
        </is>
      </c>
      <c r="B138" s="526">
        <f>IF(DONNÉES!CM207="","",DONNÉES!CM207)</f>
        <v/>
      </c>
      <c r="C138" s="527">
        <f>IF(PMDCINE[[#This Row],[2024]]="","",DONNÉES!CN207)</f>
        <v/>
      </c>
      <c r="D138" s="526">
        <f>IF(PMDCINE[[#This Row],[2024]]="","",DONNÉES!CM255)</f>
        <v/>
      </c>
      <c r="E138" s="528">
        <f>IF(PMDCINE[[#This Row],[2024]]="","",DONNÉES!CN255)</f>
        <v/>
      </c>
      <c r="F138" s="526">
        <f>IF(PMDCINE[[#This Row],[2024]]="","",DONNÉES!CM223)</f>
        <v/>
      </c>
      <c r="G138" s="527">
        <f>IF(PMDCINE[[#This Row],[2024]]="","",DONNÉES!CN223)</f>
        <v/>
      </c>
      <c r="H138" s="526">
        <f>IF(PMDCINE[[#This Row],[2024]]="","",DONNÉES!CM271)</f>
        <v/>
      </c>
      <c r="I138" s="526">
        <f>IF(PMDCINE[[#This Row],[2024]]="","",DONNÉES!CN271)</f>
        <v/>
      </c>
      <c r="J138" s="474" t="n"/>
      <c r="K138" s="526">
        <f>IF(PMDCINE[[#This Row],[2024]]="","",DONNÉES!CM239)</f>
        <v/>
      </c>
      <c r="L138" s="527">
        <f>IF(PMDCINE[[#This Row],[2024]]="","",DONNÉES!CN239)</f>
        <v/>
      </c>
      <c r="M138" s="526">
        <f>IF(PMDCINE[[#This Row],[2024]]="","",DONNÉES!CM287)</f>
        <v/>
      </c>
      <c r="N138" s="526">
        <f>IF(PMDCINE[[#This Row],[2024]]="","",DONNÉES!CN287)</f>
        <v/>
      </c>
    </row>
    <row r="139" ht="10.15" customHeight="1" s="161">
      <c r="A139" s="490" t="inlineStr">
        <is>
          <t>Mai</t>
        </is>
      </c>
      <c r="B139" s="526">
        <f>IF(DONNÉES!CM208="","",DONNÉES!CM208)</f>
        <v/>
      </c>
      <c r="C139" s="527">
        <f>IF(PMDCINE[[#This Row],[2024]]="","",DONNÉES!CN208)</f>
        <v/>
      </c>
      <c r="D139" s="526">
        <f>IF(PMDCINE[[#This Row],[2024]]="","",DONNÉES!CM256)</f>
        <v/>
      </c>
      <c r="E139" s="528">
        <f>IF(PMDCINE[[#This Row],[2024]]="","",DONNÉES!CN256)</f>
        <v/>
      </c>
      <c r="F139" s="526">
        <f>IF(PMDCINE[[#This Row],[2024]]="","",DONNÉES!CM224)</f>
        <v/>
      </c>
      <c r="G139" s="527">
        <f>IF(PMDCINE[[#This Row],[2024]]="","",DONNÉES!CN224)</f>
        <v/>
      </c>
      <c r="H139" s="526">
        <f>IF(PMDCINE[[#This Row],[2024]]="","",DONNÉES!CM272)</f>
        <v/>
      </c>
      <c r="I139" s="526">
        <f>IF(PMDCINE[[#This Row],[2024]]="","",DONNÉES!CN272)</f>
        <v/>
      </c>
      <c r="J139" s="474" t="n"/>
      <c r="K139" s="526">
        <f>IF(PMDCINE[[#This Row],[2024]]="","",DONNÉES!CM240)</f>
        <v/>
      </c>
      <c r="L139" s="527">
        <f>IF(PMDCINE[[#This Row],[2024]]="","",DONNÉES!CN240)</f>
        <v/>
      </c>
      <c r="M139" s="526">
        <f>IF(PMDCINE[[#This Row],[2024]]="","",DONNÉES!CM288)</f>
        <v/>
      </c>
      <c r="N139" s="526">
        <f>IF(PMDCINE[[#This Row],[2024]]="","",DONNÉES!CN288)</f>
        <v/>
      </c>
    </row>
    <row r="140" ht="10.15" customHeight="1" s="161">
      <c r="A140" s="494" t="inlineStr">
        <is>
          <t>Juin</t>
        </is>
      </c>
      <c r="B140" s="526">
        <f>IF(DONNÉES!CM209="","",DONNÉES!CM209)</f>
        <v/>
      </c>
      <c r="C140" s="527">
        <f>IF(PMDCINE[[#This Row],[2024]]="","",DONNÉES!CN209)</f>
        <v/>
      </c>
      <c r="D140" s="526">
        <f>IF(PMDCINE[[#This Row],[2024]]="","",DONNÉES!CM257)</f>
        <v/>
      </c>
      <c r="E140" s="528">
        <f>IF(PMDCINE[[#This Row],[2024]]="","",DONNÉES!CN257)</f>
        <v/>
      </c>
      <c r="F140" s="526">
        <f>IF(PMDCINE[[#This Row],[2024]]="","",DONNÉES!CM225)</f>
        <v/>
      </c>
      <c r="G140" s="527">
        <f>IF(PMDCINE[[#This Row],[2024]]="","",DONNÉES!CN225)</f>
        <v/>
      </c>
      <c r="H140" s="526">
        <f>IF(PMDCINE[[#This Row],[2024]]="","",DONNÉES!CM273)</f>
        <v/>
      </c>
      <c r="I140" s="526">
        <f>IF(PMDCINE[[#This Row],[2024]]="","",DONNÉES!CN273)</f>
        <v/>
      </c>
      <c r="J140" s="474" t="n"/>
      <c r="K140" s="526">
        <f>IF(PMDCINE[[#This Row],[2024]]="","",DONNÉES!CM241)</f>
        <v/>
      </c>
      <c r="L140" s="527">
        <f>IF(PMDCINE[[#This Row],[2024]]="","",DONNÉES!CN241)</f>
        <v/>
      </c>
      <c r="M140" s="526">
        <f>IF(PMDCINE[[#This Row],[2024]]="","",DONNÉES!CM289)</f>
        <v/>
      </c>
      <c r="N140" s="526">
        <f>IF(PMDCINE[[#This Row],[2024]]="","",DONNÉES!CN289)</f>
        <v/>
      </c>
    </row>
    <row r="141" ht="10.15" customHeight="1" s="161">
      <c r="A141" s="490" t="inlineStr">
        <is>
          <t>Juillet</t>
        </is>
      </c>
      <c r="B141" s="526">
        <f>IF(DONNÉES!CM210="","",DONNÉES!CM210)</f>
        <v/>
      </c>
      <c r="C141" s="527">
        <f>IF(PMDCINE[[#This Row],[2024]]="","",DONNÉES!CN210)</f>
        <v/>
      </c>
      <c r="D141" s="526">
        <f>IF(PMDCINE[[#This Row],[2024]]="","",DONNÉES!CM258)</f>
        <v/>
      </c>
      <c r="E141" s="528">
        <f>IF(PMDCINE[[#This Row],[2024]]="","",DONNÉES!CN258)</f>
        <v/>
      </c>
      <c r="F141" s="526">
        <f>IF(PMDCINE[[#This Row],[2024]]="","",DONNÉES!CM226)</f>
        <v/>
      </c>
      <c r="G141" s="527">
        <f>IF(PMDCINE[[#This Row],[2024]]="","",DONNÉES!CN226)</f>
        <v/>
      </c>
      <c r="H141" s="526">
        <f>IF(PMDCINE[[#This Row],[2024]]="","",DONNÉES!CM274)</f>
        <v/>
      </c>
      <c r="I141" s="526">
        <f>IF(PMDCINE[[#This Row],[2024]]="","",DONNÉES!CN274)</f>
        <v/>
      </c>
      <c r="J141" s="474" t="n"/>
      <c r="K141" s="526">
        <f>IF(PMDCINE[[#This Row],[2024]]="","",DONNÉES!CM242)</f>
        <v/>
      </c>
      <c r="L141" s="527">
        <f>IF(PMDCINE[[#This Row],[2024]]="","",DONNÉES!CN242)</f>
        <v/>
      </c>
      <c r="M141" s="526">
        <f>IF(PMDCINE[[#This Row],[2024]]="","",DONNÉES!CM290)</f>
        <v/>
      </c>
      <c r="N141" s="526">
        <f>IF(PMDCINE[[#This Row],[2024]]="","",DONNÉES!CN290)</f>
        <v/>
      </c>
    </row>
    <row r="142" ht="10.15" customHeight="1" s="161">
      <c r="A142" s="494" t="inlineStr">
        <is>
          <t>Août</t>
        </is>
      </c>
      <c r="B142" s="526">
        <f>IF(DONNÉES!CM211="","",DONNÉES!CM211)</f>
        <v/>
      </c>
      <c r="C142" s="527">
        <f>IF(PMDCINE[[#This Row],[2024]]="","",DONNÉES!CN211)</f>
        <v/>
      </c>
      <c r="D142" s="526">
        <f>IF(PMDCINE[[#This Row],[2024]]="","",DONNÉES!CM259)</f>
        <v/>
      </c>
      <c r="E142" s="528">
        <f>IF(PMDCINE[[#This Row],[2024]]="","",DONNÉES!CN259)</f>
        <v/>
      </c>
      <c r="F142" s="526">
        <f>IF(PMDCINE[[#This Row],[2024]]="","",DONNÉES!CM227)</f>
        <v/>
      </c>
      <c r="G142" s="527">
        <f>IF(PMDCINE[[#This Row],[2024]]="","",DONNÉES!CN227)</f>
        <v/>
      </c>
      <c r="H142" s="526">
        <f>IF(PMDCINE[[#This Row],[2024]]="","",DONNÉES!CM275)</f>
        <v/>
      </c>
      <c r="I142" s="526">
        <f>IF(PMDCINE[[#This Row],[2024]]="","",DONNÉES!CN275)</f>
        <v/>
      </c>
      <c r="J142" s="474" t="n"/>
      <c r="K142" s="526">
        <f>IF(PMDCINE[[#This Row],[2024]]="","",DONNÉES!CM243)</f>
        <v/>
      </c>
      <c r="L142" s="527">
        <f>IF(PMDCINE[[#This Row],[2024]]="","",DONNÉES!CN243)</f>
        <v/>
      </c>
      <c r="M142" s="526">
        <f>IF(PMDCINE[[#This Row],[2024]]="","",DONNÉES!CM291)</f>
        <v/>
      </c>
      <c r="N142" s="526">
        <f>IF(PMDCINE[[#This Row],[2024]]="","",DONNÉES!CN291)</f>
        <v/>
      </c>
    </row>
    <row r="143" ht="10.15" customHeight="1" s="161">
      <c r="A143" s="490" t="inlineStr">
        <is>
          <t>Septembre</t>
        </is>
      </c>
      <c r="B143" s="529">
        <f>IF(DONNÉES!CM212="","",DONNÉES!CM212)</f>
        <v/>
      </c>
      <c r="C143" s="530">
        <f>IF(PMDCINE[[#This Row],[2024]]="","",DONNÉES!CN212)</f>
        <v/>
      </c>
      <c r="D143" s="529">
        <f>IF(PMDCINE[[#This Row],[2024]]="","",DONNÉES!CM260)</f>
        <v/>
      </c>
      <c r="E143" s="531">
        <f>IF(PMDCINE[[#This Row],[2024]]="","",DONNÉES!CN260)</f>
        <v/>
      </c>
      <c r="F143" s="529">
        <f>IF(PMDCINE[[#This Row],[2024]]="","",DONNÉES!CM228)</f>
        <v/>
      </c>
      <c r="G143" s="530">
        <f>IF(PMDCINE[[#This Row],[2024]]="","",DONNÉES!CN228)</f>
        <v/>
      </c>
      <c r="H143" s="529">
        <f>IF(PMDCINE[[#This Row],[2024]]="","",DONNÉES!CM276)</f>
        <v/>
      </c>
      <c r="I143" s="529">
        <f>IF(PMDCINE[[#This Row],[2024]]="","",DONNÉES!CN276)</f>
        <v/>
      </c>
      <c r="J143" s="475" t="n"/>
      <c r="K143" s="529">
        <f>IF(PMDCINE[[#This Row],[2024]]="","",DONNÉES!CM244)</f>
        <v/>
      </c>
      <c r="L143" s="530">
        <f>IF(PMDCINE[[#This Row],[2024]]="","",DONNÉES!CN244)</f>
        <v/>
      </c>
      <c r="M143" s="529">
        <f>IF(PMDCINE[[#This Row],[2024]]="","",DONNÉES!CM292)</f>
        <v/>
      </c>
      <c r="N143" s="529">
        <f>IF(PMDCINE[[#This Row],[2024]]="","",DONNÉES!CN292)</f>
        <v/>
      </c>
    </row>
    <row r="144" ht="10.15" customHeight="1" s="161">
      <c r="A144" s="494" t="inlineStr">
        <is>
          <t>Octobre</t>
        </is>
      </c>
      <c r="B144" s="529">
        <f>IF(DONNÉES!CM213="","",DONNÉES!CM213)</f>
        <v/>
      </c>
      <c r="C144" s="530">
        <f>IF(PMDCINE[[#This Row],[2024]]="","",DONNÉES!CN213)</f>
        <v/>
      </c>
      <c r="D144" s="529">
        <f>IF(PMDCINE[[#This Row],[2024]]="","",DONNÉES!CM261)</f>
        <v/>
      </c>
      <c r="E144" s="531">
        <f>IF(PMDCINE[[#This Row],[2024]]="","",DONNÉES!CN261)</f>
        <v/>
      </c>
      <c r="F144" s="529">
        <f>IF(PMDCINE[[#This Row],[2024]]="","",DONNÉES!CM229)</f>
        <v/>
      </c>
      <c r="G144" s="530">
        <f>IF(PMDCINE[[#This Row],[2024]]="","",DONNÉES!CN229)</f>
        <v/>
      </c>
      <c r="H144" s="529">
        <f>IF(PMDCINE[[#This Row],[2024]]="","",DONNÉES!CM277)</f>
        <v/>
      </c>
      <c r="I144" s="529">
        <f>IF(PMDCINE[[#This Row],[2024]]="","",DONNÉES!CN277)</f>
        <v/>
      </c>
      <c r="J144" s="474" t="n"/>
      <c r="K144" s="529">
        <f>IF(PMDCINE[[#This Row],[2024]]="","",DONNÉES!CM245)</f>
        <v/>
      </c>
      <c r="L144" s="530">
        <f>IF(PMDCINE[[#This Row],[2024]]="","",DONNÉES!CN245)</f>
        <v/>
      </c>
      <c r="M144" s="529">
        <f>IF(PMDCINE[[#This Row],[2024]]="","",DONNÉES!CM293)</f>
        <v/>
      </c>
      <c r="N144" s="529">
        <f>IF(PMDCINE[[#This Row],[2024]]="","",DONNÉES!CN293)</f>
        <v/>
      </c>
    </row>
    <row r="145" ht="10.15" customFormat="1" customHeight="1" s="476">
      <c r="A145" s="490" t="inlineStr">
        <is>
          <t>Novembre</t>
        </is>
      </c>
      <c r="B145" s="529">
        <f>IF(DONNÉES!CM214="","",DONNÉES!CM214)</f>
        <v/>
      </c>
      <c r="C145" s="530">
        <f>IF(PMDCINE[[#This Row],[2024]]="","",DONNÉES!CN214)</f>
        <v/>
      </c>
      <c r="D145" s="529">
        <f>IF(PMDCINE[[#This Row],[2024]]="","",DONNÉES!CM262)</f>
        <v/>
      </c>
      <c r="E145" s="531">
        <f>IF(PMDCINE[[#This Row],[2024]]="","",DONNÉES!CN262)</f>
        <v/>
      </c>
      <c r="F145" s="529">
        <f>IF(PMDCINE[[#This Row],[2024]]="","",DONNÉES!CM230)</f>
        <v/>
      </c>
      <c r="G145" s="530">
        <f>IF(PMDCINE[[#This Row],[2024]]="","",DONNÉES!CN230)</f>
        <v/>
      </c>
      <c r="H145" s="529">
        <f>IF(PMDCINE[[#This Row],[2024]]="","",DONNÉES!CM278)</f>
        <v/>
      </c>
      <c r="I145" s="529">
        <f>IF(PMDCINE[[#This Row],[2024]]="","",DONNÉES!CN278)</f>
        <v/>
      </c>
      <c r="K145" s="529">
        <f>IF(PMDCINE[[#This Row],[2024]]="","",DONNÉES!CM246)</f>
        <v/>
      </c>
      <c r="L145" s="530">
        <f>IF(PMDCINE[[#This Row],[2024]]="","",DONNÉES!CN246)</f>
        <v/>
      </c>
      <c r="M145" s="529">
        <f>IF(PMDCINE[[#This Row],[2024]]="","",DONNÉES!CM294)</f>
        <v/>
      </c>
      <c r="N145" s="529">
        <f>IF(PMDCINE[[#This Row],[2024]]="","",DONNÉES!CN294)</f>
        <v/>
      </c>
    </row>
    <row r="146" ht="10.15" customFormat="1" customHeight="1" s="476">
      <c r="A146" s="490" t="inlineStr">
        <is>
          <t>Décembre</t>
        </is>
      </c>
      <c r="B146" s="529">
        <f>IF(DONNÉES!CM215="","",DONNÉES!CM215)</f>
        <v/>
      </c>
      <c r="C146" s="530">
        <f>IF(PMDCINE[[#This Row],[2024]]="","",DONNÉES!CN215)</f>
        <v/>
      </c>
      <c r="D146" s="529">
        <f>IF(PMDCINE[[#This Row],[2024]]="","",DONNÉES!CM263)</f>
        <v/>
      </c>
      <c r="E146" s="531">
        <f>IF(PMDCINE[[#This Row],[2024]]="","",DONNÉES!CN263)</f>
        <v/>
      </c>
      <c r="F146" s="529">
        <f>IF(PMDCINE[[#This Row],[2024]]="","",DONNÉES!CM231)</f>
        <v/>
      </c>
      <c r="G146" s="530">
        <f>IF(PMDCINE[[#This Row],[2024]]="","",DONNÉES!CN231)</f>
        <v/>
      </c>
      <c r="H146" s="529">
        <f>IF(PMDCINE[[#This Row],[2024]]="","",DONNÉES!CM279)</f>
        <v/>
      </c>
      <c r="I146" s="529">
        <f>IF(PMDCINE[[#This Row],[2024]]="","",DONNÉES!CN279)</f>
        <v/>
      </c>
      <c r="K146" s="529">
        <f>IF(PMDCINE[[#This Row],[2024]]="","",DONNÉES!CM247)</f>
        <v/>
      </c>
      <c r="L146" s="530">
        <f>IF(PMDCINE[[#This Row],[2024]]="","",DONNÉES!CN247)</f>
        <v/>
      </c>
      <c r="M146" s="529">
        <f>IF(PMDCINE[[#This Row],[2024]]="","",DONNÉES!CM295)</f>
        <v/>
      </c>
      <c r="N146" s="529">
        <f>IF(PMDCINE[[#This Row],[2024]]="","",DONNÉES!CN295)</f>
        <v/>
      </c>
    </row>
    <row r="147" ht="11.65" customFormat="1" customHeight="1" s="476">
      <c r="A147" s="532" t="inlineStr">
        <is>
          <t xml:space="preserve"> TOTAL </t>
        </is>
      </c>
      <c r="B147" s="533">
        <f>SUBTOTAL(101,PMDCINE[2024])</f>
        <v/>
      </c>
      <c r="C147" s="534">
        <f>SUBTOTAL(101,PMDCINE[2023])</f>
        <v/>
      </c>
      <c r="D147" s="534">
        <f>SUBTOTAL(101,PMDCINE[2024 cumul])</f>
        <v/>
      </c>
      <c r="E147" s="535">
        <f>SUBTOTAL(101,PMDCINE[2023 cumul])</f>
        <v/>
      </c>
      <c r="F147" s="536">
        <f>SUBTOTAL(101,PMDCINE[[2024  ]])</f>
        <v/>
      </c>
      <c r="G147" s="537">
        <f>SUBTOTAL(101,PMDCINE[[2023  ]])</f>
        <v/>
      </c>
      <c r="H147" s="533">
        <f>SUBTOTAL(101,PMDCINE[[2024 cumul ]])</f>
        <v/>
      </c>
      <c r="I147" s="533">
        <f>SUBTOTAL(101,PMDCINE[[2023 cumul ]])</f>
        <v/>
      </c>
      <c r="K147" s="533">
        <f>SUBTOTAL(101,PMDLYSE[[2024  ]])</f>
        <v/>
      </c>
      <c r="L147" s="534">
        <f>SUBTOTAL(101,PMDLYSE[[2023  ]])</f>
        <v/>
      </c>
      <c r="M147" s="533">
        <f>SUBTOTAL(101,PMDLYSE[[2024 cumul ]])</f>
        <v/>
      </c>
      <c r="N147" s="533">
        <f>SUBTOTAL(101,PMDLYSE[[2023 cumul ]])</f>
        <v/>
      </c>
    </row>
    <row r="148" ht="12" customHeight="1" s="161">
      <c r="H148" s="474" t="n"/>
    </row>
    <row r="149" ht="15" customHeight="1" s="161">
      <c r="A149" s="505" t="n"/>
      <c r="B149" s="506" t="inlineStr">
        <is>
          <t>Sur place</t>
        </is>
      </c>
      <c r="C149" s="487" t="n"/>
      <c r="D149" s="487" t="n"/>
      <c r="E149" s="488" t="n"/>
      <c r="F149" s="507" t="inlineStr">
        <is>
          <t>A emporter</t>
        </is>
      </c>
      <c r="G149" s="487" t="n"/>
      <c r="H149" s="487" t="n"/>
      <c r="I149" s="487" t="n"/>
      <c r="J149" s="508" t="n"/>
      <c r="K149" s="507" t="inlineStr">
        <is>
          <t>Total</t>
        </is>
      </c>
      <c r="L149" s="487" t="n"/>
      <c r="M149" s="487" t="n"/>
      <c r="N149" s="487" t="n"/>
    </row>
    <row r="150" ht="30" customHeight="1" s="161">
      <c r="A150" s="490" t="inlineStr">
        <is>
          <t>TL DIVES</t>
        </is>
      </c>
      <c r="B150" s="491" t="inlineStr">
        <is>
          <t>2024</t>
        </is>
      </c>
      <c r="C150" s="492" t="inlineStr">
        <is>
          <t>2023</t>
        </is>
      </c>
      <c r="D150" s="491" t="inlineStr">
        <is>
          <t>2024 cumul</t>
        </is>
      </c>
      <c r="E150" s="493" t="inlineStr">
        <is>
          <t>2023 cumul</t>
        </is>
      </c>
      <c r="F150" s="491" t="inlineStr">
        <is>
          <t xml:space="preserve">2024  </t>
        </is>
      </c>
      <c r="G150" s="492" t="inlineStr">
        <is>
          <t xml:space="preserve">2023  </t>
        </is>
      </c>
      <c r="H150" s="491" t="inlineStr">
        <is>
          <t xml:space="preserve">2024 cumul </t>
        </is>
      </c>
      <c r="I150" s="525" t="inlineStr">
        <is>
          <t xml:space="preserve">2023 cumul </t>
        </is>
      </c>
      <c r="J150" s="474" t="n"/>
      <c r="K150" s="491" t="inlineStr">
        <is>
          <t xml:space="preserve">2024  </t>
        </is>
      </c>
      <c r="L150" s="492" t="inlineStr">
        <is>
          <t xml:space="preserve">2023  </t>
        </is>
      </c>
      <c r="M150" s="491" t="inlineStr">
        <is>
          <t xml:space="preserve">2024 cumul </t>
        </is>
      </c>
      <c r="N150" s="493" t="inlineStr">
        <is>
          <t xml:space="preserve">2023 cumul </t>
        </is>
      </c>
    </row>
    <row r="151" ht="10.15" customFormat="1" customHeight="1" s="476">
      <c r="A151" s="494" t="inlineStr">
        <is>
          <t>Janvier</t>
        </is>
      </c>
      <c r="B151" s="526">
        <f>IF(DONNÉES!BW204="","",DONNÉES!BW204)</f>
        <v/>
      </c>
      <c r="C151" s="527">
        <f>IF(PMDLN[[#This Row],[2024]]="","",DONNÉES!BX204)</f>
        <v/>
      </c>
      <c r="D151" s="526">
        <f>IF(PMDLN[[#This Row],[2024]]="","",DONNÉES!BW252)</f>
        <v/>
      </c>
      <c r="E151" s="528">
        <f>IF(PMDLN[[#This Row],[2024]]="","",DONNÉES!BX252)</f>
        <v/>
      </c>
      <c r="F151" s="526">
        <f>IF(PMDLN[[#This Row],[2024]]="","",DONNÉES!BW220)</f>
        <v/>
      </c>
      <c r="G151" s="527">
        <f>IF(PMDLN[[#This Row],[2024]]="","",DONNÉES!BX220)</f>
        <v/>
      </c>
      <c r="H151" s="526">
        <f>IF(PMDLN[[#This Row],[2024]]="","",DONNÉES!BW268)</f>
        <v/>
      </c>
      <c r="I151" s="526">
        <f>IF(PMDLN[[#This Row],[2024]]="","",DONNÉES!BX268)</f>
        <v/>
      </c>
      <c r="K151" s="526">
        <f>IF(PMDLN[[#This Row],[2024]]="","",DONNÉES!BW236)</f>
        <v/>
      </c>
      <c r="L151" s="527">
        <f>IF(PMDLN[[#This Row],[2024]]="","",DONNÉES!BX236)</f>
        <v/>
      </c>
      <c r="M151" s="527">
        <f>IF(PMDLN[[#This Row],[2024]]="","",DONNÉES!BW284)</f>
        <v/>
      </c>
      <c r="N151" s="526">
        <f>IF(PMDLN[[#This Row],[2024]]="","",DONNÉES!BX284)</f>
        <v/>
      </c>
    </row>
    <row r="152" ht="10.15" customFormat="1" customHeight="1" s="476">
      <c r="A152" s="494" t="inlineStr">
        <is>
          <t>Février</t>
        </is>
      </c>
      <c r="B152" s="526">
        <f>IF(DONNÉES!BW205="","",DONNÉES!BW205)</f>
        <v/>
      </c>
      <c r="C152" s="527">
        <f>IF(PMDLN[[#This Row],[2024]]="","",DONNÉES!BX205)</f>
        <v/>
      </c>
      <c r="D152" s="526">
        <f>IF(PMDLN[[#This Row],[2024]]="","",DONNÉES!BW253)</f>
        <v/>
      </c>
      <c r="E152" s="528">
        <f>IF(PMDLN[[#This Row],[2024]]="","",DONNÉES!BX253)</f>
        <v/>
      </c>
      <c r="F152" s="526">
        <f>IF(PMDLN[[#This Row],[2024]]="","",DONNÉES!BW221)</f>
        <v/>
      </c>
      <c r="G152" s="527">
        <f>IF(PMDLN[[#This Row],[2024]]="","",DONNÉES!BX221)</f>
        <v/>
      </c>
      <c r="H152" s="526">
        <f>IF(PMDLN[[#This Row],[2024]]="","",DONNÉES!BW269)</f>
        <v/>
      </c>
      <c r="I152" s="526">
        <f>IF(PMDLN[[#This Row],[2024]]="","",DONNÉES!BX269)</f>
        <v/>
      </c>
      <c r="K152" s="526">
        <f>IF(PMDLN[[#This Row],[2024]]="","",DONNÉES!BW237)</f>
        <v/>
      </c>
      <c r="L152" s="527">
        <f>IF(PMDLN[[#This Row],[2024]]="","",DONNÉES!BX237)</f>
        <v/>
      </c>
      <c r="M152" s="527">
        <f>IF(PMDLN[[#This Row],[2024]]="","",DONNÉES!BW285)</f>
        <v/>
      </c>
      <c r="N152" s="526">
        <f>IF(PMDLN[[#This Row],[2024]]="","",DONNÉES!BX285)</f>
        <v/>
      </c>
    </row>
    <row r="153" ht="10.15" customFormat="1" customHeight="1" s="476">
      <c r="A153" s="490" t="inlineStr">
        <is>
          <t>Mars</t>
        </is>
      </c>
      <c r="B153" s="526">
        <f>IF(DONNÉES!BW206="","",DONNÉES!BW206)</f>
        <v/>
      </c>
      <c r="C153" s="527">
        <f>IF(PMDLN[[#This Row],[2024]]="","",DONNÉES!BX206)</f>
        <v/>
      </c>
      <c r="D153" s="526">
        <f>IF(PMDLN[[#This Row],[2024]]="","",DONNÉES!BW254)</f>
        <v/>
      </c>
      <c r="E153" s="528">
        <f>IF(PMDLN[[#This Row],[2024]]="","",DONNÉES!BX254)</f>
        <v/>
      </c>
      <c r="F153" s="526">
        <f>IF(PMDLN[[#This Row],[2024]]="","",DONNÉES!BW222)</f>
        <v/>
      </c>
      <c r="G153" s="527">
        <f>IF(PMDLN[[#This Row],[2024]]="","",DONNÉES!BX222)</f>
        <v/>
      </c>
      <c r="H153" s="526">
        <f>IF(PMDLN[[#This Row],[2024]]="","",DONNÉES!BW270)</f>
        <v/>
      </c>
      <c r="I153" s="526">
        <f>IF(PMDLN[[#This Row],[2024]]="","",DONNÉES!BX270)</f>
        <v/>
      </c>
      <c r="K153" s="526">
        <f>IF(PMDLN[[#This Row],[2024]]="","",DONNÉES!BW238)</f>
        <v/>
      </c>
      <c r="L153" s="527">
        <f>IF(PMDLN[[#This Row],[2024]]="","",DONNÉES!BX238)</f>
        <v/>
      </c>
      <c r="M153" s="527">
        <f>IF(PMDLN[[#This Row],[2024]]="","",DONNÉES!BW286)</f>
        <v/>
      </c>
      <c r="N153" s="526">
        <f>IF(PMDLN[[#This Row],[2024]]="","",DONNÉES!BX286)</f>
        <v/>
      </c>
    </row>
    <row r="154" ht="10.15" customHeight="1" s="161">
      <c r="A154" s="494" t="inlineStr">
        <is>
          <t>Avril</t>
        </is>
      </c>
      <c r="B154" s="526">
        <f>IF(DONNÉES!BW207="","",DONNÉES!BW207)</f>
        <v/>
      </c>
      <c r="C154" s="527">
        <f>IF(PMDLN[[#This Row],[2024]]="","",DONNÉES!BX207)</f>
        <v/>
      </c>
      <c r="D154" s="526">
        <f>IF(PMDLN[[#This Row],[2024]]="","",DONNÉES!BW255)</f>
        <v/>
      </c>
      <c r="E154" s="528">
        <f>IF(PMDLN[[#This Row],[2024]]="","",DONNÉES!BX255)</f>
        <v/>
      </c>
      <c r="F154" s="526">
        <f>IF(PMDLN[[#This Row],[2024]]="","",DONNÉES!BW223)</f>
        <v/>
      </c>
      <c r="G154" s="527">
        <f>IF(PMDLN[[#This Row],[2024]]="","",DONNÉES!BX223)</f>
        <v/>
      </c>
      <c r="H154" s="526">
        <f>IF(PMDLN[[#This Row],[2024]]="","",DONNÉES!BW271)</f>
        <v/>
      </c>
      <c r="I154" s="526">
        <f>IF(PMDLN[[#This Row],[2024]]="","",DONNÉES!BX271)</f>
        <v/>
      </c>
      <c r="J154" s="474" t="n"/>
      <c r="K154" s="526">
        <f>IF(PMDLN[[#This Row],[2024]]="","",DONNÉES!BW239)</f>
        <v/>
      </c>
      <c r="L154" s="527">
        <f>IF(PMDLN[[#This Row],[2024]]="","",DONNÉES!BX239)</f>
        <v/>
      </c>
      <c r="M154" s="527">
        <f>IF(PMDLN[[#This Row],[2024]]="","",DONNÉES!BW287)</f>
        <v/>
      </c>
      <c r="N154" s="526">
        <f>IF(PMDLN[[#This Row],[2024]]="","",DONNÉES!BX287)</f>
        <v/>
      </c>
    </row>
    <row r="155" ht="10.15" customHeight="1" s="161">
      <c r="A155" s="490" t="inlineStr">
        <is>
          <t>Mai</t>
        </is>
      </c>
      <c r="B155" s="526">
        <f>IF(DONNÉES!BW208="","",DONNÉES!BW208)</f>
        <v/>
      </c>
      <c r="C155" s="527">
        <f>IF(PMDLN[[#This Row],[2024]]="","",DONNÉES!BX208)</f>
        <v/>
      </c>
      <c r="D155" s="526">
        <f>IF(PMDLN[[#This Row],[2024]]="","",DONNÉES!BW256)</f>
        <v/>
      </c>
      <c r="E155" s="528">
        <f>IF(PMDLN[[#This Row],[2024]]="","",DONNÉES!BX256)</f>
        <v/>
      </c>
      <c r="F155" s="526">
        <f>IF(PMDLN[[#This Row],[2024]]="","",DONNÉES!BW224)</f>
        <v/>
      </c>
      <c r="G155" s="527">
        <f>IF(PMDLN[[#This Row],[2024]]="","",DONNÉES!BX224)</f>
        <v/>
      </c>
      <c r="H155" s="526">
        <f>IF(PMDLN[[#This Row],[2024]]="","",DONNÉES!BW272)</f>
        <v/>
      </c>
      <c r="I155" s="526">
        <f>IF(PMDLN[[#This Row],[2024]]="","",DONNÉES!BX272)</f>
        <v/>
      </c>
      <c r="J155" s="474" t="n"/>
      <c r="K155" s="526">
        <f>IF(PMDLN[[#This Row],[2024]]="","",DONNÉES!BW240)</f>
        <v/>
      </c>
      <c r="L155" s="527">
        <f>IF(PMDLN[[#This Row],[2024]]="","",DONNÉES!BX240)</f>
        <v/>
      </c>
      <c r="M155" s="527">
        <f>IF(PMDLN[[#This Row],[2024]]="","",DONNÉES!BW288)</f>
        <v/>
      </c>
      <c r="N155" s="526">
        <f>IF(PMDLN[[#This Row],[2024]]="","",DONNÉES!BX288)</f>
        <v/>
      </c>
    </row>
    <row r="156" ht="10.15" customHeight="1" s="161">
      <c r="A156" s="494" t="inlineStr">
        <is>
          <t>Juin</t>
        </is>
      </c>
      <c r="B156" s="526">
        <f>IF(DONNÉES!BW209="","",DONNÉES!BW209)</f>
        <v/>
      </c>
      <c r="C156" s="527">
        <f>IF(PMDLN[[#This Row],[2024]]="","",DONNÉES!BX209)</f>
        <v/>
      </c>
      <c r="D156" s="526">
        <f>IF(PMDLN[[#This Row],[2024]]="","",DONNÉES!BW257)</f>
        <v/>
      </c>
      <c r="E156" s="528">
        <f>IF(PMDLN[[#This Row],[2024]]="","",DONNÉES!BX257)</f>
        <v/>
      </c>
      <c r="F156" s="526">
        <f>IF(PMDLN[[#This Row],[2024]]="","",DONNÉES!BW225)</f>
        <v/>
      </c>
      <c r="G156" s="527">
        <f>IF(PMDLN[[#This Row],[2024]]="","",DONNÉES!BX225)</f>
        <v/>
      </c>
      <c r="H156" s="526">
        <f>IF(PMDLN[[#This Row],[2024]]="","",DONNÉES!BW273)</f>
        <v/>
      </c>
      <c r="I156" s="526">
        <f>IF(PMDLN[[#This Row],[2024]]="","",DONNÉES!BX273)</f>
        <v/>
      </c>
      <c r="J156" s="474" t="n"/>
      <c r="K156" s="526">
        <f>IF(PMDLN[[#This Row],[2024]]="","",DONNÉES!BW241)</f>
        <v/>
      </c>
      <c r="L156" s="527">
        <f>IF(PMDLN[[#This Row],[2024]]="","",DONNÉES!BX241)</f>
        <v/>
      </c>
      <c r="M156" s="527">
        <f>IF(PMDLN[[#This Row],[2024]]="","",DONNÉES!BW289)</f>
        <v/>
      </c>
      <c r="N156" s="526">
        <f>IF(PMDLN[[#This Row],[2024]]="","",DONNÉES!BX289)</f>
        <v/>
      </c>
    </row>
    <row r="157" ht="10.15" customHeight="1" s="161">
      <c r="A157" s="490" t="inlineStr">
        <is>
          <t>Juillet</t>
        </is>
      </c>
      <c r="B157" s="526">
        <f>IF(DONNÉES!BW210="","",DONNÉES!BW210)</f>
        <v/>
      </c>
      <c r="C157" s="527">
        <f>IF(PMDLN[[#This Row],[2024]]="","",DONNÉES!BX210)</f>
        <v/>
      </c>
      <c r="D157" s="526">
        <f>IF(PMDLN[[#This Row],[2024]]="","",DONNÉES!BW258)</f>
        <v/>
      </c>
      <c r="E157" s="528">
        <f>IF(PMDLN[[#This Row],[2024]]="","",DONNÉES!BX258)</f>
        <v/>
      </c>
      <c r="F157" s="526">
        <f>IF(PMDLN[[#This Row],[2024]]="","",DONNÉES!BW226)</f>
        <v/>
      </c>
      <c r="G157" s="527">
        <f>IF(PMDLN[[#This Row],[2024]]="","",DONNÉES!BX226)</f>
        <v/>
      </c>
      <c r="H157" s="526">
        <f>IF(PMDLN[[#This Row],[2024]]="","",DONNÉES!BW274)</f>
        <v/>
      </c>
      <c r="I157" s="526">
        <f>IF(PMDLN[[#This Row],[2024]]="","",DONNÉES!BX274)</f>
        <v/>
      </c>
      <c r="J157" s="474" t="n"/>
      <c r="K157" s="526">
        <f>IF(PMDLN[[#This Row],[2024]]="","",DONNÉES!BW242)</f>
        <v/>
      </c>
      <c r="L157" s="527">
        <f>IF(PMDLN[[#This Row],[2024]]="","",DONNÉES!BX242)</f>
        <v/>
      </c>
      <c r="M157" s="527">
        <f>IF(PMDLN[[#This Row],[2024]]="","",DONNÉES!BW290)</f>
        <v/>
      </c>
      <c r="N157" s="526">
        <f>IF(PMDLN[[#This Row],[2024]]="","",DONNÉES!BX290)</f>
        <v/>
      </c>
    </row>
    <row r="158" ht="10.15" customHeight="1" s="161">
      <c r="A158" s="494" t="inlineStr">
        <is>
          <t>Août</t>
        </is>
      </c>
      <c r="B158" s="526">
        <f>IF(DONNÉES!BW211="","",DONNÉES!BW211)</f>
        <v/>
      </c>
      <c r="C158" s="527">
        <f>IF(PMDLN[[#This Row],[2024]]="","",DONNÉES!BX211)</f>
        <v/>
      </c>
      <c r="D158" s="526">
        <f>IF(PMDLN[[#This Row],[2024]]="","",DONNÉES!BW259)</f>
        <v/>
      </c>
      <c r="E158" s="528">
        <f>IF(PMDLN[[#This Row],[2024]]="","",DONNÉES!BX259)</f>
        <v/>
      </c>
      <c r="F158" s="526">
        <f>IF(PMDLN[[#This Row],[2024]]="","",DONNÉES!BW227)</f>
        <v/>
      </c>
      <c r="G158" s="527">
        <f>IF(PMDLN[[#This Row],[2024]]="","",DONNÉES!BX227)</f>
        <v/>
      </c>
      <c r="H158" s="526">
        <f>IF(PMDLN[[#This Row],[2024]]="","",DONNÉES!BW275)</f>
        <v/>
      </c>
      <c r="I158" s="526">
        <f>IF(PMDLN[[#This Row],[2024]]="","",DONNÉES!BX275)</f>
        <v/>
      </c>
      <c r="J158" s="474" t="n"/>
      <c r="K158" s="526">
        <f>IF(PMDLN[[#This Row],[2024]]="","",DONNÉES!BW243)</f>
        <v/>
      </c>
      <c r="L158" s="527">
        <f>IF(PMDLN[[#This Row],[2024]]="","",DONNÉES!BX243)</f>
        <v/>
      </c>
      <c r="M158" s="527">
        <f>IF(PMDLN[[#This Row],[2024]]="","",DONNÉES!BW291)</f>
        <v/>
      </c>
      <c r="N158" s="526">
        <f>IF(PMDLN[[#This Row],[2024]]="","",DONNÉES!BX291)</f>
        <v/>
      </c>
    </row>
    <row r="159" ht="10.15" customHeight="1" s="161">
      <c r="A159" s="490" t="inlineStr">
        <is>
          <t>Septembre</t>
        </is>
      </c>
      <c r="B159" s="529">
        <f>IF(DONNÉES!BW212="","",DONNÉES!BW212)</f>
        <v/>
      </c>
      <c r="C159" s="530">
        <f>IF(PMDLN[[#This Row],[2024]]="","",DONNÉES!BX212)</f>
        <v/>
      </c>
      <c r="D159" s="529">
        <f>IF(PMDLN[[#This Row],[2024]]="","",DONNÉES!BW260)</f>
        <v/>
      </c>
      <c r="E159" s="531">
        <f>IF(PMDLN[[#This Row],[2024]]="","",DONNÉES!BX260)</f>
        <v/>
      </c>
      <c r="F159" s="529">
        <f>IF(PMDLN[[#This Row],[2024]]="","",DONNÉES!BW228)</f>
        <v/>
      </c>
      <c r="G159" s="530">
        <f>IF(PMDLN[[#This Row],[2024]]="","",DONNÉES!BX228)</f>
        <v/>
      </c>
      <c r="H159" s="529">
        <f>IF(PMDLN[[#This Row],[2024]]="","",DONNÉES!BW276)</f>
        <v/>
      </c>
      <c r="I159" s="529">
        <f>IF(PMDLN[[#This Row],[2024]]="","",DONNÉES!BX276)</f>
        <v/>
      </c>
      <c r="J159" s="475" t="n"/>
      <c r="K159" s="529">
        <f>IF(PMDLN[[#This Row],[2024]]="","",DONNÉES!BW244)</f>
        <v/>
      </c>
      <c r="L159" s="530">
        <f>IF(PMDLN[[#This Row],[2024]]="","",DONNÉES!BX244)</f>
        <v/>
      </c>
      <c r="M159" s="530">
        <f>IF(PMDLN[[#This Row],[2024]]="","",DONNÉES!BW292)</f>
        <v/>
      </c>
      <c r="N159" s="529">
        <f>IF(PMDLN[[#This Row],[2024]]="","",DONNÉES!BX292)</f>
        <v/>
      </c>
    </row>
    <row r="160" ht="10.15" customHeight="1" s="161">
      <c r="A160" s="494" t="inlineStr">
        <is>
          <t>Octobre</t>
        </is>
      </c>
      <c r="B160" s="529">
        <f>IF(DONNÉES!BW213="","",DONNÉES!BW213)</f>
        <v/>
      </c>
      <c r="C160" s="530">
        <f>IF(PMDLN[[#This Row],[2024]]="","",DONNÉES!BX213)</f>
        <v/>
      </c>
      <c r="D160" s="529">
        <f>IF(PMDLN[[#This Row],[2024]]="","",DONNÉES!BW261)</f>
        <v/>
      </c>
      <c r="E160" s="531">
        <f>IF(PMDLN[[#This Row],[2024]]="","",DONNÉES!BX261)</f>
        <v/>
      </c>
      <c r="F160" s="529">
        <f>IF(PMDLN[[#This Row],[2024]]="","",DONNÉES!BW229)</f>
        <v/>
      </c>
      <c r="G160" s="530">
        <f>IF(PMDLN[[#This Row],[2024]]="","",DONNÉES!BX229)</f>
        <v/>
      </c>
      <c r="H160" s="529">
        <f>IF(PMDLN[[#This Row],[2024]]="","",DONNÉES!BW277)</f>
        <v/>
      </c>
      <c r="I160" s="529">
        <f>IF(PMDLN[[#This Row],[2024]]="","",DONNÉES!BX277)</f>
        <v/>
      </c>
      <c r="J160" s="474" t="n"/>
      <c r="K160" s="529">
        <f>IF(PMDLN[[#This Row],[2024]]="","",DONNÉES!BW245)</f>
        <v/>
      </c>
      <c r="L160" s="530">
        <f>IF(PMDLN[[#This Row],[2024]]="","",DONNÉES!BX245)</f>
        <v/>
      </c>
      <c r="M160" s="530">
        <f>IF(PMDLN[[#This Row],[2024]]="","",DONNÉES!BW293)</f>
        <v/>
      </c>
      <c r="N160" s="529">
        <f>IF(PMDLN[[#This Row],[2024]]="","",DONNÉES!BX293)</f>
        <v/>
      </c>
    </row>
    <row r="161" ht="10.15" customFormat="1" customHeight="1" s="476">
      <c r="A161" s="490" t="inlineStr">
        <is>
          <t>Novembre</t>
        </is>
      </c>
      <c r="B161" s="529">
        <f>IF(DONNÉES!BW214="","",DONNÉES!BW214)</f>
        <v/>
      </c>
      <c r="C161" s="530">
        <f>IF(PMDLN[[#This Row],[2024]]="","",DONNÉES!BX214)</f>
        <v/>
      </c>
      <c r="D161" s="529">
        <f>IF(PMDLN[[#This Row],[2024]]="","",DONNÉES!BW262)</f>
        <v/>
      </c>
      <c r="E161" s="531">
        <f>IF(PMDLN[[#This Row],[2024]]="","",DONNÉES!BX262)</f>
        <v/>
      </c>
      <c r="F161" s="529">
        <f>IF(PMDLN[[#This Row],[2024]]="","",DONNÉES!BW230)</f>
        <v/>
      </c>
      <c r="G161" s="530">
        <f>IF(PMDLN[[#This Row],[2024]]="","",DONNÉES!BX230)</f>
        <v/>
      </c>
      <c r="H161" s="529">
        <f>IF(PMDLN[[#This Row],[2024]]="","",DONNÉES!BW278)</f>
        <v/>
      </c>
      <c r="I161" s="529">
        <f>IF(PMDLN[[#This Row],[2024]]="","",DONNÉES!BX278)</f>
        <v/>
      </c>
      <c r="K161" s="529">
        <f>IF(PMDLN[[#This Row],[2024]]="","",DONNÉES!BW246)</f>
        <v/>
      </c>
      <c r="L161" s="530">
        <f>IF(PMDLN[[#This Row],[2024]]="","",DONNÉES!BX246)</f>
        <v/>
      </c>
      <c r="M161" s="530">
        <f>IF(PMDLN[[#This Row],[2024]]="","",DONNÉES!BW294)</f>
        <v/>
      </c>
      <c r="N161" s="529">
        <f>IF(PMDLN[[#This Row],[2024]]="","",DONNÉES!BX294)</f>
        <v/>
      </c>
    </row>
    <row r="162" ht="10.15" customFormat="1" customHeight="1" s="476">
      <c r="A162" s="490" t="inlineStr">
        <is>
          <t>Décembre</t>
        </is>
      </c>
      <c r="B162" s="529">
        <f>IF(DONNÉES!BW215="","",DONNÉES!BW215)</f>
        <v/>
      </c>
      <c r="C162" s="530">
        <f>IF(PMDLN[[#This Row],[2024]]="","",DONNÉES!BX215)</f>
        <v/>
      </c>
      <c r="D162" s="529">
        <f>IF(PMDLN[[#This Row],[2024]]="","",DONNÉES!BW263)</f>
        <v/>
      </c>
      <c r="E162" s="531">
        <f>IF(PMDLN[[#This Row],[2024]]="","",DONNÉES!BX263)</f>
        <v/>
      </c>
      <c r="F162" s="529">
        <f>IF(PMDLN[[#This Row],[2024]]="","",DONNÉES!BW231)</f>
        <v/>
      </c>
      <c r="G162" s="530">
        <f>IF(PMDLN[[#This Row],[2024]]="","",DONNÉES!BX231)</f>
        <v/>
      </c>
      <c r="H162" s="529">
        <f>IF(PMDLN[[#This Row],[2024]]="","",DONNÉES!BW279)</f>
        <v/>
      </c>
      <c r="I162" s="529">
        <f>IF(PMDLN[[#This Row],[2024]]="","",DONNÉES!BX279)</f>
        <v/>
      </c>
      <c r="K162" s="529">
        <f>IF(PMDLN[[#This Row],[2024]]="","",DONNÉES!BW247)</f>
        <v/>
      </c>
      <c r="L162" s="530">
        <f>IF(PMDLN[[#This Row],[2024]]="","",DONNÉES!BX247)</f>
        <v/>
      </c>
      <c r="M162" s="530">
        <f>IF(PMDLN[[#This Row],[2024]]="","",DONNÉES!BW295)</f>
        <v/>
      </c>
      <c r="N162" s="529">
        <f>IF(PMDLN[[#This Row],[2024]]="","",DONNÉES!BX295)</f>
        <v/>
      </c>
    </row>
    <row r="163" ht="11.65" customFormat="1" customHeight="1" s="476">
      <c r="A163" s="532" t="inlineStr">
        <is>
          <t xml:space="preserve"> TOTAL </t>
        </is>
      </c>
      <c r="B163" s="533">
        <f>SUBTOTAL(101,PMDLN[2024])</f>
        <v/>
      </c>
      <c r="C163" s="534">
        <f>SUBTOTAL(101,PMDLN[2023])</f>
        <v/>
      </c>
      <c r="D163" s="534">
        <f>SUBTOTAL(101,PMDLN[2024 cumul])</f>
        <v/>
      </c>
      <c r="E163" s="535">
        <f>SUBTOTAL(101,PMDLN[2023 cumul])</f>
        <v/>
      </c>
      <c r="F163" s="536">
        <f>SUBTOTAL(101,PMDLN[[2024  ]])</f>
        <v/>
      </c>
      <c r="G163" s="537">
        <f>SUBTOTAL(101,PMDLN[[2023  ]])</f>
        <v/>
      </c>
      <c r="H163" s="533">
        <f>SUBTOTAL(101,PMDLN[[2024 cumul ]])</f>
        <v/>
      </c>
      <c r="I163" s="533">
        <f>SUBTOTAL(101,PMDLN[[2023 cumul ]])</f>
        <v/>
      </c>
      <c r="K163" s="533">
        <f>SUBTOTAL(101,PMDDIVES[[2024  ]])</f>
        <v/>
      </c>
      <c r="L163" s="534">
        <f>SUBTOTAL(101,PMDDIVES[[2023  ]])</f>
        <v/>
      </c>
      <c r="M163" s="534">
        <f>SUBTOTAL(101,PMDDIVES[[2024 cumul ]])</f>
        <v/>
      </c>
      <c r="N163" s="533">
        <f>SUBTOTAL(101,PMDDIVES[[2023 cumul ]])</f>
        <v/>
      </c>
    </row>
    <row r="164" ht="12" customHeight="1" s="161">
      <c r="H164" s="474" t="n"/>
    </row>
    <row r="165" ht="15" customHeight="1" s="161">
      <c r="A165" s="522" t="n"/>
      <c r="B165" s="523" t="inlineStr">
        <is>
          <t>Sur place</t>
        </is>
      </c>
      <c r="C165" s="487" t="n"/>
      <c r="D165" s="487" t="n"/>
      <c r="E165" s="488" t="n"/>
      <c r="F165" s="524" t="inlineStr">
        <is>
          <t>A emporter</t>
        </is>
      </c>
      <c r="G165" s="487" t="n"/>
      <c r="H165" s="487" t="n"/>
      <c r="I165" s="487" t="n"/>
      <c r="J165" s="539" t="n"/>
      <c r="K165" s="524" t="inlineStr">
        <is>
          <t>Total</t>
        </is>
      </c>
      <c r="L165" s="487" t="n"/>
      <c r="M165" s="487" t="n"/>
      <c r="N165" s="487" t="n"/>
    </row>
    <row r="166" ht="30" customHeight="1" s="161">
      <c r="A166" s="490" t="inlineStr">
        <is>
          <t>TH4</t>
        </is>
      </c>
      <c r="B166" s="491" t="inlineStr">
        <is>
          <t>2024</t>
        </is>
      </c>
      <c r="C166" s="492" t="inlineStr">
        <is>
          <t>2023</t>
        </is>
      </c>
      <c r="D166" s="491" t="inlineStr">
        <is>
          <t>2024 cumul</t>
        </is>
      </c>
      <c r="E166" s="493" t="inlineStr">
        <is>
          <t>2023 cumul</t>
        </is>
      </c>
      <c r="F166" s="491" t="inlineStr">
        <is>
          <t xml:space="preserve">2024  </t>
        </is>
      </c>
      <c r="G166" s="492" t="inlineStr">
        <is>
          <t xml:space="preserve">2023  </t>
        </is>
      </c>
      <c r="H166" s="491" t="inlineStr">
        <is>
          <t xml:space="preserve">2024 cumul </t>
        </is>
      </c>
      <c r="I166" s="525" t="inlineStr">
        <is>
          <t xml:space="preserve">2023 cumul </t>
        </is>
      </c>
      <c r="J166" s="474" t="n"/>
      <c r="K166" s="491" t="inlineStr">
        <is>
          <t xml:space="preserve">2024  </t>
        </is>
      </c>
      <c r="L166" s="492" t="inlineStr">
        <is>
          <t xml:space="preserve">2023  </t>
        </is>
      </c>
      <c r="M166" s="491" t="inlineStr">
        <is>
          <t xml:space="preserve">2024 cumul </t>
        </is>
      </c>
      <c r="N166" s="493" t="inlineStr">
        <is>
          <t xml:space="preserve">2023 cumul </t>
        </is>
      </c>
    </row>
    <row r="167" ht="10.15" customFormat="1" customHeight="1" s="476">
      <c r="A167" s="494" t="inlineStr">
        <is>
          <t>Janvier</t>
        </is>
      </c>
      <c r="B167" s="526">
        <f>IF(DONNÉES!BO204="","",DONNÉES!BO204)</f>
        <v/>
      </c>
      <c r="C167" s="527">
        <f>IF(PMDVERNON[[#This Row],[2024]]="","",DONNÉES!BP204)</f>
        <v/>
      </c>
      <c r="D167" s="526">
        <f>IF(PMDVERNON[[#This Row],[2024]]="","",DONNÉES!BO252)</f>
        <v/>
      </c>
      <c r="E167" s="528">
        <f>IF(PMDVERNON[[#This Row],[2024]]="","",DONNÉES!BP252)</f>
        <v/>
      </c>
      <c r="F167" s="526">
        <f>IF(PMDVERNON[[#This Row],[2024]]="","",DONNÉES!BO220)</f>
        <v/>
      </c>
      <c r="G167" s="527">
        <f>IF(PMDVERNON[[#This Row],[2024]]="","",DONNÉES!BP220)</f>
        <v/>
      </c>
      <c r="H167" s="526">
        <f>IF(PMDVERNON[[#This Row],[2024]]="","",DONNÉES!BO268)</f>
        <v/>
      </c>
      <c r="I167" s="526">
        <f>IF(PMDVERNON[[#This Row],[2024]]="","",DONNÉES!BP268)</f>
        <v/>
      </c>
      <c r="K167" s="526">
        <f>IF(PMDVERNON[[#This Row],[2024]]="","",DONNÉES!BO236)</f>
        <v/>
      </c>
      <c r="L167" s="527">
        <f>IF(PMDVERNON[[#This Row],[2024]]="","",DONNÉES!BP236)</f>
        <v/>
      </c>
      <c r="M167" s="526">
        <f>IF(PMDVERNON[[#This Row],[2024]]="","",DONNÉES!BO284)</f>
        <v/>
      </c>
      <c r="N167" s="526">
        <f>IF(PMDVERNON[[#This Row],[2024]]="","",DONNÉES!BP284)</f>
        <v/>
      </c>
    </row>
    <row r="168" ht="10.15" customFormat="1" customHeight="1" s="476">
      <c r="A168" s="494" t="inlineStr">
        <is>
          <t>Février</t>
        </is>
      </c>
      <c r="B168" s="526">
        <f>IF(DONNÉES!BO205="","",DONNÉES!BO205)</f>
        <v/>
      </c>
      <c r="C168" s="527">
        <f>IF(PMDVERNON[[#This Row],[2024]]="","",DONNÉES!BP205)</f>
        <v/>
      </c>
      <c r="D168" s="526">
        <f>IF(PMDVERNON[[#This Row],[2024]]="","",DONNÉES!BO253)</f>
        <v/>
      </c>
      <c r="E168" s="528">
        <f>IF(PMDVERNON[[#This Row],[2024]]="","",DONNÉES!BP253)</f>
        <v/>
      </c>
      <c r="F168" s="526">
        <f>IF(PMDVERNON[[#This Row],[2024]]="","",DONNÉES!BO221)</f>
        <v/>
      </c>
      <c r="G168" s="527">
        <f>IF(PMDVERNON[[#This Row],[2024]]="","",DONNÉES!BP221)</f>
        <v/>
      </c>
      <c r="H168" s="526">
        <f>IF(PMDVERNON[[#This Row],[2024]]="","",DONNÉES!BO269)</f>
        <v/>
      </c>
      <c r="I168" s="526">
        <f>IF(PMDVERNON[[#This Row],[2024]]="","",DONNÉES!BP269)</f>
        <v/>
      </c>
      <c r="K168" s="526">
        <f>IF(PMDVERNON[[#This Row],[2024]]="","",DONNÉES!BO237)</f>
        <v/>
      </c>
      <c r="L168" s="527">
        <f>IF(PMDVERNON[[#This Row],[2024]]="","",DONNÉES!BP237)</f>
        <v/>
      </c>
      <c r="M168" s="526">
        <f>IF(PMDVERNON[[#This Row],[2024]]="","",DONNÉES!BO285)</f>
        <v/>
      </c>
      <c r="N168" s="526">
        <f>IF(PMDVERNON[[#This Row],[2024]]="","",DONNÉES!BP285)</f>
        <v/>
      </c>
    </row>
    <row r="169" ht="10.15" customFormat="1" customHeight="1" s="476">
      <c r="A169" s="490" t="inlineStr">
        <is>
          <t>Mars</t>
        </is>
      </c>
      <c r="B169" s="526">
        <f>IF(DONNÉES!BO206="","",DONNÉES!BO206)</f>
        <v/>
      </c>
      <c r="C169" s="527">
        <f>IF(PMDVERNON[[#This Row],[2024]]="","",DONNÉES!BP206)</f>
        <v/>
      </c>
      <c r="D169" s="526">
        <f>IF(PMDVERNON[[#This Row],[2024]]="","",DONNÉES!BO254)</f>
        <v/>
      </c>
      <c r="E169" s="528">
        <f>IF(PMDVERNON[[#This Row],[2024]]="","",DONNÉES!BP254)</f>
        <v/>
      </c>
      <c r="F169" s="526">
        <f>IF(PMDVERNON[[#This Row],[2024]]="","",DONNÉES!BO222)</f>
        <v/>
      </c>
      <c r="G169" s="527">
        <f>IF(PMDVERNON[[#This Row],[2024]]="","",DONNÉES!BP222)</f>
        <v/>
      </c>
      <c r="H169" s="526">
        <f>IF(PMDVERNON[[#This Row],[2024]]="","",DONNÉES!BO270)</f>
        <v/>
      </c>
      <c r="I169" s="526">
        <f>IF(PMDVERNON[[#This Row],[2024]]="","",DONNÉES!BP270)</f>
        <v/>
      </c>
      <c r="K169" s="526">
        <f>IF(PMDVERNON[[#This Row],[2024]]="","",DONNÉES!BO238)</f>
        <v/>
      </c>
      <c r="L169" s="527">
        <f>IF(PMDVERNON[[#This Row],[2024]]="","",DONNÉES!BP238)</f>
        <v/>
      </c>
      <c r="M169" s="526">
        <f>IF(PMDVERNON[[#This Row],[2024]]="","",DONNÉES!BO286)</f>
        <v/>
      </c>
      <c r="N169" s="526">
        <f>IF(PMDVERNON[[#This Row],[2024]]="","",DONNÉES!BP286)</f>
        <v/>
      </c>
    </row>
    <row r="170" ht="10.15" customHeight="1" s="161">
      <c r="A170" s="494" t="inlineStr">
        <is>
          <t>Avril</t>
        </is>
      </c>
      <c r="B170" s="526">
        <f>IF(DONNÉES!BO207="","",DONNÉES!BO207)</f>
        <v/>
      </c>
      <c r="C170" s="527">
        <f>IF(PMDVERNON[[#This Row],[2024]]="","",DONNÉES!BP207)</f>
        <v/>
      </c>
      <c r="D170" s="526">
        <f>IF(PMDVERNON[[#This Row],[2024]]="","",DONNÉES!BO255)</f>
        <v/>
      </c>
      <c r="E170" s="528">
        <f>IF(PMDVERNON[[#This Row],[2024]]="","",DONNÉES!BP255)</f>
        <v/>
      </c>
      <c r="F170" s="526">
        <f>IF(PMDVERNON[[#This Row],[2024]]="","",DONNÉES!BO223)</f>
        <v/>
      </c>
      <c r="G170" s="527">
        <f>IF(PMDVERNON[[#This Row],[2024]]="","",DONNÉES!BP223)</f>
        <v/>
      </c>
      <c r="H170" s="526">
        <f>IF(PMDVERNON[[#This Row],[2024]]="","",DONNÉES!BO271)</f>
        <v/>
      </c>
      <c r="I170" s="526">
        <f>IF(PMDVERNON[[#This Row],[2024]]="","",DONNÉES!BP271)</f>
        <v/>
      </c>
      <c r="J170" s="474" t="n"/>
      <c r="K170" s="526">
        <f>IF(PMDVERNON[[#This Row],[2024]]="","",DONNÉES!BO239)</f>
        <v/>
      </c>
      <c r="L170" s="527">
        <f>IF(PMDVERNON[[#This Row],[2024]]="","",DONNÉES!BP239)</f>
        <v/>
      </c>
      <c r="M170" s="526">
        <f>IF(PMDVERNON[[#This Row],[2024]]="","",DONNÉES!BO287)</f>
        <v/>
      </c>
      <c r="N170" s="526">
        <f>IF(PMDVERNON[[#This Row],[2024]]="","",DONNÉES!BP287)</f>
        <v/>
      </c>
    </row>
    <row r="171" ht="10.15" customHeight="1" s="161">
      <c r="A171" s="490" t="inlineStr">
        <is>
          <t>Mai</t>
        </is>
      </c>
      <c r="B171" s="526">
        <f>IF(DONNÉES!BO208="","",DONNÉES!BO208)</f>
        <v/>
      </c>
      <c r="C171" s="527">
        <f>IF(PMDVERNON[[#This Row],[2024]]="","",DONNÉES!BP208)</f>
        <v/>
      </c>
      <c r="D171" s="526">
        <f>IF(PMDVERNON[[#This Row],[2024]]="","",DONNÉES!BO256)</f>
        <v/>
      </c>
      <c r="E171" s="528">
        <f>IF(PMDVERNON[[#This Row],[2024]]="","",DONNÉES!BP256)</f>
        <v/>
      </c>
      <c r="F171" s="526">
        <f>IF(PMDVERNON[[#This Row],[2024]]="","",DONNÉES!BO224)</f>
        <v/>
      </c>
      <c r="G171" s="527">
        <f>IF(PMDVERNON[[#This Row],[2024]]="","",DONNÉES!BP224)</f>
        <v/>
      </c>
      <c r="H171" s="526">
        <f>IF(PMDVERNON[[#This Row],[2024]]="","",DONNÉES!BO272)</f>
        <v/>
      </c>
      <c r="I171" s="526">
        <f>IF(PMDVERNON[[#This Row],[2024]]="","",DONNÉES!BP272)</f>
        <v/>
      </c>
      <c r="J171" s="474" t="n"/>
      <c r="K171" s="526">
        <f>IF(PMDVERNON[[#This Row],[2024]]="","",DONNÉES!BO240)</f>
        <v/>
      </c>
      <c r="L171" s="527">
        <f>IF(PMDVERNON[[#This Row],[2024]]="","",DONNÉES!BP240)</f>
        <v/>
      </c>
      <c r="M171" s="526">
        <f>IF(PMDVERNON[[#This Row],[2024]]="","",DONNÉES!BO288)</f>
        <v/>
      </c>
      <c r="N171" s="526">
        <f>IF(PMDVERNON[[#This Row],[2024]]="","",DONNÉES!BP288)</f>
        <v/>
      </c>
    </row>
    <row r="172" ht="10.15" customHeight="1" s="161">
      <c r="A172" s="494" t="inlineStr">
        <is>
          <t>Juin</t>
        </is>
      </c>
      <c r="B172" s="526">
        <f>IF(DONNÉES!BO209="","",DONNÉES!BO209)</f>
        <v/>
      </c>
      <c r="C172" s="527">
        <f>IF(PMDVERNON[[#This Row],[2024]]="","",DONNÉES!BP209)</f>
        <v/>
      </c>
      <c r="D172" s="526">
        <f>IF(PMDVERNON[[#This Row],[2024]]="","",DONNÉES!BO257)</f>
        <v/>
      </c>
      <c r="E172" s="528">
        <f>IF(PMDVERNON[[#This Row],[2024]]="","",DONNÉES!BP257)</f>
        <v/>
      </c>
      <c r="F172" s="526">
        <f>IF(PMDVERNON[[#This Row],[2024]]="","",DONNÉES!BO225)</f>
        <v/>
      </c>
      <c r="G172" s="527">
        <f>IF(PMDVERNON[[#This Row],[2024]]="","",DONNÉES!BP225)</f>
        <v/>
      </c>
      <c r="H172" s="526">
        <f>IF(PMDVERNON[[#This Row],[2024]]="","",DONNÉES!BO273)</f>
        <v/>
      </c>
      <c r="I172" s="526">
        <f>IF(PMDVERNON[[#This Row],[2024]]="","",DONNÉES!BP273)</f>
        <v/>
      </c>
      <c r="J172" s="474" t="n"/>
      <c r="K172" s="526">
        <f>IF(PMDVERNON[[#This Row],[2024]]="","",DONNÉES!BO241)</f>
        <v/>
      </c>
      <c r="L172" s="527">
        <f>IF(PMDVERNON[[#This Row],[2024]]="","",DONNÉES!BP241)</f>
        <v/>
      </c>
      <c r="M172" s="526">
        <f>IF(PMDVERNON[[#This Row],[2024]]="","",DONNÉES!BO289)</f>
        <v/>
      </c>
      <c r="N172" s="526">
        <f>IF(PMDVERNON[[#This Row],[2024]]="","",DONNÉES!BP289)</f>
        <v/>
      </c>
    </row>
    <row r="173" ht="10.15" customHeight="1" s="161">
      <c r="A173" s="490" t="inlineStr">
        <is>
          <t>Juillet</t>
        </is>
      </c>
      <c r="B173" s="526">
        <f>IF(DONNÉES!BO210="","",DONNÉES!BO210)</f>
        <v/>
      </c>
      <c r="C173" s="527">
        <f>IF(PMDVERNON[[#This Row],[2024]]="","",DONNÉES!BP210)</f>
        <v/>
      </c>
      <c r="D173" s="526">
        <f>IF(PMDVERNON[[#This Row],[2024]]="","",DONNÉES!BO258)</f>
        <v/>
      </c>
      <c r="E173" s="528">
        <f>IF(PMDVERNON[[#This Row],[2024]]="","",DONNÉES!BP258)</f>
        <v/>
      </c>
      <c r="F173" s="526">
        <f>IF(PMDVERNON[[#This Row],[2024]]="","",DONNÉES!BO226)</f>
        <v/>
      </c>
      <c r="G173" s="527">
        <f>IF(PMDVERNON[[#This Row],[2024]]="","",DONNÉES!BP226)</f>
        <v/>
      </c>
      <c r="H173" s="526">
        <f>IF(PMDVERNON[[#This Row],[2024]]="","",DONNÉES!BO274)</f>
        <v/>
      </c>
      <c r="I173" s="526">
        <f>IF(PMDVERNON[[#This Row],[2024]]="","",DONNÉES!BP274)</f>
        <v/>
      </c>
      <c r="J173" s="474" t="n"/>
      <c r="K173" s="526">
        <f>IF(PMDVERNON[[#This Row],[2024]]="","",DONNÉES!BO242)</f>
        <v/>
      </c>
      <c r="L173" s="527">
        <f>IF(PMDVERNON[[#This Row],[2024]]="","",DONNÉES!BP242)</f>
        <v/>
      </c>
      <c r="M173" s="526">
        <f>IF(PMDVERNON[[#This Row],[2024]]="","",DONNÉES!BO290)</f>
        <v/>
      </c>
      <c r="N173" s="526">
        <f>IF(PMDVERNON[[#This Row],[2024]]="","",DONNÉES!BP290)</f>
        <v/>
      </c>
    </row>
    <row r="174" ht="10.15" customHeight="1" s="161">
      <c r="A174" s="494" t="inlineStr">
        <is>
          <t>Août</t>
        </is>
      </c>
      <c r="B174" s="526">
        <f>IF(DONNÉES!BO211="","",DONNÉES!BO211)</f>
        <v/>
      </c>
      <c r="C174" s="527">
        <f>IF(PMDVERNON[[#This Row],[2024]]="","",DONNÉES!BP211)</f>
        <v/>
      </c>
      <c r="D174" s="526">
        <f>IF(PMDVERNON[[#This Row],[2024]]="","",DONNÉES!BO259)</f>
        <v/>
      </c>
      <c r="E174" s="528">
        <f>IF(PMDVERNON[[#This Row],[2024]]="","",DONNÉES!BP259)</f>
        <v/>
      </c>
      <c r="F174" s="526">
        <f>IF(PMDVERNON[[#This Row],[2024]]="","",DONNÉES!BO227)</f>
        <v/>
      </c>
      <c r="G174" s="527">
        <f>IF(PMDVERNON[[#This Row],[2024]]="","",DONNÉES!BP227)</f>
        <v/>
      </c>
      <c r="H174" s="526">
        <f>IF(PMDVERNON[[#This Row],[2024]]="","",DONNÉES!BO275)</f>
        <v/>
      </c>
      <c r="I174" s="526">
        <f>IF(PMDVERNON[[#This Row],[2024]]="","",DONNÉES!BP275)</f>
        <v/>
      </c>
      <c r="J174" s="474" t="n"/>
      <c r="K174" s="526">
        <f>IF(PMDVERNON[[#This Row],[2024]]="","",DONNÉES!BO243)</f>
        <v/>
      </c>
      <c r="L174" s="527">
        <f>IF(PMDVERNON[[#This Row],[2024]]="","",DONNÉES!BP243)</f>
        <v/>
      </c>
      <c r="M174" s="526">
        <f>IF(PMDVERNON[[#This Row],[2024]]="","",DONNÉES!BO291)</f>
        <v/>
      </c>
      <c r="N174" s="526">
        <f>IF(PMDVERNON[[#This Row],[2024]]="","",DONNÉES!BP291)</f>
        <v/>
      </c>
    </row>
    <row r="175" ht="10.15" customHeight="1" s="161">
      <c r="A175" s="490" t="inlineStr">
        <is>
          <t>Septembre</t>
        </is>
      </c>
      <c r="B175" s="526">
        <f>IF(DONNÉES!BO212="","",DONNÉES!BO212)</f>
        <v/>
      </c>
      <c r="C175" s="530">
        <f>IF(PMDVERNON[[#This Row],[2024]]="","",DONNÉES!BP212)</f>
        <v/>
      </c>
      <c r="D175" s="529">
        <f>IF(PMDVERNON[[#This Row],[2024]]="","",DONNÉES!BO260)</f>
        <v/>
      </c>
      <c r="E175" s="531">
        <f>IF(PMDVERNON[[#This Row],[2024]]="","",DONNÉES!BP260)</f>
        <v/>
      </c>
      <c r="F175" s="529">
        <f>IF(PMDVERNON[[#This Row],[2024]]="","",DONNÉES!BO228)</f>
        <v/>
      </c>
      <c r="G175" s="530">
        <f>IF(PMDVERNON[[#This Row],[2024]]="","",DONNÉES!BP228)</f>
        <v/>
      </c>
      <c r="H175" s="529">
        <f>IF(PMDVERNON[[#This Row],[2024]]="","",DONNÉES!BO276)</f>
        <v/>
      </c>
      <c r="I175" s="529">
        <f>IF(PMDVERNON[[#This Row],[2024]]="","",DONNÉES!BP276)</f>
        <v/>
      </c>
      <c r="J175" s="475" t="n"/>
      <c r="K175" s="529">
        <f>IF(PMDVERNON[[#This Row],[2024]]="","",DONNÉES!BO244)</f>
        <v/>
      </c>
      <c r="L175" s="530">
        <f>IF(PMDVERNON[[#This Row],[2024]]="","",DONNÉES!BP244)</f>
        <v/>
      </c>
      <c r="M175" s="529">
        <f>IF(PMDVERNON[[#This Row],[2024]]="","",DONNÉES!BO292)</f>
        <v/>
      </c>
      <c r="N175" s="529">
        <f>IF(PMDVERNON[[#This Row],[2024]]="","",DONNÉES!BP292)</f>
        <v/>
      </c>
    </row>
    <row r="176" ht="10.15" customHeight="1" s="161">
      <c r="A176" s="494" t="inlineStr">
        <is>
          <t>Octobre</t>
        </is>
      </c>
      <c r="B176" s="526">
        <f>IF(DONNÉES!BO213="","",DONNÉES!BO213)</f>
        <v/>
      </c>
      <c r="C176" s="530">
        <f>IF(PMDVERNON[[#This Row],[2024]]="","",DONNÉES!BP213)</f>
        <v/>
      </c>
      <c r="D176" s="529">
        <f>IF(PMDVERNON[[#This Row],[2024]]="","",DONNÉES!BO261)</f>
        <v/>
      </c>
      <c r="E176" s="531">
        <f>IF(PMDVERNON[[#This Row],[2024]]="","",DONNÉES!BP261)</f>
        <v/>
      </c>
      <c r="F176" s="529">
        <f>IF(PMDVERNON[[#This Row],[2024]]="","",DONNÉES!BO229)</f>
        <v/>
      </c>
      <c r="G176" s="530">
        <f>IF(PMDVERNON[[#This Row],[2024]]="","",DONNÉES!BP229)</f>
        <v/>
      </c>
      <c r="H176" s="529">
        <f>IF(PMDVERNON[[#This Row],[2024]]="","",DONNÉES!BO277)</f>
        <v/>
      </c>
      <c r="I176" s="529">
        <f>IF(PMDVERNON[[#This Row],[2024]]="","",DONNÉES!BP277)</f>
        <v/>
      </c>
      <c r="J176" s="474" t="n"/>
      <c r="K176" s="529">
        <f>IF(PMDVERNON[[#This Row],[2024]]="","",DONNÉES!BO245)</f>
        <v/>
      </c>
      <c r="L176" s="530">
        <f>IF(PMDVERNON[[#This Row],[2024]]="","",DONNÉES!BP245)</f>
        <v/>
      </c>
      <c r="M176" s="529">
        <f>IF(PMDVERNON[[#This Row],[2024]]="","",DONNÉES!BO293)</f>
        <v/>
      </c>
      <c r="N176" s="529">
        <f>IF(PMDVERNON[[#This Row],[2024]]="","",DONNÉES!BP293)</f>
        <v/>
      </c>
    </row>
    <row r="177" ht="10.15" customFormat="1" customHeight="1" s="476">
      <c r="A177" s="490" t="inlineStr">
        <is>
          <t>Novembre</t>
        </is>
      </c>
      <c r="B177" s="526">
        <f>IF(DONNÉES!BO214="","",DONNÉES!BO214)</f>
        <v/>
      </c>
      <c r="C177" s="530">
        <f>IF(PMDVERNON[[#This Row],[2024]]="","",DONNÉES!BP214)</f>
        <v/>
      </c>
      <c r="D177" s="529">
        <f>IF(PMDVERNON[[#This Row],[2024]]="","",DONNÉES!BO262)</f>
        <v/>
      </c>
      <c r="E177" s="531">
        <f>IF(PMDVERNON[[#This Row],[2024]]="","",DONNÉES!BP262)</f>
        <v/>
      </c>
      <c r="F177" s="529">
        <f>IF(PMDVERNON[[#This Row],[2024]]="","",DONNÉES!BO230)</f>
        <v/>
      </c>
      <c r="G177" s="530">
        <f>IF(PMDVERNON[[#This Row],[2024]]="","",DONNÉES!BP230)</f>
        <v/>
      </c>
      <c r="H177" s="529">
        <f>IF(PMDVERNON[[#This Row],[2024]]="","",DONNÉES!BO278)</f>
        <v/>
      </c>
      <c r="I177" s="529">
        <f>IF(PMDVERNON[[#This Row],[2024]]="","",DONNÉES!BP278)</f>
        <v/>
      </c>
      <c r="K177" s="529">
        <f>IF(PMDVERNON[[#This Row],[2024]]="","",DONNÉES!BO246)</f>
        <v/>
      </c>
      <c r="L177" s="530">
        <f>IF(PMDVERNON[[#This Row],[2024]]="","",DONNÉES!BP246)</f>
        <v/>
      </c>
      <c r="M177" s="529">
        <f>IF(PMDVERNON[[#This Row],[2024]]="","",DONNÉES!BO294)</f>
        <v/>
      </c>
      <c r="N177" s="529">
        <f>IF(PMDVERNON[[#This Row],[2024]]="","",DONNÉES!BP294)</f>
        <v/>
      </c>
    </row>
    <row r="178" ht="10.15" customFormat="1" customHeight="1" s="476">
      <c r="A178" s="490" t="inlineStr">
        <is>
          <t>Décembre</t>
        </is>
      </c>
      <c r="B178" s="526">
        <f>IF(DONNÉES!BO215="","",DONNÉES!BO215)</f>
        <v/>
      </c>
      <c r="C178" s="530">
        <f>IF(PMDVERNON[[#This Row],[2024]]="","",DONNÉES!BP215)</f>
        <v/>
      </c>
      <c r="D178" s="529">
        <f>IF(PMDVERNON[[#This Row],[2024]]="","",DONNÉES!BO263)</f>
        <v/>
      </c>
      <c r="E178" s="531">
        <f>IF(PMDVERNON[[#This Row],[2024]]="","",DONNÉES!BP263)</f>
        <v/>
      </c>
      <c r="F178" s="529">
        <f>IF(PMDVERNON[[#This Row],[2024]]="","",DONNÉES!BO231)</f>
        <v/>
      </c>
      <c r="G178" s="530">
        <f>IF(PMDVERNON[[#This Row],[2024]]="","",DONNÉES!BP231)</f>
        <v/>
      </c>
      <c r="H178" s="529">
        <f>IF(PMDVERNON[[#This Row],[2024]]="","",DONNÉES!BO279)</f>
        <v/>
      </c>
      <c r="I178" s="529">
        <f>IF(PMDVERNON[[#This Row],[2024]]="","",DONNÉES!BP279)</f>
        <v/>
      </c>
      <c r="K178" s="529">
        <f>IF(PMDVERNON[[#This Row],[2024]]="","",DONNÉES!BO247)</f>
        <v/>
      </c>
      <c r="L178" s="530">
        <f>IF(PMDVERNON[[#This Row],[2024]]="","",DONNÉES!BP247)</f>
        <v/>
      </c>
      <c r="M178" s="529">
        <f>IF(PMDVERNON[[#This Row],[2024]]="","",DONNÉES!BO295)</f>
        <v/>
      </c>
      <c r="N178" s="529">
        <f>IF(PMDVERNON[[#This Row],[2024]]="","",DONNÉES!BP295)</f>
        <v/>
      </c>
    </row>
    <row r="179" ht="11.65" customFormat="1" customHeight="1" s="476">
      <c r="A179" s="532" t="inlineStr">
        <is>
          <t xml:space="preserve"> TOTAL </t>
        </is>
      </c>
      <c r="B179" s="533">
        <f>SUBTOTAL(101,PMDVERNON[2024])</f>
        <v/>
      </c>
      <c r="C179" s="534">
        <f>SUBTOTAL(101,PMDVERNON[2023])</f>
        <v/>
      </c>
      <c r="D179" s="534">
        <f>SUBTOTAL(101,PMDVERNON[2024 cumul])</f>
        <v/>
      </c>
      <c r="E179" s="535">
        <f>SUBTOTAL(101,PMDVERNON[2023 cumul])</f>
        <v/>
      </c>
      <c r="F179" s="536">
        <f>SUBTOTAL(101,PMDVERNON[[2024  ]])</f>
        <v/>
      </c>
      <c r="G179" s="537">
        <f>SUBTOTAL(101,PMDVERNON[[2023  ]])</f>
        <v/>
      </c>
      <c r="H179" s="533">
        <f>SUBTOTAL(101,PMDVERNON[[2024 cumul ]])</f>
        <v/>
      </c>
      <c r="I179" s="533">
        <f>SUBTOTAL(101,PMDVERNON[[2023 cumul ]])</f>
        <v/>
      </c>
      <c r="K179" s="533">
        <f>SUBTOTAL(101,PMDTH4[[2024  ]])</f>
        <v/>
      </c>
      <c r="L179" s="534">
        <f>SUBTOTAL(101,PMDTH4[[2023  ]])</f>
        <v/>
      </c>
      <c r="M179" s="534">
        <f>SUBTOTAL(101,PMDTH4[[2024 cumul ]])</f>
        <v/>
      </c>
      <c r="N179" s="533">
        <f>SUBTOTAL(101,PMDTH4[[2023 cumul ]])</f>
        <v/>
      </c>
    </row>
    <row r="180" ht="12" customHeight="1" s="161">
      <c r="H180" s="474" t="n"/>
    </row>
    <row r="181" ht="15" customHeight="1" s="161">
      <c r="A181" s="522" t="n"/>
      <c r="B181" s="523" t="inlineStr">
        <is>
          <t>Sur place</t>
        </is>
      </c>
      <c r="C181" s="487" t="n"/>
      <c r="D181" s="487" t="n"/>
      <c r="E181" s="488" t="n"/>
      <c r="F181" s="524" t="inlineStr">
        <is>
          <t>A emporter</t>
        </is>
      </c>
      <c r="G181" s="487" t="n"/>
      <c r="H181" s="487" t="n"/>
      <c r="I181" s="487" t="n"/>
      <c r="J181" s="539" t="n"/>
      <c r="K181" s="524" t="inlineStr">
        <is>
          <t>Total</t>
        </is>
      </c>
      <c r="L181" s="487" t="n"/>
      <c r="M181" s="487" t="n"/>
      <c r="N181" s="487" t="n"/>
    </row>
    <row r="182" ht="30" customHeight="1" s="161">
      <c r="A182" s="490" t="inlineStr">
        <is>
          <t>ARTHUR</t>
        </is>
      </c>
      <c r="B182" s="491" t="inlineStr">
        <is>
          <t>2024</t>
        </is>
      </c>
      <c r="C182" s="492" t="inlineStr">
        <is>
          <t>2023</t>
        </is>
      </c>
      <c r="D182" s="491" t="inlineStr">
        <is>
          <t>2024 cumul</t>
        </is>
      </c>
      <c r="E182" s="493" t="inlineStr">
        <is>
          <t>2023 cumul</t>
        </is>
      </c>
      <c r="F182" s="491" t="inlineStr">
        <is>
          <t xml:space="preserve">2024  </t>
        </is>
      </c>
      <c r="G182" s="492" t="inlineStr">
        <is>
          <t xml:space="preserve">2023  </t>
        </is>
      </c>
      <c r="H182" s="491" t="inlineStr">
        <is>
          <t xml:space="preserve">2024 cumul </t>
        </is>
      </c>
      <c r="I182" s="525" t="inlineStr">
        <is>
          <t xml:space="preserve">2023 cumul </t>
        </is>
      </c>
      <c r="J182" s="474" t="n"/>
      <c r="K182" s="491" t="inlineStr">
        <is>
          <t xml:space="preserve">2024  </t>
        </is>
      </c>
      <c r="L182" s="492" t="inlineStr">
        <is>
          <t xml:space="preserve">2023  </t>
        </is>
      </c>
      <c r="M182" s="491" t="inlineStr">
        <is>
          <t xml:space="preserve">2024 cumul </t>
        </is>
      </c>
      <c r="N182" s="493" t="inlineStr">
        <is>
          <t xml:space="preserve">2023 cumul </t>
        </is>
      </c>
    </row>
    <row r="183" ht="10.15" customFormat="1" customHeight="1" s="476">
      <c r="A183" s="494" t="inlineStr">
        <is>
          <t>Janvier</t>
        </is>
      </c>
      <c r="B183" s="526">
        <f>IF(DONNÉES!CU204="","",DONNÉES!CU204)</f>
        <v/>
      </c>
      <c r="C183" s="527">
        <f>IF(PMDVERNON401[[#This Row],[2024]]="","",DONNÉES!CV204)</f>
        <v/>
      </c>
      <c r="D183" s="526">
        <f>IF(PMDVERNON401[[#This Row],[2024]]="","",DONNÉES!CU252)</f>
        <v/>
      </c>
      <c r="E183" s="528">
        <f>IF(PMDVERNON401[[#This Row],[2024]]="","",DONNÉES!CV252)</f>
        <v/>
      </c>
      <c r="F183" s="526">
        <f>IF(PMDVERNON401[[#This Row],[2024]]="","",DONNÉES!CU220)</f>
        <v/>
      </c>
      <c r="G183" s="527">
        <f>IF(PMDVERNON401[[#This Row],[2024]]="","",DONNÉES!CV220)</f>
        <v/>
      </c>
      <c r="H183" s="526">
        <f>IF(PMDVERNON401[[#This Row],[2024]]="","",DONNÉES!CU268)</f>
        <v/>
      </c>
      <c r="I183" s="526">
        <f>IF(PMDVERNON401[[#This Row],[2024]]="","",DONNÉES!CV268)</f>
        <v/>
      </c>
      <c r="K183" s="526">
        <f>IF(PMDVERNON401[[#This Row],[2024]]="","",DONNÉES!CU236)</f>
        <v/>
      </c>
      <c r="L183" s="527">
        <f>IF(PMDVERNON401[[#This Row],[2024]]="","",DONNÉES!CV236)</f>
        <v/>
      </c>
      <c r="M183" s="526">
        <f>IF(PMDVERNON401[[#This Row],[2024]]="","",DONNÉES!CU284)</f>
        <v/>
      </c>
      <c r="N183" s="526">
        <f>IF(PMDVERNON401[[#This Row],[2024]]="","",DONNÉES!CV284)</f>
        <v/>
      </c>
    </row>
    <row r="184" ht="10.15" customFormat="1" customHeight="1" s="476">
      <c r="A184" s="494" t="inlineStr">
        <is>
          <t>Février</t>
        </is>
      </c>
      <c r="B184" s="526">
        <f>IF(DONNÉES!CU205="","",DONNÉES!CU205)</f>
        <v/>
      </c>
      <c r="C184" s="527">
        <f>IF(PMDVERNON401[[#This Row],[2024]]="","",DONNÉES!CV205)</f>
        <v/>
      </c>
      <c r="D184" s="526">
        <f>IF(PMDVERNON401[[#This Row],[2024]]="","",DONNÉES!CU253)</f>
        <v/>
      </c>
      <c r="E184" s="528">
        <f>IF(PMDVERNON401[[#This Row],[2024]]="","",DONNÉES!CV253)</f>
        <v/>
      </c>
      <c r="F184" s="526">
        <f>IF(PMDVERNON401[[#This Row],[2024]]="","",DONNÉES!CU221)</f>
        <v/>
      </c>
      <c r="G184" s="527">
        <f>IF(PMDVERNON401[[#This Row],[2024]]="","",DONNÉES!CV221)</f>
        <v/>
      </c>
      <c r="H184" s="526">
        <f>IF(PMDVERNON401[[#This Row],[2024]]="","",DONNÉES!CU269)</f>
        <v/>
      </c>
      <c r="I184" s="526">
        <f>IF(PMDVERNON401[[#This Row],[2024]]="","",DONNÉES!CV269)</f>
        <v/>
      </c>
      <c r="K184" s="526">
        <f>IF(PMDVERNON401[[#This Row],[2024]]="","",DONNÉES!CU237)</f>
        <v/>
      </c>
      <c r="L184" s="527">
        <f>IF(PMDVERNON401[[#This Row],[2024]]="","",DONNÉES!CV237)</f>
        <v/>
      </c>
      <c r="M184" s="526">
        <f>IF(PMDVERNON401[[#This Row],[2024]]="","",DONNÉES!CU285)</f>
        <v/>
      </c>
      <c r="N184" s="526">
        <f>IF(PMDVERNON401[[#This Row],[2024]]="","",DONNÉES!CV285)</f>
        <v/>
      </c>
    </row>
    <row r="185" ht="10.15" customFormat="1" customHeight="1" s="476">
      <c r="A185" s="490" t="inlineStr">
        <is>
          <t>Mars</t>
        </is>
      </c>
      <c r="B185" s="526">
        <f>IF(DONNÉES!CU206="","",DONNÉES!CU206)</f>
        <v/>
      </c>
      <c r="C185" s="527">
        <f>IF(PMDVERNON401[[#This Row],[2024]]="","",DONNÉES!CV206)</f>
        <v/>
      </c>
      <c r="D185" s="526">
        <f>IF(PMDVERNON401[[#This Row],[2024]]="","",DONNÉES!CU254)</f>
        <v/>
      </c>
      <c r="E185" s="528">
        <f>IF(PMDVERNON401[[#This Row],[2024]]="","",DONNÉES!CV254)</f>
        <v/>
      </c>
      <c r="F185" s="526">
        <f>IF(PMDVERNON401[[#This Row],[2024]]="","",DONNÉES!CU222)</f>
        <v/>
      </c>
      <c r="G185" s="527">
        <f>IF(PMDVERNON401[[#This Row],[2024]]="","",DONNÉES!CV222)</f>
        <v/>
      </c>
      <c r="H185" s="526">
        <f>IF(PMDVERNON401[[#This Row],[2024]]="","",DONNÉES!CU270)</f>
        <v/>
      </c>
      <c r="I185" s="526">
        <f>IF(PMDVERNON401[[#This Row],[2024]]="","",DONNÉES!CV270)</f>
        <v/>
      </c>
      <c r="K185" s="526">
        <f>IF(PMDVERNON401[[#This Row],[2024]]="","",DONNÉES!CU238)</f>
        <v/>
      </c>
      <c r="L185" s="527">
        <f>IF(PMDVERNON401[[#This Row],[2024]]="","",DONNÉES!CV238)</f>
        <v/>
      </c>
      <c r="M185" s="526">
        <f>IF(PMDVERNON401[[#This Row],[2024]]="","",DONNÉES!CU286)</f>
        <v/>
      </c>
      <c r="N185" s="526">
        <f>IF(PMDVERNON401[[#This Row],[2024]]="","",DONNÉES!CV286)</f>
        <v/>
      </c>
    </row>
    <row r="186" ht="10.15" customHeight="1" s="161">
      <c r="A186" s="494" t="inlineStr">
        <is>
          <t>Avril</t>
        </is>
      </c>
      <c r="B186" s="526">
        <f>IF(DONNÉES!CU207="","",DONNÉES!CU207)</f>
        <v/>
      </c>
      <c r="C186" s="527">
        <f>IF(PMDVERNON401[[#This Row],[2024]]="","",DONNÉES!CV207)</f>
        <v/>
      </c>
      <c r="D186" s="526">
        <f>IF(PMDVERNON401[[#This Row],[2024]]="","",DONNÉES!CU255)</f>
        <v/>
      </c>
      <c r="E186" s="528">
        <f>IF(PMDVERNON401[[#This Row],[2024]]="","",DONNÉES!CV255)</f>
        <v/>
      </c>
      <c r="F186" s="526">
        <f>IF(PMDVERNON401[[#This Row],[2024]]="","",DONNÉES!CU223)</f>
        <v/>
      </c>
      <c r="G186" s="527">
        <f>IF(PMDVERNON401[[#This Row],[2024]]="","",DONNÉES!CV223)</f>
        <v/>
      </c>
      <c r="H186" s="526">
        <f>IF(PMDVERNON401[[#This Row],[2024]]="","",DONNÉES!CU271)</f>
        <v/>
      </c>
      <c r="I186" s="526">
        <f>IF(PMDVERNON401[[#This Row],[2024]]="","",DONNÉES!CV271)</f>
        <v/>
      </c>
      <c r="J186" s="474" t="n"/>
      <c r="K186" s="526">
        <f>IF(PMDVERNON401[[#This Row],[2024]]="","",DONNÉES!CU239)</f>
        <v/>
      </c>
      <c r="L186" s="527">
        <f>IF(PMDVERNON401[[#This Row],[2024]]="","",DONNÉES!CV239)</f>
        <v/>
      </c>
      <c r="M186" s="526">
        <f>IF(PMDVERNON401[[#This Row],[2024]]="","",DONNÉES!CU287)</f>
        <v/>
      </c>
      <c r="N186" s="526">
        <f>IF(PMDVERNON401[[#This Row],[2024]]="","",DONNÉES!CV287)</f>
        <v/>
      </c>
    </row>
    <row r="187" ht="10.15" customHeight="1" s="161">
      <c r="A187" s="490" t="inlineStr">
        <is>
          <t>Mai</t>
        </is>
      </c>
      <c r="B187" s="526">
        <f>IF(DONNÉES!CU208="","",DONNÉES!CU208)</f>
        <v/>
      </c>
      <c r="C187" s="527">
        <f>IF(PMDVERNON401[[#This Row],[2024]]="","",DONNÉES!CV208)</f>
        <v/>
      </c>
      <c r="D187" s="526">
        <f>IF(PMDVERNON401[[#This Row],[2024]]="","",DONNÉES!CU256)</f>
        <v/>
      </c>
      <c r="E187" s="528">
        <f>IF(PMDVERNON401[[#This Row],[2024]]="","",DONNÉES!CV256)</f>
        <v/>
      </c>
      <c r="F187" s="526">
        <f>IF(PMDVERNON401[[#This Row],[2024]]="","",DONNÉES!CU224)</f>
        <v/>
      </c>
      <c r="G187" s="527">
        <f>IF(PMDVERNON401[[#This Row],[2024]]="","",DONNÉES!CV224)</f>
        <v/>
      </c>
      <c r="H187" s="526">
        <f>IF(PMDVERNON401[[#This Row],[2024]]="","",DONNÉES!CU272)</f>
        <v/>
      </c>
      <c r="I187" s="526">
        <f>IF(PMDVERNON401[[#This Row],[2024]]="","",DONNÉES!CV272)</f>
        <v/>
      </c>
      <c r="J187" s="474" t="n"/>
      <c r="K187" s="526">
        <f>IF(PMDVERNON401[[#This Row],[2024]]="","",DONNÉES!CU240)</f>
        <v/>
      </c>
      <c r="L187" s="527">
        <f>IF(PMDVERNON401[[#This Row],[2024]]="","",DONNÉES!CV240)</f>
        <v/>
      </c>
      <c r="M187" s="526">
        <f>IF(PMDVERNON401[[#This Row],[2024]]="","",DONNÉES!CU288)</f>
        <v/>
      </c>
      <c r="N187" s="526">
        <f>IF(PMDVERNON401[[#This Row],[2024]]="","",DONNÉES!CV288)</f>
        <v/>
      </c>
    </row>
    <row r="188" ht="10.15" customHeight="1" s="161">
      <c r="A188" s="494" t="inlineStr">
        <is>
          <t>Juin</t>
        </is>
      </c>
      <c r="B188" s="526">
        <f>IF(DONNÉES!CU209="","",DONNÉES!CU209)</f>
        <v/>
      </c>
      <c r="C188" s="527">
        <f>IF(PMDVERNON401[[#This Row],[2024]]="","",DONNÉES!CV209)</f>
        <v/>
      </c>
      <c r="D188" s="526">
        <f>IF(PMDVERNON401[[#This Row],[2024]]="","",DONNÉES!CU257)</f>
        <v/>
      </c>
      <c r="E188" s="528">
        <f>IF(PMDVERNON401[[#This Row],[2024]]="","",DONNÉES!CV257)</f>
        <v/>
      </c>
      <c r="F188" s="526">
        <f>IF(PMDVERNON401[[#This Row],[2024]]="","",DONNÉES!CU225)</f>
        <v/>
      </c>
      <c r="G188" s="527">
        <f>IF(PMDVERNON401[[#This Row],[2024]]="","",DONNÉES!CV225)</f>
        <v/>
      </c>
      <c r="H188" s="526">
        <f>IF(PMDVERNON401[[#This Row],[2024]]="","",DONNÉES!CU273)</f>
        <v/>
      </c>
      <c r="I188" s="526">
        <f>IF(PMDVERNON401[[#This Row],[2024]]="","",DONNÉES!CV273)</f>
        <v/>
      </c>
      <c r="J188" s="474" t="n"/>
      <c r="K188" s="526">
        <f>IF(PMDVERNON401[[#This Row],[2024]]="","",DONNÉES!CU241)</f>
        <v/>
      </c>
      <c r="L188" s="527">
        <f>IF(PMDVERNON401[[#This Row],[2024]]="","",DONNÉES!CV241)</f>
        <v/>
      </c>
      <c r="M188" s="526">
        <f>IF(PMDVERNON401[[#This Row],[2024]]="","",DONNÉES!CU289)</f>
        <v/>
      </c>
      <c r="N188" s="526">
        <f>IF(PMDVERNON401[[#This Row],[2024]]="","",DONNÉES!CV289)</f>
        <v/>
      </c>
    </row>
    <row r="189" ht="10.15" customHeight="1" s="161">
      <c r="A189" s="490" t="inlineStr">
        <is>
          <t>Juillet</t>
        </is>
      </c>
      <c r="B189" s="526">
        <f>IF(DONNÉES!CU210="","",DONNÉES!CU210)</f>
        <v/>
      </c>
      <c r="C189" s="527">
        <f>IF(PMDVERNON401[[#This Row],[2024]]="","",DONNÉES!CV210)</f>
        <v/>
      </c>
      <c r="D189" s="526">
        <f>IF(PMDVERNON401[[#This Row],[2024]]="","",DONNÉES!CU258)</f>
        <v/>
      </c>
      <c r="E189" s="528">
        <f>IF(PMDVERNON401[[#This Row],[2024]]="","",DONNÉES!CV258)</f>
        <v/>
      </c>
      <c r="F189" s="526">
        <f>IF(PMDVERNON401[[#This Row],[2024]]="","",DONNÉES!CU226)</f>
        <v/>
      </c>
      <c r="G189" s="527">
        <f>IF(PMDVERNON401[[#This Row],[2024]]="","",DONNÉES!CV226)</f>
        <v/>
      </c>
      <c r="H189" s="526">
        <f>IF(PMDVERNON401[[#This Row],[2024]]="","",DONNÉES!CU274)</f>
        <v/>
      </c>
      <c r="I189" s="526">
        <f>IF(PMDVERNON401[[#This Row],[2024]]="","",DONNÉES!CV274)</f>
        <v/>
      </c>
      <c r="J189" s="474" t="n"/>
      <c r="K189" s="526">
        <f>IF(PMDVERNON401[[#This Row],[2024]]="","",DONNÉES!CU242)</f>
        <v/>
      </c>
      <c r="L189" s="527">
        <f>IF(PMDVERNON401[[#This Row],[2024]]="","",DONNÉES!CV242)</f>
        <v/>
      </c>
      <c r="M189" s="526">
        <f>IF(PMDVERNON401[[#This Row],[2024]]="","",DONNÉES!CU290)</f>
        <v/>
      </c>
      <c r="N189" s="526">
        <f>IF(PMDVERNON401[[#This Row],[2024]]="","",DONNÉES!CV290)</f>
        <v/>
      </c>
    </row>
    <row r="190" ht="10.15" customHeight="1" s="161">
      <c r="A190" s="494" t="inlineStr">
        <is>
          <t>Août</t>
        </is>
      </c>
      <c r="B190" s="526">
        <f>IF(DONNÉES!CU211="","",DONNÉES!CU211)</f>
        <v/>
      </c>
      <c r="C190" s="527">
        <f>IF(PMDVERNON401[[#This Row],[2024]]="","",DONNÉES!CV211)</f>
        <v/>
      </c>
      <c r="D190" s="526">
        <f>IF(PMDVERNON401[[#This Row],[2024]]="","",DONNÉES!CU259)</f>
        <v/>
      </c>
      <c r="E190" s="528">
        <f>IF(PMDVERNON401[[#This Row],[2024]]="","",DONNÉES!CV259)</f>
        <v/>
      </c>
      <c r="F190" s="526">
        <f>IF(PMDVERNON401[[#This Row],[2024]]="","",DONNÉES!CU227)</f>
        <v/>
      </c>
      <c r="G190" s="527">
        <f>IF(PMDVERNON401[[#This Row],[2024]]="","",DONNÉES!CV227)</f>
        <v/>
      </c>
      <c r="H190" s="526">
        <f>IF(PMDVERNON401[[#This Row],[2024]]="","",DONNÉES!CU275)</f>
        <v/>
      </c>
      <c r="I190" s="526">
        <f>IF(PMDVERNON401[[#This Row],[2024]]="","",DONNÉES!CV275)</f>
        <v/>
      </c>
      <c r="J190" s="474" t="n"/>
      <c r="K190" s="526">
        <f>IF(PMDVERNON401[[#This Row],[2024]]="","",DONNÉES!CU243)</f>
        <v/>
      </c>
      <c r="L190" s="527">
        <f>IF(PMDVERNON401[[#This Row],[2024]]="","",DONNÉES!CV243)</f>
        <v/>
      </c>
      <c r="M190" s="526">
        <f>IF(PMDVERNON401[[#This Row],[2024]]="","",DONNÉES!CU291)</f>
        <v/>
      </c>
      <c r="N190" s="526">
        <f>IF(PMDVERNON401[[#This Row],[2024]]="","",DONNÉES!CV291)</f>
        <v/>
      </c>
    </row>
    <row r="191" ht="10.15" customHeight="1" s="161">
      <c r="A191" s="490" t="inlineStr">
        <is>
          <t>Septembre</t>
        </is>
      </c>
      <c r="B191" s="526">
        <f>IF(DONNÉES!CU212="","",DONNÉES!CU212)</f>
        <v/>
      </c>
      <c r="C191" s="527">
        <f>IF(PMDVERNON401[[#This Row],[2024]]="","",DONNÉES!CV212)</f>
        <v/>
      </c>
      <c r="D191" s="526">
        <f>IF(PMDVERNON401[[#This Row],[2024]]="","",DONNÉES!CU260)</f>
        <v/>
      </c>
      <c r="E191" s="528">
        <f>IF(PMDVERNON401[[#This Row],[2024]]="","",DONNÉES!CV260)</f>
        <v/>
      </c>
      <c r="F191" s="526">
        <f>IF(PMDVERNON401[[#This Row],[2024]]="","",DONNÉES!CU228)</f>
        <v/>
      </c>
      <c r="G191" s="527">
        <f>IF(PMDVERNON401[[#This Row],[2024]]="","",DONNÉES!CV228)</f>
        <v/>
      </c>
      <c r="H191" s="526">
        <f>IF(PMDVERNON401[[#This Row],[2024]]="","",DONNÉES!CU276)</f>
        <v/>
      </c>
      <c r="I191" s="526">
        <f>IF(PMDVERNON401[[#This Row],[2024]]="","",DONNÉES!CV276)</f>
        <v/>
      </c>
      <c r="J191" s="475" t="n"/>
      <c r="K191" s="526">
        <f>IF(PMDVERNON401[[#This Row],[2024]]="","",DONNÉES!CU244)</f>
        <v/>
      </c>
      <c r="L191" s="527">
        <f>IF(PMDVERNON401[[#This Row],[2024]]="","",DONNÉES!CV244)</f>
        <v/>
      </c>
      <c r="M191" s="526">
        <f>IF(PMDVERNON401[[#This Row],[2024]]="","",DONNÉES!CU292)</f>
        <v/>
      </c>
      <c r="N191" s="526">
        <f>IF(PMDVERNON401[[#This Row],[2024]]="","",DONNÉES!CV292)</f>
        <v/>
      </c>
    </row>
    <row r="192" ht="10.15" customHeight="1" s="161">
      <c r="A192" s="494" t="inlineStr">
        <is>
          <t>Octobre</t>
        </is>
      </c>
      <c r="B192" s="526">
        <f>IF(DONNÉES!CU213="","",DONNÉES!CU213)</f>
        <v/>
      </c>
      <c r="C192" s="527">
        <f>IF(PMDVERNON401[[#This Row],[2024]]="","",DONNÉES!CV213)</f>
        <v/>
      </c>
      <c r="D192" s="526">
        <f>IF(PMDVERNON401[[#This Row],[2024]]="","",DONNÉES!CU261)</f>
        <v/>
      </c>
      <c r="E192" s="528">
        <f>IF(PMDVERNON401[[#This Row],[2024]]="","",DONNÉES!CV261)</f>
        <v/>
      </c>
      <c r="F192" s="526">
        <f>IF(PMDVERNON401[[#This Row],[2024]]="","",DONNÉES!CU229)</f>
        <v/>
      </c>
      <c r="G192" s="527">
        <f>IF(PMDVERNON401[[#This Row],[2024]]="","",DONNÉES!CV229)</f>
        <v/>
      </c>
      <c r="H192" s="526">
        <f>IF(PMDVERNON401[[#This Row],[2024]]="","",DONNÉES!CU277)</f>
        <v/>
      </c>
      <c r="I192" s="526">
        <f>IF(PMDVERNON401[[#This Row],[2024]]="","",DONNÉES!CV277)</f>
        <v/>
      </c>
      <c r="J192" s="474" t="n"/>
      <c r="K192" s="526">
        <f>IF(PMDVERNON401[[#This Row],[2024]]="","",DONNÉES!CU245)</f>
        <v/>
      </c>
      <c r="L192" s="527">
        <f>IF(PMDVERNON401[[#This Row],[2024]]="","",DONNÉES!CV245)</f>
        <v/>
      </c>
      <c r="M192" s="526">
        <f>IF(PMDVERNON401[[#This Row],[2024]]="","",DONNÉES!CU293)</f>
        <v/>
      </c>
      <c r="N192" s="526">
        <f>IF(PMDVERNON401[[#This Row],[2024]]="","",DONNÉES!CV293)</f>
        <v/>
      </c>
    </row>
    <row r="193" ht="10.15" customFormat="1" customHeight="1" s="476">
      <c r="A193" s="490" t="inlineStr">
        <is>
          <t>Novembre</t>
        </is>
      </c>
      <c r="B193" s="526">
        <f>IF(DONNÉES!CU214="","",DONNÉES!CU214)</f>
        <v/>
      </c>
      <c r="C193" s="527">
        <f>IF(PMDVERNON401[[#This Row],[2024]]="","",DONNÉES!CV214)</f>
        <v/>
      </c>
      <c r="D193" s="526">
        <f>IF(PMDVERNON401[[#This Row],[2024]]="","",DONNÉES!CU262)</f>
        <v/>
      </c>
      <c r="E193" s="528">
        <f>IF(PMDVERNON401[[#This Row],[2024]]="","",DONNÉES!CV262)</f>
        <v/>
      </c>
      <c r="F193" s="526">
        <f>IF(PMDVERNON401[[#This Row],[2024]]="","",DONNÉES!CU230)</f>
        <v/>
      </c>
      <c r="G193" s="527">
        <f>IF(PMDVERNON401[[#This Row],[2024]]="","",DONNÉES!CV230)</f>
        <v/>
      </c>
      <c r="H193" s="526">
        <f>IF(PMDVERNON401[[#This Row],[2024]]="","",DONNÉES!CU278)</f>
        <v/>
      </c>
      <c r="I193" s="526">
        <f>IF(PMDVERNON401[[#This Row],[2024]]="","",DONNÉES!CV278)</f>
        <v/>
      </c>
      <c r="K193" s="526">
        <f>IF(PMDVERNON401[[#This Row],[2024]]="","",DONNÉES!CU246)</f>
        <v/>
      </c>
      <c r="L193" s="527">
        <f>IF(PMDVERNON401[[#This Row],[2024]]="","",DONNÉES!CV246)</f>
        <v/>
      </c>
      <c r="M193" s="526">
        <f>IF(PMDVERNON401[[#This Row],[2024]]="","",DONNÉES!CU294)</f>
        <v/>
      </c>
      <c r="N193" s="526">
        <f>IF(PMDVERNON401[[#This Row],[2024]]="","",DONNÉES!CV294)</f>
        <v/>
      </c>
    </row>
    <row r="194" ht="10.15" customFormat="1" customHeight="1" s="476">
      <c r="A194" s="490" t="inlineStr">
        <is>
          <t>Décembre</t>
        </is>
      </c>
      <c r="B194" s="526">
        <f>IF(DONNÉES!CU215="","",DONNÉES!CU215)</f>
        <v/>
      </c>
      <c r="C194" s="527">
        <f>IF(PMDVERNON401[[#This Row],[2024]]="","",DONNÉES!CV215)</f>
        <v/>
      </c>
      <c r="D194" s="526">
        <f>IF(PMDVERNON401[[#This Row],[2024]]="","",DONNÉES!CU263)</f>
        <v/>
      </c>
      <c r="E194" s="528">
        <f>IF(PMDVERNON401[[#This Row],[2024]]="","",DONNÉES!CV263)</f>
        <v/>
      </c>
      <c r="F194" s="526">
        <f>IF(PMDVERNON401[[#This Row],[2024]]="","",DONNÉES!CU231)</f>
        <v/>
      </c>
      <c r="G194" s="527">
        <f>IF(PMDVERNON401[[#This Row],[2024]]="","",DONNÉES!CV231)</f>
        <v/>
      </c>
      <c r="H194" s="526">
        <f>IF(PMDVERNON401[[#This Row],[2024]]="","",DONNÉES!CU279)</f>
        <v/>
      </c>
      <c r="I194" s="526">
        <f>IF(PMDVERNON401[[#This Row],[2024]]="","",DONNÉES!CV279)</f>
        <v/>
      </c>
      <c r="K194" s="526">
        <f>IF(PMDVERNON401[[#This Row],[2024]]="","",DONNÉES!CU247)</f>
        <v/>
      </c>
      <c r="L194" s="527">
        <f>IF(PMDVERNON401[[#This Row],[2024]]="","",DONNÉES!CV247)</f>
        <v/>
      </c>
      <c r="M194" s="526">
        <f>IF(PMDVERNON401[[#This Row],[2024]]="","",DONNÉES!CU295)</f>
        <v/>
      </c>
      <c r="N194" s="526">
        <f>IF(PMDVERNON401[[#This Row],[2024]]="","",DONNÉES!CV295)</f>
        <v/>
      </c>
    </row>
    <row r="195" ht="11.65" customFormat="1" customHeight="1" s="476">
      <c r="A195" s="532" t="inlineStr">
        <is>
          <t xml:space="preserve"> TOTAL </t>
        </is>
      </c>
      <c r="B195" s="533">
        <f>SUBTOTAL(101,PMDVERNON401[2024])</f>
        <v/>
      </c>
      <c r="C195" s="534">
        <f>SUBTOTAL(101,PMDVERNON401[2023])</f>
        <v/>
      </c>
      <c r="D195" s="534">
        <f>SUBTOTAL(101,PMDVERNON401[2024 cumul])</f>
        <v/>
      </c>
      <c r="E195" s="535">
        <f>SUBTOTAL(101,PMDVERNON401[2023 cumul])</f>
        <v/>
      </c>
      <c r="F195" s="536">
        <f>SUBTOTAL(101,PMDVERNON401[[2024  ]])</f>
        <v/>
      </c>
      <c r="G195" s="537">
        <f>SUBTOTAL(101,PMDVERNON401[[2023  ]])</f>
        <v/>
      </c>
      <c r="H195" s="533">
        <f>SUBTOTAL(101,PMDVERNON401[[2024 cumul ]])</f>
        <v/>
      </c>
      <c r="I195" s="533">
        <f>SUBTOTAL(101,PMDVERNON401[[2023 cumul ]])</f>
        <v/>
      </c>
      <c r="K195" s="533">
        <f>SUBTOTAL(101,PMDARTHUR[[2024  ]])</f>
        <v/>
      </c>
      <c r="L195" s="534">
        <f>SUBTOTAL(101,PMDARTHUR[[2023  ]])</f>
        <v/>
      </c>
      <c r="M195" s="534">
        <f>SUBTOTAL(101,PMDARTHUR[[2024 cumul ]])</f>
        <v/>
      </c>
      <c r="N195" s="533">
        <f>SUBTOTAL(101,PMDARTHUR[[2023 cumul ]])</f>
        <v/>
      </c>
    </row>
    <row r="196" ht="12" customHeight="1" s="161">
      <c r="H196" s="474" t="n"/>
    </row>
    <row r="197" ht="15" customHeight="1" s="161">
      <c r="A197" s="485" t="n"/>
      <c r="B197" s="486" t="inlineStr">
        <is>
          <t>Sur place</t>
        </is>
      </c>
      <c r="C197" s="487" t="n"/>
      <c r="D197" s="487" t="n"/>
      <c r="E197" s="488" t="n"/>
      <c r="F197" s="489" t="inlineStr">
        <is>
          <t>A emporter</t>
        </is>
      </c>
      <c r="G197" s="487" t="n"/>
      <c r="H197" s="487" t="n"/>
      <c r="I197" s="487" t="n"/>
      <c r="J197" s="508" t="n"/>
      <c r="K197" s="489" t="inlineStr">
        <is>
          <t>Total</t>
        </is>
      </c>
      <c r="L197" s="487" t="n"/>
      <c r="M197" s="487" t="n"/>
      <c r="N197" s="487" t="n"/>
    </row>
    <row r="198" ht="30" customHeight="1" s="161">
      <c r="A198" s="490" t="inlineStr">
        <is>
          <t>HUGO</t>
        </is>
      </c>
      <c r="B198" s="491" t="inlineStr">
        <is>
          <t>2024</t>
        </is>
      </c>
      <c r="C198" s="492" t="inlineStr">
        <is>
          <t>2023</t>
        </is>
      </c>
      <c r="D198" s="491" t="inlineStr">
        <is>
          <t>2024 cumul</t>
        </is>
      </c>
      <c r="E198" s="493" t="inlineStr">
        <is>
          <t>2023 cumul</t>
        </is>
      </c>
      <c r="F198" s="491" t="inlineStr">
        <is>
          <t xml:space="preserve">2024  </t>
        </is>
      </c>
      <c r="G198" s="492" t="inlineStr">
        <is>
          <t xml:space="preserve">2023  </t>
        </is>
      </c>
      <c r="H198" s="491" t="inlineStr">
        <is>
          <t xml:space="preserve">2024 cumul </t>
        </is>
      </c>
      <c r="I198" s="525" t="inlineStr">
        <is>
          <t xml:space="preserve">2023 cumul </t>
        </is>
      </c>
      <c r="J198" s="474" t="n"/>
      <c r="K198" s="491" t="inlineStr">
        <is>
          <t xml:space="preserve">2024  </t>
        </is>
      </c>
      <c r="L198" s="492" t="inlineStr">
        <is>
          <t xml:space="preserve">2023  </t>
        </is>
      </c>
      <c r="M198" s="491" t="inlineStr">
        <is>
          <t xml:space="preserve">2024 cumul </t>
        </is>
      </c>
      <c r="N198" s="493" t="inlineStr">
        <is>
          <t xml:space="preserve">2023 cumul </t>
        </is>
      </c>
    </row>
    <row r="199" ht="10.15" customFormat="1" customHeight="1" s="476">
      <c r="A199" s="494" t="inlineStr">
        <is>
          <t>Janvier</t>
        </is>
      </c>
      <c r="B199" s="526">
        <f>IF(DONNÉES!DC204="","",DONNÉES!DC204)</f>
        <v/>
      </c>
      <c r="C199" s="527">
        <f>IF(PMDVERNON401403[[#This Row],[2024]]="","",DONNÉES!DD204)</f>
        <v/>
      </c>
      <c r="D199" s="526">
        <f>IF(PMDVERNON401403[[#This Row],[2024]]="","",DONNÉES!DC252)</f>
        <v/>
      </c>
      <c r="E199" s="528">
        <f>IF(PMDVERNON401403[[#This Row],[2024]]="","",DONNÉES!DD252)</f>
        <v/>
      </c>
      <c r="F199" s="526">
        <f>IF(PMDVERNON401403[[#This Row],[2024]]="","",DONNÉES!DC220)</f>
        <v/>
      </c>
      <c r="G199" s="527">
        <f>IF(PMDVERNON401403[[#This Row],[2024]]="","",DONNÉES!DD220)</f>
        <v/>
      </c>
      <c r="H199" s="526">
        <f>IF(PMDVERNON401403[[#This Row],[2024]]="","",DONNÉES!DC268)</f>
        <v/>
      </c>
      <c r="I199" s="526">
        <f>IF(PMDVERNON401403[[#This Row],[2024]]="","",DONNÉES!DD268)</f>
        <v/>
      </c>
      <c r="K199" s="526">
        <f>IF(PMDVERNON401403[[#This Row],[2024]]="","",DONNÉES!DC236)</f>
        <v/>
      </c>
      <c r="L199" s="527">
        <f>IF(PMDVERNON401403[[#This Row],[2024]]="","",DONNÉES!DD236)</f>
        <v/>
      </c>
      <c r="M199" s="526">
        <f>IF(PMDVERNON401403[[#This Row],[2024]]="","",DONNÉES!DC284)</f>
        <v/>
      </c>
      <c r="N199" s="526">
        <f>IF(PMDVERNON401403[[#This Row],[2024]]="","",DONNÉES!DD284)</f>
        <v/>
      </c>
    </row>
    <row r="200" ht="10.15" customFormat="1" customHeight="1" s="476">
      <c r="A200" s="494" t="inlineStr">
        <is>
          <t>Février</t>
        </is>
      </c>
      <c r="B200" s="526">
        <f>IF(DONNÉES!DC205="","",DONNÉES!DC205)</f>
        <v/>
      </c>
      <c r="C200" s="527">
        <f>IF(PMDVERNON401403[[#This Row],[2024]]="","",DONNÉES!DD205)</f>
        <v/>
      </c>
      <c r="D200" s="526">
        <f>IF(PMDVERNON401403[[#This Row],[2024]]="","",DONNÉES!DC253)</f>
        <v/>
      </c>
      <c r="E200" s="528">
        <f>IF(PMDVERNON401403[[#This Row],[2024]]="","",DONNÉES!DD253)</f>
        <v/>
      </c>
      <c r="F200" s="526">
        <f>IF(PMDVERNON401403[[#This Row],[2024]]="","",DONNÉES!DC221)</f>
        <v/>
      </c>
      <c r="G200" s="527">
        <f>IF(PMDVERNON401403[[#This Row],[2024]]="","",DONNÉES!DD221)</f>
        <v/>
      </c>
      <c r="H200" s="526">
        <f>IF(PMDVERNON401403[[#This Row],[2024]]="","",DONNÉES!DC269)</f>
        <v/>
      </c>
      <c r="I200" s="526">
        <f>IF(PMDVERNON401403[[#This Row],[2024]]="","",DONNÉES!DD269)</f>
        <v/>
      </c>
      <c r="K200" s="526">
        <f>IF(PMDVERNON401403[[#This Row],[2024]]="","",DONNÉES!DC237)</f>
        <v/>
      </c>
      <c r="L200" s="527">
        <f>IF(PMDVERNON401403[[#This Row],[2024]]="","",DONNÉES!DD237)</f>
        <v/>
      </c>
      <c r="M200" s="526">
        <f>IF(PMDVERNON401403[[#This Row],[2024]]="","",DONNÉES!DC285)</f>
        <v/>
      </c>
      <c r="N200" s="526">
        <f>IF(PMDVERNON401403[[#This Row],[2024]]="","",DONNÉES!DD285)</f>
        <v/>
      </c>
    </row>
    <row r="201" ht="10.15" customFormat="1" customHeight="1" s="476">
      <c r="A201" s="490" t="inlineStr">
        <is>
          <t>Mars</t>
        </is>
      </c>
      <c r="B201" s="526">
        <f>IF(DONNÉES!DC206="","",DONNÉES!DC206)</f>
        <v/>
      </c>
      <c r="C201" s="527">
        <f>IF(PMDVERNON401403[[#This Row],[2024]]="","",DONNÉES!DD206)</f>
        <v/>
      </c>
      <c r="D201" s="526">
        <f>IF(PMDVERNON401403[[#This Row],[2024]]="","",DONNÉES!DC254)</f>
        <v/>
      </c>
      <c r="E201" s="528">
        <f>IF(PMDVERNON401403[[#This Row],[2024]]="","",DONNÉES!DD254)</f>
        <v/>
      </c>
      <c r="F201" s="526">
        <f>IF(PMDVERNON401403[[#This Row],[2024]]="","",DONNÉES!DC222)</f>
        <v/>
      </c>
      <c r="G201" s="527">
        <f>IF(PMDVERNON401403[[#This Row],[2024]]="","",DONNÉES!DD222)</f>
        <v/>
      </c>
      <c r="H201" s="526">
        <f>IF(PMDVERNON401403[[#This Row],[2024]]="","",DONNÉES!DC270)</f>
        <v/>
      </c>
      <c r="I201" s="526">
        <f>IF(PMDVERNON401403[[#This Row],[2024]]="","",DONNÉES!DD270)</f>
        <v/>
      </c>
      <c r="K201" s="526">
        <f>IF(PMDVERNON401403[[#This Row],[2024]]="","",DONNÉES!DC238)</f>
        <v/>
      </c>
      <c r="L201" s="527">
        <f>IF(PMDVERNON401403[[#This Row],[2024]]="","",DONNÉES!DD238)</f>
        <v/>
      </c>
      <c r="M201" s="526">
        <f>IF(PMDVERNON401403[[#This Row],[2024]]="","",DONNÉES!DC286)</f>
        <v/>
      </c>
      <c r="N201" s="526">
        <f>IF(PMDVERNON401403[[#This Row],[2024]]="","",DONNÉES!DD286)</f>
        <v/>
      </c>
    </row>
    <row r="202" ht="10.15" customHeight="1" s="161">
      <c r="A202" s="494" t="inlineStr">
        <is>
          <t>Avril</t>
        </is>
      </c>
      <c r="B202" s="526">
        <f>IF(DONNÉES!DC207="","",DONNÉES!DC207)</f>
        <v/>
      </c>
      <c r="C202" s="527">
        <f>IF(PMDVERNON401403[[#This Row],[2024]]="","",DONNÉES!DD207)</f>
        <v/>
      </c>
      <c r="D202" s="526">
        <f>IF(PMDVERNON401403[[#This Row],[2024]]="","",DONNÉES!DC255)</f>
        <v/>
      </c>
      <c r="E202" s="528">
        <f>IF(PMDVERNON401403[[#This Row],[2024]]="","",DONNÉES!DD255)</f>
        <v/>
      </c>
      <c r="F202" s="526">
        <f>IF(PMDVERNON401403[[#This Row],[2024]]="","",DONNÉES!DC223)</f>
        <v/>
      </c>
      <c r="G202" s="527">
        <f>IF(PMDVERNON401403[[#This Row],[2024]]="","",DONNÉES!DD223)</f>
        <v/>
      </c>
      <c r="H202" s="526">
        <f>IF(PMDVERNON401403[[#This Row],[2024]]="","",DONNÉES!DC271)</f>
        <v/>
      </c>
      <c r="I202" s="526">
        <f>IF(PMDVERNON401403[[#This Row],[2024]]="","",DONNÉES!DD271)</f>
        <v/>
      </c>
      <c r="J202" s="474" t="n"/>
      <c r="K202" s="526">
        <f>IF(PMDVERNON401403[[#This Row],[2024]]="","",DONNÉES!DC239)</f>
        <v/>
      </c>
      <c r="L202" s="527">
        <f>IF(PMDVERNON401403[[#This Row],[2024]]="","",DONNÉES!DD239)</f>
        <v/>
      </c>
      <c r="M202" s="526">
        <f>IF(PMDVERNON401403[[#This Row],[2024]]="","",DONNÉES!DC287)</f>
        <v/>
      </c>
      <c r="N202" s="526">
        <f>IF(PMDVERNON401403[[#This Row],[2024]]="","",DONNÉES!DD287)</f>
        <v/>
      </c>
    </row>
    <row r="203" ht="10.15" customHeight="1" s="161">
      <c r="A203" s="490" t="inlineStr">
        <is>
          <t>Mai</t>
        </is>
      </c>
      <c r="B203" s="526">
        <f>IF(DONNÉES!DC208="","",DONNÉES!DC208)</f>
        <v/>
      </c>
      <c r="C203" s="527">
        <f>IF(PMDVERNON401403[[#This Row],[2024]]="","",DONNÉES!DD208)</f>
        <v/>
      </c>
      <c r="D203" s="526">
        <f>IF(PMDVERNON401403[[#This Row],[2024]]="","",DONNÉES!DC256)</f>
        <v/>
      </c>
      <c r="E203" s="528">
        <f>IF(PMDVERNON401403[[#This Row],[2024]]="","",DONNÉES!DD256)</f>
        <v/>
      </c>
      <c r="F203" s="526">
        <f>IF(PMDVERNON401403[[#This Row],[2024]]="","",DONNÉES!DC224)</f>
        <v/>
      </c>
      <c r="G203" s="527">
        <f>IF(PMDVERNON401403[[#This Row],[2024]]="","",DONNÉES!DD224)</f>
        <v/>
      </c>
      <c r="H203" s="526">
        <f>IF(PMDVERNON401403[[#This Row],[2024]]="","",DONNÉES!DC272)</f>
        <v/>
      </c>
      <c r="I203" s="526">
        <f>IF(PMDVERNON401403[[#This Row],[2024]]="","",DONNÉES!DD272)</f>
        <v/>
      </c>
      <c r="J203" s="474" t="n"/>
      <c r="K203" s="526">
        <f>IF(PMDVERNON401403[[#This Row],[2024]]="","",DONNÉES!DC240)</f>
        <v/>
      </c>
      <c r="L203" s="527">
        <f>IF(PMDVERNON401403[[#This Row],[2024]]="","",DONNÉES!DD240)</f>
        <v/>
      </c>
      <c r="M203" s="526">
        <f>IF(PMDVERNON401403[[#This Row],[2024]]="","",DONNÉES!DC288)</f>
        <v/>
      </c>
      <c r="N203" s="526">
        <f>IF(PMDVERNON401403[[#This Row],[2024]]="","",DONNÉES!DD288)</f>
        <v/>
      </c>
    </row>
    <row r="204" ht="10.15" customHeight="1" s="161">
      <c r="A204" s="494" t="inlineStr">
        <is>
          <t>Juin</t>
        </is>
      </c>
      <c r="B204" s="526">
        <f>IF(DONNÉES!DC209="","",DONNÉES!DC209)</f>
        <v/>
      </c>
      <c r="C204" s="527">
        <f>IF(PMDVERNON401403[[#This Row],[2024]]="","",DONNÉES!DD209)</f>
        <v/>
      </c>
      <c r="D204" s="526">
        <f>IF(PMDVERNON401403[[#This Row],[2024]]="","",DONNÉES!DC257)</f>
        <v/>
      </c>
      <c r="E204" s="528">
        <f>IF(PMDVERNON401403[[#This Row],[2024]]="","",DONNÉES!DD257)</f>
        <v/>
      </c>
      <c r="F204" s="526">
        <f>IF(PMDVERNON401403[[#This Row],[2024]]="","",DONNÉES!DC225)</f>
        <v/>
      </c>
      <c r="G204" s="527">
        <f>IF(PMDVERNON401403[[#This Row],[2024]]="","",DONNÉES!DD225)</f>
        <v/>
      </c>
      <c r="H204" s="526">
        <f>IF(PMDVERNON401403[[#This Row],[2024]]="","",DONNÉES!DC273)</f>
        <v/>
      </c>
      <c r="I204" s="526">
        <f>IF(PMDVERNON401403[[#This Row],[2024]]="","",DONNÉES!DD273)</f>
        <v/>
      </c>
      <c r="J204" s="474" t="n"/>
      <c r="K204" s="526">
        <f>IF(PMDVERNON401403[[#This Row],[2024]]="","",DONNÉES!DC241)</f>
        <v/>
      </c>
      <c r="L204" s="527">
        <f>IF(PMDVERNON401403[[#This Row],[2024]]="","",DONNÉES!DD241)</f>
        <v/>
      </c>
      <c r="M204" s="526">
        <f>IF(PMDVERNON401403[[#This Row],[2024]]="","",DONNÉES!DC289)</f>
        <v/>
      </c>
      <c r="N204" s="526">
        <f>IF(PMDVERNON401403[[#This Row],[2024]]="","",DONNÉES!DD289)</f>
        <v/>
      </c>
    </row>
    <row r="205" ht="10.15" customHeight="1" s="161">
      <c r="A205" s="490" t="inlineStr">
        <is>
          <t>Juillet</t>
        </is>
      </c>
      <c r="B205" s="526">
        <f>IF(DONNÉES!DC210="","",DONNÉES!DC210)</f>
        <v/>
      </c>
      <c r="C205" s="527">
        <f>IF(PMDVERNON401403[[#This Row],[2024]]="","",DONNÉES!DD210)</f>
        <v/>
      </c>
      <c r="D205" s="526">
        <f>IF(PMDVERNON401403[[#This Row],[2024]]="","",DONNÉES!DC258)</f>
        <v/>
      </c>
      <c r="E205" s="528">
        <f>IF(PMDVERNON401403[[#This Row],[2024]]="","",DONNÉES!DD258)</f>
        <v/>
      </c>
      <c r="F205" s="526">
        <f>IF(PMDVERNON401403[[#This Row],[2024]]="","",DONNÉES!DC226)</f>
        <v/>
      </c>
      <c r="G205" s="527">
        <f>IF(PMDVERNON401403[[#This Row],[2024]]="","",DONNÉES!DD226)</f>
        <v/>
      </c>
      <c r="H205" s="526">
        <f>IF(PMDVERNON401403[[#This Row],[2024]]="","",DONNÉES!DC274)</f>
        <v/>
      </c>
      <c r="I205" s="526">
        <f>IF(PMDVERNON401403[[#This Row],[2024]]="","",DONNÉES!DD274)</f>
        <v/>
      </c>
      <c r="J205" s="474" t="n"/>
      <c r="K205" s="526">
        <f>IF(PMDVERNON401403[[#This Row],[2024]]="","",DONNÉES!DC242)</f>
        <v/>
      </c>
      <c r="L205" s="527">
        <f>IF(PMDVERNON401403[[#This Row],[2024]]="","",DONNÉES!DD242)</f>
        <v/>
      </c>
      <c r="M205" s="526">
        <f>IF(PMDVERNON401403[[#This Row],[2024]]="","",DONNÉES!DC290)</f>
        <v/>
      </c>
      <c r="N205" s="526">
        <f>IF(PMDVERNON401403[[#This Row],[2024]]="","",DONNÉES!DD290)</f>
        <v/>
      </c>
    </row>
    <row r="206" ht="10.15" customHeight="1" s="161">
      <c r="A206" s="494" t="inlineStr">
        <is>
          <t>Août</t>
        </is>
      </c>
      <c r="B206" s="526">
        <f>IF(DONNÉES!DC211="","",DONNÉES!DC211)</f>
        <v/>
      </c>
      <c r="C206" s="527">
        <f>IF(PMDVERNON401403[[#This Row],[2024]]="","",DONNÉES!DD211)</f>
        <v/>
      </c>
      <c r="D206" s="526">
        <f>IF(PMDVERNON401403[[#This Row],[2024]]="","",DONNÉES!DC259)</f>
        <v/>
      </c>
      <c r="E206" s="528">
        <f>IF(PMDVERNON401403[[#This Row],[2024]]="","",DONNÉES!DD259)</f>
        <v/>
      </c>
      <c r="F206" s="526">
        <f>IF(PMDVERNON401403[[#This Row],[2024]]="","",DONNÉES!DC227)</f>
        <v/>
      </c>
      <c r="G206" s="527">
        <f>IF(PMDVERNON401403[[#This Row],[2024]]="","",DONNÉES!DD227)</f>
        <v/>
      </c>
      <c r="H206" s="526">
        <f>IF(PMDVERNON401403[[#This Row],[2024]]="","",DONNÉES!DC275)</f>
        <v/>
      </c>
      <c r="I206" s="526">
        <f>IF(PMDVERNON401403[[#This Row],[2024]]="","",DONNÉES!DD275)</f>
        <v/>
      </c>
      <c r="J206" s="474" t="n"/>
      <c r="K206" s="526">
        <f>IF(PMDVERNON401403[[#This Row],[2024]]="","",DONNÉES!DC243)</f>
        <v/>
      </c>
      <c r="L206" s="527">
        <f>IF(PMDVERNON401403[[#This Row],[2024]]="","",DONNÉES!DD243)</f>
        <v/>
      </c>
      <c r="M206" s="526">
        <f>IF(PMDVERNON401403[[#This Row],[2024]]="","",DONNÉES!DC291)</f>
        <v/>
      </c>
      <c r="N206" s="526">
        <f>IF(PMDVERNON401403[[#This Row],[2024]]="","",DONNÉES!DD291)</f>
        <v/>
      </c>
    </row>
    <row r="207" ht="10.15" customHeight="1" s="161">
      <c r="A207" s="490" t="inlineStr">
        <is>
          <t>Septembre</t>
        </is>
      </c>
      <c r="B207" s="526">
        <f>IF(DONNÉES!DC212="","",DONNÉES!DC212)</f>
        <v/>
      </c>
      <c r="C207" s="527">
        <f>IF(PMDVERNON401403[[#This Row],[2024]]="","",DONNÉES!DD212)</f>
        <v/>
      </c>
      <c r="D207" s="526">
        <f>IF(PMDVERNON401403[[#This Row],[2024]]="","",DONNÉES!DC260)</f>
        <v/>
      </c>
      <c r="E207" s="528">
        <f>IF(PMDVERNON401403[[#This Row],[2024]]="","",DONNÉES!DD260)</f>
        <v/>
      </c>
      <c r="F207" s="526">
        <f>IF(PMDVERNON401403[[#This Row],[2024]]="","",DONNÉES!DC228)</f>
        <v/>
      </c>
      <c r="G207" s="527">
        <f>IF(PMDVERNON401403[[#This Row],[2024]]="","",DONNÉES!DD228)</f>
        <v/>
      </c>
      <c r="H207" s="526">
        <f>IF(PMDVERNON401403[[#This Row],[2024]]="","",DONNÉES!DC276)</f>
        <v/>
      </c>
      <c r="I207" s="526">
        <f>IF(PMDVERNON401403[[#This Row],[2024]]="","",DONNÉES!DD276)</f>
        <v/>
      </c>
      <c r="J207" s="475" t="n"/>
      <c r="K207" s="526">
        <f>IF(PMDVERNON401403[[#This Row],[2024]]="","",DONNÉES!DC244)</f>
        <v/>
      </c>
      <c r="L207" s="527">
        <f>IF(PMDVERNON401403[[#This Row],[2024]]="","",DONNÉES!DD244)</f>
        <v/>
      </c>
      <c r="M207" s="526">
        <f>IF(PMDVERNON401403[[#This Row],[2024]]="","",DONNÉES!DC292)</f>
        <v/>
      </c>
      <c r="N207" s="526">
        <f>IF(PMDVERNON401403[[#This Row],[2024]]="","",DONNÉES!DD292)</f>
        <v/>
      </c>
    </row>
    <row r="208" ht="10.15" customHeight="1" s="161">
      <c r="A208" s="494" t="inlineStr">
        <is>
          <t>Octobre</t>
        </is>
      </c>
      <c r="B208" s="526">
        <f>IF(DONNÉES!DC213="","",DONNÉES!DC213)</f>
        <v/>
      </c>
      <c r="C208" s="527">
        <f>IF(PMDVERNON401403[[#This Row],[2024]]="","",DONNÉES!DD213)</f>
        <v/>
      </c>
      <c r="D208" s="526">
        <f>IF(PMDVERNON401403[[#This Row],[2024]]="","",DONNÉES!DC261)</f>
        <v/>
      </c>
      <c r="E208" s="528">
        <f>IF(PMDVERNON401403[[#This Row],[2024]]="","",DONNÉES!DD261)</f>
        <v/>
      </c>
      <c r="F208" s="526">
        <f>IF(PMDVERNON401403[[#This Row],[2024]]="","",DONNÉES!DC229)</f>
        <v/>
      </c>
      <c r="G208" s="527">
        <f>IF(PMDVERNON401403[[#This Row],[2024]]="","",DONNÉES!DD229)</f>
        <v/>
      </c>
      <c r="H208" s="526">
        <f>IF(PMDVERNON401403[[#This Row],[2024]]="","",DONNÉES!DC277)</f>
        <v/>
      </c>
      <c r="I208" s="526">
        <f>IF(PMDVERNON401403[[#This Row],[2024]]="","",DONNÉES!DD277)</f>
        <v/>
      </c>
      <c r="J208" s="474" t="n"/>
      <c r="K208" s="526">
        <f>IF(PMDVERNON401403[[#This Row],[2024]]="","",DONNÉES!DC245)</f>
        <v/>
      </c>
      <c r="L208" s="527">
        <f>IF(PMDVERNON401403[[#This Row],[2024]]="","",DONNÉES!DD245)</f>
        <v/>
      </c>
      <c r="M208" s="526">
        <f>IF(PMDVERNON401403[[#This Row],[2024]]="","",DONNÉES!DC293)</f>
        <v/>
      </c>
      <c r="N208" s="526">
        <f>IF(PMDVERNON401403[[#This Row],[2024]]="","",DONNÉES!DD293)</f>
        <v/>
      </c>
    </row>
    <row r="209" ht="10.15" customFormat="1" customHeight="1" s="476">
      <c r="A209" s="490" t="inlineStr">
        <is>
          <t>Novembre</t>
        </is>
      </c>
      <c r="B209" s="526">
        <f>IF(DONNÉES!DC214="","",DONNÉES!DC214)</f>
        <v/>
      </c>
      <c r="C209" s="527">
        <f>IF(PMDVERNON401403[[#This Row],[2024]]="","",DONNÉES!DD214)</f>
        <v/>
      </c>
      <c r="D209" s="526">
        <f>IF(PMDVERNON401403[[#This Row],[2024]]="","",DONNÉES!DC262)</f>
        <v/>
      </c>
      <c r="E209" s="528">
        <f>IF(PMDVERNON401403[[#This Row],[2024]]="","",DONNÉES!DD262)</f>
        <v/>
      </c>
      <c r="F209" s="526">
        <f>IF(PMDVERNON401403[[#This Row],[2024]]="","",DONNÉES!DC230)</f>
        <v/>
      </c>
      <c r="G209" s="527">
        <f>IF(PMDVERNON401403[[#This Row],[2024]]="","",DONNÉES!DD230)</f>
        <v/>
      </c>
      <c r="H209" s="526">
        <f>IF(PMDVERNON401403[[#This Row],[2024]]="","",DONNÉES!DC278)</f>
        <v/>
      </c>
      <c r="I209" s="526">
        <f>IF(PMDVERNON401403[[#This Row],[2024]]="","",DONNÉES!DD278)</f>
        <v/>
      </c>
      <c r="K209" s="526">
        <f>IF(PMDVERNON401403[[#This Row],[2024]]="","",DONNÉES!DC246)</f>
        <v/>
      </c>
      <c r="L209" s="527">
        <f>IF(PMDVERNON401403[[#This Row],[2024]]="","",DONNÉES!DD246)</f>
        <v/>
      </c>
      <c r="M209" s="526">
        <f>IF(PMDVERNON401403[[#This Row],[2024]]="","",DONNÉES!DC294)</f>
        <v/>
      </c>
      <c r="N209" s="526">
        <f>IF(PMDVERNON401403[[#This Row],[2024]]="","",DONNÉES!DD294)</f>
        <v/>
      </c>
    </row>
    <row r="210" ht="10.15" customFormat="1" customHeight="1" s="476">
      <c r="A210" s="490" t="inlineStr">
        <is>
          <t>Décembre</t>
        </is>
      </c>
      <c r="B210" s="526">
        <f>IF(DONNÉES!DC215="","",DONNÉES!DC215)</f>
        <v/>
      </c>
      <c r="C210" s="527">
        <f>IF(PMDVERNON401403[[#This Row],[2024]]="","",DONNÉES!DD215)</f>
        <v/>
      </c>
      <c r="D210" s="526">
        <f>IF(PMDVERNON401403[[#This Row],[2024]]="","",DONNÉES!DC263)</f>
        <v/>
      </c>
      <c r="E210" s="528">
        <f>IF(PMDVERNON401403[[#This Row],[2024]]="","",DONNÉES!DD263)</f>
        <v/>
      </c>
      <c r="F210" s="526">
        <f>IF(PMDVERNON401403[[#This Row],[2024]]="","",DONNÉES!DC231)</f>
        <v/>
      </c>
      <c r="G210" s="527">
        <f>IF(PMDVERNON401403[[#This Row],[2024]]="","",DONNÉES!DD231)</f>
        <v/>
      </c>
      <c r="H210" s="526">
        <f>IF(PMDVERNON401403[[#This Row],[2024]]="","",DONNÉES!DC279)</f>
        <v/>
      </c>
      <c r="I210" s="526">
        <f>IF(PMDVERNON401403[[#This Row],[2024]]="","",DONNÉES!DD279)</f>
        <v/>
      </c>
      <c r="K210" s="526">
        <f>IF(PMDVERNON401403[[#This Row],[2024]]="","",DONNÉES!DC247)</f>
        <v/>
      </c>
      <c r="L210" s="527">
        <f>IF(PMDVERNON401403[[#This Row],[2024]]="","",DONNÉES!DD247)</f>
        <v/>
      </c>
      <c r="M210" s="526">
        <f>IF(PMDVERNON401403[[#This Row],[2024]]="","",DONNÉES!DC295)</f>
        <v/>
      </c>
      <c r="N210" s="526">
        <f>IF(PMDVERNON401403[[#This Row],[2024]]="","",DONNÉES!DD295)</f>
        <v/>
      </c>
    </row>
    <row r="211" ht="11.65" customFormat="1" customHeight="1" s="476">
      <c r="A211" s="532" t="inlineStr">
        <is>
          <t xml:space="preserve"> TOTAL </t>
        </is>
      </c>
      <c r="B211" s="533">
        <f>SUBTOTAL(101,PMDVERNON401403[2024])</f>
        <v/>
      </c>
      <c r="C211" s="534">
        <f>SUBTOTAL(101,PMDVERNON401403[2023])</f>
        <v/>
      </c>
      <c r="D211" s="534">
        <f>SUBTOTAL(101,PMDVERNON401403[2024 cumul])</f>
        <v/>
      </c>
      <c r="E211" s="535">
        <f>SUBTOTAL(101,PMDVERNON401403[2023 cumul])</f>
        <v/>
      </c>
      <c r="F211" s="536">
        <f>SUBTOTAL(101,PMDVERNON401403[[2024  ]])</f>
        <v/>
      </c>
      <c r="G211" s="537">
        <f>SUBTOTAL(101,PMDVERNON401403[[2023  ]])</f>
        <v/>
      </c>
      <c r="H211" s="533">
        <f>SUBTOTAL(101,PMDVERNON401403[[2024 cumul ]])</f>
        <v/>
      </c>
      <c r="I211" s="533">
        <f>SUBTOTAL(101,PMDVERNON401403[[2023 cumul ]])</f>
        <v/>
      </c>
      <c r="K211" s="533">
        <f>SUBTOTAL(101,PMDHUGO[[2024  ]])</f>
        <v/>
      </c>
      <c r="L211" s="534">
        <f>SUBTOTAL(101,PMDHUGO[[2023  ]])</f>
        <v/>
      </c>
      <c r="M211" s="534">
        <f>SUBTOTAL(101,PMDHUGO[[2024 cumul ]])</f>
        <v/>
      </c>
      <c r="N211" s="533">
        <f>SUBTOTAL(101,PMDHUGO[[2023 cumul ]])</f>
        <v/>
      </c>
    </row>
    <row r="212" ht="12" customHeight="1" s="161">
      <c r="H212" s="474" t="n"/>
    </row>
    <row r="213" ht="15" customHeight="1" s="161">
      <c r="A213" s="485" t="n"/>
      <c r="B213" s="486" t="inlineStr">
        <is>
          <t>Sur place</t>
        </is>
      </c>
      <c r="C213" s="487" t="n"/>
      <c r="D213" s="487" t="n"/>
      <c r="E213" s="488" t="n"/>
      <c r="F213" s="489" t="inlineStr">
        <is>
          <t>A emporter</t>
        </is>
      </c>
      <c r="G213" s="487" t="n"/>
      <c r="H213" s="487" t="n"/>
      <c r="I213" s="487" t="n"/>
      <c r="J213" s="508" t="n"/>
      <c r="K213" s="504" t="inlineStr">
        <is>
          <t>Total</t>
        </is>
      </c>
    </row>
    <row r="214" ht="30" customHeight="1" s="161">
      <c r="A214" s="490" t="inlineStr">
        <is>
          <t>JEANCLO</t>
        </is>
      </c>
      <c r="B214" s="491" t="inlineStr">
        <is>
          <t>2024</t>
        </is>
      </c>
      <c r="C214" s="492" t="inlineStr">
        <is>
          <t>2023</t>
        </is>
      </c>
      <c r="D214" s="491" t="inlineStr">
        <is>
          <t>2024 cumul</t>
        </is>
      </c>
      <c r="E214" s="493" t="inlineStr">
        <is>
          <t>2023 cumul</t>
        </is>
      </c>
      <c r="F214" s="491" t="inlineStr">
        <is>
          <t xml:space="preserve">2024  </t>
        </is>
      </c>
      <c r="G214" s="492" t="inlineStr">
        <is>
          <t xml:space="preserve">2023  </t>
        </is>
      </c>
      <c r="H214" s="491" t="inlineStr">
        <is>
          <t xml:space="preserve">2024 cumul </t>
        </is>
      </c>
      <c r="I214" s="525" t="inlineStr">
        <is>
          <t xml:space="preserve">2023 cumul </t>
        </is>
      </c>
      <c r="J214" s="474" t="n"/>
      <c r="K214" s="491" t="inlineStr">
        <is>
          <t xml:space="preserve">2024  </t>
        </is>
      </c>
      <c r="L214" s="492" t="inlineStr">
        <is>
          <t xml:space="preserve">2023  </t>
        </is>
      </c>
      <c r="M214" s="491" t="inlineStr">
        <is>
          <t xml:space="preserve">2024 cumul </t>
        </is>
      </c>
      <c r="N214" s="493" t="inlineStr">
        <is>
          <t xml:space="preserve">2023 cumul </t>
        </is>
      </c>
    </row>
    <row r="215" ht="10.15" customFormat="1" customHeight="1" s="476">
      <c r="A215" s="494" t="inlineStr">
        <is>
          <t>Janvier</t>
        </is>
      </c>
      <c r="B215" s="526">
        <f>IF(DONNÉES!DK204="","",DONNÉES!DK204)</f>
        <v/>
      </c>
      <c r="C215" s="527">
        <f>IF(PMDVERNON401403405[[#This Row],[2024]]="","",DONNÉES!DL204)</f>
        <v/>
      </c>
      <c r="D215" s="526">
        <f>IF(PMDVERNON401403405[[#This Row],[2024]]="","",DONNÉES!DK252)</f>
        <v/>
      </c>
      <c r="E215" s="528">
        <f>IF(PMDVERNON401403405[[#This Row],[2024]]="","",DONNÉES!DL252)</f>
        <v/>
      </c>
      <c r="F215" s="526">
        <f>IF(PMDVERNON401403405[[#This Row],[2024]]="","",DONNÉES!DK220)</f>
        <v/>
      </c>
      <c r="G215" s="527">
        <f>IF(PMDVERNON401403405[[#This Row],[2024]]="","",DONNÉES!DL220)</f>
        <v/>
      </c>
      <c r="H215" s="526">
        <f>IF(PMDVERNON401403405[[#This Row],[2024]]="","",DONNÉES!DK268)</f>
        <v/>
      </c>
      <c r="I215" s="526">
        <f>IF(PMDVERNON401403405[[#This Row],[2024]]="","",DONNÉES!DL268)</f>
        <v/>
      </c>
      <c r="K215" s="526">
        <f>IF(PMDVERNON401403405[[#This Row],[2024]]="","",DONNÉES!DK236)</f>
        <v/>
      </c>
      <c r="L215" s="527">
        <f>IF(PMDVERNON401403405[[#This Row],[2024]]="","",DONNÉES!DL236)</f>
        <v/>
      </c>
      <c r="M215" s="526">
        <f>IF(PMDVERNON401403405[[#This Row],[2024]]="","",DONNÉES!DK284)</f>
        <v/>
      </c>
      <c r="N215" s="526">
        <f>IF(PMDVERNON401403405[[#This Row],[2024]]="","",DONNÉES!DL284)</f>
        <v/>
      </c>
    </row>
    <row r="216" ht="10.15" customFormat="1" customHeight="1" s="476">
      <c r="A216" s="494" t="inlineStr">
        <is>
          <t>Février</t>
        </is>
      </c>
      <c r="B216" s="526">
        <f>IF(DONNÉES!DK205="","",DONNÉES!DK205)</f>
        <v/>
      </c>
      <c r="C216" s="527">
        <f>IF(PMDVERNON401403405[[#This Row],[2024]]="","",DONNÉES!DL205)</f>
        <v/>
      </c>
      <c r="D216" s="526">
        <f>IF(PMDVERNON401403405[[#This Row],[2024]]="","",DONNÉES!DK253)</f>
        <v/>
      </c>
      <c r="E216" s="528">
        <f>IF(PMDVERNON401403405[[#This Row],[2024]]="","",DONNÉES!DL253)</f>
        <v/>
      </c>
      <c r="F216" s="526">
        <f>IF(PMDVERNON401403405[[#This Row],[2024]]="","",DONNÉES!DK221)</f>
        <v/>
      </c>
      <c r="G216" s="527">
        <f>IF(PMDVERNON401403405[[#This Row],[2024]]="","",DONNÉES!DL221)</f>
        <v/>
      </c>
      <c r="H216" s="526">
        <f>IF(PMDVERNON401403405[[#This Row],[2024]]="","",DONNÉES!DK269)</f>
        <v/>
      </c>
      <c r="I216" s="526">
        <f>IF(PMDVERNON401403405[[#This Row],[2024]]="","",DONNÉES!DL269)</f>
        <v/>
      </c>
      <c r="K216" s="526">
        <f>IF(PMDVERNON401403405[[#This Row],[2024]]="","",DONNÉES!DK237)</f>
        <v/>
      </c>
      <c r="L216" s="527">
        <f>IF(PMDVERNON401403405[[#This Row],[2024]]="","",DONNÉES!DL237)</f>
        <v/>
      </c>
      <c r="M216" s="526">
        <f>IF(PMDVERNON401403405[[#This Row],[2024]]="","",DONNÉES!DK285)</f>
        <v/>
      </c>
      <c r="N216" s="526">
        <f>IF(PMDVERNON401403405[[#This Row],[2024]]="","",DONNÉES!DL285)</f>
        <v/>
      </c>
    </row>
    <row r="217" ht="10.15" customFormat="1" customHeight="1" s="476">
      <c r="A217" s="490" t="inlineStr">
        <is>
          <t>Mars</t>
        </is>
      </c>
      <c r="B217" s="526">
        <f>IF(DONNÉES!DK206="","",DONNÉES!DK206)</f>
        <v/>
      </c>
      <c r="C217" s="527">
        <f>IF(PMDVERNON401403405[[#This Row],[2024]]="","",DONNÉES!DL206)</f>
        <v/>
      </c>
      <c r="D217" s="526">
        <f>IF(PMDVERNON401403405[[#This Row],[2024]]="","",DONNÉES!DK254)</f>
        <v/>
      </c>
      <c r="E217" s="528">
        <f>IF(PMDVERNON401403405[[#This Row],[2024]]="","",DONNÉES!DL254)</f>
        <v/>
      </c>
      <c r="F217" s="526">
        <f>IF(PMDVERNON401403405[[#This Row],[2024]]="","",DONNÉES!DK222)</f>
        <v/>
      </c>
      <c r="G217" s="527">
        <f>IF(PMDVERNON401403405[[#This Row],[2024]]="","",DONNÉES!DL222)</f>
        <v/>
      </c>
      <c r="H217" s="526">
        <f>IF(PMDVERNON401403405[[#This Row],[2024]]="","",DONNÉES!DK270)</f>
        <v/>
      </c>
      <c r="I217" s="526">
        <f>IF(PMDVERNON401403405[[#This Row],[2024]]="","",DONNÉES!DL270)</f>
        <v/>
      </c>
      <c r="K217" s="526">
        <f>IF(PMDVERNON401403405[[#This Row],[2024]]="","",DONNÉES!DK238)</f>
        <v/>
      </c>
      <c r="L217" s="527">
        <f>IF(PMDVERNON401403405[[#This Row],[2024]]="","",DONNÉES!DL238)</f>
        <v/>
      </c>
      <c r="M217" s="526">
        <f>IF(PMDVERNON401403405[[#This Row],[2024]]="","",DONNÉES!DK286)</f>
        <v/>
      </c>
      <c r="N217" s="526">
        <f>IF(PMDVERNON401403405[[#This Row],[2024]]="","",DONNÉES!DL286)</f>
        <v/>
      </c>
    </row>
    <row r="218" ht="10.15" customHeight="1" s="161">
      <c r="A218" s="494" t="inlineStr">
        <is>
          <t>Avril</t>
        </is>
      </c>
      <c r="B218" s="526">
        <f>IF(DONNÉES!DK207="","",DONNÉES!DK207)</f>
        <v/>
      </c>
      <c r="C218" s="527">
        <f>IF(PMDVERNON401403405[[#This Row],[2024]]="","",DONNÉES!DL207)</f>
        <v/>
      </c>
      <c r="D218" s="526">
        <f>IF(PMDVERNON401403405[[#This Row],[2024]]="","",DONNÉES!DK255)</f>
        <v/>
      </c>
      <c r="E218" s="528">
        <f>IF(PMDVERNON401403405[[#This Row],[2024]]="","",DONNÉES!DL255)</f>
        <v/>
      </c>
      <c r="F218" s="526">
        <f>IF(PMDVERNON401403405[[#This Row],[2024]]="","",DONNÉES!DK223)</f>
        <v/>
      </c>
      <c r="G218" s="527">
        <f>IF(PMDVERNON401403405[[#This Row],[2024]]="","",DONNÉES!DL223)</f>
        <v/>
      </c>
      <c r="H218" s="526">
        <f>IF(PMDVERNON401403405[[#This Row],[2024]]="","",DONNÉES!DK271)</f>
        <v/>
      </c>
      <c r="I218" s="526">
        <f>IF(PMDVERNON401403405[[#This Row],[2024]]="","",DONNÉES!DL271)</f>
        <v/>
      </c>
      <c r="J218" s="474" t="n"/>
      <c r="K218" s="526">
        <f>IF(PMDVERNON401403405[[#This Row],[2024]]="","",DONNÉES!DK239)</f>
        <v/>
      </c>
      <c r="L218" s="527">
        <f>IF(PMDVERNON401403405[[#This Row],[2024]]="","",DONNÉES!DL239)</f>
        <v/>
      </c>
      <c r="M218" s="526">
        <f>IF(PMDVERNON401403405[[#This Row],[2024]]="","",DONNÉES!DK287)</f>
        <v/>
      </c>
      <c r="N218" s="526">
        <f>IF(PMDVERNON401403405[[#This Row],[2024]]="","",DONNÉES!DL287)</f>
        <v/>
      </c>
    </row>
    <row r="219" ht="10.15" customHeight="1" s="161">
      <c r="A219" s="490" t="inlineStr">
        <is>
          <t>Mai</t>
        </is>
      </c>
      <c r="B219" s="526">
        <f>IF(DONNÉES!DK208="","",DONNÉES!DK208)</f>
        <v/>
      </c>
      <c r="C219" s="527">
        <f>IF(PMDVERNON401403405[[#This Row],[2024]]="","",DONNÉES!DL208)</f>
        <v/>
      </c>
      <c r="D219" s="526">
        <f>IF(PMDVERNON401403405[[#This Row],[2024]]="","",DONNÉES!DK256)</f>
        <v/>
      </c>
      <c r="E219" s="528">
        <f>IF(PMDVERNON401403405[[#This Row],[2024]]="","",DONNÉES!DL256)</f>
        <v/>
      </c>
      <c r="F219" s="526">
        <f>IF(PMDVERNON401403405[[#This Row],[2024]]="","",DONNÉES!DK224)</f>
        <v/>
      </c>
      <c r="G219" s="527">
        <f>IF(PMDVERNON401403405[[#This Row],[2024]]="","",DONNÉES!DL224)</f>
        <v/>
      </c>
      <c r="H219" s="526">
        <f>IF(PMDVERNON401403405[[#This Row],[2024]]="","",DONNÉES!DK272)</f>
        <v/>
      </c>
      <c r="I219" s="526">
        <f>IF(PMDVERNON401403405[[#This Row],[2024]]="","",DONNÉES!DL272)</f>
        <v/>
      </c>
      <c r="J219" s="474" t="n"/>
      <c r="K219" s="526">
        <f>IF(PMDVERNON401403405[[#This Row],[2024]]="","",DONNÉES!DK240)</f>
        <v/>
      </c>
      <c r="L219" s="527">
        <f>IF(PMDVERNON401403405[[#This Row],[2024]]="","",DONNÉES!DL240)</f>
        <v/>
      </c>
      <c r="M219" s="526">
        <f>IF(PMDVERNON401403405[[#This Row],[2024]]="","",DONNÉES!DK288)</f>
        <v/>
      </c>
      <c r="N219" s="526">
        <f>IF(PMDVERNON401403405[[#This Row],[2024]]="","",DONNÉES!DL288)</f>
        <v/>
      </c>
    </row>
    <row r="220" ht="10.15" customHeight="1" s="161">
      <c r="A220" s="494" t="inlineStr">
        <is>
          <t>Juin</t>
        </is>
      </c>
      <c r="B220" s="526">
        <f>IF(DONNÉES!DK209="","",DONNÉES!DK209)</f>
        <v/>
      </c>
      <c r="C220" s="527">
        <f>IF(PMDVERNON401403405[[#This Row],[2024]]="","",DONNÉES!DL209)</f>
        <v/>
      </c>
      <c r="D220" s="526">
        <f>IF(PMDVERNON401403405[[#This Row],[2024]]="","",DONNÉES!DK257)</f>
        <v/>
      </c>
      <c r="E220" s="528">
        <f>IF(PMDVERNON401403405[[#This Row],[2024]]="","",DONNÉES!DL257)</f>
        <v/>
      </c>
      <c r="F220" s="526">
        <f>IF(PMDVERNON401403405[[#This Row],[2024]]="","",DONNÉES!DK225)</f>
        <v/>
      </c>
      <c r="G220" s="527">
        <f>IF(PMDVERNON401403405[[#This Row],[2024]]="","",DONNÉES!DL225)</f>
        <v/>
      </c>
      <c r="H220" s="526">
        <f>IF(PMDVERNON401403405[[#This Row],[2024]]="","",DONNÉES!DK273)</f>
        <v/>
      </c>
      <c r="I220" s="526">
        <f>IF(PMDVERNON401403405[[#This Row],[2024]]="","",DONNÉES!DL273)</f>
        <v/>
      </c>
      <c r="J220" s="474" t="n"/>
      <c r="K220" s="526">
        <f>IF(PMDVERNON401403405[[#This Row],[2024]]="","",DONNÉES!DK241)</f>
        <v/>
      </c>
      <c r="L220" s="527">
        <f>IF(PMDVERNON401403405[[#This Row],[2024]]="","",DONNÉES!DL241)</f>
        <v/>
      </c>
      <c r="M220" s="526">
        <f>IF(PMDVERNON401403405[[#This Row],[2024]]="","",DONNÉES!DK289)</f>
        <v/>
      </c>
      <c r="N220" s="526">
        <f>IF(PMDVERNON401403405[[#This Row],[2024]]="","",DONNÉES!DL289)</f>
        <v/>
      </c>
    </row>
    <row r="221" ht="10.15" customHeight="1" s="161">
      <c r="A221" s="490" t="inlineStr">
        <is>
          <t>Juillet</t>
        </is>
      </c>
      <c r="B221" s="526">
        <f>IF(DONNÉES!DK210="","",DONNÉES!DK210)</f>
        <v/>
      </c>
      <c r="C221" s="527">
        <f>IF(PMDVERNON401403405[[#This Row],[2024]]="","",DONNÉES!DL210)</f>
        <v/>
      </c>
      <c r="D221" s="526">
        <f>IF(PMDVERNON401403405[[#This Row],[2024]]="","",DONNÉES!DK258)</f>
        <v/>
      </c>
      <c r="E221" s="528">
        <f>IF(PMDVERNON401403405[[#This Row],[2024]]="","",DONNÉES!DL258)</f>
        <v/>
      </c>
      <c r="F221" s="526">
        <f>IF(PMDVERNON401403405[[#This Row],[2024]]="","",DONNÉES!DK226)</f>
        <v/>
      </c>
      <c r="G221" s="527">
        <f>IF(PMDVERNON401403405[[#This Row],[2024]]="","",DONNÉES!DL226)</f>
        <v/>
      </c>
      <c r="H221" s="526">
        <f>IF(PMDVERNON401403405[[#This Row],[2024]]="","",DONNÉES!DK274)</f>
        <v/>
      </c>
      <c r="I221" s="526">
        <f>IF(PMDVERNON401403405[[#This Row],[2024]]="","",DONNÉES!DL274)</f>
        <v/>
      </c>
      <c r="J221" s="474" t="n"/>
      <c r="K221" s="526">
        <f>IF(PMDVERNON401403405[[#This Row],[2024]]="","",DONNÉES!DK242)</f>
        <v/>
      </c>
      <c r="L221" s="527">
        <f>IF(PMDVERNON401403405[[#This Row],[2024]]="","",DONNÉES!DL242)</f>
        <v/>
      </c>
      <c r="M221" s="526">
        <f>IF(PMDVERNON401403405[[#This Row],[2024]]="","",DONNÉES!DK290)</f>
        <v/>
      </c>
      <c r="N221" s="526">
        <f>IF(PMDVERNON401403405[[#This Row],[2024]]="","",DONNÉES!DL290)</f>
        <v/>
      </c>
    </row>
    <row r="222" ht="10.15" customHeight="1" s="161">
      <c r="A222" s="494" t="inlineStr">
        <is>
          <t>Août</t>
        </is>
      </c>
      <c r="B222" s="526">
        <f>IF(DONNÉES!DK211="","",DONNÉES!DK211)</f>
        <v/>
      </c>
      <c r="C222" s="527">
        <f>IF(PMDVERNON401403405[[#This Row],[2024]]="","",DONNÉES!DL211)</f>
        <v/>
      </c>
      <c r="D222" s="526">
        <f>IF(PMDVERNON401403405[[#This Row],[2024]]="","",DONNÉES!DK259)</f>
        <v/>
      </c>
      <c r="E222" s="528">
        <f>IF(PMDVERNON401403405[[#This Row],[2024]]="","",DONNÉES!DL259)</f>
        <v/>
      </c>
      <c r="F222" s="526">
        <f>IF(PMDVERNON401403405[[#This Row],[2024]]="","",DONNÉES!DK227)</f>
        <v/>
      </c>
      <c r="G222" s="527">
        <f>IF(PMDVERNON401403405[[#This Row],[2024]]="","",DONNÉES!DL227)</f>
        <v/>
      </c>
      <c r="H222" s="526">
        <f>IF(PMDVERNON401403405[[#This Row],[2024]]="","",DONNÉES!DK275)</f>
        <v/>
      </c>
      <c r="I222" s="526">
        <f>IF(PMDVERNON401403405[[#This Row],[2024]]="","",DONNÉES!DL275)</f>
        <v/>
      </c>
      <c r="J222" s="474" t="n"/>
      <c r="K222" s="526">
        <f>IF(PMDVERNON401403405[[#This Row],[2024]]="","",DONNÉES!DK243)</f>
        <v/>
      </c>
      <c r="L222" s="527">
        <f>IF(PMDVERNON401403405[[#This Row],[2024]]="","",DONNÉES!DL243)</f>
        <v/>
      </c>
      <c r="M222" s="526">
        <f>IF(PMDVERNON401403405[[#This Row],[2024]]="","",DONNÉES!DK291)</f>
        <v/>
      </c>
      <c r="N222" s="526">
        <f>IF(PMDVERNON401403405[[#This Row],[2024]]="","",DONNÉES!DL291)</f>
        <v/>
      </c>
    </row>
    <row r="223" ht="10.15" customHeight="1" s="161">
      <c r="A223" s="490" t="inlineStr">
        <is>
          <t>Septembre</t>
        </is>
      </c>
      <c r="B223" s="526">
        <f>IF(DONNÉES!DK212="","",DONNÉES!DK212)</f>
        <v/>
      </c>
      <c r="C223" s="527">
        <f>IF(PMDVERNON401403405[[#This Row],[2024]]="","",DONNÉES!DL212)</f>
        <v/>
      </c>
      <c r="D223" s="526">
        <f>IF(PMDVERNON401403405[[#This Row],[2024]]="","",DONNÉES!DK260)</f>
        <v/>
      </c>
      <c r="E223" s="528">
        <f>IF(PMDVERNON401403405[[#This Row],[2024]]="","",DONNÉES!DL260)</f>
        <v/>
      </c>
      <c r="F223" s="526">
        <f>IF(PMDVERNON401403405[[#This Row],[2024]]="","",DONNÉES!DK228)</f>
        <v/>
      </c>
      <c r="G223" s="527">
        <f>IF(PMDVERNON401403405[[#This Row],[2024]]="","",DONNÉES!DL228)</f>
        <v/>
      </c>
      <c r="H223" s="526">
        <f>IF(PMDVERNON401403405[[#This Row],[2024]]="","",DONNÉES!DK276)</f>
        <v/>
      </c>
      <c r="I223" s="526">
        <f>IF(PMDVERNON401403405[[#This Row],[2024]]="","",DONNÉES!DL276)</f>
        <v/>
      </c>
      <c r="J223" s="475" t="n"/>
      <c r="K223" s="526">
        <f>IF(PMDVERNON401403405[[#This Row],[2024]]="","",DONNÉES!DK244)</f>
        <v/>
      </c>
      <c r="L223" s="527">
        <f>IF(PMDVERNON401403405[[#This Row],[2024]]="","",DONNÉES!DL244)</f>
        <v/>
      </c>
      <c r="M223" s="526">
        <f>IF(PMDVERNON401403405[[#This Row],[2024]]="","",DONNÉES!DK292)</f>
        <v/>
      </c>
      <c r="N223" s="526">
        <f>IF(PMDVERNON401403405[[#This Row],[2024]]="","",DONNÉES!DL292)</f>
        <v/>
      </c>
    </row>
    <row r="224" ht="10.15" customHeight="1" s="161">
      <c r="A224" s="494" t="inlineStr">
        <is>
          <t>Octobre</t>
        </is>
      </c>
      <c r="B224" s="526">
        <f>IF(DONNÉES!DK213="","",DONNÉES!DK213)</f>
        <v/>
      </c>
      <c r="C224" s="527">
        <f>IF(PMDVERNON401403405[[#This Row],[2024]]="","",DONNÉES!DL213)</f>
        <v/>
      </c>
      <c r="D224" s="526">
        <f>IF(PMDVERNON401403405[[#This Row],[2024]]="","",DONNÉES!DK261)</f>
        <v/>
      </c>
      <c r="E224" s="528">
        <f>IF(PMDVERNON401403405[[#This Row],[2024]]="","",DONNÉES!DL261)</f>
        <v/>
      </c>
      <c r="F224" s="526">
        <f>IF(PMDVERNON401403405[[#This Row],[2024]]="","",DONNÉES!DK229)</f>
        <v/>
      </c>
      <c r="G224" s="527">
        <f>IF(PMDVERNON401403405[[#This Row],[2024]]="","",DONNÉES!DL229)</f>
        <v/>
      </c>
      <c r="H224" s="526">
        <f>IF(PMDVERNON401403405[[#This Row],[2024]]="","",DONNÉES!DK277)</f>
        <v/>
      </c>
      <c r="I224" s="526">
        <f>IF(PMDVERNON401403405[[#This Row],[2024]]="","",DONNÉES!DL277)</f>
        <v/>
      </c>
      <c r="J224" s="474" t="n"/>
      <c r="K224" s="526">
        <f>IF(PMDVERNON401403405[[#This Row],[2024]]="","",DONNÉES!DK245)</f>
        <v/>
      </c>
      <c r="L224" s="527">
        <f>IF(PMDVERNON401403405[[#This Row],[2024]]="","",DONNÉES!DL245)</f>
        <v/>
      </c>
      <c r="M224" s="526">
        <f>IF(PMDVERNON401403405[[#This Row],[2024]]="","",DONNÉES!DK293)</f>
        <v/>
      </c>
      <c r="N224" s="526">
        <f>IF(PMDVERNON401403405[[#This Row],[2024]]="","",DONNÉES!DL293)</f>
        <v/>
      </c>
    </row>
    <row r="225" ht="10.15" customFormat="1" customHeight="1" s="476">
      <c r="A225" s="490" t="inlineStr">
        <is>
          <t>Novembre</t>
        </is>
      </c>
      <c r="B225" s="526">
        <f>IF(DONNÉES!DK214="","",DONNÉES!DK214)</f>
        <v/>
      </c>
      <c r="C225" s="527">
        <f>IF(PMDVERNON401403405[[#This Row],[2024]]="","",DONNÉES!DL214)</f>
        <v/>
      </c>
      <c r="D225" s="526">
        <f>IF(PMDVERNON401403405[[#This Row],[2024]]="","",DONNÉES!DK262)</f>
        <v/>
      </c>
      <c r="E225" s="528">
        <f>IF(PMDVERNON401403405[[#This Row],[2024]]="","",DONNÉES!DL262)</f>
        <v/>
      </c>
      <c r="F225" s="526">
        <f>IF(PMDVERNON401403405[[#This Row],[2024]]="","",DONNÉES!DK230)</f>
        <v/>
      </c>
      <c r="G225" s="527">
        <f>IF(PMDVERNON401403405[[#This Row],[2024]]="","",DONNÉES!DL230)</f>
        <v/>
      </c>
      <c r="H225" s="526">
        <f>IF(PMDVERNON401403405[[#This Row],[2024]]="","",DONNÉES!DK278)</f>
        <v/>
      </c>
      <c r="I225" s="526">
        <f>IF(PMDVERNON401403405[[#This Row],[2024]]="","",DONNÉES!DL278)</f>
        <v/>
      </c>
      <c r="K225" s="526">
        <f>IF(PMDVERNON401403405[[#This Row],[2024]]="","",DONNÉES!DK246)</f>
        <v/>
      </c>
      <c r="L225" s="527">
        <f>IF(PMDVERNON401403405[[#This Row],[2024]]="","",DONNÉES!DL246)</f>
        <v/>
      </c>
      <c r="M225" s="526">
        <f>IF(PMDVERNON401403405[[#This Row],[2024]]="","",DONNÉES!DK294)</f>
        <v/>
      </c>
      <c r="N225" s="526">
        <f>IF(PMDVERNON401403405[[#This Row],[2024]]="","",DONNÉES!DL294)</f>
        <v/>
      </c>
    </row>
    <row r="226" ht="10.15" customFormat="1" customHeight="1" s="476">
      <c r="A226" s="490" t="inlineStr">
        <is>
          <t>Décembre</t>
        </is>
      </c>
      <c r="B226" s="526">
        <f>IF(DONNÉES!DK215="","",DONNÉES!DK215)</f>
        <v/>
      </c>
      <c r="C226" s="527">
        <f>IF(PMDVERNON401403405[[#This Row],[2024]]="","",DONNÉES!DL215)</f>
        <v/>
      </c>
      <c r="D226" s="526">
        <f>IF(PMDVERNON401403405[[#This Row],[2024]]="","",DONNÉES!DK263)</f>
        <v/>
      </c>
      <c r="E226" s="528">
        <f>IF(PMDVERNON401403405[[#This Row],[2024]]="","",DONNÉES!DL263)</f>
        <v/>
      </c>
      <c r="F226" s="526">
        <f>IF(PMDVERNON401403405[[#This Row],[2024]]="","",DONNÉES!DK231)</f>
        <v/>
      </c>
      <c r="G226" s="527">
        <f>IF(PMDVERNON401403405[[#This Row],[2024]]="","",DONNÉES!DL231)</f>
        <v/>
      </c>
      <c r="H226" s="526">
        <f>IF(PMDVERNON401403405[[#This Row],[2024]]="","",DONNÉES!DK279)</f>
        <v/>
      </c>
      <c r="I226" s="526">
        <f>IF(PMDVERNON401403405[[#This Row],[2024]]="","",DONNÉES!DL279)</f>
        <v/>
      </c>
      <c r="K226" s="526">
        <f>IF(PMDVERNON401403405[[#This Row],[2024]]="","",DONNÉES!DK247)</f>
        <v/>
      </c>
      <c r="L226" s="527">
        <f>IF(PMDVERNON401403405[[#This Row],[2024]]="","",DONNÉES!DL247)</f>
        <v/>
      </c>
      <c r="M226" s="526">
        <f>IF(PMDVERNON401403405[[#This Row],[2024]]="","",DONNÉES!DK295)</f>
        <v/>
      </c>
      <c r="N226" s="526">
        <f>IF(PMDVERNON401403405[[#This Row],[2024]]="","",DONNÉES!DL295)</f>
        <v/>
      </c>
    </row>
    <row r="227" ht="11.65" customFormat="1" customHeight="1" s="476">
      <c r="A227" s="532" t="inlineStr">
        <is>
          <t xml:space="preserve"> TOTAL </t>
        </is>
      </c>
      <c r="B227" s="533">
        <f>SUBTOTAL(101,PMDVERNON401403405[2024])</f>
        <v/>
      </c>
      <c r="C227" s="534">
        <f>SUBTOTAL(101,PMDVERNON401403405[2023])</f>
        <v/>
      </c>
      <c r="D227" s="534">
        <f>SUBTOTAL(101,PMDVERNON401403405[2024 cumul])</f>
        <v/>
      </c>
      <c r="E227" s="535">
        <f>SUBTOTAL(101,PMDVERNON401403405[2023 cumul])</f>
        <v/>
      </c>
      <c r="F227" s="536">
        <f>SUBTOTAL(101,PMDVERNON401403405[[2024  ]])</f>
        <v/>
      </c>
      <c r="G227" s="537">
        <f>SUBTOTAL(101,PMDVERNON401403405[[2023  ]])</f>
        <v/>
      </c>
      <c r="H227" s="533">
        <f>SUBTOTAL(101,PMDVERNON401403405[[2024 cumul ]])</f>
        <v/>
      </c>
      <c r="I227" s="533">
        <f>SUBTOTAL(101,PMDVERNON401403405[[2023 cumul ]])</f>
        <v/>
      </c>
      <c r="K227" s="533">
        <f>SUBTOTAL(101,PMDJEANCLO[[2024  ]])</f>
        <v/>
      </c>
      <c r="L227" s="534">
        <f>SUBTOTAL(101,PMDJEANCLO[[2023  ]])</f>
        <v/>
      </c>
      <c r="M227" s="534">
        <f>SUBTOTAL(101,PMDJEANCLO[[2024 cumul ]])</f>
        <v/>
      </c>
      <c r="N227" s="533">
        <f>SUBTOTAL(101,PMDJEANCLO[[2023 cumul ]])</f>
        <v/>
      </c>
    </row>
    <row r="228" ht="12" customHeight="1" s="161">
      <c r="H228" s="474" t="n"/>
    </row>
    <row r="229" ht="15" customHeight="1" s="161">
      <c r="A229" s="505" t="n"/>
      <c r="B229" s="506" t="inlineStr">
        <is>
          <t>Sur place</t>
        </is>
      </c>
      <c r="C229" s="487" t="n"/>
      <c r="D229" s="487" t="n"/>
      <c r="E229" s="488" t="n"/>
      <c r="F229" s="507" t="inlineStr">
        <is>
          <t>A emporter</t>
        </is>
      </c>
      <c r="G229" s="487" t="n"/>
      <c r="H229" s="487" t="n"/>
      <c r="I229" s="487" t="n"/>
      <c r="J229" s="508" t="n"/>
      <c r="K229" s="507" t="inlineStr">
        <is>
          <t>Total</t>
        </is>
      </c>
      <c r="L229" s="487" t="n"/>
      <c r="M229" s="487" t="n"/>
      <c r="N229" s="487" t="n"/>
    </row>
    <row r="230" ht="30" customHeight="1" s="161">
      <c r="A230" s="490" t="inlineStr">
        <is>
          <t>THOMAS</t>
        </is>
      </c>
      <c r="B230" s="491" t="inlineStr">
        <is>
          <t>2024</t>
        </is>
      </c>
      <c r="C230" s="492" t="inlineStr">
        <is>
          <t>2023</t>
        </is>
      </c>
      <c r="D230" s="491" t="inlineStr">
        <is>
          <t>2024 cumul</t>
        </is>
      </c>
      <c r="E230" s="493" t="inlineStr">
        <is>
          <t>2023 cumul</t>
        </is>
      </c>
      <c r="F230" s="491" t="inlineStr">
        <is>
          <t xml:space="preserve">2024  </t>
        </is>
      </c>
      <c r="G230" s="492" t="inlineStr">
        <is>
          <t xml:space="preserve">2023  </t>
        </is>
      </c>
      <c r="H230" s="491" t="inlineStr">
        <is>
          <t xml:space="preserve">2024 cumul </t>
        </is>
      </c>
      <c r="I230" s="525" t="inlineStr">
        <is>
          <t xml:space="preserve">2023 cumul </t>
        </is>
      </c>
      <c r="J230" s="474" t="n"/>
      <c r="K230" s="491" t="inlineStr">
        <is>
          <t xml:space="preserve">2024  </t>
        </is>
      </c>
      <c r="L230" s="492" t="inlineStr">
        <is>
          <t xml:space="preserve">2023  </t>
        </is>
      </c>
      <c r="M230" s="491" t="inlineStr">
        <is>
          <t xml:space="preserve">2024 cumul </t>
        </is>
      </c>
      <c r="N230" s="493" t="inlineStr">
        <is>
          <t xml:space="preserve">2023 cumul </t>
        </is>
      </c>
    </row>
    <row r="231" ht="10.15" customFormat="1" customHeight="1" s="476">
      <c r="A231" s="494" t="inlineStr">
        <is>
          <t>Janvier</t>
        </is>
      </c>
      <c r="B231" s="526">
        <f>IF(DONNÉES!DS204="","",DONNÉES!DS204)</f>
        <v/>
      </c>
      <c r="C231" s="527">
        <f>IF(PMDVERNON401403405407[[#This Row],[2024]]="","",DONNÉES!DT204)</f>
        <v/>
      </c>
      <c r="D231" s="526">
        <f>IF(PMDVERNON401403405407[[#This Row],[2024]]="","",DONNÉES!DS252)</f>
        <v/>
      </c>
      <c r="E231" s="528">
        <f>IF(PMDVERNON401403405407[[#This Row],[2024]]="","",DONNÉES!DT252)</f>
        <v/>
      </c>
      <c r="F231" s="526">
        <f>IF(PMDVERNON401403405407[[#This Row],[2024]]="","",DONNÉES!DS220)</f>
        <v/>
      </c>
      <c r="G231" s="527">
        <f>IF(PMDVERNON401403405407[[#This Row],[2024]]="","",DONNÉES!DT220)</f>
        <v/>
      </c>
      <c r="H231" s="526">
        <f>IF(PMDVERNON401403405407[[#This Row],[2024]]="","",DONNÉES!DS268)</f>
        <v/>
      </c>
      <c r="I231" s="526">
        <f>IF(PMDVERNON401403405407[[#This Row],[2024]]="","",DONNÉES!DT268)</f>
        <v/>
      </c>
      <c r="K231" s="526">
        <f>IF(PMDVERNON401403405407[[#This Row],[2024]]="","",DONNÉES!DS236)</f>
        <v/>
      </c>
      <c r="L231" s="527">
        <f>IF(PMDVERNON401403405407[[#This Row],[2024]]="","",DONNÉES!DT236)</f>
        <v/>
      </c>
      <c r="M231" s="526">
        <f>IF(PMDVERNON401403405407[[#This Row],[2024]]="","",DONNÉES!DS284)</f>
        <v/>
      </c>
      <c r="N231" s="526">
        <f>IF(PMDVERNON401403405407[[#This Row],[2024]]="","",DONNÉES!DT284)</f>
        <v/>
      </c>
    </row>
    <row r="232" ht="10.15" customFormat="1" customHeight="1" s="476">
      <c r="A232" s="494" t="inlineStr">
        <is>
          <t>Février</t>
        </is>
      </c>
      <c r="B232" s="526">
        <f>IF(DONNÉES!DS205="","",DONNÉES!DS205)</f>
        <v/>
      </c>
      <c r="C232" s="527">
        <f>IF(PMDVERNON401403405407[[#This Row],[2024]]="","",DONNÉES!DT205)</f>
        <v/>
      </c>
      <c r="D232" s="526">
        <f>IF(PMDVERNON401403405407[[#This Row],[2024]]="","",DONNÉES!DS253)</f>
        <v/>
      </c>
      <c r="E232" s="528">
        <f>IF(PMDVERNON401403405407[[#This Row],[2024]]="","",DONNÉES!DT253)</f>
        <v/>
      </c>
      <c r="F232" s="526">
        <f>IF(PMDVERNON401403405407[[#This Row],[2024]]="","",DONNÉES!DS221)</f>
        <v/>
      </c>
      <c r="G232" s="527">
        <f>IF(PMDVERNON401403405407[[#This Row],[2024]]="","",DONNÉES!DT221)</f>
        <v/>
      </c>
      <c r="H232" s="526">
        <f>IF(PMDVERNON401403405407[[#This Row],[2024]]="","",DONNÉES!DS269)</f>
        <v/>
      </c>
      <c r="I232" s="526">
        <f>IF(PMDVERNON401403405407[[#This Row],[2024]]="","",DONNÉES!DT269)</f>
        <v/>
      </c>
      <c r="K232" s="526">
        <f>IF(PMDVERNON401403405407[[#This Row],[2024]]="","",DONNÉES!DS237)</f>
        <v/>
      </c>
      <c r="L232" s="527">
        <f>IF(PMDVERNON401403405407[[#This Row],[2024]]="","",DONNÉES!DT237)</f>
        <v/>
      </c>
      <c r="M232" s="526">
        <f>IF(PMDVERNON401403405407[[#This Row],[2024]]="","",DONNÉES!DS285)</f>
        <v/>
      </c>
      <c r="N232" s="526">
        <f>IF(PMDVERNON401403405407[[#This Row],[2024]]="","",DONNÉES!DT285)</f>
        <v/>
      </c>
    </row>
    <row r="233" ht="10.15" customFormat="1" customHeight="1" s="476">
      <c r="A233" s="490" t="inlineStr">
        <is>
          <t>Mars</t>
        </is>
      </c>
      <c r="B233" s="526">
        <f>IF(DONNÉES!DS206="","",DONNÉES!DS206)</f>
        <v/>
      </c>
      <c r="C233" s="527">
        <f>IF(PMDVERNON401403405407[[#This Row],[2024]]="","",DONNÉES!DT206)</f>
        <v/>
      </c>
      <c r="D233" s="526">
        <f>IF(PMDVERNON401403405407[[#This Row],[2024]]="","",DONNÉES!DS254)</f>
        <v/>
      </c>
      <c r="E233" s="528">
        <f>IF(PMDVERNON401403405407[[#This Row],[2024]]="","",DONNÉES!DT254)</f>
        <v/>
      </c>
      <c r="F233" s="526">
        <f>IF(PMDVERNON401403405407[[#This Row],[2024]]="","",DONNÉES!DS222)</f>
        <v/>
      </c>
      <c r="G233" s="527">
        <f>IF(PMDVERNON401403405407[[#This Row],[2024]]="","",DONNÉES!DT222)</f>
        <v/>
      </c>
      <c r="H233" s="526">
        <f>IF(PMDVERNON401403405407[[#This Row],[2024]]="","",DONNÉES!DS270)</f>
        <v/>
      </c>
      <c r="I233" s="526">
        <f>IF(PMDVERNON401403405407[[#This Row],[2024]]="","",DONNÉES!DT270)</f>
        <v/>
      </c>
      <c r="K233" s="526">
        <f>IF(PMDVERNON401403405407[[#This Row],[2024]]="","",DONNÉES!DS238)</f>
        <v/>
      </c>
      <c r="L233" s="527">
        <f>IF(PMDVERNON401403405407[[#This Row],[2024]]="","",DONNÉES!DT238)</f>
        <v/>
      </c>
      <c r="M233" s="526">
        <f>IF(PMDVERNON401403405407[[#This Row],[2024]]="","",DONNÉES!DS286)</f>
        <v/>
      </c>
      <c r="N233" s="526">
        <f>IF(PMDVERNON401403405407[[#This Row],[2024]]="","",DONNÉES!DT286)</f>
        <v/>
      </c>
    </row>
    <row r="234" ht="10.15" customHeight="1" s="161">
      <c r="A234" s="494" t="inlineStr">
        <is>
          <t>Avril</t>
        </is>
      </c>
      <c r="B234" s="526">
        <f>IF(DONNÉES!DS207="","",DONNÉES!DS207)</f>
        <v/>
      </c>
      <c r="C234" s="527">
        <f>IF(PMDVERNON401403405407[[#This Row],[2024]]="","",DONNÉES!DT207)</f>
        <v/>
      </c>
      <c r="D234" s="526">
        <f>IF(PMDVERNON401403405407[[#This Row],[2024]]="","",DONNÉES!DS255)</f>
        <v/>
      </c>
      <c r="E234" s="528">
        <f>IF(PMDVERNON401403405407[[#This Row],[2024]]="","",DONNÉES!DT255)</f>
        <v/>
      </c>
      <c r="F234" s="526">
        <f>IF(PMDVERNON401403405407[[#This Row],[2024]]="","",DONNÉES!DS223)</f>
        <v/>
      </c>
      <c r="G234" s="527">
        <f>IF(PMDVERNON401403405407[[#This Row],[2024]]="","",DONNÉES!DT223)</f>
        <v/>
      </c>
      <c r="H234" s="526">
        <f>IF(PMDVERNON401403405407[[#This Row],[2024]]="","",DONNÉES!DS271)</f>
        <v/>
      </c>
      <c r="I234" s="526">
        <f>IF(PMDVERNON401403405407[[#This Row],[2024]]="","",DONNÉES!DT271)</f>
        <v/>
      </c>
      <c r="J234" s="474" t="n"/>
      <c r="K234" s="526">
        <f>IF(PMDVERNON401403405407[[#This Row],[2024]]="","",DONNÉES!DS239)</f>
        <v/>
      </c>
      <c r="L234" s="527">
        <f>IF(PMDVERNON401403405407[[#This Row],[2024]]="","",DONNÉES!DT239)</f>
        <v/>
      </c>
      <c r="M234" s="526">
        <f>IF(PMDVERNON401403405407[[#This Row],[2024]]="","",DONNÉES!DS287)</f>
        <v/>
      </c>
      <c r="N234" s="526">
        <f>IF(PMDVERNON401403405407[[#This Row],[2024]]="","",DONNÉES!DT287)</f>
        <v/>
      </c>
    </row>
    <row r="235" ht="10.15" customHeight="1" s="161">
      <c r="A235" s="490" t="inlineStr">
        <is>
          <t>Mai</t>
        </is>
      </c>
      <c r="B235" s="526">
        <f>IF(DONNÉES!DS208="","",DONNÉES!DS208)</f>
        <v/>
      </c>
      <c r="C235" s="527">
        <f>IF(PMDVERNON401403405407[[#This Row],[2024]]="","",DONNÉES!DT208)</f>
        <v/>
      </c>
      <c r="D235" s="526">
        <f>IF(PMDVERNON401403405407[[#This Row],[2024]]="","",DONNÉES!DS256)</f>
        <v/>
      </c>
      <c r="E235" s="528">
        <f>IF(PMDVERNON401403405407[[#This Row],[2024]]="","",DONNÉES!DT256)</f>
        <v/>
      </c>
      <c r="F235" s="526">
        <f>IF(PMDVERNON401403405407[[#This Row],[2024]]="","",DONNÉES!DS224)</f>
        <v/>
      </c>
      <c r="G235" s="527">
        <f>IF(PMDVERNON401403405407[[#This Row],[2024]]="","",DONNÉES!DT224)</f>
        <v/>
      </c>
      <c r="H235" s="526">
        <f>IF(PMDVERNON401403405407[[#This Row],[2024]]="","",DONNÉES!DS272)</f>
        <v/>
      </c>
      <c r="I235" s="526">
        <f>IF(PMDVERNON401403405407[[#This Row],[2024]]="","",DONNÉES!DT272)</f>
        <v/>
      </c>
      <c r="J235" s="474" t="n"/>
      <c r="K235" s="526">
        <f>IF(PMDVERNON401403405407[[#This Row],[2024]]="","",DONNÉES!DS240)</f>
        <v/>
      </c>
      <c r="L235" s="527">
        <f>IF(PMDVERNON401403405407[[#This Row],[2024]]="","",DONNÉES!DT240)</f>
        <v/>
      </c>
      <c r="M235" s="526">
        <f>IF(PMDVERNON401403405407[[#This Row],[2024]]="","",DONNÉES!DS288)</f>
        <v/>
      </c>
      <c r="N235" s="526">
        <f>IF(PMDVERNON401403405407[[#This Row],[2024]]="","",DONNÉES!DT288)</f>
        <v/>
      </c>
    </row>
    <row r="236" ht="10.15" customHeight="1" s="161">
      <c r="A236" s="494" t="inlineStr">
        <is>
          <t>Juin</t>
        </is>
      </c>
      <c r="B236" s="526">
        <f>IF(DONNÉES!DS209="","",DONNÉES!DS209)</f>
        <v/>
      </c>
      <c r="C236" s="527">
        <f>IF(PMDVERNON401403405407[[#This Row],[2024]]="","",DONNÉES!DT209)</f>
        <v/>
      </c>
      <c r="D236" s="526">
        <f>IF(PMDVERNON401403405407[[#This Row],[2024]]="","",DONNÉES!DS257)</f>
        <v/>
      </c>
      <c r="E236" s="528">
        <f>IF(PMDVERNON401403405407[[#This Row],[2024]]="","",DONNÉES!DT257)</f>
        <v/>
      </c>
      <c r="F236" s="526">
        <f>IF(PMDVERNON401403405407[[#This Row],[2024]]="","",DONNÉES!DS225)</f>
        <v/>
      </c>
      <c r="G236" s="527">
        <f>IF(PMDVERNON401403405407[[#This Row],[2024]]="","",DONNÉES!DT225)</f>
        <v/>
      </c>
      <c r="H236" s="526">
        <f>IF(PMDVERNON401403405407[[#This Row],[2024]]="","",DONNÉES!DS273)</f>
        <v/>
      </c>
      <c r="I236" s="526">
        <f>IF(PMDVERNON401403405407[[#This Row],[2024]]="","",DONNÉES!DT273)</f>
        <v/>
      </c>
      <c r="J236" s="474" t="n"/>
      <c r="K236" s="526">
        <f>IF(PMDVERNON401403405407[[#This Row],[2024]]="","",DONNÉES!DS241)</f>
        <v/>
      </c>
      <c r="L236" s="527">
        <f>IF(PMDVERNON401403405407[[#This Row],[2024]]="","",DONNÉES!DT241)</f>
        <v/>
      </c>
      <c r="M236" s="526">
        <f>IF(PMDVERNON401403405407[[#This Row],[2024]]="","",DONNÉES!DS289)</f>
        <v/>
      </c>
      <c r="N236" s="526">
        <f>IF(PMDVERNON401403405407[[#This Row],[2024]]="","",DONNÉES!DT289)</f>
        <v/>
      </c>
    </row>
    <row r="237" ht="10.15" customHeight="1" s="161">
      <c r="A237" s="490" t="inlineStr">
        <is>
          <t>Juillet</t>
        </is>
      </c>
      <c r="B237" s="526">
        <f>IF(DONNÉES!DS210="","",DONNÉES!DS210)</f>
        <v/>
      </c>
      <c r="C237" s="527">
        <f>IF(PMDVERNON401403405407[[#This Row],[2024]]="","",DONNÉES!DT210)</f>
        <v/>
      </c>
      <c r="D237" s="526">
        <f>IF(PMDVERNON401403405407[[#This Row],[2024]]="","",DONNÉES!DS258)</f>
        <v/>
      </c>
      <c r="E237" s="528">
        <f>IF(PMDVERNON401403405407[[#This Row],[2024]]="","",DONNÉES!DT258)</f>
        <v/>
      </c>
      <c r="F237" s="526">
        <f>IF(PMDVERNON401403405407[[#This Row],[2024]]="","",DONNÉES!DS226)</f>
        <v/>
      </c>
      <c r="G237" s="527">
        <f>IF(PMDVERNON401403405407[[#This Row],[2024]]="","",DONNÉES!DT226)</f>
        <v/>
      </c>
      <c r="H237" s="526">
        <f>IF(PMDVERNON401403405407[[#This Row],[2024]]="","",DONNÉES!DS274)</f>
        <v/>
      </c>
      <c r="I237" s="526">
        <f>IF(PMDVERNON401403405407[[#This Row],[2024]]="","",DONNÉES!DT274)</f>
        <v/>
      </c>
      <c r="J237" s="474" t="n"/>
      <c r="K237" s="526">
        <f>IF(PMDVERNON401403405407[[#This Row],[2024]]="","",DONNÉES!DS242)</f>
        <v/>
      </c>
      <c r="L237" s="527">
        <f>IF(PMDVERNON401403405407[[#This Row],[2024]]="","",DONNÉES!DT242)</f>
        <v/>
      </c>
      <c r="M237" s="526">
        <f>IF(PMDVERNON401403405407[[#This Row],[2024]]="","",DONNÉES!DS290)</f>
        <v/>
      </c>
      <c r="N237" s="526">
        <f>IF(PMDVERNON401403405407[[#This Row],[2024]]="","",DONNÉES!DT290)</f>
        <v/>
      </c>
    </row>
    <row r="238" ht="10.15" customHeight="1" s="161">
      <c r="A238" s="494" t="inlineStr">
        <is>
          <t>Août</t>
        </is>
      </c>
      <c r="B238" s="526">
        <f>IF(DONNÉES!DS211="","",DONNÉES!DS211)</f>
        <v/>
      </c>
      <c r="C238" s="527">
        <f>IF(PMDVERNON401403405407[[#This Row],[2024]]="","",DONNÉES!DT211)</f>
        <v/>
      </c>
      <c r="D238" s="526">
        <f>IF(PMDVERNON401403405407[[#This Row],[2024]]="","",DONNÉES!DS259)</f>
        <v/>
      </c>
      <c r="E238" s="528">
        <f>IF(PMDVERNON401403405407[[#This Row],[2024]]="","",DONNÉES!DT259)</f>
        <v/>
      </c>
      <c r="F238" s="526">
        <f>IF(PMDVERNON401403405407[[#This Row],[2024]]="","",DONNÉES!DS227)</f>
        <v/>
      </c>
      <c r="G238" s="527">
        <f>IF(PMDVERNON401403405407[[#This Row],[2024]]="","",DONNÉES!DT227)</f>
        <v/>
      </c>
      <c r="H238" s="526">
        <f>IF(PMDVERNON401403405407[[#This Row],[2024]]="","",DONNÉES!DS275)</f>
        <v/>
      </c>
      <c r="I238" s="526">
        <f>IF(PMDVERNON401403405407[[#This Row],[2024]]="","",DONNÉES!DT275)</f>
        <v/>
      </c>
      <c r="J238" s="474" t="n"/>
      <c r="K238" s="526">
        <f>IF(PMDVERNON401403405407[[#This Row],[2024]]="","",DONNÉES!DS243)</f>
        <v/>
      </c>
      <c r="L238" s="527">
        <f>IF(PMDVERNON401403405407[[#This Row],[2024]]="","",DONNÉES!DT243)</f>
        <v/>
      </c>
      <c r="M238" s="526">
        <f>IF(PMDVERNON401403405407[[#This Row],[2024]]="","",DONNÉES!DS291)</f>
        <v/>
      </c>
      <c r="N238" s="526">
        <f>IF(PMDVERNON401403405407[[#This Row],[2024]]="","",DONNÉES!DT291)</f>
        <v/>
      </c>
    </row>
    <row r="239" ht="10.15" customHeight="1" s="161">
      <c r="A239" s="490" t="inlineStr">
        <is>
          <t>Septembre</t>
        </is>
      </c>
      <c r="B239" s="526">
        <f>IF(DONNÉES!DS212="","",DONNÉES!DS212)</f>
        <v/>
      </c>
      <c r="C239" s="527">
        <f>IF(PMDVERNON401403405407[[#This Row],[2024]]="","",DONNÉES!DT212)</f>
        <v/>
      </c>
      <c r="D239" s="526">
        <f>IF(PMDVERNON401403405407[[#This Row],[2024]]="","",DONNÉES!DS260)</f>
        <v/>
      </c>
      <c r="E239" s="528">
        <f>IF(PMDVERNON401403405407[[#This Row],[2024]]="","",DONNÉES!DT260)</f>
        <v/>
      </c>
      <c r="F239" s="526">
        <f>IF(PMDVERNON401403405407[[#This Row],[2024]]="","",DONNÉES!DS228)</f>
        <v/>
      </c>
      <c r="G239" s="527">
        <f>IF(PMDVERNON401403405407[[#This Row],[2024]]="","",DONNÉES!DT228)</f>
        <v/>
      </c>
      <c r="H239" s="526">
        <f>IF(PMDVERNON401403405407[[#This Row],[2024]]="","",DONNÉES!DS276)</f>
        <v/>
      </c>
      <c r="I239" s="526">
        <f>IF(PMDVERNON401403405407[[#This Row],[2024]]="","",DONNÉES!DT276)</f>
        <v/>
      </c>
      <c r="J239" s="475" t="n"/>
      <c r="K239" s="526">
        <f>IF(PMDVERNON401403405407[[#This Row],[2024]]="","",DONNÉES!DS244)</f>
        <v/>
      </c>
      <c r="L239" s="527">
        <f>IF(PMDVERNON401403405407[[#This Row],[2024]]="","",DONNÉES!DT244)</f>
        <v/>
      </c>
      <c r="M239" s="526">
        <f>IF(PMDVERNON401403405407[[#This Row],[2024]]="","",DONNÉES!DS292)</f>
        <v/>
      </c>
      <c r="N239" s="526">
        <f>IF(PMDVERNON401403405407[[#This Row],[2024]]="","",DONNÉES!DT292)</f>
        <v/>
      </c>
    </row>
    <row r="240" ht="10.15" customHeight="1" s="161">
      <c r="A240" s="494" t="inlineStr">
        <is>
          <t>Octobre</t>
        </is>
      </c>
      <c r="B240" s="526">
        <f>IF(DONNÉES!DS213="","",DONNÉES!DS213)</f>
        <v/>
      </c>
      <c r="C240" s="527">
        <f>IF(PMDVERNON401403405407[[#This Row],[2024]]="","",DONNÉES!DT213)</f>
        <v/>
      </c>
      <c r="D240" s="526">
        <f>IF(PMDVERNON401403405407[[#This Row],[2024]]="","",DONNÉES!DS261)</f>
        <v/>
      </c>
      <c r="E240" s="528">
        <f>IF(PMDVERNON401403405407[[#This Row],[2024]]="","",DONNÉES!DT261)</f>
        <v/>
      </c>
      <c r="F240" s="526">
        <f>IF(PMDVERNON401403405407[[#This Row],[2024]]="","",DONNÉES!DS229)</f>
        <v/>
      </c>
      <c r="G240" s="527">
        <f>IF(PMDVERNON401403405407[[#This Row],[2024]]="","",DONNÉES!DT229)</f>
        <v/>
      </c>
      <c r="H240" s="526">
        <f>IF(PMDVERNON401403405407[[#This Row],[2024]]="","",DONNÉES!DS277)</f>
        <v/>
      </c>
      <c r="I240" s="526">
        <f>IF(PMDVERNON401403405407[[#This Row],[2024]]="","",DONNÉES!DT277)</f>
        <v/>
      </c>
      <c r="J240" s="474" t="n"/>
      <c r="K240" s="526">
        <f>IF(PMDVERNON401403405407[[#This Row],[2024]]="","",DONNÉES!DS245)</f>
        <v/>
      </c>
      <c r="L240" s="527">
        <f>IF(PMDVERNON401403405407[[#This Row],[2024]]="","",DONNÉES!DT245)</f>
        <v/>
      </c>
      <c r="M240" s="526">
        <f>IF(PMDVERNON401403405407[[#This Row],[2024]]="","",DONNÉES!DS293)</f>
        <v/>
      </c>
      <c r="N240" s="526">
        <f>IF(PMDVERNON401403405407[[#This Row],[2024]]="","",DONNÉES!DT293)</f>
        <v/>
      </c>
    </row>
    <row r="241" ht="10.15" customFormat="1" customHeight="1" s="476">
      <c r="A241" s="490" t="inlineStr">
        <is>
          <t>Novembre</t>
        </is>
      </c>
      <c r="B241" s="526">
        <f>IF(DONNÉES!DS214="","",DONNÉES!DS214)</f>
        <v/>
      </c>
      <c r="C241" s="527">
        <f>IF(PMDVERNON401403405407[[#This Row],[2024]]="","",DONNÉES!DT214)</f>
        <v/>
      </c>
      <c r="D241" s="526">
        <f>IF(PMDVERNON401403405407[[#This Row],[2024]]="","",DONNÉES!DS262)</f>
        <v/>
      </c>
      <c r="E241" s="528">
        <f>IF(PMDVERNON401403405407[[#This Row],[2024]]="","",DONNÉES!DT262)</f>
        <v/>
      </c>
      <c r="F241" s="526">
        <f>IF(PMDVERNON401403405407[[#This Row],[2024]]="","",DONNÉES!DS230)</f>
        <v/>
      </c>
      <c r="G241" s="527">
        <f>IF(PMDVERNON401403405407[[#This Row],[2024]]="","",DONNÉES!DT230)</f>
        <v/>
      </c>
      <c r="H241" s="526">
        <f>IF(PMDVERNON401403405407[[#This Row],[2024]]="","",DONNÉES!DS278)</f>
        <v/>
      </c>
      <c r="I241" s="526">
        <f>IF(PMDVERNON401403405407[[#This Row],[2024]]="","",DONNÉES!DT278)</f>
        <v/>
      </c>
      <c r="K241" s="526">
        <f>IF(PMDVERNON401403405407[[#This Row],[2024]]="","",DONNÉES!DS246)</f>
        <v/>
      </c>
      <c r="L241" s="527">
        <f>IF(PMDVERNON401403405407[[#This Row],[2024]]="","",DONNÉES!DT246)</f>
        <v/>
      </c>
      <c r="M241" s="526">
        <f>IF(PMDVERNON401403405407[[#This Row],[2024]]="","",DONNÉES!DS294)</f>
        <v/>
      </c>
      <c r="N241" s="526">
        <f>IF(PMDVERNON401403405407[[#This Row],[2024]]="","",DONNÉES!DT294)</f>
        <v/>
      </c>
    </row>
    <row r="242" ht="10.15" customFormat="1" customHeight="1" s="476">
      <c r="A242" s="490" t="inlineStr">
        <is>
          <t>Décembre</t>
        </is>
      </c>
      <c r="B242" s="526">
        <f>IF(DONNÉES!DS215="","",DONNÉES!DS215)</f>
        <v/>
      </c>
      <c r="C242" s="527">
        <f>IF(PMDVERNON401403405407[[#This Row],[2024]]="","",DONNÉES!DT215)</f>
        <v/>
      </c>
      <c r="D242" s="526">
        <f>IF(PMDVERNON401403405407[[#This Row],[2024]]="","",DONNÉES!DS263)</f>
        <v/>
      </c>
      <c r="E242" s="528">
        <f>IF(PMDVERNON401403405407[[#This Row],[2024]]="","",DONNÉES!DT263)</f>
        <v/>
      </c>
      <c r="F242" s="526">
        <f>IF(PMDVERNON401403405407[[#This Row],[2024]]="","",DONNÉES!DS231)</f>
        <v/>
      </c>
      <c r="G242" s="527">
        <f>IF(PMDVERNON401403405407[[#This Row],[2024]]="","",DONNÉES!DT231)</f>
        <v/>
      </c>
      <c r="H242" s="526">
        <f>IF(PMDVERNON401403405407[[#This Row],[2024]]="","",DONNÉES!DS279)</f>
        <v/>
      </c>
      <c r="I242" s="526">
        <f>IF(PMDVERNON401403405407[[#This Row],[2024]]="","",DONNÉES!DT279)</f>
        <v/>
      </c>
      <c r="K242" s="526">
        <f>IF(PMDVERNON401403405407[[#This Row],[2024]]="","",DONNÉES!DS247)</f>
        <v/>
      </c>
      <c r="L242" s="527">
        <f>IF(PMDVERNON401403405407[[#This Row],[2024]]="","",DONNÉES!DT247)</f>
        <v/>
      </c>
      <c r="M242" s="526">
        <f>IF(PMDVERNON401403405407[[#This Row],[2024]]="","",DONNÉES!DS295)</f>
        <v/>
      </c>
      <c r="N242" s="526">
        <f>IF(PMDVERNON401403405407[[#This Row],[2024]]="","",DONNÉES!DT295)</f>
        <v/>
      </c>
    </row>
    <row r="243" ht="11.65" customFormat="1" customHeight="1" s="476">
      <c r="A243" s="532" t="inlineStr">
        <is>
          <t xml:space="preserve"> TOTAL </t>
        </is>
      </c>
      <c r="B243" s="533">
        <f>SUBTOTAL(101,PMDVERNON401403405407[2024])</f>
        <v/>
      </c>
      <c r="C243" s="534">
        <f>SUBTOTAL(101,PMDVERNON401403405407[2023])</f>
        <v/>
      </c>
      <c r="D243" s="534">
        <f>SUBTOTAL(101,PMDVERNON401403405407[2024 cumul])</f>
        <v/>
      </c>
      <c r="E243" s="535">
        <f>SUBTOTAL(101,PMDVERNON401403405407[2023 cumul])</f>
        <v/>
      </c>
      <c r="F243" s="536">
        <f>SUBTOTAL(101,PMDVERNON401403405407[[2024  ]])</f>
        <v/>
      </c>
      <c r="G243" s="537">
        <f>SUBTOTAL(101,PMDVERNON401403405407[[2023  ]])</f>
        <v/>
      </c>
      <c r="H243" s="533">
        <f>SUBTOTAL(101,PMDVERNON401403405407[[2024 cumul ]])</f>
        <v/>
      </c>
      <c r="I243" s="533">
        <f>SUBTOTAL(101,PMDVERNON401403405407[[2023 cumul ]])</f>
        <v/>
      </c>
      <c r="K243" s="533">
        <f>SUBTOTAL(101,PMDTHOMAS[[2024  ]])</f>
        <v/>
      </c>
      <c r="L243" s="534">
        <f>SUBTOTAL(101,PMDTHOMAS[[2023  ]])</f>
        <v/>
      </c>
      <c r="M243" s="534">
        <f>SUBTOTAL(101,PMDTHOMAS[[2024 cumul ]])</f>
        <v/>
      </c>
      <c r="N243" s="533">
        <f>SUBTOTAL(101,PMDTHOMAS[[2023 cumul ]])</f>
        <v/>
      </c>
    </row>
    <row r="245" ht="15" customHeight="1" s="161">
      <c r="A245" s="505" t="n"/>
      <c r="B245" s="506" t="inlineStr">
        <is>
          <t>Sur place</t>
        </is>
      </c>
      <c r="C245" s="487" t="n"/>
      <c r="D245" s="487" t="n"/>
      <c r="E245" s="488" t="n"/>
      <c r="F245" s="507" t="inlineStr">
        <is>
          <t>A emporter</t>
        </is>
      </c>
      <c r="G245" s="487" t="n"/>
      <c r="H245" s="487" t="n"/>
      <c r="I245" s="487" t="n"/>
      <c r="J245" s="508" t="n"/>
      <c r="K245" s="507" t="inlineStr">
        <is>
          <t>Total</t>
        </is>
      </c>
      <c r="L245" s="487" t="n"/>
      <c r="M245" s="487" t="n"/>
      <c r="N245" s="487" t="n"/>
    </row>
    <row r="246" ht="30" customHeight="1" s="161">
      <c r="A246" s="490" t="inlineStr">
        <is>
          <t>CATALINA</t>
        </is>
      </c>
      <c r="B246" s="491" t="inlineStr">
        <is>
          <t>2024</t>
        </is>
      </c>
      <c r="C246" s="492" t="inlineStr">
        <is>
          <t>2023</t>
        </is>
      </c>
      <c r="D246" s="491" t="inlineStr">
        <is>
          <t>2024 cumul</t>
        </is>
      </c>
      <c r="E246" s="493" t="inlineStr">
        <is>
          <t>2023 cumul</t>
        </is>
      </c>
      <c r="F246" s="491" t="inlineStr">
        <is>
          <t xml:space="preserve">2024  </t>
        </is>
      </c>
      <c r="G246" s="492" t="inlineStr">
        <is>
          <t xml:space="preserve">2023  </t>
        </is>
      </c>
      <c r="H246" s="491" t="inlineStr">
        <is>
          <t xml:space="preserve">2024 cumul </t>
        </is>
      </c>
      <c r="I246" s="525" t="inlineStr">
        <is>
          <t xml:space="preserve">2023 cumul </t>
        </is>
      </c>
      <c r="J246" s="474" t="n"/>
      <c r="K246" s="491" t="inlineStr">
        <is>
          <t xml:space="preserve">2024  </t>
        </is>
      </c>
      <c r="L246" s="492" t="inlineStr">
        <is>
          <t xml:space="preserve">2023  </t>
        </is>
      </c>
      <c r="M246" s="491" t="inlineStr">
        <is>
          <t xml:space="preserve">2024 cumul </t>
        </is>
      </c>
      <c r="N246" s="493" t="inlineStr">
        <is>
          <t xml:space="preserve">2023 cumul </t>
        </is>
      </c>
    </row>
    <row r="247" ht="10.15" customFormat="1" customHeight="1" s="476">
      <c r="A247" s="494" t="inlineStr">
        <is>
          <t>Janvier</t>
        </is>
      </c>
      <c r="B247" s="526">
        <f>IF(DONNÉES!EA204="","",DONNÉES!EA204)</f>
        <v/>
      </c>
      <c r="C247" s="527">
        <f>IF(PMDCAT[[#This Row],[2024]]="","",DONNÉES!EB204)</f>
        <v/>
      </c>
      <c r="D247" s="526">
        <f>IF(PMDCAT[[#This Row],[2024]]="","",DONNÉES!EA252)</f>
        <v/>
      </c>
      <c r="E247" s="528">
        <f>IF(PMDCAT[[#This Row],[2024]]="","",DONNÉES!EB252)</f>
        <v/>
      </c>
      <c r="F247" s="526">
        <f>IF(PMDCAT[[#This Row],[2024]]="","",DONNÉES!EA220)</f>
        <v/>
      </c>
      <c r="G247" s="527">
        <f>IF(PMDCAT[[#This Row],[2024]]="","",DONNÉES!EB220)</f>
        <v/>
      </c>
      <c r="H247" s="526">
        <f>IF(PMDCAT[[#This Row],[2024]]="","",DONNÉES!EA268)</f>
        <v/>
      </c>
      <c r="I247" s="526">
        <f>IF(PMDCAT[[#This Row],[2024]]="","",DONNÉES!EB268)</f>
        <v/>
      </c>
      <c r="K247" s="526">
        <f>IF(PMDCAT[[#This Row],[2024]]="","",DONNÉES!EA236)</f>
        <v/>
      </c>
      <c r="L247" s="527">
        <f>IF(PMDCAT[[#This Row],[2024]]="","",DONNÉES!EB236)</f>
        <v/>
      </c>
      <c r="M247" s="526">
        <f>IF(PMDCAT[[#This Row],[2024]]="","",DONNÉES!EA284)</f>
        <v/>
      </c>
      <c r="N247" s="526">
        <f>IF(PMDCAT[[#This Row],[2024]]="","",DONNÉES!EB284)</f>
        <v/>
      </c>
    </row>
    <row r="248" ht="10.15" customFormat="1" customHeight="1" s="476">
      <c r="A248" s="494" t="inlineStr">
        <is>
          <t>Février</t>
        </is>
      </c>
      <c r="B248" s="526">
        <f>IF(DONNÉES!EA205="","",DONNÉES!EA205)</f>
        <v/>
      </c>
      <c r="C248" s="527">
        <f>IF(PMDCAT[[#This Row],[2024]]="","",DONNÉES!EB205)</f>
        <v/>
      </c>
      <c r="D248" s="526">
        <f>IF(PMDCAT[[#This Row],[2024]]="","",DONNÉES!EA253)</f>
        <v/>
      </c>
      <c r="E248" s="528">
        <f>IF(PMDCAT[[#This Row],[2024]]="","",DONNÉES!EB253)</f>
        <v/>
      </c>
      <c r="F248" s="526">
        <f>IF(PMDCAT[[#This Row],[2024]]="","",DONNÉES!EA221)</f>
        <v/>
      </c>
      <c r="G248" s="527">
        <f>IF(PMDCAT[[#This Row],[2024]]="","",DONNÉES!EB221)</f>
        <v/>
      </c>
      <c r="H248" s="526">
        <f>IF(PMDCAT[[#This Row],[2024]]="","",DONNÉES!EA269)</f>
        <v/>
      </c>
      <c r="I248" s="526">
        <f>IF(PMDCAT[[#This Row],[2024]]="","",DONNÉES!EB269)</f>
        <v/>
      </c>
      <c r="K248" s="526">
        <f>IF(PMDCAT[[#This Row],[2024]]="","",DONNÉES!EA237)</f>
        <v/>
      </c>
      <c r="L248" s="527">
        <f>IF(PMDCAT[[#This Row],[2024]]="","",DONNÉES!EB237)</f>
        <v/>
      </c>
      <c r="M248" s="526">
        <f>IF(PMDCAT[[#This Row],[2024]]="","",DONNÉES!EA285)</f>
        <v/>
      </c>
      <c r="N248" s="526">
        <f>IF(PMDCAT[[#This Row],[2024]]="","",DONNÉES!EB285)</f>
        <v/>
      </c>
    </row>
    <row r="249" ht="10.15" customFormat="1" customHeight="1" s="476">
      <c r="A249" s="490" t="inlineStr">
        <is>
          <t>Mars</t>
        </is>
      </c>
      <c r="B249" s="526">
        <f>IF(DONNÉES!EA206="","",DONNÉES!EA206)</f>
        <v/>
      </c>
      <c r="C249" s="527">
        <f>IF(PMDCAT[[#This Row],[2024]]="","",DONNÉES!EB206)</f>
        <v/>
      </c>
      <c r="D249" s="526">
        <f>IF(PMDCAT[[#This Row],[2024]]="","",DONNÉES!EA254)</f>
        <v/>
      </c>
      <c r="E249" s="528">
        <f>IF(PMDCAT[[#This Row],[2024]]="","",DONNÉES!EB254)</f>
        <v/>
      </c>
      <c r="F249" s="526">
        <f>IF(PMDCAT[[#This Row],[2024]]="","",DONNÉES!EA222)</f>
        <v/>
      </c>
      <c r="G249" s="527">
        <f>IF(PMDCAT[[#This Row],[2024]]="","",DONNÉES!EB222)</f>
        <v/>
      </c>
      <c r="H249" s="526">
        <f>IF(PMDCAT[[#This Row],[2024]]="","",DONNÉES!EA270)</f>
        <v/>
      </c>
      <c r="I249" s="526">
        <f>IF(PMDCAT[[#This Row],[2024]]="","",DONNÉES!EB270)</f>
        <v/>
      </c>
      <c r="K249" s="526">
        <f>IF(PMDCAT[[#This Row],[2024]]="","",DONNÉES!EA238)</f>
        <v/>
      </c>
      <c r="L249" s="527">
        <f>IF(PMDCAT[[#This Row],[2024]]="","",DONNÉES!EB238)</f>
        <v/>
      </c>
      <c r="M249" s="526">
        <f>IF(PMDCAT[[#This Row],[2024]]="","",DONNÉES!EA286)</f>
        <v/>
      </c>
      <c r="N249" s="526">
        <f>IF(PMDCAT[[#This Row],[2024]]="","",DONNÉES!EB286)</f>
        <v/>
      </c>
    </row>
    <row r="250" ht="10.15" customHeight="1" s="161">
      <c r="A250" s="494" t="inlineStr">
        <is>
          <t>Avril</t>
        </is>
      </c>
      <c r="B250" s="526">
        <f>IF(DONNÉES!EA207="","",DONNÉES!EA207)</f>
        <v/>
      </c>
      <c r="C250" s="527">
        <f>IF(PMDCAT[[#This Row],[2024]]="","",DONNÉES!EB207)</f>
        <v/>
      </c>
      <c r="D250" s="526">
        <f>IF(PMDCAT[[#This Row],[2024]]="","",DONNÉES!EA255)</f>
        <v/>
      </c>
      <c r="E250" s="528">
        <f>IF(PMDCAT[[#This Row],[2024]]="","",DONNÉES!EB255)</f>
        <v/>
      </c>
      <c r="F250" s="526">
        <f>IF(PMDCAT[[#This Row],[2024]]="","",DONNÉES!EA223)</f>
        <v/>
      </c>
      <c r="G250" s="527">
        <f>IF(PMDCAT[[#This Row],[2024]]="","",DONNÉES!EB223)</f>
        <v/>
      </c>
      <c r="H250" s="526">
        <f>IF(PMDCAT[[#This Row],[2024]]="","",DONNÉES!EA271)</f>
        <v/>
      </c>
      <c r="I250" s="526">
        <f>IF(PMDCAT[[#This Row],[2024]]="","",DONNÉES!EB271)</f>
        <v/>
      </c>
      <c r="J250" s="476" t="n"/>
      <c r="K250" s="526">
        <f>IF(PMDCAT[[#This Row],[2024]]="","",DONNÉES!EA239)</f>
        <v/>
      </c>
      <c r="L250" s="527">
        <f>IF(PMDCAT[[#This Row],[2024]]="","",DONNÉES!EB239)</f>
        <v/>
      </c>
      <c r="M250" s="526">
        <f>IF(PMDCAT[[#This Row],[2024]]="","",DONNÉES!EA287)</f>
        <v/>
      </c>
      <c r="N250" s="526">
        <f>IF(PMDCAT[[#This Row],[2024]]="","",DONNÉES!EB287)</f>
        <v/>
      </c>
    </row>
    <row r="251" ht="10.15" customHeight="1" s="161">
      <c r="A251" s="490" t="inlineStr">
        <is>
          <t>Mai</t>
        </is>
      </c>
      <c r="B251" s="526">
        <f>IF(DONNÉES!EA208="","",DONNÉES!EA208)</f>
        <v/>
      </c>
      <c r="C251" s="527">
        <f>IF(PMDCAT[[#This Row],[2024]]="","",DONNÉES!EB208)</f>
        <v/>
      </c>
      <c r="D251" s="526">
        <f>IF(PMDCAT[[#This Row],[2024]]="","",DONNÉES!EA256)</f>
        <v/>
      </c>
      <c r="E251" s="528">
        <f>IF(PMDCAT[[#This Row],[2024]]="","",DONNÉES!EB256)</f>
        <v/>
      </c>
      <c r="F251" s="526">
        <f>IF(PMDCAT[[#This Row],[2024]]="","",DONNÉES!EA224)</f>
        <v/>
      </c>
      <c r="G251" s="527">
        <f>IF(PMDCAT[[#This Row],[2024]]="","",DONNÉES!EB224)</f>
        <v/>
      </c>
      <c r="H251" s="526">
        <f>IF(PMDCAT[[#This Row],[2024]]="","",DONNÉES!EA272)</f>
        <v/>
      </c>
      <c r="I251" s="526">
        <f>IF(PMDCAT[[#This Row],[2024]]="","",DONNÉES!EB272)</f>
        <v/>
      </c>
      <c r="J251" s="476" t="n"/>
      <c r="K251" s="526">
        <f>IF(PMDCAT[[#This Row],[2024]]="","",DONNÉES!EA240)</f>
        <v/>
      </c>
      <c r="L251" s="527">
        <f>IF(PMDCAT[[#This Row],[2024]]="","",DONNÉES!EB240)</f>
        <v/>
      </c>
      <c r="M251" s="526">
        <f>IF(PMDCAT[[#This Row],[2024]]="","",DONNÉES!EA288)</f>
        <v/>
      </c>
      <c r="N251" s="526">
        <f>IF(PMDCAT[[#This Row],[2024]]="","",DONNÉES!EB288)</f>
        <v/>
      </c>
    </row>
    <row r="252" ht="10.15" customHeight="1" s="161">
      <c r="A252" s="494" t="inlineStr">
        <is>
          <t>Juin</t>
        </is>
      </c>
      <c r="B252" s="526">
        <f>IF(DONNÉES!EA209="","",DONNÉES!EA209)</f>
        <v/>
      </c>
      <c r="C252" s="527">
        <f>IF(PMDCAT[[#This Row],[2024]]="","",DONNÉES!EB209)</f>
        <v/>
      </c>
      <c r="D252" s="526">
        <f>IF(PMDCAT[[#This Row],[2024]]="","",DONNÉES!EA257)</f>
        <v/>
      </c>
      <c r="E252" s="528">
        <f>IF(PMDCAT[[#This Row],[2024]]="","",DONNÉES!EB257)</f>
        <v/>
      </c>
      <c r="F252" s="526">
        <f>IF(PMDCAT[[#This Row],[2024]]="","",DONNÉES!EA225)</f>
        <v/>
      </c>
      <c r="G252" s="527">
        <f>IF(PMDCAT[[#This Row],[2024]]="","",DONNÉES!EB225)</f>
        <v/>
      </c>
      <c r="H252" s="526">
        <f>IF(PMDCAT[[#This Row],[2024]]="","",DONNÉES!EA273)</f>
        <v/>
      </c>
      <c r="I252" s="526">
        <f>IF(PMDCAT[[#This Row],[2024]]="","",DONNÉES!EB273)</f>
        <v/>
      </c>
      <c r="J252" s="476" t="n"/>
      <c r="K252" s="526">
        <f>IF(PMDCAT[[#This Row],[2024]]="","",DONNÉES!EA241)</f>
        <v/>
      </c>
      <c r="L252" s="527">
        <f>IF(PMDCAT[[#This Row],[2024]]="","",DONNÉES!EB241)</f>
        <v/>
      </c>
      <c r="M252" s="526">
        <f>IF(PMDCAT[[#This Row],[2024]]="","",DONNÉES!EA289)</f>
        <v/>
      </c>
      <c r="N252" s="526">
        <f>IF(PMDCAT[[#This Row],[2024]]="","",DONNÉES!EB289)</f>
        <v/>
      </c>
    </row>
    <row r="253" ht="10.15" customHeight="1" s="161">
      <c r="A253" s="490" t="inlineStr">
        <is>
          <t>Juillet</t>
        </is>
      </c>
      <c r="B253" s="526">
        <f>IF(DONNÉES!EA210="","",DONNÉES!EA210)</f>
        <v/>
      </c>
      <c r="C253" s="527">
        <f>IF(PMDCAT[[#This Row],[2024]]="","",DONNÉES!EB210)</f>
        <v/>
      </c>
      <c r="D253" s="526">
        <f>IF(PMDCAT[[#This Row],[2024]]="","",DONNÉES!EA258)</f>
        <v/>
      </c>
      <c r="E253" s="528">
        <f>IF(PMDCAT[[#This Row],[2024]]="","",DONNÉES!EB258)</f>
        <v/>
      </c>
      <c r="F253" s="526">
        <f>IF(PMDCAT[[#This Row],[2024]]="","",DONNÉES!EA226)</f>
        <v/>
      </c>
      <c r="G253" s="527">
        <f>IF(PMDCAT[[#This Row],[2024]]="","",DONNÉES!EB226)</f>
        <v/>
      </c>
      <c r="H253" s="526">
        <f>IF(PMDCAT[[#This Row],[2024]]="","",DONNÉES!EA274)</f>
        <v/>
      </c>
      <c r="I253" s="526">
        <f>IF(PMDCAT[[#This Row],[2024]]="","",DONNÉES!EB274)</f>
        <v/>
      </c>
      <c r="J253" s="476" t="n"/>
      <c r="K253" s="526">
        <f>IF(PMDCAT[[#This Row],[2024]]="","",DONNÉES!EA242)</f>
        <v/>
      </c>
      <c r="L253" s="527">
        <f>IF(PMDCAT[[#This Row],[2024]]="","",DONNÉES!EB242)</f>
        <v/>
      </c>
      <c r="M253" s="526">
        <f>IF(PMDCAT[[#This Row],[2024]]="","",DONNÉES!EA290)</f>
        <v/>
      </c>
      <c r="N253" s="526">
        <f>IF(PMDCAT[[#This Row],[2024]]="","",DONNÉES!EB290)</f>
        <v/>
      </c>
    </row>
    <row r="254" ht="10.15" customHeight="1" s="161">
      <c r="A254" s="494" t="inlineStr">
        <is>
          <t>Août</t>
        </is>
      </c>
      <c r="B254" s="526">
        <f>IF(DONNÉES!EA211="","",DONNÉES!EA211)</f>
        <v/>
      </c>
      <c r="C254" s="527">
        <f>IF(PMDCAT[[#This Row],[2024]]="","",DONNÉES!EB211)</f>
        <v/>
      </c>
      <c r="D254" s="526">
        <f>IF(PMDCAT[[#This Row],[2024]]="","",DONNÉES!EA259)</f>
        <v/>
      </c>
      <c r="E254" s="528">
        <f>IF(PMDCAT[[#This Row],[2024]]="","",DONNÉES!EB259)</f>
        <v/>
      </c>
      <c r="F254" s="526">
        <f>IF(PMDCAT[[#This Row],[2024]]="","",DONNÉES!EA227)</f>
        <v/>
      </c>
      <c r="G254" s="527">
        <f>IF(PMDCAT[[#This Row],[2024]]="","",DONNÉES!EB227)</f>
        <v/>
      </c>
      <c r="H254" s="526">
        <f>IF(PMDCAT[[#This Row],[2024]]="","",DONNÉES!EA275)</f>
        <v/>
      </c>
      <c r="I254" s="526">
        <f>IF(PMDCAT[[#This Row],[2024]]="","",DONNÉES!EB275)</f>
        <v/>
      </c>
      <c r="J254" s="476" t="n"/>
      <c r="K254" s="526">
        <f>IF(PMDCAT[[#This Row],[2024]]="","",DONNÉES!EA243)</f>
        <v/>
      </c>
      <c r="L254" s="527">
        <f>IF(PMDCAT[[#This Row],[2024]]="","",DONNÉES!EB243)</f>
        <v/>
      </c>
      <c r="M254" s="526">
        <f>IF(PMDCAT[[#This Row],[2024]]="","",DONNÉES!EA291)</f>
        <v/>
      </c>
      <c r="N254" s="526">
        <f>IF(PMDCAT[[#This Row],[2024]]="","",DONNÉES!EB291)</f>
        <v/>
      </c>
    </row>
    <row r="255" ht="10.15" customHeight="1" s="161">
      <c r="A255" s="490" t="inlineStr">
        <is>
          <t>Septembre</t>
        </is>
      </c>
      <c r="B255" s="526">
        <f>IF(DONNÉES!EA212="","",DONNÉES!EA212)</f>
        <v/>
      </c>
      <c r="C255" s="527">
        <f>IF(PMDCAT[[#This Row],[2024]]="","",DONNÉES!EB212)</f>
        <v/>
      </c>
      <c r="D255" s="526">
        <f>IF(PMDCAT[[#This Row],[2024]]="","",DONNÉES!EA260)</f>
        <v/>
      </c>
      <c r="E255" s="528">
        <f>IF(PMDCAT[[#This Row],[2024]]="","",DONNÉES!EB260)</f>
        <v/>
      </c>
      <c r="F255" s="526">
        <f>IF(PMDCAT[[#This Row],[2024]]="","",DONNÉES!EA228)</f>
        <v/>
      </c>
      <c r="G255" s="527">
        <f>IF(PMDCAT[[#This Row],[2024]]="","",DONNÉES!EB228)</f>
        <v/>
      </c>
      <c r="H255" s="526">
        <f>IF(PMDCAT[[#This Row],[2024]]="","",DONNÉES!EA276)</f>
        <v/>
      </c>
      <c r="I255" s="526">
        <f>IF(PMDCAT[[#This Row],[2024]]="","",DONNÉES!EB276)</f>
        <v/>
      </c>
      <c r="J255" s="476" t="n"/>
      <c r="K255" s="526">
        <f>IF(PMDCAT[[#This Row],[2024]]="","",DONNÉES!EA244)</f>
        <v/>
      </c>
      <c r="L255" s="527">
        <f>IF(PMDCAT[[#This Row],[2024]]="","",DONNÉES!EB244)</f>
        <v/>
      </c>
      <c r="M255" s="526">
        <f>IF(PMDCAT[[#This Row],[2024]]="","",DONNÉES!EA292)</f>
        <v/>
      </c>
      <c r="N255" s="526">
        <f>IF(PMDCAT[[#This Row],[2024]]="","",DONNÉES!EB292)</f>
        <v/>
      </c>
    </row>
    <row r="256" ht="10.15" customHeight="1" s="161">
      <c r="A256" s="494" t="inlineStr">
        <is>
          <t>Octobre</t>
        </is>
      </c>
      <c r="B256" s="526">
        <f>IF(DONNÉES!EA213="","",DONNÉES!EA213)</f>
        <v/>
      </c>
      <c r="C256" s="527">
        <f>IF(PMDCAT[[#This Row],[2024]]="","",DONNÉES!EB213)</f>
        <v/>
      </c>
      <c r="D256" s="526">
        <f>IF(PMDCAT[[#This Row],[2024]]="","",DONNÉES!EA261)</f>
        <v/>
      </c>
      <c r="E256" s="528">
        <f>IF(PMDCAT[[#This Row],[2024]]="","",DONNÉES!EB261)</f>
        <v/>
      </c>
      <c r="F256" s="526">
        <f>IF(PMDCAT[[#This Row],[2024]]="","",DONNÉES!EA229)</f>
        <v/>
      </c>
      <c r="G256" s="527">
        <f>IF(PMDCAT[[#This Row],[2024]]="","",DONNÉES!EB229)</f>
        <v/>
      </c>
      <c r="H256" s="526">
        <f>IF(PMDCAT[[#This Row],[2024]]="","",DONNÉES!EA277)</f>
        <v/>
      </c>
      <c r="I256" s="526">
        <f>IF(PMDCAT[[#This Row],[2024]]="","",DONNÉES!EB277)</f>
        <v/>
      </c>
      <c r="J256" s="476" t="n"/>
      <c r="K256" s="526">
        <f>IF(PMDCAT[[#This Row],[2024]]="","",DONNÉES!EA245)</f>
        <v/>
      </c>
      <c r="L256" s="527">
        <f>IF(PMDCAT[[#This Row],[2024]]="","",DONNÉES!EB245)</f>
        <v/>
      </c>
      <c r="M256" s="526">
        <f>IF(PMDCAT[[#This Row],[2024]]="","",DONNÉES!EA293)</f>
        <v/>
      </c>
      <c r="N256" s="526">
        <f>IF(PMDCAT[[#This Row],[2024]]="","",DONNÉES!EB293)</f>
        <v/>
      </c>
    </row>
    <row r="257" ht="10.15" customFormat="1" customHeight="1" s="476">
      <c r="A257" s="490" t="inlineStr">
        <is>
          <t>Novembre</t>
        </is>
      </c>
      <c r="B257" s="526">
        <f>IF(DONNÉES!EA214="","",DONNÉES!EA214)</f>
        <v/>
      </c>
      <c r="C257" s="527">
        <f>IF(PMDCAT[[#This Row],[2024]]="","",DONNÉES!EB214)</f>
        <v/>
      </c>
      <c r="D257" s="526">
        <f>IF(PMDCAT[[#This Row],[2024]]="","",DONNÉES!EA262)</f>
        <v/>
      </c>
      <c r="E257" s="528">
        <f>IF(PMDCAT[[#This Row],[2024]]="","",DONNÉES!EB262)</f>
        <v/>
      </c>
      <c r="F257" s="526">
        <f>IF(PMDCAT[[#This Row],[2024]]="","",DONNÉES!EA230)</f>
        <v/>
      </c>
      <c r="G257" s="527">
        <f>IF(PMDCAT[[#This Row],[2024]]="","",DONNÉES!EB230)</f>
        <v/>
      </c>
      <c r="H257" s="526">
        <f>IF(PMDCAT[[#This Row],[2024]]="","",DONNÉES!EA278)</f>
        <v/>
      </c>
      <c r="I257" s="526">
        <f>IF(PMDCAT[[#This Row],[2024]]="","",DONNÉES!EB278)</f>
        <v/>
      </c>
      <c r="K257" s="526">
        <f>IF(PMDCAT[[#This Row],[2024]]="","",DONNÉES!EA246)</f>
        <v/>
      </c>
      <c r="L257" s="527">
        <f>IF(PMDCAT[[#This Row],[2024]]="","",DONNÉES!EB246)</f>
        <v/>
      </c>
      <c r="M257" s="526">
        <f>IF(PMDCAT[[#This Row],[2024]]="","",DONNÉES!EA294)</f>
        <v/>
      </c>
      <c r="N257" s="526">
        <f>IF(PMDCAT[[#This Row],[2024]]="","",DONNÉES!EB294)</f>
        <v/>
      </c>
    </row>
    <row r="258" ht="10.15" customFormat="1" customHeight="1" s="476">
      <c r="A258" s="490" t="inlineStr">
        <is>
          <t>Décembre</t>
        </is>
      </c>
      <c r="B258" s="526">
        <f>IF(DONNÉES!EA215="","",DONNÉES!EA215)</f>
        <v/>
      </c>
      <c r="C258" s="527">
        <f>IF(PMDCAT[[#This Row],[2024]]="","",DONNÉES!EB215)</f>
        <v/>
      </c>
      <c r="D258" s="526">
        <f>IF(PMDCAT[[#This Row],[2024]]="","",DONNÉES!EA263)</f>
        <v/>
      </c>
      <c r="E258" s="528">
        <f>IF(PMDCAT[[#This Row],[2024]]="","",DONNÉES!EB263)</f>
        <v/>
      </c>
      <c r="F258" s="526">
        <f>IF(PMDCAT[[#This Row],[2024]]="","",DONNÉES!EA231)</f>
        <v/>
      </c>
      <c r="G258" s="527">
        <f>IF(PMDCAT[[#This Row],[2024]]="","",DONNÉES!EB231)</f>
        <v/>
      </c>
      <c r="H258" s="526">
        <f>IF(PMDCAT[[#This Row],[2024]]="","",DONNÉES!EA279)</f>
        <v/>
      </c>
      <c r="I258" s="526">
        <f>IF(PMDCAT[[#This Row],[2024]]="","",DONNÉES!EB279)</f>
        <v/>
      </c>
      <c r="K258" s="526">
        <f>IF(PMDCAT[[#This Row],[2024]]="","",DONNÉES!EA247)</f>
        <v/>
      </c>
      <c r="L258" s="527">
        <f>IF(PMDCAT[[#This Row],[2024]]="","",DONNÉES!EB247)</f>
        <v/>
      </c>
      <c r="M258" s="526">
        <f>IF(PMDCAT[[#This Row],[2024]]="","",DONNÉES!EA295)</f>
        <v/>
      </c>
      <c r="N258" s="526">
        <f>IF(PMDCAT[[#This Row],[2024]]="","",DONNÉES!EB295)</f>
        <v/>
      </c>
    </row>
    <row r="259" ht="11.65" customFormat="1" customHeight="1" s="476">
      <c r="A259" s="532" t="inlineStr">
        <is>
          <t xml:space="preserve"> TOTAL </t>
        </is>
      </c>
      <c r="B259" s="533">
        <f>SUBTOTAL(101,PMDCAT[2024])</f>
        <v/>
      </c>
      <c r="C259" s="534">
        <f>SUBTOTAL(101,PMDCAT[2023])</f>
        <v/>
      </c>
      <c r="D259" s="534">
        <f>SUBTOTAL(101,PMDCAT[2024 cumul])</f>
        <v/>
      </c>
      <c r="E259" s="535">
        <f>SUBTOTAL(101,PMDCAT[2023 cumul])</f>
        <v/>
      </c>
      <c r="F259" s="536">
        <f>SUBTOTAL(101,PMDCAT[[2024  ]])</f>
        <v/>
      </c>
      <c r="G259" s="537">
        <f>SUBTOTAL(101,PMDCAT[[2023  ]])</f>
        <v/>
      </c>
      <c r="H259" s="533">
        <f>SUBTOTAL(101,PMDCAT[[2024 cumul ]])</f>
        <v/>
      </c>
      <c r="I259" s="533">
        <f>SUBTOTAL(101,PMDCAT[[2023 cumul ]])</f>
        <v/>
      </c>
      <c r="K259" s="533">
        <f>SUBTOTAL(101,PMDTHOMAS433[[2024  ]])</f>
        <v/>
      </c>
      <c r="L259" s="534">
        <f>SUBTOTAL(101,PMDTHOMAS433[[2023  ]])</f>
        <v/>
      </c>
      <c r="M259" s="534">
        <f>SUBTOTAL(101,PMDTHOMAS433[[2024 cumul ]])</f>
        <v/>
      </c>
      <c r="N259" s="533">
        <f>SUBTOTAL(101,PMDTHOMAS433[[2023 cumul ]])</f>
        <v/>
      </c>
    </row>
  </sheetData>
  <mergeCells count="49">
    <mergeCell ref="K245:N245"/>
    <mergeCell ref="F149:I149"/>
    <mergeCell ref="F229:I229"/>
    <mergeCell ref="K53:N53"/>
    <mergeCell ref="F37:I37"/>
    <mergeCell ref="K101:N101"/>
    <mergeCell ref="B133:E133"/>
    <mergeCell ref="B5:E5"/>
    <mergeCell ref="F117:I117"/>
    <mergeCell ref="B85:E85"/>
    <mergeCell ref="B213:E213"/>
    <mergeCell ref="K37:N37"/>
    <mergeCell ref="K197:N197"/>
    <mergeCell ref="F245:I245"/>
    <mergeCell ref="B197:E197"/>
    <mergeCell ref="K69:N69"/>
    <mergeCell ref="F197:I197"/>
    <mergeCell ref="F53:I53"/>
    <mergeCell ref="F69:I69"/>
    <mergeCell ref="B165:E165"/>
    <mergeCell ref="K133:N133"/>
    <mergeCell ref="K5:N5"/>
    <mergeCell ref="B149:E149"/>
    <mergeCell ref="A3:N3"/>
    <mergeCell ref="K21:N21"/>
    <mergeCell ref="B21:E21"/>
    <mergeCell ref="F21:I21"/>
    <mergeCell ref="K85:N85"/>
    <mergeCell ref="K213:N213"/>
    <mergeCell ref="B117:E117"/>
    <mergeCell ref="F213:I213"/>
    <mergeCell ref="F5:I5"/>
    <mergeCell ref="F133:I133"/>
    <mergeCell ref="K165:N165"/>
    <mergeCell ref="K181:N181"/>
    <mergeCell ref="B101:E101"/>
    <mergeCell ref="B229:E229"/>
    <mergeCell ref="F85:I85"/>
    <mergeCell ref="B181:E181"/>
    <mergeCell ref="F101:I101"/>
    <mergeCell ref="F181:I181"/>
    <mergeCell ref="B53:E53"/>
    <mergeCell ref="K149:N149"/>
    <mergeCell ref="B69:E69"/>
    <mergeCell ref="K229:N229"/>
    <mergeCell ref="B245:E245"/>
    <mergeCell ref="K117:N117"/>
    <mergeCell ref="B37:E37"/>
    <mergeCell ref="F165:I165"/>
  </mergeCells>
  <pageMargins left="0.7086614173228347" right="0.7086614173228347" top="0.7480314960629921" bottom="0.7480314960629921" header="0.3149606299212598" footer="0.3149606299212598"/>
  <pageSetup orientation="portrait" paperSize="9" scale="71" fitToHeight="3" fitToWidth="0"/>
  <headerFooter>
    <oddHeader/>
    <oddFooter>&amp;C&amp;"Helv,Gras"&amp;11 Page &amp;P / &amp;N</oddFooter>
    <evenHeader/>
    <evenFooter/>
    <firstHeader/>
    <firstFooter/>
  </headerFooter>
  <rowBreaks count="3" manualBreakCount="3">
    <brk id="83" min="0" max="16383" man="1"/>
    <brk id="164" min="0" max="16383" man="1"/>
    <brk id="243" min="0" max="16383" man="1"/>
  </rowBreaks>
  <tableParts count="32">
    <tablePart xmlns:r="http://schemas.openxmlformats.org/officeDocument/2006/relationships" r:id="rId1"/>
    <tablePart xmlns:r="http://schemas.openxmlformats.org/officeDocument/2006/relationships" r:id="rId2"/>
    <tablePart xmlns:r="http://schemas.openxmlformats.org/officeDocument/2006/relationships" r:id="rId3"/>
    <tablePart xmlns:r="http://schemas.openxmlformats.org/officeDocument/2006/relationships" r:id="rId4"/>
    <tablePart xmlns:r="http://schemas.openxmlformats.org/officeDocument/2006/relationships" r:id="rId5"/>
    <tablePart xmlns:r="http://schemas.openxmlformats.org/officeDocument/2006/relationships" r:id="rId6"/>
    <tablePart xmlns:r="http://schemas.openxmlformats.org/officeDocument/2006/relationships" r:id="rId7"/>
    <tablePart xmlns:r="http://schemas.openxmlformats.org/officeDocument/2006/relationships" r:id="rId8"/>
    <tablePart xmlns:r="http://schemas.openxmlformats.org/officeDocument/2006/relationships" r:id="rId9"/>
    <tablePart xmlns:r="http://schemas.openxmlformats.org/officeDocument/2006/relationships" r:id="rId10"/>
    <tablePart xmlns:r="http://schemas.openxmlformats.org/officeDocument/2006/relationships" r:id="rId11"/>
    <tablePart xmlns:r="http://schemas.openxmlformats.org/officeDocument/2006/relationships" r:id="rId12"/>
    <tablePart xmlns:r="http://schemas.openxmlformats.org/officeDocument/2006/relationships" r:id="rId13"/>
    <tablePart xmlns:r="http://schemas.openxmlformats.org/officeDocument/2006/relationships" r:id="rId14"/>
    <tablePart xmlns:r="http://schemas.openxmlformats.org/officeDocument/2006/relationships" r:id="rId15"/>
    <tablePart xmlns:r="http://schemas.openxmlformats.org/officeDocument/2006/relationships" r:id="rId16"/>
    <tablePart xmlns:r="http://schemas.openxmlformats.org/officeDocument/2006/relationships" r:id="rId17"/>
    <tablePart xmlns:r="http://schemas.openxmlformats.org/officeDocument/2006/relationships" r:id="rId18"/>
    <tablePart xmlns:r="http://schemas.openxmlformats.org/officeDocument/2006/relationships" r:id="rId19"/>
    <tablePart xmlns:r="http://schemas.openxmlformats.org/officeDocument/2006/relationships" r:id="rId20"/>
    <tablePart xmlns:r="http://schemas.openxmlformats.org/officeDocument/2006/relationships" r:id="rId21"/>
    <tablePart xmlns:r="http://schemas.openxmlformats.org/officeDocument/2006/relationships" r:id="rId22"/>
    <tablePart xmlns:r="http://schemas.openxmlformats.org/officeDocument/2006/relationships" r:id="rId23"/>
    <tablePart xmlns:r="http://schemas.openxmlformats.org/officeDocument/2006/relationships" r:id="rId24"/>
    <tablePart xmlns:r="http://schemas.openxmlformats.org/officeDocument/2006/relationships" r:id="rId25"/>
    <tablePart xmlns:r="http://schemas.openxmlformats.org/officeDocument/2006/relationships" r:id="rId26"/>
    <tablePart xmlns:r="http://schemas.openxmlformats.org/officeDocument/2006/relationships" r:id="rId27"/>
    <tablePart xmlns:r="http://schemas.openxmlformats.org/officeDocument/2006/relationships" r:id="rId28"/>
    <tablePart xmlns:r="http://schemas.openxmlformats.org/officeDocument/2006/relationships" r:id="rId29"/>
    <tablePart xmlns:r="http://schemas.openxmlformats.org/officeDocument/2006/relationships" r:id="rId30"/>
    <tablePart xmlns:r="http://schemas.openxmlformats.org/officeDocument/2006/relationships" r:id="rId31"/>
    <tablePart xmlns:r="http://schemas.openxmlformats.org/officeDocument/2006/relationships" r:id="rId32"/>
  </tableParts>
</worksheet>
</file>

<file path=xl/worksheets/sheet109.xml><?xml version="1.0" encoding="utf-8"?>
<worksheet xmlns="http://schemas.openxmlformats.org/spreadsheetml/2006/main">
  <sheetPr codeName="Feuil108">
    <tabColor rgb="FF92D050"/>
    <outlinePr summaryBelow="1" summaryRight="1"/>
    <pageSetUpPr/>
  </sheetPr>
  <dimension ref="A1:O146"/>
  <sheetViews>
    <sheetView showGridLines="0" view="pageBreakPreview" topLeftCell="A27" zoomScale="115" zoomScaleNormal="115" zoomScaleSheetLayoutView="115" workbookViewId="0">
      <selection activeCell="G26" activeCellId="2" sqref="E16 M26 G26"/>
    </sheetView>
  </sheetViews>
  <sheetFormatPr baseColWidth="10" defaultColWidth="11.42578125" defaultRowHeight="12.75"/>
  <cols>
    <col width="15.7109375" customWidth="1" style="474" min="1" max="1"/>
    <col width="9.7109375" customWidth="1" style="478" min="2" max="3"/>
    <col width="9.7109375" customWidth="1" style="101" min="4" max="4"/>
    <col width="9.7109375" customWidth="1" style="478" min="5" max="6"/>
    <col width="9.7109375" customWidth="1" style="479" min="7" max="7"/>
    <col width="5.28515625" customWidth="1" style="475" min="8" max="8"/>
    <col width="15.7109375" customWidth="1" style="475" min="9" max="9"/>
    <col width="9.7109375" customWidth="1" style="478" min="10" max="11"/>
    <col width="9.7109375" customWidth="1" style="101" min="12" max="12"/>
    <col width="9.7109375" customWidth="1" style="478" min="13" max="14"/>
    <col width="9.7109375" customWidth="1" style="479" min="15" max="15"/>
    <col width="11.42578125" customWidth="1" style="474" min="16" max="16384"/>
  </cols>
  <sheetData>
    <row r="1">
      <c r="A1" s="372" t="inlineStr">
        <is>
          <t>GROUPE REGIS REGO DE SEBES</t>
        </is>
      </c>
      <c r="B1" s="480" t="n"/>
      <c r="C1" s="480" t="n"/>
      <c r="D1" s="98" t="n"/>
      <c r="E1" s="480" t="n"/>
      <c r="F1" s="480" t="n"/>
      <c r="G1" s="481" t="n"/>
      <c r="H1" s="474" t="n"/>
      <c r="I1" s="474" t="n"/>
      <c r="J1" s="482" t="n"/>
      <c r="O1" s="483">
        <f>CONCATENATE("P&amp;L ",RIGHT(DONNÉES!B5,LEN(DONNÉES!B5)-3))</f>
        <v/>
      </c>
    </row>
    <row r="2">
      <c r="A2" s="372" t="n"/>
      <c r="B2" s="480" t="n"/>
      <c r="C2" s="480" t="n"/>
      <c r="D2" s="98" t="n"/>
      <c r="E2" s="480" t="n"/>
      <c r="F2" s="480" t="n"/>
      <c r="G2" s="481" t="n"/>
      <c r="H2" s="373" t="n"/>
      <c r="I2" s="373" t="n"/>
      <c r="J2" s="484" t="n"/>
    </row>
    <row r="3" ht="15.6" customHeight="1" s="161">
      <c r="A3" s="374" t="inlineStr">
        <is>
          <t>Paniers moyens</t>
        </is>
      </c>
    </row>
    <row r="4" ht="33" customHeight="1" s="161">
      <c r="A4" s="370" t="n"/>
      <c r="B4" s="508" t="n"/>
      <c r="C4" s="508" t="n"/>
      <c r="D4" s="99" t="n"/>
      <c r="E4" s="508" t="n"/>
      <c r="F4" s="508" t="n"/>
      <c r="G4" s="509" t="n"/>
      <c r="H4" s="370" t="n"/>
      <c r="I4" s="370" t="n"/>
      <c r="J4" s="508" t="n"/>
    </row>
    <row r="5" ht="33" customHeight="1" s="161">
      <c r="A5" s="474" t="inlineStr">
        <is>
          <t>GLR5</t>
        </is>
      </c>
      <c r="B5" s="491" t="inlineStr">
        <is>
          <t>2024</t>
        </is>
      </c>
      <c r="C5" s="491" t="inlineStr">
        <is>
          <t>2023</t>
        </is>
      </c>
      <c r="D5" s="100" t="inlineStr">
        <is>
          <t>Variat.</t>
        </is>
      </c>
      <c r="E5" s="491" t="inlineStr">
        <is>
          <t>2022</t>
        </is>
      </c>
      <c r="F5" s="491" t="inlineStr">
        <is>
          <t>2021</t>
        </is>
      </c>
      <c r="G5" s="525" t="inlineStr">
        <is>
          <t>2020</t>
        </is>
      </c>
      <c r="H5" s="474" t="n"/>
      <c r="I5" s="474" t="inlineStr">
        <is>
          <t>HTR8</t>
        </is>
      </c>
      <c r="J5" s="491" t="inlineStr">
        <is>
          <t>2024</t>
        </is>
      </c>
      <c r="K5" s="491" t="inlineStr">
        <is>
          <t>2023</t>
        </is>
      </c>
      <c r="L5" s="100" t="inlineStr">
        <is>
          <t>Variat.</t>
        </is>
      </c>
      <c r="M5" s="491" t="inlineStr">
        <is>
          <t>2022</t>
        </is>
      </c>
      <c r="N5" s="491" t="inlineStr">
        <is>
          <t>2021</t>
        </is>
      </c>
      <c r="O5" s="525" t="inlineStr">
        <is>
          <t>2020</t>
        </is>
      </c>
    </row>
    <row r="6" ht="13.15" customFormat="1" customHeight="1" s="476">
      <c r="A6" s="476" t="inlineStr">
        <is>
          <t>Janvier</t>
        </is>
      </c>
      <c r="B6" s="526">
        <f>IF(DONNÉES!K236="","",DONNÉES!K236)</f>
        <v/>
      </c>
      <c r="C6" s="526">
        <f>IF(PMTGLR5[[#This Row],[2024]]="","",DONNÉES!L236)</f>
        <v/>
      </c>
      <c r="D6" s="96">
        <f>IF(PMTGLR5[[#This Row],[2024]]="","",(PMTGLR5[[#This Row],[2024]]-PMTGLR5[[#This Row],[2023]])/PMTGLR5[[#This Row],[2023]])</f>
        <v/>
      </c>
      <c r="E6" s="526">
        <f>IF(PMTGLR5[[#This Row],[2024]]="","",DONNÉES!M236)</f>
        <v/>
      </c>
      <c r="F6" s="526">
        <f>IF(PMTGLR5[[#This Row],[2024]]="","",DONNÉES!N236)</f>
        <v/>
      </c>
      <c r="G6" s="526">
        <f>IF(PMTGLR5[[#This Row],[2024]]="","",DONNÉES!O236)</f>
        <v/>
      </c>
      <c r="I6" s="476" t="inlineStr">
        <is>
          <t>Janvier</t>
        </is>
      </c>
      <c r="J6" s="526">
        <f>IF(DONNÉES!S236="","",DONNÉES!S236)</f>
        <v/>
      </c>
      <c r="K6" s="526">
        <f>IF(PMTHTR8[[#This Row],[2024]]="","",DONNÉES!T236)</f>
        <v/>
      </c>
      <c r="L6" s="96">
        <f>IF(PMTHTR8[[#This Row],[2024]]="","",(PMTHTR8[[#This Row],[2024]]-PMTHTR8[[#This Row],[2023]])/PMTHTR8[[#This Row],[2023]])</f>
        <v/>
      </c>
      <c r="M6" s="526">
        <f>IF(PMTHTR8[[#This Row],[2024]]="","",DONNÉES!U236)</f>
        <v/>
      </c>
      <c r="N6" s="526">
        <f>IF(PMTHTR8[[#This Row],[2024]]="","",DONNÉES!V236)</f>
        <v/>
      </c>
      <c r="O6" s="526">
        <f>IF(PMTHTR8[[#This Row],[2024]]="","",DONNÉES!W236)</f>
        <v/>
      </c>
    </row>
    <row r="7" ht="13.15" customFormat="1" customHeight="1" s="476">
      <c r="A7" s="476" t="inlineStr">
        <is>
          <t>Février</t>
        </is>
      </c>
      <c r="B7" s="526">
        <f>IF(DONNÉES!K237="","",DONNÉES!K237)</f>
        <v/>
      </c>
      <c r="C7" s="526">
        <f>IF(PMTGLR5[[#This Row],[2024]]="","",DONNÉES!L237)</f>
        <v/>
      </c>
      <c r="D7" s="96">
        <f>IF(PMTGLR5[[#This Row],[2024]]="","",(PMTGLR5[[#This Row],[2024]]-PMTGLR5[[#This Row],[2023]])/PMTGLR5[[#This Row],[2023]])</f>
        <v/>
      </c>
      <c r="E7" s="526">
        <f>IF(PMTGLR5[[#This Row],[2024]]="","",DONNÉES!M237)</f>
        <v/>
      </c>
      <c r="F7" s="529">
        <f>IF(PMTGLR5[[#This Row],[2024]]="","",DONNÉES!N237)</f>
        <v/>
      </c>
      <c r="G7" s="540">
        <f>IF(PMTGLR5[[#This Row],[2024]]="","",DONNÉES!O237)</f>
        <v/>
      </c>
      <c r="I7" s="476" t="inlineStr">
        <is>
          <t>Février</t>
        </is>
      </c>
      <c r="J7" s="526">
        <f>IF(DONNÉES!S237="","",DONNÉES!S237)</f>
        <v/>
      </c>
      <c r="K7" s="526">
        <f>IF(PMTHTR8[[#This Row],[2024]]="","",DONNÉES!T237)</f>
        <v/>
      </c>
      <c r="L7" s="96">
        <f>IF(PMTHTR8[[#This Row],[2024]]="","",(PMTHTR8[[#This Row],[2024]]-PMTHTR8[[#This Row],[2023]])/PMTHTR8[[#This Row],[2023]])</f>
        <v/>
      </c>
      <c r="M7" s="526">
        <f>IF(PMTHTR8[[#This Row],[2024]]="","",DONNÉES!U237)</f>
        <v/>
      </c>
      <c r="N7" s="529">
        <f>IF(PMTHTR8[[#This Row],[2024]]="","",DONNÉES!V237)</f>
        <v/>
      </c>
      <c r="O7" s="540">
        <f>IF(PMTHTR8[[#This Row],[2024]]="","",DONNÉES!W237)</f>
        <v/>
      </c>
    </row>
    <row r="8" ht="13.15" customFormat="1" customHeight="1" s="476">
      <c r="A8" s="474" t="inlineStr">
        <is>
          <t>Mars</t>
        </is>
      </c>
      <c r="B8" s="526">
        <f>IF(DONNÉES!K238="","",DONNÉES!K238)</f>
        <v/>
      </c>
      <c r="C8" s="526">
        <f>IF(PMTGLR5[[#This Row],[2024]]="","",DONNÉES!L238)</f>
        <v/>
      </c>
      <c r="D8" s="96">
        <f>IF(PMTGLR5[[#This Row],[2024]]="","",(PMTGLR5[[#This Row],[2024]]-PMTGLR5[[#This Row],[2023]])/PMTGLR5[[#This Row],[2023]])</f>
        <v/>
      </c>
      <c r="E8" s="526">
        <f>IF(PMTGLR5[[#This Row],[2024]]="","",DONNÉES!M238)</f>
        <v/>
      </c>
      <c r="F8" s="529">
        <f>IF(PMTGLR5[[#This Row],[2024]]="","",DONNÉES!N238)</f>
        <v/>
      </c>
      <c r="G8" s="540">
        <f>IF(PMTGLR5[[#This Row],[2024]]="","",DONNÉES!O238)</f>
        <v/>
      </c>
      <c r="I8" s="474" t="inlineStr">
        <is>
          <t>Mars</t>
        </is>
      </c>
      <c r="J8" s="526">
        <f>IF(DONNÉES!S238="","",DONNÉES!S238)</f>
        <v/>
      </c>
      <c r="K8" s="526">
        <f>IF(PMTHTR8[[#This Row],[2024]]="","",DONNÉES!T238)</f>
        <v/>
      </c>
      <c r="L8" s="96">
        <f>IF(PMTHTR8[[#This Row],[2024]]="","",(PMTHTR8[[#This Row],[2024]]-PMTHTR8[[#This Row],[2023]])/PMTHTR8[[#This Row],[2023]])</f>
        <v/>
      </c>
      <c r="M8" s="526">
        <f>IF(PMTHTR8[[#This Row],[2024]]="","",DONNÉES!U238)</f>
        <v/>
      </c>
      <c r="N8" s="529">
        <f>IF(PMTHTR8[[#This Row],[2024]]="","",DONNÉES!V238)</f>
        <v/>
      </c>
      <c r="O8" s="540">
        <f>IF(PMTHTR8[[#This Row],[2024]]="","",DONNÉES!W238)</f>
        <v/>
      </c>
    </row>
    <row r="9" ht="13.15" customHeight="1" s="161">
      <c r="A9" s="476" t="inlineStr">
        <is>
          <t>Avril</t>
        </is>
      </c>
      <c r="B9" s="526">
        <f>IF(DONNÉES!K239="","",DONNÉES!K239)</f>
        <v/>
      </c>
      <c r="C9" s="526">
        <f>IF(PMTGLR5[[#This Row],[2024]]="","",DONNÉES!L239)</f>
        <v/>
      </c>
      <c r="D9" s="96">
        <f>IF(PMTGLR5[[#This Row],[2024]]="","",(PMTGLR5[[#This Row],[2024]]-PMTGLR5[[#This Row],[2023]])/PMTGLR5[[#This Row],[2023]])</f>
        <v/>
      </c>
      <c r="E9" s="526">
        <f>IF(PMTGLR5[[#This Row],[2024]]="","",DONNÉES!M239)</f>
        <v/>
      </c>
      <c r="F9" s="529">
        <f>IF(PMTGLR5[[#This Row],[2024]]="","",DONNÉES!N239)</f>
        <v/>
      </c>
      <c r="G9" s="540">
        <f>IF(PMTGLR5[[#This Row],[2024]]="","",DONNÉES!O239)</f>
        <v/>
      </c>
      <c r="H9" s="474" t="n"/>
      <c r="I9" s="476" t="inlineStr">
        <is>
          <t>Avril</t>
        </is>
      </c>
      <c r="J9" s="526">
        <f>IF(DONNÉES!S239="","",DONNÉES!S239)</f>
        <v/>
      </c>
      <c r="K9" s="526">
        <f>IF(PMTHTR8[[#This Row],[2024]]="","",DONNÉES!T239)</f>
        <v/>
      </c>
      <c r="L9" s="96">
        <f>IF(PMTHTR8[[#This Row],[2024]]="","",(PMTHTR8[[#This Row],[2024]]-PMTHTR8[[#This Row],[2023]])/PMTHTR8[[#This Row],[2023]])</f>
        <v/>
      </c>
      <c r="M9" s="526">
        <f>IF(PMTHTR8[[#This Row],[2024]]="","",DONNÉES!U239)</f>
        <v/>
      </c>
      <c r="N9" s="529">
        <f>IF(PMTHTR8[[#This Row],[2024]]="","",DONNÉES!V239)</f>
        <v/>
      </c>
      <c r="O9" s="540">
        <f>IF(PMTHTR8[[#This Row],[2024]]="","",DONNÉES!W239)</f>
        <v/>
      </c>
    </row>
    <row r="10" ht="13.15" customHeight="1" s="161">
      <c r="A10" s="474" t="inlineStr">
        <is>
          <t>Mai</t>
        </is>
      </c>
      <c r="B10" s="526">
        <f>IF(DONNÉES!K240="","",DONNÉES!K240)</f>
        <v/>
      </c>
      <c r="C10" s="526">
        <f>IF(PMTGLR5[[#This Row],[2024]]="","",DONNÉES!L240)</f>
        <v/>
      </c>
      <c r="D10" s="96">
        <f>IF(PMTGLR5[[#This Row],[2024]]="","",(PMTGLR5[[#This Row],[2024]]-PMTGLR5[[#This Row],[2023]])/PMTGLR5[[#This Row],[2023]])</f>
        <v/>
      </c>
      <c r="E10" s="526">
        <f>IF(PMTGLR5[[#This Row],[2024]]="","",DONNÉES!M240)</f>
        <v/>
      </c>
      <c r="F10" s="529">
        <f>IF(PMTGLR5[[#This Row],[2024]]="","",DONNÉES!N240)</f>
        <v/>
      </c>
      <c r="G10" s="540">
        <f>IF(PMTGLR5[[#This Row],[2024]]="","",DONNÉES!O240)</f>
        <v/>
      </c>
      <c r="H10" s="474" t="n"/>
      <c r="I10" s="474" t="inlineStr">
        <is>
          <t>Mai</t>
        </is>
      </c>
      <c r="J10" s="526">
        <f>IF(DONNÉES!S240="","",DONNÉES!S240)</f>
        <v/>
      </c>
      <c r="K10" s="526">
        <f>IF(PMTHTR8[[#This Row],[2024]]="","",DONNÉES!T240)</f>
        <v/>
      </c>
      <c r="L10" s="96">
        <f>IF(PMTHTR8[[#This Row],[2024]]="","",(PMTHTR8[[#This Row],[2024]]-PMTHTR8[[#This Row],[2023]])/PMTHTR8[[#This Row],[2023]])</f>
        <v/>
      </c>
      <c r="M10" s="526">
        <f>IF(PMTHTR8[[#This Row],[2024]]="","",DONNÉES!U240)</f>
        <v/>
      </c>
      <c r="N10" s="529">
        <f>IF(PMTHTR8[[#This Row],[2024]]="","",DONNÉES!V240)</f>
        <v/>
      </c>
      <c r="O10" s="540">
        <f>IF(PMTHTR8[[#This Row],[2024]]="","",DONNÉES!W240)</f>
        <v/>
      </c>
    </row>
    <row r="11" ht="13.15" customHeight="1" s="161">
      <c r="A11" s="476" t="inlineStr">
        <is>
          <t>Juin</t>
        </is>
      </c>
      <c r="B11" s="526">
        <f>IF(DONNÉES!K241="","",DONNÉES!K241)</f>
        <v/>
      </c>
      <c r="C11" s="526">
        <f>IF(PMTGLR5[[#This Row],[2024]]="","",DONNÉES!L241)</f>
        <v/>
      </c>
      <c r="D11" s="96">
        <f>IF(PMTGLR5[[#This Row],[2024]]="","",(PMTGLR5[[#This Row],[2024]]-PMTGLR5[[#This Row],[2023]])/PMTGLR5[[#This Row],[2023]])</f>
        <v/>
      </c>
      <c r="E11" s="526">
        <f>IF(PMTGLR5[[#This Row],[2024]]="","",DONNÉES!M241)</f>
        <v/>
      </c>
      <c r="F11" s="529">
        <f>IF(PMTGLR5[[#This Row],[2024]]="","",DONNÉES!N241)</f>
        <v/>
      </c>
      <c r="G11" s="540">
        <f>IF(PMTGLR5[[#This Row],[2024]]="","",DONNÉES!O241)</f>
        <v/>
      </c>
      <c r="H11" s="474" t="n"/>
      <c r="I11" s="476" t="inlineStr">
        <is>
          <t>Juin</t>
        </is>
      </c>
      <c r="J11" s="526">
        <f>IF(DONNÉES!S241="","",DONNÉES!S241)</f>
        <v/>
      </c>
      <c r="K11" s="526">
        <f>IF(PMTHTR8[[#This Row],[2024]]="","",DONNÉES!T241)</f>
        <v/>
      </c>
      <c r="L11" s="96">
        <f>IF(PMTHTR8[[#This Row],[2024]]="","",(PMTHTR8[[#This Row],[2024]]-PMTHTR8[[#This Row],[2023]])/PMTHTR8[[#This Row],[2023]])</f>
        <v/>
      </c>
      <c r="M11" s="526">
        <f>IF(PMTHTR8[[#This Row],[2024]]="","",DONNÉES!U241)</f>
        <v/>
      </c>
      <c r="N11" s="529">
        <f>IF(PMTHTR8[[#This Row],[2024]]="","",DONNÉES!V241)</f>
        <v/>
      </c>
      <c r="O11" s="540">
        <f>IF(PMTHTR8[[#This Row],[2024]]="","",DONNÉES!W241)</f>
        <v/>
      </c>
    </row>
    <row r="12" ht="13.15" customHeight="1" s="161">
      <c r="A12" s="474" t="inlineStr">
        <is>
          <t>Juillet</t>
        </is>
      </c>
      <c r="B12" s="526">
        <f>IF(DONNÉES!K242="","",DONNÉES!K242)</f>
        <v/>
      </c>
      <c r="C12" s="526">
        <f>IF(PMTGLR5[[#This Row],[2024]]="","",DONNÉES!L242)</f>
        <v/>
      </c>
      <c r="D12" s="96">
        <f>IF(PMTGLR5[[#This Row],[2024]]="","",(PMTGLR5[[#This Row],[2024]]-PMTGLR5[[#This Row],[2023]])/PMTGLR5[[#This Row],[2023]])</f>
        <v/>
      </c>
      <c r="E12" s="526">
        <f>IF(PMTGLR5[[#This Row],[2024]]="","",DONNÉES!M242)</f>
        <v/>
      </c>
      <c r="F12" s="529">
        <f>IF(PMTGLR5[[#This Row],[2024]]="","",DONNÉES!N242)</f>
        <v/>
      </c>
      <c r="G12" s="540">
        <f>IF(PMTGLR5[[#This Row],[2024]]="","",DONNÉES!O242)</f>
        <v/>
      </c>
      <c r="H12" s="474" t="n"/>
      <c r="I12" s="474" t="inlineStr">
        <is>
          <t>Juillet</t>
        </is>
      </c>
      <c r="J12" s="526">
        <f>IF(DONNÉES!S242="","",DONNÉES!S242)</f>
        <v/>
      </c>
      <c r="K12" s="526">
        <f>IF(PMTHTR8[[#This Row],[2024]]="","",DONNÉES!T242)</f>
        <v/>
      </c>
      <c r="L12" s="96">
        <f>IF(PMTHTR8[[#This Row],[2024]]="","",(PMTHTR8[[#This Row],[2024]]-PMTHTR8[[#This Row],[2023]])/PMTHTR8[[#This Row],[2023]])</f>
        <v/>
      </c>
      <c r="M12" s="526">
        <f>IF(PMTHTR8[[#This Row],[2024]]="","",DONNÉES!U242)</f>
        <v/>
      </c>
      <c r="N12" s="529">
        <f>IF(PMTHTR8[[#This Row],[2024]]="","",DONNÉES!V242)</f>
        <v/>
      </c>
      <c r="O12" s="540">
        <f>IF(PMTHTR8[[#This Row],[2024]]="","",DONNÉES!W242)</f>
        <v/>
      </c>
    </row>
    <row r="13" ht="13.15" customHeight="1" s="161">
      <c r="A13" s="476" t="inlineStr">
        <is>
          <t>Août</t>
        </is>
      </c>
      <c r="B13" s="526">
        <f>IF(DONNÉES!K243="","",DONNÉES!K243)</f>
        <v/>
      </c>
      <c r="C13" s="526">
        <f>IF(PMTGLR5[[#This Row],[2024]]="","",DONNÉES!L243)</f>
        <v/>
      </c>
      <c r="D13" s="96">
        <f>IF(PMTGLR5[[#This Row],[2024]]="","",(PMTGLR5[[#This Row],[2024]]-PMTGLR5[[#This Row],[2023]])/PMTGLR5[[#This Row],[2023]])</f>
        <v/>
      </c>
      <c r="E13" s="526">
        <f>IF(PMTGLR5[[#This Row],[2024]]="","",DONNÉES!M243)</f>
        <v/>
      </c>
      <c r="F13" s="529">
        <f>IF(PMTGLR5[[#This Row],[2024]]="","",DONNÉES!N243)</f>
        <v/>
      </c>
      <c r="G13" s="540">
        <f>IF(PMTGLR5[[#This Row],[2024]]="","",DONNÉES!O243)</f>
        <v/>
      </c>
      <c r="H13" s="474" t="n"/>
      <c r="I13" s="476" t="inlineStr">
        <is>
          <t>Août</t>
        </is>
      </c>
      <c r="J13" s="526">
        <f>IF(DONNÉES!S243="","",DONNÉES!S243)</f>
        <v/>
      </c>
      <c r="K13" s="526">
        <f>IF(PMTHTR8[[#This Row],[2024]]="","",DONNÉES!T243)</f>
        <v/>
      </c>
      <c r="L13" s="96">
        <f>IF(PMTHTR8[[#This Row],[2024]]="","",(PMTHTR8[[#This Row],[2024]]-PMTHTR8[[#This Row],[2023]])/PMTHTR8[[#This Row],[2023]])</f>
        <v/>
      </c>
      <c r="M13" s="526">
        <f>IF(PMTHTR8[[#This Row],[2024]]="","",DONNÉES!U243)</f>
        <v/>
      </c>
      <c r="N13" s="529">
        <f>IF(PMTHTR8[[#This Row],[2024]]="","",DONNÉES!V243)</f>
        <v/>
      </c>
      <c r="O13" s="540">
        <f>IF(PMTHTR8[[#This Row],[2024]]="","",DONNÉES!W243)</f>
        <v/>
      </c>
    </row>
    <row r="14" ht="13.15" customHeight="1" s="161">
      <c r="A14" s="474" t="inlineStr">
        <is>
          <t>Septembre</t>
        </is>
      </c>
      <c r="B14" s="529">
        <f>IF(DONNÉES!K244="","",DONNÉES!K244)</f>
        <v/>
      </c>
      <c r="C14" s="529">
        <f>IF(PMTGLR5[[#This Row],[2024]]="","",DONNÉES!L244)</f>
        <v/>
      </c>
      <c r="D14" s="97">
        <f>IF(PMTGLR5[[#This Row],[2024]]="","",(PMTGLR5[[#This Row],[2024]]-PMTGLR5[[#This Row],[2023]])/PMTGLR5[[#This Row],[2023]])</f>
        <v/>
      </c>
      <c r="E14" s="526">
        <f>IF(PMTGLR5[[#This Row],[2024]]="","",DONNÉES!M244)</f>
        <v/>
      </c>
      <c r="F14" s="529">
        <f>IF(PMTGLR5[[#This Row],[2024]]="","",DONNÉES!N244)</f>
        <v/>
      </c>
      <c r="G14" s="540">
        <f>IF(PMTGLR5[[#This Row],[2024]]="","",DONNÉES!O244)</f>
        <v/>
      </c>
      <c r="I14" s="474" t="inlineStr">
        <is>
          <t>Septembre</t>
        </is>
      </c>
      <c r="J14" s="526">
        <f>IF(DONNÉES!S244="","",DONNÉES!S244)</f>
        <v/>
      </c>
      <c r="K14" s="526">
        <f>IF(PMTHTR8[[#This Row],[2024]]="","",DONNÉES!T244)</f>
        <v/>
      </c>
      <c r="L14" s="97">
        <f>IF(PMTHTR8[[#This Row],[2024]]="","",(PMTHTR8[[#This Row],[2024]]-PMTHTR8[[#This Row],[2023]])/PMTHTR8[[#This Row],[2023]])</f>
        <v/>
      </c>
      <c r="M14" s="526">
        <f>IF(PMTHTR8[[#This Row],[2024]]="","",DONNÉES!U244)</f>
        <v/>
      </c>
      <c r="N14" s="529">
        <f>IF(PMTHTR8[[#This Row],[2024]]="","",DONNÉES!V244)</f>
        <v/>
      </c>
      <c r="O14" s="540">
        <f>IF(PMTHTR8[[#This Row],[2024]]="","",DONNÉES!W244)</f>
        <v/>
      </c>
    </row>
    <row r="15" ht="13.15" customHeight="1" s="161">
      <c r="A15" s="476" t="inlineStr">
        <is>
          <t>Octobre</t>
        </is>
      </c>
      <c r="B15" s="529">
        <f>IF(DONNÉES!K245="","",DONNÉES!K245)</f>
        <v/>
      </c>
      <c r="C15" s="529">
        <f>IF(PMTGLR5[[#This Row],[2024]]="","",DONNÉES!L245)</f>
        <v/>
      </c>
      <c r="D15" s="97">
        <f>IF(PMTGLR5[[#This Row],[2024]]="","",(PMTGLR5[[#This Row],[2024]]-PMTGLR5[[#This Row],[2023]])/PMTGLR5[[#This Row],[2023]])</f>
        <v/>
      </c>
      <c r="E15" s="526">
        <f>IF(PMTGLR5[[#This Row],[2024]]="","",DONNÉES!M245)</f>
        <v/>
      </c>
      <c r="F15" s="529">
        <f>IF(PMTGLR5[[#This Row],[2024]]="","",DONNÉES!N245)</f>
        <v/>
      </c>
      <c r="G15" s="540">
        <f>IF(PMTGLR5[[#This Row],[2024]]="","",DONNÉES!O245)</f>
        <v/>
      </c>
      <c r="H15" s="474" t="n"/>
      <c r="I15" s="476" t="inlineStr">
        <is>
          <t>Octobre</t>
        </is>
      </c>
      <c r="J15" s="526">
        <f>IF(DONNÉES!S245="","",DONNÉES!S245)</f>
        <v/>
      </c>
      <c r="K15" s="526">
        <f>IF(PMTHTR8[[#This Row],[2024]]="","",DONNÉES!T245)</f>
        <v/>
      </c>
      <c r="L15" s="97">
        <f>IF(PMTHTR8[[#This Row],[2024]]="","",(PMTHTR8[[#This Row],[2024]]-PMTHTR8[[#This Row],[2023]])/PMTHTR8[[#This Row],[2023]])</f>
        <v/>
      </c>
      <c r="M15" s="526">
        <f>IF(PMTHTR8[[#This Row],[2024]]="","",DONNÉES!U245)</f>
        <v/>
      </c>
      <c r="N15" s="529">
        <f>IF(PMTHTR8[[#This Row],[2024]]="","",DONNÉES!V245)</f>
        <v/>
      </c>
      <c r="O15" s="540">
        <f>IF(PMTHTR8[[#This Row],[2024]]="","",DONNÉES!W245)</f>
        <v/>
      </c>
    </row>
    <row r="16" ht="13.15" customFormat="1" customHeight="1" s="476">
      <c r="A16" s="474" t="inlineStr">
        <is>
          <t>Novembre</t>
        </is>
      </c>
      <c r="B16" s="529">
        <f>IF(DONNÉES!K246="","",DONNÉES!K246)</f>
        <v/>
      </c>
      <c r="C16" s="529">
        <f>IF(PMTGLR5[[#This Row],[2024]]="","",DONNÉES!L246)</f>
        <v/>
      </c>
      <c r="D16" s="97">
        <f>IF(PMTGLR5[[#This Row],[2024]]="","",(PMTGLR5[[#This Row],[2024]]-PMTGLR5[[#This Row],[2023]])/PMTGLR5[[#This Row],[2023]])</f>
        <v/>
      </c>
      <c r="E16" s="526">
        <f>IF(PMTGLR5[[#This Row],[2024]]="","",DONNÉES!M246)</f>
        <v/>
      </c>
      <c r="F16" s="529">
        <f>IF(PMTGLR5[[#This Row],[2024]]="","",DONNÉES!N246)</f>
        <v/>
      </c>
      <c r="G16" s="540">
        <f>IF(PMTGLR5[[#This Row],[2024]]="","",DONNÉES!O246)</f>
        <v/>
      </c>
      <c r="I16" s="474" t="inlineStr">
        <is>
          <t>Novembre</t>
        </is>
      </c>
      <c r="J16" s="526">
        <f>IF(DONNÉES!S246="","",DONNÉES!S246)</f>
        <v/>
      </c>
      <c r="K16" s="526">
        <f>IF(PMTHTR8[[#This Row],[2024]]="","",DONNÉES!T246)</f>
        <v/>
      </c>
      <c r="L16" s="97">
        <f>IF(PMTHTR8[[#This Row],[2024]]="","",(PMTHTR8[[#This Row],[2024]]-PMTHTR8[[#This Row],[2023]])/PMTHTR8[[#This Row],[2023]])</f>
        <v/>
      </c>
      <c r="M16" s="526">
        <f>IF(PMTHTR8[[#This Row],[2024]]="","",DONNÉES!U246)</f>
        <v/>
      </c>
      <c r="N16" s="529">
        <f>IF(PMTHTR8[[#This Row],[2024]]="","",DONNÉES!V246)</f>
        <v/>
      </c>
      <c r="O16" s="540">
        <f>IF(PMTHTR8[[#This Row],[2024]]="","",DONNÉES!W246)</f>
        <v/>
      </c>
    </row>
    <row r="17" ht="13.15" customFormat="1" customHeight="1" s="476">
      <c r="A17" s="474" t="inlineStr">
        <is>
          <t>Décembre</t>
        </is>
      </c>
      <c r="B17" s="529">
        <f>IF(DONNÉES!K247="","",DONNÉES!K247)</f>
        <v/>
      </c>
      <c r="C17" s="529">
        <f>IF(PMTGLR5[[#This Row],[2024]]="","",DONNÉES!L247)</f>
        <v/>
      </c>
      <c r="D17" s="97">
        <f>IF(PMTGLR5[[#This Row],[2024]]="","",(PMTGLR5[[#This Row],[2024]]-PMTGLR5[[#This Row],[2023]])/PMTGLR5[[#This Row],[2023]])</f>
        <v/>
      </c>
      <c r="E17" s="526">
        <f>IF(PMTGLR5[[#This Row],[2024]]="","",DONNÉES!M247)</f>
        <v/>
      </c>
      <c r="F17" s="529">
        <f>IF(PMTGLR5[[#This Row],[2024]]="","",DONNÉES!N247)</f>
        <v/>
      </c>
      <c r="G17" s="540">
        <f>IF(PMTGLR5[[#This Row],[2024]]="","",DONNÉES!O247)</f>
        <v/>
      </c>
      <c r="I17" s="474" t="inlineStr">
        <is>
          <t>Décembre</t>
        </is>
      </c>
      <c r="J17" s="526">
        <f>IF(DONNÉES!S247="","",DONNÉES!S247)</f>
        <v/>
      </c>
      <c r="K17" s="526">
        <f>IF(PMTHTR8[[#This Row],[2024]]="","",DONNÉES!T247)</f>
        <v/>
      </c>
      <c r="L17" s="97">
        <f>IF(PMTHTR8[[#This Row],[2024]]="","",(PMTHTR8[[#This Row],[2024]]-PMTHTR8[[#This Row],[2023]])/PMTHTR8[[#This Row],[2023]])</f>
        <v/>
      </c>
      <c r="M17" s="526">
        <f>IF(PMTHTR8[[#This Row],[2024]]="","",DONNÉES!U247)</f>
        <v/>
      </c>
      <c r="N17" s="529">
        <f>IF(PMTHTR8[[#This Row],[2024]]="","",DONNÉES!V247)</f>
        <v/>
      </c>
      <c r="O17" s="540">
        <f>IF(PMTHTR8[[#This Row],[2024]]="","",DONNÉES!W247)</f>
        <v/>
      </c>
    </row>
    <row r="18" ht="16.9" customFormat="1" customHeight="1" s="476">
      <c r="A18" s="354" t="inlineStr">
        <is>
          <t xml:space="preserve"> TOTAL </t>
        </is>
      </c>
      <c r="B18" s="533">
        <f>SUBTOTAL(101,PMTGLR5[2024])</f>
        <v/>
      </c>
      <c r="C18" s="533">
        <f>SUBTOTAL(101,PMTGLR5[2023])</f>
        <v/>
      </c>
      <c r="D18" s="125">
        <f>(PMTGLR5[[#Totals],[2024]]-PMTGLR5[[#Totals],[2023]])/PMTGLR5[[#Totals],[2023]]</f>
        <v/>
      </c>
      <c r="E18" s="536">
        <f>SUBTOTAL(101,PMTGLR5[2022])</f>
        <v/>
      </c>
      <c r="F18" s="533">
        <f>SUBTOTAL(101,PMTGLR5[2021])</f>
        <v/>
      </c>
      <c r="G18" s="533">
        <f>SUBTOTAL(101,PMTGLR5[2020])</f>
        <v/>
      </c>
      <c r="I18" s="354" t="inlineStr">
        <is>
          <t xml:space="preserve">  TOTAL  </t>
        </is>
      </c>
      <c r="J18" s="533">
        <f>SUBTOTAL(101,PMTHTR8[2024])</f>
        <v/>
      </c>
      <c r="K18" s="533">
        <f>SUBTOTAL(101,PMTHTR8[2023])</f>
        <v/>
      </c>
      <c r="L18" s="125">
        <f>(PMTHTR8[[#Totals],[2024]]-PMTHTR8[[#Totals],[2023]])/PMTHTR8[[#Totals],[2023]]</f>
        <v/>
      </c>
      <c r="M18" s="536">
        <f>SUBTOTAL(101,PMTHTR8[2022])</f>
        <v/>
      </c>
      <c r="N18" s="533">
        <f>SUBTOTAL(101,PMTHTR8[2021])</f>
        <v/>
      </c>
      <c r="O18" s="359">
        <f>SUBTOTAL(101,PMTHTR8[2020])</f>
        <v/>
      </c>
    </row>
    <row r="19" ht="30.6" customHeight="1" s="161">
      <c r="H19" s="474" t="n"/>
    </row>
    <row r="20" ht="33" customHeight="1" s="161">
      <c r="A20" s="474" t="inlineStr">
        <is>
          <t>TIRR</t>
        </is>
      </c>
      <c r="B20" s="491" t="inlineStr">
        <is>
          <t>2024</t>
        </is>
      </c>
      <c r="C20" s="491" t="inlineStr">
        <is>
          <t>2023</t>
        </is>
      </c>
      <c r="D20" s="100" t="inlineStr">
        <is>
          <t>Variat.</t>
        </is>
      </c>
      <c r="E20" s="491" t="inlineStr">
        <is>
          <t>2022</t>
        </is>
      </c>
      <c r="F20" s="491" t="inlineStr">
        <is>
          <t>2021</t>
        </is>
      </c>
      <c r="G20" s="525" t="inlineStr">
        <is>
          <t>2020</t>
        </is>
      </c>
      <c r="H20" s="474" t="n"/>
      <c r="I20" s="474" t="inlineStr">
        <is>
          <t>VR7</t>
        </is>
      </c>
      <c r="J20" s="491" t="inlineStr">
        <is>
          <t>2024</t>
        </is>
      </c>
      <c r="K20" s="491" t="inlineStr">
        <is>
          <t>2023</t>
        </is>
      </c>
      <c r="L20" s="100" t="inlineStr">
        <is>
          <t>Variat.</t>
        </is>
      </c>
      <c r="M20" s="491" t="inlineStr">
        <is>
          <t>2022</t>
        </is>
      </c>
      <c r="N20" s="491" t="inlineStr">
        <is>
          <t>2021</t>
        </is>
      </c>
      <c r="O20" s="525" t="inlineStr">
        <is>
          <t>2020</t>
        </is>
      </c>
    </row>
    <row r="21" ht="13.15" customHeight="1" s="161">
      <c r="A21" s="476" t="inlineStr">
        <is>
          <t>Janvier</t>
        </is>
      </c>
      <c r="B21" s="526">
        <f>IF(DONNÉES!AA236="","",DONNÉES!AA236)</f>
        <v/>
      </c>
      <c r="C21" s="526">
        <f>IF(PMTTIRR[[#This Row],[2024]]="","",DONNÉES!AB236)</f>
        <v/>
      </c>
      <c r="D21" s="96">
        <f>IF(PMTTIRR[[#This Row],[2024]]="","",(PMTTIRR[[#This Row],[2024]]-PMTTIRR[[#This Row],[2023]])/PMTTIRR[[#This Row],[2023]])</f>
        <v/>
      </c>
      <c r="E21" s="526">
        <f>IF(PMTTIRR[[#This Row],[2024]]="","",DONNÉES!AC236)</f>
        <v/>
      </c>
      <c r="F21" s="526">
        <f>IF(PMTTIRR[[#This Row],[2024]]="","",DONNÉES!AD236)</f>
        <v/>
      </c>
      <c r="G21" s="526">
        <f>IF(PMTTIRR[[#This Row],[2024]]="","",DONNÉES!AE236)</f>
        <v/>
      </c>
      <c r="H21" s="474" t="n"/>
      <c r="I21" s="476" t="inlineStr">
        <is>
          <t>Janvier</t>
        </is>
      </c>
      <c r="J21" s="526">
        <f>IF(DONNÉES!AI236="","",DONNÉES!AI236)</f>
        <v/>
      </c>
      <c r="K21" s="526">
        <f>IF(PMTVR7[[#This Row],[2024]]="","",DONNÉES!AJ236)</f>
        <v/>
      </c>
      <c r="L21" s="102">
        <f>IF(PMTVR7[[#This Row],[2024]]="","",(PMTVR7[[#This Row],[2024]]-PMTVR7[[#This Row],[2023]])/PMTVR7[[#This Row],[2023]])</f>
        <v/>
      </c>
      <c r="M21" s="526">
        <f>IF(PMTVR7[[#This Row],[2024]]="","",DONNÉES!AK236)</f>
        <v/>
      </c>
      <c r="N21" s="526">
        <f>IF(PMTVR7[[#This Row],[2024]]="","",DONNÉES!AL236)</f>
        <v/>
      </c>
      <c r="O21" s="526">
        <f>IF(PMTVR7[[#This Row],[2024]]="","",DONNÉES!AM236)</f>
        <v/>
      </c>
    </row>
    <row r="22" ht="13.15" customHeight="1" s="161">
      <c r="A22" s="476" t="inlineStr">
        <is>
          <t>Février</t>
        </is>
      </c>
      <c r="B22" s="526">
        <f>IF(DONNÉES!AA237="","",DONNÉES!AA237)</f>
        <v/>
      </c>
      <c r="C22" s="526">
        <f>IF(PMTTIRR[[#This Row],[2024]]="","",DONNÉES!AB237)</f>
        <v/>
      </c>
      <c r="D22" s="96">
        <f>IF(PMTTIRR[[#This Row],[2024]]="","",(PMTTIRR[[#This Row],[2024]]-PMTTIRR[[#This Row],[2023]])/PMTTIRR[[#This Row],[2023]])</f>
        <v/>
      </c>
      <c r="E22" s="526">
        <f>IF(PMTTIRR[[#This Row],[2024]]="","",DONNÉES!AC237)</f>
        <v/>
      </c>
      <c r="F22" s="526">
        <f>IF(PMTTIRR[[#This Row],[2024]]="","",DONNÉES!AD237)</f>
        <v/>
      </c>
      <c r="G22" s="526">
        <f>IF(PMTTIRR[[#This Row],[2024]]="","",DONNÉES!AE237)</f>
        <v/>
      </c>
      <c r="H22" s="474" t="n"/>
      <c r="I22" s="476" t="inlineStr">
        <is>
          <t>Février</t>
        </is>
      </c>
      <c r="J22" s="526">
        <f>IF(DONNÉES!AI237="","",DONNÉES!AI237)</f>
        <v/>
      </c>
      <c r="K22" s="526">
        <f>IF(PMTVR7[[#This Row],[2024]]="","",DONNÉES!AJ237)</f>
        <v/>
      </c>
      <c r="L22" s="102">
        <f>IF(PMTVR7[[#This Row],[2024]]="","",(PMTVR7[[#This Row],[2024]]-PMTVR7[[#This Row],[2023]])/PMTVR7[[#This Row],[2023]])</f>
        <v/>
      </c>
      <c r="M22" s="526">
        <f>IF(PMTVR7[[#This Row],[2024]]="","",DONNÉES!AK237)</f>
        <v/>
      </c>
      <c r="N22" s="526">
        <f>IF(PMTVR7[[#This Row],[2024]]="","",DONNÉES!AL237)</f>
        <v/>
      </c>
      <c r="O22" s="526">
        <f>IF(PMTVR7[[#This Row],[2024]]="","",DONNÉES!AM237)</f>
        <v/>
      </c>
    </row>
    <row r="23" ht="13.15" customHeight="1" s="161">
      <c r="A23" s="474" t="inlineStr">
        <is>
          <t>Mars</t>
        </is>
      </c>
      <c r="B23" s="526">
        <f>IF(DONNÉES!AA238="","",DONNÉES!AA238)</f>
        <v/>
      </c>
      <c r="C23" s="526">
        <f>IF(PMTTIRR[[#This Row],[2024]]="","",DONNÉES!AB238)</f>
        <v/>
      </c>
      <c r="D23" s="96">
        <f>IF(PMTTIRR[[#This Row],[2024]]="","",(PMTTIRR[[#This Row],[2024]]-PMTTIRR[[#This Row],[2023]])/PMTTIRR[[#This Row],[2023]])</f>
        <v/>
      </c>
      <c r="E23" s="526">
        <f>IF(PMTTIRR[[#This Row],[2024]]="","",DONNÉES!AC238)</f>
        <v/>
      </c>
      <c r="F23" s="526">
        <f>IF(PMTTIRR[[#This Row],[2024]]="","",DONNÉES!AD238)</f>
        <v/>
      </c>
      <c r="G23" s="526">
        <f>IF(PMTTIRR[[#This Row],[2024]]="","",DONNÉES!AE238)</f>
        <v/>
      </c>
      <c r="H23" s="474" t="n"/>
      <c r="I23" s="474" t="inlineStr">
        <is>
          <t>Mars</t>
        </is>
      </c>
      <c r="J23" s="526">
        <f>IF(DONNÉES!AI238="","",DONNÉES!AI238)</f>
        <v/>
      </c>
      <c r="K23" s="526">
        <f>IF(PMTVR7[[#This Row],[2024]]="","",DONNÉES!AJ238)</f>
        <v/>
      </c>
      <c r="L23" s="102">
        <f>IF(PMTVR7[[#This Row],[2024]]="","",(PMTVR7[[#This Row],[2024]]-PMTVR7[[#This Row],[2023]])/PMTVR7[[#This Row],[2023]])</f>
        <v/>
      </c>
      <c r="M23" s="526">
        <f>IF(PMTVR7[[#This Row],[2024]]="","",DONNÉES!AK238)</f>
        <v/>
      </c>
      <c r="N23" s="526">
        <f>IF(PMTVR7[[#This Row],[2024]]="","",DONNÉES!AL238)</f>
        <v/>
      </c>
      <c r="O23" s="526">
        <f>IF(PMTVR7[[#This Row],[2024]]="","",DONNÉES!AM238)</f>
        <v/>
      </c>
    </row>
    <row r="24" ht="13.15" customHeight="1" s="161">
      <c r="A24" s="476" t="inlineStr">
        <is>
          <t>Avril</t>
        </is>
      </c>
      <c r="B24" s="526">
        <f>IF(DONNÉES!AA239="","",DONNÉES!AA239)</f>
        <v/>
      </c>
      <c r="C24" s="526">
        <f>IF(PMTTIRR[[#This Row],[2024]]="","",DONNÉES!AB239)</f>
        <v/>
      </c>
      <c r="D24" s="96">
        <f>IF(PMTTIRR[[#This Row],[2024]]="","",(PMTTIRR[[#This Row],[2024]]-PMTTIRR[[#This Row],[2023]])/PMTTIRR[[#This Row],[2023]])</f>
        <v/>
      </c>
      <c r="E24" s="526">
        <f>IF(PMTTIRR[[#This Row],[2024]]="","",DONNÉES!AC239)</f>
        <v/>
      </c>
      <c r="F24" s="526">
        <f>IF(PMTTIRR[[#This Row],[2024]]="","",DONNÉES!AD239)</f>
        <v/>
      </c>
      <c r="G24" s="526">
        <f>IF(PMTTIRR[[#This Row],[2024]]="","",DONNÉES!AE239)</f>
        <v/>
      </c>
      <c r="I24" s="476" t="inlineStr">
        <is>
          <t>Avril</t>
        </is>
      </c>
      <c r="J24" s="526">
        <f>IF(DONNÉES!AI239="","",DONNÉES!AI239)</f>
        <v/>
      </c>
      <c r="K24" s="526">
        <f>IF(PMTVR7[[#This Row],[2024]]="","",DONNÉES!AJ239)</f>
        <v/>
      </c>
      <c r="L24" s="102">
        <f>IF(PMTVR7[[#This Row],[2024]]="","",(PMTVR7[[#This Row],[2024]]-PMTVR7[[#This Row],[2023]])/PMTVR7[[#This Row],[2023]])</f>
        <v/>
      </c>
      <c r="M24" s="526">
        <f>IF(PMTVR7[[#This Row],[2024]]="","",DONNÉES!AK239)</f>
        <v/>
      </c>
      <c r="N24" s="526">
        <f>IF(PMTVR7[[#This Row],[2024]]="","",DONNÉES!AL239)</f>
        <v/>
      </c>
      <c r="O24" s="526">
        <f>IF(PMTVR7[[#This Row],[2024]]="","",DONNÉES!AM239)</f>
        <v/>
      </c>
    </row>
    <row r="25" ht="13.15" customHeight="1" s="161">
      <c r="A25" s="474" t="inlineStr">
        <is>
          <t>Mai</t>
        </is>
      </c>
      <c r="B25" s="526">
        <f>IF(DONNÉES!AA240="","",DONNÉES!AA240)</f>
        <v/>
      </c>
      <c r="C25" s="526">
        <f>IF(PMTTIRR[[#This Row],[2024]]="","",DONNÉES!AB240)</f>
        <v/>
      </c>
      <c r="D25" s="96">
        <f>IF(PMTTIRR[[#This Row],[2024]]="","",(PMTTIRR[[#This Row],[2024]]-PMTTIRR[[#This Row],[2023]])/PMTTIRR[[#This Row],[2023]])</f>
        <v/>
      </c>
      <c r="E25" s="526">
        <f>IF(PMTTIRR[[#This Row],[2024]]="","",DONNÉES!AC240)</f>
        <v/>
      </c>
      <c r="F25" s="526">
        <f>IF(PMTTIRR[[#This Row],[2024]]="","",DONNÉES!AD240)</f>
        <v/>
      </c>
      <c r="G25" s="526">
        <f>IF(PMTTIRR[[#This Row],[2024]]="","",DONNÉES!AE240)</f>
        <v/>
      </c>
      <c r="H25" s="474" t="n"/>
      <c r="I25" s="474" t="inlineStr">
        <is>
          <t>Mai</t>
        </is>
      </c>
      <c r="J25" s="526">
        <f>IF(DONNÉES!AI240="","",DONNÉES!AI240)</f>
        <v/>
      </c>
      <c r="K25" s="526">
        <f>IF(PMTVR7[[#This Row],[2024]]="","",DONNÉES!AJ240)</f>
        <v/>
      </c>
      <c r="L25" s="102">
        <f>IF(PMTVR7[[#This Row],[2024]]="","",(PMTVR7[[#This Row],[2024]]-PMTVR7[[#This Row],[2023]])/PMTVR7[[#This Row],[2023]])</f>
        <v/>
      </c>
      <c r="M25" s="526">
        <f>IF(PMTVR7[[#This Row],[2024]]="","",DONNÉES!AK240)</f>
        <v/>
      </c>
      <c r="N25" s="526">
        <f>IF(PMTVR7[[#This Row],[2024]]="","",DONNÉES!AL240)</f>
        <v/>
      </c>
      <c r="O25" s="526">
        <f>IF(PMTVR7[[#This Row],[2024]]="","",DONNÉES!AM240)</f>
        <v/>
      </c>
    </row>
    <row r="26" ht="13.15" customFormat="1" customHeight="1" s="476">
      <c r="A26" s="476" t="inlineStr">
        <is>
          <t>Juin</t>
        </is>
      </c>
      <c r="B26" s="526">
        <f>IF(DONNÉES!AA241="","",DONNÉES!AA241)</f>
        <v/>
      </c>
      <c r="C26" s="526">
        <f>IF(PMTTIRR[[#This Row],[2024]]="","",DONNÉES!AB241)</f>
        <v/>
      </c>
      <c r="D26" s="96">
        <f>IF(PMTTIRR[[#This Row],[2024]]="","",(PMTTIRR[[#This Row],[2024]]-PMTTIRR[[#This Row],[2023]])/PMTTIRR[[#This Row],[2023]])</f>
        <v/>
      </c>
      <c r="E26" s="526">
        <f>IF(PMTTIRR[[#This Row],[2024]]="","",DONNÉES!AC241)</f>
        <v/>
      </c>
      <c r="F26" s="526">
        <f>IF(PMTTIRR[[#This Row],[2024]]="","",DONNÉES!AD241)</f>
        <v/>
      </c>
      <c r="G26" s="526">
        <f>IF(PMTTIRR[[#This Row],[2024]]="","",DONNÉES!AE241)</f>
        <v/>
      </c>
      <c r="I26" s="476" t="inlineStr">
        <is>
          <t>Juin</t>
        </is>
      </c>
      <c r="J26" s="526">
        <f>IF(DONNÉES!AI241="","",DONNÉES!AI241)</f>
        <v/>
      </c>
      <c r="K26" s="526">
        <f>IF(PMTVR7[[#This Row],[2024]]="","",DONNÉES!AJ241)</f>
        <v/>
      </c>
      <c r="L26" s="102">
        <f>IF(PMTVR7[[#This Row],[2024]]="","",(PMTVR7[[#This Row],[2024]]-PMTVR7[[#This Row],[2023]])/PMTVR7[[#This Row],[2023]])</f>
        <v/>
      </c>
      <c r="M26" s="526">
        <f>IF(PMTVR7[[#This Row],[2024]]="","",DONNÉES!AK241)</f>
        <v/>
      </c>
      <c r="N26" s="526">
        <f>IF(PMTVR7[[#This Row],[2024]]="","",DONNÉES!AL241)</f>
        <v/>
      </c>
      <c r="O26" s="526">
        <f>IF(PMTVR7[[#This Row],[2024]]="","",DONNÉES!AM241)</f>
        <v/>
      </c>
    </row>
    <row r="27" ht="13.15" customFormat="1" customHeight="1" s="476">
      <c r="A27" s="474" t="inlineStr">
        <is>
          <t>Juillet</t>
        </is>
      </c>
      <c r="B27" s="526">
        <f>IF(DONNÉES!AA242="","",DONNÉES!AA242)</f>
        <v/>
      </c>
      <c r="C27" s="526">
        <f>IF(PMTTIRR[[#This Row],[2024]]="","",DONNÉES!AB242)</f>
        <v/>
      </c>
      <c r="D27" s="96">
        <f>IF(PMTTIRR[[#This Row],[2024]]="","",(PMTTIRR[[#This Row],[2024]]-PMTTIRR[[#This Row],[2023]])/PMTTIRR[[#This Row],[2023]])</f>
        <v/>
      </c>
      <c r="E27" s="526">
        <f>IF(PMTTIRR[[#This Row],[2024]]="","",DONNÉES!AC242)</f>
        <v/>
      </c>
      <c r="F27" s="526">
        <f>IF(PMTTIRR[[#This Row],[2024]]="","",DONNÉES!AD242)</f>
        <v/>
      </c>
      <c r="G27" s="526">
        <f>IF(PMTTIRR[[#This Row],[2024]]="","",DONNÉES!AE242)</f>
        <v/>
      </c>
      <c r="I27" s="474" t="inlineStr">
        <is>
          <t>Juillet</t>
        </is>
      </c>
      <c r="J27" s="526">
        <f>IF(DONNÉES!AI242="","",DONNÉES!AI242)</f>
        <v/>
      </c>
      <c r="K27" s="526">
        <f>IF(PMTVR7[[#This Row],[2024]]="","",DONNÉES!AJ242)</f>
        <v/>
      </c>
      <c r="L27" s="102">
        <f>IF(PMTVR7[[#This Row],[2024]]="","",(PMTVR7[[#This Row],[2024]]-PMTVR7[[#This Row],[2023]])/PMTVR7[[#This Row],[2023]])</f>
        <v/>
      </c>
      <c r="M27" s="526">
        <f>IF(PMTVR7[[#This Row],[2024]]="","",DONNÉES!AK242)</f>
        <v/>
      </c>
      <c r="N27" s="526">
        <f>IF(PMTVR7[[#This Row],[2024]]="","",DONNÉES!AL242)</f>
        <v/>
      </c>
      <c r="O27" s="526">
        <f>IF(PMTVR7[[#This Row],[2024]]="","",DONNÉES!AM242)</f>
        <v/>
      </c>
    </row>
    <row r="28" ht="13.15" customFormat="1" customHeight="1" s="476">
      <c r="A28" s="476" t="inlineStr">
        <is>
          <t>Août</t>
        </is>
      </c>
      <c r="B28" s="526">
        <f>IF(DONNÉES!AA243="","",DONNÉES!AA243)</f>
        <v/>
      </c>
      <c r="C28" s="526">
        <f>IF(PMTTIRR[[#This Row],[2024]]="","",DONNÉES!AB243)</f>
        <v/>
      </c>
      <c r="D28" s="96">
        <f>IF(PMTTIRR[[#This Row],[2024]]="","",(PMTTIRR[[#This Row],[2024]]-PMTTIRR[[#This Row],[2023]])/PMTTIRR[[#This Row],[2023]])</f>
        <v/>
      </c>
      <c r="E28" s="526">
        <f>IF(PMTTIRR[[#This Row],[2024]]="","",DONNÉES!AC243)</f>
        <v/>
      </c>
      <c r="F28" s="526">
        <f>IF(PMTTIRR[[#This Row],[2024]]="","",DONNÉES!AD243)</f>
        <v/>
      </c>
      <c r="G28" s="526">
        <f>IF(PMTTIRR[[#This Row],[2024]]="","",DONNÉES!AE243)</f>
        <v/>
      </c>
      <c r="I28" s="476" t="inlineStr">
        <is>
          <t>Août</t>
        </is>
      </c>
      <c r="J28" s="526">
        <f>IF(DONNÉES!AI243="","",DONNÉES!AI243)</f>
        <v/>
      </c>
      <c r="K28" s="526">
        <f>IF(PMTVR7[[#This Row],[2024]]="","",DONNÉES!AJ243)</f>
        <v/>
      </c>
      <c r="L28" s="102">
        <f>IF(PMTVR7[[#This Row],[2024]]="","",(PMTVR7[[#This Row],[2024]]-PMTVR7[[#This Row],[2023]])/PMTVR7[[#This Row],[2023]])</f>
        <v/>
      </c>
      <c r="M28" s="526">
        <f>IF(PMTVR7[[#This Row],[2024]]="","",DONNÉES!AK243)</f>
        <v/>
      </c>
      <c r="N28" s="526">
        <f>IF(PMTVR7[[#This Row],[2024]]="","",DONNÉES!AL243)</f>
        <v/>
      </c>
      <c r="O28" s="526">
        <f>IF(PMTVR7[[#This Row],[2024]]="","",DONNÉES!AM243)</f>
        <v/>
      </c>
    </row>
    <row r="29" ht="13.15" customHeight="1" s="161">
      <c r="A29" s="474" t="inlineStr">
        <is>
          <t>Septembre</t>
        </is>
      </c>
      <c r="B29" s="529">
        <f>IF(DONNÉES!AA244="","",DONNÉES!AA244)</f>
        <v/>
      </c>
      <c r="C29" s="529">
        <f>IF(PMTTIRR[[#This Row],[2024]]="","",DONNÉES!AB244)</f>
        <v/>
      </c>
      <c r="D29" s="97">
        <f>IF(PMTTIRR[[#This Row],[2024]]="","",(PMTTIRR[[#This Row],[2024]]-PMTTIRR[[#This Row],[2023]])/PMTTIRR[[#This Row],[2023]])</f>
        <v/>
      </c>
      <c r="E29" s="526">
        <f>IF(PMTTIRR[[#This Row],[2024]]="","",DONNÉES!AC244)</f>
        <v/>
      </c>
      <c r="F29" s="526">
        <f>IF(PMTTIRR[[#This Row],[2024]]="","",DONNÉES!AD244)</f>
        <v/>
      </c>
      <c r="G29" s="526">
        <f>IF(PMTTIRR[[#This Row],[2024]]="","",DONNÉES!AE244)</f>
        <v/>
      </c>
      <c r="H29" s="474" t="n"/>
      <c r="I29" s="474" t="inlineStr">
        <is>
          <t>Septembre</t>
        </is>
      </c>
      <c r="J29" s="526">
        <f>IF(DONNÉES!AI244="","",DONNÉES!AI244)</f>
        <v/>
      </c>
      <c r="K29" s="529">
        <f>IF(PMTVR7[[#This Row],[2024]]="","",DONNÉES!AJ244)</f>
        <v/>
      </c>
      <c r="L29" s="103">
        <f>IF(PMTVR7[[#This Row],[2024]]="","",(PMTVR7[[#This Row],[2024]]-PMTVR7[[#This Row],[2023]])/PMTVR7[[#This Row],[2023]])</f>
        <v/>
      </c>
      <c r="M29" s="526">
        <f>IF(PMTVR7[[#This Row],[2024]]="","",DONNÉES!AK244)</f>
        <v/>
      </c>
      <c r="N29" s="526">
        <f>IF(PMTVR7[[#This Row],[2024]]="","",DONNÉES!AL244)</f>
        <v/>
      </c>
      <c r="O29" s="526">
        <f>IF(PMTVR7[[#This Row],[2024]]="","",DONNÉES!AM244)</f>
        <v/>
      </c>
    </row>
    <row r="30" ht="13.15" customHeight="1" s="161">
      <c r="A30" s="476" t="inlineStr">
        <is>
          <t>Octobre</t>
        </is>
      </c>
      <c r="B30" s="529">
        <f>IF(DONNÉES!AA245="","",DONNÉES!AA245)</f>
        <v/>
      </c>
      <c r="C30" s="529">
        <f>IF(PMTTIRR[[#This Row],[2024]]="","",DONNÉES!AB245)</f>
        <v/>
      </c>
      <c r="D30" s="97">
        <f>IF(PMTTIRR[[#This Row],[2024]]="","",(PMTTIRR[[#This Row],[2024]]-PMTTIRR[[#This Row],[2023]])/PMTTIRR[[#This Row],[2023]])</f>
        <v/>
      </c>
      <c r="E30" s="526">
        <f>IF(PMTTIRR[[#This Row],[2024]]="","",DONNÉES!AC245)</f>
        <v/>
      </c>
      <c r="F30" s="526">
        <f>IF(PMTTIRR[[#This Row],[2024]]="","",DONNÉES!AD245)</f>
        <v/>
      </c>
      <c r="G30" s="526">
        <f>IF(PMTTIRR[[#This Row],[2024]]="","",DONNÉES!AE245)</f>
        <v/>
      </c>
      <c r="H30" s="474" t="n"/>
      <c r="I30" s="476" t="inlineStr">
        <is>
          <t>Octobre</t>
        </is>
      </c>
      <c r="J30" s="526">
        <f>IF(DONNÉES!AI245="","",DONNÉES!AI245)</f>
        <v/>
      </c>
      <c r="K30" s="529">
        <f>IF(PMTVR7[[#This Row],[2024]]="","",DONNÉES!AJ245)</f>
        <v/>
      </c>
      <c r="L30" s="103">
        <f>IF(PMTVR7[[#This Row],[2024]]="","",(PMTVR7[[#This Row],[2024]]-PMTVR7[[#This Row],[2023]])/PMTVR7[[#This Row],[2023]])</f>
        <v/>
      </c>
      <c r="M30" s="526">
        <f>IF(PMTVR7[[#This Row],[2024]]="","",DONNÉES!AK245)</f>
        <v/>
      </c>
      <c r="N30" s="526">
        <f>IF(PMTVR7[[#This Row],[2024]]="","",DONNÉES!AL245)</f>
        <v/>
      </c>
      <c r="O30" s="526">
        <f>IF(PMTVR7[[#This Row],[2024]]="","",DONNÉES!AM245)</f>
        <v/>
      </c>
    </row>
    <row r="31" ht="13.15" customHeight="1" s="161">
      <c r="A31" s="474" t="inlineStr">
        <is>
          <t>Novembre</t>
        </is>
      </c>
      <c r="B31" s="529">
        <f>IF(DONNÉES!AA246="","",DONNÉES!AA246)</f>
        <v/>
      </c>
      <c r="C31" s="529">
        <f>IF(PMTTIRR[[#This Row],[2024]]="","",DONNÉES!AB246)</f>
        <v/>
      </c>
      <c r="D31" s="97">
        <f>IF(PMTTIRR[[#This Row],[2024]]="","",(PMTTIRR[[#This Row],[2024]]-PMTTIRR[[#This Row],[2023]])/PMTTIRR[[#This Row],[2023]])</f>
        <v/>
      </c>
      <c r="E31" s="526">
        <f>IF(PMTTIRR[[#This Row],[2024]]="","",DONNÉES!AC246)</f>
        <v/>
      </c>
      <c r="F31" s="526">
        <f>IF(PMTTIRR[[#This Row],[2024]]="","",DONNÉES!AD246)</f>
        <v/>
      </c>
      <c r="G31" s="526">
        <f>IF(PMTTIRR[[#This Row],[2024]]="","",DONNÉES!AE246)</f>
        <v/>
      </c>
      <c r="H31" s="474" t="n"/>
      <c r="I31" s="474" t="inlineStr">
        <is>
          <t>Novembre</t>
        </is>
      </c>
      <c r="J31" s="526">
        <f>IF(DONNÉES!AI246="","",DONNÉES!AI246)</f>
        <v/>
      </c>
      <c r="K31" s="529">
        <f>IF(PMTVR7[[#This Row],[2024]]="","",DONNÉES!AJ246)</f>
        <v/>
      </c>
      <c r="L31" s="103">
        <f>IF(PMTVR7[[#This Row],[2024]]="","",(PMTVR7[[#This Row],[2024]]-PMTVR7[[#This Row],[2023]])/PMTVR7[[#This Row],[2023]])</f>
        <v/>
      </c>
      <c r="M31" s="526">
        <f>IF(PMTVR7[[#This Row],[2024]]="","",DONNÉES!AK246)</f>
        <v/>
      </c>
      <c r="N31" s="526">
        <f>IF(PMTVR7[[#This Row],[2024]]="","",DONNÉES!AL246)</f>
        <v/>
      </c>
      <c r="O31" s="526">
        <f>IF(PMTVR7[[#This Row],[2024]]="","",DONNÉES!AM246)</f>
        <v/>
      </c>
    </row>
    <row r="32" ht="13.15" customHeight="1" s="161">
      <c r="A32" s="474" t="inlineStr">
        <is>
          <t>Décembre</t>
        </is>
      </c>
      <c r="B32" s="529">
        <f>IF(DONNÉES!AA247="","",DONNÉES!AA247)</f>
        <v/>
      </c>
      <c r="C32" s="529">
        <f>IF(PMTTIRR[[#This Row],[2024]]="","",DONNÉES!AB247)</f>
        <v/>
      </c>
      <c r="D32" s="97">
        <f>IF(PMTTIRR[[#This Row],[2024]]="","",(PMTTIRR[[#This Row],[2024]]-PMTTIRR[[#This Row],[2023]])/PMTTIRR[[#This Row],[2023]])</f>
        <v/>
      </c>
      <c r="E32" s="526">
        <f>IF(PMTTIRR[[#This Row],[2024]]="","",DONNÉES!AC247)</f>
        <v/>
      </c>
      <c r="F32" s="526">
        <f>IF(PMTTIRR[[#This Row],[2024]]="","",DONNÉES!AD247)</f>
        <v/>
      </c>
      <c r="G32" s="526">
        <f>IF(PMTTIRR[[#This Row],[2024]]="","",DONNÉES!AE247)</f>
        <v/>
      </c>
      <c r="H32" s="474" t="n"/>
      <c r="I32" s="474" t="inlineStr">
        <is>
          <t>Décembre</t>
        </is>
      </c>
      <c r="J32" s="526">
        <f>IF(DONNÉES!AI247="","",DONNÉES!AI247)</f>
        <v/>
      </c>
      <c r="K32" s="529">
        <f>IF(PMTVR7[[#This Row],[2024]]="","",DONNÉES!AJ247)</f>
        <v/>
      </c>
      <c r="L32" s="103">
        <f>IF(PMTVR7[[#This Row],[2024]]="","",(PMTVR7[[#This Row],[2024]]-PMTVR7[[#This Row],[2023]])/PMTVR7[[#This Row],[2023]])</f>
        <v/>
      </c>
      <c r="M32" s="526">
        <f>IF(PMTVR7[[#This Row],[2024]]="","",DONNÉES!AK247)</f>
        <v/>
      </c>
      <c r="N32" s="526">
        <f>IF(PMTVR7[[#This Row],[2024]]="","",DONNÉES!AL247)</f>
        <v/>
      </c>
      <c r="O32" s="526">
        <f>IF(PMTVR7[[#This Row],[2024]]="","",DONNÉES!AM247)</f>
        <v/>
      </c>
    </row>
    <row r="33" ht="16.9" customHeight="1" s="161">
      <c r="A33" s="354" t="inlineStr">
        <is>
          <t xml:space="preserve">  TOTAL  </t>
        </is>
      </c>
      <c r="B33" s="359">
        <f>SUBTOTAL(101,PMTTIRR[2024])</f>
        <v/>
      </c>
      <c r="C33" s="359">
        <f>SUBTOTAL(101,PMTTIRR[2023])</f>
        <v/>
      </c>
      <c r="D33" s="105">
        <f>(PMTTIRR[[#Totals],[2024]]-PMTTIRR[[#Totals],[2023]])/PMTTIRR[[#Totals],[2023]]</f>
        <v/>
      </c>
      <c r="E33" s="541">
        <f>SUBTOTAL(101,PMTTIRR[2022])</f>
        <v/>
      </c>
      <c r="F33" s="359">
        <f>SUBTOTAL(101,PMTTIRR[2021])</f>
        <v/>
      </c>
      <c r="G33" s="359">
        <f>SUBTOTAL(101,PMTTIRR[2020])</f>
        <v/>
      </c>
      <c r="H33" s="474" t="n"/>
      <c r="I33" s="354" t="inlineStr">
        <is>
          <t xml:space="preserve">  TOTAL  </t>
        </is>
      </c>
      <c r="J33" s="359">
        <f>SUBTOTAL(101,PMTVR7[2024])</f>
        <v/>
      </c>
      <c r="K33" s="359">
        <f>SUBTOTAL(101,PMTVR7[2023])</f>
        <v/>
      </c>
      <c r="L33" s="105">
        <f>(PMTVR7[[#Totals],[2024]]-PMTVR7[[#Totals],[2023]])/PMTVR7[[#Totals],[2023]]</f>
        <v/>
      </c>
      <c r="M33" s="541">
        <f>SUBTOTAL(101,PMTVR7[2022])</f>
        <v/>
      </c>
      <c r="N33" s="359">
        <f>SUBTOTAL(101,PMTVR7[2021])</f>
        <v/>
      </c>
      <c r="O33" s="359">
        <f>SUBTOTAL(101,PMTVR7[2020])</f>
        <v/>
      </c>
    </row>
    <row r="34" ht="16.9" customHeight="1" s="161">
      <c r="A34" s="354" t="n"/>
      <c r="B34" s="359" t="n"/>
      <c r="C34" s="359" t="n"/>
      <c r="D34" s="105" t="n"/>
      <c r="E34" s="541" t="n"/>
      <c r="F34" s="359" t="n"/>
      <c r="G34" s="359" t="n"/>
      <c r="H34" s="474" t="n"/>
      <c r="I34" s="354" t="n"/>
      <c r="J34" s="359" t="n"/>
      <c r="K34" s="359" t="n"/>
      <c r="L34" s="105" t="n"/>
      <c r="M34" s="541" t="n"/>
      <c r="N34" s="359" t="n"/>
      <c r="O34" s="359" t="n"/>
    </row>
    <row r="35" ht="33" customHeight="1" s="161">
      <c r="A35" s="474" t="inlineStr">
        <is>
          <t>TURVILLA</t>
        </is>
      </c>
      <c r="B35" s="491" t="inlineStr">
        <is>
          <t>2024</t>
        </is>
      </c>
      <c r="C35" s="491" t="inlineStr">
        <is>
          <t>2023</t>
        </is>
      </c>
      <c r="D35" s="100" t="inlineStr">
        <is>
          <t>Variat.</t>
        </is>
      </c>
      <c r="E35" s="491" t="inlineStr">
        <is>
          <t>2022</t>
        </is>
      </c>
      <c r="F35" s="491" t="inlineStr">
        <is>
          <t>2021</t>
        </is>
      </c>
      <c r="G35" s="525" t="inlineStr">
        <is>
          <t>2020</t>
        </is>
      </c>
      <c r="H35" s="474" t="n"/>
      <c r="I35" s="474" t="inlineStr">
        <is>
          <t>HART</t>
        </is>
      </c>
      <c r="J35" s="491" t="inlineStr">
        <is>
          <t>2024</t>
        </is>
      </c>
      <c r="K35" s="491" t="inlineStr">
        <is>
          <t>2023</t>
        </is>
      </c>
      <c r="L35" s="100" t="inlineStr">
        <is>
          <t>Variat.</t>
        </is>
      </c>
      <c r="M35" s="491" t="inlineStr">
        <is>
          <t>2022</t>
        </is>
      </c>
      <c r="N35" s="491" t="inlineStr">
        <is>
          <t>2021</t>
        </is>
      </c>
      <c r="O35" s="525" t="inlineStr">
        <is>
          <t>2020</t>
        </is>
      </c>
    </row>
    <row r="36" ht="13.15" customFormat="1" customHeight="1" s="476">
      <c r="A36" s="476" t="inlineStr">
        <is>
          <t>Janvier</t>
        </is>
      </c>
      <c r="B36" s="526">
        <f>IF(DONNÉES!AQ236="","",DONNÉES!AQ236)</f>
        <v/>
      </c>
      <c r="C36" s="526">
        <f>IF(PMTTURVILLA[[#This Row],[2024]]="","",DONNÉES!AR236)</f>
        <v/>
      </c>
      <c r="D36" s="96">
        <f>IF(PMTTURVILLA[[#This Row],[2024]]="","",(PMTTURVILLA[[#This Row],[2024]]-PMTTURVILLA[[#This Row],[2023]])/PMTTURVILLA[[#This Row],[2023]])</f>
        <v/>
      </c>
      <c r="E36" s="526">
        <f>IF(PMTTURVILLA[[#This Row],[2024]]="","",DONNÉES!AS236)</f>
        <v/>
      </c>
      <c r="F36" s="526">
        <f>IF(PMTTURVILLA[[#This Row],[2024]]="","",DONNÉES!AT236)</f>
        <v/>
      </c>
      <c r="G36" s="526">
        <f>IF(PMTTURVILLA[[#This Row],[2024]]="","",DONNÉES!AU236)</f>
        <v/>
      </c>
      <c r="I36" s="476" t="inlineStr">
        <is>
          <t>Janvier</t>
        </is>
      </c>
      <c r="J36" s="526">
        <f>IF(DONNÉES!AY236="","",DONNÉES!AY236)</f>
        <v/>
      </c>
      <c r="K36" s="526">
        <f>IF(PMTHART[[#This Row],[2024]]="","",DONNÉES!AZ236)</f>
        <v/>
      </c>
      <c r="L36" s="96">
        <f>IF(PMTHART[[#This Row],[2024]]="","",(PMTHART[[#This Row],[2024]]-PMTHART[[#This Row],[2023]])/PMTHART[[#This Row],[2023]])</f>
        <v/>
      </c>
      <c r="M36" s="526">
        <f>IF(PMTHART[[#This Row],[2024]]="","",DONNÉES!BA236)</f>
        <v/>
      </c>
      <c r="N36" s="526">
        <f>IF(PMTHART[[#This Row],[2024]]="","",DONNÉES!BB236)</f>
        <v/>
      </c>
      <c r="O36" s="526">
        <f>IF(PMTHART[[#This Row],[2024]]="","",DONNÉES!BC236)</f>
        <v/>
      </c>
    </row>
    <row r="37" ht="13.15" customFormat="1" customHeight="1" s="476">
      <c r="A37" s="476" t="inlineStr">
        <is>
          <t>Février</t>
        </is>
      </c>
      <c r="B37" s="526">
        <f>IF(DONNÉES!AQ237="","",DONNÉES!AQ237)</f>
        <v/>
      </c>
      <c r="C37" s="526">
        <f>IF(PMTTURVILLA[[#This Row],[2024]]="","",DONNÉES!AR237)</f>
        <v/>
      </c>
      <c r="D37" s="96">
        <f>IF(PMTTURVILLA[[#This Row],[2024]]="","",(PMTTURVILLA[[#This Row],[2024]]-PMTTURVILLA[[#This Row],[2023]])/PMTTURVILLA[[#This Row],[2023]])</f>
        <v/>
      </c>
      <c r="E37" s="526">
        <f>IF(PMTTURVILLA[[#This Row],[2024]]="","",DONNÉES!AS237)</f>
        <v/>
      </c>
      <c r="F37" s="529">
        <f>IF(PMTTURVILLA[[#This Row],[2024]]="","",DONNÉES!AT237)</f>
        <v/>
      </c>
      <c r="G37" s="540">
        <f>IF(PMTTURVILLA[[#This Row],[2024]]="","",DONNÉES!AU237)</f>
        <v/>
      </c>
      <c r="I37" s="476" t="inlineStr">
        <is>
          <t>Février</t>
        </is>
      </c>
      <c r="J37" s="526">
        <f>IF(DONNÉES!AY237="","",DONNÉES!AY237)</f>
        <v/>
      </c>
      <c r="K37" s="526">
        <f>IF(PMTHART[[#This Row],[2024]]="","",DONNÉES!AZ237)</f>
        <v/>
      </c>
      <c r="L37" s="96">
        <f>IF(PMTHART[[#This Row],[2024]]="","",(PMTHART[[#This Row],[2024]]-PMTHART[[#This Row],[2023]])/PMTHART[[#This Row],[2023]])</f>
        <v/>
      </c>
      <c r="M37" s="526">
        <f>IF(PMTHART[[#This Row],[2024]]="","",DONNÉES!BA237)</f>
        <v/>
      </c>
      <c r="N37" s="529">
        <f>IF(PMTHART[[#This Row],[2024]]="","",DONNÉES!BB237)</f>
        <v/>
      </c>
      <c r="O37" s="540">
        <f>IF(PMTHART[[#This Row],[2024]]="","",DONNÉES!BC237)</f>
        <v/>
      </c>
    </row>
    <row r="38" ht="13.15" customFormat="1" customHeight="1" s="476">
      <c r="A38" s="474" t="inlineStr">
        <is>
          <t>Mars</t>
        </is>
      </c>
      <c r="B38" s="526">
        <f>IF(DONNÉES!AQ238="","",DONNÉES!AQ238)</f>
        <v/>
      </c>
      <c r="C38" s="526">
        <f>IF(PMTTURVILLA[[#This Row],[2024]]="","",DONNÉES!AR238)</f>
        <v/>
      </c>
      <c r="D38" s="96">
        <f>IF(PMTTURVILLA[[#This Row],[2024]]="","",(PMTTURVILLA[[#This Row],[2024]]-PMTTURVILLA[[#This Row],[2023]])/PMTTURVILLA[[#This Row],[2023]])</f>
        <v/>
      </c>
      <c r="E38" s="526">
        <f>IF(PMTTURVILLA[[#This Row],[2024]]="","",DONNÉES!AS238)</f>
        <v/>
      </c>
      <c r="F38" s="529">
        <f>IF(PMTTURVILLA[[#This Row],[2024]]="","",DONNÉES!AT238)</f>
        <v/>
      </c>
      <c r="G38" s="540">
        <f>IF(PMTTURVILLA[[#This Row],[2024]]="","",DONNÉES!AU238)</f>
        <v/>
      </c>
      <c r="I38" s="474" t="inlineStr">
        <is>
          <t>Mars</t>
        </is>
      </c>
      <c r="J38" s="526">
        <f>IF(DONNÉES!AY238="","",DONNÉES!AY238)</f>
        <v/>
      </c>
      <c r="K38" s="526">
        <f>IF(PMTHART[[#This Row],[2024]]="","",DONNÉES!AZ238)</f>
        <v/>
      </c>
      <c r="L38" s="96">
        <f>IF(PMTHART[[#This Row],[2024]]="","",(PMTHART[[#This Row],[2024]]-PMTHART[[#This Row],[2023]])/PMTHART[[#This Row],[2023]])</f>
        <v/>
      </c>
      <c r="M38" s="526">
        <f>IF(PMTHART[[#This Row],[2024]]="","",DONNÉES!BA238)</f>
        <v/>
      </c>
      <c r="N38" s="529">
        <f>IF(PMTHART[[#This Row],[2024]]="","",DONNÉES!BB238)</f>
        <v/>
      </c>
      <c r="O38" s="540">
        <f>IF(PMTHART[[#This Row],[2024]]="","",DONNÉES!BC238)</f>
        <v/>
      </c>
    </row>
    <row r="39" ht="13.15" customHeight="1" s="161">
      <c r="A39" s="476" t="inlineStr">
        <is>
          <t>Avril</t>
        </is>
      </c>
      <c r="B39" s="526">
        <f>IF(DONNÉES!AQ239="","",DONNÉES!AQ239)</f>
        <v/>
      </c>
      <c r="C39" s="526">
        <f>IF(PMTTURVILLA[[#This Row],[2024]]="","",DONNÉES!AR239)</f>
        <v/>
      </c>
      <c r="D39" s="96">
        <f>IF(PMTTURVILLA[[#This Row],[2024]]="","",(PMTTURVILLA[[#This Row],[2024]]-PMTTURVILLA[[#This Row],[2023]])/PMTTURVILLA[[#This Row],[2023]])</f>
        <v/>
      </c>
      <c r="E39" s="526">
        <f>IF(PMTTURVILLA[[#This Row],[2024]]="","",DONNÉES!AS239)</f>
        <v/>
      </c>
      <c r="F39" s="529">
        <f>IF(PMTTURVILLA[[#This Row],[2024]]="","",DONNÉES!AT239)</f>
        <v/>
      </c>
      <c r="G39" s="540">
        <f>IF(PMTTURVILLA[[#This Row],[2024]]="","",DONNÉES!AU239)</f>
        <v/>
      </c>
      <c r="H39" s="474" t="n"/>
      <c r="I39" s="476" t="inlineStr">
        <is>
          <t>Avril</t>
        </is>
      </c>
      <c r="J39" s="526">
        <f>IF(DONNÉES!AY239="","",DONNÉES!AY239)</f>
        <v/>
      </c>
      <c r="K39" s="526">
        <f>IF(PMTHART[[#This Row],[2024]]="","",DONNÉES!AZ239)</f>
        <v/>
      </c>
      <c r="L39" s="96">
        <f>IF(PMTHART[[#This Row],[2024]]="","",(PMTHART[[#This Row],[2024]]-PMTHART[[#This Row],[2023]])/PMTHART[[#This Row],[2023]])</f>
        <v/>
      </c>
      <c r="M39" s="526">
        <f>IF(PMTHART[[#This Row],[2024]]="","",DONNÉES!BA239)</f>
        <v/>
      </c>
      <c r="N39" s="529">
        <f>IF(PMTHART[[#This Row],[2024]]="","",DONNÉES!BB239)</f>
        <v/>
      </c>
      <c r="O39" s="540">
        <f>IF(PMTHART[[#This Row],[2024]]="","",DONNÉES!BC239)</f>
        <v/>
      </c>
    </row>
    <row r="40" ht="13.15" customHeight="1" s="161">
      <c r="A40" s="474" t="inlineStr">
        <is>
          <t>Mai</t>
        </is>
      </c>
      <c r="B40" s="526">
        <f>IF(DONNÉES!AQ240="","",DONNÉES!AQ240)</f>
        <v/>
      </c>
      <c r="C40" s="526">
        <f>IF(PMTTURVILLA[[#This Row],[2024]]="","",DONNÉES!AR240)</f>
        <v/>
      </c>
      <c r="D40" s="96">
        <f>IF(PMTTURVILLA[[#This Row],[2024]]="","",(PMTTURVILLA[[#This Row],[2024]]-PMTTURVILLA[[#This Row],[2023]])/PMTTURVILLA[[#This Row],[2023]])</f>
        <v/>
      </c>
      <c r="E40" s="526">
        <f>IF(PMTTURVILLA[[#This Row],[2024]]="","",DONNÉES!AS240)</f>
        <v/>
      </c>
      <c r="F40" s="529">
        <f>IF(PMTTURVILLA[[#This Row],[2024]]="","",DONNÉES!AT240)</f>
        <v/>
      </c>
      <c r="G40" s="540">
        <f>IF(PMTTURVILLA[[#This Row],[2024]]="","",DONNÉES!AU240)</f>
        <v/>
      </c>
      <c r="H40" s="474" t="n"/>
      <c r="I40" s="474" t="inlineStr">
        <is>
          <t>Mai</t>
        </is>
      </c>
      <c r="J40" s="526">
        <f>IF(DONNÉES!AY240="","",DONNÉES!AY240)</f>
        <v/>
      </c>
      <c r="K40" s="526">
        <f>IF(PMTHART[[#This Row],[2024]]="","",DONNÉES!AZ240)</f>
        <v/>
      </c>
      <c r="L40" s="96">
        <f>IF(PMTHART[[#This Row],[2024]]="","",(PMTHART[[#This Row],[2024]]-PMTHART[[#This Row],[2023]])/PMTHART[[#This Row],[2023]])</f>
        <v/>
      </c>
      <c r="M40" s="526">
        <f>IF(PMTHART[[#This Row],[2024]]="","",DONNÉES!BA240)</f>
        <v/>
      </c>
      <c r="N40" s="529">
        <f>IF(PMTHART[[#This Row],[2024]]="","",DONNÉES!BB240)</f>
        <v/>
      </c>
      <c r="O40" s="540">
        <f>IF(PMTHART[[#This Row],[2024]]="","",DONNÉES!BC240)</f>
        <v/>
      </c>
    </row>
    <row r="41" ht="13.15" customHeight="1" s="161">
      <c r="A41" s="476" t="inlineStr">
        <is>
          <t>Juin</t>
        </is>
      </c>
      <c r="B41" s="526">
        <f>IF(DONNÉES!AQ241="","",DONNÉES!AQ241)</f>
        <v/>
      </c>
      <c r="C41" s="526">
        <f>IF(PMTTURVILLA[[#This Row],[2024]]="","",DONNÉES!AR241)</f>
        <v/>
      </c>
      <c r="D41" s="96">
        <f>IF(PMTTURVILLA[[#This Row],[2024]]="","",(PMTTURVILLA[[#This Row],[2024]]-PMTTURVILLA[[#This Row],[2023]])/PMTTURVILLA[[#This Row],[2023]])</f>
        <v/>
      </c>
      <c r="E41" s="526">
        <f>IF(PMTTURVILLA[[#This Row],[2024]]="","",DONNÉES!AS241)</f>
        <v/>
      </c>
      <c r="F41" s="529">
        <f>IF(PMTTURVILLA[[#This Row],[2024]]="","",DONNÉES!AT241)</f>
        <v/>
      </c>
      <c r="G41" s="540">
        <f>IF(PMTTURVILLA[[#This Row],[2024]]="","",DONNÉES!AU241)</f>
        <v/>
      </c>
      <c r="H41" s="474" t="n"/>
      <c r="I41" s="476" t="inlineStr">
        <is>
          <t>Juin</t>
        </is>
      </c>
      <c r="J41" s="526">
        <f>IF(DONNÉES!AY241="","",DONNÉES!AY241)</f>
        <v/>
      </c>
      <c r="K41" s="526">
        <f>IF(PMTHART[[#This Row],[2024]]="","",DONNÉES!AZ241)</f>
        <v/>
      </c>
      <c r="L41" s="96">
        <f>IF(PMTHART[[#This Row],[2024]]="","",(PMTHART[[#This Row],[2024]]-PMTHART[[#This Row],[2023]])/PMTHART[[#This Row],[2023]])</f>
        <v/>
      </c>
      <c r="M41" s="526">
        <f>IF(PMTHART[[#This Row],[2024]]="","",DONNÉES!BA241)</f>
        <v/>
      </c>
      <c r="N41" s="529">
        <f>IF(PMTHART[[#This Row],[2024]]="","",DONNÉES!BB241)</f>
        <v/>
      </c>
      <c r="O41" s="540">
        <f>IF(PMTHART[[#This Row],[2024]]="","",DONNÉES!BC241)</f>
        <v/>
      </c>
    </row>
    <row r="42" ht="13.15" customHeight="1" s="161">
      <c r="A42" s="474" t="inlineStr">
        <is>
          <t>Juillet</t>
        </is>
      </c>
      <c r="B42" s="526">
        <f>IF(DONNÉES!AQ242="","",DONNÉES!AQ242)</f>
        <v/>
      </c>
      <c r="C42" s="526">
        <f>IF(PMTTURVILLA[[#This Row],[2024]]="","",DONNÉES!AR242)</f>
        <v/>
      </c>
      <c r="D42" s="96">
        <f>IF(PMTTURVILLA[[#This Row],[2024]]="","",(PMTTURVILLA[[#This Row],[2024]]-PMTTURVILLA[[#This Row],[2023]])/PMTTURVILLA[[#This Row],[2023]])</f>
        <v/>
      </c>
      <c r="E42" s="526">
        <f>IF(PMTTURVILLA[[#This Row],[2024]]="","",DONNÉES!AS242)</f>
        <v/>
      </c>
      <c r="F42" s="529">
        <f>IF(PMTTURVILLA[[#This Row],[2024]]="","",DONNÉES!AT242)</f>
        <v/>
      </c>
      <c r="G42" s="540">
        <f>IF(PMTTURVILLA[[#This Row],[2024]]="","",DONNÉES!AU242)</f>
        <v/>
      </c>
      <c r="H42" s="474" t="n"/>
      <c r="I42" s="474" t="inlineStr">
        <is>
          <t>Juillet</t>
        </is>
      </c>
      <c r="J42" s="526">
        <f>IF(DONNÉES!AY242="","",DONNÉES!AY242)</f>
        <v/>
      </c>
      <c r="K42" s="526">
        <f>IF(PMTHART[[#This Row],[2024]]="","",DONNÉES!AZ242)</f>
        <v/>
      </c>
      <c r="L42" s="96">
        <f>IF(PMTHART[[#This Row],[2024]]="","",(PMTHART[[#This Row],[2024]]-PMTHART[[#This Row],[2023]])/PMTHART[[#This Row],[2023]])</f>
        <v/>
      </c>
      <c r="M42" s="526">
        <f>IF(PMTHART[[#This Row],[2024]]="","",DONNÉES!BA242)</f>
        <v/>
      </c>
      <c r="N42" s="529">
        <f>IF(PMTHART[[#This Row],[2024]]="","",DONNÉES!BB242)</f>
        <v/>
      </c>
      <c r="O42" s="540">
        <f>IF(PMTHART[[#This Row],[2024]]="","",DONNÉES!BC242)</f>
        <v/>
      </c>
    </row>
    <row r="43" ht="13.15" customHeight="1" s="161">
      <c r="A43" s="476" t="inlineStr">
        <is>
          <t>Août</t>
        </is>
      </c>
      <c r="B43" s="526">
        <f>IF(DONNÉES!AQ243="","",DONNÉES!AQ243)</f>
        <v/>
      </c>
      <c r="C43" s="526">
        <f>IF(PMTTURVILLA[[#This Row],[2024]]="","",DONNÉES!AR243)</f>
        <v/>
      </c>
      <c r="D43" s="96">
        <f>IF(PMTTURVILLA[[#This Row],[2024]]="","",(PMTTURVILLA[[#This Row],[2024]]-PMTTURVILLA[[#This Row],[2023]])/PMTTURVILLA[[#This Row],[2023]])</f>
        <v/>
      </c>
      <c r="E43" s="526">
        <f>IF(PMTTURVILLA[[#This Row],[2024]]="","",DONNÉES!AS243)</f>
        <v/>
      </c>
      <c r="F43" s="529">
        <f>IF(PMTTURVILLA[[#This Row],[2024]]="","",DONNÉES!AT243)</f>
        <v/>
      </c>
      <c r="G43" s="540">
        <f>IF(PMTTURVILLA[[#This Row],[2024]]="","",DONNÉES!AU243)</f>
        <v/>
      </c>
      <c r="H43" s="474" t="n"/>
      <c r="I43" s="476" t="inlineStr">
        <is>
          <t>Août</t>
        </is>
      </c>
      <c r="J43" s="526">
        <f>IF(DONNÉES!AY243="","",DONNÉES!AY243)</f>
        <v/>
      </c>
      <c r="K43" s="526">
        <f>IF(PMTHART[[#This Row],[2024]]="","",DONNÉES!AZ243)</f>
        <v/>
      </c>
      <c r="L43" s="96">
        <f>IF(PMTHART[[#This Row],[2024]]="","",(PMTHART[[#This Row],[2024]]-PMTHART[[#This Row],[2023]])/PMTHART[[#This Row],[2023]])</f>
        <v/>
      </c>
      <c r="M43" s="526">
        <f>IF(PMTHART[[#This Row],[2024]]="","",DONNÉES!BA243)</f>
        <v/>
      </c>
      <c r="N43" s="529">
        <f>IF(PMTHART[[#This Row],[2024]]="","",DONNÉES!BB243)</f>
        <v/>
      </c>
      <c r="O43" s="540">
        <f>IF(PMTHART[[#This Row],[2024]]="","",DONNÉES!BC243)</f>
        <v/>
      </c>
    </row>
    <row r="44" ht="13.15" customHeight="1" s="161">
      <c r="A44" s="474" t="inlineStr">
        <is>
          <t>Septembre</t>
        </is>
      </c>
      <c r="B44" s="529">
        <f>IF(DONNÉES!AQ244="","",DONNÉES!AQ244)</f>
        <v/>
      </c>
      <c r="C44" s="529">
        <f>IF(PMTTURVILLA[[#This Row],[2024]]="","",DONNÉES!AR244)</f>
        <v/>
      </c>
      <c r="D44" s="97">
        <f>IF(PMTTURVILLA[[#This Row],[2024]]="","",(PMTTURVILLA[[#This Row],[2024]]-PMTTURVILLA[[#This Row],[2023]])/PMTTURVILLA[[#This Row],[2023]])</f>
        <v/>
      </c>
      <c r="E44" s="526">
        <f>IF(PMTTURVILLA[[#This Row],[2024]]="","",DONNÉES!AS244)</f>
        <v/>
      </c>
      <c r="F44" s="529">
        <f>IF(PMTTURVILLA[[#This Row],[2024]]="","",DONNÉES!AT244)</f>
        <v/>
      </c>
      <c r="G44" s="540">
        <f>IF(PMTTURVILLA[[#This Row],[2024]]="","",DONNÉES!AU244)</f>
        <v/>
      </c>
      <c r="I44" s="474" t="inlineStr">
        <is>
          <t>Septembre</t>
        </is>
      </c>
      <c r="J44" s="529">
        <f>IF(DONNÉES!AY244="","",DONNÉES!AY244)</f>
        <v/>
      </c>
      <c r="K44" s="529">
        <f>IF(PMTHART[[#This Row],[2024]]="","",DONNÉES!AZ244)</f>
        <v/>
      </c>
      <c r="L44" s="97">
        <f>IF(PMTHART[[#This Row],[2024]]="","",(PMTHART[[#This Row],[2024]]-PMTHART[[#This Row],[2023]])/PMTHART[[#This Row],[2023]])</f>
        <v/>
      </c>
      <c r="M44" s="526">
        <f>IF(PMTHART[[#This Row],[2024]]="","",DONNÉES!BA244)</f>
        <v/>
      </c>
      <c r="N44" s="529">
        <f>IF(PMTHART[[#This Row],[2024]]="","",DONNÉES!BB244)</f>
        <v/>
      </c>
      <c r="O44" s="540">
        <f>IF(PMTHART[[#This Row],[2024]]="","",DONNÉES!BC244)</f>
        <v/>
      </c>
    </row>
    <row r="45" ht="13.15" customHeight="1" s="161">
      <c r="A45" s="476" t="inlineStr">
        <is>
          <t>Octobre</t>
        </is>
      </c>
      <c r="B45" s="529">
        <f>IF(DONNÉES!AQ245="","",DONNÉES!AQ245)</f>
        <v/>
      </c>
      <c r="C45" s="529">
        <f>IF(PMTTURVILLA[[#This Row],[2024]]="","",DONNÉES!AR245)</f>
        <v/>
      </c>
      <c r="D45" s="97">
        <f>IF(PMTTURVILLA[[#This Row],[2024]]="","",(PMTTURVILLA[[#This Row],[2024]]-PMTTURVILLA[[#This Row],[2023]])/PMTTURVILLA[[#This Row],[2023]])</f>
        <v/>
      </c>
      <c r="E45" s="526">
        <f>IF(PMTTURVILLA[[#This Row],[2024]]="","",DONNÉES!AS245)</f>
        <v/>
      </c>
      <c r="F45" s="529">
        <f>IF(PMTTURVILLA[[#This Row],[2024]]="","",DONNÉES!AT245)</f>
        <v/>
      </c>
      <c r="G45" s="540">
        <f>IF(PMTTURVILLA[[#This Row],[2024]]="","",DONNÉES!AU245)</f>
        <v/>
      </c>
      <c r="H45" s="474" t="n"/>
      <c r="I45" s="476" t="inlineStr">
        <is>
          <t>Octobre</t>
        </is>
      </c>
      <c r="J45" s="529">
        <f>IF(DONNÉES!AY245="","",DONNÉES!AY245)</f>
        <v/>
      </c>
      <c r="K45" s="529">
        <f>IF(PMTHART[[#This Row],[2024]]="","",DONNÉES!AZ245)</f>
        <v/>
      </c>
      <c r="L45" s="97">
        <f>IF(PMTHART[[#This Row],[2024]]="","",(PMTHART[[#This Row],[2024]]-PMTHART[[#This Row],[2023]])/PMTHART[[#This Row],[2023]])</f>
        <v/>
      </c>
      <c r="M45" s="526">
        <f>IF(PMTHART[[#This Row],[2024]]="","",DONNÉES!BA245)</f>
        <v/>
      </c>
      <c r="N45" s="529">
        <f>IF(PMTHART[[#This Row],[2024]]="","",DONNÉES!BB245)</f>
        <v/>
      </c>
      <c r="O45" s="540">
        <f>IF(PMTHART[[#This Row],[2024]]="","",DONNÉES!BC245)</f>
        <v/>
      </c>
    </row>
    <row r="46" ht="13.15" customFormat="1" customHeight="1" s="476">
      <c r="A46" s="474" t="inlineStr">
        <is>
          <t>Novembre</t>
        </is>
      </c>
      <c r="B46" s="529">
        <f>IF(DONNÉES!AQ246="","",DONNÉES!AQ246)</f>
        <v/>
      </c>
      <c r="C46" s="529">
        <f>IF(PMTTURVILLA[[#This Row],[2024]]="","",DONNÉES!AR246)</f>
        <v/>
      </c>
      <c r="D46" s="97">
        <f>IF(PMTTURVILLA[[#This Row],[2024]]="","",(PMTTURVILLA[[#This Row],[2024]]-PMTTURVILLA[[#This Row],[2023]])/PMTTURVILLA[[#This Row],[2023]])</f>
        <v/>
      </c>
      <c r="E46" s="526">
        <f>IF(PMTTURVILLA[[#This Row],[2024]]="","",DONNÉES!AS246)</f>
        <v/>
      </c>
      <c r="F46" s="529">
        <f>IF(PMTTURVILLA[[#This Row],[2024]]="","",DONNÉES!AT246)</f>
        <v/>
      </c>
      <c r="G46" s="540">
        <f>IF(PMTTURVILLA[[#This Row],[2024]]="","",DONNÉES!AU246)</f>
        <v/>
      </c>
      <c r="I46" s="474" t="inlineStr">
        <is>
          <t>Novembre</t>
        </is>
      </c>
      <c r="J46" s="529">
        <f>IF(DONNÉES!AY246="","",DONNÉES!AY246)</f>
        <v/>
      </c>
      <c r="K46" s="529">
        <f>IF(PMTHART[[#This Row],[2024]]="","",DONNÉES!AZ246)</f>
        <v/>
      </c>
      <c r="L46" s="97">
        <f>IF(PMTHART[[#This Row],[2024]]="","",(PMTHART[[#This Row],[2024]]-PMTHART[[#This Row],[2023]])/PMTHART[[#This Row],[2023]])</f>
        <v/>
      </c>
      <c r="M46" s="526">
        <f>IF(PMTHART[[#This Row],[2024]]="","",DONNÉES!BA246)</f>
        <v/>
      </c>
      <c r="N46" s="529">
        <f>IF(PMTHART[[#This Row],[2024]]="","",DONNÉES!BB246)</f>
        <v/>
      </c>
      <c r="O46" s="540">
        <f>IF(PMTHART[[#This Row],[2024]]="","",DONNÉES!BC246)</f>
        <v/>
      </c>
    </row>
    <row r="47" ht="13.15" customFormat="1" customHeight="1" s="476">
      <c r="A47" s="474" t="inlineStr">
        <is>
          <t>Décembre</t>
        </is>
      </c>
      <c r="B47" s="529">
        <f>IF(DONNÉES!AQ247="","",DONNÉES!AQ247)</f>
        <v/>
      </c>
      <c r="C47" s="529">
        <f>IF(PMTTURVILLA[[#This Row],[2024]]="","",DONNÉES!AR247)</f>
        <v/>
      </c>
      <c r="D47" s="97">
        <f>IF(PMTTURVILLA[[#This Row],[2024]]="","",(PMTTURVILLA[[#This Row],[2024]]-PMTTURVILLA[[#This Row],[2023]])/PMTTURVILLA[[#This Row],[2023]])</f>
        <v/>
      </c>
      <c r="E47" s="526">
        <f>IF(PMTTURVILLA[[#This Row],[2024]]="","",DONNÉES!AS247)</f>
        <v/>
      </c>
      <c r="F47" s="529">
        <f>IF(PMTTURVILLA[[#This Row],[2024]]="","",DONNÉES!AT247)</f>
        <v/>
      </c>
      <c r="G47" s="540">
        <f>IF(PMTTURVILLA[[#This Row],[2024]]="","",DONNÉES!AU247)</f>
        <v/>
      </c>
      <c r="I47" s="474" t="inlineStr">
        <is>
          <t>Décembre</t>
        </is>
      </c>
      <c r="J47" s="529">
        <f>IF(DONNÉES!AY247="","",DONNÉES!AY247)</f>
        <v/>
      </c>
      <c r="K47" s="529">
        <f>IF(PMTHART[[#This Row],[2024]]="","",DONNÉES!AZ247)</f>
        <v/>
      </c>
      <c r="L47" s="97">
        <f>IF(PMTHART[[#This Row],[2024]]="","",(PMTHART[[#This Row],[2024]]-PMTHART[[#This Row],[2023]])/PMTHART[[#This Row],[2023]])</f>
        <v/>
      </c>
      <c r="M47" s="526">
        <f>IF(PMTHART[[#This Row],[2024]]="","",DONNÉES!BA247)</f>
        <v/>
      </c>
      <c r="N47" s="529">
        <f>IF(PMTHART[[#This Row],[2024]]="","",DONNÉES!BB247)</f>
        <v/>
      </c>
      <c r="O47" s="540">
        <f>IF(PMTHART[[#This Row],[2024]]="","",DONNÉES!BC247)</f>
        <v/>
      </c>
    </row>
    <row r="48" ht="16.9" customFormat="1" customHeight="1" s="476">
      <c r="A48" s="354" t="inlineStr">
        <is>
          <t xml:space="preserve"> TOTAL </t>
        </is>
      </c>
      <c r="B48" s="533">
        <f>SUBTOTAL(101,PMTTURVILLA[2024])</f>
        <v/>
      </c>
      <c r="C48" s="533">
        <f>SUBTOTAL(101,PMTTURVILLA[2023])</f>
        <v/>
      </c>
      <c r="D48" s="125">
        <f>(PMTTURVILLA[[#Totals],[2024]]-PMTTURVILLA[[#Totals],[2023]])/PMTTURVILLA[[#Totals],[2023]]</f>
        <v/>
      </c>
      <c r="E48" s="536">
        <f>SUBTOTAL(101,PMTTURVILLA[2022])</f>
        <v/>
      </c>
      <c r="F48" s="533">
        <f>SUBTOTAL(101,PMTTURVILLA[2021])</f>
        <v/>
      </c>
      <c r="G48" s="533">
        <f>SUBTOTAL(101,PMTTURVILLA[2020])</f>
        <v/>
      </c>
      <c r="I48" s="354" t="inlineStr">
        <is>
          <t xml:space="preserve">  TOTAL  </t>
        </is>
      </c>
      <c r="J48" s="533">
        <f>SUBTOTAL(101,PMTHART[2024])</f>
        <v/>
      </c>
      <c r="K48" s="533">
        <f>SUBTOTAL(101,PMTHART[2023])</f>
        <v/>
      </c>
      <c r="L48" s="125">
        <f>(PMTHART[[#Totals],[2024]]-PMTHART[[#Totals],[2023]])/PMTHART[[#Totals],[2023]]</f>
        <v/>
      </c>
      <c r="M48" s="536">
        <f>SUBTOTAL(101,M42:M47)</f>
        <v/>
      </c>
      <c r="N48" s="533">
        <f>SUBTOTAL(101,PMTHART[2021])</f>
        <v/>
      </c>
      <c r="O48" s="359">
        <f>SUBTOTAL(101,PMTHART[2020])</f>
        <v/>
      </c>
    </row>
    <row r="49" ht="30.6" customHeight="1" s="161">
      <c r="H49" s="474" t="n"/>
    </row>
    <row r="50" ht="33" customHeight="1" s="161">
      <c r="A50" s="474" t="inlineStr">
        <is>
          <t>VICTOIRE</t>
        </is>
      </c>
      <c r="B50" s="491" t="inlineStr">
        <is>
          <t>2024</t>
        </is>
      </c>
      <c r="C50" s="491" t="inlineStr">
        <is>
          <t>2023</t>
        </is>
      </c>
      <c r="D50" s="100" t="inlineStr">
        <is>
          <t>Variat.</t>
        </is>
      </c>
      <c r="E50" s="491" t="inlineStr">
        <is>
          <t>2022</t>
        </is>
      </c>
      <c r="F50" s="491" t="inlineStr">
        <is>
          <t>2021</t>
        </is>
      </c>
      <c r="G50" s="525" t="inlineStr">
        <is>
          <t>2020</t>
        </is>
      </c>
      <c r="H50" s="474" t="n"/>
      <c r="I50" s="474" t="inlineStr">
        <is>
          <t>CATALINA</t>
        </is>
      </c>
      <c r="J50" s="491" t="inlineStr">
        <is>
          <t>2024</t>
        </is>
      </c>
      <c r="K50" s="491" t="inlineStr">
        <is>
          <t>2023</t>
        </is>
      </c>
      <c r="L50" s="100" t="inlineStr">
        <is>
          <t>Variat.</t>
        </is>
      </c>
      <c r="M50" s="491" t="inlineStr">
        <is>
          <t>2022</t>
        </is>
      </c>
      <c r="N50" s="491" t="inlineStr">
        <is>
          <t>2021</t>
        </is>
      </c>
      <c r="O50" s="525" t="inlineStr">
        <is>
          <t>2020</t>
        </is>
      </c>
    </row>
    <row r="51" ht="13.15" customHeight="1" s="161">
      <c r="A51" s="476" t="inlineStr">
        <is>
          <t>Janvier</t>
        </is>
      </c>
      <c r="B51" s="526">
        <f>IF(DONNÉES!BG236="","",DONNÉES!BG236)</f>
        <v/>
      </c>
      <c r="C51" s="526">
        <f>IF(PMTVICTOIRE[[#This Row],[2024]]="","",DONNÉES!BH236)</f>
        <v/>
      </c>
      <c r="D51" s="96">
        <f>IF(PMTVICTOIRE[[#This Row],[2024]]="","",(PMTVICTOIRE[[#This Row],[2024]]-PMTVICTOIRE[[#This Row],[2023]])/PMTVICTOIRE[[#This Row],[2023]])</f>
        <v/>
      </c>
      <c r="E51" s="526">
        <f>IF(PMTVICTOIRE[[#This Row],[2024]]="","",DONNÉES!BI236)</f>
        <v/>
      </c>
      <c r="F51" s="526">
        <f>IF(PMTVICTOIRE[[#This Row],[2024]]="","",DONNÉES!BJ236)</f>
        <v/>
      </c>
      <c r="G51" s="526">
        <f>IF(PMTVICTOIRE[[#This Row],[2024]]="","",DONNÉES!BK236)</f>
        <v/>
      </c>
      <c r="H51" s="474" t="n"/>
      <c r="I51" s="476" t="inlineStr">
        <is>
          <t>Janvier</t>
        </is>
      </c>
      <c r="J51" s="526">
        <f>IF(DONNÉES!EA236="","",DONNÉES!EA236)</f>
        <v/>
      </c>
      <c r="K51" s="526">
        <f>IF(PMTCAT[[#This Row],[2024]]="","",DONNÉES!EB236)</f>
        <v/>
      </c>
      <c r="L51" s="96">
        <f>IF(PMTCAT[[#This Row],[2024]]="","",(PMTCAT[[#This Row],[2024]]-PMTCAT[[#This Row],[2023]])/PMTCAT[[#This Row],[2023]])</f>
        <v/>
      </c>
      <c r="M51" s="526">
        <f>IF(PMTCAT[[#This Row],[2024]]="","",DONNÉES!EC236)</f>
        <v/>
      </c>
      <c r="N51" s="526">
        <f>IF(PMTCAT[[#This Row],[2024]]="","",DONNÉES!ED236)</f>
        <v/>
      </c>
      <c r="O51" s="526">
        <f>IF(PMTCAT[[#This Row],[2024]]="","",DONNÉES!EE236)</f>
        <v/>
      </c>
    </row>
    <row r="52" ht="13.15" customHeight="1" s="161">
      <c r="A52" s="476" t="inlineStr">
        <is>
          <t>Février</t>
        </is>
      </c>
      <c r="B52" s="526">
        <f>IF(DONNÉES!BG237="","",DONNÉES!BG237)</f>
        <v/>
      </c>
      <c r="C52" s="526">
        <f>IF(PMTVICTOIRE[[#This Row],[2024]]="","",DONNÉES!BH237)</f>
        <v/>
      </c>
      <c r="D52" s="96">
        <f>IF(PMTVICTOIRE[[#This Row],[2024]]="","",(PMTVICTOIRE[[#This Row],[2024]]-PMTVICTOIRE[[#This Row],[2023]])/PMTVICTOIRE[[#This Row],[2023]])</f>
        <v/>
      </c>
      <c r="E52" s="526">
        <f>IF(PMTVICTOIRE[[#This Row],[2024]]="","",DONNÉES!BI237)</f>
        <v/>
      </c>
      <c r="F52" s="526">
        <f>IF(PMTVICTOIRE[[#This Row],[2024]]="","",DONNÉES!BJ237)</f>
        <v/>
      </c>
      <c r="G52" s="526">
        <f>IF(PMTVICTOIRE[[#This Row],[2024]]="","",DONNÉES!BK237)</f>
        <v/>
      </c>
      <c r="H52" s="474" t="n"/>
      <c r="I52" s="476" t="inlineStr">
        <is>
          <t>Février</t>
        </is>
      </c>
      <c r="J52" s="526">
        <f>IF(DONNÉES!EA237="","",DONNÉES!EA237)</f>
        <v/>
      </c>
      <c r="K52" s="526">
        <f>IF(PMTCAT[[#This Row],[2024]]="","",DONNÉES!EB237)</f>
        <v/>
      </c>
      <c r="L52" s="96">
        <f>IF(PMTCAT[[#This Row],[2024]]="","",(PMTCAT[[#This Row],[2024]]-PMTCAT[[#This Row],[2023]])/PMTCAT[[#This Row],[2023]])</f>
        <v/>
      </c>
      <c r="M52" s="526">
        <f>IF(PMTCAT[[#This Row],[2024]]="","",DONNÉES!EC237)</f>
        <v/>
      </c>
      <c r="N52" s="526">
        <f>IF(PMTCAT[[#This Row],[2024]]="","",DONNÉES!ED237)</f>
        <v/>
      </c>
      <c r="O52" s="526">
        <f>IF(PMTCAT[[#This Row],[2024]]="","",DONNÉES!EE237)</f>
        <v/>
      </c>
    </row>
    <row r="53" ht="13.15" customHeight="1" s="161">
      <c r="A53" s="474" t="inlineStr">
        <is>
          <t>Mars</t>
        </is>
      </c>
      <c r="B53" s="526">
        <f>IF(DONNÉES!BG238="","",DONNÉES!BG238)</f>
        <v/>
      </c>
      <c r="C53" s="526">
        <f>IF(PMTVICTOIRE[[#This Row],[2024]]="","",DONNÉES!BH238)</f>
        <v/>
      </c>
      <c r="D53" s="96">
        <f>IF(PMTVICTOIRE[[#This Row],[2024]]="","",(PMTVICTOIRE[[#This Row],[2024]]-PMTVICTOIRE[[#This Row],[2023]])/PMTVICTOIRE[[#This Row],[2023]])</f>
        <v/>
      </c>
      <c r="E53" s="526">
        <f>IF(PMTVICTOIRE[[#This Row],[2024]]="","",DONNÉES!BI238)</f>
        <v/>
      </c>
      <c r="F53" s="526">
        <f>IF(PMTVICTOIRE[[#This Row],[2024]]="","",DONNÉES!BJ238)</f>
        <v/>
      </c>
      <c r="G53" s="526">
        <f>IF(PMTVICTOIRE[[#This Row],[2024]]="","",DONNÉES!BK238)</f>
        <v/>
      </c>
      <c r="H53" s="474" t="n"/>
      <c r="I53" s="474" t="inlineStr">
        <is>
          <t>Mars</t>
        </is>
      </c>
      <c r="J53" s="526">
        <f>IF(DONNÉES!EA238="","",DONNÉES!EA238)</f>
        <v/>
      </c>
      <c r="K53" s="526">
        <f>IF(PMTCAT[[#This Row],[2024]]="","",DONNÉES!EB238)</f>
        <v/>
      </c>
      <c r="L53" s="96">
        <f>IF(PMTCAT[[#This Row],[2024]]="","",(PMTCAT[[#This Row],[2024]]-PMTCAT[[#This Row],[2023]])/PMTCAT[[#This Row],[2023]])</f>
        <v/>
      </c>
      <c r="M53" s="526">
        <f>IF(PMTCAT[[#This Row],[2024]]="","",DONNÉES!EC238)</f>
        <v/>
      </c>
      <c r="N53" s="526">
        <f>IF(PMTCAT[[#This Row],[2024]]="","",DONNÉES!ED238)</f>
        <v/>
      </c>
      <c r="O53" s="526">
        <f>IF(PMTCAT[[#This Row],[2024]]="","",DONNÉES!EE238)</f>
        <v/>
      </c>
    </row>
    <row r="54" ht="13.15" customHeight="1" s="161">
      <c r="A54" s="476" t="inlineStr">
        <is>
          <t>Avril</t>
        </is>
      </c>
      <c r="B54" s="526">
        <f>IF(DONNÉES!BG239="","",DONNÉES!BG239)</f>
        <v/>
      </c>
      <c r="C54" s="526">
        <f>IF(PMTVICTOIRE[[#This Row],[2024]]="","",DONNÉES!BH239)</f>
        <v/>
      </c>
      <c r="D54" s="96">
        <f>IF(PMTVICTOIRE[[#This Row],[2024]]="","",(PMTVICTOIRE[[#This Row],[2024]]-PMTVICTOIRE[[#This Row],[2023]])/PMTVICTOIRE[[#This Row],[2023]])</f>
        <v/>
      </c>
      <c r="E54" s="526">
        <f>IF(PMTVICTOIRE[[#This Row],[2024]]="","",DONNÉES!BI239)</f>
        <v/>
      </c>
      <c r="F54" s="526">
        <f>IF(PMTVICTOIRE[[#This Row],[2024]]="","",DONNÉES!BJ239)</f>
        <v/>
      </c>
      <c r="G54" s="526">
        <f>IF(PMTVICTOIRE[[#This Row],[2024]]="","",DONNÉES!BK239)</f>
        <v/>
      </c>
      <c r="I54" s="476" t="inlineStr">
        <is>
          <t>Avril</t>
        </is>
      </c>
      <c r="J54" s="526">
        <f>IF(DONNÉES!EA239="","",DONNÉES!EA239)</f>
        <v/>
      </c>
      <c r="K54" s="526">
        <f>IF(PMTCAT[[#This Row],[2024]]="","",DONNÉES!EB239)</f>
        <v/>
      </c>
      <c r="L54" s="96">
        <f>IF(PMTCAT[[#This Row],[2024]]="","",(PMTCAT[[#This Row],[2024]]-PMTCAT[[#This Row],[2023]])/PMTCAT[[#This Row],[2023]])</f>
        <v/>
      </c>
      <c r="M54" s="526">
        <f>IF(PMTCAT[[#This Row],[2024]]="","",DONNÉES!EC239)</f>
        <v/>
      </c>
      <c r="N54" s="526">
        <f>IF(PMTCAT[[#This Row],[2024]]="","",DONNÉES!ED239)</f>
        <v/>
      </c>
      <c r="O54" s="526">
        <f>IF(PMTCAT[[#This Row],[2024]]="","",DONNÉES!EE239)</f>
        <v/>
      </c>
    </row>
    <row r="55" ht="13.15" customHeight="1" s="161">
      <c r="A55" s="474" t="inlineStr">
        <is>
          <t>Mai</t>
        </is>
      </c>
      <c r="B55" s="526">
        <f>IF(DONNÉES!BG240="","",DONNÉES!BG240)</f>
        <v/>
      </c>
      <c r="C55" s="526">
        <f>IF(PMTVICTOIRE[[#This Row],[2024]]="","",DONNÉES!BH240)</f>
        <v/>
      </c>
      <c r="D55" s="96">
        <f>IF(PMTVICTOIRE[[#This Row],[2024]]="","",(PMTVICTOIRE[[#This Row],[2024]]-PMTVICTOIRE[[#This Row],[2023]])/PMTVICTOIRE[[#This Row],[2023]])</f>
        <v/>
      </c>
      <c r="E55" s="526">
        <f>IF(PMTVICTOIRE[[#This Row],[2024]]="","",DONNÉES!BI240)</f>
        <v/>
      </c>
      <c r="F55" s="526">
        <f>IF(PMTVICTOIRE[[#This Row],[2024]]="","",DONNÉES!BJ240)</f>
        <v/>
      </c>
      <c r="G55" s="526">
        <f>IF(PMTVICTOIRE[[#This Row],[2024]]="","",DONNÉES!BK240)</f>
        <v/>
      </c>
      <c r="H55" s="474" t="n"/>
      <c r="I55" s="474" t="inlineStr">
        <is>
          <t>Mai</t>
        </is>
      </c>
      <c r="J55" s="526">
        <f>IF(DONNÉES!EA240="","",DONNÉES!EA240)</f>
        <v/>
      </c>
      <c r="K55" s="526">
        <f>IF(PMTCAT[[#This Row],[2024]]="","",DONNÉES!EB240)</f>
        <v/>
      </c>
      <c r="L55" s="96">
        <f>IF(PMTCAT[[#This Row],[2024]]="","",(PMTCAT[[#This Row],[2024]]-PMTCAT[[#This Row],[2023]])/PMTCAT[[#This Row],[2023]])</f>
        <v/>
      </c>
      <c r="M55" s="526">
        <f>IF(PMTCAT[[#This Row],[2024]]="","",DONNÉES!EC240)</f>
        <v/>
      </c>
      <c r="N55" s="526">
        <f>IF(PMTCAT[[#This Row],[2024]]="","",DONNÉES!ED240)</f>
        <v/>
      </c>
      <c r="O55" s="526">
        <f>IF(PMTCAT[[#This Row],[2024]]="","",DONNÉES!EE240)</f>
        <v/>
      </c>
    </row>
    <row r="56" ht="13.15" customFormat="1" customHeight="1" s="476">
      <c r="A56" s="476" t="inlineStr">
        <is>
          <t>Juin</t>
        </is>
      </c>
      <c r="B56" s="526">
        <f>IF(DONNÉES!BG241="","",DONNÉES!BG241)</f>
        <v/>
      </c>
      <c r="C56" s="526">
        <f>IF(PMTVICTOIRE[[#This Row],[2024]]="","",DONNÉES!BH241)</f>
        <v/>
      </c>
      <c r="D56" s="96">
        <f>IF(PMTVICTOIRE[[#This Row],[2024]]="","",(PMTVICTOIRE[[#This Row],[2024]]-PMTVICTOIRE[[#This Row],[2023]])/PMTVICTOIRE[[#This Row],[2023]])</f>
        <v/>
      </c>
      <c r="E56" s="526">
        <f>IF(PMTVICTOIRE[[#This Row],[2024]]="","",DONNÉES!BI241)</f>
        <v/>
      </c>
      <c r="F56" s="526">
        <f>IF(PMTVICTOIRE[[#This Row],[2024]]="","",DONNÉES!BJ241)</f>
        <v/>
      </c>
      <c r="G56" s="526">
        <f>IF(PMTVICTOIRE[[#This Row],[2024]]="","",DONNÉES!BK241)</f>
        <v/>
      </c>
      <c r="I56" s="476" t="inlineStr">
        <is>
          <t>Juin</t>
        </is>
      </c>
      <c r="J56" s="526">
        <f>IF(DONNÉES!EA241="","",DONNÉES!EA241)</f>
        <v/>
      </c>
      <c r="K56" s="526">
        <f>IF(PMTCAT[[#This Row],[2024]]="","",DONNÉES!EB241)</f>
        <v/>
      </c>
      <c r="L56" s="96">
        <f>IF(PMTCAT[[#This Row],[2024]]="","",(PMTCAT[[#This Row],[2024]]-PMTCAT[[#This Row],[2023]])/PMTCAT[[#This Row],[2023]])</f>
        <v/>
      </c>
      <c r="M56" s="526">
        <f>IF(PMTCAT[[#This Row],[2024]]="","",DONNÉES!EC241)</f>
        <v/>
      </c>
      <c r="N56" s="526">
        <f>IF(PMTCAT[[#This Row],[2024]]="","",DONNÉES!ED241)</f>
        <v/>
      </c>
      <c r="O56" s="526">
        <f>IF(PMTCAT[[#This Row],[2024]]="","",DONNÉES!EE241)</f>
        <v/>
      </c>
    </row>
    <row r="57" ht="13.15" customFormat="1" customHeight="1" s="476">
      <c r="A57" s="474" t="inlineStr">
        <is>
          <t>Juillet</t>
        </is>
      </c>
      <c r="B57" s="526">
        <f>IF(DONNÉES!BG242="","",DONNÉES!BG242)</f>
        <v/>
      </c>
      <c r="C57" s="526">
        <f>IF(PMTVICTOIRE[[#This Row],[2024]]="","",DONNÉES!BH242)</f>
        <v/>
      </c>
      <c r="D57" s="96">
        <f>IF(PMTVICTOIRE[[#This Row],[2024]]="","",(PMTVICTOIRE[[#This Row],[2024]]-PMTVICTOIRE[[#This Row],[2023]])/PMTVICTOIRE[[#This Row],[2023]])</f>
        <v/>
      </c>
      <c r="E57" s="526">
        <f>IF(PMTVICTOIRE[[#This Row],[2024]]="","",DONNÉES!BI242)</f>
        <v/>
      </c>
      <c r="F57" s="526">
        <f>IF(PMTVICTOIRE[[#This Row],[2024]]="","",DONNÉES!BJ242)</f>
        <v/>
      </c>
      <c r="G57" s="526">
        <f>IF(PMTVICTOIRE[[#This Row],[2024]]="","",DONNÉES!BK242)</f>
        <v/>
      </c>
      <c r="I57" s="474" t="inlineStr">
        <is>
          <t>Juillet</t>
        </is>
      </c>
      <c r="J57" s="526">
        <f>IF(DONNÉES!EA242="","",DONNÉES!EA242)</f>
        <v/>
      </c>
      <c r="K57" s="526">
        <f>IF(PMTCAT[[#This Row],[2024]]="","",DONNÉES!EB242)</f>
        <v/>
      </c>
      <c r="L57" s="96">
        <f>IF(PMTCAT[[#This Row],[2024]]="","",(PMTCAT[[#This Row],[2024]]-PMTCAT[[#This Row],[2023]])/PMTCAT[[#This Row],[2023]])</f>
        <v/>
      </c>
      <c r="M57" s="526">
        <f>IF(PMTCAT[[#This Row],[2024]]="","",DONNÉES!EC242)</f>
        <v/>
      </c>
      <c r="N57" s="526">
        <f>IF(PMTCAT[[#This Row],[2024]]="","",DONNÉES!ED242)</f>
        <v/>
      </c>
      <c r="O57" s="526">
        <f>IF(PMTCAT[[#This Row],[2024]]="","",DONNÉES!EE242)</f>
        <v/>
      </c>
    </row>
    <row r="58" ht="13.15" customFormat="1" customHeight="1" s="476">
      <c r="A58" s="476" t="inlineStr">
        <is>
          <t>Août</t>
        </is>
      </c>
      <c r="B58" s="526">
        <f>IF(DONNÉES!BG243="","",DONNÉES!BG243)</f>
        <v/>
      </c>
      <c r="C58" s="526">
        <f>IF(PMTVICTOIRE[[#This Row],[2024]]="","",DONNÉES!BH243)</f>
        <v/>
      </c>
      <c r="D58" s="96">
        <f>IF(PMTVICTOIRE[[#This Row],[2024]]="","",(PMTVICTOIRE[[#This Row],[2024]]-PMTVICTOIRE[[#This Row],[2023]])/PMTVICTOIRE[[#This Row],[2023]])</f>
        <v/>
      </c>
      <c r="E58" s="526">
        <f>IF(PMTVICTOIRE[[#This Row],[2024]]="","",DONNÉES!BI243)</f>
        <v/>
      </c>
      <c r="F58" s="526">
        <f>IF(PMTVICTOIRE[[#This Row],[2024]]="","",DONNÉES!BJ243)</f>
        <v/>
      </c>
      <c r="G58" s="526">
        <f>IF(PMTVICTOIRE[[#This Row],[2024]]="","",DONNÉES!BK243)</f>
        <v/>
      </c>
      <c r="I58" s="476" t="inlineStr">
        <is>
          <t>Août</t>
        </is>
      </c>
      <c r="J58" s="526">
        <f>IF(DONNÉES!EA243="","",DONNÉES!EA243)</f>
        <v/>
      </c>
      <c r="K58" s="526">
        <f>IF(PMTCAT[[#This Row],[2024]]="","",DONNÉES!EB243)</f>
        <v/>
      </c>
      <c r="L58" s="96">
        <f>IF(PMTCAT[[#This Row],[2024]]="","",(PMTCAT[[#This Row],[2024]]-PMTCAT[[#This Row],[2023]])/PMTCAT[[#This Row],[2023]])</f>
        <v/>
      </c>
      <c r="M58" s="526">
        <f>IF(PMTCAT[[#This Row],[2024]]="","",DONNÉES!EC243)</f>
        <v/>
      </c>
      <c r="N58" s="526">
        <f>IF(PMTCAT[[#This Row],[2024]]="","",DONNÉES!ED243)</f>
        <v/>
      </c>
      <c r="O58" s="526">
        <f>IF(PMTCAT[[#This Row],[2024]]="","",DONNÉES!EE243)</f>
        <v/>
      </c>
    </row>
    <row r="59" ht="13.15" customHeight="1" s="161">
      <c r="A59" s="474" t="inlineStr">
        <is>
          <t>Septembre</t>
        </is>
      </c>
      <c r="B59" s="526">
        <f>IF(DONNÉES!BG244="","",DONNÉES!BG244)</f>
        <v/>
      </c>
      <c r="C59" s="526">
        <f>IF(PMTVICTOIRE[[#This Row],[2024]]="","",DONNÉES!BH244)</f>
        <v/>
      </c>
      <c r="D59" s="96">
        <f>IF(PMTVICTOIRE[[#This Row],[2024]]="","",(PMTVICTOIRE[[#This Row],[2024]]-PMTVICTOIRE[[#This Row],[2023]])/PMTVICTOIRE[[#This Row],[2023]])</f>
        <v/>
      </c>
      <c r="E59" s="526">
        <f>IF(PMTVICTOIRE[[#This Row],[2024]]="","",DONNÉES!BI244)</f>
        <v/>
      </c>
      <c r="F59" s="526">
        <f>IF(PMTVICTOIRE[[#This Row],[2024]]="","",DONNÉES!BJ244)</f>
        <v/>
      </c>
      <c r="G59" s="526">
        <f>IF(PMTVICTOIRE[[#This Row],[2024]]="","",DONNÉES!BK244)</f>
        <v/>
      </c>
      <c r="H59" s="474" t="n"/>
      <c r="I59" s="474" t="inlineStr">
        <is>
          <t>Septembre</t>
        </is>
      </c>
      <c r="J59" s="526">
        <f>IF(DONNÉES!EA244="","",DONNÉES!EA244)</f>
        <v/>
      </c>
      <c r="K59" s="526">
        <f>IF(PMTCAT[[#This Row],[2024]]="","",DONNÉES!EB244)</f>
        <v/>
      </c>
      <c r="L59" s="96">
        <f>IF(PMTCAT[[#This Row],[2024]]="","",(PMTCAT[[#This Row],[2024]]-PMTCAT[[#This Row],[2023]])/PMTCAT[[#This Row],[2023]])</f>
        <v/>
      </c>
      <c r="M59" s="526">
        <f>IF(PMTCAT[[#This Row],[2024]]="","",DONNÉES!EC244)</f>
        <v/>
      </c>
      <c r="N59" s="526">
        <f>IF(PMTCAT[[#This Row],[2024]]="","",DONNÉES!ED244)</f>
        <v/>
      </c>
      <c r="O59" s="526">
        <f>IF(PMTCAT[[#This Row],[2024]]="","",DONNÉES!EE244)</f>
        <v/>
      </c>
    </row>
    <row r="60" ht="13.15" customHeight="1" s="161">
      <c r="A60" s="476" t="inlineStr">
        <is>
          <t>Octobre</t>
        </is>
      </c>
      <c r="B60" s="526">
        <f>IF(DONNÉES!BG245="","",DONNÉES!BG245)</f>
        <v/>
      </c>
      <c r="C60" s="526">
        <f>IF(PMTVICTOIRE[[#This Row],[2024]]="","",DONNÉES!BH245)</f>
        <v/>
      </c>
      <c r="D60" s="96">
        <f>IF(PMTVICTOIRE[[#This Row],[2024]]="","",(PMTVICTOIRE[[#This Row],[2024]]-PMTVICTOIRE[[#This Row],[2023]])/PMTVICTOIRE[[#This Row],[2023]])</f>
        <v/>
      </c>
      <c r="E60" s="526">
        <f>IF(PMTVICTOIRE[[#This Row],[2024]]="","",DONNÉES!BI245)</f>
        <v/>
      </c>
      <c r="F60" s="526">
        <f>IF(PMTVICTOIRE[[#This Row],[2024]]="","",DONNÉES!BJ245)</f>
        <v/>
      </c>
      <c r="G60" s="526">
        <f>IF(PMTVICTOIRE[[#This Row],[2024]]="","",DONNÉES!BK245)</f>
        <v/>
      </c>
      <c r="H60" s="474" t="n"/>
      <c r="I60" s="476" t="inlineStr">
        <is>
          <t>Octobre</t>
        </is>
      </c>
      <c r="J60" s="526">
        <f>IF(DONNÉES!EA245="","",DONNÉES!EA245)</f>
        <v/>
      </c>
      <c r="K60" s="526">
        <f>IF(PMTCAT[[#This Row],[2024]]="","",DONNÉES!EB245)</f>
        <v/>
      </c>
      <c r="L60" s="96">
        <f>IF(PMTCAT[[#This Row],[2024]]="","",(PMTCAT[[#This Row],[2024]]-PMTCAT[[#This Row],[2023]])/PMTCAT[[#This Row],[2023]])</f>
        <v/>
      </c>
      <c r="M60" s="526">
        <f>IF(PMTCAT[[#This Row],[2024]]="","",DONNÉES!EC245)</f>
        <v/>
      </c>
      <c r="N60" s="526">
        <f>IF(PMTCAT[[#This Row],[2024]]="","",DONNÉES!ED245)</f>
        <v/>
      </c>
      <c r="O60" s="526">
        <f>IF(PMTCAT[[#This Row],[2024]]="","",DONNÉES!EE245)</f>
        <v/>
      </c>
    </row>
    <row r="61" ht="13.15" customHeight="1" s="161">
      <c r="A61" s="474" t="inlineStr">
        <is>
          <t>Novembre</t>
        </is>
      </c>
      <c r="B61" s="526">
        <f>IF(DONNÉES!BG246="","",DONNÉES!BG246)</f>
        <v/>
      </c>
      <c r="C61" s="526">
        <f>IF(PMTVICTOIRE[[#This Row],[2024]]="","",DONNÉES!BH246)</f>
        <v/>
      </c>
      <c r="D61" s="96">
        <f>IF(PMTVICTOIRE[[#This Row],[2024]]="","",(PMTVICTOIRE[[#This Row],[2024]]-PMTVICTOIRE[[#This Row],[2023]])/PMTVICTOIRE[[#This Row],[2023]])</f>
        <v/>
      </c>
      <c r="E61" s="526">
        <f>IF(PMTVICTOIRE[[#This Row],[2024]]="","",DONNÉES!BI246)</f>
        <v/>
      </c>
      <c r="F61" s="526">
        <f>IF(PMTVICTOIRE[[#This Row],[2024]]="","",DONNÉES!BJ246)</f>
        <v/>
      </c>
      <c r="G61" s="526">
        <f>IF(PMTVICTOIRE[[#This Row],[2024]]="","",DONNÉES!BK246)</f>
        <v/>
      </c>
      <c r="H61" s="474" t="n"/>
      <c r="I61" s="474" t="inlineStr">
        <is>
          <t>Novembre</t>
        </is>
      </c>
      <c r="J61" s="526">
        <f>IF(DONNÉES!EA246="","",DONNÉES!EA246)</f>
        <v/>
      </c>
      <c r="K61" s="526">
        <f>IF(PMTCAT[[#This Row],[2024]]="","",DONNÉES!EB246)</f>
        <v/>
      </c>
      <c r="L61" s="96">
        <f>IF(PMTCAT[[#This Row],[2024]]="","",(PMTCAT[[#This Row],[2024]]-PMTCAT[[#This Row],[2023]])/PMTCAT[[#This Row],[2023]])</f>
        <v/>
      </c>
      <c r="M61" s="526">
        <f>IF(PMTCAT[[#This Row],[2024]]="","",DONNÉES!EC246)</f>
        <v/>
      </c>
      <c r="N61" s="526">
        <f>IF(PMTCAT[[#This Row],[2024]]="","",DONNÉES!ED246)</f>
        <v/>
      </c>
      <c r="O61" s="526">
        <f>IF(PMTCAT[[#This Row],[2024]]="","",DONNÉES!EE246)</f>
        <v/>
      </c>
    </row>
    <row r="62" ht="13.15" customHeight="1" s="161">
      <c r="A62" s="474" t="inlineStr">
        <is>
          <t>Décembre</t>
        </is>
      </c>
      <c r="B62" s="526">
        <f>IF(DONNÉES!BG247="","",DONNÉES!BG247)</f>
        <v/>
      </c>
      <c r="C62" s="526">
        <f>IF(PMTVICTOIRE[[#This Row],[2024]]="","",DONNÉES!BH247)</f>
        <v/>
      </c>
      <c r="D62" s="96">
        <f>IF(PMTVICTOIRE[[#This Row],[2024]]="","",(PMTVICTOIRE[[#This Row],[2024]]-PMTVICTOIRE[[#This Row],[2023]])/PMTVICTOIRE[[#This Row],[2023]])</f>
        <v/>
      </c>
      <c r="E62" s="526">
        <f>IF(PMTVICTOIRE[[#This Row],[2024]]="","",DONNÉES!BI247)</f>
        <v/>
      </c>
      <c r="F62" s="526">
        <f>IF(PMTVICTOIRE[[#This Row],[2024]]="","",DONNÉES!BJ247)</f>
        <v/>
      </c>
      <c r="G62" s="526">
        <f>IF(PMTVICTOIRE[[#This Row],[2024]]="","",DONNÉES!BK247)</f>
        <v/>
      </c>
      <c r="H62" s="474" t="n"/>
      <c r="I62" s="474" t="inlineStr">
        <is>
          <t>Décembre</t>
        </is>
      </c>
      <c r="J62" s="526">
        <f>IF(DONNÉES!EA247="","",DONNÉES!EA247)</f>
        <v/>
      </c>
      <c r="K62" s="526">
        <f>IF(PMTCAT[[#This Row],[2024]]="","",DONNÉES!EB247)</f>
        <v/>
      </c>
      <c r="L62" s="96">
        <f>IF(PMTCAT[[#This Row],[2024]]="","",(PMTCAT[[#This Row],[2024]]-PMTCAT[[#This Row],[2023]])/PMTCAT[[#This Row],[2023]])</f>
        <v/>
      </c>
      <c r="M62" s="526">
        <f>IF(PMTCAT[[#This Row],[2024]]="","",DONNÉES!EC247)</f>
        <v/>
      </c>
      <c r="N62" s="526">
        <f>IF(PMTCAT[[#This Row],[2024]]="","",DONNÉES!ED247)</f>
        <v/>
      </c>
      <c r="O62" s="526">
        <f>IF(PMTCAT[[#This Row],[2024]]="","",DONNÉES!EE247)</f>
        <v/>
      </c>
    </row>
    <row r="63" ht="16.9" customHeight="1" s="161">
      <c r="A63" s="354" t="inlineStr">
        <is>
          <t xml:space="preserve">  TOTAL  </t>
        </is>
      </c>
      <c r="B63" s="359">
        <f>SUBTOTAL(101,PMTVICTOIRE[2024])</f>
        <v/>
      </c>
      <c r="C63" s="359">
        <f>SUBTOTAL(101,PMTVICTOIRE[2023])</f>
        <v/>
      </c>
      <c r="D63" s="105">
        <f>(PMTVICTOIRE[[#Totals],[2024]]-PMTVICTOIRE[[#Totals],[2023]])/PMTVICTOIRE[[#Totals],[2023]]</f>
        <v/>
      </c>
      <c r="E63" s="541">
        <f>SUBTOTAL(101,PMTVICTOIRE[2022])</f>
        <v/>
      </c>
      <c r="F63" s="359">
        <f>SUBTOTAL(101,PMTVICTOIRE[2021])</f>
        <v/>
      </c>
      <c r="G63" s="359" t="n"/>
      <c r="H63" s="474" t="n"/>
      <c r="I63" s="354" t="inlineStr">
        <is>
          <t xml:space="preserve">  TOTAL  </t>
        </is>
      </c>
      <c r="J63" s="359">
        <f>SUBTOTAL(101,PMTCAT[2024])</f>
        <v/>
      </c>
      <c r="K63" s="359">
        <f>SUBTOTAL(101,PMTCAT[2023])</f>
        <v/>
      </c>
      <c r="L63" s="105">
        <f>(PMTCAT[[#Totals],[2024]]-PMTCAT[[#Totals],[2023]])/PMTCAT[[#Totals],[2023]]</f>
        <v/>
      </c>
      <c r="M63" s="541">
        <f>SUBTOTAL(101,PMTCAT[2022])</f>
        <v/>
      </c>
      <c r="N63" s="359">
        <f>SUBTOTAL(101,PMTCAT[2021])</f>
        <v/>
      </c>
      <c r="O63" s="359">
        <f>SUBTOTAL(101,PMTCAT[2020])</f>
        <v/>
      </c>
    </row>
    <row r="64" ht="16.9" customHeight="1" s="161">
      <c r="A64" s="354" t="n"/>
      <c r="B64" s="359" t="n"/>
      <c r="C64" s="359" t="n"/>
      <c r="D64" s="105" t="n"/>
      <c r="E64" s="541" t="n"/>
      <c r="F64" s="359" t="n"/>
      <c r="G64" s="359" t="n"/>
      <c r="H64" s="474" t="n"/>
      <c r="I64" s="354" t="n"/>
      <c r="J64" s="359" t="n"/>
      <c r="K64" s="359" t="n"/>
      <c r="L64" s="105" t="n"/>
      <c r="M64" s="541" t="n"/>
      <c r="N64" s="359" t="n"/>
      <c r="O64" s="359" t="n"/>
    </row>
    <row r="65" ht="33" customHeight="1" s="161">
      <c r="A65" s="474" t="inlineStr">
        <is>
          <t>R3 14</t>
        </is>
      </c>
      <c r="B65" s="491" t="inlineStr">
        <is>
          <t>2024</t>
        </is>
      </c>
      <c r="C65" s="491" t="inlineStr">
        <is>
          <t>2023</t>
        </is>
      </c>
      <c r="D65" s="100" t="inlineStr">
        <is>
          <t>Variat.</t>
        </is>
      </c>
      <c r="E65" s="491" t="inlineStr">
        <is>
          <t>2022</t>
        </is>
      </c>
      <c r="F65" s="491" t="inlineStr">
        <is>
          <t>2021</t>
        </is>
      </c>
      <c r="G65" s="525" t="inlineStr">
        <is>
          <t>2020</t>
        </is>
      </c>
      <c r="H65" s="474" t="n"/>
      <c r="I65" s="474" t="inlineStr">
        <is>
          <t>LYSE</t>
        </is>
      </c>
      <c r="J65" s="491" t="inlineStr">
        <is>
          <t>2024</t>
        </is>
      </c>
      <c r="K65" s="491" t="inlineStr">
        <is>
          <t>2023</t>
        </is>
      </c>
      <c r="L65" s="100" t="inlineStr">
        <is>
          <t>Variat.</t>
        </is>
      </c>
      <c r="M65" s="491" t="inlineStr">
        <is>
          <t>2022</t>
        </is>
      </c>
      <c r="N65" s="491" t="inlineStr">
        <is>
          <t>2021</t>
        </is>
      </c>
      <c r="O65" s="525" t="inlineStr">
        <is>
          <t>2020</t>
        </is>
      </c>
    </row>
    <row r="66" ht="13.15" customFormat="1" customHeight="1" s="476">
      <c r="A66" s="476" t="inlineStr">
        <is>
          <t>Janvier</t>
        </is>
      </c>
      <c r="B66" s="526">
        <f>IF(DONNÉES!CE236="","",DONNÉES!CE236)</f>
        <v/>
      </c>
      <c r="C66" s="526">
        <f>IF(PMTTR314[[#This Row],[2024]]="","",DONNÉES!CF236)</f>
        <v/>
      </c>
      <c r="D66" s="96">
        <f>IF(PMTTR314[[#This Row],[2024]]="","",(PMTTR314[[#This Row],[2024]]-PMTTR314[[#This Row],[2023]])/PMTTR314[[#This Row],[2023]])</f>
        <v/>
      </c>
      <c r="E66" s="526">
        <f>IF(PMTTR314[[#This Row],[2024]]="","",DONNÉES!CG236)</f>
        <v/>
      </c>
      <c r="F66" s="526">
        <f>IF(PMTTR314[[#This Row],[2024]]="","",DONNÉES!CH236)</f>
        <v/>
      </c>
      <c r="G66" s="526">
        <f>IF(PMTTR314[[#This Row],[2024]]="","",DONNÉES!CI236)</f>
        <v/>
      </c>
      <c r="I66" s="476" t="inlineStr">
        <is>
          <t>Janvier</t>
        </is>
      </c>
      <c r="J66" s="526">
        <f>IF(DONNÉES!CM236="","",DONNÉES!CM236)</f>
        <v/>
      </c>
      <c r="K66" s="526">
        <f>IF(PMTLYSE[[#This Row],[2024]]="","",DONNÉES!CN236)</f>
        <v/>
      </c>
      <c r="L66" s="96">
        <f>IF(PMTLYSE[[#This Row],[2024]]="","",(PMTLYSE[[#This Row],[2024]]-PMTLYSE[[#This Row],[2023]])/PMTLYSE[[#This Row],[2023]])</f>
        <v/>
      </c>
      <c r="M66" s="526">
        <f>IF(PMTLYSE[[#This Row],[2024]]="","",DONNÉES!CO236)</f>
        <v/>
      </c>
      <c r="N66" s="526">
        <f>IF(PMTLYSE[[#This Row],[2024]]="","",DONNÉES!CP236)</f>
        <v/>
      </c>
      <c r="O66" s="526">
        <f>IF(PMTLYSE[[#This Row],[2024]]="","",DONNÉES!CQ236)</f>
        <v/>
      </c>
    </row>
    <row r="67" ht="13.15" customFormat="1" customHeight="1" s="476">
      <c r="A67" s="476" t="inlineStr">
        <is>
          <t>Février</t>
        </is>
      </c>
      <c r="B67" s="526">
        <f>IF(DONNÉES!CE237="","",DONNÉES!CE237)</f>
        <v/>
      </c>
      <c r="C67" s="526">
        <f>IF(PMTTR314[[#This Row],[2024]]="","",DONNÉES!CF237)</f>
        <v/>
      </c>
      <c r="D67" s="96">
        <f>IF(PMTTR314[[#This Row],[2024]]="","",(PMTTR314[[#This Row],[2024]]-PMTTR314[[#This Row],[2023]])/PMTTR314[[#This Row],[2023]])</f>
        <v/>
      </c>
      <c r="E67" s="526">
        <f>IF(PMTTR314[[#This Row],[2024]]="","",DONNÉES!CG237)</f>
        <v/>
      </c>
      <c r="F67" s="529">
        <f>IF(PMTTR314[[#This Row],[2024]]="","",DONNÉES!CH237)</f>
        <v/>
      </c>
      <c r="G67" s="540">
        <f>IF(PMTTR314[[#This Row],[2024]]="","",DONNÉES!CI237)</f>
        <v/>
      </c>
      <c r="I67" s="476" t="inlineStr">
        <is>
          <t>Février</t>
        </is>
      </c>
      <c r="J67" s="526">
        <f>IF(DONNÉES!CM237="","",DONNÉES!CM237)</f>
        <v/>
      </c>
      <c r="K67" s="526">
        <f>IF(PMTLYSE[[#This Row],[2024]]="","",DONNÉES!CN237)</f>
        <v/>
      </c>
      <c r="L67" s="96">
        <f>IF(PMTLYSE[[#This Row],[2024]]="","",(PMTLYSE[[#This Row],[2024]]-PMTLYSE[[#This Row],[2023]])/PMTLYSE[[#This Row],[2023]])</f>
        <v/>
      </c>
      <c r="M67" s="526">
        <f>IF(PMTLYSE[[#This Row],[2024]]="","",DONNÉES!CO237)</f>
        <v/>
      </c>
      <c r="N67" s="529">
        <f>IF(PMTLYSE[[#This Row],[2024]]="","",DONNÉES!CP237)</f>
        <v/>
      </c>
      <c r="O67" s="540">
        <f>IF(PMTLYSE[[#This Row],[2024]]="","",DONNÉES!CQ237)</f>
        <v/>
      </c>
    </row>
    <row r="68" ht="13.15" customFormat="1" customHeight="1" s="476">
      <c r="A68" s="474" t="inlineStr">
        <is>
          <t>Mars</t>
        </is>
      </c>
      <c r="B68" s="526">
        <f>IF(DONNÉES!CE238="","",DONNÉES!CE238)</f>
        <v/>
      </c>
      <c r="C68" s="526">
        <f>IF(PMTTR314[[#This Row],[2024]]="","",DONNÉES!CF238)</f>
        <v/>
      </c>
      <c r="D68" s="96">
        <f>IF(PMTTR314[[#This Row],[2024]]="","",(PMTTR314[[#This Row],[2024]]-PMTTR314[[#This Row],[2023]])/PMTTR314[[#This Row],[2023]])</f>
        <v/>
      </c>
      <c r="E68" s="526">
        <f>IF(PMTTR314[[#This Row],[2024]]="","",DONNÉES!CG238)</f>
        <v/>
      </c>
      <c r="F68" s="529">
        <f>IF(PMTTR314[[#This Row],[2024]]="","",DONNÉES!CH238)</f>
        <v/>
      </c>
      <c r="G68" s="540">
        <f>IF(PMTTR314[[#This Row],[2024]]="","",DONNÉES!CI238)</f>
        <v/>
      </c>
      <c r="I68" s="474" t="inlineStr">
        <is>
          <t>Mars</t>
        </is>
      </c>
      <c r="J68" s="526">
        <f>IF(DONNÉES!CM238="","",DONNÉES!CM238)</f>
        <v/>
      </c>
      <c r="K68" s="526">
        <f>IF(PMTLYSE[[#This Row],[2024]]="","",DONNÉES!CN238)</f>
        <v/>
      </c>
      <c r="L68" s="96">
        <f>IF(PMTLYSE[[#This Row],[2024]]="","",(PMTLYSE[[#This Row],[2024]]-PMTLYSE[[#This Row],[2023]])/PMTLYSE[[#This Row],[2023]])</f>
        <v/>
      </c>
      <c r="M68" s="526">
        <f>IF(PMTLYSE[[#This Row],[2024]]="","",DONNÉES!CO238)</f>
        <v/>
      </c>
      <c r="N68" s="529">
        <f>IF(PMTLYSE[[#This Row],[2024]]="","",DONNÉES!CP238)</f>
        <v/>
      </c>
      <c r="O68" s="540">
        <f>IF(PMTLYSE[[#This Row],[2024]]="","",DONNÉES!CQ238)</f>
        <v/>
      </c>
    </row>
    <row r="69" ht="13.15" customHeight="1" s="161">
      <c r="A69" s="476" t="inlineStr">
        <is>
          <t>Avril</t>
        </is>
      </c>
      <c r="B69" s="526">
        <f>IF(DONNÉES!CE239="","",DONNÉES!CE239)</f>
        <v/>
      </c>
      <c r="C69" s="526">
        <f>IF(PMTTR314[[#This Row],[2024]]="","",DONNÉES!CF239)</f>
        <v/>
      </c>
      <c r="D69" s="96">
        <f>IF(PMTTR314[[#This Row],[2024]]="","",(PMTTR314[[#This Row],[2024]]-PMTTR314[[#This Row],[2023]])/PMTTR314[[#This Row],[2023]])</f>
        <v/>
      </c>
      <c r="E69" s="526">
        <f>IF(PMTTR314[[#This Row],[2024]]="","",DONNÉES!CG239)</f>
        <v/>
      </c>
      <c r="F69" s="529">
        <f>IF(PMTTR314[[#This Row],[2024]]="","",DONNÉES!CH239)</f>
        <v/>
      </c>
      <c r="G69" s="540">
        <f>IF(PMTTR314[[#This Row],[2024]]="","",DONNÉES!CI239)</f>
        <v/>
      </c>
      <c r="H69" s="474" t="n"/>
      <c r="I69" s="476" t="inlineStr">
        <is>
          <t>Avril</t>
        </is>
      </c>
      <c r="J69" s="526">
        <f>IF(DONNÉES!CM239="","",DONNÉES!CM239)</f>
        <v/>
      </c>
      <c r="K69" s="526">
        <f>IF(PMTLYSE[[#This Row],[2024]]="","",DONNÉES!CN239)</f>
        <v/>
      </c>
      <c r="L69" s="96">
        <f>IF(PMTLYSE[[#This Row],[2024]]="","",(PMTLYSE[[#This Row],[2024]]-PMTLYSE[[#This Row],[2023]])/PMTLYSE[[#This Row],[2023]])</f>
        <v/>
      </c>
      <c r="M69" s="526">
        <f>IF(PMTLYSE[[#This Row],[2024]]="","",DONNÉES!CO239)</f>
        <v/>
      </c>
      <c r="N69" s="529">
        <f>IF(PMTLYSE[[#This Row],[2024]]="","",DONNÉES!CP239)</f>
        <v/>
      </c>
      <c r="O69" s="540">
        <f>IF(PMTLYSE[[#This Row],[2024]]="","",DONNÉES!CQ239)</f>
        <v/>
      </c>
    </row>
    <row r="70" ht="13.15" customHeight="1" s="161">
      <c r="A70" s="474" t="inlineStr">
        <is>
          <t>Mai</t>
        </is>
      </c>
      <c r="B70" s="526">
        <f>IF(DONNÉES!CE240="","",DONNÉES!CE240)</f>
        <v/>
      </c>
      <c r="C70" s="526">
        <f>IF(PMTTR314[[#This Row],[2024]]="","",DONNÉES!CF240)</f>
        <v/>
      </c>
      <c r="D70" s="96">
        <f>IF(PMTTR314[[#This Row],[2024]]="","",(PMTTR314[[#This Row],[2024]]-PMTTR314[[#This Row],[2023]])/PMTTR314[[#This Row],[2023]])</f>
        <v/>
      </c>
      <c r="E70" s="526">
        <f>IF(PMTTR314[[#This Row],[2024]]="","",DONNÉES!CG240)</f>
        <v/>
      </c>
      <c r="F70" s="529">
        <f>IF(PMTTR314[[#This Row],[2024]]="","",DONNÉES!CH240)</f>
        <v/>
      </c>
      <c r="G70" s="540">
        <f>IF(PMTTR314[[#This Row],[2024]]="","",DONNÉES!CI240)</f>
        <v/>
      </c>
      <c r="H70" s="474" t="n"/>
      <c r="I70" s="474" t="inlineStr">
        <is>
          <t>Mai</t>
        </is>
      </c>
      <c r="J70" s="526">
        <f>IF(DONNÉES!CM240="","",DONNÉES!CM240)</f>
        <v/>
      </c>
      <c r="K70" s="526">
        <f>IF(PMTLYSE[[#This Row],[2024]]="","",DONNÉES!CN240)</f>
        <v/>
      </c>
      <c r="L70" s="96">
        <f>IF(PMTLYSE[[#This Row],[2024]]="","",(PMTLYSE[[#This Row],[2024]]-PMTLYSE[[#This Row],[2023]])/PMTLYSE[[#This Row],[2023]])</f>
        <v/>
      </c>
      <c r="M70" s="526">
        <f>IF(PMTLYSE[[#This Row],[2024]]="","",DONNÉES!CO240)</f>
        <v/>
      </c>
      <c r="N70" s="529">
        <f>IF(PMTLYSE[[#This Row],[2024]]="","",DONNÉES!CP240)</f>
        <v/>
      </c>
      <c r="O70" s="540">
        <f>IF(PMTLYSE[[#This Row],[2024]]="","",DONNÉES!CQ240)</f>
        <v/>
      </c>
    </row>
    <row r="71" ht="13.15" customHeight="1" s="161">
      <c r="A71" s="476" t="inlineStr">
        <is>
          <t>Juin</t>
        </is>
      </c>
      <c r="B71" s="526">
        <f>IF(DONNÉES!CE241="","",DONNÉES!CE241)</f>
        <v/>
      </c>
      <c r="C71" s="526">
        <f>IF(PMTTR314[[#This Row],[2024]]="","",DONNÉES!CF241)</f>
        <v/>
      </c>
      <c r="D71" s="96">
        <f>IF(PMTTR314[[#This Row],[2024]]="","",(PMTTR314[[#This Row],[2024]]-PMTTR314[[#This Row],[2023]])/PMTTR314[[#This Row],[2023]])</f>
        <v/>
      </c>
      <c r="E71" s="526">
        <f>IF(PMTTR314[[#This Row],[2024]]="","",DONNÉES!CG241)</f>
        <v/>
      </c>
      <c r="F71" s="529">
        <f>IF(PMTTR314[[#This Row],[2024]]="","",DONNÉES!CH241)</f>
        <v/>
      </c>
      <c r="G71" s="540">
        <f>IF(PMTTR314[[#This Row],[2024]]="","",DONNÉES!CI241)</f>
        <v/>
      </c>
      <c r="H71" s="474" t="n"/>
      <c r="I71" s="476" t="inlineStr">
        <is>
          <t>Juin</t>
        </is>
      </c>
      <c r="J71" s="526">
        <f>IF(DONNÉES!CM241="","",DONNÉES!CM241)</f>
        <v/>
      </c>
      <c r="K71" s="526">
        <f>IF(PMTLYSE[[#This Row],[2024]]="","",DONNÉES!CN241)</f>
        <v/>
      </c>
      <c r="L71" s="96">
        <f>IF(PMTLYSE[[#This Row],[2024]]="","",(PMTLYSE[[#This Row],[2024]]-PMTLYSE[[#This Row],[2023]])/PMTLYSE[[#This Row],[2023]])</f>
        <v/>
      </c>
      <c r="M71" s="526">
        <f>IF(PMTLYSE[[#This Row],[2024]]="","",DONNÉES!CO241)</f>
        <v/>
      </c>
      <c r="N71" s="529">
        <f>IF(PMTLYSE[[#This Row],[2024]]="","",DONNÉES!CP241)</f>
        <v/>
      </c>
      <c r="O71" s="540">
        <f>IF(PMTLYSE[[#This Row],[2024]]="","",DONNÉES!CQ241)</f>
        <v/>
      </c>
    </row>
    <row r="72" ht="13.15" customHeight="1" s="161">
      <c r="A72" s="474" t="inlineStr">
        <is>
          <t>Juillet</t>
        </is>
      </c>
      <c r="B72" s="526">
        <f>IF(DONNÉES!CE242="","",DONNÉES!CE242)</f>
        <v/>
      </c>
      <c r="C72" s="526">
        <f>IF(PMTTR314[[#This Row],[2024]]="","",DONNÉES!CF242)</f>
        <v/>
      </c>
      <c r="D72" s="96">
        <f>IF(PMTTR314[[#This Row],[2024]]="","",(PMTTR314[[#This Row],[2024]]-PMTTR314[[#This Row],[2023]])/PMTTR314[[#This Row],[2023]])</f>
        <v/>
      </c>
      <c r="E72" s="526">
        <f>IF(PMTTR314[[#This Row],[2024]]="","",DONNÉES!CG242)</f>
        <v/>
      </c>
      <c r="F72" s="529">
        <f>IF(PMTTR314[[#This Row],[2024]]="","",DONNÉES!CH242)</f>
        <v/>
      </c>
      <c r="G72" s="540">
        <f>IF(PMTTR314[[#This Row],[2024]]="","",DONNÉES!CI242)</f>
        <v/>
      </c>
      <c r="H72" s="474" t="n"/>
      <c r="I72" s="474" t="inlineStr">
        <is>
          <t>Juillet</t>
        </is>
      </c>
      <c r="J72" s="526">
        <f>IF(DONNÉES!CM242="","",DONNÉES!CM242)</f>
        <v/>
      </c>
      <c r="K72" s="526">
        <f>IF(PMTLYSE[[#This Row],[2024]]="","",DONNÉES!CN242)</f>
        <v/>
      </c>
      <c r="L72" s="96">
        <f>IF(PMTLYSE[[#This Row],[2024]]="","",(PMTLYSE[[#This Row],[2024]]-PMTLYSE[[#This Row],[2023]])/PMTLYSE[[#This Row],[2023]])</f>
        <v/>
      </c>
      <c r="M72" s="526">
        <f>IF(PMTLYSE[[#This Row],[2024]]="","",DONNÉES!CO242)</f>
        <v/>
      </c>
      <c r="N72" s="529">
        <f>IF(PMTLYSE[[#This Row],[2024]]="","",DONNÉES!CP242)</f>
        <v/>
      </c>
      <c r="O72" s="540">
        <f>IF(PMTLYSE[[#This Row],[2024]]="","",DONNÉES!CQ242)</f>
        <v/>
      </c>
    </row>
    <row r="73" ht="13.15" customHeight="1" s="161">
      <c r="A73" s="476" t="inlineStr">
        <is>
          <t>Août</t>
        </is>
      </c>
      <c r="B73" s="526">
        <f>IF(DONNÉES!CE243="","",DONNÉES!CE243)</f>
        <v/>
      </c>
      <c r="C73" s="526">
        <f>IF(PMTTR314[[#This Row],[2024]]="","",DONNÉES!CF243)</f>
        <v/>
      </c>
      <c r="D73" s="96">
        <f>IF(PMTTR314[[#This Row],[2024]]="","",(PMTTR314[[#This Row],[2024]]-PMTTR314[[#This Row],[2023]])/PMTTR314[[#This Row],[2023]])</f>
        <v/>
      </c>
      <c r="E73" s="526">
        <f>IF(PMTTR314[[#This Row],[2024]]="","",DONNÉES!CG243)</f>
        <v/>
      </c>
      <c r="F73" s="529">
        <f>IF(PMTTR314[[#This Row],[2024]]="","",DONNÉES!CH243)</f>
        <v/>
      </c>
      <c r="G73" s="540">
        <f>IF(PMTTR314[[#This Row],[2024]]="","",DONNÉES!CI243)</f>
        <v/>
      </c>
      <c r="H73" s="474" t="n"/>
      <c r="I73" s="476" t="inlineStr">
        <is>
          <t>Août</t>
        </is>
      </c>
      <c r="J73" s="526">
        <f>IF(DONNÉES!CM243="","",DONNÉES!CM243)</f>
        <v/>
      </c>
      <c r="K73" s="526">
        <f>IF(PMTLYSE[[#This Row],[2024]]="","",DONNÉES!CN243)</f>
        <v/>
      </c>
      <c r="L73" s="96">
        <f>IF(PMTLYSE[[#This Row],[2024]]="","",(PMTLYSE[[#This Row],[2024]]-PMTLYSE[[#This Row],[2023]])/PMTLYSE[[#This Row],[2023]])</f>
        <v/>
      </c>
      <c r="M73" s="526">
        <f>IF(PMTLYSE[[#This Row],[2024]]="","",DONNÉES!CO243)</f>
        <v/>
      </c>
      <c r="N73" s="529">
        <f>IF(PMTLYSE[[#This Row],[2024]]="","",DONNÉES!CP243)</f>
        <v/>
      </c>
      <c r="O73" s="540">
        <f>IF(PMTLYSE[[#This Row],[2024]]="","",DONNÉES!CQ243)</f>
        <v/>
      </c>
    </row>
    <row r="74" ht="13.15" customHeight="1" s="161">
      <c r="A74" s="474" t="inlineStr">
        <is>
          <t>Septembre</t>
        </is>
      </c>
      <c r="B74" s="529">
        <f>IF(DONNÉES!CE244="","",DONNÉES!CE244)</f>
        <v/>
      </c>
      <c r="C74" s="529">
        <f>IF(PMTTR314[[#This Row],[2024]]="","",DONNÉES!CF244)</f>
        <v/>
      </c>
      <c r="D74" s="97">
        <f>IF(PMTTR314[[#This Row],[2024]]="","",(PMTTR314[[#This Row],[2024]]-PMTTR314[[#This Row],[2023]])/PMTTR314[[#This Row],[2023]])</f>
        <v/>
      </c>
      <c r="E74" s="526">
        <f>IF(PMTTR314[[#This Row],[2024]]="","",DONNÉES!CG244)</f>
        <v/>
      </c>
      <c r="F74" s="529">
        <f>IF(PMTTR314[[#This Row],[2024]]="","",DONNÉES!CH244)</f>
        <v/>
      </c>
      <c r="G74" s="540">
        <f>IF(PMTTR314[[#This Row],[2024]]="","",DONNÉES!CI244)</f>
        <v/>
      </c>
      <c r="I74" s="474" t="inlineStr">
        <is>
          <t>Septembre</t>
        </is>
      </c>
      <c r="J74" s="529">
        <f>IF(DONNÉES!CM244="","",DONNÉES!CM244)</f>
        <v/>
      </c>
      <c r="K74" s="529">
        <f>IF(PMTLYSE[[#This Row],[2024]]="","",DONNÉES!CN244)</f>
        <v/>
      </c>
      <c r="L74" s="97">
        <f>IF(PMTLYSE[[#This Row],[2024]]="","",(PMTLYSE[[#This Row],[2024]]-PMTLYSE[[#This Row],[2023]])/PMTLYSE[[#This Row],[2023]])</f>
        <v/>
      </c>
      <c r="M74" s="526">
        <f>IF(PMTLYSE[[#This Row],[2024]]="","",DONNÉES!CO244)</f>
        <v/>
      </c>
      <c r="N74" s="529">
        <f>IF(PMTLYSE[[#This Row],[2024]]="","",DONNÉES!CP244)</f>
        <v/>
      </c>
      <c r="O74" s="540">
        <f>IF(PMTLYSE[[#This Row],[2024]]="","",DONNÉES!CQ244)</f>
        <v/>
      </c>
    </row>
    <row r="75" ht="13.15" customHeight="1" s="161">
      <c r="A75" s="476" t="inlineStr">
        <is>
          <t>Octobre</t>
        </is>
      </c>
      <c r="B75" s="529">
        <f>IF(DONNÉES!CE245="","",DONNÉES!CE245)</f>
        <v/>
      </c>
      <c r="C75" s="529">
        <f>IF(PMTTR314[[#This Row],[2024]]="","",DONNÉES!CF245)</f>
        <v/>
      </c>
      <c r="D75" s="97">
        <f>IF(PMTTR314[[#This Row],[2024]]="","",(PMTTR314[[#This Row],[2024]]-PMTTR314[[#This Row],[2023]])/PMTTR314[[#This Row],[2023]])</f>
        <v/>
      </c>
      <c r="E75" s="526">
        <f>IF(PMTTR314[[#This Row],[2024]]="","",DONNÉES!CG245)</f>
        <v/>
      </c>
      <c r="F75" s="529">
        <f>IF(PMTTR314[[#This Row],[2024]]="","",DONNÉES!CH245)</f>
        <v/>
      </c>
      <c r="G75" s="540">
        <f>IF(PMTTR314[[#This Row],[2024]]="","",DONNÉES!CI245)</f>
        <v/>
      </c>
      <c r="H75" s="474" t="n"/>
      <c r="I75" s="476" t="inlineStr">
        <is>
          <t>Octobre</t>
        </is>
      </c>
      <c r="J75" s="529">
        <f>IF(DONNÉES!CM245="","",DONNÉES!CM245)</f>
        <v/>
      </c>
      <c r="K75" s="529">
        <f>IF(PMTLYSE[[#This Row],[2024]]="","",DONNÉES!CN245)</f>
        <v/>
      </c>
      <c r="L75" s="97">
        <f>IF(PMTLYSE[[#This Row],[2024]]="","",(PMTLYSE[[#This Row],[2024]]-PMTLYSE[[#This Row],[2023]])/PMTLYSE[[#This Row],[2023]])</f>
        <v/>
      </c>
      <c r="M75" s="526">
        <f>IF(PMTLYSE[[#This Row],[2024]]="","",DONNÉES!CO245)</f>
        <v/>
      </c>
      <c r="N75" s="529">
        <f>IF(PMTLYSE[[#This Row],[2024]]="","",DONNÉES!CP245)</f>
        <v/>
      </c>
      <c r="O75" s="540">
        <f>IF(PMTLYSE[[#This Row],[2024]]="","",DONNÉES!CQ245)</f>
        <v/>
      </c>
    </row>
    <row r="76" ht="13.15" customFormat="1" customHeight="1" s="476">
      <c r="A76" s="474" t="inlineStr">
        <is>
          <t>Novembre</t>
        </is>
      </c>
      <c r="B76" s="529">
        <f>IF(DONNÉES!CE246="","",DONNÉES!CE246)</f>
        <v/>
      </c>
      <c r="C76" s="529">
        <f>IF(PMTTR314[[#This Row],[2024]]="","",DONNÉES!CF246)</f>
        <v/>
      </c>
      <c r="D76" s="97">
        <f>IF(PMTTR314[[#This Row],[2024]]="","",(PMTTR314[[#This Row],[2024]]-PMTTR314[[#This Row],[2023]])/PMTTR314[[#This Row],[2023]])</f>
        <v/>
      </c>
      <c r="E76" s="526">
        <f>IF(PMTTR314[[#This Row],[2024]]="","",DONNÉES!CG246)</f>
        <v/>
      </c>
      <c r="F76" s="529">
        <f>IF(PMTTR314[[#This Row],[2024]]="","",DONNÉES!CH246)</f>
        <v/>
      </c>
      <c r="G76" s="540">
        <f>IF(PMTTR314[[#This Row],[2024]]="","",DONNÉES!CI246)</f>
        <v/>
      </c>
      <c r="I76" s="474" t="inlineStr">
        <is>
          <t>Novembre</t>
        </is>
      </c>
      <c r="J76" s="529">
        <f>IF(DONNÉES!CM246="","",DONNÉES!CM246)</f>
        <v/>
      </c>
      <c r="K76" s="529">
        <f>IF(PMTLYSE[[#This Row],[2024]]="","",DONNÉES!CN246)</f>
        <v/>
      </c>
      <c r="L76" s="97">
        <f>IF(PMTLYSE[[#This Row],[2024]]="","",(PMTLYSE[[#This Row],[2024]]-PMTLYSE[[#This Row],[2023]])/PMTLYSE[[#This Row],[2023]])</f>
        <v/>
      </c>
      <c r="M76" s="526">
        <f>IF(PMTLYSE[[#This Row],[2024]]="","",DONNÉES!CO246)</f>
        <v/>
      </c>
      <c r="N76" s="529">
        <f>IF(PMTLYSE[[#This Row],[2024]]="","",DONNÉES!CP246)</f>
        <v/>
      </c>
      <c r="O76" s="540">
        <f>IF(PMTLYSE[[#This Row],[2024]]="","",DONNÉES!CQ246)</f>
        <v/>
      </c>
    </row>
    <row r="77" ht="13.15" customFormat="1" customHeight="1" s="476">
      <c r="A77" s="474" t="inlineStr">
        <is>
          <t>Décembre</t>
        </is>
      </c>
      <c r="B77" s="529">
        <f>IF(DONNÉES!CE247="","",DONNÉES!CE247)</f>
        <v/>
      </c>
      <c r="C77" s="529">
        <f>IF(PMTTR314[[#This Row],[2024]]="","",DONNÉES!CF247)</f>
        <v/>
      </c>
      <c r="D77" s="97">
        <f>IF(PMTTR314[[#This Row],[2024]]="","",(PMTTR314[[#This Row],[2024]]-PMTTR314[[#This Row],[2023]])/PMTTR314[[#This Row],[2023]])</f>
        <v/>
      </c>
      <c r="E77" s="526">
        <f>IF(PMTTR314[[#This Row],[2024]]="","",DONNÉES!CG247)</f>
        <v/>
      </c>
      <c r="F77" s="529">
        <f>IF(PMTTR314[[#This Row],[2024]]="","",DONNÉES!CH247)</f>
        <v/>
      </c>
      <c r="G77" s="540">
        <f>IF(PMTTR314[[#This Row],[2024]]="","",DONNÉES!CI247)</f>
        <v/>
      </c>
      <c r="I77" s="474" t="inlineStr">
        <is>
          <t>Décembre</t>
        </is>
      </c>
      <c r="J77" s="529">
        <f>IF(DONNÉES!CM247="","",DONNÉES!CM247)</f>
        <v/>
      </c>
      <c r="K77" s="529">
        <f>IF(PMTLYSE[[#This Row],[2024]]="","",DONNÉES!CN247)</f>
        <v/>
      </c>
      <c r="L77" s="97">
        <f>IF(PMTLYSE[[#This Row],[2024]]="","",(PMTLYSE[[#This Row],[2024]]-PMTLYSE[[#This Row],[2023]])/PMTLYSE[[#This Row],[2023]])</f>
        <v/>
      </c>
      <c r="M77" s="526">
        <f>IF(PMTLYSE[[#This Row],[2024]]="","",DONNÉES!CO247)</f>
        <v/>
      </c>
      <c r="N77" s="529">
        <f>IF(PMTLYSE[[#This Row],[2024]]="","",DONNÉES!CP247)</f>
        <v/>
      </c>
      <c r="O77" s="540">
        <f>IF(PMTLYSE[[#This Row],[2024]]="","",DONNÉES!CQ247)</f>
        <v/>
      </c>
    </row>
    <row r="78" ht="16.9" customFormat="1" customHeight="1" s="476">
      <c r="A78" s="354" t="inlineStr">
        <is>
          <t xml:space="preserve"> TOTAL </t>
        </is>
      </c>
      <c r="B78" s="533">
        <f>SUBTOTAL(101,PMTTR314[2024])</f>
        <v/>
      </c>
      <c r="C78" s="533">
        <f>SUBTOTAL(101,PMTTR314[2023])</f>
        <v/>
      </c>
      <c r="D78" s="125">
        <f>(PMTTR314[[#Totals],[2024]]-PMTTR314[[#Totals],[2023]])/PMTTR314[[#Totals],[2023]]</f>
        <v/>
      </c>
      <c r="E78" s="536">
        <f>SUBTOTAL(101,PMTTR314[2022])</f>
        <v/>
      </c>
      <c r="F78" s="533">
        <f>SUBTOTAL(101,PMTTR314[2021])</f>
        <v/>
      </c>
      <c r="G78" s="533">
        <f>SUBTOTAL(101,PMTTR314[2020])</f>
        <v/>
      </c>
      <c r="I78" s="354" t="inlineStr">
        <is>
          <t xml:space="preserve">  TOTAL  </t>
        </is>
      </c>
      <c r="J78" s="533">
        <f>SUBTOTAL(101,PMTLYSE[2024])</f>
        <v/>
      </c>
      <c r="K78" s="533">
        <f>SUBTOTAL(101,PMTLYSE[2023])</f>
        <v/>
      </c>
      <c r="L78" s="125">
        <f>(PMTLYSE[[#Totals],[2024]]-PMTLYSE[[#Totals],[2023]])/PMTLYSE[[#Totals],[2023]]</f>
        <v/>
      </c>
      <c r="M78" s="536">
        <f>SUBTOTAL(101,PMTLYSE[2022])</f>
        <v/>
      </c>
      <c r="N78" s="533">
        <f>SUBTOTAL(101,PMTLYSE[2021])</f>
        <v/>
      </c>
      <c r="O78" s="359">
        <f>SUBTOTAL(101,PMTLYSE[2020])</f>
        <v/>
      </c>
    </row>
    <row r="79" ht="30.6" customHeight="1" s="161">
      <c r="H79" s="474" t="n"/>
    </row>
    <row r="80" ht="33" customHeight="1" s="161">
      <c r="A80" s="474" t="inlineStr">
        <is>
          <t>TL DIVES</t>
        </is>
      </c>
      <c r="B80" s="491" t="inlineStr">
        <is>
          <t>2024</t>
        </is>
      </c>
      <c r="C80" s="491" t="inlineStr">
        <is>
          <t>2023</t>
        </is>
      </c>
      <c r="D80" s="100" t="inlineStr">
        <is>
          <t>Variat.</t>
        </is>
      </c>
      <c r="E80" s="491" t="inlineStr">
        <is>
          <t>2022</t>
        </is>
      </c>
      <c r="F80" s="491" t="inlineStr">
        <is>
          <t>2021</t>
        </is>
      </c>
      <c r="G80" s="525" t="inlineStr">
        <is>
          <t>2020</t>
        </is>
      </c>
      <c r="H80" s="474" t="n"/>
      <c r="I80" s="474" t="inlineStr">
        <is>
          <t>TH4</t>
        </is>
      </c>
      <c r="J80" s="491" t="inlineStr">
        <is>
          <t>2024</t>
        </is>
      </c>
      <c r="K80" s="491" t="inlineStr">
        <is>
          <t>2023</t>
        </is>
      </c>
      <c r="L80" s="100" t="inlineStr">
        <is>
          <t>Variat.</t>
        </is>
      </c>
      <c r="M80" s="491" t="inlineStr">
        <is>
          <t>2022</t>
        </is>
      </c>
      <c r="N80" s="491" t="inlineStr">
        <is>
          <t>2021</t>
        </is>
      </c>
      <c r="O80" s="525" t="inlineStr">
        <is>
          <t>2020</t>
        </is>
      </c>
    </row>
    <row r="81" ht="13.15" customHeight="1" s="161">
      <c r="A81" s="476" t="inlineStr">
        <is>
          <t>Janvier</t>
        </is>
      </c>
      <c r="B81" s="526">
        <f>IF(DONNÉES!BW236="","",DONNÉES!BW236)</f>
        <v/>
      </c>
      <c r="C81" s="526">
        <f>IF(PMTDIVES[[#This Row],[2024]]="","",DONNÉES!BX236)</f>
        <v/>
      </c>
      <c r="D81" s="96">
        <f>IF(PMTDIVES[[#This Row],[2024]]="","",(PMTDIVES[[#This Row],[2024]]-PMTDIVES[[#This Row],[2023]])/PMTDIVES[[#This Row],[2023]])</f>
        <v/>
      </c>
      <c r="E81" s="526">
        <f>IF(PMTDIVES[[#This Row],[2024]]="","",DONNÉES!BY236)</f>
        <v/>
      </c>
      <c r="F81" s="526">
        <f>IF(PMTDIVES[[#This Row],[2024]]="","",DONNÉES!BZ236)</f>
        <v/>
      </c>
      <c r="G81" s="526" t="n"/>
      <c r="H81" s="474" t="n"/>
      <c r="I81" s="476" t="inlineStr">
        <is>
          <t>Janvier</t>
        </is>
      </c>
      <c r="J81" s="526">
        <f>IF(DONNÉES!BO236="","",DONNÉES!BO236)</f>
        <v/>
      </c>
      <c r="K81" s="526">
        <f>IF(PMTTH4[[#This Row],[2024]]="","",DONNÉES!BP236)</f>
        <v/>
      </c>
      <c r="L81" s="102">
        <f>IF(PMTTH4[[#This Row],[2024]]="","",(PMTTH4[[#This Row],[2024]]-PMTTH4[[#This Row],[2023]])/PMTTH4[[#This Row],[2023]])</f>
        <v/>
      </c>
      <c r="M81" s="526">
        <f>IF(PMTTH4[[#This Row],[2024]]="","",DONNÉES!BQ236)</f>
        <v/>
      </c>
      <c r="N81" s="526">
        <f>IF(PMTTH4[[#This Row],[2024]]="","",DONNÉES!BR236)</f>
        <v/>
      </c>
      <c r="O81" s="526">
        <f>IF(PMTTH4[[#This Row],[2024]]="","",DONNÉES!BS236)</f>
        <v/>
      </c>
    </row>
    <row r="82" ht="13.15" customHeight="1" s="161">
      <c r="A82" s="476" t="inlineStr">
        <is>
          <t>Février</t>
        </is>
      </c>
      <c r="B82" s="526">
        <f>IF(DONNÉES!BW237="","",DONNÉES!BW237)</f>
        <v/>
      </c>
      <c r="C82" s="526">
        <f>IF(PMTDIVES[[#This Row],[2024]]="","",DONNÉES!BX237)</f>
        <v/>
      </c>
      <c r="D82" s="96">
        <f>IF(PMTDIVES[[#This Row],[2024]]="","",(PMTDIVES[[#This Row],[2024]]-PMTDIVES[[#This Row],[2023]])/PMTDIVES[[#This Row],[2023]])</f>
        <v/>
      </c>
      <c r="E82" s="526">
        <f>IF(PMTDIVES[[#This Row],[2024]]="","",DONNÉES!BY237)</f>
        <v/>
      </c>
      <c r="F82" s="526">
        <f>IF(PMTDIVES[[#This Row],[2024]]="","",DONNÉES!BZ237)</f>
        <v/>
      </c>
      <c r="G82" s="526" t="n"/>
      <c r="H82" s="474" t="n"/>
      <c r="I82" s="476" t="inlineStr">
        <is>
          <t>Février</t>
        </is>
      </c>
      <c r="J82" s="526">
        <f>IF(DONNÉES!BO237="","",DONNÉES!BO237)</f>
        <v/>
      </c>
      <c r="K82" s="526">
        <f>IF(PMTTH4[[#This Row],[2024]]="","",DONNÉES!BP237)</f>
        <v/>
      </c>
      <c r="L82" s="102">
        <f>IF(PMTTH4[[#This Row],[2024]]="","",(PMTTH4[[#This Row],[2024]]-PMTTH4[[#This Row],[2023]])/PMTTH4[[#This Row],[2023]])</f>
        <v/>
      </c>
      <c r="M82" s="526">
        <f>IF(PMTTH4[[#This Row],[2024]]="","",DONNÉES!BQ237)</f>
        <v/>
      </c>
      <c r="N82" s="526">
        <f>IF(PMTTH4[[#This Row],[2024]]="","",DONNÉES!BR237)</f>
        <v/>
      </c>
      <c r="O82" s="526">
        <f>IF(PMTTH4[[#This Row],[2024]]="","",DONNÉES!BS237)</f>
        <v/>
      </c>
    </row>
    <row r="83" ht="13.15" customHeight="1" s="161">
      <c r="A83" s="474" t="inlineStr">
        <is>
          <t>Mars</t>
        </is>
      </c>
      <c r="B83" s="526">
        <f>IF(DONNÉES!BW238="","",DONNÉES!BW238)</f>
        <v/>
      </c>
      <c r="C83" s="526">
        <f>IF(PMTDIVES[[#This Row],[2024]]="","",DONNÉES!BX238)</f>
        <v/>
      </c>
      <c r="D83" s="96">
        <f>IF(PMTDIVES[[#This Row],[2024]]="","",(PMTDIVES[[#This Row],[2024]]-PMTDIVES[[#This Row],[2023]])/PMTDIVES[[#This Row],[2023]])</f>
        <v/>
      </c>
      <c r="E83" s="526">
        <f>IF(PMTDIVES[[#This Row],[2024]]="","",DONNÉES!BY238)</f>
        <v/>
      </c>
      <c r="F83" s="526">
        <f>IF(PMTDIVES[[#This Row],[2024]]="","",DONNÉES!BZ238)</f>
        <v/>
      </c>
      <c r="G83" s="526" t="n"/>
      <c r="H83" s="474" t="n"/>
      <c r="I83" s="474" t="inlineStr">
        <is>
          <t>Mars</t>
        </is>
      </c>
      <c r="J83" s="526">
        <f>IF(DONNÉES!BO238="","",DONNÉES!BO238)</f>
        <v/>
      </c>
      <c r="K83" s="526">
        <f>IF(PMTTH4[[#This Row],[2024]]="","",DONNÉES!BP238)</f>
        <v/>
      </c>
      <c r="L83" s="102">
        <f>IF(PMTTH4[[#This Row],[2024]]="","",(PMTTH4[[#This Row],[2024]]-PMTTH4[[#This Row],[2023]])/PMTTH4[[#This Row],[2023]])</f>
        <v/>
      </c>
      <c r="M83" s="526">
        <f>IF(PMTTH4[[#This Row],[2024]]="","",DONNÉES!BQ238)</f>
        <v/>
      </c>
      <c r="N83" s="526">
        <f>IF(PMTTH4[[#This Row],[2024]]="","",DONNÉES!BR238)</f>
        <v/>
      </c>
      <c r="O83" s="526">
        <f>IF(PMTTH4[[#This Row],[2024]]="","",DONNÉES!BS238)</f>
        <v/>
      </c>
    </row>
    <row r="84" ht="13.15" customHeight="1" s="161">
      <c r="A84" s="476" t="inlineStr">
        <is>
          <t>Avril</t>
        </is>
      </c>
      <c r="B84" s="526">
        <f>IF(DONNÉES!BW239="","",DONNÉES!BW239)</f>
        <v/>
      </c>
      <c r="C84" s="526">
        <f>IF(PMTDIVES[[#This Row],[2024]]="","",DONNÉES!BX239)</f>
        <v/>
      </c>
      <c r="D84" s="96">
        <f>IF(PMTDIVES[[#This Row],[2024]]="","",(PMTDIVES[[#This Row],[2024]]-PMTDIVES[[#This Row],[2023]])/PMTDIVES[[#This Row],[2023]])</f>
        <v/>
      </c>
      <c r="E84" s="526">
        <f>IF(PMTDIVES[[#This Row],[2024]]="","",DONNÉES!BY239)</f>
        <v/>
      </c>
      <c r="F84" s="526">
        <f>IF(PMTDIVES[[#This Row],[2024]]="","",DONNÉES!BZ239)</f>
        <v/>
      </c>
      <c r="G84" s="526" t="n"/>
      <c r="I84" s="476" t="inlineStr">
        <is>
          <t>Avril</t>
        </is>
      </c>
      <c r="J84" s="526">
        <f>IF(DONNÉES!BO239="","",DONNÉES!BO239)</f>
        <v/>
      </c>
      <c r="K84" s="526">
        <f>IF(PMTTH4[[#This Row],[2024]]="","",DONNÉES!BP239)</f>
        <v/>
      </c>
      <c r="L84" s="102">
        <f>IF(PMTTH4[[#This Row],[2024]]="","",(PMTTH4[[#This Row],[2024]]-PMTTH4[[#This Row],[2023]])/PMTTH4[[#This Row],[2023]])</f>
        <v/>
      </c>
      <c r="M84" s="526">
        <f>IF(PMTTH4[[#This Row],[2024]]="","",DONNÉES!BQ239)</f>
        <v/>
      </c>
      <c r="N84" s="526">
        <f>IF(PMTTH4[[#This Row],[2024]]="","",DONNÉES!BR239)</f>
        <v/>
      </c>
      <c r="O84" s="526">
        <f>IF(PMTTH4[[#This Row],[2024]]="","",DONNÉES!BS239)</f>
        <v/>
      </c>
    </row>
    <row r="85" ht="13.15" customHeight="1" s="161">
      <c r="A85" s="474" t="inlineStr">
        <is>
          <t>Mai</t>
        </is>
      </c>
      <c r="B85" s="526">
        <f>IF(DONNÉES!BW240="","",DONNÉES!BW240)</f>
        <v/>
      </c>
      <c r="C85" s="526">
        <f>IF(PMTDIVES[[#This Row],[2024]]="","",DONNÉES!BX240)</f>
        <v/>
      </c>
      <c r="D85" s="96">
        <f>IF(PMTDIVES[[#This Row],[2024]]="","",(PMTDIVES[[#This Row],[2024]]-PMTDIVES[[#This Row],[2023]])/PMTDIVES[[#This Row],[2023]])</f>
        <v/>
      </c>
      <c r="E85" s="526">
        <f>IF(PMTDIVES[[#This Row],[2024]]="","",DONNÉES!BY240)</f>
        <v/>
      </c>
      <c r="F85" s="526">
        <f>IF(PMTDIVES[[#This Row],[2024]]="","",DONNÉES!BZ240)</f>
        <v/>
      </c>
      <c r="G85" s="526" t="n"/>
      <c r="H85" s="474" t="n"/>
      <c r="I85" s="474" t="inlineStr">
        <is>
          <t>Mai</t>
        </is>
      </c>
      <c r="J85" s="526">
        <f>IF(DONNÉES!BO240="","",DONNÉES!BO240)</f>
        <v/>
      </c>
      <c r="K85" s="526">
        <f>IF(PMTTH4[[#This Row],[2024]]="","",DONNÉES!BP240)</f>
        <v/>
      </c>
      <c r="L85" s="102">
        <f>IF(PMTTH4[[#This Row],[2024]]="","",(PMTTH4[[#This Row],[2024]]-PMTTH4[[#This Row],[2023]])/PMTTH4[[#This Row],[2023]])</f>
        <v/>
      </c>
      <c r="M85" s="526">
        <f>IF(PMTTH4[[#This Row],[2024]]="","",DONNÉES!BQ240)</f>
        <v/>
      </c>
      <c r="N85" s="526">
        <f>IF(PMTTH4[[#This Row],[2024]]="","",DONNÉES!BR240)</f>
        <v/>
      </c>
      <c r="O85" s="526">
        <f>IF(PMTTH4[[#This Row],[2024]]="","",DONNÉES!BS240)</f>
        <v/>
      </c>
    </row>
    <row r="86" ht="13.15" customFormat="1" customHeight="1" s="476">
      <c r="A86" s="476" t="inlineStr">
        <is>
          <t>Juin</t>
        </is>
      </c>
      <c r="B86" s="526">
        <f>IF(DONNÉES!BW241="","",DONNÉES!BW241)</f>
        <v/>
      </c>
      <c r="C86" s="526">
        <f>IF(PMTDIVES[[#This Row],[2024]]="","",DONNÉES!BX241)</f>
        <v/>
      </c>
      <c r="D86" s="96">
        <f>IF(PMTDIVES[[#This Row],[2024]]="","",(PMTDIVES[[#This Row],[2024]]-PMTDIVES[[#This Row],[2023]])/PMTDIVES[[#This Row],[2023]])</f>
        <v/>
      </c>
      <c r="E86" s="526">
        <f>IF(PMTDIVES[[#This Row],[2024]]="","",DONNÉES!BY241)</f>
        <v/>
      </c>
      <c r="F86" s="526">
        <f>IF(PMTDIVES[[#This Row],[2024]]="","",DONNÉES!BZ241)</f>
        <v/>
      </c>
      <c r="G86" s="526" t="n"/>
      <c r="I86" s="476" t="inlineStr">
        <is>
          <t>Juin</t>
        </is>
      </c>
      <c r="J86" s="526">
        <f>IF(DONNÉES!BO241="","",DONNÉES!BO241)</f>
        <v/>
      </c>
      <c r="K86" s="526">
        <f>IF(PMTTH4[[#This Row],[2024]]="","",DONNÉES!BP241)</f>
        <v/>
      </c>
      <c r="L86" s="102">
        <f>IF(PMTTH4[[#This Row],[2024]]="","",(PMTTH4[[#This Row],[2024]]-PMTTH4[[#This Row],[2023]])/PMTTH4[[#This Row],[2023]])</f>
        <v/>
      </c>
      <c r="M86" s="526">
        <f>IF(PMTTH4[[#This Row],[2024]]="","",DONNÉES!BQ241)</f>
        <v/>
      </c>
      <c r="N86" s="526">
        <f>IF(PMTTH4[[#This Row],[2024]]="","",DONNÉES!BR241)</f>
        <v/>
      </c>
      <c r="O86" s="526">
        <f>IF(PMTTH4[[#This Row],[2024]]="","",DONNÉES!BS241)</f>
        <v/>
      </c>
    </row>
    <row r="87" ht="13.15" customFormat="1" customHeight="1" s="476">
      <c r="A87" s="474" t="inlineStr">
        <is>
          <t>Juillet</t>
        </is>
      </c>
      <c r="B87" s="526">
        <f>IF(DONNÉES!BW242="","",DONNÉES!BW242)</f>
        <v/>
      </c>
      <c r="C87" s="526">
        <f>IF(PMTDIVES[[#This Row],[2024]]="","",DONNÉES!BX242)</f>
        <v/>
      </c>
      <c r="D87" s="96">
        <f>IF(PMTDIVES[[#This Row],[2024]]="","",(PMTDIVES[[#This Row],[2024]]-PMTDIVES[[#This Row],[2023]])/PMTDIVES[[#This Row],[2023]])</f>
        <v/>
      </c>
      <c r="E87" s="526">
        <f>IF(PMTDIVES[[#This Row],[2024]]="","",DONNÉES!BY242)</f>
        <v/>
      </c>
      <c r="F87" s="526">
        <f>IF(PMTDIVES[[#This Row],[2024]]="","",DONNÉES!BZ242)</f>
        <v/>
      </c>
      <c r="G87" s="526" t="n"/>
      <c r="I87" s="474" t="inlineStr">
        <is>
          <t>Juillet</t>
        </is>
      </c>
      <c r="J87" s="526">
        <f>IF(DONNÉES!BO242="","",DONNÉES!BO242)</f>
        <v/>
      </c>
      <c r="K87" s="526">
        <f>IF(PMTTH4[[#This Row],[2024]]="","",DONNÉES!BP242)</f>
        <v/>
      </c>
      <c r="L87" s="102">
        <f>IF(PMTTH4[[#This Row],[2024]]="","",(PMTTH4[[#This Row],[2024]]-PMTTH4[[#This Row],[2023]])/PMTTH4[[#This Row],[2023]])</f>
        <v/>
      </c>
      <c r="M87" s="526">
        <f>IF(PMTTH4[[#This Row],[2024]]="","",DONNÉES!BQ242)</f>
        <v/>
      </c>
      <c r="N87" s="526">
        <f>IF(PMTTH4[[#This Row],[2024]]="","",DONNÉES!BR242)</f>
        <v/>
      </c>
      <c r="O87" s="526">
        <f>IF(PMTTH4[[#This Row],[2024]]="","",DONNÉES!BS242)</f>
        <v/>
      </c>
    </row>
    <row r="88" ht="13.15" customFormat="1" customHeight="1" s="476">
      <c r="A88" s="476" t="inlineStr">
        <is>
          <t>Août</t>
        </is>
      </c>
      <c r="B88" s="526">
        <f>IF(DONNÉES!BW243="","",DONNÉES!BW243)</f>
        <v/>
      </c>
      <c r="C88" s="526">
        <f>IF(PMTDIVES[[#This Row],[2024]]="","",DONNÉES!BX243)</f>
        <v/>
      </c>
      <c r="D88" s="96">
        <f>IF(PMTDIVES[[#This Row],[2024]]="","",(PMTDIVES[[#This Row],[2024]]-PMTDIVES[[#This Row],[2023]])/PMTDIVES[[#This Row],[2023]])</f>
        <v/>
      </c>
      <c r="E88" s="526">
        <f>IF(PMTDIVES[[#This Row],[2024]]="","",DONNÉES!BY243)</f>
        <v/>
      </c>
      <c r="F88" s="526">
        <f>IF(PMTDIVES[[#This Row],[2024]]="","",DONNÉES!BZ243)</f>
        <v/>
      </c>
      <c r="G88" s="526" t="n"/>
      <c r="I88" s="476" t="inlineStr">
        <is>
          <t>Août</t>
        </is>
      </c>
      <c r="J88" s="526">
        <f>IF(DONNÉES!BO243="","",DONNÉES!BO243)</f>
        <v/>
      </c>
      <c r="K88" s="526">
        <f>IF(PMTTH4[[#This Row],[2024]]="","",DONNÉES!BP243)</f>
        <v/>
      </c>
      <c r="L88" s="102">
        <f>IF(PMTTH4[[#This Row],[2024]]="","",(PMTTH4[[#This Row],[2024]]-PMTTH4[[#This Row],[2023]])/PMTTH4[[#This Row],[2023]])</f>
        <v/>
      </c>
      <c r="M88" s="526">
        <f>IF(PMTTH4[[#This Row],[2024]]="","",DONNÉES!BQ243)</f>
        <v/>
      </c>
      <c r="N88" s="526">
        <f>IF(PMTTH4[[#This Row],[2024]]="","",DONNÉES!BR243)</f>
        <v/>
      </c>
      <c r="O88" s="526">
        <f>IF(PMTTH4[[#This Row],[2024]]="","",DONNÉES!BS243)</f>
        <v/>
      </c>
    </row>
    <row r="89" ht="13.15" customHeight="1" s="161">
      <c r="A89" s="474" t="inlineStr">
        <is>
          <t>Septembre</t>
        </is>
      </c>
      <c r="B89" s="529">
        <f>IF(DONNÉES!BW244="","",DONNÉES!BW244)</f>
        <v/>
      </c>
      <c r="C89" s="529">
        <f>IF(PMTDIVES[[#This Row],[2024]]="","",DONNÉES!BX244)</f>
        <v/>
      </c>
      <c r="D89" s="97">
        <f>IF(PMTDIVES[[#This Row],[2024]]="","",(PMTDIVES[[#This Row],[2024]]-PMTDIVES[[#This Row],[2023]])/PMTDIVES[[#This Row],[2023]])</f>
        <v/>
      </c>
      <c r="E89" s="526">
        <f>IF(PMTDIVES[[#This Row],[2024]]="","",DONNÉES!BY244)</f>
        <v/>
      </c>
      <c r="F89" s="526">
        <f>IF(PMTDIVES[[#This Row],[2024]]="","",DONNÉES!BZ244)</f>
        <v/>
      </c>
      <c r="G89" s="526" t="n"/>
      <c r="H89" s="474" t="n"/>
      <c r="I89" s="474" t="inlineStr">
        <is>
          <t>Septembre</t>
        </is>
      </c>
      <c r="J89" s="529">
        <f>IF(DONNÉES!BO244="","",DONNÉES!BO244)</f>
        <v/>
      </c>
      <c r="K89" s="529">
        <f>IF(PMTTH4[[#This Row],[2024]]="","",DONNÉES!BP244)</f>
        <v/>
      </c>
      <c r="L89" s="103">
        <f>IF(PMTTH4[[#This Row],[2024]]="","",(PMTTH4[[#This Row],[2024]]-PMTTH4[[#This Row],[2023]])/PMTTH4[[#This Row],[2023]])</f>
        <v/>
      </c>
      <c r="M89" s="526">
        <f>IF(PMTTH4[[#This Row],[2024]]="","",DONNÉES!BQ244)</f>
        <v/>
      </c>
      <c r="N89" s="526">
        <f>IF(PMTTH4[[#This Row],[2024]]="","",DONNÉES!BR244)</f>
        <v/>
      </c>
      <c r="O89" s="526">
        <f>IF(PMTTH4[[#This Row],[2024]]="","",DONNÉES!BS244)</f>
        <v/>
      </c>
    </row>
    <row r="90" ht="13.15" customHeight="1" s="161">
      <c r="A90" s="476" t="inlineStr">
        <is>
          <t>Octobre</t>
        </is>
      </c>
      <c r="B90" s="529">
        <f>IF(DONNÉES!BW245="","",DONNÉES!BW245)</f>
        <v/>
      </c>
      <c r="C90" s="529">
        <f>IF(PMTDIVES[[#This Row],[2024]]="","",DONNÉES!BX245)</f>
        <v/>
      </c>
      <c r="D90" s="97">
        <f>IF(PMTDIVES[[#This Row],[2024]]="","",(PMTDIVES[[#This Row],[2024]]-PMTDIVES[[#This Row],[2023]])/PMTDIVES[[#This Row],[2023]])</f>
        <v/>
      </c>
      <c r="E90" s="526">
        <f>IF(PMTDIVES[[#This Row],[2024]]="","",DONNÉES!BY245)</f>
        <v/>
      </c>
      <c r="F90" s="526">
        <f>IF(PMTDIVES[[#This Row],[2024]]="","",DONNÉES!BZ245)</f>
        <v/>
      </c>
      <c r="G90" s="526">
        <f>IF(PMTDIVES[[#This Row],[2024]]="","",DONNÉES!CA245)</f>
        <v/>
      </c>
      <c r="H90" s="474" t="n"/>
      <c r="I90" s="476" t="inlineStr">
        <is>
          <t>Octobre</t>
        </is>
      </c>
      <c r="J90" s="529">
        <f>IF(DONNÉES!BO245="","",DONNÉES!BO245)</f>
        <v/>
      </c>
      <c r="K90" s="529">
        <f>IF(PMTTH4[[#This Row],[2024]]="","",DONNÉES!BP245)</f>
        <v/>
      </c>
      <c r="L90" s="103">
        <f>IF(PMTTH4[[#This Row],[2024]]="","",(PMTTH4[[#This Row],[2024]]-PMTTH4[[#This Row],[2023]])/PMTTH4[[#This Row],[2023]])</f>
        <v/>
      </c>
      <c r="M90" s="526">
        <f>IF(PMTTH4[[#This Row],[2024]]="","",DONNÉES!BQ245)</f>
        <v/>
      </c>
      <c r="N90" s="526">
        <f>IF(PMTTH4[[#This Row],[2024]]="","",DONNÉES!BR245)</f>
        <v/>
      </c>
      <c r="O90" s="526">
        <f>IF(PMTTH4[[#This Row],[2024]]="","",DONNÉES!BS245)</f>
        <v/>
      </c>
    </row>
    <row r="91" ht="13.15" customHeight="1" s="161">
      <c r="A91" s="474" t="inlineStr">
        <is>
          <t>Novembre</t>
        </is>
      </c>
      <c r="B91" s="529">
        <f>IF(DONNÉES!BW246="","",DONNÉES!BW246)</f>
        <v/>
      </c>
      <c r="C91" s="529">
        <f>IF(PMTDIVES[[#This Row],[2024]]="","",DONNÉES!BX246)</f>
        <v/>
      </c>
      <c r="D91" s="97">
        <f>IF(PMTDIVES[[#This Row],[2024]]="","",(PMTDIVES[[#This Row],[2024]]-PMTDIVES[[#This Row],[2023]])/PMTDIVES[[#This Row],[2023]])</f>
        <v/>
      </c>
      <c r="E91" s="526">
        <f>IF(PMTDIVES[[#This Row],[2024]]="","",DONNÉES!BY246)</f>
        <v/>
      </c>
      <c r="F91" s="526">
        <f>IF(PMTDIVES[[#This Row],[2024]]="","",DONNÉES!BZ246)</f>
        <v/>
      </c>
      <c r="G91" s="526">
        <f>IF(PMTDIVES[[#This Row],[2024]]="","",DONNÉES!CA246)</f>
        <v/>
      </c>
      <c r="H91" s="474" t="n"/>
      <c r="I91" s="474" t="inlineStr">
        <is>
          <t>Novembre</t>
        </is>
      </c>
      <c r="J91" s="529">
        <f>IF(DONNÉES!BO246="","",DONNÉES!BO246)</f>
        <v/>
      </c>
      <c r="K91" s="529">
        <f>IF(PMTTH4[[#This Row],[2024]]="","",DONNÉES!BP246)</f>
        <v/>
      </c>
      <c r="L91" s="103">
        <f>IF(PMTTH4[[#This Row],[2024]]="","",(PMTTH4[[#This Row],[2024]]-PMTTH4[[#This Row],[2023]])/PMTTH4[[#This Row],[2023]])</f>
        <v/>
      </c>
      <c r="M91" s="526">
        <f>IF(PMTTH4[[#This Row],[2024]]="","",DONNÉES!BQ246)</f>
        <v/>
      </c>
      <c r="N91" s="526">
        <f>IF(PMTTH4[[#This Row],[2024]]="","",DONNÉES!BR246)</f>
        <v/>
      </c>
      <c r="O91" s="526">
        <f>IF(PMTTH4[[#This Row],[2024]]="","",DONNÉES!BS246)</f>
        <v/>
      </c>
    </row>
    <row r="92" ht="13.15" customHeight="1" s="161">
      <c r="A92" s="474" t="inlineStr">
        <is>
          <t>Décembre</t>
        </is>
      </c>
      <c r="B92" s="529">
        <f>IF(DONNÉES!BW247="","",DONNÉES!BW247)</f>
        <v/>
      </c>
      <c r="C92" s="529">
        <f>IF(PMTDIVES[[#This Row],[2024]]="","",DONNÉES!BX247)</f>
        <v/>
      </c>
      <c r="D92" s="97">
        <f>IF(PMTDIVES[[#This Row],[2024]]="","",(PMTDIVES[[#This Row],[2024]]-PMTDIVES[[#This Row],[2023]])/PMTDIVES[[#This Row],[2023]])</f>
        <v/>
      </c>
      <c r="E92" s="526">
        <f>IF(PMTDIVES[[#This Row],[2024]]="","",DONNÉES!BY247)</f>
        <v/>
      </c>
      <c r="F92" s="526">
        <f>IF(PMTDIVES[[#This Row],[2024]]="","",DONNÉES!BZ247)</f>
        <v/>
      </c>
      <c r="G92" s="526">
        <f>IF(PMTDIVES[[#This Row],[2024]]="","",DONNÉES!CA247)</f>
        <v/>
      </c>
      <c r="H92" s="474" t="n"/>
      <c r="I92" s="474" t="inlineStr">
        <is>
          <t>Décembre</t>
        </is>
      </c>
      <c r="J92" s="529">
        <f>IF(DONNÉES!BO247="","",DONNÉES!BO247)</f>
        <v/>
      </c>
      <c r="K92" s="529">
        <f>IF(PMTTH4[[#This Row],[2024]]="","",DONNÉES!BP247)</f>
        <v/>
      </c>
      <c r="L92" s="103">
        <f>IF(PMTTH4[[#This Row],[2024]]="","",(PMTTH4[[#This Row],[2024]]-PMTTH4[[#This Row],[2023]])/PMTTH4[[#This Row],[2023]])</f>
        <v/>
      </c>
      <c r="M92" s="526">
        <f>IF(PMTTH4[[#This Row],[2024]]="","",DONNÉES!BQ247)</f>
        <v/>
      </c>
      <c r="N92" s="526">
        <f>IF(PMTTH4[[#This Row],[2024]]="","",DONNÉES!BR247)</f>
        <v/>
      </c>
      <c r="O92" s="526">
        <f>IF(PMTTH4[[#This Row],[2024]]="","",DONNÉES!BS247)</f>
        <v/>
      </c>
    </row>
    <row r="93" ht="16.9" customHeight="1" s="161">
      <c r="A93" s="354" t="inlineStr">
        <is>
          <t xml:space="preserve">  TOTAL  </t>
        </is>
      </c>
      <c r="B93" s="359">
        <f>SUBTOTAL(101,PMTDIVES[2024])</f>
        <v/>
      </c>
      <c r="C93" s="359">
        <f>SUBTOTAL(101,PMTDIVES[2023])</f>
        <v/>
      </c>
      <c r="D93" s="105">
        <f>(PMTDIVES[[#Totals],[2024]]-PMTDIVES[[#Totals],[2023]])/PMTDIVES[[#Totals],[2023]]</f>
        <v/>
      </c>
      <c r="E93" s="541">
        <f>SUBTOTAL(101,PMTDIVES[2022])</f>
        <v/>
      </c>
      <c r="F93" s="359">
        <f>SUBTOTAL(101,PMTDIVES[2021])</f>
        <v/>
      </c>
      <c r="G93" s="359" t="n"/>
      <c r="H93" s="474" t="n"/>
      <c r="I93" s="354" t="inlineStr">
        <is>
          <t xml:space="preserve">  TOTAL  </t>
        </is>
      </c>
      <c r="J93" s="359">
        <f>SUBTOTAL(101,PMTTH4[2024])</f>
        <v/>
      </c>
      <c r="K93" s="359">
        <f>SUBTOTAL(101,PMTTH4[2023])</f>
        <v/>
      </c>
      <c r="L93" s="105">
        <f>(PMTTH4[[#Totals],[2024]]-PMTTH4[[#Totals],[2023]])/PMTTH4[[#Totals],[2023]]</f>
        <v/>
      </c>
      <c r="M93" s="541">
        <f>SUBTOTAL(101,PMTTH4[2022])</f>
        <v/>
      </c>
      <c r="N93" s="359">
        <f>SUBTOTAL(101,PMTTH4[2021])</f>
        <v/>
      </c>
      <c r="O93" s="359">
        <f>SUBTOTAL(101,PMTTH4[2020])</f>
        <v/>
      </c>
    </row>
    <row r="94" ht="30.6" customHeight="1" s="161">
      <c r="M94" s="542" t="n"/>
    </row>
    <row r="95" ht="33" customHeight="1" s="161">
      <c r="A95" s="474" t="inlineStr">
        <is>
          <t>ARTHUR</t>
        </is>
      </c>
      <c r="B95" s="491" t="inlineStr">
        <is>
          <t>2024</t>
        </is>
      </c>
      <c r="C95" s="491" t="inlineStr">
        <is>
          <t>2023</t>
        </is>
      </c>
      <c r="D95" s="100" t="inlineStr">
        <is>
          <t>Variat.</t>
        </is>
      </c>
      <c r="E95" s="491" t="inlineStr">
        <is>
          <t>2022</t>
        </is>
      </c>
      <c r="F95" s="491" t="inlineStr">
        <is>
          <t>2021</t>
        </is>
      </c>
      <c r="G95" s="525" t="inlineStr">
        <is>
          <t>2020</t>
        </is>
      </c>
      <c r="H95" s="474" t="n"/>
      <c r="I95" s="474" t="inlineStr">
        <is>
          <t>HUGO</t>
        </is>
      </c>
      <c r="J95" s="491" t="inlineStr">
        <is>
          <t>2024</t>
        </is>
      </c>
      <c r="K95" s="491" t="inlineStr">
        <is>
          <t>2023</t>
        </is>
      </c>
      <c r="L95" s="100" t="inlineStr">
        <is>
          <t>Variat.</t>
        </is>
      </c>
      <c r="M95" s="491" t="inlineStr">
        <is>
          <t>2022</t>
        </is>
      </c>
      <c r="N95" s="491" t="inlineStr">
        <is>
          <t>2021</t>
        </is>
      </c>
      <c r="O95" s="525" t="inlineStr">
        <is>
          <t>2020</t>
        </is>
      </c>
    </row>
    <row r="96" ht="13.15" customFormat="1" customHeight="1" s="476">
      <c r="A96" s="476" t="inlineStr">
        <is>
          <t>Janvier</t>
        </is>
      </c>
      <c r="B96" s="543">
        <f>IF(DONNÉES!CU236="","",DONNÉES!CU236)</f>
        <v/>
      </c>
      <c r="C96" s="543">
        <f>IF(PMTARTHUR[[#This Row],[2024]]="","",DONNÉES!CV236)</f>
        <v/>
      </c>
      <c r="D96" s="102">
        <f>IF(PMTARTHUR[[#This Row],[2024]]="","",(PMTARTHUR[[#This Row],[2024]]-PMTARTHUR[[#This Row],[2023]])/PMTARTHUR[[#This Row],[2023]])</f>
        <v/>
      </c>
      <c r="E96" s="543">
        <f>IF(PMTARTHUR[[#This Row],[2024]]="","",DONNÉES!CW236)</f>
        <v/>
      </c>
      <c r="F96" s="543">
        <f>IF(PMTARTHUR[[#This Row],[2024]]="","",DONNÉES!CX236)</f>
        <v/>
      </c>
      <c r="G96" s="543">
        <f>IF(PMTARTHUR[[#This Row],[2024]]="","",DONNÉES!CZ236)</f>
        <v/>
      </c>
      <c r="I96" s="476" t="inlineStr">
        <is>
          <t>Janvier</t>
        </is>
      </c>
      <c r="J96" s="543">
        <f>IF(DONNÉES!DC236="","",DONNÉES!DC236)</f>
        <v/>
      </c>
      <c r="K96" s="543">
        <f>IF(PMTHUGO[[#This Row],[2024]]="","",DONNÉES!DD236)</f>
        <v/>
      </c>
      <c r="L96" s="102">
        <f>IF(PMTHUGO[[#This Row],[2024]]="","",(PMTHUGO[[#This Row],[2024]]-PMTHUGO[[#This Row],[2023]])/PMTHUGO[[#This Row],[2023]])</f>
        <v/>
      </c>
      <c r="M96" s="543">
        <f>IF(PMTHUGO[[#This Row],[2024]]="","",DONNÉES!DE236)</f>
        <v/>
      </c>
      <c r="N96" s="543">
        <f>IF(PMTHUGO[[#This Row],[2024]]="","",DONNÉES!DF236)</f>
        <v/>
      </c>
      <c r="O96" s="543">
        <f>IF(PMTHUGO[[#This Row],[2024]]="","",DONNÉES!DG236)</f>
        <v/>
      </c>
    </row>
    <row r="97" ht="13.15" customFormat="1" customHeight="1" s="476">
      <c r="A97" s="476" t="inlineStr">
        <is>
          <t>Février</t>
        </is>
      </c>
      <c r="B97" s="543">
        <f>IF(DONNÉES!CU237="","",DONNÉES!CU237)</f>
        <v/>
      </c>
      <c r="C97" s="543">
        <f>IF(PMTARTHUR[[#This Row],[2024]]="","",DONNÉES!CV237)</f>
        <v/>
      </c>
      <c r="D97" s="102">
        <f>IF(PMTARTHUR[[#This Row],[2024]]="","",(PMTARTHUR[[#This Row],[2024]]-PMTARTHUR[[#This Row],[2023]])/PMTARTHUR[[#This Row],[2023]])</f>
        <v/>
      </c>
      <c r="E97" s="543">
        <f>IF(PMTARTHUR[[#This Row],[2024]]="","",DONNÉES!CW237)</f>
        <v/>
      </c>
      <c r="F97" s="543">
        <f>IF(PMTARTHUR[[#This Row],[2024]]="","",DONNÉES!CX237)</f>
        <v/>
      </c>
      <c r="G97" s="543">
        <f>IF(PMTARTHUR[[#This Row],[2024]]="","",DONNÉES!CZ237)</f>
        <v/>
      </c>
      <c r="I97" s="476" t="inlineStr">
        <is>
          <t>Février</t>
        </is>
      </c>
      <c r="J97" s="543">
        <f>IF(DONNÉES!DC237="","",DONNÉES!DC237)</f>
        <v/>
      </c>
      <c r="K97" s="543">
        <f>IF(PMTHUGO[[#This Row],[2024]]="","",DONNÉES!DD237)</f>
        <v/>
      </c>
      <c r="L97" s="102">
        <f>IF(PMTHUGO[[#This Row],[2024]]="","",(PMTHUGO[[#This Row],[2024]]-PMTHUGO[[#This Row],[2023]])/PMTHUGO[[#This Row],[2023]])</f>
        <v/>
      </c>
      <c r="M97" s="543">
        <f>IF(PMTHUGO[[#This Row],[2024]]="","",DONNÉES!DE237)</f>
        <v/>
      </c>
      <c r="N97" s="543">
        <f>IF(PMTHUGO[[#This Row],[2024]]="","",DONNÉES!DF237)</f>
        <v/>
      </c>
      <c r="O97" s="543">
        <f>IF(PMTHUGO[[#This Row],[2024]]="","",DONNÉES!DG237)</f>
        <v/>
      </c>
    </row>
    <row r="98" ht="13.15" customFormat="1" customHeight="1" s="476">
      <c r="A98" s="474" t="inlineStr">
        <is>
          <t>Mars</t>
        </is>
      </c>
      <c r="B98" s="543">
        <f>IF(DONNÉES!CU238="","",DONNÉES!CU238)</f>
        <v/>
      </c>
      <c r="C98" s="543">
        <f>IF(PMTARTHUR[[#This Row],[2024]]="","",DONNÉES!CV238)</f>
        <v/>
      </c>
      <c r="D98" s="102">
        <f>IF(PMTARTHUR[[#This Row],[2024]]="","",(PMTARTHUR[[#This Row],[2024]]-PMTARTHUR[[#This Row],[2023]])/PMTARTHUR[[#This Row],[2023]])</f>
        <v/>
      </c>
      <c r="E98" s="543">
        <f>IF(PMTARTHUR[[#This Row],[2024]]="","",DONNÉES!CW238)</f>
        <v/>
      </c>
      <c r="F98" s="543">
        <f>IF(PMTARTHUR[[#This Row],[2024]]="","",DONNÉES!CX238)</f>
        <v/>
      </c>
      <c r="G98" s="543">
        <f>IF(PMTARTHUR[[#This Row],[2024]]="","",DONNÉES!CZ238)</f>
        <v/>
      </c>
      <c r="I98" s="474" t="inlineStr">
        <is>
          <t>Mars</t>
        </is>
      </c>
      <c r="J98" s="543">
        <f>IF(DONNÉES!DC238="","",DONNÉES!DC238)</f>
        <v/>
      </c>
      <c r="K98" s="543">
        <f>IF(PMTHUGO[[#This Row],[2024]]="","",DONNÉES!DD238)</f>
        <v/>
      </c>
      <c r="L98" s="102">
        <f>IF(PMTHUGO[[#This Row],[2024]]="","",(PMTHUGO[[#This Row],[2024]]-PMTHUGO[[#This Row],[2023]])/PMTHUGO[[#This Row],[2023]])</f>
        <v/>
      </c>
      <c r="M98" s="543">
        <f>IF(PMTHUGO[[#This Row],[2024]]="","",DONNÉES!DE238)</f>
        <v/>
      </c>
      <c r="N98" s="543">
        <f>IF(PMTHUGO[[#This Row],[2024]]="","",DONNÉES!DF238)</f>
        <v/>
      </c>
      <c r="O98" s="543">
        <f>IF(PMTHUGO[[#This Row],[2024]]="","",DONNÉES!DG238)</f>
        <v/>
      </c>
    </row>
    <row r="99" ht="13.15" customHeight="1" s="161">
      <c r="A99" s="476" t="inlineStr">
        <is>
          <t>Avril</t>
        </is>
      </c>
      <c r="B99" s="543">
        <f>IF(DONNÉES!CU239="","",DONNÉES!CU239)</f>
        <v/>
      </c>
      <c r="C99" s="543">
        <f>IF(PMTARTHUR[[#This Row],[2024]]="","",DONNÉES!CV239)</f>
        <v/>
      </c>
      <c r="D99" s="102">
        <f>IF(PMTARTHUR[[#This Row],[2024]]="","",(PMTARTHUR[[#This Row],[2024]]-PMTARTHUR[[#This Row],[2023]])/PMTARTHUR[[#This Row],[2023]])</f>
        <v/>
      </c>
      <c r="E99" s="543">
        <f>IF(PMTARTHUR[[#This Row],[2024]]="","",DONNÉES!CW239)</f>
        <v/>
      </c>
      <c r="F99" s="543">
        <f>IF(PMTARTHUR[[#This Row],[2024]]="","",DONNÉES!CX239)</f>
        <v/>
      </c>
      <c r="G99" s="543">
        <f>IF(PMTARTHUR[[#This Row],[2024]]="","",DONNÉES!CZ239)</f>
        <v/>
      </c>
      <c r="H99" s="474" t="n"/>
      <c r="I99" s="476" t="inlineStr">
        <is>
          <t>Avril</t>
        </is>
      </c>
      <c r="J99" s="543">
        <f>IF(DONNÉES!DC239="","",DONNÉES!DC239)</f>
        <v/>
      </c>
      <c r="K99" s="543">
        <f>IF(PMTHUGO[[#This Row],[2024]]="","",DONNÉES!DD239)</f>
        <v/>
      </c>
      <c r="L99" s="102">
        <f>IF(PMTHUGO[[#This Row],[2024]]="","",(PMTHUGO[[#This Row],[2024]]-PMTHUGO[[#This Row],[2023]])/PMTHUGO[[#This Row],[2023]])</f>
        <v/>
      </c>
      <c r="M99" s="543">
        <f>IF(PMTHUGO[[#This Row],[2024]]="","",DONNÉES!DE239)</f>
        <v/>
      </c>
      <c r="N99" s="543">
        <f>IF(PMTHUGO[[#This Row],[2024]]="","",DONNÉES!DF239)</f>
        <v/>
      </c>
      <c r="O99" s="543">
        <f>IF(PMTHUGO[[#This Row],[2024]]="","",DONNÉES!DG239)</f>
        <v/>
      </c>
    </row>
    <row r="100" ht="13.15" customHeight="1" s="161">
      <c r="A100" s="474" t="inlineStr">
        <is>
          <t>Mai</t>
        </is>
      </c>
      <c r="B100" s="543">
        <f>IF(DONNÉES!CU240="","",DONNÉES!CU240)</f>
        <v/>
      </c>
      <c r="C100" s="543">
        <f>IF(PMTARTHUR[[#This Row],[2024]]="","",DONNÉES!CV240)</f>
        <v/>
      </c>
      <c r="D100" s="102">
        <f>IF(PMTARTHUR[[#This Row],[2024]]="","",(PMTARTHUR[[#This Row],[2024]]-PMTARTHUR[[#This Row],[2023]])/PMTARTHUR[[#This Row],[2023]])</f>
        <v/>
      </c>
      <c r="E100" s="543">
        <f>IF(PMTARTHUR[[#This Row],[2024]]="","",DONNÉES!CW240)</f>
        <v/>
      </c>
      <c r="F100" s="543">
        <f>IF(PMTARTHUR[[#This Row],[2024]]="","",DONNÉES!CX240)</f>
        <v/>
      </c>
      <c r="G100" s="543">
        <f>IF(PMTARTHUR[[#This Row],[2024]]="","",DONNÉES!CZ240)</f>
        <v/>
      </c>
      <c r="H100" s="474" t="n"/>
      <c r="I100" s="474" t="inlineStr">
        <is>
          <t>Mai</t>
        </is>
      </c>
      <c r="J100" s="543">
        <f>IF(DONNÉES!DC240="","",DONNÉES!DC240)</f>
        <v/>
      </c>
      <c r="K100" s="543">
        <f>IF(PMTHUGO[[#This Row],[2024]]="","",DONNÉES!DD240)</f>
        <v/>
      </c>
      <c r="L100" s="102">
        <f>IF(PMTHUGO[[#This Row],[2024]]="","",(PMTHUGO[[#This Row],[2024]]-PMTHUGO[[#This Row],[2023]])/PMTHUGO[[#This Row],[2023]])</f>
        <v/>
      </c>
      <c r="M100" s="543">
        <f>IF(PMTHUGO[[#This Row],[2024]]="","",DONNÉES!DE240)</f>
        <v/>
      </c>
      <c r="N100" s="543">
        <f>IF(PMTHUGO[[#This Row],[2024]]="","",DONNÉES!DF240)</f>
        <v/>
      </c>
      <c r="O100" s="543">
        <f>IF(PMTHUGO[[#This Row],[2024]]="","",DONNÉES!DG240)</f>
        <v/>
      </c>
    </row>
    <row r="101" ht="13.15" customHeight="1" s="161">
      <c r="A101" s="476" t="inlineStr">
        <is>
          <t>Juin</t>
        </is>
      </c>
      <c r="B101" s="543">
        <f>IF(DONNÉES!CU241="","",DONNÉES!CU241)</f>
        <v/>
      </c>
      <c r="C101" s="543">
        <f>IF(PMTARTHUR[[#This Row],[2024]]="","",DONNÉES!CV241)</f>
        <v/>
      </c>
      <c r="D101" s="102">
        <f>IF(PMTARTHUR[[#This Row],[2024]]="","",(PMTARTHUR[[#This Row],[2024]]-PMTARTHUR[[#This Row],[2023]])/PMTARTHUR[[#This Row],[2023]])</f>
        <v/>
      </c>
      <c r="E101" s="543">
        <f>IF(PMTARTHUR[[#This Row],[2024]]="","",DONNÉES!CW241)</f>
        <v/>
      </c>
      <c r="F101" s="543">
        <f>IF(PMTARTHUR[[#This Row],[2024]]="","",DONNÉES!CX241)</f>
        <v/>
      </c>
      <c r="G101" s="543">
        <f>IF(PMTARTHUR[[#This Row],[2024]]="","",DONNÉES!CZ241)</f>
        <v/>
      </c>
      <c r="H101" s="474" t="n"/>
      <c r="I101" s="476" t="inlineStr">
        <is>
          <t>Juin</t>
        </is>
      </c>
      <c r="J101" s="543">
        <f>IF(DONNÉES!DC241="","",DONNÉES!DC241)</f>
        <v/>
      </c>
      <c r="K101" s="543">
        <f>IF(PMTHUGO[[#This Row],[2024]]="","",DONNÉES!DD241)</f>
        <v/>
      </c>
      <c r="L101" s="102">
        <f>IF(PMTHUGO[[#This Row],[2024]]="","",(PMTHUGO[[#This Row],[2024]]-PMTHUGO[[#This Row],[2023]])/PMTHUGO[[#This Row],[2023]])</f>
        <v/>
      </c>
      <c r="M101" s="543">
        <f>IF(PMTHUGO[[#This Row],[2024]]="","",DONNÉES!DE241)</f>
        <v/>
      </c>
      <c r="N101" s="543">
        <f>IF(PMTHUGO[[#This Row],[2024]]="","",DONNÉES!DF241)</f>
        <v/>
      </c>
      <c r="O101" s="543">
        <f>IF(PMTHUGO[[#This Row],[2024]]="","",DONNÉES!DG241)</f>
        <v/>
      </c>
    </row>
    <row r="102" ht="13.15" customHeight="1" s="161">
      <c r="A102" s="474" t="inlineStr">
        <is>
          <t>Juillet</t>
        </is>
      </c>
      <c r="B102" s="543">
        <f>IF(DONNÉES!CU242="","",DONNÉES!CU242)</f>
        <v/>
      </c>
      <c r="C102" s="543">
        <f>IF(PMTARTHUR[[#This Row],[2024]]="","",DONNÉES!CV242)</f>
        <v/>
      </c>
      <c r="D102" s="102">
        <f>IF(PMTARTHUR[[#This Row],[2024]]="","",(PMTARTHUR[[#This Row],[2024]]-PMTARTHUR[[#This Row],[2023]])/PMTARTHUR[[#This Row],[2023]])</f>
        <v/>
      </c>
      <c r="E102" s="543">
        <f>IF(PMTARTHUR[[#This Row],[2024]]="","",DONNÉES!CW242)</f>
        <v/>
      </c>
      <c r="F102" s="543">
        <f>IF(PMTARTHUR[[#This Row],[2024]]="","",DONNÉES!CX242)</f>
        <v/>
      </c>
      <c r="G102" s="543">
        <f>IF(PMTARTHUR[[#This Row],[2024]]="","",DONNÉES!CZ242)</f>
        <v/>
      </c>
      <c r="H102" s="474" t="n"/>
      <c r="I102" s="474" t="inlineStr">
        <is>
          <t>Juillet</t>
        </is>
      </c>
      <c r="J102" s="543">
        <f>IF(DONNÉES!DC242="","",DONNÉES!DC242)</f>
        <v/>
      </c>
      <c r="K102" s="543">
        <f>IF(PMTHUGO[[#This Row],[2024]]="","",DONNÉES!DD242)</f>
        <v/>
      </c>
      <c r="L102" s="102">
        <f>IF(PMTHUGO[[#This Row],[2024]]="","",(PMTHUGO[[#This Row],[2024]]-PMTHUGO[[#This Row],[2023]])/PMTHUGO[[#This Row],[2023]])</f>
        <v/>
      </c>
      <c r="M102" s="543">
        <f>IF(PMTHUGO[[#This Row],[2024]]="","",DONNÉES!DE242)</f>
        <v/>
      </c>
      <c r="N102" s="543">
        <f>IF(PMTHUGO[[#This Row],[2024]]="","",DONNÉES!DF242)</f>
        <v/>
      </c>
      <c r="O102" s="543">
        <f>IF(PMTHUGO[[#This Row],[2024]]="","",DONNÉES!DG242)</f>
        <v/>
      </c>
    </row>
    <row r="103" ht="13.15" customHeight="1" s="161">
      <c r="A103" s="476" t="inlineStr">
        <is>
          <t>Août</t>
        </is>
      </c>
      <c r="B103" s="543">
        <f>IF(DONNÉES!CU243="","",DONNÉES!CU243)</f>
        <v/>
      </c>
      <c r="C103" s="543">
        <f>IF(PMTARTHUR[[#This Row],[2024]]="","",DONNÉES!CV243)</f>
        <v/>
      </c>
      <c r="D103" s="102">
        <f>IF(PMTARTHUR[[#This Row],[2024]]="","",(PMTARTHUR[[#This Row],[2024]]-PMTARTHUR[[#This Row],[2023]])/PMTARTHUR[[#This Row],[2023]])</f>
        <v/>
      </c>
      <c r="E103" s="543">
        <f>IF(PMTARTHUR[[#This Row],[2024]]="","",DONNÉES!CW243)</f>
        <v/>
      </c>
      <c r="F103" s="543">
        <f>IF(PMTARTHUR[[#This Row],[2024]]="","",DONNÉES!CX243)</f>
        <v/>
      </c>
      <c r="G103" s="543">
        <f>IF(PMTARTHUR[[#This Row],[2024]]="","",DONNÉES!CZ243)</f>
        <v/>
      </c>
      <c r="H103" s="474" t="n"/>
      <c r="I103" s="476" t="inlineStr">
        <is>
          <t>Août</t>
        </is>
      </c>
      <c r="J103" s="543">
        <f>IF(DONNÉES!DC243="","",DONNÉES!DC243)</f>
        <v/>
      </c>
      <c r="K103" s="543">
        <f>IF(PMTHUGO[[#This Row],[2024]]="","",DONNÉES!DD243)</f>
        <v/>
      </c>
      <c r="L103" s="102">
        <f>IF(PMTHUGO[[#This Row],[2024]]="","",(PMTHUGO[[#This Row],[2024]]-PMTHUGO[[#This Row],[2023]])/PMTHUGO[[#This Row],[2023]])</f>
        <v/>
      </c>
      <c r="M103" s="543">
        <f>IF(PMTHUGO[[#This Row],[2024]]="","",DONNÉES!DE243)</f>
        <v/>
      </c>
      <c r="N103" s="543">
        <f>IF(PMTHUGO[[#This Row],[2024]]="","",DONNÉES!DF243)</f>
        <v/>
      </c>
      <c r="O103" s="543">
        <f>IF(PMTHUGO[[#This Row],[2024]]="","",DONNÉES!DG243)</f>
        <v/>
      </c>
    </row>
    <row r="104" ht="13.15" customHeight="1" s="161">
      <c r="A104" s="474" t="inlineStr">
        <is>
          <t>Septembre</t>
        </is>
      </c>
      <c r="B104" s="543">
        <f>IF(DONNÉES!CU244="","",DONNÉES!CU244)</f>
        <v/>
      </c>
      <c r="C104" s="543">
        <f>IF(PMTARTHUR[[#This Row],[2024]]="","",DONNÉES!CV244)</f>
        <v/>
      </c>
      <c r="D104" s="103">
        <f>IF(PMTARTHUR[[#This Row],[2024]]="","",(PMTARTHUR[[#This Row],[2024]]-PMTARTHUR[[#This Row],[2023]])/PMTARTHUR[[#This Row],[2023]])</f>
        <v/>
      </c>
      <c r="E104" s="543">
        <f>IF(PMTARTHUR[[#This Row],[2024]]="","",DONNÉES!CW244)</f>
        <v/>
      </c>
      <c r="F104" s="543">
        <f>IF(PMTARTHUR[[#This Row],[2024]]="","",DONNÉES!CX244)</f>
        <v/>
      </c>
      <c r="G104" s="543">
        <f>IF(PMTARTHUR[[#This Row],[2024]]="","",DONNÉES!CZ244)</f>
        <v/>
      </c>
      <c r="I104" s="474" t="inlineStr">
        <is>
          <t>Septembre</t>
        </is>
      </c>
      <c r="J104" s="543">
        <f>IF(DONNÉES!DC244="","",DONNÉES!DC244)</f>
        <v/>
      </c>
      <c r="K104" s="543">
        <f>IF(PMTHUGO[[#This Row],[2024]]="","",DONNÉES!DD244)</f>
        <v/>
      </c>
      <c r="L104" s="103">
        <f>IF(PMTHUGO[[#This Row],[2024]]="","",(PMTHUGO[[#This Row],[2024]]-PMTHUGO[[#This Row],[2023]])/PMTHUGO[[#This Row],[2023]])</f>
        <v/>
      </c>
      <c r="M104" s="543">
        <f>IF(PMTHUGO[[#This Row],[2024]]="","",DONNÉES!DE244)</f>
        <v/>
      </c>
      <c r="N104" s="543">
        <f>IF(PMTHUGO[[#This Row],[2024]]="","",DONNÉES!DF244)</f>
        <v/>
      </c>
      <c r="O104" s="543">
        <f>IF(PMTHUGO[[#This Row],[2024]]="","",DONNÉES!DG244)</f>
        <v/>
      </c>
    </row>
    <row r="105" ht="13.15" customHeight="1" s="161">
      <c r="A105" s="476" t="inlineStr">
        <is>
          <t>Octobre</t>
        </is>
      </c>
      <c r="B105" s="543">
        <f>IF(DONNÉES!CU245="","",DONNÉES!CU245)</f>
        <v/>
      </c>
      <c r="C105" s="543">
        <f>IF(PMTARTHUR[[#This Row],[2024]]="","",DONNÉES!CV245)</f>
        <v/>
      </c>
      <c r="D105" s="103">
        <f>IF(PMTARTHUR[[#This Row],[2024]]="","",(PMTARTHUR[[#This Row],[2024]]-PMTARTHUR[[#This Row],[2023]])/PMTARTHUR[[#This Row],[2023]])</f>
        <v/>
      </c>
      <c r="E105" s="543">
        <f>IF(PMTARTHUR[[#This Row],[2024]]="","",DONNÉES!CW245)</f>
        <v/>
      </c>
      <c r="F105" s="543">
        <f>IF(PMTARTHUR[[#This Row],[2024]]="","",DONNÉES!CX245)</f>
        <v/>
      </c>
      <c r="G105" s="543">
        <f>IF(PMTARTHUR[[#This Row],[2024]]="","",DONNÉES!CZ245)</f>
        <v/>
      </c>
      <c r="I105" s="476" t="inlineStr">
        <is>
          <t>Octobre</t>
        </is>
      </c>
      <c r="J105" s="543">
        <f>IF(DONNÉES!DC245="","",DONNÉES!DC245)</f>
        <v/>
      </c>
      <c r="K105" s="543">
        <f>IF(PMTHUGO[[#This Row],[2024]]="","",DONNÉES!DD245)</f>
        <v/>
      </c>
      <c r="L105" s="103">
        <f>IF(PMTHUGO[[#This Row],[2024]]="","",(PMTHUGO[[#This Row],[2024]]-PMTHUGO[[#This Row],[2023]])/PMTHUGO[[#This Row],[2023]])</f>
        <v/>
      </c>
      <c r="M105" s="543">
        <f>IF(PMTHUGO[[#This Row],[2024]]="","",DONNÉES!DE245)</f>
        <v/>
      </c>
      <c r="N105" s="543">
        <f>IF(PMTHUGO[[#This Row],[2024]]="","",DONNÉES!DF245)</f>
        <v/>
      </c>
      <c r="O105" s="543">
        <f>IF(PMTHUGO[[#This Row],[2024]]="","",DONNÉES!DG245)</f>
        <v/>
      </c>
    </row>
    <row r="106" ht="13.15" customHeight="1" s="161">
      <c r="A106" s="474" t="inlineStr">
        <is>
          <t>Novembre</t>
        </is>
      </c>
      <c r="B106" s="543">
        <f>IF(DONNÉES!CU246="","",DONNÉES!CU246)</f>
        <v/>
      </c>
      <c r="C106" s="543">
        <f>IF(PMTARTHUR[[#This Row],[2024]]="","",DONNÉES!CV246)</f>
        <v/>
      </c>
      <c r="D106" s="103">
        <f>IF(PMTARTHUR[[#This Row],[2024]]="","",(PMTARTHUR[[#This Row],[2024]]-PMTARTHUR[[#This Row],[2023]])/PMTARTHUR[[#This Row],[2023]])</f>
        <v/>
      </c>
      <c r="E106" s="543">
        <f>IF(PMTARTHUR[[#This Row],[2024]]="","",DONNÉES!CW246)</f>
        <v/>
      </c>
      <c r="F106" s="543">
        <f>IF(PMTARTHUR[[#This Row],[2024]]="","",DONNÉES!CX246)</f>
        <v/>
      </c>
      <c r="G106" s="543">
        <f>IF(PMTARTHUR[[#This Row],[2024]]="","",DONNÉES!CZ246)</f>
        <v/>
      </c>
      <c r="I106" s="474" t="inlineStr">
        <is>
          <t>Novembre</t>
        </is>
      </c>
      <c r="J106" s="543">
        <f>IF(DONNÉES!DC246="","",DONNÉES!DC246)</f>
        <v/>
      </c>
      <c r="K106" s="543">
        <f>IF(PMTHUGO[[#This Row],[2024]]="","",DONNÉES!DD246)</f>
        <v/>
      </c>
      <c r="L106" s="103">
        <f>IF(PMTHUGO[[#This Row],[2024]]="","",(PMTHUGO[[#This Row],[2024]]-PMTHUGO[[#This Row],[2023]])/PMTHUGO[[#This Row],[2023]])</f>
        <v/>
      </c>
      <c r="M106" s="543">
        <f>IF(PMTHUGO[[#This Row],[2024]]="","",DONNÉES!DE246)</f>
        <v/>
      </c>
      <c r="N106" s="543">
        <f>IF(PMTHUGO[[#This Row],[2024]]="","",DONNÉES!DF246)</f>
        <v/>
      </c>
      <c r="O106" s="543">
        <f>IF(PMTHUGO[[#This Row],[2024]]="","",DONNÉES!DG246)</f>
        <v/>
      </c>
    </row>
    <row r="107" ht="13.15" customHeight="1" s="161">
      <c r="A107" s="474" t="inlineStr">
        <is>
          <t>Décembre</t>
        </is>
      </c>
      <c r="B107" s="543">
        <f>IF(DONNÉES!CU247="","",DONNÉES!CU247)</f>
        <v/>
      </c>
      <c r="C107" s="543">
        <f>IF(PMTARTHUR[[#This Row],[2024]]="","",DONNÉES!CV247)</f>
        <v/>
      </c>
      <c r="D107" s="103">
        <f>IF(PMTARTHUR[[#This Row],[2024]]="","",(PMTARTHUR[[#This Row],[2024]]-PMTARTHUR[[#This Row],[2023]])/PMTARTHUR[[#This Row],[2023]])</f>
        <v/>
      </c>
      <c r="E107" s="543">
        <f>IF(PMTARTHUR[[#This Row],[2024]]="","",DONNÉES!CW247)</f>
        <v/>
      </c>
      <c r="F107" s="543">
        <f>IF(PMTARTHUR[[#This Row],[2024]]="","",DONNÉES!CX247)</f>
        <v/>
      </c>
      <c r="G107" s="543">
        <f>IF(PMTARTHUR[[#This Row],[2024]]="","",DONNÉES!CZ247)</f>
        <v/>
      </c>
      <c r="I107" s="474" t="inlineStr">
        <is>
          <t>Décembre</t>
        </is>
      </c>
      <c r="J107" s="543">
        <f>IF(DONNÉES!DC247="","",DONNÉES!DC247)</f>
        <v/>
      </c>
      <c r="K107" s="543">
        <f>IF(PMTHUGO[[#This Row],[2024]]="","",DONNÉES!DD247)</f>
        <v/>
      </c>
      <c r="L107" s="103">
        <f>IF(PMTHUGO[[#This Row],[2024]]="","",(PMTHUGO[[#This Row],[2024]]-PMTHUGO[[#This Row],[2023]])/PMTHUGO[[#This Row],[2023]])</f>
        <v/>
      </c>
      <c r="M107" s="543">
        <f>IF(PMTHUGO[[#This Row],[2024]]="","",DONNÉES!DE247)</f>
        <v/>
      </c>
      <c r="N107" s="543">
        <f>IF(PMTHUGO[[#This Row],[2024]]="","",DONNÉES!DF247)</f>
        <v/>
      </c>
      <c r="O107" s="543">
        <f>IF(PMTHUGO[[#This Row],[2024]]="","",DONNÉES!DG247)</f>
        <v/>
      </c>
    </row>
    <row r="108" ht="16.9" customHeight="1" s="161">
      <c r="A108" s="354" t="inlineStr">
        <is>
          <t xml:space="preserve">  TOTAL  </t>
        </is>
      </c>
      <c r="B108" s="359">
        <f>SUBTOTAL(101,PMTARTHUR[2024])</f>
        <v/>
      </c>
      <c r="C108" s="359">
        <f>SUBTOTAL(101,PMTARTHUR[2023])</f>
        <v/>
      </c>
      <c r="D108" s="105">
        <f>(PMTARTHUR[[#Totals],[2024]]-PMTARTHUR[[#Totals],[2023]])/PMTARTHUR[[#Totals],[2023]]</f>
        <v/>
      </c>
      <c r="E108" s="541">
        <f>SUBTOTAL(101,PMTARTHUR[2022])</f>
        <v/>
      </c>
      <c r="F108" s="359">
        <f>SUBTOTAL(101,PMTARTHUR[2021])</f>
        <v/>
      </c>
      <c r="G108" s="359">
        <f>SUBTOTAL(101,PMTARTHUR[2020])</f>
        <v/>
      </c>
      <c r="I108" s="354" t="inlineStr">
        <is>
          <t xml:space="preserve">  TOTAL  </t>
        </is>
      </c>
      <c r="J108" s="359">
        <f>SUBTOTAL(101,PMTHUGO[2024])</f>
        <v/>
      </c>
      <c r="K108" s="359">
        <f>SUBTOTAL(101,PMTHUGO[2023])</f>
        <v/>
      </c>
      <c r="L108" s="105">
        <f>(PMTHUGO[[#Totals],[2024]]-PMTHUGO[[#Totals],[2023]])/PMTHUGO[[#Totals],[2023]]</f>
        <v/>
      </c>
      <c r="M108" s="541">
        <f>SUBTOTAL(101,PMTHUGO[2022])</f>
        <v/>
      </c>
      <c r="N108" s="359">
        <f>SUBTOTAL(101,PMTHUGO[2021])</f>
        <v/>
      </c>
      <c r="O108" s="359">
        <f>SUBTOTAL(101,PMTHUGO[2020])</f>
        <v/>
      </c>
    </row>
    <row r="109" ht="30.6" customHeight="1" s="161">
      <c r="M109" s="542" t="n"/>
    </row>
    <row r="110" ht="33" customHeight="1" s="161">
      <c r="A110" s="474" t="inlineStr">
        <is>
          <t>JEANCLO</t>
        </is>
      </c>
      <c r="B110" s="491" t="inlineStr">
        <is>
          <t>2024</t>
        </is>
      </c>
      <c r="C110" s="491" t="inlineStr">
        <is>
          <t>2023</t>
        </is>
      </c>
      <c r="D110" s="100" t="inlineStr">
        <is>
          <t>Variat.</t>
        </is>
      </c>
      <c r="E110" s="491" t="inlineStr">
        <is>
          <t>2022</t>
        </is>
      </c>
      <c r="F110" s="491" t="inlineStr">
        <is>
          <t>2021</t>
        </is>
      </c>
      <c r="G110" s="525" t="inlineStr">
        <is>
          <t>2020</t>
        </is>
      </c>
      <c r="H110" s="474" t="n"/>
      <c r="I110" s="474" t="inlineStr">
        <is>
          <t>THOMAS</t>
        </is>
      </c>
      <c r="J110" s="491" t="inlineStr">
        <is>
          <t>2024</t>
        </is>
      </c>
      <c r="K110" s="491" t="inlineStr">
        <is>
          <t>2023</t>
        </is>
      </c>
      <c r="L110" s="100" t="inlineStr">
        <is>
          <t>Variat.</t>
        </is>
      </c>
      <c r="M110" s="491" t="inlineStr">
        <is>
          <t>2022</t>
        </is>
      </c>
      <c r="N110" s="491" t="inlineStr">
        <is>
          <t>2021</t>
        </is>
      </c>
      <c r="O110" s="525" t="inlineStr">
        <is>
          <t>2020</t>
        </is>
      </c>
    </row>
    <row r="111" ht="13.15" customFormat="1" customHeight="1" s="476">
      <c r="A111" s="476" t="inlineStr">
        <is>
          <t>Janvier</t>
        </is>
      </c>
      <c r="B111" s="543">
        <f>IF(DONNÉES!DK236="","",DONNÉES!DK236)</f>
        <v/>
      </c>
      <c r="C111" s="543">
        <f>IF(PMTTJEANCLO[[#This Row],[2024]]="","",DONNÉES!DL236)</f>
        <v/>
      </c>
      <c r="D111" s="102">
        <f>IF(PMTTJEANCLO[[#This Row],[2024]]="","",(PMTTJEANCLO[[#This Row],[2024]]-PMTTJEANCLO[[#This Row],[2023]])/PMTTJEANCLO[[#This Row],[2023]])</f>
        <v/>
      </c>
      <c r="E111" s="543">
        <f>IF(PMTTJEANCLO[[#This Row],[2024]]="","",DONNÉES!DM236)</f>
        <v/>
      </c>
      <c r="F111" s="543">
        <f>IF(PMTTJEANCLO[[#This Row],[2024]]="","",DONNÉES!DN236)</f>
        <v/>
      </c>
      <c r="G111" s="543">
        <f>IF(PMTTJEANCLO[[#This Row],[2024]]="","",DONNÉES!DO236)</f>
        <v/>
      </c>
      <c r="I111" s="476" t="inlineStr">
        <is>
          <t>Janvier</t>
        </is>
      </c>
      <c r="J111" s="543">
        <f>IF(DONNÉES!DS236="","",DONNÉES!DS236)</f>
        <v/>
      </c>
      <c r="K111" s="543">
        <f>IF(PMTTHOMAS[[#This Row],[2024]]="","",DONNÉES!DT236)</f>
        <v/>
      </c>
      <c r="L111" s="102">
        <f>IF(PMTTHOMAS[[#This Row],[2024]]="","",(PMTTHOMAS[[#This Row],[2024]]-PMTTHOMAS[[#This Row],[2023]])/PMTTHOMAS[[#This Row],[2023]])</f>
        <v/>
      </c>
      <c r="M111" s="543">
        <f>IF(PMTTHOMAS[[#This Row],[2024]]="","",DONNÉES!DU236)</f>
        <v/>
      </c>
      <c r="N111" s="543">
        <f>IF(PMTTHOMAS[[#This Row],[2024]]="","",DONNÉES!DV236)</f>
        <v/>
      </c>
      <c r="O111" s="543">
        <f>IF(PMTTHOMAS[[#This Row],[2024]]="","",DONNÉES!DW236)</f>
        <v/>
      </c>
    </row>
    <row r="112" ht="13.15" customFormat="1" customHeight="1" s="476">
      <c r="A112" s="476" t="inlineStr">
        <is>
          <t>Février</t>
        </is>
      </c>
      <c r="B112" s="543">
        <f>IF(DONNÉES!DK237="","",DONNÉES!DK237)</f>
        <v/>
      </c>
      <c r="C112" s="543">
        <f>IF(PMTTJEANCLO[[#This Row],[2024]]="","",DONNÉES!DL237)</f>
        <v/>
      </c>
      <c r="D112" s="102">
        <f>IF(PMTTJEANCLO[[#This Row],[2024]]="","",(PMTTJEANCLO[[#This Row],[2024]]-PMTTJEANCLO[[#This Row],[2023]])/PMTTJEANCLO[[#This Row],[2023]])</f>
        <v/>
      </c>
      <c r="E112" s="543">
        <f>IF(PMTTJEANCLO[[#This Row],[2024]]="","",DONNÉES!DM237)</f>
        <v/>
      </c>
      <c r="F112" s="543">
        <f>IF(PMTTJEANCLO[[#This Row],[2024]]="","",DONNÉES!DN237)</f>
        <v/>
      </c>
      <c r="G112" s="543">
        <f>IF(PMTTJEANCLO[[#This Row],[2024]]="","",DONNÉES!DO237)</f>
        <v/>
      </c>
      <c r="I112" s="476" t="inlineStr">
        <is>
          <t>Février</t>
        </is>
      </c>
      <c r="J112" s="543">
        <f>IF(DONNÉES!DS237="","",DONNÉES!DS237)</f>
        <v/>
      </c>
      <c r="K112" s="543">
        <f>IF(PMTTHOMAS[[#This Row],[2024]]="","",DONNÉES!DT237)</f>
        <v/>
      </c>
      <c r="L112" s="102">
        <f>IF(PMTTHOMAS[[#This Row],[2024]]="","",(PMTTHOMAS[[#This Row],[2024]]-PMTTHOMAS[[#This Row],[2023]])/PMTTHOMAS[[#This Row],[2023]])</f>
        <v/>
      </c>
      <c r="M112" s="543">
        <f>IF(PMTTHOMAS[[#This Row],[2024]]="","",DONNÉES!DU237)</f>
        <v/>
      </c>
      <c r="N112" s="543">
        <f>IF(PMTTHOMAS[[#This Row],[2024]]="","",DONNÉES!DV237)</f>
        <v/>
      </c>
      <c r="O112" s="543">
        <f>IF(PMTTHOMAS[[#This Row],[2024]]="","",DONNÉES!DW237)</f>
        <v/>
      </c>
    </row>
    <row r="113" ht="13.15" customFormat="1" customHeight="1" s="476">
      <c r="A113" s="474" t="inlineStr">
        <is>
          <t>Mars</t>
        </is>
      </c>
      <c r="B113" s="543">
        <f>IF(DONNÉES!DK238="","",DONNÉES!DK238)</f>
        <v/>
      </c>
      <c r="C113" s="543">
        <f>IF(PMTTJEANCLO[[#This Row],[2024]]="","",DONNÉES!DL238)</f>
        <v/>
      </c>
      <c r="D113" s="102">
        <f>IF(PMTTJEANCLO[[#This Row],[2024]]="","",(PMTTJEANCLO[[#This Row],[2024]]-PMTTJEANCLO[[#This Row],[2023]])/PMTTJEANCLO[[#This Row],[2023]])</f>
        <v/>
      </c>
      <c r="E113" s="543">
        <f>IF(PMTTJEANCLO[[#This Row],[2024]]="","",DONNÉES!DM238)</f>
        <v/>
      </c>
      <c r="F113" s="543">
        <f>IF(PMTTJEANCLO[[#This Row],[2024]]="","",DONNÉES!DN238)</f>
        <v/>
      </c>
      <c r="G113" s="543">
        <f>IF(PMTTJEANCLO[[#This Row],[2024]]="","",DONNÉES!DO238)</f>
        <v/>
      </c>
      <c r="I113" s="474" t="inlineStr">
        <is>
          <t>Mars</t>
        </is>
      </c>
      <c r="J113" s="543">
        <f>IF(DONNÉES!DS238="","",DONNÉES!DS238)</f>
        <v/>
      </c>
      <c r="K113" s="543">
        <f>IF(PMTTHOMAS[[#This Row],[2024]]="","",DONNÉES!DT238)</f>
        <v/>
      </c>
      <c r="L113" s="102">
        <f>IF(PMTTHOMAS[[#This Row],[2024]]="","",(PMTTHOMAS[[#This Row],[2024]]-PMTTHOMAS[[#This Row],[2023]])/PMTTHOMAS[[#This Row],[2023]])</f>
        <v/>
      </c>
      <c r="M113" s="543">
        <f>IF(PMTTHOMAS[[#This Row],[2024]]="","",DONNÉES!DU238)</f>
        <v/>
      </c>
      <c r="N113" s="543">
        <f>IF(PMTTHOMAS[[#This Row],[2024]]="","",DONNÉES!DV238)</f>
        <v/>
      </c>
      <c r="O113" s="543">
        <f>IF(PMTTHOMAS[[#This Row],[2024]]="","",DONNÉES!DW238)</f>
        <v/>
      </c>
    </row>
    <row r="114" ht="13.15" customHeight="1" s="161">
      <c r="A114" s="476" t="inlineStr">
        <is>
          <t>Avril</t>
        </is>
      </c>
      <c r="B114" s="543">
        <f>IF(DONNÉES!DK239="","",DONNÉES!DK239)</f>
        <v/>
      </c>
      <c r="C114" s="543">
        <f>IF(PMTTJEANCLO[[#This Row],[2024]]="","",DONNÉES!DL239)</f>
        <v/>
      </c>
      <c r="D114" s="102">
        <f>IF(PMTTJEANCLO[[#This Row],[2024]]="","",(PMTTJEANCLO[[#This Row],[2024]]-PMTTJEANCLO[[#This Row],[2023]])/PMTTJEANCLO[[#This Row],[2023]])</f>
        <v/>
      </c>
      <c r="E114" s="543">
        <f>IF(PMTTJEANCLO[[#This Row],[2024]]="","",DONNÉES!DM239)</f>
        <v/>
      </c>
      <c r="F114" s="543">
        <f>IF(PMTTJEANCLO[[#This Row],[2024]]="","",DONNÉES!DN239)</f>
        <v/>
      </c>
      <c r="G114" s="543">
        <f>IF(PMTTJEANCLO[[#This Row],[2024]]="","",DONNÉES!DO239)</f>
        <v/>
      </c>
      <c r="H114" s="474" t="n"/>
      <c r="I114" s="476" t="inlineStr">
        <is>
          <t>Avril</t>
        </is>
      </c>
      <c r="J114" s="543">
        <f>IF(DONNÉES!DS239="","",DONNÉES!DS239)</f>
        <v/>
      </c>
      <c r="K114" s="543">
        <f>IF(PMTTHOMAS[[#This Row],[2024]]="","",DONNÉES!DT239)</f>
        <v/>
      </c>
      <c r="L114" s="102">
        <f>IF(PMTTHOMAS[[#This Row],[2024]]="","",(PMTTHOMAS[[#This Row],[2024]]-PMTTHOMAS[[#This Row],[2023]])/PMTTHOMAS[[#This Row],[2023]])</f>
        <v/>
      </c>
      <c r="M114" s="543">
        <f>IF(PMTTHOMAS[[#This Row],[2024]]="","",DONNÉES!DU239)</f>
        <v/>
      </c>
      <c r="N114" s="543">
        <f>IF(PMTTHOMAS[[#This Row],[2024]]="","",DONNÉES!DV239)</f>
        <v/>
      </c>
      <c r="O114" s="543">
        <f>IF(PMTTHOMAS[[#This Row],[2024]]="","",DONNÉES!DW239)</f>
        <v/>
      </c>
    </row>
    <row r="115" ht="13.15" customHeight="1" s="161">
      <c r="A115" s="474" t="inlineStr">
        <is>
          <t>Mai</t>
        </is>
      </c>
      <c r="B115" s="543">
        <f>IF(DONNÉES!DK240="","",DONNÉES!DK240)</f>
        <v/>
      </c>
      <c r="C115" s="543">
        <f>IF(PMTTJEANCLO[[#This Row],[2024]]="","",DONNÉES!DL240)</f>
        <v/>
      </c>
      <c r="D115" s="102">
        <f>IF(PMTTJEANCLO[[#This Row],[2024]]="","",(PMTTJEANCLO[[#This Row],[2024]]-PMTTJEANCLO[[#This Row],[2023]])/PMTTJEANCLO[[#This Row],[2023]])</f>
        <v/>
      </c>
      <c r="E115" s="543">
        <f>IF(PMTTJEANCLO[[#This Row],[2024]]="","",DONNÉES!DM240)</f>
        <v/>
      </c>
      <c r="F115" s="543">
        <f>IF(PMTTJEANCLO[[#This Row],[2024]]="","",DONNÉES!DN240)</f>
        <v/>
      </c>
      <c r="G115" s="543">
        <f>IF(PMTTJEANCLO[[#This Row],[2024]]="","",DONNÉES!DO240)</f>
        <v/>
      </c>
      <c r="H115" s="474" t="n"/>
      <c r="I115" s="474" t="inlineStr">
        <is>
          <t>Mai</t>
        </is>
      </c>
      <c r="J115" s="543">
        <f>IF(DONNÉES!DS240="","",DONNÉES!DS240)</f>
        <v/>
      </c>
      <c r="K115" s="543">
        <f>IF(PMTTHOMAS[[#This Row],[2024]]="","",DONNÉES!DT240)</f>
        <v/>
      </c>
      <c r="L115" s="102">
        <f>IF(PMTTHOMAS[[#This Row],[2024]]="","",(PMTTHOMAS[[#This Row],[2024]]-PMTTHOMAS[[#This Row],[2023]])/PMTTHOMAS[[#This Row],[2023]])</f>
        <v/>
      </c>
      <c r="M115" s="543">
        <f>IF(PMTTHOMAS[[#This Row],[2024]]="","",DONNÉES!DU240)</f>
        <v/>
      </c>
      <c r="N115" s="543">
        <f>IF(PMTTHOMAS[[#This Row],[2024]]="","",DONNÉES!DV240)</f>
        <v/>
      </c>
      <c r="O115" s="543">
        <f>IF(PMTTHOMAS[[#This Row],[2024]]="","",DONNÉES!DW240)</f>
        <v/>
      </c>
    </row>
    <row r="116" ht="13.15" customHeight="1" s="161">
      <c r="A116" s="476" t="inlineStr">
        <is>
          <t>Juin</t>
        </is>
      </c>
      <c r="B116" s="543">
        <f>IF(DONNÉES!DK241="","",DONNÉES!DK241)</f>
        <v/>
      </c>
      <c r="C116" s="543">
        <f>IF(PMTTJEANCLO[[#This Row],[2024]]="","",DONNÉES!DL241)</f>
        <v/>
      </c>
      <c r="D116" s="102">
        <f>IF(PMTTJEANCLO[[#This Row],[2024]]="","",(PMTTJEANCLO[[#This Row],[2024]]-PMTTJEANCLO[[#This Row],[2023]])/PMTTJEANCLO[[#This Row],[2023]])</f>
        <v/>
      </c>
      <c r="E116" s="543">
        <f>IF(PMTTJEANCLO[[#This Row],[2024]]="","",DONNÉES!DM241)</f>
        <v/>
      </c>
      <c r="F116" s="543">
        <f>IF(PMTTJEANCLO[[#This Row],[2024]]="","",DONNÉES!DN241)</f>
        <v/>
      </c>
      <c r="G116" s="543">
        <f>IF(PMTTJEANCLO[[#This Row],[2024]]="","",DONNÉES!DO241)</f>
        <v/>
      </c>
      <c r="H116" s="474" t="n"/>
      <c r="I116" s="476" t="inlineStr">
        <is>
          <t>Juin</t>
        </is>
      </c>
      <c r="J116" s="543">
        <f>IF(DONNÉES!DS241="","",DONNÉES!DS241)</f>
        <v/>
      </c>
      <c r="K116" s="543">
        <f>IF(PMTTHOMAS[[#This Row],[2024]]="","",DONNÉES!DT241)</f>
        <v/>
      </c>
      <c r="L116" s="102">
        <f>IF(PMTTHOMAS[[#This Row],[2024]]="","",(PMTTHOMAS[[#This Row],[2024]]-PMTTHOMAS[[#This Row],[2023]])/PMTTHOMAS[[#This Row],[2023]])</f>
        <v/>
      </c>
      <c r="M116" s="543">
        <f>IF(PMTTHOMAS[[#This Row],[2024]]="","",DONNÉES!DU241)</f>
        <v/>
      </c>
      <c r="N116" s="543">
        <f>IF(PMTTHOMAS[[#This Row],[2024]]="","",DONNÉES!DV241)</f>
        <v/>
      </c>
      <c r="O116" s="543">
        <f>IF(PMTTHOMAS[[#This Row],[2024]]="","",DONNÉES!DW241)</f>
        <v/>
      </c>
    </row>
    <row r="117" ht="13.15" customHeight="1" s="161">
      <c r="A117" s="474" t="inlineStr">
        <is>
          <t>Juillet</t>
        </is>
      </c>
      <c r="B117" s="543">
        <f>IF(DONNÉES!DK242="","",DONNÉES!DK242)</f>
        <v/>
      </c>
      <c r="C117" s="543">
        <f>IF(PMTTJEANCLO[[#This Row],[2024]]="","",DONNÉES!DL242)</f>
        <v/>
      </c>
      <c r="D117" s="102">
        <f>IF(PMTTJEANCLO[[#This Row],[2024]]="","",(PMTTJEANCLO[[#This Row],[2024]]-PMTTJEANCLO[[#This Row],[2023]])/PMTTJEANCLO[[#This Row],[2023]])</f>
        <v/>
      </c>
      <c r="E117" s="543">
        <f>IF(PMTTJEANCLO[[#This Row],[2024]]="","",DONNÉES!DM242)</f>
        <v/>
      </c>
      <c r="F117" s="543">
        <f>IF(PMTTJEANCLO[[#This Row],[2024]]="","",DONNÉES!DN242)</f>
        <v/>
      </c>
      <c r="G117" s="543">
        <f>IF(PMTTJEANCLO[[#This Row],[2024]]="","",DONNÉES!DO242)</f>
        <v/>
      </c>
      <c r="H117" s="474" t="n"/>
      <c r="I117" s="474" t="inlineStr">
        <is>
          <t>Juillet</t>
        </is>
      </c>
      <c r="J117" s="543">
        <f>IF(DONNÉES!DS242="","",DONNÉES!DS242)</f>
        <v/>
      </c>
      <c r="K117" s="543">
        <f>IF(PMTTHOMAS[[#This Row],[2024]]="","",DONNÉES!DT242)</f>
        <v/>
      </c>
      <c r="L117" s="102">
        <f>IF(PMTTHOMAS[[#This Row],[2024]]="","",(PMTTHOMAS[[#This Row],[2024]]-PMTTHOMAS[[#This Row],[2023]])/PMTTHOMAS[[#This Row],[2023]])</f>
        <v/>
      </c>
      <c r="M117" s="543">
        <f>IF(PMTTHOMAS[[#This Row],[2024]]="","",DONNÉES!DU242)</f>
        <v/>
      </c>
      <c r="N117" s="543">
        <f>IF(PMTTHOMAS[[#This Row],[2024]]="","",DONNÉES!DV242)</f>
        <v/>
      </c>
      <c r="O117" s="543">
        <f>IF(PMTTHOMAS[[#This Row],[2024]]="","",DONNÉES!DW242)</f>
        <v/>
      </c>
    </row>
    <row r="118" ht="13.15" customHeight="1" s="161">
      <c r="A118" s="476" t="inlineStr">
        <is>
          <t>Août</t>
        </is>
      </c>
      <c r="B118" s="543">
        <f>IF(DONNÉES!DK243="","",DONNÉES!DK243)</f>
        <v/>
      </c>
      <c r="C118" s="543">
        <f>IF(PMTTJEANCLO[[#This Row],[2024]]="","",DONNÉES!DL243)</f>
        <v/>
      </c>
      <c r="D118" s="102">
        <f>IF(PMTTJEANCLO[[#This Row],[2024]]="","",(PMTTJEANCLO[[#This Row],[2024]]-PMTTJEANCLO[[#This Row],[2023]])/PMTTJEANCLO[[#This Row],[2023]])</f>
        <v/>
      </c>
      <c r="E118" s="543">
        <f>IF(PMTTJEANCLO[[#This Row],[2024]]="","",DONNÉES!DM243)</f>
        <v/>
      </c>
      <c r="F118" s="543">
        <f>IF(PMTTJEANCLO[[#This Row],[2024]]="","",DONNÉES!DN243)</f>
        <v/>
      </c>
      <c r="G118" s="543">
        <f>IF(PMTTJEANCLO[[#This Row],[2024]]="","",DONNÉES!DO243)</f>
        <v/>
      </c>
      <c r="H118" s="474" t="n"/>
      <c r="I118" s="476" t="inlineStr">
        <is>
          <t>Août</t>
        </is>
      </c>
      <c r="J118" s="543">
        <f>IF(DONNÉES!DS243="","",DONNÉES!DS243)</f>
        <v/>
      </c>
      <c r="K118" s="543">
        <f>IF(PMTTHOMAS[[#This Row],[2024]]="","",DONNÉES!DT243)</f>
        <v/>
      </c>
      <c r="L118" s="102">
        <f>IF(PMTTHOMAS[[#This Row],[2024]]="","",(PMTTHOMAS[[#This Row],[2024]]-PMTTHOMAS[[#This Row],[2023]])/PMTTHOMAS[[#This Row],[2023]])</f>
        <v/>
      </c>
      <c r="M118" s="543">
        <f>IF(PMTTHOMAS[[#This Row],[2024]]="","",DONNÉES!DU243)</f>
        <v/>
      </c>
      <c r="N118" s="543">
        <f>IF(PMTTHOMAS[[#This Row],[2024]]="","",DONNÉES!DV243)</f>
        <v/>
      </c>
      <c r="O118" s="543">
        <f>IF(PMTTHOMAS[[#This Row],[2024]]="","",DONNÉES!DW243)</f>
        <v/>
      </c>
    </row>
    <row r="119" ht="13.15" customHeight="1" s="161">
      <c r="A119" s="474" t="inlineStr">
        <is>
          <t>Septembre</t>
        </is>
      </c>
      <c r="B119" s="543">
        <f>IF(DONNÉES!DK244="","",DONNÉES!DK244)</f>
        <v/>
      </c>
      <c r="C119" s="543">
        <f>IF(PMTTJEANCLO[[#This Row],[2024]]="","",DONNÉES!DL244)</f>
        <v/>
      </c>
      <c r="D119" s="103">
        <f>IF(PMTTJEANCLO[[#This Row],[2024]]="","",(PMTTJEANCLO[[#This Row],[2024]]-PMTTJEANCLO[[#This Row],[2023]])/PMTTJEANCLO[[#This Row],[2023]])</f>
        <v/>
      </c>
      <c r="E119" s="543">
        <f>IF(PMTTJEANCLO[[#This Row],[2024]]="","",DONNÉES!DM244)</f>
        <v/>
      </c>
      <c r="F119" s="543">
        <f>IF(PMTTJEANCLO[[#This Row],[2024]]="","",DONNÉES!DN244)</f>
        <v/>
      </c>
      <c r="G119" s="543">
        <f>IF(PMTTJEANCLO[[#This Row],[2024]]="","",DONNÉES!DO244)</f>
        <v/>
      </c>
      <c r="I119" s="474" t="inlineStr">
        <is>
          <t>Septembre</t>
        </is>
      </c>
      <c r="J119" s="543">
        <f>IF(DONNÉES!DS244="","",DONNÉES!DS244)</f>
        <v/>
      </c>
      <c r="K119" s="543">
        <f>IF(PMTTHOMAS[[#This Row],[2024]]="","",DONNÉES!DT244)</f>
        <v/>
      </c>
      <c r="L119" s="103">
        <f>IF(PMTTHOMAS[[#This Row],[2024]]="","",(PMTTHOMAS[[#This Row],[2024]]-PMTTHOMAS[[#This Row],[2023]])/PMTTHOMAS[[#This Row],[2023]])</f>
        <v/>
      </c>
      <c r="M119" s="543">
        <f>IF(PMTTHOMAS[[#This Row],[2024]]="","",DONNÉES!DU244)</f>
        <v/>
      </c>
      <c r="N119" s="543">
        <f>IF(PMTTHOMAS[[#This Row],[2024]]="","",DONNÉES!DV244)</f>
        <v/>
      </c>
      <c r="O119" s="543">
        <f>IF(PMTTHOMAS[[#This Row],[2024]]="","",DONNÉES!DW244)</f>
        <v/>
      </c>
    </row>
    <row r="120" ht="13.15" customHeight="1" s="161">
      <c r="A120" s="476" t="inlineStr">
        <is>
          <t>Octobre</t>
        </is>
      </c>
      <c r="B120" s="543">
        <f>IF(DONNÉES!DK245="","",DONNÉES!DK245)</f>
        <v/>
      </c>
      <c r="C120" s="543">
        <f>IF(PMTTJEANCLO[[#This Row],[2024]]="","",DONNÉES!DL245)</f>
        <v/>
      </c>
      <c r="D120" s="103">
        <f>IF(PMTTJEANCLO[[#This Row],[2024]]="","",(PMTTJEANCLO[[#This Row],[2024]]-PMTTJEANCLO[[#This Row],[2023]])/PMTTJEANCLO[[#This Row],[2023]])</f>
        <v/>
      </c>
      <c r="E120" s="543">
        <f>IF(PMTTJEANCLO[[#This Row],[2024]]="","",DONNÉES!DM245)</f>
        <v/>
      </c>
      <c r="F120" s="543">
        <f>IF(PMTTJEANCLO[[#This Row],[2024]]="","",DONNÉES!DN245)</f>
        <v/>
      </c>
      <c r="G120" s="543">
        <f>IF(PMTTJEANCLO[[#This Row],[2024]]="","",DONNÉES!DO245)</f>
        <v/>
      </c>
      <c r="I120" s="476" t="inlineStr">
        <is>
          <t>Octobre</t>
        </is>
      </c>
      <c r="J120" s="543">
        <f>IF(DONNÉES!DS245="","",DONNÉES!DS245)</f>
        <v/>
      </c>
      <c r="K120" s="543">
        <f>IF(PMTTHOMAS[[#This Row],[2024]]="","",DONNÉES!DT245)</f>
        <v/>
      </c>
      <c r="L120" s="103">
        <f>IF(PMTTHOMAS[[#This Row],[2024]]="","",(PMTTHOMAS[[#This Row],[2024]]-PMTTHOMAS[[#This Row],[2023]])/PMTTHOMAS[[#This Row],[2023]])</f>
        <v/>
      </c>
      <c r="M120" s="543">
        <f>IF(PMTTHOMAS[[#This Row],[2024]]="","",DONNÉES!DU245)</f>
        <v/>
      </c>
      <c r="N120" s="543">
        <f>IF(PMTTHOMAS[[#This Row],[2024]]="","",DONNÉES!DV245)</f>
        <v/>
      </c>
      <c r="O120" s="543">
        <f>IF(PMTTHOMAS[[#This Row],[2024]]="","",DONNÉES!DW245)</f>
        <v/>
      </c>
    </row>
    <row r="121" ht="13.15" customHeight="1" s="161">
      <c r="A121" s="474" t="inlineStr">
        <is>
          <t>Novembre</t>
        </is>
      </c>
      <c r="B121" s="543">
        <f>IF(DONNÉES!DK246="","",DONNÉES!DK246)</f>
        <v/>
      </c>
      <c r="C121" s="543">
        <f>IF(PMTTJEANCLO[[#This Row],[2024]]="","",DONNÉES!DL246)</f>
        <v/>
      </c>
      <c r="D121" s="103">
        <f>IF(PMTTJEANCLO[[#This Row],[2024]]="","",(PMTTJEANCLO[[#This Row],[2024]]-PMTTJEANCLO[[#This Row],[2023]])/PMTTJEANCLO[[#This Row],[2023]])</f>
        <v/>
      </c>
      <c r="E121" s="543">
        <f>IF(PMTTJEANCLO[[#This Row],[2024]]="","",DONNÉES!DM246)</f>
        <v/>
      </c>
      <c r="F121" s="543">
        <f>IF(PMTTJEANCLO[[#This Row],[2024]]="","",DONNÉES!DN246)</f>
        <v/>
      </c>
      <c r="G121" s="543">
        <f>IF(PMTTJEANCLO[[#This Row],[2024]]="","",DONNÉES!DO246)</f>
        <v/>
      </c>
      <c r="I121" s="474" t="inlineStr">
        <is>
          <t>Novembre</t>
        </is>
      </c>
      <c r="J121" s="543">
        <f>IF(DONNÉES!DS246="","",DONNÉES!DS246)</f>
        <v/>
      </c>
      <c r="K121" s="543">
        <f>IF(PMTTHOMAS[[#This Row],[2024]]="","",DONNÉES!DT246)</f>
        <v/>
      </c>
      <c r="L121" s="103">
        <f>IF(PMTTHOMAS[[#This Row],[2024]]="","",(PMTTHOMAS[[#This Row],[2024]]-PMTTHOMAS[[#This Row],[2023]])/PMTTHOMAS[[#This Row],[2023]])</f>
        <v/>
      </c>
      <c r="M121" s="543">
        <f>IF(PMTTHOMAS[[#This Row],[2024]]="","",DONNÉES!DU246)</f>
        <v/>
      </c>
      <c r="N121" s="543">
        <f>IF(PMTTHOMAS[[#This Row],[2024]]="","",DONNÉES!DV246)</f>
        <v/>
      </c>
      <c r="O121" s="543">
        <f>IF(PMTTHOMAS[[#This Row],[2024]]="","",DONNÉES!DW246)</f>
        <v/>
      </c>
    </row>
    <row r="122" ht="13.15" customHeight="1" s="161">
      <c r="A122" s="474" t="inlineStr">
        <is>
          <t>Décembre</t>
        </is>
      </c>
      <c r="B122" s="543">
        <f>IF(DONNÉES!DK247="","",DONNÉES!DK247)</f>
        <v/>
      </c>
      <c r="C122" s="543">
        <f>IF(PMTTJEANCLO[[#This Row],[2024]]="","",DONNÉES!DL247)</f>
        <v/>
      </c>
      <c r="D122" s="103">
        <f>IF(PMTTJEANCLO[[#This Row],[2024]]="","",(PMTTJEANCLO[[#This Row],[2024]]-PMTTJEANCLO[[#This Row],[2023]])/PMTTJEANCLO[[#This Row],[2023]])</f>
        <v/>
      </c>
      <c r="E122" s="543">
        <f>IF(PMTTJEANCLO[[#This Row],[2024]]="","",DONNÉES!DM247)</f>
        <v/>
      </c>
      <c r="F122" s="543">
        <f>IF(PMTTJEANCLO[[#This Row],[2024]]="","",DONNÉES!DN247)</f>
        <v/>
      </c>
      <c r="G122" s="543">
        <f>IF(PMTTJEANCLO[[#This Row],[2024]]="","",DONNÉES!DO247)</f>
        <v/>
      </c>
      <c r="I122" s="474" t="inlineStr">
        <is>
          <t>Décembre</t>
        </is>
      </c>
      <c r="J122" s="543">
        <f>IF(DONNÉES!DS247="","",DONNÉES!DS247)</f>
        <v/>
      </c>
      <c r="K122" s="543">
        <f>IF(PMTTHOMAS[[#This Row],[2024]]="","",DONNÉES!DT247)</f>
        <v/>
      </c>
      <c r="L122" s="103">
        <f>IF(PMTTHOMAS[[#This Row],[2024]]="","",(PMTTHOMAS[[#This Row],[2024]]-PMTTHOMAS[[#This Row],[2023]])/PMTTHOMAS[[#This Row],[2023]])</f>
        <v/>
      </c>
      <c r="M122" s="543">
        <f>IF(PMTTHOMAS[[#This Row],[2024]]="","",DONNÉES!DU247)</f>
        <v/>
      </c>
      <c r="N122" s="543">
        <f>IF(PMTTHOMAS[[#This Row],[2024]]="","",DONNÉES!DV247)</f>
        <v/>
      </c>
      <c r="O122" s="543">
        <f>IF(PMTTHOMAS[[#This Row],[2024]]="","",DONNÉES!DW247)</f>
        <v/>
      </c>
    </row>
    <row r="123" ht="16.9" customHeight="1" s="161">
      <c r="A123" s="354" t="inlineStr">
        <is>
          <t xml:space="preserve">  TOTAL  </t>
        </is>
      </c>
      <c r="B123" s="359">
        <f>SUBTOTAL(101,PMTTJEANCLO[2024])</f>
        <v/>
      </c>
      <c r="C123" s="359">
        <f>SUBTOTAL(101,PMTTJEANCLO[2023])</f>
        <v/>
      </c>
      <c r="D123" s="105">
        <f>(PMTTJEANCLO[[#Totals],[2024]]-PMTTJEANCLO[[#Totals],[2023]])/PMTTJEANCLO[[#Totals],[2023]]</f>
        <v/>
      </c>
      <c r="E123" s="541">
        <f>SUBTOTAL(101,PMTTJEANCLO[2022])</f>
        <v/>
      </c>
      <c r="F123" s="359">
        <f>SUBTOTAL(101,PMTTJEANCLO[2021])</f>
        <v/>
      </c>
      <c r="G123" s="359">
        <f>SUBTOTAL(101,PMTTJEANCLO[2020])</f>
        <v/>
      </c>
      <c r="I123" s="354" t="inlineStr">
        <is>
          <t xml:space="preserve">  TOTAL  </t>
        </is>
      </c>
      <c r="J123" s="359">
        <f>SUBTOTAL(101,PMTTHOMAS[2024])</f>
        <v/>
      </c>
      <c r="K123" s="359">
        <f>SUBTOTAL(101,PMTTHOMAS[2023])</f>
        <v/>
      </c>
      <c r="L123" s="105">
        <f>(PMTTHOMAS[[#Totals],[2024]]-PMTTHOMAS[[#Totals],[2023]])/PMTTHOMAS[[#Totals],[2023]]</f>
        <v/>
      </c>
      <c r="M123" s="541">
        <f>SUBTOTAL(101,PMTTHOMAS[2022])</f>
        <v/>
      </c>
      <c r="N123" s="359">
        <f>SUBTOTAL(101,PMTTHOMAS[2021])</f>
        <v/>
      </c>
      <c r="O123" s="359">
        <f>SUBTOTAL(101,PMTTHOMAS[2020])</f>
        <v/>
      </c>
    </row>
    <row r="124" ht="30.6" customHeight="1" s="161">
      <c r="M124" s="542" t="n"/>
    </row>
    <row r="125" ht="33" customHeight="1" s="161">
      <c r="A125" s="474" t="inlineStr">
        <is>
          <t>GLOBAL</t>
        </is>
      </c>
      <c r="B125" s="491" t="inlineStr">
        <is>
          <t>2024</t>
        </is>
      </c>
      <c r="C125" s="491" t="inlineStr">
        <is>
          <t>2023</t>
        </is>
      </c>
      <c r="D125" s="100" t="inlineStr">
        <is>
          <t>Variat.</t>
        </is>
      </c>
      <c r="E125" s="491" t="inlineStr">
        <is>
          <t>2022</t>
        </is>
      </c>
      <c r="F125" s="491" t="inlineStr">
        <is>
          <t>2021</t>
        </is>
      </c>
      <c r="G125" s="525" t="inlineStr">
        <is>
          <t>2020</t>
        </is>
      </c>
    </row>
    <row r="126" ht="13.15" customHeight="1" s="161">
      <c r="A126" s="476" t="inlineStr">
        <is>
          <t>Janvier</t>
        </is>
      </c>
      <c r="B126" s="543">
        <f>IF(DONNÉES!C236="","",DONNÉES!C236)</f>
        <v/>
      </c>
      <c r="C126" s="543">
        <f>IF(PMGLOBAL2[[#This Row],[2024]]="","",DONNÉES!D236)</f>
        <v/>
      </c>
      <c r="D126" s="102">
        <f>IF(PMGLOBAL2[[#This Row],[2024]]="","",(PMGLOBAL2[[#This Row],[2024]]-PMGLOBAL2[[#This Row],[2023]])/PMGLOBAL2[[#This Row],[2023]])</f>
        <v/>
      </c>
      <c r="E126" s="543">
        <f>IF(PMGLOBAL2[[#This Row],[2024]]="","",DONNÉES!E236)</f>
        <v/>
      </c>
      <c r="F126" s="543">
        <f>IF(PMGLOBAL2[[#This Row],[2024]]="","",DONNÉES!F236)</f>
        <v/>
      </c>
      <c r="G126" s="543">
        <f>IF(PMGLOBAL2[[#This Row],[2024]]="","",DONNÉES!G236)</f>
        <v/>
      </c>
      <c r="H126" s="83" t="n"/>
    </row>
    <row r="127" ht="13.15" customHeight="1" s="161">
      <c r="A127" s="476" t="inlineStr">
        <is>
          <t>Février</t>
        </is>
      </c>
      <c r="B127" s="543">
        <f>IF(DONNÉES!C237="","",DONNÉES!C237)</f>
        <v/>
      </c>
      <c r="C127" s="543">
        <f>IF(PMGLOBAL2[[#This Row],[2024]]="","",DONNÉES!D237)</f>
        <v/>
      </c>
      <c r="D127" s="102">
        <f>IF(PMGLOBAL2[[#This Row],[2024]]="","",(PMGLOBAL2[[#This Row],[2024]]-PMGLOBAL2[[#This Row],[2023]])/PMGLOBAL2[[#This Row],[2023]])</f>
        <v/>
      </c>
      <c r="E127" s="543">
        <f>IF(PMGLOBAL2[[#This Row],[2024]]="","",DONNÉES!E237)</f>
        <v/>
      </c>
      <c r="F127" s="361">
        <f>IF(PMGLOBAL2[[#This Row],[2024]]="","",DONNÉES!F237)</f>
        <v/>
      </c>
      <c r="G127" s="544">
        <f>IF(PMGLOBAL2[[#This Row],[2024]]="","",DONNÉES!G237)</f>
        <v/>
      </c>
    </row>
    <row r="128" ht="13.15" customHeight="1" s="161">
      <c r="A128" s="474" t="inlineStr">
        <is>
          <t>Mars</t>
        </is>
      </c>
      <c r="B128" s="543">
        <f>IF(DONNÉES!C238="","",DONNÉES!C238)</f>
        <v/>
      </c>
      <c r="C128" s="543">
        <f>IF(PMGLOBAL2[[#This Row],[2024]]="","",DONNÉES!D238)</f>
        <v/>
      </c>
      <c r="D128" s="102">
        <f>IF(PMGLOBAL2[[#This Row],[2024]]="","",(PMGLOBAL2[[#This Row],[2024]]-PMGLOBAL2[[#This Row],[2023]])/PMGLOBAL2[[#This Row],[2023]])</f>
        <v/>
      </c>
      <c r="E128" s="543">
        <f>IF(PMGLOBAL2[[#This Row],[2024]]="","",DONNÉES!E238)</f>
        <v/>
      </c>
      <c r="F128" s="361">
        <f>IF(PMGLOBAL2[[#This Row],[2024]]="","",DONNÉES!F238)</f>
        <v/>
      </c>
      <c r="G128" s="544">
        <f>IF(PMGLOBAL2[[#This Row],[2024]]="","",DONNÉES!G238)</f>
        <v/>
      </c>
    </row>
    <row r="129" ht="13.15" customHeight="1" s="161">
      <c r="A129" s="476" t="inlineStr">
        <is>
          <t>Avril</t>
        </is>
      </c>
      <c r="B129" s="361">
        <f>IF(DONNÉES!C239="","",DONNÉES!C239)</f>
        <v/>
      </c>
      <c r="C129" s="361">
        <f>IF(PMGLOBAL2[[#This Row],[2024]]="","",DONNÉES!D239)</f>
        <v/>
      </c>
      <c r="D129" s="102">
        <f>IF(PMGLOBAL2[[#This Row],[2024]]="","",(PMGLOBAL2[[#This Row],[2024]]-PMGLOBAL2[[#This Row],[2023]])/PMGLOBAL2[[#This Row],[2023]])</f>
        <v/>
      </c>
      <c r="E129" s="543">
        <f>IF(PMGLOBAL2[[#This Row],[2024]]="","",DONNÉES!E239)</f>
        <v/>
      </c>
      <c r="F129" s="361">
        <f>IF(PMGLOBAL2[[#This Row],[2024]]="","",DONNÉES!F239)</f>
        <v/>
      </c>
      <c r="G129" s="544">
        <f>IF(PMGLOBAL2[[#This Row],[2024]]="","",DONNÉES!G239)</f>
        <v/>
      </c>
    </row>
    <row r="130" ht="13.15" customHeight="1" s="161">
      <c r="A130" s="474" t="inlineStr">
        <is>
          <t>Mai</t>
        </is>
      </c>
      <c r="B130" s="361">
        <f>IF(DONNÉES!C240="","",DONNÉES!C240)</f>
        <v/>
      </c>
      <c r="C130" s="361">
        <f>IF(PMGLOBAL2[[#This Row],[2024]]="","",DONNÉES!D240)</f>
        <v/>
      </c>
      <c r="D130" s="102">
        <f>IF(PMGLOBAL2[[#This Row],[2024]]="","",(PMGLOBAL2[[#This Row],[2024]]-PMGLOBAL2[[#This Row],[2023]])/PMGLOBAL2[[#This Row],[2023]])</f>
        <v/>
      </c>
      <c r="E130" s="543">
        <f>IF(PMGLOBAL2[[#This Row],[2024]]="","",DONNÉES!E240)</f>
        <v/>
      </c>
      <c r="F130" s="361">
        <f>IF(PMGLOBAL2[[#This Row],[2024]]="","",DONNÉES!F240)</f>
        <v/>
      </c>
      <c r="G130" s="544">
        <f>IF(PMGLOBAL2[[#This Row],[2024]]="","",DONNÉES!G240)</f>
        <v/>
      </c>
    </row>
    <row r="131" ht="13.15" customHeight="1" s="161">
      <c r="A131" s="476" t="inlineStr">
        <is>
          <t>Juin</t>
        </is>
      </c>
      <c r="B131" s="361">
        <f>IF(DONNÉES!C241="","",DONNÉES!C241)</f>
        <v/>
      </c>
      <c r="C131" s="361">
        <f>IF(PMGLOBAL2[[#This Row],[2024]]="","",DONNÉES!D241)</f>
        <v/>
      </c>
      <c r="D131" s="102">
        <f>IF(PMGLOBAL2[[#This Row],[2024]]="","",(PMGLOBAL2[[#This Row],[2024]]-PMGLOBAL2[[#This Row],[2023]])/PMGLOBAL2[[#This Row],[2023]])</f>
        <v/>
      </c>
      <c r="E131" s="543">
        <f>IF(PMGLOBAL2[[#This Row],[2024]]="","",DONNÉES!E241)</f>
        <v/>
      </c>
      <c r="F131" s="361">
        <f>IF(PMGLOBAL2[[#This Row],[2024]]="","",DONNÉES!F241)</f>
        <v/>
      </c>
      <c r="G131" s="544">
        <f>IF(PMGLOBAL2[[#This Row],[2024]]="","",DONNÉES!G241)</f>
        <v/>
      </c>
    </row>
    <row r="132" ht="13.15" customHeight="1" s="161">
      <c r="A132" s="474" t="inlineStr">
        <is>
          <t>Juillet</t>
        </is>
      </c>
      <c r="B132" s="361">
        <f>IF(DONNÉES!C242="","",DONNÉES!C242)</f>
        <v/>
      </c>
      <c r="C132" s="361">
        <f>IF(PMGLOBAL2[[#This Row],[2024]]="","",DONNÉES!D242)</f>
        <v/>
      </c>
      <c r="D132" s="102">
        <f>IF(PMGLOBAL2[[#This Row],[2024]]="","",(PMGLOBAL2[[#This Row],[2024]]-PMGLOBAL2[[#This Row],[2023]])/PMGLOBAL2[[#This Row],[2023]])</f>
        <v/>
      </c>
      <c r="E132" s="543">
        <f>IF(PMGLOBAL2[[#This Row],[2024]]="","",DONNÉES!E242)</f>
        <v/>
      </c>
      <c r="F132" s="361">
        <f>IF(PMGLOBAL2[[#This Row],[2024]]="","",DONNÉES!F242)</f>
        <v/>
      </c>
      <c r="G132" s="544">
        <f>IF(PMGLOBAL2[[#This Row],[2024]]="","",DONNÉES!G242)</f>
        <v/>
      </c>
    </row>
    <row r="133" ht="13.15" customHeight="1" s="161">
      <c r="A133" s="476" t="inlineStr">
        <is>
          <t>Août</t>
        </is>
      </c>
      <c r="B133" s="361">
        <f>IF(DONNÉES!C243="","",DONNÉES!C243)</f>
        <v/>
      </c>
      <c r="C133" s="361">
        <f>IF(PMGLOBAL2[[#This Row],[2024]]="","",DONNÉES!D243)</f>
        <v/>
      </c>
      <c r="D133" s="102">
        <f>IF(PMGLOBAL2[[#This Row],[2024]]="","",(PMGLOBAL2[[#This Row],[2024]]-PMGLOBAL2[[#This Row],[2023]])/PMGLOBAL2[[#This Row],[2023]])</f>
        <v/>
      </c>
      <c r="E133" s="543">
        <f>IF(PMGLOBAL2[[#This Row],[2024]]="","",DONNÉES!E243)</f>
        <v/>
      </c>
      <c r="F133" s="361">
        <f>IF(PMGLOBAL2[[#This Row],[2024]]="","",DONNÉES!F243)</f>
        <v/>
      </c>
      <c r="G133" s="544">
        <f>IF(PMGLOBAL2[[#This Row],[2024]]="","",DONNÉES!G243)</f>
        <v/>
      </c>
    </row>
    <row r="134" ht="13.15" customHeight="1" s="161">
      <c r="A134" s="474" t="inlineStr">
        <is>
          <t>Septembre</t>
        </is>
      </c>
      <c r="B134" s="361">
        <f>IF(DONNÉES!C244="","",DONNÉES!C244)</f>
        <v/>
      </c>
      <c r="C134" s="361">
        <f>IF(PMGLOBAL2[[#This Row],[2024]]="","",DONNÉES!D244)</f>
        <v/>
      </c>
      <c r="D134" s="103">
        <f>IF(PMGLOBAL2[[#This Row],[2024]]="","",(PMGLOBAL2[[#This Row],[2024]]-PMGLOBAL2[[#This Row],[2023]])/PMGLOBAL2[[#This Row],[2023]])</f>
        <v/>
      </c>
      <c r="E134" s="543">
        <f>IF(PMGLOBAL2[[#This Row],[2024]]="","",DONNÉES!E244)</f>
        <v/>
      </c>
      <c r="F134" s="361">
        <f>IF(PMGLOBAL2[[#This Row],[2024]]="","",DONNÉES!F244)</f>
        <v/>
      </c>
      <c r="G134" s="544">
        <f>IF(PMGLOBAL2[[#This Row],[2024]]="","",DONNÉES!G244)</f>
        <v/>
      </c>
    </row>
    <row r="135" ht="13.15" customHeight="1" s="161">
      <c r="A135" s="476" t="inlineStr">
        <is>
          <t>Octobre</t>
        </is>
      </c>
      <c r="B135" s="361">
        <f>IF(DONNÉES!C245="","",DONNÉES!C245)</f>
        <v/>
      </c>
      <c r="C135" s="361">
        <f>IF(PMGLOBAL2[[#This Row],[2024]]="","",DONNÉES!D245)</f>
        <v/>
      </c>
      <c r="D135" s="103">
        <f>IF(PMGLOBAL2[[#This Row],[2024]]="","",(PMGLOBAL2[[#This Row],[2024]]-PMGLOBAL2[[#This Row],[2023]])/PMGLOBAL2[[#This Row],[2023]])</f>
        <v/>
      </c>
      <c r="E135" s="543">
        <f>IF(PMGLOBAL2[[#This Row],[2024]]="","",DONNÉES!E245)</f>
        <v/>
      </c>
      <c r="F135" s="361">
        <f>IF(PMGLOBAL2[[#This Row],[2024]]="","",DONNÉES!F245)</f>
        <v/>
      </c>
      <c r="G135" s="544">
        <f>IF(PMGLOBAL2[[#This Row],[2024]]="","",DONNÉES!G245)</f>
        <v/>
      </c>
    </row>
    <row r="136" ht="13.15" customHeight="1" s="161">
      <c r="A136" s="474" t="inlineStr">
        <is>
          <t>Novembre</t>
        </is>
      </c>
      <c r="B136" s="361">
        <f>IF(DONNÉES!C246="","",DONNÉES!C246)</f>
        <v/>
      </c>
      <c r="C136" s="361">
        <f>IF(PMGLOBAL2[[#This Row],[2024]]="","",DONNÉES!D246)</f>
        <v/>
      </c>
      <c r="D136" s="103">
        <f>IF(PMGLOBAL2[[#This Row],[2024]]="","",(PMGLOBAL2[[#This Row],[2024]]-PMGLOBAL2[[#This Row],[2023]])/PMGLOBAL2[[#This Row],[2023]])</f>
        <v/>
      </c>
      <c r="E136" s="543">
        <f>IF(PMGLOBAL2[[#This Row],[2024]]="","",DONNÉES!E246)</f>
        <v/>
      </c>
      <c r="F136" s="361">
        <f>IF(PMGLOBAL2[[#This Row],[2024]]="","",DONNÉES!F246)</f>
        <v/>
      </c>
      <c r="G136" s="544">
        <f>IF(PMGLOBAL2[[#This Row],[2024]]="","",DONNÉES!G246)</f>
        <v/>
      </c>
    </row>
    <row r="137" ht="13.15" customHeight="1" s="161">
      <c r="A137" s="474" t="inlineStr">
        <is>
          <t>Décembre</t>
        </is>
      </c>
      <c r="B137" s="361">
        <f>IF(DONNÉES!C247="","",DONNÉES!C247)</f>
        <v/>
      </c>
      <c r="C137" s="361">
        <f>IF(PMGLOBAL2[[#This Row],[2024]]="","",DONNÉES!D247)</f>
        <v/>
      </c>
      <c r="D137" s="103">
        <f>IF(PMGLOBAL2[[#This Row],[2024]]="","",(PMGLOBAL2[[#This Row],[2024]]-PMGLOBAL2[[#This Row],[2023]])/PMGLOBAL2[[#This Row],[2023]])</f>
        <v/>
      </c>
      <c r="E137" s="543">
        <f>IF(PMGLOBAL2[[#This Row],[2024]]="","",DONNÉES!E247)</f>
        <v/>
      </c>
      <c r="F137" s="361">
        <f>IF(PMGLOBAL2[[#This Row],[2024]]="","",DONNÉES!F247)</f>
        <v/>
      </c>
      <c r="G137" s="544">
        <f>IF(PMGLOBAL2[[#This Row],[2024]]="","",DONNÉES!G247)</f>
        <v/>
      </c>
    </row>
    <row r="138" ht="16.9" customHeight="1" s="161">
      <c r="A138" s="354" t="inlineStr">
        <is>
          <t xml:space="preserve">  TOTAL  </t>
        </is>
      </c>
      <c r="B138" s="359">
        <f>SUBTOTAL(101,PMGLOBAL2[2024])</f>
        <v/>
      </c>
      <c r="C138" s="359">
        <f>SUBTOTAL(101,PMGLOBAL2[2023])</f>
        <v/>
      </c>
      <c r="D138" s="105">
        <f>(PMGLOBAL2[[#Totals],[2024]]-PMGLOBAL2[[#Totals],[2023]])/PMGLOBAL2[[#Totals],[2023]]</f>
        <v/>
      </c>
      <c r="E138" s="541">
        <f>SUBTOTAL(101,PMGLOBAL2[2022])</f>
        <v/>
      </c>
      <c r="F138" s="359">
        <f>SUBTOTAL(101,PMGLOBAL2[2021])</f>
        <v/>
      </c>
      <c r="G138" s="359">
        <f>SUBTOTAL(101,PMGLOBAL2[2020])</f>
        <v/>
      </c>
    </row>
    <row r="146">
      <c r="I146" s="83" t="n"/>
    </row>
  </sheetData>
  <mergeCells count="1">
    <mergeCell ref="A3:O3"/>
  </mergeCells>
  <pageMargins left="0.7086614173228347" right="0.7086614173228347" top="0.7480314960629921" bottom="0.7480314960629921" header="0.3149606299212598" footer="0.3149606299212598"/>
  <pageSetup orientation="portrait" paperSize="9" scale="53" fitToHeight="3"/>
  <headerFooter>
    <oddHeader/>
    <oddFooter>&amp;C&amp;"Helv,Gras"&amp;11 Page &amp;P / &amp;N</oddFooter>
    <evenHeader/>
    <evenFooter/>
    <firstHeader/>
    <firstFooter/>
  </headerFooter>
  <rowBreaks count="1" manualBreakCount="1">
    <brk id="78" min="0" max="16383" man="1"/>
  </rowBreaks>
  <drawing xmlns:r="http://schemas.openxmlformats.org/officeDocument/2006/relationships" r:id="rId1"/>
  <tableParts count="17">
    <tablePart xmlns:r="http://schemas.openxmlformats.org/officeDocument/2006/relationships" r:id="rId2"/>
    <tablePart xmlns:r="http://schemas.openxmlformats.org/officeDocument/2006/relationships" r:id="rId3"/>
    <tablePart xmlns:r="http://schemas.openxmlformats.org/officeDocument/2006/relationships" r:id="rId4"/>
    <tablePart xmlns:r="http://schemas.openxmlformats.org/officeDocument/2006/relationships" r:id="rId5"/>
    <tablePart xmlns:r="http://schemas.openxmlformats.org/officeDocument/2006/relationships" r:id="rId6"/>
    <tablePart xmlns:r="http://schemas.openxmlformats.org/officeDocument/2006/relationships" r:id="rId7"/>
    <tablePart xmlns:r="http://schemas.openxmlformats.org/officeDocument/2006/relationships" r:id="rId8"/>
    <tablePart xmlns:r="http://schemas.openxmlformats.org/officeDocument/2006/relationships" r:id="rId9"/>
    <tablePart xmlns:r="http://schemas.openxmlformats.org/officeDocument/2006/relationships" r:id="rId10"/>
    <tablePart xmlns:r="http://schemas.openxmlformats.org/officeDocument/2006/relationships" r:id="rId11"/>
    <tablePart xmlns:r="http://schemas.openxmlformats.org/officeDocument/2006/relationships" r:id="rId12"/>
    <tablePart xmlns:r="http://schemas.openxmlformats.org/officeDocument/2006/relationships" r:id="rId13"/>
    <tablePart xmlns:r="http://schemas.openxmlformats.org/officeDocument/2006/relationships" r:id="rId14"/>
    <tablePart xmlns:r="http://schemas.openxmlformats.org/officeDocument/2006/relationships" r:id="rId15"/>
    <tablePart xmlns:r="http://schemas.openxmlformats.org/officeDocument/2006/relationships" r:id="rId16"/>
    <tablePart xmlns:r="http://schemas.openxmlformats.org/officeDocument/2006/relationships" r:id="rId17"/>
    <tablePart xmlns:r="http://schemas.openxmlformats.org/officeDocument/2006/relationships" r:id="rId18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DP</dc:creator>
  <dc:title xmlns:dc="http://purl.org/dc/elements/1.1/">COMPARAISON DES P L MENSUELS</dc:title>
  <dcterms:created xmlns:dcterms="http://purl.org/dc/terms/" xmlns:xsi="http://www.w3.org/2001/XMLSchema-instance" xsi:type="dcterms:W3CDTF">1999-02-15T13:27:53Z</dcterms:created>
  <dcterms:modified xmlns:dcterms="http://purl.org/dc/terms/" xmlns:xsi="http://www.w3.org/2001/XMLSchema-instance" xsi:type="dcterms:W3CDTF">2025-03-25T08:49:49Z</dcterms:modified>
  <cp:lastModifiedBy>Matthias Lameira | Martini &amp; Associés</cp:lastModifiedBy>
  <cp:lastPrinted>2024-12-17T10:19:37Z</cp:lastPrinted>
</cp:coreProperties>
</file>